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RKAKL\2015\"/>
    </mc:Choice>
  </mc:AlternateContent>
  <xr:revisionPtr revIDLastSave="0" documentId="13_ncr:1_{F6D19E2C-B880-443D-8042-DBC48560CE6E}" xr6:coauthVersionLast="43" xr6:coauthVersionMax="43" xr10:uidLastSave="{00000000-0000-0000-0000-000000000000}"/>
  <bookViews>
    <workbookView xWindow="-120" yWindow="-120" windowWidth="24240" windowHeight="13290" tabRatio="897" activeTab="7" xr2:uid="{00000000-000D-0000-FFFF-FFFF00000000}"/>
  </bookViews>
  <sheets>
    <sheet name="DEFINITIF (APBNP)" sheetId="1" r:id="rId1"/>
    <sheet name="PEMB. TERMINAL" sheetId="3" r:id="rId2"/>
    <sheet name="REHAB. TERMINAL" sheetId="38" r:id="rId3"/>
    <sheet name=" JT" sheetId="6" r:id="rId4"/>
    <sheet name="Perl Jalan" sheetId="5" r:id="rId5"/>
    <sheet name="BUS" sheetId="10" r:id="rId6"/>
    <sheet name="SUBSIDI PERINTIS" sheetId="7" r:id="rId7"/>
    <sheet name="ATCS &amp; INTEGRASI" sheetId="19" r:id="rId8"/>
    <sheet name="REKAP PROP" sheetId="2" r:id="rId9"/>
  </sheets>
  <externalReferences>
    <externalReference r:id="rId10"/>
    <externalReference r:id="rId11"/>
  </externalReferences>
  <definedNames>
    <definedName name="_xlnm.Print_Area" localSheetId="3">' JT'!$A$1:$G$52</definedName>
    <definedName name="_xlnm.Print_Area" localSheetId="7">'ATCS &amp; INTEGRASI'!$A$1:$F$56</definedName>
    <definedName name="_xlnm.Print_Area" localSheetId="5">BUS!$A$1:$F$27</definedName>
    <definedName name="_xlnm.Print_Area" localSheetId="0">'DEFINITIF (APBNP)'!$A$1:$O$4712</definedName>
    <definedName name="_xlnm.Print_Area" localSheetId="1">'PEMB. TERMINAL'!$A$1:$F$53</definedName>
    <definedName name="_xlnm.Print_Area" localSheetId="4">'Perl Jalan'!$A$1:$G$370</definedName>
    <definedName name="_xlnm.Print_Area" localSheetId="2">'REHAB. TERMINAL'!$A$1:$F$32</definedName>
    <definedName name="_xlnm.Print_Area" localSheetId="8">'REKAP PROP'!$A$1:$L$161</definedName>
    <definedName name="_xlnm.Print_Area" localSheetId="6">'SUBSIDI PERINTIS'!$A$1:$F$417</definedName>
    <definedName name="_xlnm.Print_Titles" localSheetId="7">'ATCS &amp; INTEGRASI'!$5:$6</definedName>
    <definedName name="_xlnm.Print_Titles" localSheetId="5">BUS!$6:$6</definedName>
    <definedName name="_xlnm.Print_Titles" localSheetId="0">'DEFINITIF (APBNP)'!$7:$9</definedName>
    <definedName name="_xlnm.Print_Titles" localSheetId="1">'PEMB. TERMINAL'!$6:$6</definedName>
    <definedName name="_xlnm.Print_Titles" localSheetId="4">'Perl Jalan'!$5:$6</definedName>
    <definedName name="_xlnm.Print_Titles" localSheetId="2">'REHAB. TERMINAL'!#REF!</definedName>
    <definedName name="_xlnm.Print_Titles" localSheetId="8">'REKAP PROP'!$1:$8</definedName>
    <definedName name="_xlnm.Print_Titles" localSheetId="6">'SUBSIDI PERINTIS'!$5:$6</definedName>
  </definedNames>
  <calcPr calcId="181029"/>
</workbook>
</file>

<file path=xl/calcChain.xml><?xml version="1.0" encoding="utf-8"?>
<calcChain xmlns="http://schemas.openxmlformats.org/spreadsheetml/2006/main">
  <c r="C50" i="19" l="1"/>
  <c r="D50" i="19"/>
  <c r="E50" i="19"/>
  <c r="B50" i="19"/>
  <c r="C44" i="19"/>
  <c r="D44" i="19"/>
  <c r="C45" i="19"/>
  <c r="D45" i="19"/>
  <c r="E45" i="19"/>
  <c r="B45" i="19"/>
  <c r="F45" i="19" l="1"/>
  <c r="E13" i="10" l="1"/>
  <c r="F13" i="10" s="1"/>
  <c r="C13" i="10"/>
  <c r="D13" i="10"/>
  <c r="B13" i="10"/>
  <c r="L3160" i="1"/>
  <c r="N3160" i="1" s="1"/>
  <c r="O3160" i="1" s="1"/>
  <c r="H3160" i="1"/>
  <c r="J2822" i="1"/>
  <c r="K2822" i="1" s="1"/>
  <c r="O2822" i="1" s="1"/>
  <c r="C8" i="7" l="1"/>
  <c r="F33" i="3" l="1"/>
  <c r="F34" i="3"/>
  <c r="F36" i="3"/>
  <c r="C35" i="3"/>
  <c r="D35" i="3"/>
  <c r="E35" i="3"/>
  <c r="B35" i="3"/>
  <c r="F35" i="3" l="1"/>
  <c r="C10" i="3"/>
  <c r="C71" i="5"/>
  <c r="D71" i="5"/>
  <c r="C72" i="5"/>
  <c r="D72" i="5"/>
  <c r="E72" i="5"/>
  <c r="B72" i="5"/>
  <c r="B71" i="5"/>
  <c r="L4685" i="1"/>
  <c r="N4685" i="1" s="1"/>
  <c r="E4679" i="1"/>
  <c r="E4620" i="1"/>
  <c r="E4528" i="1"/>
  <c r="E1589" i="1"/>
  <c r="E1585" i="1"/>
  <c r="B119" i="7"/>
  <c r="B27" i="7"/>
  <c r="B28" i="7"/>
  <c r="B29" i="7"/>
  <c r="C69" i="7"/>
  <c r="D69" i="7"/>
  <c r="E69" i="7"/>
  <c r="C70" i="7"/>
  <c r="D70" i="7"/>
  <c r="E70" i="7"/>
  <c r="C71" i="7"/>
  <c r="D71" i="7"/>
  <c r="E71" i="7"/>
  <c r="C72" i="7"/>
  <c r="D72" i="7"/>
  <c r="E72" i="7"/>
  <c r="C73" i="7"/>
  <c r="D73" i="7"/>
  <c r="E73" i="7"/>
  <c r="C74" i="7"/>
  <c r="D74" i="7"/>
  <c r="E74" i="7"/>
  <c r="B73" i="7"/>
  <c r="B74" i="7"/>
  <c r="B70" i="7"/>
  <c r="B71" i="7"/>
  <c r="B72" i="7"/>
  <c r="C326" i="7"/>
  <c r="D326" i="7"/>
  <c r="E326" i="7"/>
  <c r="C327" i="7"/>
  <c r="D327" i="7"/>
  <c r="E327" i="7"/>
  <c r="C328" i="7"/>
  <c r="D328" i="7"/>
  <c r="E328" i="7"/>
  <c r="C329" i="7"/>
  <c r="D329" i="7"/>
  <c r="E329" i="7"/>
  <c r="C330" i="7"/>
  <c r="D330" i="7"/>
  <c r="E330" i="7"/>
  <c r="C331" i="7"/>
  <c r="D331" i="7"/>
  <c r="E331" i="7"/>
  <c r="C332" i="7"/>
  <c r="D332" i="7"/>
  <c r="E332" i="7"/>
  <c r="C333" i="7"/>
  <c r="D333" i="7"/>
  <c r="E333" i="7"/>
  <c r="B327" i="7"/>
  <c r="B328" i="7"/>
  <c r="B329" i="7"/>
  <c r="B330" i="7"/>
  <c r="B331" i="7"/>
  <c r="B332" i="7"/>
  <c r="B333" i="7"/>
  <c r="C311" i="7"/>
  <c r="D311" i="7"/>
  <c r="E311" i="7"/>
  <c r="C312" i="7"/>
  <c r="D312" i="7"/>
  <c r="E312" i="7"/>
  <c r="C313" i="7"/>
  <c r="D313" i="7"/>
  <c r="E313" i="7"/>
  <c r="C314" i="7"/>
  <c r="D314" i="7"/>
  <c r="E314" i="7"/>
  <c r="C315" i="7"/>
  <c r="D315" i="7"/>
  <c r="E315" i="7"/>
  <c r="B312" i="7"/>
  <c r="B313" i="7"/>
  <c r="B314" i="7"/>
  <c r="B315" i="7"/>
  <c r="C297" i="7"/>
  <c r="D297" i="7"/>
  <c r="E297" i="7"/>
  <c r="C298" i="7"/>
  <c r="D298" i="7"/>
  <c r="E298" i="7"/>
  <c r="C299" i="7"/>
  <c r="D299" i="7"/>
  <c r="E299" i="7"/>
  <c r="B298" i="7"/>
  <c r="B299" i="7"/>
  <c r="C276" i="7"/>
  <c r="D276" i="7"/>
  <c r="E276" i="7"/>
  <c r="C277" i="7"/>
  <c r="D277" i="7"/>
  <c r="E277" i="7"/>
  <c r="C278" i="7"/>
  <c r="D278" i="7"/>
  <c r="E278" i="7"/>
  <c r="C279" i="7"/>
  <c r="D279" i="7"/>
  <c r="E279" i="7"/>
  <c r="C280" i="7"/>
  <c r="D280" i="7"/>
  <c r="E280" i="7"/>
  <c r="C281" i="7"/>
  <c r="D281" i="7"/>
  <c r="E281" i="7"/>
  <c r="C282" i="7"/>
  <c r="D282" i="7"/>
  <c r="E282" i="7"/>
  <c r="B277" i="7"/>
  <c r="B278" i="7"/>
  <c r="B279" i="7"/>
  <c r="B280" i="7"/>
  <c r="B281" i="7"/>
  <c r="B282" i="7"/>
  <c r="C251" i="7"/>
  <c r="D251" i="7"/>
  <c r="E251" i="7"/>
  <c r="C252" i="7"/>
  <c r="D252" i="7"/>
  <c r="E252" i="7"/>
  <c r="C253" i="7"/>
  <c r="D253" i="7"/>
  <c r="E253" i="7"/>
  <c r="C254" i="7"/>
  <c r="D254" i="7"/>
  <c r="E254" i="7"/>
  <c r="C255" i="7"/>
  <c r="D255" i="7"/>
  <c r="E255" i="7"/>
  <c r="B252" i="7"/>
  <c r="B253" i="7"/>
  <c r="B254" i="7"/>
  <c r="B255" i="7"/>
  <c r="C228" i="7"/>
  <c r="D228" i="7"/>
  <c r="E228" i="7"/>
  <c r="C229" i="7"/>
  <c r="D229" i="7"/>
  <c r="E229" i="7"/>
  <c r="C230" i="7"/>
  <c r="D230" i="7"/>
  <c r="E230" i="7"/>
  <c r="C231" i="7"/>
  <c r="D231" i="7"/>
  <c r="E231" i="7"/>
  <c r="C232" i="7"/>
  <c r="D232" i="7"/>
  <c r="E232" i="7"/>
  <c r="B229" i="7"/>
  <c r="B230" i="7"/>
  <c r="B231" i="7"/>
  <c r="B232" i="7"/>
  <c r="C219" i="7"/>
  <c r="D219" i="7"/>
  <c r="E219" i="7"/>
  <c r="C220" i="7"/>
  <c r="D220" i="7"/>
  <c r="E220" i="7"/>
  <c r="C221" i="7"/>
  <c r="D221" i="7"/>
  <c r="E221" i="7"/>
  <c r="C222" i="7"/>
  <c r="D222" i="7"/>
  <c r="E222" i="7"/>
  <c r="B219" i="7"/>
  <c r="B220" i="7"/>
  <c r="B221" i="7"/>
  <c r="B222" i="7"/>
  <c r="C190" i="7"/>
  <c r="D190" i="7"/>
  <c r="E190" i="7"/>
  <c r="C191" i="7"/>
  <c r="D191" i="7"/>
  <c r="E191" i="7"/>
  <c r="C192" i="7"/>
  <c r="D192" i="7"/>
  <c r="E192" i="7"/>
  <c r="C193" i="7"/>
  <c r="D193" i="7"/>
  <c r="E193" i="7"/>
  <c r="C194" i="7"/>
  <c r="D194" i="7"/>
  <c r="E194" i="7"/>
  <c r="C195" i="7"/>
  <c r="D195" i="7"/>
  <c r="E195" i="7"/>
  <c r="C196" i="7"/>
  <c r="D196" i="7"/>
  <c r="E196" i="7"/>
  <c r="B191" i="7"/>
  <c r="B192" i="7"/>
  <c r="B193" i="7"/>
  <c r="B194" i="7"/>
  <c r="B195" i="7"/>
  <c r="B196" i="7"/>
  <c r="C179" i="7"/>
  <c r="D179" i="7"/>
  <c r="E179" i="7"/>
  <c r="C180" i="7"/>
  <c r="D180" i="7"/>
  <c r="E180" i="7"/>
  <c r="C181" i="7"/>
  <c r="D181" i="7"/>
  <c r="E181" i="7"/>
  <c r="C182" i="7"/>
  <c r="D182" i="7"/>
  <c r="C183" i="7"/>
  <c r="D183" i="7"/>
  <c r="E183" i="7"/>
  <c r="B180" i="7"/>
  <c r="B181" i="7"/>
  <c r="B182" i="7"/>
  <c r="B183" i="7"/>
  <c r="C129" i="7"/>
  <c r="D129" i="7"/>
  <c r="E129" i="7"/>
  <c r="C130" i="7"/>
  <c r="D130" i="7"/>
  <c r="E130" i="7"/>
  <c r="C131" i="7"/>
  <c r="D131" i="7"/>
  <c r="E131" i="7"/>
  <c r="B130" i="7"/>
  <c r="B131" i="7"/>
  <c r="C121" i="7"/>
  <c r="D121" i="7"/>
  <c r="E121" i="7"/>
  <c r="C122" i="7"/>
  <c r="D122" i="7"/>
  <c r="E122" i="7"/>
  <c r="C123" i="7"/>
  <c r="D123" i="7"/>
  <c r="E123" i="7"/>
  <c r="B122" i="7"/>
  <c r="B123" i="7"/>
  <c r="B113" i="7"/>
  <c r="E4532" i="1"/>
  <c r="M4598" i="1"/>
  <c r="N4598" i="1" s="1"/>
  <c r="K4598" i="1"/>
  <c r="J4597" i="1"/>
  <c r="K4597" i="1" s="1"/>
  <c r="M4595" i="1"/>
  <c r="N4595" i="1" s="1"/>
  <c r="K4595" i="1"/>
  <c r="M4654" i="1"/>
  <c r="N4654" i="1" s="1"/>
  <c r="O4654" i="1" s="1"/>
  <c r="M4650" i="1"/>
  <c r="N4650" i="1" s="1"/>
  <c r="O4650" i="1" s="1"/>
  <c r="M4649" i="1"/>
  <c r="N4649" i="1" s="1"/>
  <c r="O4649" i="1" s="1"/>
  <c r="M4645" i="1"/>
  <c r="N4645" i="1" s="1"/>
  <c r="O4645" i="1" s="1"/>
  <c r="M4675" i="1"/>
  <c r="N4675" i="1" s="1"/>
  <c r="O4675" i="1" s="1"/>
  <c r="M4658" i="1"/>
  <c r="N4658" i="1" s="1"/>
  <c r="O4658" i="1" s="1"/>
  <c r="M4657" i="1"/>
  <c r="N4657" i="1" s="1"/>
  <c r="O4657" i="1" s="1"/>
  <c r="M4656" i="1"/>
  <c r="N4656" i="1" s="1"/>
  <c r="O4656" i="1" s="1"/>
  <c r="M4655" i="1"/>
  <c r="N4655" i="1" s="1"/>
  <c r="O4655" i="1" s="1"/>
  <c r="M4639" i="1"/>
  <c r="N4639" i="1" s="1"/>
  <c r="O4639" i="1" s="1"/>
  <c r="M4638" i="1"/>
  <c r="N4638" i="1" s="1"/>
  <c r="O4638" i="1" s="1"/>
  <c r="M4637" i="1"/>
  <c r="N4637" i="1" s="1"/>
  <c r="O4637" i="1" s="1"/>
  <c r="M4636" i="1"/>
  <c r="N4636" i="1" s="1"/>
  <c r="O4636" i="1" s="1"/>
  <c r="M4635" i="1"/>
  <c r="N4635" i="1" s="1"/>
  <c r="O4635" i="1" s="1"/>
  <c r="M4634" i="1"/>
  <c r="N4634" i="1" s="1"/>
  <c r="O4634" i="1" s="1"/>
  <c r="E3006" i="1"/>
  <c r="E2990" i="1"/>
  <c r="J3240" i="1"/>
  <c r="K3240" i="1" s="1"/>
  <c r="O3240" i="1" s="1"/>
  <c r="E3279" i="1"/>
  <c r="J3279" i="1"/>
  <c r="E3245" i="1"/>
  <c r="H3400" i="1"/>
  <c r="J3400" i="1"/>
  <c r="K3400" i="1"/>
  <c r="N3400" i="1"/>
  <c r="H3401" i="1"/>
  <c r="J3401" i="1"/>
  <c r="K3401" i="1"/>
  <c r="N3401" i="1"/>
  <c r="M111" i="1"/>
  <c r="J111" i="1"/>
  <c r="I111" i="1"/>
  <c r="K111" i="1" s="1"/>
  <c r="G111" i="1"/>
  <c r="F111" i="1"/>
  <c r="L183" i="1"/>
  <c r="N183" i="1" s="1"/>
  <c r="O183" i="1" s="1"/>
  <c r="L120" i="1"/>
  <c r="N120" i="1" s="1"/>
  <c r="O120" i="1" s="1"/>
  <c r="E46" i="5"/>
  <c r="L180" i="1"/>
  <c r="N180" i="1" s="1"/>
  <c r="E3261" i="1"/>
  <c r="L3203" i="1"/>
  <c r="N3203" i="1" s="1"/>
  <c r="O3203" i="1" s="1"/>
  <c r="L3202" i="1"/>
  <c r="N3202" i="1" s="1"/>
  <c r="O3202" i="1" s="1"/>
  <c r="C38" i="5"/>
  <c r="D38" i="5"/>
  <c r="E38" i="5"/>
  <c r="C39" i="5"/>
  <c r="D39" i="5"/>
  <c r="E39" i="5"/>
  <c r="C40" i="5"/>
  <c r="D40" i="5"/>
  <c r="E40" i="5"/>
  <c r="C41" i="5"/>
  <c r="D41" i="5"/>
  <c r="E41" i="5"/>
  <c r="C42" i="5"/>
  <c r="D42" i="5"/>
  <c r="E42" i="5"/>
  <c r="C43" i="5"/>
  <c r="D43" i="5"/>
  <c r="E43" i="5"/>
  <c r="C44" i="5"/>
  <c r="D44" i="5"/>
  <c r="C45" i="5"/>
  <c r="D45" i="5"/>
  <c r="C46" i="5"/>
  <c r="D46" i="5"/>
  <c r="C47" i="5"/>
  <c r="D47" i="5"/>
  <c r="B39" i="5"/>
  <c r="B40" i="5"/>
  <c r="B41" i="5"/>
  <c r="B42" i="5"/>
  <c r="B43" i="5"/>
  <c r="B44" i="5"/>
  <c r="B45" i="5"/>
  <c r="B46" i="5"/>
  <c r="B47" i="5"/>
  <c r="P173" i="1"/>
  <c r="P174" i="1" s="1"/>
  <c r="L178" i="1"/>
  <c r="N178" i="1" s="1"/>
  <c r="L181" i="1"/>
  <c r="N181" i="1" s="1"/>
  <c r="L179" i="1"/>
  <c r="M1388" i="1"/>
  <c r="I1388" i="1"/>
  <c r="G1388" i="1"/>
  <c r="F1388" i="1"/>
  <c r="J1390" i="1"/>
  <c r="K1390" i="1" s="1"/>
  <c r="O1390" i="1" s="1"/>
  <c r="F1385" i="1"/>
  <c r="G1385" i="1"/>
  <c r="I1385" i="1"/>
  <c r="C1386" i="1"/>
  <c r="E1386" i="1"/>
  <c r="O1387" i="1"/>
  <c r="F1394" i="1"/>
  <c r="G1394" i="1"/>
  <c r="I1394" i="1"/>
  <c r="L1394" i="1"/>
  <c r="M1394" i="1"/>
  <c r="J1395" i="1"/>
  <c r="K1395" i="1" s="1"/>
  <c r="O1395" i="1" s="1"/>
  <c r="O1264" i="1"/>
  <c r="L1265" i="1"/>
  <c r="N1265" i="1"/>
  <c r="O1265" i="1" s="1"/>
  <c r="L1266" i="1"/>
  <c r="N1266" i="1" s="1"/>
  <c r="O1266" i="1" s="1"/>
  <c r="G3282" i="1"/>
  <c r="N4397" i="1"/>
  <c r="J4397" i="1"/>
  <c r="K4397" i="1" s="1"/>
  <c r="H4397" i="1"/>
  <c r="N4396" i="1"/>
  <c r="J4396" i="1"/>
  <c r="K4396" i="1"/>
  <c r="H4396" i="1"/>
  <c r="N4395" i="1"/>
  <c r="J4395" i="1"/>
  <c r="K4395" i="1" s="1"/>
  <c r="H4395" i="1"/>
  <c r="N4394" i="1"/>
  <c r="J4394" i="1"/>
  <c r="K4394" i="1" s="1"/>
  <c r="H4394" i="1"/>
  <c r="N4393" i="1"/>
  <c r="J4393" i="1"/>
  <c r="K4393" i="1" s="1"/>
  <c r="H4393" i="1"/>
  <c r="N4392" i="1"/>
  <c r="J4392" i="1"/>
  <c r="K4392" i="1" s="1"/>
  <c r="H4392" i="1"/>
  <c r="N4391" i="1"/>
  <c r="J4391" i="1"/>
  <c r="K4391" i="1" s="1"/>
  <c r="H4391" i="1"/>
  <c r="N4390" i="1"/>
  <c r="J4390" i="1"/>
  <c r="K4390" i="1" s="1"/>
  <c r="H4390" i="1"/>
  <c r="N4389" i="1"/>
  <c r="J4389" i="1"/>
  <c r="K4389" i="1" s="1"/>
  <c r="H4389" i="1"/>
  <c r="N4388" i="1"/>
  <c r="J4388" i="1"/>
  <c r="K4388" i="1" s="1"/>
  <c r="H4388" i="1"/>
  <c r="N4387" i="1"/>
  <c r="J4387" i="1"/>
  <c r="K4387" i="1" s="1"/>
  <c r="H4387" i="1"/>
  <c r="N4386" i="1"/>
  <c r="J4386" i="1"/>
  <c r="K4386" i="1" s="1"/>
  <c r="H4386" i="1"/>
  <c r="N4385" i="1"/>
  <c r="J4385" i="1"/>
  <c r="K4385" i="1" s="1"/>
  <c r="H4385" i="1"/>
  <c r="N4384" i="1"/>
  <c r="H4384" i="1"/>
  <c r="N4383" i="1"/>
  <c r="J4383" i="1"/>
  <c r="K4383" i="1" s="1"/>
  <c r="H4383" i="1"/>
  <c r="N4382" i="1"/>
  <c r="K4382" i="1"/>
  <c r="H4382" i="1"/>
  <c r="N4381" i="1"/>
  <c r="J4381" i="1"/>
  <c r="K4381" i="1" s="1"/>
  <c r="H4381" i="1"/>
  <c r="N4380" i="1"/>
  <c r="K4380" i="1"/>
  <c r="H4380" i="1"/>
  <c r="N4378" i="1"/>
  <c r="J4378" i="1"/>
  <c r="K4378" i="1" s="1"/>
  <c r="H4378" i="1"/>
  <c r="N4377" i="1"/>
  <c r="J4377" i="1"/>
  <c r="K4377" i="1" s="1"/>
  <c r="H4377" i="1"/>
  <c r="N4376" i="1"/>
  <c r="K4376" i="1"/>
  <c r="H4376" i="1"/>
  <c r="N4375" i="1"/>
  <c r="K4375" i="1"/>
  <c r="H4375" i="1"/>
  <c r="N4374" i="1"/>
  <c r="K4374" i="1"/>
  <c r="H4374" i="1"/>
  <c r="M4372" i="1"/>
  <c r="K4372" i="1"/>
  <c r="H4372" i="1"/>
  <c r="M4371" i="1"/>
  <c r="N4371" i="1" s="1"/>
  <c r="K4371" i="1"/>
  <c r="H4371" i="1"/>
  <c r="L4370" i="1"/>
  <c r="N4370" i="1" s="1"/>
  <c r="K4370" i="1"/>
  <c r="H4370" i="1"/>
  <c r="L4369" i="1"/>
  <c r="N4369" i="1" s="1"/>
  <c r="K4369" i="1"/>
  <c r="H4369" i="1"/>
  <c r="L4368" i="1"/>
  <c r="N4368" i="1" s="1"/>
  <c r="K4368" i="1"/>
  <c r="H4368" i="1"/>
  <c r="L4367" i="1"/>
  <c r="N4367" i="1" s="1"/>
  <c r="K4367" i="1"/>
  <c r="H4367" i="1"/>
  <c r="L4366" i="1"/>
  <c r="N4366" i="1" s="1"/>
  <c r="K4366" i="1"/>
  <c r="H4366" i="1"/>
  <c r="L4365" i="1"/>
  <c r="N4365" i="1" s="1"/>
  <c r="K4365" i="1"/>
  <c r="H4365" i="1"/>
  <c r="L4364" i="1"/>
  <c r="N4364" i="1" s="1"/>
  <c r="K4364" i="1"/>
  <c r="H4364" i="1"/>
  <c r="L4363" i="1"/>
  <c r="N4363" i="1" s="1"/>
  <c r="K4363" i="1"/>
  <c r="H4363" i="1"/>
  <c r="L4362" i="1"/>
  <c r="N4362" i="1" s="1"/>
  <c r="K4362" i="1"/>
  <c r="H4362" i="1"/>
  <c r="L4361" i="1"/>
  <c r="N4361" i="1" s="1"/>
  <c r="K4361" i="1"/>
  <c r="H4361" i="1"/>
  <c r="L4360" i="1"/>
  <c r="N4360" i="1" s="1"/>
  <c r="K4360" i="1"/>
  <c r="H4360" i="1"/>
  <c r="L4359" i="1"/>
  <c r="N4359" i="1" s="1"/>
  <c r="K4359" i="1"/>
  <c r="H4359" i="1"/>
  <c r="L4358" i="1"/>
  <c r="N4358" i="1"/>
  <c r="K4358" i="1"/>
  <c r="H4358" i="1"/>
  <c r="L4357" i="1"/>
  <c r="N4357" i="1" s="1"/>
  <c r="K4357" i="1"/>
  <c r="H4357" i="1"/>
  <c r="L4356" i="1"/>
  <c r="N4356" i="1" s="1"/>
  <c r="K4356" i="1"/>
  <c r="H4356" i="1"/>
  <c r="L4355" i="1"/>
  <c r="N4355" i="1" s="1"/>
  <c r="K4355" i="1"/>
  <c r="H4355" i="1"/>
  <c r="L4354" i="1"/>
  <c r="N4354" i="1" s="1"/>
  <c r="K4354" i="1"/>
  <c r="H4354" i="1"/>
  <c r="L4353" i="1"/>
  <c r="N4353" i="1" s="1"/>
  <c r="K4353" i="1"/>
  <c r="H4353" i="1"/>
  <c r="L4352" i="1"/>
  <c r="N4352" i="1" s="1"/>
  <c r="K4352" i="1"/>
  <c r="H4352" i="1"/>
  <c r="L4351" i="1"/>
  <c r="N4351" i="1" s="1"/>
  <c r="K4351" i="1"/>
  <c r="H4351" i="1"/>
  <c r="N4350" i="1"/>
  <c r="K4350" i="1"/>
  <c r="H4350" i="1"/>
  <c r="N4349" i="1"/>
  <c r="K4349" i="1"/>
  <c r="H4349" i="1"/>
  <c r="N4348" i="1"/>
  <c r="J4348" i="1"/>
  <c r="K4348" i="1" s="1"/>
  <c r="H4348" i="1"/>
  <c r="N4347" i="1"/>
  <c r="K4347" i="1"/>
  <c r="H4347" i="1"/>
  <c r="N4346" i="1"/>
  <c r="K4346" i="1"/>
  <c r="H4346" i="1"/>
  <c r="N4345" i="1"/>
  <c r="J4345" i="1"/>
  <c r="K4345" i="1" s="1"/>
  <c r="H4345" i="1"/>
  <c r="N4344" i="1"/>
  <c r="K4344" i="1"/>
  <c r="H4344" i="1"/>
  <c r="N4343" i="1"/>
  <c r="O4343" i="1" s="1"/>
  <c r="K4343" i="1"/>
  <c r="H4343" i="1"/>
  <c r="N4342" i="1"/>
  <c r="J4342" i="1"/>
  <c r="K4342" i="1" s="1"/>
  <c r="H4342" i="1"/>
  <c r="N4341" i="1"/>
  <c r="J4341" i="1"/>
  <c r="K4341" i="1" s="1"/>
  <c r="H4341" i="1"/>
  <c r="N4340" i="1"/>
  <c r="J4340" i="1"/>
  <c r="K4340" i="1" s="1"/>
  <c r="H4340" i="1"/>
  <c r="N4339" i="1"/>
  <c r="O4339" i="1" s="1"/>
  <c r="K4339" i="1"/>
  <c r="H4339" i="1"/>
  <c r="N4338" i="1"/>
  <c r="K4338" i="1"/>
  <c r="H4338" i="1"/>
  <c r="N4337" i="1"/>
  <c r="H4337" i="1"/>
  <c r="E4337" i="1"/>
  <c r="J4337" i="1" s="1"/>
  <c r="K4337" i="1" s="1"/>
  <c r="O4337" i="1" s="1"/>
  <c r="N4336" i="1"/>
  <c r="K4336" i="1"/>
  <c r="H4336" i="1"/>
  <c r="N4335" i="1"/>
  <c r="K4335" i="1"/>
  <c r="H4335" i="1"/>
  <c r="N4334" i="1"/>
  <c r="K4334" i="1"/>
  <c r="H4334" i="1"/>
  <c r="N4333" i="1"/>
  <c r="K4333" i="1"/>
  <c r="H4333" i="1"/>
  <c r="N4332" i="1"/>
  <c r="J4332" i="1"/>
  <c r="K4332" i="1" s="1"/>
  <c r="H4332" i="1"/>
  <c r="J4330" i="1"/>
  <c r="K4330" i="1" s="1"/>
  <c r="O4330" i="1" s="1"/>
  <c r="N4329" i="1"/>
  <c r="J4329" i="1"/>
  <c r="K4329" i="1" s="1"/>
  <c r="H4329" i="1"/>
  <c r="N4328" i="1"/>
  <c r="J4328" i="1"/>
  <c r="K4328" i="1" s="1"/>
  <c r="H4328" i="1"/>
  <c r="N4327" i="1"/>
  <c r="J4327" i="1"/>
  <c r="K4327" i="1" s="1"/>
  <c r="H4327" i="1"/>
  <c r="J4326" i="1"/>
  <c r="J4325" i="1"/>
  <c r="K4325" i="1" s="1"/>
  <c r="O4325" i="1" s="1"/>
  <c r="N4324" i="1"/>
  <c r="J4324" i="1"/>
  <c r="K4324" i="1" s="1"/>
  <c r="H4324" i="1"/>
  <c r="J4323" i="1"/>
  <c r="J4321" i="1"/>
  <c r="J4320" i="1"/>
  <c r="K4320" i="1" s="1"/>
  <c r="O4320" i="1" s="1"/>
  <c r="N4319" i="1"/>
  <c r="J4319" i="1"/>
  <c r="K4319" i="1" s="1"/>
  <c r="H4319" i="1"/>
  <c r="N4318" i="1"/>
  <c r="J4318" i="1"/>
  <c r="K4318" i="1" s="1"/>
  <c r="H4318" i="1"/>
  <c r="N4317" i="1"/>
  <c r="J4317" i="1"/>
  <c r="K4317" i="1" s="1"/>
  <c r="H4317" i="1"/>
  <c r="J4316" i="1"/>
  <c r="J4315" i="1"/>
  <c r="K4315" i="1" s="1"/>
  <c r="O4315" i="1" s="1"/>
  <c r="N4314" i="1"/>
  <c r="J4314" i="1"/>
  <c r="K4314" i="1" s="1"/>
  <c r="H4314" i="1"/>
  <c r="J4313" i="1"/>
  <c r="J4311" i="1"/>
  <c r="J4310" i="1"/>
  <c r="K4310" i="1" s="1"/>
  <c r="O4310" i="1" s="1"/>
  <c r="J4309" i="1"/>
  <c r="K4309" i="1" s="1"/>
  <c r="O4309" i="1" s="1"/>
  <c r="J4308" i="1"/>
  <c r="K4308" i="1" s="1"/>
  <c r="O4308" i="1" s="1"/>
  <c r="J4307" i="1"/>
  <c r="K4307" i="1" s="1"/>
  <c r="O4307" i="1" s="1"/>
  <c r="J4306" i="1"/>
  <c r="J4305" i="1"/>
  <c r="K4305" i="1" s="1"/>
  <c r="O4305" i="1" s="1"/>
  <c r="J4304" i="1"/>
  <c r="K4304" i="1" s="1"/>
  <c r="O4304" i="1" s="1"/>
  <c r="J4303" i="1"/>
  <c r="K4303" i="1" s="1"/>
  <c r="O4303" i="1" s="1"/>
  <c r="J4302" i="1"/>
  <c r="K4302" i="1" s="1"/>
  <c r="O4302" i="1" s="1"/>
  <c r="J4301" i="1"/>
  <c r="K4301" i="1" s="1"/>
  <c r="O4301" i="1" s="1"/>
  <c r="J4300" i="1"/>
  <c r="J4299" i="1"/>
  <c r="K4299" i="1" s="1"/>
  <c r="O4299" i="1" s="1"/>
  <c r="J4298" i="1"/>
  <c r="K4298" i="1" s="1"/>
  <c r="O4298" i="1" s="1"/>
  <c r="J4297" i="1"/>
  <c r="K4297" i="1" s="1"/>
  <c r="O4297" i="1" s="1"/>
  <c r="J4296" i="1"/>
  <c r="K4296" i="1" s="1"/>
  <c r="O4296" i="1" s="1"/>
  <c r="J4295" i="1"/>
  <c r="J4294" i="1"/>
  <c r="K4294" i="1" s="1"/>
  <c r="O4294" i="1" s="1"/>
  <c r="J4293" i="1"/>
  <c r="J4291" i="1"/>
  <c r="J4290" i="1"/>
  <c r="K4290" i="1" s="1"/>
  <c r="O4290" i="1" s="1"/>
  <c r="N4289" i="1"/>
  <c r="J4289" i="1"/>
  <c r="K4289" i="1" s="1"/>
  <c r="H4289" i="1"/>
  <c r="N4288" i="1"/>
  <c r="J4288" i="1"/>
  <c r="K4288" i="1" s="1"/>
  <c r="H4288" i="1"/>
  <c r="N4287" i="1"/>
  <c r="J4287" i="1"/>
  <c r="K4287" i="1" s="1"/>
  <c r="H4287" i="1"/>
  <c r="J4286" i="1"/>
  <c r="N4285" i="1"/>
  <c r="J4285" i="1"/>
  <c r="K4285" i="1" s="1"/>
  <c r="H4285" i="1"/>
  <c r="J4283" i="1"/>
  <c r="J4282" i="1"/>
  <c r="J4281" i="1"/>
  <c r="K4281" i="1" s="1"/>
  <c r="O4281" i="1" s="1"/>
  <c r="N4280" i="1"/>
  <c r="J4280" i="1"/>
  <c r="K4280" i="1" s="1"/>
  <c r="H4280" i="1"/>
  <c r="N4279" i="1"/>
  <c r="J4279" i="1"/>
  <c r="K4279" i="1" s="1"/>
  <c r="H4279" i="1"/>
  <c r="N4278" i="1"/>
  <c r="J4278" i="1"/>
  <c r="K4278" i="1" s="1"/>
  <c r="H4278" i="1"/>
  <c r="J4277" i="1"/>
  <c r="J4276" i="1"/>
  <c r="K4276" i="1" s="1"/>
  <c r="O4276" i="1" s="1"/>
  <c r="J4275" i="1"/>
  <c r="K4275" i="1" s="1"/>
  <c r="O4275" i="1" s="1"/>
  <c r="J4274" i="1"/>
  <c r="K4274" i="1" s="1"/>
  <c r="O4274" i="1" s="1"/>
  <c r="J4273" i="1"/>
  <c r="J4272" i="1"/>
  <c r="K4272" i="1" s="1"/>
  <c r="O4272" i="1" s="1"/>
  <c r="J4271" i="1"/>
  <c r="J4270" i="1"/>
  <c r="J4269" i="1"/>
  <c r="J4268" i="1"/>
  <c r="K4268" i="1" s="1"/>
  <c r="O4268" i="1" s="1"/>
  <c r="N4267" i="1"/>
  <c r="J4267" i="1"/>
  <c r="K4267" i="1" s="1"/>
  <c r="H4267" i="1"/>
  <c r="N4266" i="1"/>
  <c r="J4266" i="1"/>
  <c r="K4266" i="1" s="1"/>
  <c r="H4266" i="1"/>
  <c r="N4265" i="1"/>
  <c r="J4265" i="1"/>
  <c r="K4265" i="1" s="1"/>
  <c r="H4265" i="1"/>
  <c r="J4264" i="1"/>
  <c r="N4263" i="1"/>
  <c r="J4263" i="1"/>
  <c r="K4263" i="1" s="1"/>
  <c r="H4263" i="1"/>
  <c r="J4262" i="1"/>
  <c r="J4261" i="1"/>
  <c r="J4260" i="1"/>
  <c r="J4259" i="1"/>
  <c r="K4259" i="1" s="1"/>
  <c r="O4259" i="1" s="1"/>
  <c r="N4258" i="1"/>
  <c r="J4258" i="1"/>
  <c r="K4258" i="1" s="1"/>
  <c r="H4258" i="1"/>
  <c r="N4257" i="1"/>
  <c r="J4257" i="1"/>
  <c r="K4257" i="1" s="1"/>
  <c r="H4257" i="1"/>
  <c r="N4256" i="1"/>
  <c r="J4256" i="1"/>
  <c r="K4256" i="1" s="1"/>
  <c r="H4256" i="1"/>
  <c r="J4255" i="1"/>
  <c r="N4254" i="1"/>
  <c r="J4254" i="1"/>
  <c r="K4254" i="1" s="1"/>
  <c r="H4254" i="1"/>
  <c r="J4253" i="1"/>
  <c r="J4252" i="1"/>
  <c r="J4251" i="1"/>
  <c r="N4250" i="1"/>
  <c r="J4250" i="1"/>
  <c r="K4250" i="1" s="1"/>
  <c r="H4250" i="1"/>
  <c r="N4249" i="1"/>
  <c r="J4249" i="1"/>
  <c r="K4249" i="1" s="1"/>
  <c r="H4249" i="1"/>
  <c r="N4248" i="1"/>
  <c r="J4248" i="1"/>
  <c r="K4248" i="1" s="1"/>
  <c r="H4248" i="1"/>
  <c r="N4247" i="1"/>
  <c r="J4247" i="1"/>
  <c r="K4247" i="1" s="1"/>
  <c r="H4247" i="1"/>
  <c r="J4246" i="1"/>
  <c r="N4245" i="1"/>
  <c r="J4245" i="1"/>
  <c r="K4245" i="1" s="1"/>
  <c r="H4245" i="1"/>
  <c r="J4243" i="1"/>
  <c r="J4242" i="1"/>
  <c r="N4241" i="1"/>
  <c r="J4241" i="1"/>
  <c r="K4241" i="1" s="1"/>
  <c r="H4241" i="1"/>
  <c r="N4240" i="1"/>
  <c r="J4240" i="1"/>
  <c r="K4240" i="1" s="1"/>
  <c r="H4240" i="1"/>
  <c r="N4239" i="1"/>
  <c r="J4239" i="1"/>
  <c r="K4239" i="1" s="1"/>
  <c r="H4239" i="1"/>
  <c r="J4238" i="1"/>
  <c r="J4237" i="1"/>
  <c r="K4237" i="1" s="1"/>
  <c r="O4237" i="1" s="1"/>
  <c r="J4235" i="1"/>
  <c r="J4234" i="1"/>
  <c r="J4233" i="1"/>
  <c r="K4233" i="1" s="1"/>
  <c r="O4233" i="1" s="1"/>
  <c r="J4232" i="1"/>
  <c r="K4232" i="1" s="1"/>
  <c r="O4232" i="1" s="1"/>
  <c r="J4231" i="1"/>
  <c r="K4231" i="1" s="1"/>
  <c r="O4231" i="1" s="1"/>
  <c r="J4230" i="1"/>
  <c r="J4229" i="1"/>
  <c r="K4229" i="1" s="1"/>
  <c r="O4229" i="1" s="1"/>
  <c r="N4228" i="1"/>
  <c r="J4228" i="1"/>
  <c r="K4228" i="1" s="1"/>
  <c r="H4228" i="1"/>
  <c r="N4227" i="1"/>
  <c r="J4227" i="1"/>
  <c r="K4227" i="1" s="1"/>
  <c r="H4227" i="1"/>
  <c r="N4226" i="1"/>
  <c r="J4226" i="1"/>
  <c r="K4226" i="1" s="1"/>
  <c r="H4226" i="1"/>
  <c r="J4225" i="1"/>
  <c r="J4224" i="1"/>
  <c r="K4224" i="1" s="1"/>
  <c r="O4224" i="1" s="1"/>
  <c r="J4223" i="1"/>
  <c r="K4223" i="1" s="1"/>
  <c r="O4223" i="1" s="1"/>
  <c r="J4222" i="1"/>
  <c r="N4221" i="1"/>
  <c r="J4221" i="1"/>
  <c r="K4221" i="1" s="1"/>
  <c r="H4221" i="1"/>
  <c r="N4220" i="1"/>
  <c r="J4220" i="1"/>
  <c r="K4220" i="1" s="1"/>
  <c r="H4220" i="1"/>
  <c r="N4219" i="1"/>
  <c r="J4219" i="1"/>
  <c r="K4219" i="1" s="1"/>
  <c r="H4219" i="1"/>
  <c r="N4218" i="1"/>
  <c r="J4218" i="1"/>
  <c r="K4218" i="1" s="1"/>
  <c r="H4218" i="1"/>
  <c r="N4217" i="1"/>
  <c r="J4217" i="1"/>
  <c r="K4217" i="1" s="1"/>
  <c r="H4217" i="1"/>
  <c r="J4216" i="1"/>
  <c r="N4215" i="1"/>
  <c r="J4215" i="1"/>
  <c r="K4215" i="1" s="1"/>
  <c r="H4215" i="1"/>
  <c r="J4213" i="1"/>
  <c r="J4212" i="1"/>
  <c r="J4211" i="1"/>
  <c r="K4211" i="1" s="1"/>
  <c r="O4211" i="1" s="1"/>
  <c r="N4210" i="1"/>
  <c r="J4210" i="1"/>
  <c r="K4210" i="1" s="1"/>
  <c r="H4210" i="1"/>
  <c r="N4209" i="1"/>
  <c r="J4209" i="1"/>
  <c r="K4209" i="1" s="1"/>
  <c r="H4209" i="1"/>
  <c r="N4208" i="1"/>
  <c r="J4208" i="1"/>
  <c r="K4208" i="1" s="1"/>
  <c r="H4208" i="1"/>
  <c r="H4207" i="1"/>
  <c r="N4206" i="1"/>
  <c r="J4206" i="1"/>
  <c r="K4206" i="1" s="1"/>
  <c r="H4206" i="1"/>
  <c r="N4205" i="1"/>
  <c r="J4205" i="1"/>
  <c r="K4205" i="1" s="1"/>
  <c r="H4205" i="1"/>
  <c r="N4204" i="1"/>
  <c r="J4204" i="1"/>
  <c r="K4204" i="1" s="1"/>
  <c r="H4204" i="1"/>
  <c r="N4203" i="1"/>
  <c r="J4203" i="1"/>
  <c r="K4203" i="1" s="1"/>
  <c r="H4203" i="1"/>
  <c r="N4201" i="1"/>
  <c r="J4201" i="1"/>
  <c r="K4201" i="1" s="1"/>
  <c r="H4201" i="1"/>
  <c r="L4197" i="1"/>
  <c r="N4197" i="1" s="1"/>
  <c r="O4197" i="1" s="1"/>
  <c r="J4195" i="1"/>
  <c r="K4195" i="1" s="1"/>
  <c r="O4195" i="1" s="1"/>
  <c r="J4194" i="1"/>
  <c r="K4194" i="1" s="1"/>
  <c r="O4194" i="1" s="1"/>
  <c r="J4193" i="1"/>
  <c r="K4193" i="1" s="1"/>
  <c r="O4193" i="1" s="1"/>
  <c r="J4192" i="1"/>
  <c r="J4191" i="1"/>
  <c r="K4191" i="1" s="1"/>
  <c r="O4191" i="1" s="1"/>
  <c r="N4190" i="1"/>
  <c r="J4190" i="1"/>
  <c r="K4190" i="1" s="1"/>
  <c r="H4190" i="1"/>
  <c r="N4189" i="1"/>
  <c r="J4189" i="1"/>
  <c r="K4189" i="1" s="1"/>
  <c r="H4189" i="1"/>
  <c r="N4188" i="1"/>
  <c r="J4188" i="1"/>
  <c r="K4188" i="1" s="1"/>
  <c r="H4188" i="1"/>
  <c r="J4187" i="1"/>
  <c r="J4186" i="1"/>
  <c r="K4186" i="1" s="1"/>
  <c r="O4186" i="1" s="1"/>
  <c r="J4185" i="1"/>
  <c r="K4185" i="1" s="1"/>
  <c r="O4185" i="1" s="1"/>
  <c r="J4184" i="1"/>
  <c r="N4183" i="1"/>
  <c r="J4183" i="1"/>
  <c r="K4183" i="1" s="1"/>
  <c r="H4183" i="1"/>
  <c r="N4174" i="1"/>
  <c r="J4174" i="1"/>
  <c r="K4174" i="1"/>
  <c r="H4174" i="1"/>
  <c r="N4173" i="1"/>
  <c r="J4173" i="1"/>
  <c r="K4173" i="1" s="1"/>
  <c r="H4173" i="1"/>
  <c r="N4172" i="1"/>
  <c r="J4172" i="1"/>
  <c r="K4172" i="1" s="1"/>
  <c r="H4172" i="1"/>
  <c r="N4171" i="1"/>
  <c r="J4171" i="1"/>
  <c r="K4171" i="1"/>
  <c r="H4171" i="1"/>
  <c r="N4170" i="1"/>
  <c r="J4170" i="1"/>
  <c r="K4170" i="1" s="1"/>
  <c r="H4170" i="1"/>
  <c r="N4169" i="1"/>
  <c r="J4169" i="1"/>
  <c r="K4169" i="1" s="1"/>
  <c r="H4169" i="1"/>
  <c r="N4167" i="1"/>
  <c r="J4167" i="1"/>
  <c r="K4167" i="1" s="1"/>
  <c r="H4167" i="1"/>
  <c r="N4166" i="1"/>
  <c r="H4166" i="1"/>
  <c r="N4163" i="1"/>
  <c r="J4163" i="1"/>
  <c r="K4163" i="1" s="1"/>
  <c r="H4163" i="1"/>
  <c r="N4162" i="1"/>
  <c r="J4162" i="1"/>
  <c r="K4162" i="1" s="1"/>
  <c r="H4162" i="1"/>
  <c r="N4161" i="1"/>
  <c r="J4161" i="1"/>
  <c r="K4161" i="1" s="1"/>
  <c r="H4161" i="1"/>
  <c r="N4160" i="1"/>
  <c r="J4160" i="1"/>
  <c r="K4160" i="1" s="1"/>
  <c r="H4160" i="1"/>
  <c r="N4158" i="1"/>
  <c r="J4158" i="1"/>
  <c r="K4158" i="1" s="1"/>
  <c r="H4158" i="1"/>
  <c r="N4157" i="1"/>
  <c r="H4157" i="1"/>
  <c r="N4156" i="1"/>
  <c r="K4156" i="1"/>
  <c r="H4156" i="1"/>
  <c r="N4155" i="1"/>
  <c r="K4155" i="1"/>
  <c r="H4155" i="1"/>
  <c r="N4154" i="1"/>
  <c r="J4154" i="1"/>
  <c r="K4154" i="1" s="1"/>
  <c r="H4154" i="1"/>
  <c r="L4153" i="1"/>
  <c r="N4153" i="1" s="1"/>
  <c r="K4153" i="1"/>
  <c r="H4153" i="1"/>
  <c r="N4152" i="1"/>
  <c r="J4152" i="1"/>
  <c r="K4152" i="1" s="1"/>
  <c r="H4152" i="1"/>
  <c r="N4151" i="1"/>
  <c r="J4151" i="1"/>
  <c r="K4151" i="1" s="1"/>
  <c r="H4151" i="1"/>
  <c r="N4150" i="1"/>
  <c r="J4150" i="1"/>
  <c r="K4150" i="1" s="1"/>
  <c r="H4150" i="1"/>
  <c r="L4149" i="1"/>
  <c r="N4149" i="1" s="1"/>
  <c r="K4149" i="1"/>
  <c r="H4149" i="1"/>
  <c r="N4148" i="1"/>
  <c r="J4148" i="1"/>
  <c r="K4148" i="1" s="1"/>
  <c r="H4148" i="1"/>
  <c r="N4147" i="1"/>
  <c r="J4147" i="1"/>
  <c r="K4147" i="1" s="1"/>
  <c r="H4147" i="1"/>
  <c r="N4146" i="1"/>
  <c r="J4146" i="1"/>
  <c r="K4146" i="1" s="1"/>
  <c r="H4146" i="1"/>
  <c r="L4145" i="1"/>
  <c r="N4145" i="1" s="1"/>
  <c r="K4145" i="1"/>
  <c r="H4145" i="1"/>
  <c r="N4144" i="1"/>
  <c r="J4144" i="1"/>
  <c r="K4144" i="1" s="1"/>
  <c r="H4144" i="1"/>
  <c r="N4143" i="1"/>
  <c r="J4143" i="1"/>
  <c r="K4143" i="1" s="1"/>
  <c r="H4143" i="1"/>
  <c r="N4142" i="1"/>
  <c r="J4142" i="1"/>
  <c r="K4142" i="1" s="1"/>
  <c r="H4142" i="1"/>
  <c r="N4141" i="1"/>
  <c r="J4141" i="1"/>
  <c r="K4141" i="1" s="1"/>
  <c r="H4141" i="1"/>
  <c r="N4140" i="1"/>
  <c r="J4140" i="1"/>
  <c r="K4140" i="1" s="1"/>
  <c r="H4140" i="1"/>
  <c r="N4139" i="1"/>
  <c r="J4139" i="1"/>
  <c r="K4139" i="1" s="1"/>
  <c r="H4139" i="1"/>
  <c r="N4137" i="1"/>
  <c r="J4137" i="1"/>
  <c r="K4137" i="1" s="1"/>
  <c r="H4137" i="1"/>
  <c r="N4136" i="1"/>
  <c r="J4136" i="1"/>
  <c r="K4136" i="1" s="1"/>
  <c r="H4136" i="1"/>
  <c r="N4135" i="1"/>
  <c r="J4135" i="1"/>
  <c r="K4135" i="1" s="1"/>
  <c r="H4135" i="1"/>
  <c r="N4134" i="1"/>
  <c r="J4134" i="1"/>
  <c r="K4134" i="1" s="1"/>
  <c r="H4134" i="1"/>
  <c r="N4133" i="1"/>
  <c r="J4133" i="1"/>
  <c r="K4133" i="1" s="1"/>
  <c r="H4133" i="1"/>
  <c r="N4132" i="1"/>
  <c r="J4132" i="1"/>
  <c r="K4132" i="1" s="1"/>
  <c r="H4132" i="1"/>
  <c r="N4131" i="1"/>
  <c r="H4131" i="1"/>
  <c r="N4128" i="1"/>
  <c r="J4128" i="1"/>
  <c r="K4128" i="1" s="1"/>
  <c r="H4128" i="1"/>
  <c r="N4127" i="1"/>
  <c r="J4127" i="1"/>
  <c r="K4127" i="1" s="1"/>
  <c r="H4127" i="1"/>
  <c r="N4126" i="1"/>
  <c r="J4126" i="1"/>
  <c r="K4126" i="1" s="1"/>
  <c r="H4126" i="1"/>
  <c r="N4125" i="1"/>
  <c r="J4125" i="1"/>
  <c r="K4125" i="1" s="1"/>
  <c r="H4125" i="1"/>
  <c r="N4124" i="1"/>
  <c r="J4124" i="1"/>
  <c r="K4124" i="1" s="1"/>
  <c r="H4124" i="1"/>
  <c r="N4123" i="1"/>
  <c r="J4123" i="1"/>
  <c r="K4123" i="1" s="1"/>
  <c r="H4123" i="1"/>
  <c r="N4122" i="1"/>
  <c r="J4122" i="1"/>
  <c r="K4122" i="1" s="1"/>
  <c r="H4122" i="1"/>
  <c r="N4120" i="1"/>
  <c r="J4120" i="1"/>
  <c r="K4120" i="1" s="1"/>
  <c r="H4120" i="1"/>
  <c r="N4119" i="1"/>
  <c r="J4119" i="1"/>
  <c r="K4119" i="1" s="1"/>
  <c r="H4119" i="1"/>
  <c r="N4118" i="1"/>
  <c r="J4118" i="1"/>
  <c r="K4118" i="1" s="1"/>
  <c r="H4118" i="1"/>
  <c r="N4117" i="1"/>
  <c r="J4117" i="1"/>
  <c r="K4117" i="1" s="1"/>
  <c r="H4117" i="1"/>
  <c r="N4116" i="1"/>
  <c r="H4116" i="1"/>
  <c r="N4115" i="1"/>
  <c r="J4115" i="1"/>
  <c r="K4115" i="1" s="1"/>
  <c r="H4115" i="1"/>
  <c r="N4114" i="1"/>
  <c r="J4114" i="1"/>
  <c r="K4114" i="1" s="1"/>
  <c r="H4114" i="1"/>
  <c r="N4113" i="1"/>
  <c r="J4113" i="1"/>
  <c r="K4113" i="1" s="1"/>
  <c r="H4113" i="1"/>
  <c r="N4112" i="1"/>
  <c r="J4112" i="1"/>
  <c r="K4112" i="1" s="1"/>
  <c r="H4112" i="1"/>
  <c r="N4111" i="1"/>
  <c r="J4111" i="1"/>
  <c r="K4111" i="1" s="1"/>
  <c r="H4111" i="1"/>
  <c r="N4110" i="1"/>
  <c r="J4110" i="1"/>
  <c r="K4110" i="1" s="1"/>
  <c r="H4110" i="1"/>
  <c r="N4109" i="1"/>
  <c r="J4109" i="1"/>
  <c r="K4109" i="1" s="1"/>
  <c r="H4109" i="1"/>
  <c r="N4108" i="1"/>
  <c r="J4108" i="1"/>
  <c r="K4108" i="1"/>
  <c r="H4108" i="1"/>
  <c r="N4107" i="1"/>
  <c r="J4107" i="1"/>
  <c r="K4107" i="1" s="1"/>
  <c r="H4107" i="1"/>
  <c r="N4106" i="1"/>
  <c r="J4106" i="1"/>
  <c r="K4106" i="1" s="1"/>
  <c r="H4106" i="1"/>
  <c r="N4105" i="1"/>
  <c r="J4105" i="1"/>
  <c r="K4105" i="1" s="1"/>
  <c r="H4105" i="1"/>
  <c r="N4104" i="1"/>
  <c r="J4104" i="1"/>
  <c r="K4104" i="1" s="1"/>
  <c r="H4104" i="1"/>
  <c r="N4103" i="1"/>
  <c r="J4103" i="1"/>
  <c r="K4103" i="1" s="1"/>
  <c r="H4103" i="1"/>
  <c r="N4102" i="1"/>
  <c r="J4102" i="1"/>
  <c r="K4102" i="1" s="1"/>
  <c r="H4102" i="1"/>
  <c r="N4101" i="1"/>
  <c r="K4101" i="1"/>
  <c r="H4101" i="1"/>
  <c r="N4100" i="1"/>
  <c r="H4100" i="1"/>
  <c r="N4099" i="1"/>
  <c r="J4099" i="1"/>
  <c r="K4099" i="1" s="1"/>
  <c r="H4099" i="1"/>
  <c r="N4098" i="1"/>
  <c r="J4098" i="1"/>
  <c r="K4098" i="1" s="1"/>
  <c r="H4098" i="1"/>
  <c r="N4097" i="1"/>
  <c r="J4097" i="1"/>
  <c r="K4097" i="1" s="1"/>
  <c r="H4097" i="1"/>
  <c r="N4096" i="1"/>
  <c r="J4096" i="1"/>
  <c r="K4096" i="1" s="1"/>
  <c r="H4096" i="1"/>
  <c r="N4095" i="1"/>
  <c r="J4095" i="1"/>
  <c r="K4095" i="1" s="1"/>
  <c r="H4095" i="1"/>
  <c r="N4094" i="1"/>
  <c r="J4094" i="1"/>
  <c r="K4094" i="1" s="1"/>
  <c r="H4094" i="1"/>
  <c r="N4093" i="1"/>
  <c r="J4093" i="1"/>
  <c r="K4093" i="1" s="1"/>
  <c r="O4093" i="1" s="1"/>
  <c r="H4093" i="1"/>
  <c r="N4092" i="1"/>
  <c r="J4092" i="1"/>
  <c r="K4092" i="1" s="1"/>
  <c r="H4092" i="1"/>
  <c r="N4091" i="1"/>
  <c r="J4091" i="1"/>
  <c r="K4091" i="1" s="1"/>
  <c r="H4091" i="1"/>
  <c r="N4090" i="1"/>
  <c r="O4090" i="1" s="1"/>
  <c r="K4090" i="1"/>
  <c r="H4090" i="1"/>
  <c r="N4089" i="1"/>
  <c r="H4089" i="1"/>
  <c r="N4088" i="1"/>
  <c r="K4088" i="1"/>
  <c r="H4088" i="1"/>
  <c r="N4087" i="1"/>
  <c r="K4087" i="1"/>
  <c r="H4087" i="1"/>
  <c r="N4086" i="1"/>
  <c r="K4086" i="1"/>
  <c r="H4086" i="1"/>
  <c r="N4085" i="1"/>
  <c r="J4085" i="1"/>
  <c r="K4085" i="1" s="1"/>
  <c r="H4085" i="1"/>
  <c r="N4084" i="1"/>
  <c r="J4084" i="1"/>
  <c r="K4084" i="1" s="1"/>
  <c r="H4084" i="1"/>
  <c r="N4083" i="1"/>
  <c r="J4083" i="1"/>
  <c r="K4083" i="1" s="1"/>
  <c r="H4083" i="1"/>
  <c r="N4082" i="1"/>
  <c r="J4082" i="1"/>
  <c r="K4082" i="1" s="1"/>
  <c r="H4082" i="1"/>
  <c r="N4081" i="1"/>
  <c r="J4081" i="1"/>
  <c r="K4081" i="1" s="1"/>
  <c r="H4081" i="1"/>
  <c r="N4080" i="1"/>
  <c r="J4080" i="1"/>
  <c r="K4080" i="1" s="1"/>
  <c r="H4080" i="1"/>
  <c r="N4079" i="1"/>
  <c r="J4079" i="1"/>
  <c r="K4079" i="1" s="1"/>
  <c r="H4079" i="1"/>
  <c r="N4078" i="1"/>
  <c r="K4078" i="1"/>
  <c r="H4078" i="1"/>
  <c r="N4077" i="1"/>
  <c r="J4077" i="1"/>
  <c r="K4077" i="1" s="1"/>
  <c r="H4077" i="1"/>
  <c r="N4076" i="1"/>
  <c r="K4076" i="1"/>
  <c r="H4076" i="1"/>
  <c r="N4075" i="1"/>
  <c r="H4075" i="1"/>
  <c r="N4074" i="1"/>
  <c r="J4074" i="1"/>
  <c r="K4074" i="1" s="1"/>
  <c r="H4074" i="1"/>
  <c r="N4073" i="1"/>
  <c r="J4073" i="1"/>
  <c r="K4073" i="1" s="1"/>
  <c r="H4073" i="1"/>
  <c r="N4072" i="1"/>
  <c r="J4072" i="1"/>
  <c r="K4072" i="1" s="1"/>
  <c r="H4072" i="1"/>
  <c r="N4071" i="1"/>
  <c r="J4071" i="1"/>
  <c r="K4071" i="1" s="1"/>
  <c r="H4071" i="1"/>
  <c r="N4070" i="1"/>
  <c r="J4070" i="1"/>
  <c r="K4070" i="1" s="1"/>
  <c r="H4070" i="1"/>
  <c r="N4069" i="1"/>
  <c r="J4069" i="1"/>
  <c r="K4069" i="1" s="1"/>
  <c r="H4069" i="1"/>
  <c r="N4068" i="1"/>
  <c r="J4068" i="1"/>
  <c r="K4068" i="1" s="1"/>
  <c r="H4068" i="1"/>
  <c r="N4067" i="1"/>
  <c r="H4067" i="1"/>
  <c r="N4066" i="1"/>
  <c r="J4066" i="1"/>
  <c r="K4066" i="1" s="1"/>
  <c r="H4066" i="1"/>
  <c r="N4065" i="1"/>
  <c r="J4065" i="1"/>
  <c r="K4065" i="1" s="1"/>
  <c r="H4065" i="1"/>
  <c r="N4064" i="1"/>
  <c r="J4064" i="1"/>
  <c r="K4064" i="1" s="1"/>
  <c r="H4064" i="1"/>
  <c r="N4063" i="1"/>
  <c r="J4063" i="1"/>
  <c r="K4063" i="1" s="1"/>
  <c r="H4063" i="1"/>
  <c r="N4062" i="1"/>
  <c r="J4062" i="1"/>
  <c r="K4062" i="1" s="1"/>
  <c r="H4062" i="1"/>
  <c r="N4060" i="1"/>
  <c r="J4060" i="1"/>
  <c r="K4060" i="1" s="1"/>
  <c r="H4060" i="1"/>
  <c r="N4059" i="1"/>
  <c r="J4059" i="1"/>
  <c r="K4059" i="1" s="1"/>
  <c r="H4059" i="1"/>
  <c r="N4058" i="1"/>
  <c r="J4058" i="1"/>
  <c r="K4058" i="1" s="1"/>
  <c r="H4058" i="1"/>
  <c r="N4057" i="1"/>
  <c r="K4057" i="1"/>
  <c r="H4057" i="1"/>
  <c r="N4056" i="1"/>
  <c r="J4056" i="1"/>
  <c r="K4056" i="1" s="1"/>
  <c r="H4056" i="1"/>
  <c r="N4055" i="1"/>
  <c r="J4055" i="1"/>
  <c r="K4055" i="1" s="1"/>
  <c r="H4055" i="1"/>
  <c r="N4054" i="1"/>
  <c r="H4054" i="1"/>
  <c r="N4052" i="1"/>
  <c r="K4052" i="1"/>
  <c r="H4052" i="1"/>
  <c r="N4049" i="1"/>
  <c r="J4049" i="1"/>
  <c r="K4049" i="1" s="1"/>
  <c r="H4049" i="1"/>
  <c r="N4048" i="1"/>
  <c r="J4048" i="1"/>
  <c r="K4048" i="1"/>
  <c r="H4048" i="1"/>
  <c r="N4047" i="1"/>
  <c r="J4047" i="1"/>
  <c r="K4047" i="1"/>
  <c r="H4047" i="1"/>
  <c r="N4046" i="1"/>
  <c r="J4046" i="1"/>
  <c r="K4046" i="1"/>
  <c r="H4046" i="1"/>
  <c r="J4045" i="1"/>
  <c r="K4045" i="1" s="1"/>
  <c r="O4045" i="1" s="1"/>
  <c r="K4044" i="1"/>
  <c r="O4044" i="1"/>
  <c r="N4043" i="1"/>
  <c r="J4043" i="1"/>
  <c r="K4043" i="1" s="1"/>
  <c r="H4043" i="1"/>
  <c r="N4042" i="1"/>
  <c r="H4042" i="1"/>
  <c r="K4041" i="1"/>
  <c r="O4041" i="1" s="1"/>
  <c r="K4040" i="1"/>
  <c r="O4040" i="1" s="1"/>
  <c r="J4039" i="1"/>
  <c r="K4039" i="1" s="1"/>
  <c r="O4039" i="1" s="1"/>
  <c r="J4038" i="1"/>
  <c r="K4038" i="1" s="1"/>
  <c r="O4038" i="1" s="1"/>
  <c r="J4037" i="1"/>
  <c r="K4037" i="1" s="1"/>
  <c r="O4037" i="1" s="1"/>
  <c r="K4036" i="1"/>
  <c r="O4036" i="1" s="1"/>
  <c r="K4035" i="1"/>
  <c r="O4035" i="1" s="1"/>
  <c r="K4034" i="1"/>
  <c r="O4034" i="1" s="1"/>
  <c r="N4033" i="1"/>
  <c r="J4033" i="1"/>
  <c r="K4033" i="1"/>
  <c r="H4033" i="1"/>
  <c r="N4032" i="1"/>
  <c r="J4032" i="1"/>
  <c r="K4032" i="1" s="1"/>
  <c r="H4032" i="1"/>
  <c r="N4031" i="1"/>
  <c r="J4031" i="1"/>
  <c r="K4031" i="1" s="1"/>
  <c r="H4031" i="1"/>
  <c r="N4030" i="1"/>
  <c r="J4030" i="1"/>
  <c r="K4030" i="1" s="1"/>
  <c r="H4030" i="1"/>
  <c r="O4030" i="1" s="1"/>
  <c r="N4029" i="1"/>
  <c r="J4029" i="1"/>
  <c r="K4029" i="1" s="1"/>
  <c r="H4029" i="1"/>
  <c r="N4028" i="1"/>
  <c r="K4028" i="1"/>
  <c r="H4028" i="1"/>
  <c r="N4027" i="1"/>
  <c r="K4027" i="1"/>
  <c r="H4027" i="1"/>
  <c r="N4026" i="1"/>
  <c r="J4026" i="1"/>
  <c r="K4026" i="1" s="1"/>
  <c r="H4026" i="1"/>
  <c r="N4025" i="1"/>
  <c r="J4025" i="1"/>
  <c r="K4025" i="1" s="1"/>
  <c r="H4025" i="1"/>
  <c r="K4024" i="1"/>
  <c r="O4024" i="1" s="1"/>
  <c r="K4023" i="1"/>
  <c r="O4023" i="1" s="1"/>
  <c r="N4022" i="1"/>
  <c r="J4022" i="1"/>
  <c r="K4022" i="1" s="1"/>
  <c r="H4022" i="1"/>
  <c r="N4021" i="1"/>
  <c r="J4021" i="1"/>
  <c r="K4021" i="1" s="1"/>
  <c r="H4021" i="1"/>
  <c r="N4020" i="1"/>
  <c r="J4020" i="1"/>
  <c r="K4020" i="1" s="1"/>
  <c r="H4020" i="1"/>
  <c r="N4019" i="1"/>
  <c r="J4019" i="1"/>
  <c r="K4019" i="1" s="1"/>
  <c r="H4019" i="1"/>
  <c r="N4018" i="1"/>
  <c r="J4018" i="1"/>
  <c r="K4018" i="1" s="1"/>
  <c r="H4018" i="1"/>
  <c r="N4017" i="1"/>
  <c r="K4017" i="1"/>
  <c r="H4017" i="1"/>
  <c r="N4016" i="1"/>
  <c r="K4016" i="1"/>
  <c r="H4016" i="1"/>
  <c r="K4015" i="1"/>
  <c r="O4015" i="1"/>
  <c r="N4014" i="1"/>
  <c r="J4014" i="1"/>
  <c r="K4014" i="1" s="1"/>
  <c r="H4014" i="1"/>
  <c r="N4013" i="1"/>
  <c r="H4013" i="1"/>
  <c r="K4011" i="1"/>
  <c r="O4011" i="1" s="1"/>
  <c r="N4010" i="1"/>
  <c r="J4010" i="1"/>
  <c r="K4010" i="1" s="1"/>
  <c r="H4010" i="1"/>
  <c r="N4009" i="1"/>
  <c r="J4009" i="1"/>
  <c r="K4009" i="1" s="1"/>
  <c r="H4009" i="1"/>
  <c r="K4008" i="1"/>
  <c r="O4008" i="1" s="1"/>
  <c r="K4007" i="1"/>
  <c r="O4007" i="1" s="1"/>
  <c r="N4006" i="1"/>
  <c r="J4006" i="1"/>
  <c r="K4006" i="1" s="1"/>
  <c r="H4006" i="1"/>
  <c r="N4005" i="1"/>
  <c r="J4005" i="1"/>
  <c r="K4005" i="1" s="1"/>
  <c r="H4005" i="1"/>
  <c r="K4004" i="1"/>
  <c r="O4004" i="1" s="1"/>
  <c r="K4003" i="1"/>
  <c r="O4003" i="1" s="1"/>
  <c r="N4002" i="1"/>
  <c r="J4002" i="1"/>
  <c r="K4002" i="1" s="1"/>
  <c r="H4002" i="1"/>
  <c r="N4001" i="1"/>
  <c r="J4001" i="1"/>
  <c r="K4001" i="1" s="1"/>
  <c r="H4001" i="1"/>
  <c r="N4000" i="1"/>
  <c r="J4000" i="1"/>
  <c r="K4000" i="1" s="1"/>
  <c r="H4000" i="1"/>
  <c r="N3999" i="1"/>
  <c r="J3999" i="1"/>
  <c r="K3999" i="1" s="1"/>
  <c r="H3999" i="1"/>
  <c r="N3998" i="1"/>
  <c r="J3998" i="1"/>
  <c r="K3998" i="1" s="1"/>
  <c r="H3998" i="1"/>
  <c r="N3997" i="1"/>
  <c r="J3997" i="1"/>
  <c r="K3997" i="1" s="1"/>
  <c r="H3997" i="1"/>
  <c r="N3996" i="1"/>
  <c r="J3996" i="1"/>
  <c r="K3996" i="1" s="1"/>
  <c r="H3996" i="1"/>
  <c r="N3995" i="1"/>
  <c r="H3995" i="1"/>
  <c r="K3993" i="1"/>
  <c r="O3993" i="1" s="1"/>
  <c r="N3992" i="1"/>
  <c r="J3992" i="1"/>
  <c r="K3992" i="1" s="1"/>
  <c r="H3992" i="1"/>
  <c r="N3991" i="1"/>
  <c r="J3991" i="1"/>
  <c r="K3991" i="1" s="1"/>
  <c r="H3991" i="1"/>
  <c r="N3990" i="1"/>
  <c r="J3990" i="1"/>
  <c r="K3990" i="1" s="1"/>
  <c r="H3990" i="1"/>
  <c r="N3989" i="1"/>
  <c r="J3989" i="1"/>
  <c r="K3989" i="1" s="1"/>
  <c r="H3989" i="1"/>
  <c r="N3988" i="1"/>
  <c r="J3988" i="1"/>
  <c r="K3988" i="1" s="1"/>
  <c r="H3988" i="1"/>
  <c r="N3987" i="1"/>
  <c r="J3987" i="1"/>
  <c r="K3987" i="1" s="1"/>
  <c r="H3987" i="1"/>
  <c r="N3986" i="1"/>
  <c r="J3986" i="1"/>
  <c r="K3986" i="1" s="1"/>
  <c r="H3986" i="1"/>
  <c r="N3985" i="1"/>
  <c r="J3985" i="1"/>
  <c r="K3985" i="1" s="1"/>
  <c r="H3985" i="1"/>
  <c r="N3984" i="1"/>
  <c r="J3984" i="1"/>
  <c r="K3984" i="1" s="1"/>
  <c r="H3984" i="1"/>
  <c r="N3983" i="1"/>
  <c r="J3983" i="1"/>
  <c r="K3983" i="1" s="1"/>
  <c r="H3983" i="1"/>
  <c r="N3982" i="1"/>
  <c r="O3982" i="1" s="1"/>
  <c r="J3982" i="1"/>
  <c r="K3982" i="1" s="1"/>
  <c r="H3982" i="1"/>
  <c r="N3981" i="1"/>
  <c r="H3981" i="1"/>
  <c r="N3979" i="1"/>
  <c r="J3979" i="1"/>
  <c r="K3979" i="1" s="1"/>
  <c r="H3979" i="1"/>
  <c r="N3978" i="1"/>
  <c r="J3978" i="1"/>
  <c r="K3978" i="1" s="1"/>
  <c r="H3978" i="1"/>
  <c r="N3977" i="1"/>
  <c r="J3977" i="1"/>
  <c r="K3977" i="1" s="1"/>
  <c r="H3977" i="1"/>
  <c r="N3976" i="1"/>
  <c r="J3976" i="1"/>
  <c r="K3976" i="1" s="1"/>
  <c r="H3976" i="1"/>
  <c r="N3975" i="1"/>
  <c r="J3975" i="1"/>
  <c r="K3975" i="1" s="1"/>
  <c r="H3975" i="1"/>
  <c r="N3974" i="1"/>
  <c r="J3974" i="1"/>
  <c r="K3974" i="1" s="1"/>
  <c r="H3974" i="1"/>
  <c r="N3973" i="1"/>
  <c r="J3973" i="1"/>
  <c r="K3973" i="1" s="1"/>
  <c r="H3973" i="1"/>
  <c r="N3972" i="1"/>
  <c r="J3972" i="1"/>
  <c r="K3972" i="1" s="1"/>
  <c r="H3972" i="1"/>
  <c r="N3971" i="1"/>
  <c r="J3971" i="1"/>
  <c r="K3971" i="1" s="1"/>
  <c r="H3971" i="1"/>
  <c r="N3970" i="1"/>
  <c r="J3970" i="1"/>
  <c r="K3970" i="1" s="1"/>
  <c r="H3970" i="1"/>
  <c r="N3969" i="1"/>
  <c r="H3969" i="1"/>
  <c r="N3966" i="1"/>
  <c r="J3966" i="1"/>
  <c r="K3966" i="1" s="1"/>
  <c r="H3966" i="1"/>
  <c r="N3965" i="1"/>
  <c r="J3965" i="1"/>
  <c r="K3965" i="1" s="1"/>
  <c r="H3965" i="1"/>
  <c r="N3964" i="1"/>
  <c r="J3964" i="1"/>
  <c r="K3964" i="1" s="1"/>
  <c r="H3964" i="1"/>
  <c r="N3963" i="1"/>
  <c r="H3963" i="1"/>
  <c r="N3961" i="1"/>
  <c r="J3961" i="1"/>
  <c r="K3961" i="1" s="1"/>
  <c r="H3961" i="1"/>
  <c r="N3960" i="1"/>
  <c r="J3960" i="1"/>
  <c r="K3960" i="1" s="1"/>
  <c r="H3960" i="1"/>
  <c r="N3959" i="1"/>
  <c r="J3959" i="1"/>
  <c r="K3959" i="1" s="1"/>
  <c r="H3959" i="1"/>
  <c r="N3958" i="1"/>
  <c r="J3958" i="1"/>
  <c r="K3958" i="1" s="1"/>
  <c r="H3958" i="1"/>
  <c r="N3957" i="1"/>
  <c r="J3957" i="1"/>
  <c r="K3957" i="1" s="1"/>
  <c r="H3957" i="1"/>
  <c r="N3956" i="1"/>
  <c r="J3956" i="1"/>
  <c r="K3956" i="1" s="1"/>
  <c r="H3956" i="1"/>
  <c r="N3955" i="1"/>
  <c r="J3955" i="1"/>
  <c r="K3955" i="1" s="1"/>
  <c r="H3955" i="1"/>
  <c r="N3954" i="1"/>
  <c r="J3954" i="1"/>
  <c r="K3954" i="1" s="1"/>
  <c r="H3954" i="1"/>
  <c r="N3953" i="1"/>
  <c r="H3953" i="1"/>
  <c r="N3951" i="1"/>
  <c r="J3951" i="1"/>
  <c r="K3951" i="1"/>
  <c r="H3951" i="1"/>
  <c r="N3950" i="1"/>
  <c r="J3950" i="1"/>
  <c r="K3950" i="1" s="1"/>
  <c r="H3950" i="1"/>
  <c r="N3949" i="1"/>
  <c r="J3949" i="1"/>
  <c r="K3949" i="1" s="1"/>
  <c r="H3949" i="1"/>
  <c r="N3948" i="1"/>
  <c r="J3948" i="1"/>
  <c r="K3948" i="1" s="1"/>
  <c r="H3948" i="1"/>
  <c r="N3947" i="1"/>
  <c r="J3947" i="1"/>
  <c r="K3947" i="1" s="1"/>
  <c r="H3947" i="1"/>
  <c r="N3946" i="1"/>
  <c r="J3946" i="1"/>
  <c r="K3946" i="1" s="1"/>
  <c r="H3946" i="1"/>
  <c r="N3945" i="1"/>
  <c r="K3945" i="1"/>
  <c r="H3945" i="1"/>
  <c r="J3944" i="1"/>
  <c r="K3944" i="1" s="1"/>
  <c r="O3944" i="1" s="1"/>
  <c r="N3943" i="1"/>
  <c r="J3943" i="1"/>
  <c r="K3943" i="1" s="1"/>
  <c r="H3943" i="1"/>
  <c r="N3942" i="1"/>
  <c r="J3942" i="1"/>
  <c r="K3942" i="1" s="1"/>
  <c r="H3942" i="1"/>
  <c r="N3941" i="1"/>
  <c r="J3941" i="1"/>
  <c r="K3941" i="1" s="1"/>
  <c r="H3941" i="1"/>
  <c r="N3940" i="1"/>
  <c r="H3940" i="1"/>
  <c r="N3939" i="1"/>
  <c r="J3939" i="1"/>
  <c r="K3939" i="1" s="1"/>
  <c r="H3939" i="1"/>
  <c r="N3938" i="1"/>
  <c r="K3938" i="1"/>
  <c r="H3938" i="1"/>
  <c r="J3937" i="1"/>
  <c r="K3937" i="1" s="1"/>
  <c r="O3937" i="1" s="1"/>
  <c r="K3936" i="1"/>
  <c r="O3936" i="1" s="1"/>
  <c r="K3935" i="1"/>
  <c r="O3935" i="1" s="1"/>
  <c r="N3934" i="1"/>
  <c r="J3934" i="1"/>
  <c r="K3934" i="1" s="1"/>
  <c r="H3934" i="1"/>
  <c r="N3933" i="1"/>
  <c r="J3933" i="1"/>
  <c r="K3933" i="1"/>
  <c r="H3933" i="1"/>
  <c r="N3932" i="1"/>
  <c r="J3932" i="1"/>
  <c r="K3932" i="1" s="1"/>
  <c r="H3932" i="1"/>
  <c r="N3931" i="1"/>
  <c r="J3931" i="1"/>
  <c r="K3931" i="1" s="1"/>
  <c r="H3931" i="1"/>
  <c r="N3930" i="1"/>
  <c r="K3930" i="1"/>
  <c r="H3930" i="1"/>
  <c r="N3929" i="1"/>
  <c r="J3929" i="1"/>
  <c r="K3929" i="1" s="1"/>
  <c r="H3929" i="1"/>
  <c r="N3928" i="1"/>
  <c r="J3928" i="1"/>
  <c r="K3928" i="1" s="1"/>
  <c r="H3928" i="1"/>
  <c r="N3927" i="1"/>
  <c r="J3927" i="1"/>
  <c r="K3927" i="1" s="1"/>
  <c r="H3927" i="1"/>
  <c r="N3925" i="1"/>
  <c r="J3925" i="1"/>
  <c r="K3925" i="1" s="1"/>
  <c r="H3925" i="1"/>
  <c r="J3924" i="1"/>
  <c r="K3924" i="1" s="1"/>
  <c r="O3924" i="1" s="1"/>
  <c r="J3923" i="1"/>
  <c r="K3923" i="1" s="1"/>
  <c r="O3923" i="1" s="1"/>
  <c r="J3922" i="1"/>
  <c r="K3922" i="1" s="1"/>
  <c r="O3922" i="1" s="1"/>
  <c r="J3921" i="1"/>
  <c r="K3921" i="1" s="1"/>
  <c r="O3921" i="1" s="1"/>
  <c r="J3920" i="1"/>
  <c r="K3920" i="1" s="1"/>
  <c r="O3920" i="1" s="1"/>
  <c r="K3919" i="1"/>
  <c r="O3919" i="1" s="1"/>
  <c r="K3917" i="1"/>
  <c r="O3917" i="1" s="1"/>
  <c r="N3916" i="1"/>
  <c r="J3916" i="1"/>
  <c r="K3916" i="1" s="1"/>
  <c r="H3916" i="1"/>
  <c r="N3915" i="1"/>
  <c r="J3915" i="1"/>
  <c r="K3915" i="1" s="1"/>
  <c r="H3915" i="1"/>
  <c r="N3914" i="1"/>
  <c r="J3914" i="1"/>
  <c r="K3914" i="1" s="1"/>
  <c r="H3914" i="1"/>
  <c r="N3913" i="1"/>
  <c r="J3913" i="1"/>
  <c r="K3913" i="1" s="1"/>
  <c r="H3913" i="1"/>
  <c r="N3912" i="1"/>
  <c r="J3912" i="1"/>
  <c r="K3912" i="1" s="1"/>
  <c r="H3912" i="1"/>
  <c r="N3911" i="1"/>
  <c r="H3911" i="1"/>
  <c r="N3909" i="1"/>
  <c r="J3909" i="1"/>
  <c r="K3909" i="1" s="1"/>
  <c r="H3909" i="1"/>
  <c r="K3908" i="1"/>
  <c r="O3908" i="1" s="1"/>
  <c r="J3907" i="1"/>
  <c r="K3907" i="1" s="1"/>
  <c r="O3907" i="1" s="1"/>
  <c r="J3906" i="1"/>
  <c r="K3906" i="1" s="1"/>
  <c r="O3906" i="1" s="1"/>
  <c r="J3905" i="1"/>
  <c r="K3905" i="1" s="1"/>
  <c r="O3905" i="1" s="1"/>
  <c r="K3904" i="1"/>
  <c r="O3904" i="1" s="1"/>
  <c r="K3903" i="1"/>
  <c r="O3903" i="1" s="1"/>
  <c r="K3902" i="1"/>
  <c r="O3902" i="1" s="1"/>
  <c r="N3901" i="1"/>
  <c r="J3901" i="1"/>
  <c r="K3901" i="1" s="1"/>
  <c r="H3901" i="1"/>
  <c r="N3900" i="1"/>
  <c r="J3900" i="1"/>
  <c r="K3900" i="1" s="1"/>
  <c r="H3900" i="1"/>
  <c r="N3899" i="1"/>
  <c r="J3899" i="1"/>
  <c r="K3899" i="1" s="1"/>
  <c r="H3899" i="1"/>
  <c r="N3898" i="1"/>
  <c r="J3898" i="1"/>
  <c r="K3898" i="1" s="1"/>
  <c r="H3898" i="1"/>
  <c r="N3897" i="1"/>
  <c r="J3897" i="1"/>
  <c r="K3897" i="1" s="1"/>
  <c r="H3897" i="1"/>
  <c r="N3896" i="1"/>
  <c r="K3896" i="1"/>
  <c r="H3896" i="1"/>
  <c r="N3895" i="1"/>
  <c r="K3895" i="1"/>
  <c r="H3895" i="1"/>
  <c r="N3894" i="1"/>
  <c r="J3894" i="1"/>
  <c r="K3894" i="1" s="1"/>
  <c r="H3894" i="1"/>
  <c r="N3893" i="1"/>
  <c r="H3893" i="1"/>
  <c r="N3892" i="1"/>
  <c r="J3892" i="1"/>
  <c r="K3892" i="1" s="1"/>
  <c r="H3892" i="1"/>
  <c r="N3891" i="1"/>
  <c r="K3891" i="1"/>
  <c r="H3891" i="1"/>
  <c r="N3890" i="1"/>
  <c r="K3890" i="1"/>
  <c r="H3890" i="1"/>
  <c r="N3889" i="1"/>
  <c r="K3889" i="1"/>
  <c r="H3889" i="1"/>
  <c r="J3888" i="1"/>
  <c r="K3888" i="1" s="1"/>
  <c r="O3888" i="1" s="1"/>
  <c r="J3887" i="1"/>
  <c r="K3887" i="1" s="1"/>
  <c r="O3887" i="1" s="1"/>
  <c r="J3886" i="1"/>
  <c r="K3886" i="1" s="1"/>
  <c r="O3886" i="1" s="1"/>
  <c r="I3883" i="1"/>
  <c r="K3883" i="1" s="1"/>
  <c r="O3883" i="1" s="1"/>
  <c r="O3881" i="1"/>
  <c r="N3879" i="1"/>
  <c r="I3879" i="1"/>
  <c r="K3879" i="1" s="1"/>
  <c r="H3879" i="1"/>
  <c r="N3878" i="1"/>
  <c r="I3878" i="1"/>
  <c r="K3878" i="1" s="1"/>
  <c r="H3878" i="1"/>
  <c r="N3877" i="1"/>
  <c r="I3877" i="1"/>
  <c r="K3877" i="1" s="1"/>
  <c r="H3877" i="1"/>
  <c r="N3876" i="1"/>
  <c r="H3876" i="1"/>
  <c r="N3875" i="1"/>
  <c r="I3875" i="1"/>
  <c r="K3875" i="1" s="1"/>
  <c r="H3875" i="1"/>
  <c r="N3874" i="1"/>
  <c r="H3874" i="1"/>
  <c r="N3873" i="1"/>
  <c r="H3873" i="1"/>
  <c r="N3872" i="1"/>
  <c r="H3872" i="1"/>
  <c r="N3871" i="1"/>
  <c r="I3871" i="1"/>
  <c r="K3871" i="1" s="1"/>
  <c r="H3871" i="1"/>
  <c r="N3870" i="1"/>
  <c r="I3870" i="1"/>
  <c r="K3870" i="1" s="1"/>
  <c r="H3870" i="1"/>
  <c r="N3869" i="1"/>
  <c r="I3869" i="1"/>
  <c r="K3869" i="1" s="1"/>
  <c r="H3869" i="1"/>
  <c r="N3868" i="1"/>
  <c r="H3868" i="1"/>
  <c r="N3867" i="1"/>
  <c r="I3867" i="1"/>
  <c r="K3867" i="1" s="1"/>
  <c r="H3867" i="1"/>
  <c r="N3866" i="1"/>
  <c r="H3866" i="1"/>
  <c r="N3865" i="1"/>
  <c r="H3865" i="1"/>
  <c r="L3861" i="1"/>
  <c r="N3861" i="1" s="1"/>
  <c r="O3861" i="1" s="1"/>
  <c r="L3860" i="1"/>
  <c r="N3860" i="1" s="1"/>
  <c r="O3860" i="1" s="1"/>
  <c r="L3859" i="1"/>
  <c r="N3859" i="1" s="1"/>
  <c r="O3859" i="1" s="1"/>
  <c r="L3858" i="1"/>
  <c r="N3858" i="1" s="1"/>
  <c r="O3858" i="1" s="1"/>
  <c r="L3857" i="1"/>
  <c r="N3857" i="1" s="1"/>
  <c r="O3857" i="1"/>
  <c r="L3856" i="1"/>
  <c r="N3856" i="1" s="1"/>
  <c r="O3856" i="1" s="1"/>
  <c r="L3855" i="1"/>
  <c r="N3855" i="1" s="1"/>
  <c r="O3855" i="1" s="1"/>
  <c r="L3854" i="1"/>
  <c r="N3854" i="1" s="1"/>
  <c r="O3854" i="1" s="1"/>
  <c r="L3853" i="1"/>
  <c r="N3853" i="1" s="1"/>
  <c r="O3853" i="1" s="1"/>
  <c r="E3852" i="1"/>
  <c r="L3852" i="1" s="1"/>
  <c r="N3852" i="1" s="1"/>
  <c r="O3852" i="1" s="1"/>
  <c r="L3851" i="1"/>
  <c r="N3851" i="1" s="1"/>
  <c r="O3851" i="1" s="1"/>
  <c r="L3850" i="1"/>
  <c r="N3850" i="1" s="1"/>
  <c r="O3850" i="1" s="1"/>
  <c r="L3849" i="1"/>
  <c r="N3849" i="1" s="1"/>
  <c r="O3849" i="1" s="1"/>
  <c r="L3848" i="1"/>
  <c r="N3848" i="1" s="1"/>
  <c r="O3848" i="1" s="1"/>
  <c r="L3847" i="1"/>
  <c r="N3847" i="1" s="1"/>
  <c r="O3847" i="1" s="1"/>
  <c r="L3846" i="1"/>
  <c r="N3846" i="1" s="1"/>
  <c r="O3846" i="1" s="1"/>
  <c r="L3845" i="1"/>
  <c r="N3845" i="1" s="1"/>
  <c r="O3845" i="1" s="1"/>
  <c r="L3844" i="1"/>
  <c r="N3844" i="1" s="1"/>
  <c r="O3844" i="1" s="1"/>
  <c r="L3843" i="1"/>
  <c r="N3843" i="1" s="1"/>
  <c r="O3843" i="1" s="1"/>
  <c r="L3842" i="1"/>
  <c r="N3842" i="1" s="1"/>
  <c r="O3842" i="1" s="1"/>
  <c r="L3841" i="1"/>
  <c r="N3841" i="1" s="1"/>
  <c r="O3841" i="1" s="1"/>
  <c r="L3840" i="1"/>
  <c r="N3840" i="1" s="1"/>
  <c r="O3840" i="1" s="1"/>
  <c r="L3839" i="1"/>
  <c r="N3839" i="1" s="1"/>
  <c r="O3839" i="1" s="1"/>
  <c r="E3838" i="1"/>
  <c r="L3838" i="1" s="1"/>
  <c r="N3838" i="1" s="1"/>
  <c r="O3838" i="1" s="1"/>
  <c r="K3837" i="1"/>
  <c r="H3837" i="1"/>
  <c r="E3837" i="1"/>
  <c r="L3837" i="1" s="1"/>
  <c r="N3837" i="1" s="1"/>
  <c r="C3837" i="1"/>
  <c r="L3836" i="1"/>
  <c r="N3836" i="1" s="1"/>
  <c r="K3836" i="1"/>
  <c r="H3836" i="1"/>
  <c r="L3835" i="1"/>
  <c r="N3835" i="1"/>
  <c r="K3835" i="1"/>
  <c r="H3835" i="1"/>
  <c r="L3834" i="1"/>
  <c r="N3834" i="1" s="1"/>
  <c r="K3834" i="1"/>
  <c r="H3834" i="1"/>
  <c r="L3833" i="1"/>
  <c r="N3833" i="1" s="1"/>
  <c r="K3833" i="1"/>
  <c r="H3833" i="1"/>
  <c r="L3832" i="1"/>
  <c r="N3832" i="1" s="1"/>
  <c r="K3832" i="1"/>
  <c r="H3832" i="1"/>
  <c r="L3831" i="1"/>
  <c r="N3831" i="1" s="1"/>
  <c r="K3831" i="1"/>
  <c r="H3831" i="1"/>
  <c r="K3830" i="1"/>
  <c r="H3830" i="1"/>
  <c r="E3830" i="1"/>
  <c r="C3830" i="1"/>
  <c r="L3829" i="1"/>
  <c r="N3829" i="1" s="1"/>
  <c r="K3829" i="1"/>
  <c r="H3829" i="1"/>
  <c r="E3828" i="1"/>
  <c r="C3828" i="1"/>
  <c r="K3827" i="1"/>
  <c r="H3827" i="1"/>
  <c r="C3827" i="1"/>
  <c r="L3827" i="1" s="1"/>
  <c r="N3827" i="1" s="1"/>
  <c r="A3827" i="1"/>
  <c r="K3826" i="1"/>
  <c r="H3826" i="1"/>
  <c r="E3826" i="1"/>
  <c r="L3826" i="1" s="1"/>
  <c r="N3826" i="1" s="1"/>
  <c r="C3826" i="1"/>
  <c r="K3825" i="1"/>
  <c r="H3825" i="1"/>
  <c r="E3825" i="1"/>
  <c r="C3825" i="1"/>
  <c r="K3824" i="1"/>
  <c r="H3824" i="1"/>
  <c r="E3824" i="1"/>
  <c r="L3824" i="1" s="1"/>
  <c r="N3824" i="1" s="1"/>
  <c r="C3824" i="1"/>
  <c r="K3823" i="1"/>
  <c r="H3823" i="1"/>
  <c r="E3823" i="1"/>
  <c r="C3823" i="1"/>
  <c r="N3822" i="1"/>
  <c r="K3822" i="1"/>
  <c r="H3822" i="1"/>
  <c r="N3821" i="1"/>
  <c r="K3821" i="1"/>
  <c r="H3821" i="1"/>
  <c r="N3820" i="1"/>
  <c r="K3820" i="1"/>
  <c r="H3820" i="1"/>
  <c r="J3816" i="1"/>
  <c r="K3816" i="1" s="1"/>
  <c r="J3815" i="1"/>
  <c r="K3815" i="1" s="1"/>
  <c r="J3814" i="1"/>
  <c r="K3814" i="1" s="1"/>
  <c r="J3813" i="1"/>
  <c r="J3812" i="1"/>
  <c r="J3811" i="1"/>
  <c r="J3810" i="1"/>
  <c r="K3810" i="1" s="1"/>
  <c r="J3809" i="1"/>
  <c r="K3809" i="1" s="1"/>
  <c r="J3808" i="1"/>
  <c r="K3808" i="1" s="1"/>
  <c r="J3807" i="1"/>
  <c r="K3807" i="1" s="1"/>
  <c r="O3807" i="1" s="1"/>
  <c r="J3806" i="1"/>
  <c r="K3806" i="1" s="1"/>
  <c r="J3805" i="1"/>
  <c r="K3805" i="1" s="1"/>
  <c r="O3805" i="1" s="1"/>
  <c r="K3804" i="1"/>
  <c r="K3803" i="1"/>
  <c r="N3800" i="1"/>
  <c r="J3800" i="1"/>
  <c r="K3800" i="1" s="1"/>
  <c r="H3800" i="1"/>
  <c r="E3799" i="1"/>
  <c r="O3799" i="1" s="1"/>
  <c r="N3798" i="1"/>
  <c r="J3798" i="1"/>
  <c r="K3798" i="1" s="1"/>
  <c r="H3798" i="1"/>
  <c r="N3797" i="1"/>
  <c r="H3797" i="1"/>
  <c r="C3797" i="1"/>
  <c r="J3797" i="1" s="1"/>
  <c r="K3797" i="1" s="1"/>
  <c r="N3796" i="1"/>
  <c r="J3796" i="1"/>
  <c r="K3796" i="1" s="1"/>
  <c r="H3796" i="1"/>
  <c r="N3795" i="1"/>
  <c r="J3795" i="1"/>
  <c r="K3795" i="1" s="1"/>
  <c r="H3795" i="1"/>
  <c r="N3794" i="1"/>
  <c r="J3794" i="1"/>
  <c r="K3794" i="1" s="1"/>
  <c r="H3794" i="1"/>
  <c r="N3793" i="1"/>
  <c r="J3793" i="1"/>
  <c r="K3793" i="1" s="1"/>
  <c r="H3793" i="1"/>
  <c r="N3792" i="1"/>
  <c r="H3792" i="1"/>
  <c r="C3792" i="1"/>
  <c r="J3792" i="1" s="1"/>
  <c r="K3792" i="1" s="1"/>
  <c r="N3791" i="1"/>
  <c r="H3791" i="1"/>
  <c r="N3790" i="1"/>
  <c r="I3790" i="1"/>
  <c r="K3790" i="1" s="1"/>
  <c r="H3790" i="1"/>
  <c r="N3789" i="1"/>
  <c r="I3789" i="1"/>
  <c r="K3789" i="1" s="1"/>
  <c r="H3789" i="1"/>
  <c r="N3788" i="1"/>
  <c r="I3788" i="1"/>
  <c r="K3788" i="1" s="1"/>
  <c r="H3788" i="1"/>
  <c r="O3787" i="1"/>
  <c r="I3787" i="1"/>
  <c r="K3787" i="1" s="1"/>
  <c r="C3786" i="1"/>
  <c r="O3786" i="1" s="1"/>
  <c r="C3785" i="1"/>
  <c r="O3785" i="1" s="1"/>
  <c r="O3784" i="1"/>
  <c r="I3784" i="1"/>
  <c r="K3784" i="1" s="1"/>
  <c r="N3783" i="1"/>
  <c r="I3783" i="1"/>
  <c r="K3783" i="1" s="1"/>
  <c r="H3783" i="1"/>
  <c r="O3782" i="1"/>
  <c r="I3782" i="1"/>
  <c r="K3782" i="1" s="1"/>
  <c r="C3781" i="1"/>
  <c r="I3781" i="1" s="1"/>
  <c r="K3781" i="1" s="1"/>
  <c r="C3780" i="1"/>
  <c r="O3780" i="1" s="1"/>
  <c r="N3779" i="1"/>
  <c r="I3779" i="1"/>
  <c r="K3779" i="1" s="1"/>
  <c r="H3779" i="1"/>
  <c r="N3778" i="1"/>
  <c r="I3778" i="1"/>
  <c r="K3778" i="1" s="1"/>
  <c r="H3778" i="1"/>
  <c r="N3777" i="1"/>
  <c r="H3777" i="1"/>
  <c r="N3776" i="1"/>
  <c r="I3776" i="1"/>
  <c r="K3776" i="1" s="1"/>
  <c r="H3776" i="1"/>
  <c r="N3775" i="1"/>
  <c r="I3775" i="1"/>
  <c r="K3775" i="1" s="1"/>
  <c r="H3775" i="1"/>
  <c r="N3774" i="1"/>
  <c r="I3774" i="1"/>
  <c r="K3774" i="1" s="1"/>
  <c r="H3774" i="1"/>
  <c r="N3773" i="1"/>
  <c r="H3773" i="1"/>
  <c r="E3773" i="1"/>
  <c r="I3773" i="1" s="1"/>
  <c r="K3773" i="1" s="1"/>
  <c r="N3772" i="1"/>
  <c r="I3772" i="1"/>
  <c r="K3772" i="1" s="1"/>
  <c r="H3772" i="1"/>
  <c r="N3771" i="1"/>
  <c r="H3771" i="1"/>
  <c r="E3771" i="1"/>
  <c r="C3771" i="1"/>
  <c r="N3770" i="1"/>
  <c r="I3770" i="1"/>
  <c r="K3770" i="1" s="1"/>
  <c r="H3770" i="1"/>
  <c r="N3769" i="1"/>
  <c r="I3769" i="1"/>
  <c r="K3769" i="1" s="1"/>
  <c r="H3769" i="1"/>
  <c r="N3768" i="1"/>
  <c r="I3768" i="1"/>
  <c r="K3768" i="1"/>
  <c r="H3768" i="1"/>
  <c r="N3767" i="1"/>
  <c r="I3767" i="1"/>
  <c r="K3767" i="1"/>
  <c r="H3767" i="1"/>
  <c r="N3766" i="1"/>
  <c r="I3766" i="1"/>
  <c r="K3766" i="1" s="1"/>
  <c r="H3766" i="1"/>
  <c r="N3765" i="1"/>
  <c r="H3765" i="1"/>
  <c r="N3764" i="1"/>
  <c r="I3764" i="1"/>
  <c r="K3764" i="1" s="1"/>
  <c r="H3764" i="1"/>
  <c r="N3763" i="1"/>
  <c r="I3763" i="1"/>
  <c r="K3763" i="1" s="1"/>
  <c r="H3763" i="1"/>
  <c r="I3762" i="1"/>
  <c r="K3762" i="1" s="1"/>
  <c r="O3762" i="1" s="1"/>
  <c r="I3761" i="1"/>
  <c r="K3761" i="1" s="1"/>
  <c r="O3761" i="1" s="1"/>
  <c r="I3760" i="1"/>
  <c r="K3760" i="1" s="1"/>
  <c r="O3760" i="1" s="1"/>
  <c r="I3759" i="1"/>
  <c r="K3759" i="1" s="1"/>
  <c r="O3759" i="1" s="1"/>
  <c r="I3758" i="1"/>
  <c r="K3758" i="1" s="1"/>
  <c r="O3758" i="1" s="1"/>
  <c r="I3757" i="1"/>
  <c r="K3757" i="1" s="1"/>
  <c r="O3757" i="1" s="1"/>
  <c r="I3756" i="1"/>
  <c r="K3756" i="1" s="1"/>
  <c r="O3756" i="1" s="1"/>
  <c r="N3755" i="1"/>
  <c r="I3755" i="1"/>
  <c r="K3755" i="1" s="1"/>
  <c r="H3755" i="1"/>
  <c r="N3754" i="1"/>
  <c r="I3754" i="1"/>
  <c r="K3754" i="1" s="1"/>
  <c r="H3754" i="1"/>
  <c r="N3753" i="1"/>
  <c r="K3753" i="1"/>
  <c r="H3753" i="1"/>
  <c r="N3752" i="1"/>
  <c r="I3752" i="1"/>
  <c r="K3752" i="1" s="1"/>
  <c r="H3752" i="1"/>
  <c r="N3751" i="1"/>
  <c r="I3751" i="1"/>
  <c r="K3751" i="1" s="1"/>
  <c r="H3751" i="1"/>
  <c r="N3750" i="1"/>
  <c r="I3750" i="1"/>
  <c r="K3750" i="1" s="1"/>
  <c r="H3750" i="1"/>
  <c r="N3749" i="1"/>
  <c r="I3749" i="1"/>
  <c r="K3749" i="1" s="1"/>
  <c r="H3749" i="1"/>
  <c r="O3748" i="1"/>
  <c r="I3748" i="1"/>
  <c r="K3748" i="1"/>
  <c r="N3747" i="1"/>
  <c r="I3747" i="1"/>
  <c r="K3747" i="1" s="1"/>
  <c r="H3747" i="1"/>
  <c r="N3746" i="1"/>
  <c r="I3746" i="1"/>
  <c r="K3746" i="1" s="1"/>
  <c r="H3746" i="1"/>
  <c r="N3745" i="1"/>
  <c r="H3745" i="1"/>
  <c r="N3743" i="1"/>
  <c r="I3743" i="1"/>
  <c r="K3743" i="1" s="1"/>
  <c r="H3743" i="1"/>
  <c r="N3742" i="1"/>
  <c r="I3742" i="1"/>
  <c r="K3742" i="1" s="1"/>
  <c r="H3742" i="1"/>
  <c r="N3741" i="1"/>
  <c r="H3741" i="1"/>
  <c r="N3740" i="1"/>
  <c r="I3740" i="1"/>
  <c r="K3740" i="1" s="1"/>
  <c r="H3740" i="1"/>
  <c r="N3739" i="1"/>
  <c r="I3739" i="1"/>
  <c r="K3739" i="1" s="1"/>
  <c r="H3739" i="1"/>
  <c r="I3737" i="1"/>
  <c r="K3737" i="1" s="1"/>
  <c r="O3737" i="1" s="1"/>
  <c r="N3736" i="1"/>
  <c r="K3736" i="1"/>
  <c r="H3736" i="1"/>
  <c r="N3735" i="1"/>
  <c r="I3735" i="1"/>
  <c r="K3735" i="1" s="1"/>
  <c r="H3735" i="1"/>
  <c r="N3734" i="1"/>
  <c r="K3734" i="1"/>
  <c r="H3734" i="1"/>
  <c r="N3733" i="1"/>
  <c r="I3733" i="1"/>
  <c r="K3733" i="1" s="1"/>
  <c r="H3733" i="1"/>
  <c r="N3732" i="1"/>
  <c r="I3732" i="1"/>
  <c r="K3732" i="1" s="1"/>
  <c r="H3732" i="1"/>
  <c r="N3731" i="1"/>
  <c r="K3731" i="1"/>
  <c r="H3731" i="1"/>
  <c r="N3730" i="1"/>
  <c r="K3730" i="1"/>
  <c r="H3730" i="1"/>
  <c r="N3729" i="1"/>
  <c r="K3729" i="1"/>
  <c r="H3729" i="1"/>
  <c r="O3727" i="1"/>
  <c r="J3727" i="1"/>
  <c r="K3727" i="1" s="1"/>
  <c r="O3726" i="1"/>
  <c r="J3726" i="1"/>
  <c r="K3726" i="1" s="1"/>
  <c r="O3725" i="1"/>
  <c r="J3725" i="1"/>
  <c r="K3725" i="1" s="1"/>
  <c r="O3722" i="1"/>
  <c r="J3722" i="1"/>
  <c r="K3722" i="1" s="1"/>
  <c r="O3721" i="1"/>
  <c r="J3721" i="1"/>
  <c r="K3721" i="1" s="1"/>
  <c r="O3720" i="1"/>
  <c r="J3720" i="1"/>
  <c r="K3720" i="1" s="1"/>
  <c r="O3719" i="1"/>
  <c r="J3719" i="1"/>
  <c r="K3719" i="1" s="1"/>
  <c r="J3716" i="1"/>
  <c r="K3716" i="1" s="1"/>
  <c r="O3716" i="1" s="1"/>
  <c r="O3712" i="1"/>
  <c r="J3712" i="1"/>
  <c r="K3712" i="1" s="1"/>
  <c r="O3711" i="1"/>
  <c r="J3711" i="1"/>
  <c r="K3711" i="1" s="1"/>
  <c r="O3708" i="1"/>
  <c r="J3708" i="1"/>
  <c r="K3708" i="1" s="1"/>
  <c r="O3707" i="1"/>
  <c r="J3707" i="1"/>
  <c r="K3707" i="1" s="1"/>
  <c r="O3706" i="1"/>
  <c r="J3706" i="1"/>
  <c r="K3706" i="1" s="1"/>
  <c r="O3703" i="1"/>
  <c r="J3703" i="1"/>
  <c r="K3703" i="1" s="1"/>
  <c r="O3702" i="1"/>
  <c r="J3702" i="1"/>
  <c r="K3702" i="1" s="1"/>
  <c r="O3701" i="1"/>
  <c r="J3701" i="1"/>
  <c r="K3701" i="1" s="1"/>
  <c r="O3700" i="1"/>
  <c r="J3700" i="1"/>
  <c r="K3700" i="1" s="1"/>
  <c r="O3697" i="1"/>
  <c r="J3697" i="1"/>
  <c r="K3697" i="1" s="1"/>
  <c r="O3696" i="1"/>
  <c r="J3696" i="1"/>
  <c r="K3696" i="1" s="1"/>
  <c r="J3693" i="1"/>
  <c r="K3693" i="1" s="1"/>
  <c r="O3693" i="1" s="1"/>
  <c r="N3692" i="1"/>
  <c r="J3692" i="1"/>
  <c r="K3692" i="1" s="1"/>
  <c r="H3692" i="1"/>
  <c r="N3691" i="1"/>
  <c r="H3691" i="1"/>
  <c r="N3690" i="1"/>
  <c r="K3690" i="1"/>
  <c r="H3690" i="1"/>
  <c r="O3689" i="1"/>
  <c r="N3689" i="1"/>
  <c r="J3689" i="1"/>
  <c r="K3689" i="1" s="1"/>
  <c r="H3689" i="1"/>
  <c r="O3688" i="1"/>
  <c r="N3688" i="1"/>
  <c r="J3688" i="1"/>
  <c r="K3688" i="1" s="1"/>
  <c r="H3688" i="1"/>
  <c r="O3687" i="1"/>
  <c r="N3687" i="1"/>
  <c r="J3687" i="1"/>
  <c r="K3687" i="1" s="1"/>
  <c r="H3687" i="1"/>
  <c r="N3686" i="1"/>
  <c r="J3686" i="1"/>
  <c r="K3686" i="1" s="1"/>
  <c r="H3686" i="1"/>
  <c r="J3684" i="1"/>
  <c r="K3684" i="1"/>
  <c r="O3684" i="1" s="1"/>
  <c r="N3683" i="1"/>
  <c r="J3683" i="1"/>
  <c r="K3683" i="1" s="1"/>
  <c r="H3683" i="1"/>
  <c r="N3682" i="1"/>
  <c r="H3682" i="1"/>
  <c r="N3681" i="1"/>
  <c r="K3681" i="1"/>
  <c r="H3681" i="1"/>
  <c r="O3680" i="1"/>
  <c r="N3680" i="1"/>
  <c r="J3680" i="1"/>
  <c r="K3680" i="1" s="1"/>
  <c r="H3680" i="1"/>
  <c r="O3679" i="1"/>
  <c r="N3679" i="1"/>
  <c r="J3679" i="1"/>
  <c r="K3679" i="1" s="1"/>
  <c r="H3679" i="1"/>
  <c r="O3678" i="1"/>
  <c r="J3678" i="1"/>
  <c r="K3678" i="1" s="1"/>
  <c r="O3677" i="1"/>
  <c r="N3677" i="1"/>
  <c r="J3677" i="1"/>
  <c r="K3677" i="1" s="1"/>
  <c r="H3677" i="1"/>
  <c r="N3676" i="1"/>
  <c r="J3676" i="1"/>
  <c r="K3676" i="1" s="1"/>
  <c r="H3676" i="1"/>
  <c r="J3673" i="1"/>
  <c r="K3673" i="1" s="1"/>
  <c r="O3673" i="1" s="1"/>
  <c r="N3672" i="1"/>
  <c r="J3672" i="1"/>
  <c r="K3672" i="1" s="1"/>
  <c r="H3672" i="1"/>
  <c r="N3671" i="1"/>
  <c r="H3671" i="1"/>
  <c r="N3670" i="1"/>
  <c r="K3670" i="1"/>
  <c r="H3670" i="1"/>
  <c r="N3669" i="1"/>
  <c r="K3669" i="1"/>
  <c r="O3669" i="1" s="1"/>
  <c r="H3669" i="1"/>
  <c r="N3668" i="1"/>
  <c r="J3668" i="1"/>
  <c r="K3668" i="1" s="1"/>
  <c r="H3668" i="1"/>
  <c r="N3667" i="1"/>
  <c r="J3667" i="1"/>
  <c r="K3667" i="1" s="1"/>
  <c r="H3667" i="1"/>
  <c r="N3666" i="1"/>
  <c r="J3666" i="1"/>
  <c r="K3666" i="1" s="1"/>
  <c r="H3666" i="1"/>
  <c r="N3665" i="1"/>
  <c r="K3665" i="1"/>
  <c r="H3665" i="1"/>
  <c r="N3663" i="1"/>
  <c r="I3663" i="1"/>
  <c r="K3663" i="1" s="1"/>
  <c r="H3663" i="1"/>
  <c r="N3662" i="1"/>
  <c r="K3662" i="1"/>
  <c r="H3662" i="1"/>
  <c r="N3660" i="1"/>
  <c r="K3660" i="1"/>
  <c r="H3660" i="1"/>
  <c r="N3659" i="1"/>
  <c r="J3659" i="1"/>
  <c r="K3659" i="1" s="1"/>
  <c r="H3659" i="1"/>
  <c r="N3658" i="1"/>
  <c r="J3658" i="1"/>
  <c r="K3658" i="1" s="1"/>
  <c r="H3658" i="1"/>
  <c r="C3657" i="1"/>
  <c r="O3657" i="1" s="1"/>
  <c r="N3656" i="1"/>
  <c r="J3656" i="1"/>
  <c r="K3656" i="1" s="1"/>
  <c r="H3656" i="1"/>
  <c r="N3655" i="1"/>
  <c r="K3655" i="1"/>
  <c r="H3655" i="1"/>
  <c r="O3652" i="1"/>
  <c r="N3652" i="1"/>
  <c r="I3652" i="1"/>
  <c r="K3652" i="1" s="1"/>
  <c r="H3652" i="1"/>
  <c r="N3649" i="1"/>
  <c r="K3649" i="1"/>
  <c r="H3649" i="1"/>
  <c r="N3648" i="1"/>
  <c r="K3648" i="1"/>
  <c r="H3648" i="1"/>
  <c r="O3647" i="1"/>
  <c r="N3647" i="1"/>
  <c r="J3647" i="1"/>
  <c r="K3647" i="1" s="1"/>
  <c r="H3647" i="1"/>
  <c r="O3646" i="1"/>
  <c r="J3646" i="1"/>
  <c r="K3646" i="1" s="1"/>
  <c r="O3645" i="1"/>
  <c r="N3645" i="1"/>
  <c r="J3645" i="1"/>
  <c r="K3645" i="1" s="1"/>
  <c r="H3645" i="1"/>
  <c r="N3644" i="1"/>
  <c r="K3644" i="1"/>
  <c r="H3644" i="1"/>
  <c r="O3643" i="1"/>
  <c r="J3643" i="1"/>
  <c r="K3643" i="1" s="1"/>
  <c r="O3642" i="1"/>
  <c r="J3642" i="1"/>
  <c r="K3642" i="1" s="1"/>
  <c r="O3641" i="1"/>
  <c r="J3641" i="1"/>
  <c r="K3641" i="1" s="1"/>
  <c r="O3637" i="1"/>
  <c r="N3637" i="1"/>
  <c r="J3637" i="1"/>
  <c r="K3637" i="1" s="1"/>
  <c r="H3637" i="1"/>
  <c r="O3636" i="1"/>
  <c r="J3636" i="1"/>
  <c r="K3636" i="1" s="1"/>
  <c r="N3632" i="1"/>
  <c r="K3632" i="1"/>
  <c r="H3632" i="1"/>
  <c r="O3631" i="1"/>
  <c r="N3631" i="1"/>
  <c r="J3631" i="1"/>
  <c r="K3631" i="1" s="1"/>
  <c r="H3631" i="1"/>
  <c r="O3630" i="1"/>
  <c r="N3630" i="1"/>
  <c r="J3630" i="1"/>
  <c r="K3630" i="1" s="1"/>
  <c r="H3630" i="1"/>
  <c r="N3626" i="1"/>
  <c r="K3626" i="1"/>
  <c r="H3626" i="1"/>
  <c r="N3625" i="1"/>
  <c r="K3625" i="1"/>
  <c r="H3625" i="1"/>
  <c r="O3623" i="1"/>
  <c r="J3623" i="1"/>
  <c r="K3623" i="1" s="1"/>
  <c r="O3622" i="1"/>
  <c r="N3622" i="1"/>
  <c r="J3622" i="1"/>
  <c r="K3622" i="1" s="1"/>
  <c r="H3622" i="1"/>
  <c r="O3621" i="1"/>
  <c r="N3621" i="1"/>
  <c r="J3621" i="1"/>
  <c r="K3621" i="1" s="1"/>
  <c r="H3621" i="1"/>
  <c r="O3620" i="1"/>
  <c r="N3620" i="1"/>
  <c r="J3620" i="1"/>
  <c r="K3620" i="1" s="1"/>
  <c r="H3620" i="1"/>
  <c r="N3619" i="1"/>
  <c r="K3619" i="1"/>
  <c r="H3619" i="1"/>
  <c r="O3618" i="1"/>
  <c r="N3618" i="1"/>
  <c r="J3618" i="1"/>
  <c r="K3618" i="1" s="1"/>
  <c r="H3618" i="1"/>
  <c r="N3617" i="1"/>
  <c r="K3617" i="1"/>
  <c r="H3617" i="1"/>
  <c r="N3616" i="1"/>
  <c r="J3616" i="1"/>
  <c r="K3616" i="1" s="1"/>
  <c r="H3616" i="1"/>
  <c r="O3615" i="1"/>
  <c r="N3615" i="1"/>
  <c r="I3615" i="1"/>
  <c r="K3615" i="1" s="1"/>
  <c r="H3615" i="1"/>
  <c r="N3614" i="1"/>
  <c r="K3614" i="1"/>
  <c r="H3614" i="1"/>
  <c r="N3613" i="1"/>
  <c r="K3613" i="1"/>
  <c r="H3613" i="1"/>
  <c r="N3612" i="1"/>
  <c r="K3612" i="1"/>
  <c r="H3612" i="1"/>
  <c r="O3610" i="1"/>
  <c r="J3610" i="1"/>
  <c r="K3610" i="1" s="1"/>
  <c r="O3609" i="1"/>
  <c r="J3609" i="1"/>
  <c r="K3609" i="1" s="1"/>
  <c r="O3608" i="1"/>
  <c r="J3608" i="1"/>
  <c r="K3608" i="1" s="1"/>
  <c r="N3607" i="1"/>
  <c r="K3607" i="1"/>
  <c r="H3607" i="1"/>
  <c r="O3605" i="1"/>
  <c r="I3605" i="1"/>
  <c r="K3605" i="1" s="1"/>
  <c r="O3604" i="1"/>
  <c r="I3604" i="1"/>
  <c r="K3604" i="1" s="1"/>
  <c r="N3603" i="1"/>
  <c r="I3603" i="1"/>
  <c r="K3603" i="1" s="1"/>
  <c r="H3603" i="1"/>
  <c r="N3602" i="1"/>
  <c r="K3602" i="1"/>
  <c r="H3602" i="1"/>
  <c r="N3601" i="1"/>
  <c r="K3601" i="1"/>
  <c r="H3601" i="1"/>
  <c r="N3599" i="1"/>
  <c r="J3599" i="1"/>
  <c r="K3599" i="1" s="1"/>
  <c r="H3599" i="1"/>
  <c r="O3598" i="1"/>
  <c r="J3598" i="1"/>
  <c r="K3598" i="1"/>
  <c r="N3597" i="1"/>
  <c r="J3597" i="1"/>
  <c r="K3597" i="1" s="1"/>
  <c r="H3597" i="1"/>
  <c r="N3596" i="1"/>
  <c r="K3596" i="1"/>
  <c r="H3596" i="1"/>
  <c r="N3595" i="1"/>
  <c r="I3595" i="1"/>
  <c r="K3595" i="1" s="1"/>
  <c r="H3595" i="1"/>
  <c r="N3594" i="1"/>
  <c r="K3594" i="1"/>
  <c r="H3594" i="1"/>
  <c r="N3593" i="1"/>
  <c r="K3593" i="1"/>
  <c r="H3593" i="1"/>
  <c r="N3591" i="1"/>
  <c r="J3591" i="1"/>
  <c r="K3591" i="1" s="1"/>
  <c r="H3591" i="1"/>
  <c r="N3590" i="1"/>
  <c r="J3590" i="1"/>
  <c r="K3590" i="1" s="1"/>
  <c r="H3590" i="1"/>
  <c r="O3589" i="1"/>
  <c r="N3589" i="1"/>
  <c r="J3589" i="1"/>
  <c r="K3589" i="1" s="1"/>
  <c r="H3589" i="1"/>
  <c r="N3588" i="1"/>
  <c r="K3588" i="1"/>
  <c r="H3588" i="1"/>
  <c r="O3587" i="1"/>
  <c r="N3587" i="1"/>
  <c r="J3587" i="1"/>
  <c r="K3587" i="1" s="1"/>
  <c r="H3587" i="1"/>
  <c r="N3586" i="1"/>
  <c r="K3586" i="1"/>
  <c r="H3586" i="1"/>
  <c r="N3585" i="1"/>
  <c r="K3585" i="1"/>
  <c r="H3585" i="1"/>
  <c r="N3584" i="1"/>
  <c r="K3584" i="1"/>
  <c r="H3584" i="1"/>
  <c r="N3583" i="1"/>
  <c r="J3583" i="1"/>
  <c r="K3583" i="1" s="1"/>
  <c r="H3583" i="1"/>
  <c r="C3582" i="1"/>
  <c r="C3581" i="1"/>
  <c r="J3581" i="1" s="1"/>
  <c r="K3581" i="1" s="1"/>
  <c r="O3580" i="1"/>
  <c r="J3580" i="1"/>
  <c r="K3580" i="1" s="1"/>
  <c r="O3576" i="1"/>
  <c r="J3576" i="1"/>
  <c r="K3576" i="1" s="1"/>
  <c r="O3575" i="1"/>
  <c r="J3575" i="1"/>
  <c r="K3575" i="1" s="1"/>
  <c r="O3574" i="1"/>
  <c r="J3574" i="1"/>
  <c r="K3574" i="1" s="1"/>
  <c r="O3572" i="1"/>
  <c r="I3572" i="1"/>
  <c r="K3572" i="1" s="1"/>
  <c r="N3569" i="1"/>
  <c r="J3569" i="1"/>
  <c r="K3569" i="1" s="1"/>
  <c r="H3569" i="1"/>
  <c r="N3568" i="1"/>
  <c r="J3568" i="1"/>
  <c r="K3568" i="1" s="1"/>
  <c r="H3568" i="1"/>
  <c r="N3567" i="1"/>
  <c r="J3567" i="1"/>
  <c r="K3567" i="1" s="1"/>
  <c r="H3567" i="1"/>
  <c r="N3566" i="1"/>
  <c r="J3566" i="1"/>
  <c r="K3566" i="1" s="1"/>
  <c r="H3566" i="1"/>
  <c r="N3565" i="1"/>
  <c r="K3565" i="1"/>
  <c r="H3565" i="1"/>
  <c r="N3564" i="1"/>
  <c r="K3564" i="1"/>
  <c r="H3564" i="1"/>
  <c r="N3563" i="1"/>
  <c r="J3563" i="1"/>
  <c r="K3563" i="1" s="1"/>
  <c r="H3563" i="1"/>
  <c r="N3562" i="1"/>
  <c r="J3562" i="1"/>
  <c r="K3562" i="1"/>
  <c r="H3562" i="1"/>
  <c r="N3561" i="1"/>
  <c r="K3561" i="1"/>
  <c r="H3561" i="1"/>
  <c r="O3559" i="1"/>
  <c r="N3559" i="1"/>
  <c r="I3559" i="1"/>
  <c r="K3559" i="1" s="1"/>
  <c r="H3559" i="1"/>
  <c r="O3558" i="1"/>
  <c r="N3558" i="1"/>
  <c r="I3558" i="1"/>
  <c r="K3558" i="1" s="1"/>
  <c r="H3558" i="1"/>
  <c r="N3557" i="1"/>
  <c r="K3557" i="1"/>
  <c r="H3557" i="1"/>
  <c r="N3556" i="1"/>
  <c r="K3556" i="1"/>
  <c r="H3556" i="1"/>
  <c r="N3555" i="1"/>
  <c r="K3555" i="1"/>
  <c r="H3555" i="1"/>
  <c r="N3554" i="1"/>
  <c r="K3554" i="1"/>
  <c r="H3554" i="1"/>
  <c r="N3553" i="1"/>
  <c r="K3553" i="1"/>
  <c r="H3553" i="1"/>
  <c r="N3552" i="1"/>
  <c r="K3552" i="1"/>
  <c r="H3552" i="1"/>
  <c r="N3551" i="1"/>
  <c r="I3551" i="1"/>
  <c r="K3551" i="1" s="1"/>
  <c r="H3551" i="1"/>
  <c r="N3550" i="1"/>
  <c r="K3550" i="1"/>
  <c r="H3550" i="1"/>
  <c r="N3549" i="1"/>
  <c r="K3549" i="1"/>
  <c r="H3549" i="1"/>
  <c r="O3547" i="1"/>
  <c r="J3547" i="1"/>
  <c r="K3547" i="1" s="1"/>
  <c r="N3545" i="1"/>
  <c r="I3545" i="1"/>
  <c r="K3545" i="1" s="1"/>
  <c r="H3545" i="1"/>
  <c r="N3544" i="1"/>
  <c r="K3544" i="1"/>
  <c r="H3544" i="1"/>
  <c r="N3543" i="1"/>
  <c r="K3543" i="1"/>
  <c r="H3543" i="1"/>
  <c r="N3542" i="1"/>
  <c r="K3542" i="1"/>
  <c r="H3542" i="1"/>
  <c r="N3541" i="1"/>
  <c r="I3541" i="1"/>
  <c r="K3541" i="1" s="1"/>
  <c r="H3541" i="1"/>
  <c r="N3540" i="1"/>
  <c r="K3540" i="1"/>
  <c r="H3540" i="1"/>
  <c r="N3539" i="1"/>
  <c r="K3539" i="1"/>
  <c r="H3539" i="1"/>
  <c r="O3537" i="1"/>
  <c r="J3537" i="1"/>
  <c r="K3537" i="1" s="1"/>
  <c r="O3536" i="1"/>
  <c r="J3536" i="1"/>
  <c r="K3536" i="1" s="1"/>
  <c r="O3535" i="1"/>
  <c r="J3535" i="1"/>
  <c r="K3535" i="1" s="1"/>
  <c r="N3532" i="1"/>
  <c r="I3532" i="1"/>
  <c r="K3532" i="1" s="1"/>
  <c r="H3532" i="1"/>
  <c r="N3531" i="1"/>
  <c r="K3531" i="1"/>
  <c r="H3531" i="1"/>
  <c r="N3530" i="1"/>
  <c r="K3530" i="1"/>
  <c r="H3530" i="1"/>
  <c r="O3527" i="1"/>
  <c r="J3527" i="1"/>
  <c r="K3527" i="1" s="1"/>
  <c r="O3526" i="1"/>
  <c r="J3526" i="1"/>
  <c r="K3526" i="1" s="1"/>
  <c r="O3525" i="1"/>
  <c r="J3525" i="1"/>
  <c r="K3525" i="1" s="1"/>
  <c r="O3524" i="1"/>
  <c r="N3524" i="1"/>
  <c r="J3524" i="1"/>
  <c r="K3524" i="1" s="1"/>
  <c r="H3524" i="1"/>
  <c r="N3523" i="1"/>
  <c r="K3523" i="1"/>
  <c r="H3523" i="1"/>
  <c r="N3522" i="1"/>
  <c r="K3522" i="1"/>
  <c r="H3522" i="1"/>
  <c r="O3519" i="1"/>
  <c r="J3519" i="1"/>
  <c r="K3519" i="1" s="1"/>
  <c r="O3518" i="1"/>
  <c r="J3518" i="1"/>
  <c r="K3518" i="1"/>
  <c r="O3517" i="1"/>
  <c r="J3517" i="1"/>
  <c r="K3517" i="1" s="1"/>
  <c r="N3516" i="1"/>
  <c r="K3516" i="1"/>
  <c r="H3516" i="1"/>
  <c r="N3515" i="1"/>
  <c r="K3515" i="1"/>
  <c r="H3515" i="1"/>
  <c r="O3513" i="1"/>
  <c r="J3513" i="1"/>
  <c r="K3513" i="1" s="1"/>
  <c r="O3512" i="1"/>
  <c r="J3512" i="1"/>
  <c r="K3512" i="1" s="1"/>
  <c r="O3511" i="1"/>
  <c r="J3511" i="1"/>
  <c r="K3511" i="1" s="1"/>
  <c r="N3509" i="1"/>
  <c r="K3509" i="1"/>
  <c r="H3509" i="1"/>
  <c r="N3508" i="1"/>
  <c r="H3508" i="1"/>
  <c r="N3507" i="1"/>
  <c r="K3507" i="1"/>
  <c r="H3507" i="1"/>
  <c r="N3506" i="1"/>
  <c r="K3506" i="1"/>
  <c r="H3506" i="1"/>
  <c r="N3505" i="1"/>
  <c r="H3505" i="1"/>
  <c r="N3504" i="1"/>
  <c r="I3504" i="1"/>
  <c r="K3504" i="1" s="1"/>
  <c r="H3504" i="1"/>
  <c r="N3503" i="1"/>
  <c r="K3503" i="1"/>
  <c r="H3503" i="1"/>
  <c r="N3502" i="1"/>
  <c r="O3502" i="1" s="1"/>
  <c r="K3502" i="1"/>
  <c r="H3502" i="1"/>
  <c r="N3501" i="1"/>
  <c r="K3501" i="1"/>
  <c r="H3501" i="1"/>
  <c r="N3500" i="1"/>
  <c r="K3500" i="1"/>
  <c r="H3500" i="1"/>
  <c r="N3499" i="1"/>
  <c r="I3499" i="1"/>
  <c r="K3499" i="1" s="1"/>
  <c r="H3499" i="1"/>
  <c r="N3498" i="1"/>
  <c r="J3498" i="1"/>
  <c r="K3498" i="1" s="1"/>
  <c r="H3498" i="1"/>
  <c r="N3497" i="1"/>
  <c r="J3497" i="1"/>
  <c r="K3497" i="1" s="1"/>
  <c r="H3497" i="1"/>
  <c r="N3496" i="1"/>
  <c r="K3496" i="1"/>
  <c r="H3496" i="1"/>
  <c r="N3495" i="1"/>
  <c r="K3495" i="1"/>
  <c r="H3495" i="1"/>
  <c r="N3494" i="1"/>
  <c r="I3494" i="1"/>
  <c r="K3494" i="1" s="1"/>
  <c r="H3494" i="1"/>
  <c r="N3493" i="1"/>
  <c r="I3493" i="1"/>
  <c r="K3493" i="1" s="1"/>
  <c r="H3493" i="1"/>
  <c r="N3492" i="1"/>
  <c r="I3492" i="1"/>
  <c r="K3492" i="1" s="1"/>
  <c r="H3492" i="1"/>
  <c r="J3489" i="1"/>
  <c r="K3489" i="1" s="1"/>
  <c r="H3489" i="1"/>
  <c r="N3488" i="1"/>
  <c r="J3488" i="1"/>
  <c r="K3488" i="1" s="1"/>
  <c r="H3488" i="1"/>
  <c r="N3487" i="1"/>
  <c r="J3487" i="1"/>
  <c r="K3487" i="1" s="1"/>
  <c r="H3487" i="1"/>
  <c r="N3486" i="1"/>
  <c r="J3486" i="1"/>
  <c r="K3486" i="1" s="1"/>
  <c r="H3486" i="1"/>
  <c r="N3485" i="1"/>
  <c r="I3485" i="1"/>
  <c r="K3485" i="1" s="1"/>
  <c r="H3485" i="1"/>
  <c r="N3484" i="1"/>
  <c r="J3484" i="1"/>
  <c r="K3484" i="1" s="1"/>
  <c r="H3484" i="1"/>
  <c r="N3481" i="1"/>
  <c r="K3481" i="1"/>
  <c r="H3481" i="1"/>
  <c r="N3480" i="1"/>
  <c r="K3480" i="1"/>
  <c r="H3480" i="1"/>
  <c r="E3480" i="1"/>
  <c r="N3479" i="1"/>
  <c r="K3479" i="1"/>
  <c r="H3479" i="1"/>
  <c r="E3479" i="1"/>
  <c r="N3478" i="1"/>
  <c r="K3478" i="1"/>
  <c r="H3478" i="1"/>
  <c r="E3478" i="1"/>
  <c r="N3477" i="1"/>
  <c r="J3477" i="1"/>
  <c r="K3477" i="1" s="1"/>
  <c r="H3477" i="1"/>
  <c r="N3476" i="1"/>
  <c r="H3476" i="1"/>
  <c r="N3474" i="1"/>
  <c r="J3474" i="1"/>
  <c r="K3474" i="1" s="1"/>
  <c r="H3474" i="1"/>
  <c r="N3473" i="1"/>
  <c r="J3473" i="1"/>
  <c r="K3473" i="1" s="1"/>
  <c r="H3473" i="1"/>
  <c r="N3472" i="1"/>
  <c r="J3472" i="1"/>
  <c r="K3472" i="1" s="1"/>
  <c r="H3472" i="1"/>
  <c r="N3471" i="1"/>
  <c r="J3471" i="1"/>
  <c r="K3471" i="1" s="1"/>
  <c r="H3471" i="1"/>
  <c r="N3470" i="1"/>
  <c r="I3470" i="1"/>
  <c r="K3470" i="1" s="1"/>
  <c r="H3470" i="1"/>
  <c r="N3469" i="1"/>
  <c r="J3469" i="1"/>
  <c r="K3469" i="1" s="1"/>
  <c r="H3469" i="1"/>
  <c r="N3468" i="1"/>
  <c r="H3468" i="1"/>
  <c r="N3466" i="1"/>
  <c r="K3466" i="1"/>
  <c r="H3466" i="1"/>
  <c r="N3465" i="1"/>
  <c r="K3465" i="1"/>
  <c r="H3465" i="1"/>
  <c r="E3465" i="1"/>
  <c r="N3464" i="1"/>
  <c r="K3464" i="1"/>
  <c r="H3464" i="1"/>
  <c r="E3464" i="1"/>
  <c r="N3463" i="1"/>
  <c r="K3463" i="1"/>
  <c r="H3463" i="1"/>
  <c r="E3463" i="1"/>
  <c r="N3462" i="1"/>
  <c r="J3462" i="1"/>
  <c r="K3462" i="1" s="1"/>
  <c r="H3462" i="1"/>
  <c r="N3461" i="1"/>
  <c r="I3461" i="1"/>
  <c r="K3461" i="1" s="1"/>
  <c r="H3461" i="1"/>
  <c r="N3460" i="1"/>
  <c r="J3460" i="1"/>
  <c r="K3460" i="1" s="1"/>
  <c r="H3460" i="1"/>
  <c r="N3459" i="1"/>
  <c r="H3459" i="1"/>
  <c r="N3457" i="1"/>
  <c r="J3457" i="1"/>
  <c r="K3457" i="1" s="1"/>
  <c r="H3457" i="1"/>
  <c r="N3456" i="1"/>
  <c r="J3456" i="1"/>
  <c r="K3456" i="1" s="1"/>
  <c r="H3456" i="1"/>
  <c r="N3455" i="1"/>
  <c r="J3455" i="1"/>
  <c r="K3455" i="1" s="1"/>
  <c r="H3455" i="1"/>
  <c r="N3454" i="1"/>
  <c r="J3454" i="1"/>
  <c r="K3454" i="1" s="1"/>
  <c r="H3454" i="1"/>
  <c r="N3453" i="1"/>
  <c r="I3453" i="1"/>
  <c r="K3453" i="1" s="1"/>
  <c r="H3453" i="1"/>
  <c r="N3452" i="1"/>
  <c r="J3452" i="1"/>
  <c r="K3452" i="1" s="1"/>
  <c r="H3452" i="1"/>
  <c r="N3449" i="1"/>
  <c r="J3449" i="1"/>
  <c r="K3449" i="1" s="1"/>
  <c r="H3449" i="1"/>
  <c r="N3448" i="1"/>
  <c r="J3448" i="1"/>
  <c r="K3448" i="1" s="1"/>
  <c r="H3448" i="1"/>
  <c r="N3447" i="1"/>
  <c r="J3447" i="1"/>
  <c r="K3447" i="1" s="1"/>
  <c r="H3447" i="1"/>
  <c r="N3446" i="1"/>
  <c r="J3446" i="1"/>
  <c r="K3446" i="1" s="1"/>
  <c r="H3446" i="1"/>
  <c r="L3445" i="1"/>
  <c r="N3445" i="1" s="1"/>
  <c r="H3445" i="1"/>
  <c r="N3444" i="1"/>
  <c r="J3444" i="1"/>
  <c r="K3444" i="1"/>
  <c r="H3444" i="1"/>
  <c r="N3443" i="1"/>
  <c r="I3443" i="1"/>
  <c r="K3443" i="1"/>
  <c r="H3443" i="1"/>
  <c r="N3442" i="1"/>
  <c r="J3442" i="1"/>
  <c r="K3442" i="1" s="1"/>
  <c r="H3442" i="1"/>
  <c r="N3441" i="1"/>
  <c r="H3441" i="1"/>
  <c r="N3439" i="1"/>
  <c r="K3439" i="1"/>
  <c r="H3439" i="1"/>
  <c r="N3438" i="1"/>
  <c r="J3438" i="1"/>
  <c r="K3438" i="1" s="1"/>
  <c r="H3438" i="1"/>
  <c r="N3437" i="1"/>
  <c r="J3437" i="1"/>
  <c r="K3437" i="1" s="1"/>
  <c r="H3437" i="1"/>
  <c r="N3436" i="1"/>
  <c r="J3436" i="1"/>
  <c r="K3436" i="1" s="1"/>
  <c r="H3436" i="1"/>
  <c r="N3435" i="1"/>
  <c r="J3435" i="1"/>
  <c r="K3435" i="1" s="1"/>
  <c r="H3435" i="1"/>
  <c r="K3434" i="1"/>
  <c r="O3434" i="1" s="1"/>
  <c r="E3434" i="1"/>
  <c r="K3433" i="1"/>
  <c r="O3433" i="1" s="1"/>
  <c r="N3432" i="1"/>
  <c r="J3432" i="1"/>
  <c r="K3432" i="1" s="1"/>
  <c r="H3432" i="1"/>
  <c r="N3431" i="1"/>
  <c r="J3431" i="1"/>
  <c r="K3431" i="1" s="1"/>
  <c r="H3431" i="1"/>
  <c r="N3430" i="1"/>
  <c r="I3430" i="1"/>
  <c r="K3430" i="1" s="1"/>
  <c r="H3430" i="1"/>
  <c r="N3427" i="1"/>
  <c r="K3427" i="1"/>
  <c r="H3427" i="1"/>
  <c r="N3426" i="1"/>
  <c r="J3426" i="1"/>
  <c r="K3426" i="1" s="1"/>
  <c r="H3426" i="1"/>
  <c r="N3425" i="1"/>
  <c r="J3425" i="1"/>
  <c r="K3425" i="1" s="1"/>
  <c r="H3425" i="1"/>
  <c r="N3424" i="1"/>
  <c r="J3424" i="1"/>
  <c r="K3424" i="1" s="1"/>
  <c r="H3424" i="1"/>
  <c r="N3423" i="1"/>
  <c r="J3423" i="1"/>
  <c r="K3423" i="1"/>
  <c r="H3423" i="1"/>
  <c r="N3422" i="1"/>
  <c r="J3422" i="1"/>
  <c r="K3422" i="1" s="1"/>
  <c r="H3422" i="1"/>
  <c r="N3421" i="1"/>
  <c r="J3421" i="1"/>
  <c r="K3421" i="1" s="1"/>
  <c r="H3421" i="1"/>
  <c r="N3420" i="1"/>
  <c r="I3420" i="1"/>
  <c r="K3420" i="1" s="1"/>
  <c r="H3420" i="1"/>
  <c r="N3419" i="1"/>
  <c r="J3419" i="1"/>
  <c r="K3419" i="1" s="1"/>
  <c r="H3419" i="1"/>
  <c r="N3418" i="1"/>
  <c r="H3418" i="1"/>
  <c r="N3417" i="1"/>
  <c r="J3417" i="1"/>
  <c r="K3417" i="1" s="1"/>
  <c r="H3417" i="1"/>
  <c r="O3416" i="1"/>
  <c r="N3415" i="1"/>
  <c r="J3415" i="1"/>
  <c r="K3415" i="1" s="1"/>
  <c r="H3415" i="1"/>
  <c r="N3414" i="1"/>
  <c r="J3414" i="1"/>
  <c r="K3414" i="1" s="1"/>
  <c r="H3414" i="1"/>
  <c r="N3413" i="1"/>
  <c r="J3413" i="1"/>
  <c r="K3413" i="1" s="1"/>
  <c r="H3413" i="1"/>
  <c r="N3412" i="1"/>
  <c r="I3412" i="1"/>
  <c r="K3412" i="1" s="1"/>
  <c r="H3412" i="1"/>
  <c r="N3411" i="1"/>
  <c r="J3411" i="1"/>
  <c r="K3411" i="1" s="1"/>
  <c r="H3411" i="1"/>
  <c r="N3410" i="1"/>
  <c r="H3410" i="1"/>
  <c r="N3409" i="1"/>
  <c r="K3409" i="1"/>
  <c r="H3409" i="1"/>
  <c r="N3408" i="1"/>
  <c r="J3408" i="1"/>
  <c r="K3408" i="1" s="1"/>
  <c r="H3408" i="1"/>
  <c r="J3407" i="1"/>
  <c r="K3407" i="1" s="1"/>
  <c r="H3407" i="1"/>
  <c r="N3406" i="1"/>
  <c r="J3406" i="1"/>
  <c r="K3406" i="1" s="1"/>
  <c r="H3406" i="1"/>
  <c r="N3405" i="1"/>
  <c r="J3405" i="1"/>
  <c r="K3405" i="1" s="1"/>
  <c r="H3405" i="1"/>
  <c r="N3404" i="1"/>
  <c r="J3404" i="1"/>
  <c r="K3404" i="1" s="1"/>
  <c r="H3404" i="1"/>
  <c r="N3403" i="1"/>
  <c r="J3403" i="1"/>
  <c r="K3403" i="1" s="1"/>
  <c r="H3403" i="1"/>
  <c r="N3402" i="1"/>
  <c r="J3402" i="1"/>
  <c r="K3402" i="1"/>
  <c r="H3402" i="1"/>
  <c r="N3399" i="1"/>
  <c r="J3399" i="1"/>
  <c r="K3399" i="1" s="1"/>
  <c r="H3399" i="1"/>
  <c r="N3398" i="1"/>
  <c r="J3398" i="1"/>
  <c r="K3398" i="1" s="1"/>
  <c r="H3398" i="1"/>
  <c r="N3396" i="1"/>
  <c r="I3396" i="1"/>
  <c r="K3396" i="1"/>
  <c r="H3396" i="1"/>
  <c r="N3395" i="1"/>
  <c r="J3395" i="1"/>
  <c r="K3395" i="1" s="1"/>
  <c r="H3395" i="1"/>
  <c r="N3394" i="1"/>
  <c r="J3394" i="1"/>
  <c r="K3394" i="1" s="1"/>
  <c r="H3394" i="1"/>
  <c r="N3393" i="1"/>
  <c r="I3393" i="1"/>
  <c r="K3393" i="1"/>
  <c r="H3393" i="1"/>
  <c r="N3392" i="1"/>
  <c r="J3392" i="1"/>
  <c r="K3392" i="1" s="1"/>
  <c r="H3392" i="1"/>
  <c r="N3391" i="1"/>
  <c r="H3391" i="1"/>
  <c r="N3390" i="1"/>
  <c r="J3390" i="1"/>
  <c r="K3390" i="1" s="1"/>
  <c r="H3390" i="1"/>
  <c r="J3388" i="1"/>
  <c r="K3388" i="1" s="1"/>
  <c r="H3388" i="1"/>
  <c r="J3387" i="1"/>
  <c r="K3387" i="1" s="1"/>
  <c r="H3387" i="1"/>
  <c r="N3386" i="1"/>
  <c r="J3386" i="1"/>
  <c r="K3386" i="1"/>
  <c r="H3386" i="1"/>
  <c r="N3385" i="1"/>
  <c r="J3385" i="1"/>
  <c r="K3385" i="1" s="1"/>
  <c r="H3385" i="1"/>
  <c r="L3384" i="1"/>
  <c r="N3384" i="1" s="1"/>
  <c r="H3384" i="1"/>
  <c r="N3383" i="1"/>
  <c r="J3383" i="1"/>
  <c r="K3383" i="1" s="1"/>
  <c r="H3383" i="1"/>
  <c r="N3382" i="1"/>
  <c r="I3382" i="1"/>
  <c r="K3382" i="1" s="1"/>
  <c r="H3382" i="1"/>
  <c r="N3381" i="1"/>
  <c r="K3381" i="1"/>
  <c r="H3381" i="1"/>
  <c r="N3380" i="1"/>
  <c r="K3380" i="1"/>
  <c r="H3380" i="1"/>
  <c r="N3379" i="1"/>
  <c r="K3379" i="1"/>
  <c r="H3379" i="1"/>
  <c r="J3378" i="1"/>
  <c r="K3378" i="1" s="1"/>
  <c r="O3378" i="1" s="1"/>
  <c r="J3377" i="1"/>
  <c r="K3377" i="1" s="1"/>
  <c r="O3377" i="1" s="1"/>
  <c r="J3376" i="1"/>
  <c r="K3376" i="1" s="1"/>
  <c r="O3376" i="1" s="1"/>
  <c r="K3375" i="1"/>
  <c r="O3375" i="1" s="1"/>
  <c r="N3374" i="1"/>
  <c r="I3374" i="1"/>
  <c r="K3374" i="1" s="1"/>
  <c r="H3374" i="1"/>
  <c r="K3369" i="1"/>
  <c r="O3369" i="1" s="1"/>
  <c r="K3368" i="1"/>
  <c r="O3368" i="1" s="1"/>
  <c r="K3367" i="1"/>
  <c r="O3367" i="1" s="1"/>
  <c r="K3366" i="1"/>
  <c r="O3366" i="1" s="1"/>
  <c r="E3365" i="1"/>
  <c r="J3365" i="1" s="1"/>
  <c r="K3365" i="1" s="1"/>
  <c r="O3365" i="1" s="1"/>
  <c r="I3362" i="1"/>
  <c r="K3362" i="1" s="1"/>
  <c r="O3362" i="1" s="1"/>
  <c r="O3361" i="1"/>
  <c r="L3360" i="1"/>
  <c r="N3360" i="1" s="1"/>
  <c r="O3360" i="1" s="1"/>
  <c r="L3359" i="1"/>
  <c r="N3359" i="1" s="1"/>
  <c r="O3359" i="1" s="1"/>
  <c r="L3358" i="1"/>
  <c r="N3358" i="1" s="1"/>
  <c r="O3358" i="1" s="1"/>
  <c r="L3357" i="1"/>
  <c r="N3357" i="1" s="1"/>
  <c r="O3357" i="1" s="1"/>
  <c r="L3356" i="1"/>
  <c r="N3356" i="1" s="1"/>
  <c r="O3356" i="1" s="1"/>
  <c r="L3355" i="1"/>
  <c r="N3355" i="1"/>
  <c r="K3355" i="1"/>
  <c r="H3355" i="1"/>
  <c r="L3354" i="1"/>
  <c r="N3354" i="1"/>
  <c r="K3354" i="1"/>
  <c r="H3354" i="1"/>
  <c r="L3353" i="1"/>
  <c r="N3353" i="1"/>
  <c r="O3353" i="1" s="1"/>
  <c r="L3352" i="1"/>
  <c r="N3352" i="1" s="1"/>
  <c r="K3352" i="1"/>
  <c r="H3352" i="1"/>
  <c r="L3351" i="1"/>
  <c r="N3351" i="1" s="1"/>
  <c r="O3351" i="1" s="1"/>
  <c r="L3350" i="1"/>
  <c r="N3350" i="1" s="1"/>
  <c r="O3350" i="1" s="1"/>
  <c r="L3349" i="1"/>
  <c r="N3349" i="1" s="1"/>
  <c r="O3349" i="1" s="1"/>
  <c r="L3348" i="1"/>
  <c r="N3348" i="1"/>
  <c r="O3348" i="1" s="1"/>
  <c r="L3347" i="1"/>
  <c r="N3347" i="1" s="1"/>
  <c r="O3347" i="1" s="1"/>
  <c r="L3346" i="1"/>
  <c r="N3346" i="1" s="1"/>
  <c r="O3346" i="1" s="1"/>
  <c r="L3345" i="1"/>
  <c r="N3345" i="1" s="1"/>
  <c r="K3345" i="1"/>
  <c r="H3345" i="1"/>
  <c r="N3344" i="1"/>
  <c r="K3344" i="1"/>
  <c r="H3344" i="1"/>
  <c r="I3343" i="1"/>
  <c r="K3343" i="1" s="1"/>
  <c r="O3343" i="1" s="1"/>
  <c r="N3341" i="1"/>
  <c r="I3341" i="1"/>
  <c r="K3341" i="1" s="1"/>
  <c r="H3341" i="1"/>
  <c r="N3340" i="1"/>
  <c r="I3340" i="1"/>
  <c r="K3340" i="1" s="1"/>
  <c r="H3340" i="1"/>
  <c r="N3339" i="1"/>
  <c r="I3339" i="1"/>
  <c r="K3339" i="1" s="1"/>
  <c r="H3339" i="1"/>
  <c r="N3338" i="1"/>
  <c r="I3338" i="1"/>
  <c r="K3338" i="1" s="1"/>
  <c r="H3338" i="1"/>
  <c r="N3337" i="1"/>
  <c r="I3337" i="1"/>
  <c r="K3337" i="1" s="1"/>
  <c r="H3337" i="1"/>
  <c r="N3336" i="1"/>
  <c r="I3336" i="1"/>
  <c r="K3336" i="1" s="1"/>
  <c r="H3336" i="1"/>
  <c r="N3335" i="1"/>
  <c r="I3335" i="1"/>
  <c r="K3335" i="1" s="1"/>
  <c r="H3335" i="1"/>
  <c r="N3334" i="1"/>
  <c r="I3334" i="1"/>
  <c r="K3334" i="1" s="1"/>
  <c r="H3334" i="1"/>
  <c r="N3333" i="1"/>
  <c r="I3333" i="1"/>
  <c r="K3333" i="1" s="1"/>
  <c r="H3333" i="1"/>
  <c r="N3332" i="1"/>
  <c r="I3332" i="1"/>
  <c r="K3332" i="1" s="1"/>
  <c r="H3332" i="1"/>
  <c r="N3331" i="1"/>
  <c r="I3331" i="1"/>
  <c r="K3331" i="1" s="1"/>
  <c r="H3331" i="1"/>
  <c r="N3330" i="1"/>
  <c r="I3330" i="1"/>
  <c r="K3330" i="1" s="1"/>
  <c r="H3330" i="1"/>
  <c r="N3329" i="1"/>
  <c r="I3329" i="1"/>
  <c r="K3329" i="1" s="1"/>
  <c r="H3329" i="1"/>
  <c r="N3328" i="1"/>
  <c r="I3328" i="1"/>
  <c r="K3328" i="1" s="1"/>
  <c r="H3328" i="1"/>
  <c r="N3327" i="1"/>
  <c r="I3327" i="1"/>
  <c r="K3327" i="1" s="1"/>
  <c r="H3327" i="1"/>
  <c r="N3325" i="1"/>
  <c r="K3325" i="1"/>
  <c r="E3325" i="1"/>
  <c r="F3325" i="1" s="1"/>
  <c r="H3325" i="1" s="1"/>
  <c r="N3324" i="1"/>
  <c r="K3324" i="1"/>
  <c r="F3324" i="1"/>
  <c r="H3324" i="1" s="1"/>
  <c r="N3323" i="1"/>
  <c r="K3323" i="1"/>
  <c r="F3323" i="1"/>
  <c r="H3323" i="1" s="1"/>
  <c r="N3322" i="1"/>
  <c r="K3322" i="1"/>
  <c r="F3322" i="1"/>
  <c r="H3322" i="1" s="1"/>
  <c r="N3321" i="1"/>
  <c r="K3321" i="1"/>
  <c r="F3321" i="1"/>
  <c r="H3321" i="1" s="1"/>
  <c r="N3320" i="1"/>
  <c r="K3320" i="1"/>
  <c r="F3320" i="1"/>
  <c r="H3320" i="1" s="1"/>
  <c r="N3319" i="1"/>
  <c r="K3319" i="1"/>
  <c r="F3319" i="1"/>
  <c r="H3319" i="1" s="1"/>
  <c r="N3318" i="1"/>
  <c r="K3318" i="1"/>
  <c r="F3318" i="1"/>
  <c r="H3318" i="1" s="1"/>
  <c r="N3317" i="1"/>
  <c r="K3317" i="1"/>
  <c r="F3317" i="1"/>
  <c r="H3317" i="1" s="1"/>
  <c r="N3316" i="1"/>
  <c r="K3316" i="1"/>
  <c r="F3316" i="1"/>
  <c r="H3316" i="1" s="1"/>
  <c r="N3315" i="1"/>
  <c r="K3315" i="1"/>
  <c r="F3315" i="1"/>
  <c r="H3315" i="1" s="1"/>
  <c r="N3314" i="1"/>
  <c r="K3314" i="1"/>
  <c r="F3314" i="1"/>
  <c r="H3314" i="1" s="1"/>
  <c r="N3313" i="1"/>
  <c r="K3313" i="1"/>
  <c r="F3313" i="1"/>
  <c r="H3313" i="1" s="1"/>
  <c r="N3312" i="1"/>
  <c r="K3312" i="1"/>
  <c r="F3312" i="1"/>
  <c r="H3312" i="1" s="1"/>
  <c r="N3311" i="1"/>
  <c r="K3311" i="1"/>
  <c r="F3311" i="1"/>
  <c r="H3311" i="1" s="1"/>
  <c r="N3310" i="1"/>
  <c r="K3310" i="1"/>
  <c r="F3310" i="1"/>
  <c r="H3310" i="1" s="1"/>
  <c r="N3309" i="1"/>
  <c r="K3309" i="1"/>
  <c r="F3309" i="1"/>
  <c r="H3309" i="1" s="1"/>
  <c r="N3308" i="1"/>
  <c r="K3308" i="1"/>
  <c r="F3308" i="1"/>
  <c r="H3308" i="1" s="1"/>
  <c r="N3307" i="1"/>
  <c r="K3307" i="1"/>
  <c r="F3307" i="1"/>
  <c r="H3307" i="1" s="1"/>
  <c r="N3306" i="1"/>
  <c r="K3306" i="1"/>
  <c r="F3306" i="1"/>
  <c r="H3306" i="1" s="1"/>
  <c r="N3305" i="1"/>
  <c r="K3305" i="1"/>
  <c r="F3305" i="1"/>
  <c r="H3305" i="1" s="1"/>
  <c r="N3304" i="1"/>
  <c r="K3304" i="1"/>
  <c r="F3304" i="1"/>
  <c r="H3304" i="1" s="1"/>
  <c r="N3303" i="1"/>
  <c r="K3303" i="1"/>
  <c r="F3303" i="1"/>
  <c r="H3303" i="1" s="1"/>
  <c r="N3302" i="1"/>
  <c r="K3302" i="1"/>
  <c r="F3302" i="1"/>
  <c r="H3302" i="1" s="1"/>
  <c r="N3301" i="1"/>
  <c r="K3301" i="1"/>
  <c r="F3301" i="1"/>
  <c r="H3301" i="1" s="1"/>
  <c r="N3300" i="1"/>
  <c r="K3300" i="1"/>
  <c r="F3300" i="1"/>
  <c r="H3300" i="1" s="1"/>
  <c r="N3299" i="1"/>
  <c r="K3299" i="1"/>
  <c r="F3299" i="1"/>
  <c r="H3299" i="1" s="1"/>
  <c r="N3298" i="1"/>
  <c r="K3298" i="1"/>
  <c r="F3298" i="1"/>
  <c r="H3298" i="1" s="1"/>
  <c r="N3297" i="1"/>
  <c r="K3297" i="1"/>
  <c r="F3297" i="1"/>
  <c r="H3297" i="1" s="1"/>
  <c r="N3296" i="1"/>
  <c r="K3296" i="1"/>
  <c r="F3296" i="1"/>
  <c r="H3296" i="1" s="1"/>
  <c r="N3295" i="1"/>
  <c r="K3295" i="1"/>
  <c r="F3295" i="1"/>
  <c r="H3295" i="1" s="1"/>
  <c r="N3294" i="1"/>
  <c r="K3294" i="1"/>
  <c r="F3294" i="1"/>
  <c r="H3294" i="1" s="1"/>
  <c r="N3293" i="1"/>
  <c r="K3293" i="1"/>
  <c r="F3293" i="1"/>
  <c r="H3293" i="1" s="1"/>
  <c r="N3292" i="1"/>
  <c r="K3292" i="1"/>
  <c r="F3292" i="1"/>
  <c r="H3292" i="1" s="1"/>
  <c r="N3291" i="1"/>
  <c r="K3291" i="1"/>
  <c r="F3291" i="1"/>
  <c r="H3291" i="1" s="1"/>
  <c r="N3290" i="1"/>
  <c r="K3290" i="1"/>
  <c r="F3290" i="1"/>
  <c r="H3290" i="1" s="1"/>
  <c r="N3289" i="1"/>
  <c r="K3289" i="1"/>
  <c r="F3289" i="1"/>
  <c r="H3289" i="1" s="1"/>
  <c r="O3288" i="1"/>
  <c r="O3287" i="1"/>
  <c r="L1392" i="1"/>
  <c r="L1388" i="1" s="1"/>
  <c r="N1388" i="1" s="1"/>
  <c r="J1391" i="1"/>
  <c r="K1391" i="1" s="1"/>
  <c r="O1391" i="1" s="1"/>
  <c r="O3781" i="1"/>
  <c r="O3874" i="1"/>
  <c r="P3573" i="1"/>
  <c r="L3830" i="1"/>
  <c r="N3830" i="1" s="1"/>
  <c r="O3804" i="1"/>
  <c r="O4152" i="1"/>
  <c r="O3582" i="1"/>
  <c r="J3582" i="1"/>
  <c r="K3582" i="1" s="1"/>
  <c r="J3657" i="1"/>
  <c r="K3657" i="1" s="1"/>
  <c r="O4017" i="1"/>
  <c r="P1372" i="1"/>
  <c r="E1382" i="1"/>
  <c r="L1382" i="1" s="1"/>
  <c r="N1382" i="1" s="1"/>
  <c r="O1382" i="1" s="1"/>
  <c r="E2907" i="1"/>
  <c r="E1378" i="1"/>
  <c r="L1579" i="1"/>
  <c r="N1579" i="1" s="1"/>
  <c r="O1579" i="1" s="1"/>
  <c r="L1215" i="1"/>
  <c r="N1215" i="1" s="1"/>
  <c r="O1215" i="1" s="1"/>
  <c r="L1515" i="1"/>
  <c r="N1515" i="1" s="1"/>
  <c r="O1515" i="1" s="1"/>
  <c r="F34" i="38"/>
  <c r="C22" i="10"/>
  <c r="C20" i="10" s="1"/>
  <c r="D22" i="10"/>
  <c r="E22" i="10"/>
  <c r="B22" i="10"/>
  <c r="C18" i="10"/>
  <c r="C16" i="10" s="1"/>
  <c r="D18" i="10"/>
  <c r="E18" i="10"/>
  <c r="B18" i="10"/>
  <c r="E12" i="10"/>
  <c r="E14" i="10"/>
  <c r="C12" i="10"/>
  <c r="D12" i="10"/>
  <c r="C14" i="10"/>
  <c r="D14" i="10"/>
  <c r="B14" i="10"/>
  <c r="B12" i="10"/>
  <c r="L1513" i="1"/>
  <c r="N1513" i="1" s="1"/>
  <c r="O1513" i="1" s="1"/>
  <c r="C54" i="19"/>
  <c r="F54" i="19" s="1"/>
  <c r="D54" i="19"/>
  <c r="E54" i="19"/>
  <c r="C55" i="19"/>
  <c r="D55" i="19"/>
  <c r="E55" i="19"/>
  <c r="B55" i="19"/>
  <c r="B54" i="19"/>
  <c r="C341" i="5"/>
  <c r="D341" i="5"/>
  <c r="E341" i="5"/>
  <c r="C342" i="5"/>
  <c r="D342" i="5"/>
  <c r="C343" i="5"/>
  <c r="D343" i="5"/>
  <c r="C344" i="5"/>
  <c r="D344" i="5"/>
  <c r="E344" i="5"/>
  <c r="B342" i="5"/>
  <c r="B343" i="5"/>
  <c r="B344" i="5"/>
  <c r="B341" i="5"/>
  <c r="C340" i="5"/>
  <c r="D340" i="5"/>
  <c r="B340" i="5"/>
  <c r="C167" i="5"/>
  <c r="D167" i="5"/>
  <c r="E167" i="5"/>
  <c r="C168" i="5"/>
  <c r="D168" i="5"/>
  <c r="E168" i="5"/>
  <c r="C169" i="5"/>
  <c r="D169" i="5"/>
  <c r="E169" i="5"/>
  <c r="B168" i="5"/>
  <c r="B169" i="5"/>
  <c r="C20" i="5"/>
  <c r="D20" i="5"/>
  <c r="E20" i="5"/>
  <c r="C21" i="5"/>
  <c r="D21" i="5"/>
  <c r="E21" i="5"/>
  <c r="C22" i="5"/>
  <c r="D22" i="5"/>
  <c r="E22" i="5"/>
  <c r="C23" i="5"/>
  <c r="D23" i="5"/>
  <c r="E23" i="5"/>
  <c r="C24" i="5"/>
  <c r="D24" i="5"/>
  <c r="E24" i="5"/>
  <c r="C25" i="5"/>
  <c r="D25" i="5"/>
  <c r="E25" i="5"/>
  <c r="C26" i="5"/>
  <c r="D26" i="5"/>
  <c r="E26" i="5"/>
  <c r="B21" i="5"/>
  <c r="B22" i="5"/>
  <c r="B23" i="5"/>
  <c r="B24" i="5"/>
  <c r="B25" i="5"/>
  <c r="B26" i="5"/>
  <c r="B20" i="5"/>
  <c r="C29" i="5"/>
  <c r="D29" i="5"/>
  <c r="C30" i="5"/>
  <c r="D30" i="5"/>
  <c r="C31" i="5"/>
  <c r="D31" i="5"/>
  <c r="C32" i="5"/>
  <c r="D32" i="5"/>
  <c r="C33" i="5"/>
  <c r="D33" i="5"/>
  <c r="C34" i="5"/>
  <c r="D34" i="5"/>
  <c r="C35" i="5"/>
  <c r="D35" i="5"/>
  <c r="E35" i="5"/>
  <c r="C36" i="5"/>
  <c r="D36" i="5"/>
  <c r="E36" i="5"/>
  <c r="B36" i="5"/>
  <c r="B30" i="5"/>
  <c r="B31" i="5"/>
  <c r="B32" i="5"/>
  <c r="B33" i="5"/>
  <c r="B34" i="5"/>
  <c r="B35" i="5"/>
  <c r="B29" i="5"/>
  <c r="C287" i="5"/>
  <c r="D287" i="5"/>
  <c r="E287" i="5"/>
  <c r="C288" i="5"/>
  <c r="D288" i="5"/>
  <c r="C289" i="5"/>
  <c r="D289" i="5"/>
  <c r="E289" i="5"/>
  <c r="C290" i="5"/>
  <c r="D290" i="5"/>
  <c r="E290" i="5"/>
  <c r="C291" i="5"/>
  <c r="D291" i="5"/>
  <c r="E291" i="5"/>
  <c r="C292" i="5"/>
  <c r="D292" i="5"/>
  <c r="E292" i="5"/>
  <c r="C293" i="5"/>
  <c r="D293" i="5"/>
  <c r="C294" i="5"/>
  <c r="D294" i="5"/>
  <c r="C295" i="5"/>
  <c r="D295" i="5"/>
  <c r="C296" i="5"/>
  <c r="D296" i="5"/>
  <c r="E296" i="5"/>
  <c r="C297" i="5"/>
  <c r="D297" i="5"/>
  <c r="E297" i="5"/>
  <c r="B297" i="5"/>
  <c r="B288" i="5"/>
  <c r="B289" i="5"/>
  <c r="B290" i="5"/>
  <c r="B291" i="5"/>
  <c r="B292" i="5"/>
  <c r="B293" i="5"/>
  <c r="B294" i="5"/>
  <c r="B295" i="5"/>
  <c r="B296" i="5"/>
  <c r="B287" i="5"/>
  <c r="L2434" i="1"/>
  <c r="N2434" i="1" s="1"/>
  <c r="O2434" i="1" s="1"/>
  <c r="M2563" i="1"/>
  <c r="G2563" i="1"/>
  <c r="F2563" i="1"/>
  <c r="L2808" i="1"/>
  <c r="N2808" i="1" s="1"/>
  <c r="O2808" i="1" s="1"/>
  <c r="L2807" i="1"/>
  <c r="N2807" i="1" s="1"/>
  <c r="O2807" i="1" s="1"/>
  <c r="M1940" i="1"/>
  <c r="G1940" i="1"/>
  <c r="F1940" i="1"/>
  <c r="L2129" i="1"/>
  <c r="N2129" i="1" s="1"/>
  <c r="O2129" i="1" s="1"/>
  <c r="L2128" i="1"/>
  <c r="N2128" i="1" s="1"/>
  <c r="O2128" i="1" s="1"/>
  <c r="E1036" i="1"/>
  <c r="E182" i="7" s="1"/>
  <c r="E2835" i="1"/>
  <c r="E2836" i="1"/>
  <c r="E340" i="5" s="1"/>
  <c r="E1578" i="1"/>
  <c r="E295" i="5" s="1"/>
  <c r="J2517" i="1"/>
  <c r="K2517" i="1" s="1"/>
  <c r="O2517" i="1" s="1"/>
  <c r="J2469" i="1"/>
  <c r="K2469" i="1" s="1"/>
  <c r="O2469" i="1" s="1"/>
  <c r="L2560" i="1"/>
  <c r="N2560" i="1" s="1"/>
  <c r="O2560" i="1" s="1"/>
  <c r="M2326" i="1"/>
  <c r="G2326" i="1"/>
  <c r="F2326" i="1"/>
  <c r="L2540" i="1"/>
  <c r="N2540" i="1"/>
  <c r="O2540" i="1" s="1"/>
  <c r="I2451" i="1"/>
  <c r="K2451" i="1" s="1"/>
  <c r="O2451" i="1" s="1"/>
  <c r="L2431" i="1"/>
  <c r="N2431" i="1" s="1"/>
  <c r="O2431" i="1" s="1"/>
  <c r="L2432" i="1"/>
  <c r="N2432" i="1" s="1"/>
  <c r="O2432" i="1" s="1"/>
  <c r="L2433" i="1"/>
  <c r="N2433" i="1" s="1"/>
  <c r="O2433" i="1" s="1"/>
  <c r="L2430" i="1"/>
  <c r="N2430" i="1"/>
  <c r="O2430" i="1" s="1"/>
  <c r="I2497" i="1"/>
  <c r="K2497" i="1" s="1"/>
  <c r="O2497" i="1" s="1"/>
  <c r="I2496" i="1"/>
  <c r="K2496" i="1" s="1"/>
  <c r="O2496" i="1" s="1"/>
  <c r="J2407" i="1"/>
  <c r="K2407" i="1"/>
  <c r="O2407" i="1" s="1"/>
  <c r="J2406" i="1"/>
  <c r="K2406" i="1" s="1"/>
  <c r="O2406" i="1" s="1"/>
  <c r="J2405" i="1"/>
  <c r="K2405" i="1" s="1"/>
  <c r="O2405" i="1" s="1"/>
  <c r="J2401" i="1"/>
  <c r="K2401" i="1"/>
  <c r="O2401" i="1" s="1"/>
  <c r="J2400" i="1"/>
  <c r="K2400" i="1" s="1"/>
  <c r="O2400" i="1" s="1"/>
  <c r="J2399" i="1"/>
  <c r="K2399" i="1" s="1"/>
  <c r="O2399" i="1" s="1"/>
  <c r="J2398" i="1"/>
  <c r="K2398" i="1" s="1"/>
  <c r="O2398" i="1" s="1"/>
  <c r="J2350" i="1"/>
  <c r="K2350" i="1" s="1"/>
  <c r="O2350" i="1" s="1"/>
  <c r="E2105" i="1"/>
  <c r="E2108" i="1"/>
  <c r="L2108" i="1" s="1"/>
  <c r="N2108" i="1" s="1"/>
  <c r="O2108" i="1" s="1"/>
  <c r="E2107" i="1"/>
  <c r="L2107" i="1" s="1"/>
  <c r="N2107" i="1" s="1"/>
  <c r="O2107" i="1" s="1"/>
  <c r="L4672" i="1"/>
  <c r="N4672" i="1" s="1"/>
  <c r="L4673" i="1"/>
  <c r="N4673" i="1" s="1"/>
  <c r="O4673" i="1" s="1"/>
  <c r="L4671" i="1"/>
  <c r="N4671" i="1" s="1"/>
  <c r="O4671" i="1" s="1"/>
  <c r="G4399" i="1"/>
  <c r="G4402" i="1" s="1"/>
  <c r="J4613" i="1"/>
  <c r="K4613" i="1" s="1"/>
  <c r="J4614" i="1"/>
  <c r="K4614" i="1" s="1"/>
  <c r="J4615" i="1"/>
  <c r="J4599" i="1"/>
  <c r="K4599" i="1" s="1"/>
  <c r="O4599" i="1" s="1"/>
  <c r="J4600" i="1"/>
  <c r="K4600" i="1" s="1"/>
  <c r="J4601" i="1"/>
  <c r="K4601" i="1" s="1"/>
  <c r="J4602" i="1"/>
  <c r="K4602" i="1" s="1"/>
  <c r="J4603" i="1"/>
  <c r="K4603" i="1" s="1"/>
  <c r="O4603" i="1" s="1"/>
  <c r="J4604" i="1"/>
  <c r="J4605" i="1"/>
  <c r="K4605" i="1" s="1"/>
  <c r="O4605" i="1" s="1"/>
  <c r="J4606" i="1"/>
  <c r="K4606" i="1" s="1"/>
  <c r="J4607" i="1"/>
  <c r="K4607" i="1" s="1"/>
  <c r="J4608" i="1"/>
  <c r="K4608" i="1" s="1"/>
  <c r="J4609" i="1"/>
  <c r="K4609" i="1" s="1"/>
  <c r="O4609" i="1" s="1"/>
  <c r="J4610" i="1"/>
  <c r="K4610" i="1" s="1"/>
  <c r="J4611" i="1"/>
  <c r="K4611" i="1" s="1"/>
  <c r="J4612" i="1"/>
  <c r="K4612" i="1" s="1"/>
  <c r="J4582" i="1"/>
  <c r="K4582" i="1" s="1"/>
  <c r="J4584" i="1"/>
  <c r="J4585" i="1"/>
  <c r="K4585" i="1" s="1"/>
  <c r="J4586" i="1"/>
  <c r="K4586" i="1" s="1"/>
  <c r="J4587" i="1"/>
  <c r="K4587" i="1" s="1"/>
  <c r="J4588" i="1"/>
  <c r="K4588" i="1" s="1"/>
  <c r="J4589" i="1"/>
  <c r="K4589" i="1" s="1"/>
  <c r="J4590" i="1"/>
  <c r="K4590" i="1" s="1"/>
  <c r="J4591" i="1"/>
  <c r="K4591" i="1" s="1"/>
  <c r="J4592" i="1"/>
  <c r="K4592" i="1" s="1"/>
  <c r="J4593" i="1"/>
  <c r="K4593" i="1" s="1"/>
  <c r="J4594" i="1"/>
  <c r="K4594" i="1" s="1"/>
  <c r="J4596" i="1"/>
  <c r="K4596" i="1" s="1"/>
  <c r="J4568" i="1"/>
  <c r="J4569" i="1"/>
  <c r="K4569" i="1" s="1"/>
  <c r="J4570" i="1"/>
  <c r="K4570" i="1" s="1"/>
  <c r="J4571" i="1"/>
  <c r="K4571" i="1" s="1"/>
  <c r="J4572" i="1"/>
  <c r="K4572" i="1" s="1"/>
  <c r="J4573" i="1"/>
  <c r="J4574" i="1"/>
  <c r="J4575" i="1"/>
  <c r="J4576" i="1"/>
  <c r="K4576" i="1" s="1"/>
  <c r="O4576" i="1" s="1"/>
  <c r="J4577" i="1"/>
  <c r="K4577" i="1" s="1"/>
  <c r="J4578" i="1"/>
  <c r="J4579" i="1"/>
  <c r="K4579" i="1" s="1"/>
  <c r="J4580" i="1"/>
  <c r="K4580" i="1" s="1"/>
  <c r="O4580" i="1" s="1"/>
  <c r="J4581" i="1"/>
  <c r="K4581" i="1" s="1"/>
  <c r="I4557" i="1"/>
  <c r="K4557" i="1" s="1"/>
  <c r="I4558" i="1"/>
  <c r="K4558" i="1" s="1"/>
  <c r="I4559" i="1"/>
  <c r="I4560" i="1"/>
  <c r="I4561" i="1"/>
  <c r="I4562" i="1"/>
  <c r="I4563" i="1"/>
  <c r="I4541" i="1"/>
  <c r="K4541" i="1" s="1"/>
  <c r="I4542" i="1"/>
  <c r="K4542" i="1" s="1"/>
  <c r="I4543" i="1"/>
  <c r="I4544" i="1"/>
  <c r="I4545" i="1"/>
  <c r="K4545" i="1" s="1"/>
  <c r="I4546" i="1"/>
  <c r="K4546" i="1" s="1"/>
  <c r="I4547" i="1"/>
  <c r="K4547" i="1" s="1"/>
  <c r="I4548" i="1"/>
  <c r="I4549" i="1"/>
  <c r="I4550" i="1"/>
  <c r="K4550" i="1" s="1"/>
  <c r="I4551" i="1"/>
  <c r="K4551" i="1" s="1"/>
  <c r="I4552" i="1"/>
  <c r="K4552" i="1" s="1"/>
  <c r="I4553" i="1"/>
  <c r="K4553" i="1" s="1"/>
  <c r="I4554" i="1"/>
  <c r="I4555" i="1"/>
  <c r="I4556" i="1"/>
  <c r="K4556" i="1" s="1"/>
  <c r="I4519" i="1"/>
  <c r="I4520" i="1"/>
  <c r="I4521" i="1"/>
  <c r="K4521" i="1" s="1"/>
  <c r="I4522" i="1"/>
  <c r="K4522" i="1" s="1"/>
  <c r="I4523" i="1"/>
  <c r="K4523" i="1" s="1"/>
  <c r="I4524" i="1"/>
  <c r="I4525" i="1"/>
  <c r="I4526" i="1"/>
  <c r="K4526" i="1" s="1"/>
  <c r="I4527" i="1"/>
  <c r="K4527" i="1" s="1"/>
  <c r="I4528" i="1"/>
  <c r="K4528" i="1" s="1"/>
  <c r="I4529" i="1"/>
  <c r="I4530" i="1"/>
  <c r="K4530" i="1" s="1"/>
  <c r="I4531" i="1"/>
  <c r="K4531" i="1" s="1"/>
  <c r="I4532" i="1"/>
  <c r="K4532" i="1" s="1"/>
  <c r="I4533" i="1"/>
  <c r="I4534" i="1"/>
  <c r="I4535" i="1"/>
  <c r="I4536" i="1"/>
  <c r="K4536" i="1" s="1"/>
  <c r="I4537" i="1"/>
  <c r="K4537" i="1" s="1"/>
  <c r="I4538" i="1"/>
  <c r="K4538" i="1" s="1"/>
  <c r="O4538" i="1" s="1"/>
  <c r="I4539" i="1"/>
  <c r="I4540" i="1"/>
  <c r="K4540" i="1" s="1"/>
  <c r="I4500" i="1"/>
  <c r="K4500" i="1" s="1"/>
  <c r="I4501" i="1"/>
  <c r="K4501" i="1" s="1"/>
  <c r="I4502" i="1"/>
  <c r="I4503" i="1"/>
  <c r="I4504" i="1"/>
  <c r="K4504" i="1" s="1"/>
  <c r="I4505" i="1"/>
  <c r="K4505" i="1" s="1"/>
  <c r="I4506" i="1"/>
  <c r="K4506" i="1" s="1"/>
  <c r="I4507" i="1"/>
  <c r="K4507" i="1" s="1"/>
  <c r="I4508" i="1"/>
  <c r="K4508" i="1" s="1"/>
  <c r="I4509" i="1"/>
  <c r="K4509" i="1" s="1"/>
  <c r="I4510" i="1"/>
  <c r="I4511" i="1"/>
  <c r="K4511" i="1" s="1"/>
  <c r="I4512" i="1"/>
  <c r="K4512" i="1" s="1"/>
  <c r="I4513" i="1"/>
  <c r="K4513" i="1" s="1"/>
  <c r="I4514" i="1"/>
  <c r="I4515" i="1"/>
  <c r="I4516" i="1"/>
  <c r="K4516" i="1" s="1"/>
  <c r="I4517" i="1"/>
  <c r="K4517" i="1" s="1"/>
  <c r="O4517" i="1" s="1"/>
  <c r="I4518" i="1"/>
  <c r="K4518" i="1" s="1"/>
  <c r="I4492" i="1"/>
  <c r="K4492" i="1" s="1"/>
  <c r="I4493" i="1"/>
  <c r="K4493" i="1" s="1"/>
  <c r="I4494" i="1"/>
  <c r="K4494" i="1" s="1"/>
  <c r="I4495" i="1"/>
  <c r="K4495" i="1" s="1"/>
  <c r="I4710" i="1"/>
  <c r="K4710" i="1" s="1"/>
  <c r="I4709" i="1"/>
  <c r="K4709" i="1" s="1"/>
  <c r="I4708" i="1"/>
  <c r="K4708" i="1" s="1"/>
  <c r="I4707" i="1"/>
  <c r="K4707" i="1" s="1"/>
  <c r="I4706" i="1"/>
  <c r="K4706" i="1" s="1"/>
  <c r="O4706" i="1" s="1"/>
  <c r="I4705" i="1"/>
  <c r="K4705" i="1" s="1"/>
  <c r="I4704" i="1"/>
  <c r="K4704" i="1" s="1"/>
  <c r="I4702" i="1"/>
  <c r="K4702" i="1" s="1"/>
  <c r="O4702" i="1" s="1"/>
  <c r="I4701" i="1"/>
  <c r="K4701" i="1" s="1"/>
  <c r="I4700" i="1"/>
  <c r="K4700" i="1" s="1"/>
  <c r="I4698" i="1"/>
  <c r="K4698" i="1" s="1"/>
  <c r="I4697" i="1"/>
  <c r="K4697" i="1" s="1"/>
  <c r="I4696" i="1"/>
  <c r="K4696" i="1" s="1"/>
  <c r="I4694" i="1"/>
  <c r="K4694" i="1" s="1"/>
  <c r="I4693" i="1"/>
  <c r="K4693" i="1" s="1"/>
  <c r="I4692" i="1"/>
  <c r="K4692" i="1" s="1"/>
  <c r="L4684" i="1"/>
  <c r="N4684" i="1" s="1"/>
  <c r="L4683" i="1"/>
  <c r="N4683" i="1" s="1"/>
  <c r="L4682" i="1"/>
  <c r="N4682" i="1" s="1"/>
  <c r="L4679" i="1"/>
  <c r="N4679" i="1" s="1"/>
  <c r="N4678" i="1"/>
  <c r="N4677" i="1"/>
  <c r="O4677" i="1" s="1"/>
  <c r="N4676" i="1"/>
  <c r="M4674" i="1"/>
  <c r="N4674" i="1" s="1"/>
  <c r="L4670" i="1"/>
  <c r="N4670" i="1" s="1"/>
  <c r="L4669" i="1"/>
  <c r="N4669" i="1" s="1"/>
  <c r="L4668" i="1"/>
  <c r="N4668" i="1" s="1"/>
  <c r="O4668" i="1" s="1"/>
  <c r="L4666" i="1"/>
  <c r="N4666" i="1" s="1"/>
  <c r="L4665" i="1"/>
  <c r="N4665" i="1" s="1"/>
  <c r="L4664" i="1"/>
  <c r="N4664" i="1" s="1"/>
  <c r="L4663" i="1"/>
  <c r="N4663" i="1" s="1"/>
  <c r="L4653" i="1"/>
  <c r="N4653" i="1" s="1"/>
  <c r="K4653" i="1"/>
  <c r="L4652" i="1"/>
  <c r="N4652" i="1" s="1"/>
  <c r="K4652" i="1"/>
  <c r="I4648" i="1"/>
  <c r="K4648" i="1" s="1"/>
  <c r="O4648" i="1" s="1"/>
  <c r="I4647" i="1"/>
  <c r="K4647" i="1" s="1"/>
  <c r="O4647" i="1" s="1"/>
  <c r="I4644" i="1"/>
  <c r="K4644" i="1" s="1"/>
  <c r="M4633" i="1"/>
  <c r="N4633" i="1" s="1"/>
  <c r="K4633" i="1"/>
  <c r="M4632" i="1"/>
  <c r="N4632" i="1" s="1"/>
  <c r="K4632" i="1"/>
  <c r="M4629" i="1"/>
  <c r="N4629" i="1" s="1"/>
  <c r="M4628" i="1"/>
  <c r="N4628" i="1" s="1"/>
  <c r="K4628" i="1"/>
  <c r="M4627" i="1"/>
  <c r="N4627" i="1" s="1"/>
  <c r="K4627" i="1"/>
  <c r="I4620" i="1"/>
  <c r="K4620" i="1" s="1"/>
  <c r="I4619" i="1"/>
  <c r="K4619" i="1" s="1"/>
  <c r="O4619" i="1" s="1"/>
  <c r="I4618" i="1"/>
  <c r="K4618" i="1" s="1"/>
  <c r="I4617" i="1"/>
  <c r="J4567" i="1"/>
  <c r="K4567" i="1" s="1"/>
  <c r="K4566" i="1"/>
  <c r="K4565" i="1"/>
  <c r="I4499" i="1"/>
  <c r="K4498" i="1"/>
  <c r="O4498" i="1" s="1"/>
  <c r="K4497" i="1"/>
  <c r="K4496" i="1"/>
  <c r="O4496" i="1" s="1"/>
  <c r="I4491" i="1"/>
  <c r="K4491" i="1" s="1"/>
  <c r="I4490" i="1"/>
  <c r="I4489" i="1"/>
  <c r="K4489" i="1" s="1"/>
  <c r="F4484" i="1"/>
  <c r="H4484" i="1" s="1"/>
  <c r="F4479" i="1"/>
  <c r="H4479" i="1" s="1"/>
  <c r="F4478" i="1"/>
  <c r="H4478" i="1" s="1"/>
  <c r="F4477" i="1"/>
  <c r="H4477" i="1" s="1"/>
  <c r="F4476" i="1"/>
  <c r="H4476" i="1" s="1"/>
  <c r="O4476" i="1" s="1"/>
  <c r="F4475" i="1"/>
  <c r="H4475" i="1" s="1"/>
  <c r="O4475" i="1" s="1"/>
  <c r="F4474" i="1"/>
  <c r="H4474" i="1" s="1"/>
  <c r="F4470" i="1"/>
  <c r="H4470" i="1" s="1"/>
  <c r="O4470" i="1" s="1"/>
  <c r="F4469" i="1"/>
  <c r="H4469" i="1" s="1"/>
  <c r="F4468" i="1"/>
  <c r="H4468" i="1" s="1"/>
  <c r="O4468" i="1" s="1"/>
  <c r="F4467" i="1"/>
  <c r="H4467" i="1" s="1"/>
  <c r="F4466" i="1"/>
  <c r="H4466" i="1" s="1"/>
  <c r="O4466" i="1" s="1"/>
  <c r="F4465" i="1"/>
  <c r="H4465" i="1" s="1"/>
  <c r="F4461" i="1"/>
  <c r="H4461" i="1" s="1"/>
  <c r="O4461" i="1" s="1"/>
  <c r="F4457" i="1"/>
  <c r="H4457" i="1" s="1"/>
  <c r="F4456" i="1"/>
  <c r="H4456" i="1" s="1"/>
  <c r="F4452" i="1"/>
  <c r="H4452" i="1" s="1"/>
  <c r="F4451" i="1"/>
  <c r="H4451" i="1" s="1"/>
  <c r="F4450" i="1"/>
  <c r="H4450" i="1" s="1"/>
  <c r="F4446" i="1"/>
  <c r="H4446" i="1" s="1"/>
  <c r="F4445" i="1"/>
  <c r="H4445" i="1" s="1"/>
  <c r="F4441" i="1"/>
  <c r="H4441" i="1" s="1"/>
  <c r="O4441" i="1" s="1"/>
  <c r="F4440" i="1"/>
  <c r="H4440" i="1" s="1"/>
  <c r="F4436" i="1"/>
  <c r="H4436" i="1" s="1"/>
  <c r="F4435" i="1"/>
  <c r="H4435" i="1" s="1"/>
  <c r="F4431" i="1"/>
  <c r="H4431" i="1" s="1"/>
  <c r="F4430" i="1"/>
  <c r="H4430" i="1" s="1"/>
  <c r="F4426" i="1"/>
  <c r="H4426" i="1" s="1"/>
  <c r="F4425" i="1"/>
  <c r="H4425" i="1" s="1"/>
  <c r="F4424" i="1"/>
  <c r="H4424" i="1" s="1"/>
  <c r="F4420" i="1"/>
  <c r="H4420" i="1" s="1"/>
  <c r="F4419" i="1"/>
  <c r="H4419" i="1" s="1"/>
  <c r="F4418" i="1"/>
  <c r="H4418" i="1" s="1"/>
  <c r="F4414" i="1"/>
  <c r="H4414" i="1" s="1"/>
  <c r="F4413" i="1"/>
  <c r="H4413" i="1" s="1"/>
  <c r="O4413" i="1" s="1"/>
  <c r="F4409" i="1"/>
  <c r="H4409" i="1" s="1"/>
  <c r="F4408" i="1"/>
  <c r="H4408" i="1" s="1"/>
  <c r="F4407" i="1"/>
  <c r="H4407" i="1" s="1"/>
  <c r="O4662" i="1"/>
  <c r="O4661" i="1"/>
  <c r="O4490" i="1"/>
  <c r="O4487" i="1"/>
  <c r="O4483" i="1"/>
  <c r="O4482" i="1"/>
  <c r="O4473" i="1"/>
  <c r="O4464" i="1"/>
  <c r="O4463" i="1"/>
  <c r="O4460" i="1"/>
  <c r="O4459" i="1"/>
  <c r="O4455" i="1"/>
  <c r="O4454" i="1"/>
  <c r="O4449" i="1"/>
  <c r="O4448" i="1"/>
  <c r="O4444" i="1"/>
  <c r="O4443" i="1"/>
  <c r="O4439" i="1"/>
  <c r="O4438" i="1"/>
  <c r="O4434" i="1"/>
  <c r="O4433" i="1"/>
  <c r="O4429" i="1"/>
  <c r="O4428" i="1"/>
  <c r="O4423" i="1"/>
  <c r="O4422" i="1"/>
  <c r="O4412" i="1"/>
  <c r="O4411" i="1"/>
  <c r="O4406" i="1"/>
  <c r="O4405" i="1"/>
  <c r="L3165" i="1"/>
  <c r="N3165" i="1" s="1"/>
  <c r="H3165" i="1"/>
  <c r="L3164" i="1"/>
  <c r="N3164" i="1" s="1"/>
  <c r="H3164" i="1"/>
  <c r="L3163" i="1"/>
  <c r="N3163" i="1" s="1"/>
  <c r="H3163" i="1"/>
  <c r="L3162" i="1"/>
  <c r="N3162" i="1" s="1"/>
  <c r="H3162" i="1"/>
  <c r="L3161" i="1"/>
  <c r="N3161" i="1" s="1"/>
  <c r="H3161" i="1"/>
  <c r="L3159" i="1"/>
  <c r="N3159" i="1" s="1"/>
  <c r="H3159" i="1"/>
  <c r="L3156" i="1"/>
  <c r="N3156" i="1" s="1"/>
  <c r="H3156" i="1"/>
  <c r="L3155" i="1"/>
  <c r="N3155" i="1" s="1"/>
  <c r="H3155" i="1"/>
  <c r="L3154" i="1"/>
  <c r="N3154" i="1" s="1"/>
  <c r="H3154" i="1"/>
  <c r="L3153" i="1"/>
  <c r="N3153" i="1" s="1"/>
  <c r="H3153" i="1"/>
  <c r="A3153" i="1"/>
  <c r="A3154" i="1" s="1"/>
  <c r="A3155" i="1" s="1"/>
  <c r="A3156" i="1" s="1"/>
  <c r="L3152" i="1"/>
  <c r="N3152" i="1" s="1"/>
  <c r="H3152" i="1"/>
  <c r="L3150" i="1"/>
  <c r="N3150" i="1" s="1"/>
  <c r="H3150" i="1"/>
  <c r="L3149" i="1"/>
  <c r="N3149" i="1" s="1"/>
  <c r="H3149" i="1"/>
  <c r="L3148" i="1"/>
  <c r="N3148" i="1" s="1"/>
  <c r="H3148" i="1"/>
  <c r="L3147" i="1"/>
  <c r="N3147" i="1" s="1"/>
  <c r="H3147" i="1"/>
  <c r="L3146" i="1"/>
  <c r="N3146" i="1" s="1"/>
  <c r="L3144" i="1"/>
  <c r="N3144" i="1" s="1"/>
  <c r="L3143" i="1"/>
  <c r="N3143" i="1" s="1"/>
  <c r="H3143" i="1"/>
  <c r="A3143" i="1"/>
  <c r="A3144" i="1" s="1"/>
  <c r="A3146" i="1" s="1"/>
  <c r="A3147" i="1" s="1"/>
  <c r="A3148" i="1" s="1"/>
  <c r="A3149" i="1" s="1"/>
  <c r="A3150" i="1" s="1"/>
  <c r="L3142" i="1"/>
  <c r="N3142" i="1" s="1"/>
  <c r="H3142" i="1"/>
  <c r="L3140" i="1"/>
  <c r="N3140" i="1" s="1"/>
  <c r="H3140" i="1"/>
  <c r="L3139" i="1"/>
  <c r="N3139" i="1" s="1"/>
  <c r="H3139" i="1"/>
  <c r="L3138" i="1"/>
  <c r="N3138" i="1" s="1"/>
  <c r="H3138" i="1"/>
  <c r="A3138" i="1"/>
  <c r="A3139" i="1" s="1"/>
  <c r="A3140" i="1" s="1"/>
  <c r="L3137" i="1"/>
  <c r="N3137" i="1" s="1"/>
  <c r="H3137" i="1"/>
  <c r="L3135" i="1"/>
  <c r="N3135" i="1" s="1"/>
  <c r="H3135" i="1"/>
  <c r="L3134" i="1"/>
  <c r="N3134" i="1" s="1"/>
  <c r="H3134" i="1"/>
  <c r="L3133" i="1"/>
  <c r="N3133" i="1" s="1"/>
  <c r="H3133" i="1"/>
  <c r="L3132" i="1"/>
  <c r="N3132" i="1" s="1"/>
  <c r="H3132" i="1"/>
  <c r="A3132" i="1"/>
  <c r="A3133" i="1" s="1"/>
  <c r="A3134" i="1" s="1"/>
  <c r="A3135" i="1" s="1"/>
  <c r="L3131" i="1"/>
  <c r="N3131" i="1" s="1"/>
  <c r="H3131" i="1"/>
  <c r="J3127" i="1"/>
  <c r="K3127" i="1" s="1"/>
  <c r="J3126" i="1"/>
  <c r="K3126" i="1" s="1"/>
  <c r="J3125" i="1"/>
  <c r="K3125" i="1" s="1"/>
  <c r="J3124" i="1"/>
  <c r="K3124" i="1" s="1"/>
  <c r="A3124" i="1"/>
  <c r="A3125" i="1" s="1"/>
  <c r="A3126" i="1" s="1"/>
  <c r="J3123" i="1"/>
  <c r="K3123" i="1" s="1"/>
  <c r="O3123" i="1" s="1"/>
  <c r="J3121" i="1"/>
  <c r="K3121" i="1" s="1"/>
  <c r="J3120" i="1"/>
  <c r="K3120" i="1" s="1"/>
  <c r="J3119" i="1"/>
  <c r="K3119" i="1" s="1"/>
  <c r="A3119" i="1"/>
  <c r="A3120" i="1" s="1"/>
  <c r="A3121" i="1" s="1"/>
  <c r="J3118" i="1"/>
  <c r="K3118" i="1" s="1"/>
  <c r="J3116" i="1"/>
  <c r="K3116" i="1" s="1"/>
  <c r="J3115" i="1"/>
  <c r="K3115" i="1" s="1"/>
  <c r="O3115" i="1" s="1"/>
  <c r="J3114" i="1"/>
  <c r="K3114" i="1" s="1"/>
  <c r="J3113" i="1"/>
  <c r="K3113" i="1" s="1"/>
  <c r="J3112" i="1"/>
  <c r="K3112" i="1" s="1"/>
  <c r="J3111" i="1"/>
  <c r="K3111" i="1" s="1"/>
  <c r="O3111" i="1" s="1"/>
  <c r="A3111" i="1"/>
  <c r="A3112" i="1"/>
  <c r="A3113" i="1" s="1"/>
  <c r="A3114" i="1" s="1"/>
  <c r="A3115" i="1" s="1"/>
  <c r="A3116" i="1" s="1"/>
  <c r="J3110" i="1"/>
  <c r="K3110" i="1" s="1"/>
  <c r="J3108" i="1"/>
  <c r="K3108" i="1" s="1"/>
  <c r="J3107" i="1"/>
  <c r="K3107" i="1" s="1"/>
  <c r="J3106" i="1"/>
  <c r="K3106" i="1" s="1"/>
  <c r="J3105" i="1"/>
  <c r="K3105" i="1" s="1"/>
  <c r="J3104" i="1"/>
  <c r="K3104" i="1" s="1"/>
  <c r="J3103" i="1"/>
  <c r="K3103" i="1" s="1"/>
  <c r="J3101" i="1"/>
  <c r="K3101" i="1" s="1"/>
  <c r="A3101" i="1"/>
  <c r="A3103" i="1" s="1"/>
  <c r="A3104" i="1" s="1"/>
  <c r="A3105" i="1" s="1"/>
  <c r="A3106" i="1" s="1"/>
  <c r="A3107" i="1" s="1"/>
  <c r="A3108" i="1" s="1"/>
  <c r="J3100" i="1"/>
  <c r="K3100" i="1" s="1"/>
  <c r="J3099" i="1"/>
  <c r="K3099" i="1" s="1"/>
  <c r="J3097" i="1"/>
  <c r="K3097" i="1" s="1"/>
  <c r="J3096" i="1"/>
  <c r="K3096" i="1" s="1"/>
  <c r="J3095" i="1"/>
  <c r="K3095" i="1" s="1"/>
  <c r="J3094" i="1"/>
  <c r="K3094" i="1" s="1"/>
  <c r="J3093" i="1"/>
  <c r="K3093" i="1" s="1"/>
  <c r="J3092" i="1"/>
  <c r="K3092" i="1" s="1"/>
  <c r="J3091" i="1"/>
  <c r="K3091" i="1" s="1"/>
  <c r="J3090" i="1"/>
  <c r="K3090" i="1" s="1"/>
  <c r="J3089" i="1"/>
  <c r="K3089" i="1" s="1"/>
  <c r="J3088" i="1"/>
  <c r="K3088" i="1" s="1"/>
  <c r="J3087" i="1"/>
  <c r="K3087" i="1" s="1"/>
  <c r="L3086" i="1"/>
  <c r="N3086" i="1" s="1"/>
  <c r="H3086" i="1"/>
  <c r="A3086" i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J3085" i="1"/>
  <c r="K3085" i="1" s="1"/>
  <c r="L3083" i="1"/>
  <c r="N3083" i="1" s="1"/>
  <c r="L3082" i="1"/>
  <c r="N3082" i="1" s="1"/>
  <c r="L3081" i="1"/>
  <c r="N3081" i="1" s="1"/>
  <c r="L3079" i="1"/>
  <c r="N3079" i="1" s="1"/>
  <c r="H3079" i="1"/>
  <c r="L3078" i="1"/>
  <c r="N3078" i="1" s="1"/>
  <c r="L3077" i="1"/>
  <c r="N3077" i="1" s="1"/>
  <c r="H3077" i="1"/>
  <c r="L3076" i="1"/>
  <c r="N3076" i="1" s="1"/>
  <c r="H3076" i="1"/>
  <c r="L3075" i="1"/>
  <c r="N3075" i="1" s="1"/>
  <c r="H3075" i="1"/>
  <c r="L3074" i="1"/>
  <c r="N3074" i="1" s="1"/>
  <c r="H3074" i="1"/>
  <c r="L3073" i="1"/>
  <c r="N3073" i="1" s="1"/>
  <c r="H3073" i="1"/>
  <c r="L3072" i="1"/>
  <c r="N3072" i="1" s="1"/>
  <c r="H3072" i="1"/>
  <c r="L3071" i="1"/>
  <c r="N3071" i="1" s="1"/>
  <c r="J3069" i="1"/>
  <c r="K3069" i="1" s="1"/>
  <c r="O3069" i="1" s="1"/>
  <c r="J3068" i="1"/>
  <c r="K3068" i="1" s="1"/>
  <c r="E3067" i="1"/>
  <c r="J3067" i="1" s="1"/>
  <c r="O3066" i="1"/>
  <c r="J3065" i="1"/>
  <c r="K3065" i="1" s="1"/>
  <c r="J3064" i="1"/>
  <c r="K3064" i="1"/>
  <c r="J3063" i="1"/>
  <c r="K3063" i="1" s="1"/>
  <c r="G3062" i="1"/>
  <c r="H3062" i="1" s="1"/>
  <c r="J3061" i="1"/>
  <c r="K3061" i="1" s="1"/>
  <c r="A3061" i="1"/>
  <c r="A3062" i="1" s="1"/>
  <c r="A3063" i="1" s="1"/>
  <c r="A3064" i="1" s="1"/>
  <c r="A3065" i="1" s="1"/>
  <c r="A3066" i="1" s="1"/>
  <c r="A3069" i="1" s="1"/>
  <c r="A3070" i="1" s="1"/>
  <c r="G3060" i="1"/>
  <c r="H3060" i="1" s="1"/>
  <c r="M3057" i="1"/>
  <c r="I3057" i="1"/>
  <c r="F3057" i="1"/>
  <c r="I2799" i="1"/>
  <c r="K2799" i="1" s="1"/>
  <c r="L2806" i="1"/>
  <c r="N2806" i="1" s="1"/>
  <c r="L2805" i="1"/>
  <c r="N2805" i="1" s="1"/>
  <c r="L2804" i="1"/>
  <c r="N2804" i="1" s="1"/>
  <c r="L2803" i="1"/>
  <c r="N2803" i="1" s="1"/>
  <c r="L2797" i="1"/>
  <c r="N2797" i="1" s="1"/>
  <c r="L2796" i="1"/>
  <c r="N2796" i="1" s="1"/>
  <c r="L2795" i="1"/>
  <c r="N2795" i="1" s="1"/>
  <c r="L2794" i="1"/>
  <c r="N2794" i="1" s="1"/>
  <c r="L2793" i="1"/>
  <c r="N2793" i="1" s="1"/>
  <c r="L2792" i="1"/>
  <c r="N2792" i="1" s="1"/>
  <c r="L2791" i="1"/>
  <c r="N2791" i="1" s="1"/>
  <c r="L2790" i="1"/>
  <c r="N2790" i="1" s="1"/>
  <c r="O2790" i="1" s="1"/>
  <c r="L2789" i="1"/>
  <c r="N2789" i="1" s="1"/>
  <c r="L2788" i="1"/>
  <c r="N2788" i="1" s="1"/>
  <c r="O2788" i="1" s="1"/>
  <c r="L2787" i="1"/>
  <c r="N2787" i="1" s="1"/>
  <c r="L2786" i="1"/>
  <c r="N2786" i="1" s="1"/>
  <c r="L2785" i="1"/>
  <c r="N2785" i="1" s="1"/>
  <c r="L2784" i="1"/>
  <c r="N2784" i="1" s="1"/>
  <c r="L2783" i="1"/>
  <c r="N2783" i="1" s="1"/>
  <c r="L2782" i="1"/>
  <c r="N2782" i="1" s="1"/>
  <c r="L2781" i="1"/>
  <c r="N2781" i="1" s="1"/>
  <c r="O2781" i="1" s="1"/>
  <c r="L2780" i="1"/>
  <c r="N2780" i="1" s="1"/>
  <c r="L2779" i="1"/>
  <c r="N2779" i="1" s="1"/>
  <c r="L2778" i="1"/>
  <c r="N2778" i="1"/>
  <c r="L2777" i="1"/>
  <c r="N2777" i="1" s="1"/>
  <c r="L2776" i="1"/>
  <c r="N2776" i="1" s="1"/>
  <c r="O2776" i="1" s="1"/>
  <c r="L2775" i="1"/>
  <c r="N2775" i="1" s="1"/>
  <c r="L2774" i="1"/>
  <c r="N2774" i="1" s="1"/>
  <c r="L2773" i="1"/>
  <c r="N2773" i="1" s="1"/>
  <c r="L2772" i="1"/>
  <c r="N2772" i="1" s="1"/>
  <c r="L2771" i="1"/>
  <c r="N2771" i="1" s="1"/>
  <c r="L2770" i="1"/>
  <c r="N2770" i="1" s="1"/>
  <c r="O2770" i="1" s="1"/>
  <c r="L2769" i="1"/>
  <c r="N2769" i="1" s="1"/>
  <c r="L2768" i="1"/>
  <c r="N2768" i="1" s="1"/>
  <c r="L2767" i="1"/>
  <c r="N2767" i="1" s="1"/>
  <c r="L2766" i="1"/>
  <c r="N2766" i="1" s="1"/>
  <c r="L2765" i="1"/>
  <c r="N2765" i="1" s="1"/>
  <c r="L2764" i="1"/>
  <c r="N2764" i="1" s="1"/>
  <c r="L2763" i="1"/>
  <c r="N2763" i="1"/>
  <c r="L2762" i="1"/>
  <c r="N2762" i="1" s="1"/>
  <c r="O2762" i="1" s="1"/>
  <c r="L2761" i="1"/>
  <c r="N2761" i="1" s="1"/>
  <c r="O2761" i="1" s="1"/>
  <c r="L2760" i="1"/>
  <c r="N2760" i="1" s="1"/>
  <c r="L2759" i="1"/>
  <c r="N2759" i="1" s="1"/>
  <c r="O2759" i="1" s="1"/>
  <c r="L2758" i="1"/>
  <c r="N2758" i="1" s="1"/>
  <c r="O2758" i="1" s="1"/>
  <c r="L2757" i="1"/>
  <c r="N2757" i="1" s="1"/>
  <c r="O2757" i="1" s="1"/>
  <c r="L2756" i="1"/>
  <c r="N2756" i="1" s="1"/>
  <c r="L2755" i="1"/>
  <c r="N2755" i="1" s="1"/>
  <c r="L2754" i="1"/>
  <c r="N2754" i="1" s="1"/>
  <c r="L2753" i="1"/>
  <c r="N2753" i="1" s="1"/>
  <c r="L2752" i="1"/>
  <c r="N2752" i="1" s="1"/>
  <c r="L2748" i="1"/>
  <c r="N2748" i="1" s="1"/>
  <c r="I2745" i="1"/>
  <c r="K2745" i="1" s="1"/>
  <c r="I2744" i="1"/>
  <c r="K2744" i="1" s="1"/>
  <c r="I2743" i="1"/>
  <c r="K2743" i="1" s="1"/>
  <c r="O2743" i="1" s="1"/>
  <c r="I2742" i="1"/>
  <c r="K2742" i="1" s="1"/>
  <c r="I2741" i="1"/>
  <c r="K2741" i="1" s="1"/>
  <c r="I2738" i="1"/>
  <c r="K2738" i="1" s="1"/>
  <c r="I2737" i="1"/>
  <c r="K2737" i="1" s="1"/>
  <c r="O2737" i="1" s="1"/>
  <c r="I2736" i="1"/>
  <c r="K2736" i="1" s="1"/>
  <c r="O2736" i="1" s="1"/>
  <c r="I2735" i="1"/>
  <c r="K2735" i="1" s="1"/>
  <c r="I2734" i="1"/>
  <c r="K2734" i="1" s="1"/>
  <c r="I2733" i="1"/>
  <c r="K2733" i="1"/>
  <c r="I2732" i="1"/>
  <c r="K2732" i="1" s="1"/>
  <c r="I2731" i="1"/>
  <c r="K2731" i="1" s="1"/>
  <c r="O2731" i="1" s="1"/>
  <c r="I2728" i="1"/>
  <c r="K2728" i="1" s="1"/>
  <c r="O2728" i="1" s="1"/>
  <c r="I2725" i="1"/>
  <c r="K2725" i="1" s="1"/>
  <c r="O2725" i="1" s="1"/>
  <c r="I2724" i="1"/>
  <c r="K2724" i="1" s="1"/>
  <c r="I2723" i="1"/>
  <c r="K2723" i="1" s="1"/>
  <c r="O2723" i="1" s="1"/>
  <c r="I2722" i="1"/>
  <c r="K2722" i="1" s="1"/>
  <c r="O2722" i="1" s="1"/>
  <c r="I2719" i="1"/>
  <c r="K2719" i="1" s="1"/>
  <c r="I2718" i="1"/>
  <c r="K2718" i="1" s="1"/>
  <c r="O2718" i="1" s="1"/>
  <c r="I2717" i="1"/>
  <c r="K2717" i="1" s="1"/>
  <c r="I2716" i="1"/>
  <c r="K2716" i="1" s="1"/>
  <c r="I2715" i="1"/>
  <c r="K2715" i="1" s="1"/>
  <c r="I2713" i="1"/>
  <c r="K2713" i="1" s="1"/>
  <c r="O2713" i="1" s="1"/>
  <c r="I2710" i="1"/>
  <c r="K2710" i="1" s="1"/>
  <c r="O2710" i="1" s="1"/>
  <c r="I2707" i="1"/>
  <c r="K2707" i="1" s="1"/>
  <c r="I2704" i="1"/>
  <c r="K2704" i="1" s="1"/>
  <c r="I2701" i="1"/>
  <c r="K2701" i="1" s="1"/>
  <c r="J2695" i="1"/>
  <c r="K2695" i="1" s="1"/>
  <c r="J2696" i="1"/>
  <c r="K2696" i="1" s="1"/>
  <c r="J2697" i="1"/>
  <c r="K2697" i="1" s="1"/>
  <c r="J2698" i="1"/>
  <c r="K2698" i="1" s="1"/>
  <c r="J2694" i="1"/>
  <c r="K2694" i="1" s="1"/>
  <c r="I2687" i="1"/>
  <c r="K2687" i="1" s="1"/>
  <c r="I2683" i="1"/>
  <c r="K2683" i="1" s="1"/>
  <c r="I2684" i="1"/>
  <c r="K2684" i="1" s="1"/>
  <c r="I2685" i="1"/>
  <c r="K2685" i="1" s="1"/>
  <c r="J2656" i="1"/>
  <c r="K2656" i="1" s="1"/>
  <c r="J2621" i="1"/>
  <c r="K2621" i="1" s="1"/>
  <c r="J2622" i="1"/>
  <c r="K2622" i="1" s="1"/>
  <c r="J2603" i="1"/>
  <c r="K2603" i="1" s="1"/>
  <c r="J2604" i="1"/>
  <c r="K2604" i="1" s="1"/>
  <c r="O2604" i="1" s="1"/>
  <c r="J2605" i="1"/>
  <c r="K2605" i="1" s="1"/>
  <c r="J2606" i="1"/>
  <c r="K2606" i="1" s="1"/>
  <c r="J2607" i="1"/>
  <c r="K2607" i="1" s="1"/>
  <c r="O2607" i="1" s="1"/>
  <c r="L2126" i="1"/>
  <c r="N2126" i="1" s="1"/>
  <c r="O2126" i="1" s="1"/>
  <c r="L2125" i="1"/>
  <c r="N2125" i="1" s="1"/>
  <c r="O2125" i="1" s="1"/>
  <c r="L2124" i="1"/>
  <c r="N2124" i="1" s="1"/>
  <c r="O2124" i="1" s="1"/>
  <c r="L2123" i="1"/>
  <c r="N2123" i="1" s="1"/>
  <c r="O2123" i="1" s="1"/>
  <c r="L2122" i="1"/>
  <c r="N2122" i="1" s="1"/>
  <c r="O2122" i="1" s="1"/>
  <c r="L2121" i="1"/>
  <c r="N2121" i="1" s="1"/>
  <c r="O2121" i="1" s="1"/>
  <c r="L2120" i="1"/>
  <c r="N2120" i="1" s="1"/>
  <c r="O2120" i="1" s="1"/>
  <c r="L2119" i="1"/>
  <c r="N2119" i="1" s="1"/>
  <c r="O2119" i="1" s="1"/>
  <c r="L2118" i="1"/>
  <c r="N2118" i="1" s="1"/>
  <c r="O2118" i="1" s="1"/>
  <c r="L2117" i="1"/>
  <c r="N2117" i="1" s="1"/>
  <c r="O2117" i="1" s="1"/>
  <c r="L2116" i="1"/>
  <c r="N2116" i="1" s="1"/>
  <c r="O2116" i="1" s="1"/>
  <c r="L2115" i="1"/>
  <c r="N2115" i="1" s="1"/>
  <c r="O2115" i="1" s="1"/>
  <c r="L2114" i="1"/>
  <c r="N2114" i="1" s="1"/>
  <c r="O2114" i="1" s="1"/>
  <c r="L2113" i="1"/>
  <c r="N2113" i="1" s="1"/>
  <c r="O2113" i="1" s="1"/>
  <c r="L2112" i="1"/>
  <c r="N2112" i="1" s="1"/>
  <c r="O2112" i="1" s="1"/>
  <c r="L2111" i="1"/>
  <c r="N2111" i="1" s="1"/>
  <c r="O2111" i="1" s="1"/>
  <c r="L2106" i="1"/>
  <c r="N2106" i="1" s="1"/>
  <c r="O2106" i="1" s="1"/>
  <c r="L2105" i="1"/>
  <c r="N2105" i="1" s="1"/>
  <c r="O2105" i="1" s="1"/>
  <c r="C2098" i="1"/>
  <c r="C2099" i="1" s="1"/>
  <c r="I2099" i="1" s="1"/>
  <c r="K2099" i="1" s="1"/>
  <c r="O2099" i="1" s="1"/>
  <c r="I2095" i="1"/>
  <c r="K2095" i="1" s="1"/>
  <c r="O2095" i="1" s="1"/>
  <c r="I2094" i="1"/>
  <c r="K2094" i="1" s="1"/>
  <c r="O2094" i="1" s="1"/>
  <c r="C2093" i="1"/>
  <c r="I2093" i="1" s="1"/>
  <c r="K2093" i="1" s="1"/>
  <c r="O2093" i="1" s="1"/>
  <c r="I2092" i="1"/>
  <c r="K2092" i="1" s="1"/>
  <c r="O2092" i="1" s="1"/>
  <c r="I2090" i="1"/>
  <c r="K2090" i="1" s="1"/>
  <c r="O2090" i="1" s="1"/>
  <c r="I2088" i="1"/>
  <c r="K2088" i="1" s="1"/>
  <c r="O2088" i="1" s="1"/>
  <c r="I2087" i="1"/>
  <c r="K2087" i="1" s="1"/>
  <c r="O2087" i="1" s="1"/>
  <c r="I2086" i="1"/>
  <c r="K2086" i="1" s="1"/>
  <c r="O2086" i="1" s="1"/>
  <c r="I2085" i="1"/>
  <c r="K2085" i="1" s="1"/>
  <c r="O2085" i="1" s="1"/>
  <c r="I2084" i="1"/>
  <c r="K2084" i="1" s="1"/>
  <c r="O2084" i="1" s="1"/>
  <c r="I2082" i="1"/>
  <c r="K2082" i="1" s="1"/>
  <c r="O2082" i="1" s="1"/>
  <c r="I2081" i="1"/>
  <c r="K2081" i="1" s="1"/>
  <c r="O2081" i="1" s="1"/>
  <c r="I2080" i="1"/>
  <c r="K2080" i="1" s="1"/>
  <c r="O2080" i="1" s="1"/>
  <c r="I2079" i="1"/>
  <c r="K2079" i="1" s="1"/>
  <c r="O2079" i="1" s="1"/>
  <c r="I2076" i="1"/>
  <c r="K2076" i="1" s="1"/>
  <c r="O2076" i="1" s="1"/>
  <c r="I2073" i="1"/>
  <c r="K2073" i="1" s="1"/>
  <c r="O2073" i="1" s="1"/>
  <c r="I2072" i="1"/>
  <c r="K2072" i="1" s="1"/>
  <c r="O2072" i="1" s="1"/>
  <c r="I2071" i="1"/>
  <c r="K2071" i="1" s="1"/>
  <c r="O2071" i="1" s="1"/>
  <c r="I2070" i="1"/>
  <c r="K2070" i="1" s="1"/>
  <c r="O2070" i="1" s="1"/>
  <c r="I2067" i="1"/>
  <c r="K2067" i="1" s="1"/>
  <c r="O2067" i="1" s="1"/>
  <c r="I2066" i="1"/>
  <c r="K2066" i="1" s="1"/>
  <c r="O2066" i="1" s="1"/>
  <c r="I2065" i="1"/>
  <c r="K2065" i="1" s="1"/>
  <c r="O2065" i="1" s="1"/>
  <c r="I2064" i="1"/>
  <c r="K2064" i="1" s="1"/>
  <c r="O2064" i="1" s="1"/>
  <c r="I2063" i="1"/>
  <c r="K2063" i="1" s="1"/>
  <c r="O2063" i="1" s="1"/>
  <c r="I2061" i="1"/>
  <c r="K2061" i="1" s="1"/>
  <c r="O2061" i="1" s="1"/>
  <c r="I2058" i="1"/>
  <c r="K2058" i="1" s="1"/>
  <c r="O2058" i="1" s="1"/>
  <c r="I2055" i="1"/>
  <c r="K2055" i="1" s="1"/>
  <c r="O2055" i="1" s="1"/>
  <c r="I2052" i="1"/>
  <c r="K2052" i="1" s="1"/>
  <c r="O2052" i="1" s="1"/>
  <c r="I2049" i="1"/>
  <c r="K2049" i="1" s="1"/>
  <c r="O2049" i="1" s="1"/>
  <c r="J2046" i="1"/>
  <c r="K2046" i="1" s="1"/>
  <c r="O2046" i="1" s="1"/>
  <c r="J2045" i="1"/>
  <c r="K2045" i="1" s="1"/>
  <c r="O2045" i="1" s="1"/>
  <c r="J2044" i="1"/>
  <c r="K2044" i="1"/>
  <c r="O2044" i="1" s="1"/>
  <c r="J2043" i="1"/>
  <c r="K2043" i="1" s="1"/>
  <c r="O2043" i="1" s="1"/>
  <c r="I2040" i="1"/>
  <c r="K2040" i="1" s="1"/>
  <c r="O2040" i="1" s="1"/>
  <c r="I2037" i="1"/>
  <c r="K2037" i="1" s="1"/>
  <c r="O2037" i="1" s="1"/>
  <c r="I2036" i="1"/>
  <c r="K2036" i="1" s="1"/>
  <c r="O2036" i="1" s="1"/>
  <c r="I2035" i="1"/>
  <c r="K2035" i="1" s="1"/>
  <c r="O2035" i="1" s="1"/>
  <c r="I2034" i="1"/>
  <c r="K2034" i="1" s="1"/>
  <c r="O2034" i="1" s="1"/>
  <c r="I2033" i="1"/>
  <c r="K2033" i="1" s="1"/>
  <c r="O2033" i="1" s="1"/>
  <c r="I2031" i="1"/>
  <c r="K2031" i="1" s="1"/>
  <c r="O2031" i="1" s="1"/>
  <c r="I2030" i="1"/>
  <c r="K2030" i="1" s="1"/>
  <c r="O2030" i="1" s="1"/>
  <c r="I2029" i="1"/>
  <c r="J2026" i="1"/>
  <c r="K2026" i="1" s="1"/>
  <c r="O2026" i="1" s="1"/>
  <c r="J2025" i="1"/>
  <c r="K2025" i="1" s="1"/>
  <c r="O2025" i="1" s="1"/>
  <c r="J2024" i="1"/>
  <c r="K2024" i="1" s="1"/>
  <c r="O2024" i="1" s="1"/>
  <c r="J2023" i="1"/>
  <c r="K2023" i="1" s="1"/>
  <c r="O2023" i="1" s="1"/>
  <c r="J2022" i="1"/>
  <c r="K2022" i="1" s="1"/>
  <c r="O2022" i="1" s="1"/>
  <c r="C2015" i="1"/>
  <c r="J2015" i="1" s="1"/>
  <c r="K2015" i="1" s="1"/>
  <c r="O2015" i="1" s="1"/>
  <c r="C2014" i="1"/>
  <c r="J2014" i="1" s="1"/>
  <c r="K2014" i="1" s="1"/>
  <c r="O2014" i="1" s="1"/>
  <c r="C2013" i="1"/>
  <c r="J2013" i="1" s="1"/>
  <c r="K2013" i="1" s="1"/>
  <c r="O2013" i="1" s="1"/>
  <c r="J2012" i="1"/>
  <c r="K2012" i="1" s="1"/>
  <c r="O2012" i="1" s="1"/>
  <c r="J2010" i="1"/>
  <c r="K2010" i="1" s="1"/>
  <c r="O2010" i="1" s="1"/>
  <c r="J2001" i="1"/>
  <c r="K2001" i="1" s="1"/>
  <c r="O2001" i="1" s="1"/>
  <c r="J2000" i="1"/>
  <c r="K2000" i="1" s="1"/>
  <c r="O2000" i="1" s="1"/>
  <c r="J1999" i="1"/>
  <c r="K1999" i="1" s="1"/>
  <c r="O1999" i="1" s="1"/>
  <c r="J1998" i="1"/>
  <c r="K1998" i="1" s="1"/>
  <c r="O1998" i="1" s="1"/>
  <c r="C1996" i="1"/>
  <c r="J1996" i="1" s="1"/>
  <c r="C1995" i="1"/>
  <c r="J1995" i="1" s="1"/>
  <c r="K1995" i="1" s="1"/>
  <c r="O1995" i="1" s="1"/>
  <c r="C1993" i="1"/>
  <c r="J1993" i="1" s="1"/>
  <c r="J1992" i="1"/>
  <c r="K1992" i="1" s="1"/>
  <c r="O1992" i="1" s="1"/>
  <c r="J1991" i="1"/>
  <c r="K1991" i="1" s="1"/>
  <c r="O1991" i="1" s="1"/>
  <c r="J1990" i="1"/>
  <c r="K1990" i="1" s="1"/>
  <c r="O1990" i="1" s="1"/>
  <c r="J1989" i="1"/>
  <c r="K1989" i="1" s="1"/>
  <c r="O1989" i="1" s="1"/>
  <c r="J1986" i="1"/>
  <c r="K1986" i="1" s="1"/>
  <c r="O1986" i="1" s="1"/>
  <c r="J1985" i="1"/>
  <c r="K1985" i="1" s="1"/>
  <c r="O1985" i="1" s="1"/>
  <c r="J1984" i="1"/>
  <c r="K1984" i="1" s="1"/>
  <c r="O1984" i="1" s="1"/>
  <c r="J1982" i="1"/>
  <c r="K1982" i="1" s="1"/>
  <c r="O1982" i="1" s="1"/>
  <c r="J1981" i="1"/>
  <c r="K1981" i="1" s="1"/>
  <c r="O1981" i="1" s="1"/>
  <c r="J1980" i="1"/>
  <c r="K1980" i="1" s="1"/>
  <c r="O1980" i="1" s="1"/>
  <c r="J1961" i="1"/>
  <c r="K1961" i="1" s="1"/>
  <c r="O1961" i="1" s="1"/>
  <c r="J1960" i="1"/>
  <c r="K1960" i="1" s="1"/>
  <c r="O1960" i="1" s="1"/>
  <c r="J1959" i="1"/>
  <c r="K1959" i="1" s="1"/>
  <c r="O1959" i="1" s="1"/>
  <c r="J1957" i="1"/>
  <c r="K1957" i="1" s="1"/>
  <c r="O1957" i="1" s="1"/>
  <c r="C1955" i="1"/>
  <c r="J1955" i="1" s="1"/>
  <c r="K1955" i="1" s="1"/>
  <c r="O1955" i="1" s="1"/>
  <c r="C1954" i="1"/>
  <c r="J1954" i="1" s="1"/>
  <c r="K1954" i="1" s="1"/>
  <c r="O1954" i="1" s="1"/>
  <c r="F2133" i="1"/>
  <c r="M2133" i="1"/>
  <c r="G2133" i="1"/>
  <c r="D143" i="2" s="1"/>
  <c r="L2321" i="1"/>
  <c r="N2321" i="1" s="1"/>
  <c r="O2321" i="1" s="1"/>
  <c r="L2322" i="1"/>
  <c r="N2322" i="1" s="1"/>
  <c r="O2322" i="1" s="1"/>
  <c r="L2323" i="1"/>
  <c r="N2323" i="1" s="1"/>
  <c r="O2323" i="1" s="1"/>
  <c r="I2258" i="1"/>
  <c r="K2258" i="1" s="1"/>
  <c r="O2258" i="1" s="1"/>
  <c r="E2148" i="1"/>
  <c r="E2149" i="1"/>
  <c r="E2150" i="1"/>
  <c r="E2147" i="1"/>
  <c r="E2145" i="1"/>
  <c r="E2144" i="1"/>
  <c r="E2143" i="1"/>
  <c r="E2142" i="1"/>
  <c r="E2141" i="1"/>
  <c r="C2150" i="1"/>
  <c r="J2150" i="1" s="1"/>
  <c r="K2150" i="1" s="1"/>
  <c r="O2150" i="1" s="1"/>
  <c r="C2149" i="1"/>
  <c r="C2148" i="1"/>
  <c r="C2147" i="1"/>
  <c r="C2145" i="1"/>
  <c r="C2144" i="1"/>
  <c r="C2143" i="1"/>
  <c r="C2142" i="1"/>
  <c r="C2141" i="1"/>
  <c r="J2152" i="1"/>
  <c r="K2152" i="1" s="1"/>
  <c r="O2152" i="1" s="1"/>
  <c r="J2151" i="1"/>
  <c r="K2151" i="1" s="1"/>
  <c r="O2151" i="1" s="1"/>
  <c r="J2146" i="1"/>
  <c r="K2146" i="1" s="1"/>
  <c r="O2146" i="1" s="1"/>
  <c r="J3055" i="1"/>
  <c r="K3055" i="1" s="1"/>
  <c r="O3055" i="1" s="1"/>
  <c r="H3055" i="1"/>
  <c r="J3054" i="1"/>
  <c r="K3054" i="1" s="1"/>
  <c r="O3054" i="1" s="1"/>
  <c r="H3054" i="1"/>
  <c r="J3053" i="1"/>
  <c r="K3053" i="1" s="1"/>
  <c r="O3053" i="1" s="1"/>
  <c r="H3053" i="1"/>
  <c r="J3052" i="1"/>
  <c r="K3052" i="1" s="1"/>
  <c r="O3052" i="1" s="1"/>
  <c r="H3052" i="1"/>
  <c r="H3051" i="1"/>
  <c r="J3050" i="1"/>
  <c r="K3050" i="1" s="1"/>
  <c r="O3050" i="1" s="1"/>
  <c r="H3050" i="1"/>
  <c r="J3049" i="1"/>
  <c r="K3049" i="1" s="1"/>
  <c r="O3049" i="1" s="1"/>
  <c r="H3049" i="1"/>
  <c r="H3048" i="1"/>
  <c r="J3047" i="1"/>
  <c r="K3047" i="1" s="1"/>
  <c r="O3047" i="1" s="1"/>
  <c r="H3047" i="1"/>
  <c r="H3046" i="1"/>
  <c r="J3045" i="1"/>
  <c r="K3045" i="1" s="1"/>
  <c r="O3045" i="1" s="1"/>
  <c r="H3045" i="1"/>
  <c r="J3043" i="1"/>
  <c r="K3043" i="1" s="1"/>
  <c r="O3043" i="1" s="1"/>
  <c r="H3043" i="1"/>
  <c r="J3042" i="1"/>
  <c r="K3042" i="1" s="1"/>
  <c r="O3042" i="1" s="1"/>
  <c r="H3042" i="1"/>
  <c r="J3041" i="1"/>
  <c r="K3041" i="1" s="1"/>
  <c r="O3041" i="1" s="1"/>
  <c r="H3041" i="1"/>
  <c r="J3040" i="1"/>
  <c r="K3040" i="1" s="1"/>
  <c r="O3040" i="1" s="1"/>
  <c r="H3040" i="1"/>
  <c r="J3039" i="1"/>
  <c r="K3039" i="1" s="1"/>
  <c r="O3039" i="1" s="1"/>
  <c r="H3039" i="1"/>
  <c r="J3038" i="1"/>
  <c r="K3038" i="1" s="1"/>
  <c r="O3038" i="1" s="1"/>
  <c r="H3038" i="1"/>
  <c r="J3036" i="1"/>
  <c r="K3036" i="1" s="1"/>
  <c r="O3036" i="1" s="1"/>
  <c r="H3036" i="1"/>
  <c r="J3035" i="1"/>
  <c r="K3035" i="1" s="1"/>
  <c r="O3035" i="1" s="1"/>
  <c r="H3035" i="1"/>
  <c r="J3034" i="1"/>
  <c r="K3034" i="1" s="1"/>
  <c r="O3034" i="1" s="1"/>
  <c r="H3034" i="1"/>
  <c r="J3033" i="1"/>
  <c r="K3033" i="1" s="1"/>
  <c r="O3033" i="1" s="1"/>
  <c r="H3033" i="1"/>
  <c r="J3031" i="1"/>
  <c r="K3031" i="1" s="1"/>
  <c r="O3031" i="1" s="1"/>
  <c r="H3031" i="1"/>
  <c r="J3030" i="1"/>
  <c r="K3030" i="1" s="1"/>
  <c r="O3030" i="1" s="1"/>
  <c r="H3030" i="1"/>
  <c r="J3029" i="1"/>
  <c r="K3029" i="1" s="1"/>
  <c r="O3029" i="1" s="1"/>
  <c r="H3029" i="1"/>
  <c r="J3028" i="1"/>
  <c r="K3028" i="1" s="1"/>
  <c r="O3028" i="1" s="1"/>
  <c r="H3028" i="1"/>
  <c r="J3027" i="1"/>
  <c r="K3027" i="1" s="1"/>
  <c r="H3027" i="1"/>
  <c r="L3022" i="1"/>
  <c r="N3022" i="1" s="1"/>
  <c r="O3022" i="1" s="1"/>
  <c r="L3021" i="1"/>
  <c r="N3021" i="1" s="1"/>
  <c r="O3021" i="1" s="1"/>
  <c r="J3018" i="1"/>
  <c r="K3018" i="1" s="1"/>
  <c r="O3018" i="1" s="1"/>
  <c r="J3017" i="1"/>
  <c r="K3017" i="1" s="1"/>
  <c r="O3017" i="1" s="1"/>
  <c r="J3016" i="1"/>
  <c r="K3016" i="1" s="1"/>
  <c r="O3016" i="1" s="1"/>
  <c r="J3015" i="1"/>
  <c r="K3015" i="1" s="1"/>
  <c r="O3015" i="1" s="1"/>
  <c r="J3010" i="1"/>
  <c r="K3010" i="1" s="1"/>
  <c r="O3010" i="1" s="1"/>
  <c r="J3009" i="1"/>
  <c r="K3009" i="1"/>
  <c r="O3009" i="1" s="1"/>
  <c r="J3008" i="1"/>
  <c r="K3008" i="1" s="1"/>
  <c r="O3008" i="1" s="1"/>
  <c r="J3007" i="1"/>
  <c r="K3007" i="1" s="1"/>
  <c r="O3007" i="1" s="1"/>
  <c r="J3006" i="1"/>
  <c r="K3006" i="1" s="1"/>
  <c r="O3006" i="1" s="1"/>
  <c r="J3005" i="1"/>
  <c r="K3005" i="1" s="1"/>
  <c r="O3005" i="1" s="1"/>
  <c r="J3004" i="1"/>
  <c r="K3004" i="1" s="1"/>
  <c r="O3004" i="1" s="1"/>
  <c r="J3003" i="1"/>
  <c r="K3003" i="1" s="1"/>
  <c r="O3003" i="1" s="1"/>
  <c r="J3002" i="1"/>
  <c r="K3002" i="1" s="1"/>
  <c r="O3002" i="1" s="1"/>
  <c r="L2999" i="1"/>
  <c r="N2999" i="1" s="1"/>
  <c r="O2999" i="1" s="1"/>
  <c r="L2998" i="1"/>
  <c r="N2998" i="1" s="1"/>
  <c r="O2998" i="1" s="1"/>
  <c r="L2997" i="1"/>
  <c r="N2997" i="1" s="1"/>
  <c r="O2997" i="1" s="1"/>
  <c r="L2996" i="1"/>
  <c r="N2996" i="1" s="1"/>
  <c r="O2996" i="1" s="1"/>
  <c r="L2995" i="1"/>
  <c r="N2995" i="1" s="1"/>
  <c r="O2995" i="1" s="1"/>
  <c r="L2991" i="1"/>
  <c r="N2991" i="1" s="1"/>
  <c r="O2991" i="1" s="1"/>
  <c r="J2989" i="1"/>
  <c r="K2989" i="1" s="1"/>
  <c r="O2989" i="1" s="1"/>
  <c r="J2988" i="1"/>
  <c r="K2988" i="1" s="1"/>
  <c r="O2988" i="1" s="1"/>
  <c r="J2987" i="1"/>
  <c r="K2987" i="1" s="1"/>
  <c r="O2987" i="1" s="1"/>
  <c r="J2986" i="1"/>
  <c r="K2986" i="1" s="1"/>
  <c r="O2986" i="1" s="1"/>
  <c r="J2985" i="1"/>
  <c r="K2985" i="1" s="1"/>
  <c r="O2985" i="1" s="1"/>
  <c r="J2984" i="1"/>
  <c r="K2984" i="1" s="1"/>
  <c r="O2984" i="1" s="1"/>
  <c r="J2979" i="1"/>
  <c r="K2979" i="1" s="1"/>
  <c r="O2979" i="1" s="1"/>
  <c r="J2978" i="1"/>
  <c r="K2978" i="1" s="1"/>
  <c r="O2978" i="1" s="1"/>
  <c r="J2977" i="1"/>
  <c r="K2977" i="1" s="1"/>
  <c r="O2977" i="1" s="1"/>
  <c r="J2976" i="1"/>
  <c r="K2976" i="1" s="1"/>
  <c r="O2976" i="1" s="1"/>
  <c r="J2975" i="1"/>
  <c r="K2975" i="1" s="1"/>
  <c r="O2975" i="1" s="1"/>
  <c r="J2974" i="1"/>
  <c r="K2974" i="1" s="1"/>
  <c r="O2974" i="1" s="1"/>
  <c r="J2973" i="1"/>
  <c r="K2973" i="1" s="1"/>
  <c r="O2973" i="1" s="1"/>
  <c r="J2972" i="1"/>
  <c r="K2972" i="1" s="1"/>
  <c r="O2972" i="1" s="1"/>
  <c r="J2971" i="1"/>
  <c r="K2971" i="1" s="1"/>
  <c r="O2971" i="1" s="1"/>
  <c r="J2970" i="1"/>
  <c r="K2970" i="1" s="1"/>
  <c r="O2970" i="1" s="1"/>
  <c r="L2967" i="1"/>
  <c r="N2967" i="1" s="1"/>
  <c r="O2967" i="1" s="1"/>
  <c r="L2966" i="1"/>
  <c r="N2966" i="1" s="1"/>
  <c r="O2966" i="1" s="1"/>
  <c r="L2965" i="1"/>
  <c r="N2965" i="1" s="1"/>
  <c r="O2965" i="1" s="1"/>
  <c r="L2964" i="1"/>
  <c r="N2964" i="1" s="1"/>
  <c r="O2964" i="1" s="1"/>
  <c r="L2963" i="1"/>
  <c r="N2963" i="1" s="1"/>
  <c r="O2963" i="1" s="1"/>
  <c r="L2962" i="1"/>
  <c r="N2962" i="1" s="1"/>
  <c r="O2962" i="1" s="1"/>
  <c r="L2961" i="1"/>
  <c r="N2961" i="1" s="1"/>
  <c r="O2961" i="1" s="1"/>
  <c r="J2958" i="1"/>
  <c r="K2958" i="1" s="1"/>
  <c r="O2958" i="1" s="1"/>
  <c r="J2957" i="1"/>
  <c r="K2957" i="1" s="1"/>
  <c r="O2957" i="1" s="1"/>
  <c r="J2956" i="1"/>
  <c r="K2956" i="1" s="1"/>
  <c r="O2956" i="1" s="1"/>
  <c r="J2955" i="1"/>
  <c r="K2955" i="1" s="1"/>
  <c r="O2955" i="1" s="1"/>
  <c r="J2954" i="1"/>
  <c r="K2954" i="1" s="1"/>
  <c r="O2954" i="1" s="1"/>
  <c r="J2953" i="1"/>
  <c r="K2953" i="1" s="1"/>
  <c r="O2953" i="1" s="1"/>
  <c r="J2952" i="1"/>
  <c r="K2952" i="1" s="1"/>
  <c r="O2952" i="1" s="1"/>
  <c r="J2951" i="1"/>
  <c r="K2951" i="1" s="1"/>
  <c r="O2951" i="1" s="1"/>
  <c r="J2950" i="1"/>
  <c r="K2950" i="1" s="1"/>
  <c r="O2950" i="1" s="1"/>
  <c r="J2949" i="1"/>
  <c r="K2949" i="1" s="1"/>
  <c r="O2949" i="1" s="1"/>
  <c r="J2948" i="1"/>
  <c r="K2948" i="1" s="1"/>
  <c r="O2948" i="1" s="1"/>
  <c r="J2947" i="1"/>
  <c r="K2947" i="1" s="1"/>
  <c r="O2947" i="1" s="1"/>
  <c r="J2946" i="1"/>
  <c r="K2946" i="1" s="1"/>
  <c r="O2946" i="1" s="1"/>
  <c r="J2945" i="1"/>
  <c r="K2945" i="1" s="1"/>
  <c r="O2945" i="1" s="1"/>
  <c r="J2940" i="1"/>
  <c r="K2940" i="1" s="1"/>
  <c r="O2940" i="1" s="1"/>
  <c r="J2939" i="1"/>
  <c r="K2939" i="1" s="1"/>
  <c r="O2939" i="1" s="1"/>
  <c r="J2938" i="1"/>
  <c r="K2938" i="1" s="1"/>
  <c r="O2938" i="1" s="1"/>
  <c r="E2937" i="1"/>
  <c r="J2937" i="1" s="1"/>
  <c r="K2937" i="1" s="1"/>
  <c r="O2937" i="1" s="1"/>
  <c r="J2936" i="1"/>
  <c r="K2936" i="1" s="1"/>
  <c r="O2936" i="1" s="1"/>
  <c r="J2935" i="1"/>
  <c r="K2935" i="1" s="1"/>
  <c r="O2935" i="1" s="1"/>
  <c r="J2934" i="1"/>
  <c r="K2934" i="1" s="1"/>
  <c r="O2934" i="1" s="1"/>
  <c r="J2933" i="1"/>
  <c r="K2933" i="1"/>
  <c r="O2933" i="1" s="1"/>
  <c r="J2932" i="1"/>
  <c r="K2932" i="1" s="1"/>
  <c r="O2932" i="1" s="1"/>
  <c r="J2931" i="1"/>
  <c r="K2931" i="1" s="1"/>
  <c r="O2931" i="1" s="1"/>
  <c r="E2930" i="1"/>
  <c r="J2930" i="1" s="1"/>
  <c r="K2930" i="1" s="1"/>
  <c r="O2930" i="1" s="1"/>
  <c r="J2929" i="1"/>
  <c r="K2929" i="1" s="1"/>
  <c r="O2929" i="1" s="1"/>
  <c r="J2928" i="1"/>
  <c r="K2928" i="1" s="1"/>
  <c r="O2928" i="1" s="1"/>
  <c r="J2927" i="1"/>
  <c r="K2927" i="1" s="1"/>
  <c r="O2927" i="1" s="1"/>
  <c r="J2926" i="1"/>
  <c r="K2926" i="1" s="1"/>
  <c r="O2926" i="1" s="1"/>
  <c r="L2923" i="1"/>
  <c r="N2923" i="1" s="1"/>
  <c r="O2923" i="1" s="1"/>
  <c r="L2922" i="1"/>
  <c r="N2922" i="1" s="1"/>
  <c r="O2922" i="1" s="1"/>
  <c r="L2921" i="1"/>
  <c r="N2921" i="1" s="1"/>
  <c r="O2921" i="1" s="1"/>
  <c r="L2920" i="1"/>
  <c r="N2920" i="1" s="1"/>
  <c r="O2920" i="1" s="1"/>
  <c r="L2919" i="1"/>
  <c r="N2919" i="1" s="1"/>
  <c r="O2919" i="1" s="1"/>
  <c r="L2918" i="1"/>
  <c r="N2918" i="1" s="1"/>
  <c r="O2918" i="1" s="1"/>
  <c r="L2917" i="1"/>
  <c r="N2917" i="1" s="1"/>
  <c r="O2917" i="1" s="1"/>
  <c r="L2916" i="1"/>
  <c r="N2916" i="1" s="1"/>
  <c r="O2916" i="1" s="1"/>
  <c r="L2915" i="1"/>
  <c r="N2915" i="1" s="1"/>
  <c r="O2915" i="1" s="1"/>
  <c r="E2914" i="1"/>
  <c r="L2914" i="1" s="1"/>
  <c r="N2914" i="1" s="1"/>
  <c r="O2914" i="1" s="1"/>
  <c r="J2910" i="1"/>
  <c r="K2910" i="1" s="1"/>
  <c r="O2910" i="1" s="1"/>
  <c r="E2909" i="1"/>
  <c r="L2909" i="1" s="1"/>
  <c r="N2909" i="1" s="1"/>
  <c r="O2909" i="1" s="1"/>
  <c r="E2908" i="1"/>
  <c r="L2908" i="1" s="1"/>
  <c r="N2908" i="1" s="1"/>
  <c r="O2908" i="1" s="1"/>
  <c r="L2907" i="1"/>
  <c r="N2907" i="1" s="1"/>
  <c r="O2907" i="1" s="1"/>
  <c r="L2906" i="1"/>
  <c r="N2906" i="1" s="1"/>
  <c r="O2906" i="1" s="1"/>
  <c r="L2905" i="1"/>
  <c r="N2905" i="1" s="1"/>
  <c r="O2905" i="1" s="1"/>
  <c r="E2904" i="1"/>
  <c r="J2904" i="1" s="1"/>
  <c r="K2904" i="1" s="1"/>
  <c r="O2904" i="1" s="1"/>
  <c r="E2903" i="1"/>
  <c r="J2903" i="1" s="1"/>
  <c r="K2903" i="1" s="1"/>
  <c r="O2903" i="1" s="1"/>
  <c r="E2902" i="1"/>
  <c r="J2902" i="1" s="1"/>
  <c r="K2902" i="1" s="1"/>
  <c r="O2902" i="1" s="1"/>
  <c r="E2901" i="1"/>
  <c r="L2901" i="1" s="1"/>
  <c r="N2901" i="1" s="1"/>
  <c r="O2901" i="1" s="1"/>
  <c r="E2900" i="1"/>
  <c r="J2900" i="1" s="1"/>
  <c r="K2900" i="1" s="1"/>
  <c r="O2900" i="1" s="1"/>
  <c r="E2899" i="1"/>
  <c r="L2899" i="1" s="1"/>
  <c r="N2899" i="1" s="1"/>
  <c r="O2899" i="1" s="1"/>
  <c r="L2898" i="1"/>
  <c r="N2898" i="1" s="1"/>
  <c r="O2898" i="1" s="1"/>
  <c r="E2897" i="1"/>
  <c r="E343" i="5" s="1"/>
  <c r="F343" i="5" s="1"/>
  <c r="E2896" i="1"/>
  <c r="E342" i="5" s="1"/>
  <c r="L2895" i="1"/>
  <c r="N2895" i="1" s="1"/>
  <c r="O2895" i="1" s="1"/>
  <c r="J2890" i="1"/>
  <c r="K2890" i="1" s="1"/>
  <c r="O2890" i="1" s="1"/>
  <c r="J2889" i="1"/>
  <c r="K2889" i="1" s="1"/>
  <c r="O2889" i="1" s="1"/>
  <c r="J2888" i="1"/>
  <c r="K2888" i="1" s="1"/>
  <c r="O2888" i="1" s="1"/>
  <c r="J2887" i="1"/>
  <c r="K2887" i="1" s="1"/>
  <c r="O2887" i="1" s="1"/>
  <c r="J2886" i="1"/>
  <c r="K2886" i="1" s="1"/>
  <c r="O2886" i="1" s="1"/>
  <c r="J2885" i="1"/>
  <c r="K2885" i="1" s="1"/>
  <c r="O2885" i="1" s="1"/>
  <c r="J2884" i="1"/>
  <c r="K2884" i="1" s="1"/>
  <c r="O2884" i="1" s="1"/>
  <c r="J2883" i="1"/>
  <c r="K2883" i="1" s="1"/>
  <c r="O2883" i="1" s="1"/>
  <c r="J2882" i="1"/>
  <c r="K2882" i="1" s="1"/>
  <c r="O2882" i="1" s="1"/>
  <c r="J2881" i="1"/>
  <c r="K2881" i="1" s="1"/>
  <c r="O2881" i="1" s="1"/>
  <c r="J2880" i="1"/>
  <c r="K2880" i="1" s="1"/>
  <c r="O2880" i="1" s="1"/>
  <c r="J2879" i="1"/>
  <c r="K2879" i="1" s="1"/>
  <c r="O2879" i="1" s="1"/>
  <c r="J2878" i="1"/>
  <c r="K2878" i="1" s="1"/>
  <c r="O2878" i="1" s="1"/>
  <c r="J2877" i="1"/>
  <c r="K2877" i="1" s="1"/>
  <c r="O2877" i="1" s="1"/>
  <c r="J2876" i="1"/>
  <c r="K2876" i="1" s="1"/>
  <c r="O2876" i="1" s="1"/>
  <c r="J2875" i="1"/>
  <c r="K2875" i="1" s="1"/>
  <c r="O2875" i="1" s="1"/>
  <c r="L2872" i="1"/>
  <c r="N2872" i="1" s="1"/>
  <c r="O2872" i="1" s="1"/>
  <c r="L2871" i="1"/>
  <c r="N2871" i="1" s="1"/>
  <c r="O2871" i="1" s="1"/>
  <c r="L2870" i="1"/>
  <c r="N2870" i="1" s="1"/>
  <c r="O2870" i="1" s="1"/>
  <c r="B240" i="7"/>
  <c r="J3270" i="1"/>
  <c r="K3270" i="1" s="1"/>
  <c r="O3270" i="1" s="1"/>
  <c r="J3249" i="1"/>
  <c r="K3249" i="1" s="1"/>
  <c r="O3249" i="1" s="1"/>
  <c r="J3250" i="1"/>
  <c r="K3250" i="1" s="1"/>
  <c r="O3250" i="1" s="1"/>
  <c r="J3251" i="1"/>
  <c r="K3251" i="1" s="1"/>
  <c r="O3251" i="1" s="1"/>
  <c r="J3252" i="1"/>
  <c r="K3252" i="1" s="1"/>
  <c r="O3252" i="1" s="1"/>
  <c r="J3253" i="1"/>
  <c r="K3253" i="1" s="1"/>
  <c r="O3253" i="1" s="1"/>
  <c r="J3254" i="1"/>
  <c r="K3254" i="1" s="1"/>
  <c r="O3254" i="1" s="1"/>
  <c r="J3255" i="1"/>
  <c r="K3255" i="1" s="1"/>
  <c r="O3255" i="1" s="1"/>
  <c r="L3224" i="1"/>
  <c r="N3224" i="1" s="1"/>
  <c r="O3224" i="1" s="1"/>
  <c r="L3223" i="1"/>
  <c r="N3223" i="1" s="1"/>
  <c r="O3223" i="1" s="1"/>
  <c r="L3222" i="1"/>
  <c r="N3222" i="1" s="1"/>
  <c r="O3222" i="1" s="1"/>
  <c r="J404" i="1"/>
  <c r="J403" i="1" s="1"/>
  <c r="M403" i="1"/>
  <c r="L403" i="1"/>
  <c r="I403" i="1"/>
  <c r="G403" i="1"/>
  <c r="F403" i="1"/>
  <c r="E343" i="1"/>
  <c r="E41" i="19" s="1"/>
  <c r="E795" i="1"/>
  <c r="E44" i="19" s="1"/>
  <c r="E1457" i="1"/>
  <c r="E47" i="19" s="1"/>
  <c r="J796" i="1"/>
  <c r="K796" i="1" s="1"/>
  <c r="O796" i="1" s="1"/>
  <c r="E231" i="1"/>
  <c r="C41" i="3"/>
  <c r="D41" i="3"/>
  <c r="E41" i="3"/>
  <c r="B41" i="3"/>
  <c r="D12" i="3"/>
  <c r="E12" i="3"/>
  <c r="B12" i="3"/>
  <c r="J1698" i="1"/>
  <c r="K1698" i="1" s="1"/>
  <c r="O1698" i="1" s="1"/>
  <c r="M1697" i="1"/>
  <c r="L1697" i="1"/>
  <c r="I1697" i="1"/>
  <c r="G1697" i="1"/>
  <c r="F1697" i="1"/>
  <c r="J124" i="1"/>
  <c r="K124" i="1" s="1"/>
  <c r="O124" i="1" s="1"/>
  <c r="M123" i="1"/>
  <c r="L123" i="1"/>
  <c r="I123" i="1"/>
  <c r="G123" i="1"/>
  <c r="F123" i="1"/>
  <c r="C265" i="5"/>
  <c r="D265" i="5"/>
  <c r="B265" i="5"/>
  <c r="C189" i="5"/>
  <c r="D189" i="5"/>
  <c r="E189" i="5"/>
  <c r="C190" i="5"/>
  <c r="D190" i="5"/>
  <c r="E190" i="5"/>
  <c r="C191" i="5"/>
  <c r="D191" i="5"/>
  <c r="E191" i="5"/>
  <c r="C192" i="5"/>
  <c r="D192" i="5"/>
  <c r="E192" i="5"/>
  <c r="C193" i="5"/>
  <c r="D193" i="5"/>
  <c r="E193" i="5"/>
  <c r="D188" i="5"/>
  <c r="C188" i="5"/>
  <c r="C155" i="5"/>
  <c r="D155" i="5"/>
  <c r="E155" i="5"/>
  <c r="C156" i="5"/>
  <c r="D156" i="5"/>
  <c r="E156" i="5"/>
  <c r="C157" i="5"/>
  <c r="D157" i="5"/>
  <c r="E157" i="5"/>
  <c r="C158" i="5"/>
  <c r="D158" i="5"/>
  <c r="E158" i="5"/>
  <c r="C159" i="5"/>
  <c r="D159" i="5"/>
  <c r="E159" i="5"/>
  <c r="C160" i="5"/>
  <c r="D160" i="5"/>
  <c r="E160" i="5"/>
  <c r="C161" i="5"/>
  <c r="D161" i="5"/>
  <c r="E161" i="5"/>
  <c r="C162" i="5"/>
  <c r="D162" i="5"/>
  <c r="E162" i="5"/>
  <c r="C163" i="5"/>
  <c r="D163" i="5"/>
  <c r="E163" i="5"/>
  <c r="C164" i="5"/>
  <c r="D164" i="5"/>
  <c r="B156" i="5"/>
  <c r="B157" i="5"/>
  <c r="B158" i="5"/>
  <c r="B159" i="5"/>
  <c r="B160" i="5"/>
  <c r="B161" i="5"/>
  <c r="B162" i="5"/>
  <c r="B163" i="5"/>
  <c r="B164" i="5"/>
  <c r="B155" i="5"/>
  <c r="E569" i="1"/>
  <c r="E677" i="1"/>
  <c r="M920" i="1"/>
  <c r="J920" i="1"/>
  <c r="I920" i="1"/>
  <c r="G920" i="1"/>
  <c r="F920" i="1"/>
  <c r="L933" i="1"/>
  <c r="N933" i="1" s="1"/>
  <c r="O933" i="1" s="1"/>
  <c r="L932" i="1"/>
  <c r="N932" i="1" s="1"/>
  <c r="O932" i="1" s="1"/>
  <c r="L931" i="1"/>
  <c r="N931" i="1" s="1"/>
  <c r="O931" i="1" s="1"/>
  <c r="L930" i="1"/>
  <c r="N930" i="1" s="1"/>
  <c r="O930" i="1" s="1"/>
  <c r="L929" i="1"/>
  <c r="N929" i="1" s="1"/>
  <c r="O929" i="1" s="1"/>
  <c r="E928" i="1"/>
  <c r="E782" i="1"/>
  <c r="E164" i="5" s="1"/>
  <c r="L781" i="1"/>
  <c r="N781" i="1" s="1"/>
  <c r="O781" i="1" s="1"/>
  <c r="L780" i="1"/>
  <c r="N780" i="1" s="1"/>
  <c r="O780" i="1" s="1"/>
  <c r="L779" i="1"/>
  <c r="N779" i="1" s="1"/>
  <c r="O779" i="1" s="1"/>
  <c r="L778" i="1"/>
  <c r="N778" i="1" s="1"/>
  <c r="O778" i="1" s="1"/>
  <c r="L777" i="1"/>
  <c r="N777" i="1" s="1"/>
  <c r="O777" i="1" s="1"/>
  <c r="L776" i="1"/>
  <c r="N776" i="1" s="1"/>
  <c r="O776" i="1" s="1"/>
  <c r="L775" i="1"/>
  <c r="N775" i="1" s="1"/>
  <c r="O775" i="1" s="1"/>
  <c r="L774" i="1"/>
  <c r="N774" i="1" s="1"/>
  <c r="O774" i="1" s="1"/>
  <c r="L773" i="1"/>
  <c r="N773" i="1" s="1"/>
  <c r="O773" i="1" s="1"/>
  <c r="C221" i="5"/>
  <c r="D221" i="5"/>
  <c r="E221" i="5"/>
  <c r="B221" i="5"/>
  <c r="E499" i="1"/>
  <c r="C278" i="5"/>
  <c r="D278" i="5"/>
  <c r="C279" i="5"/>
  <c r="D279" i="5"/>
  <c r="C280" i="5"/>
  <c r="D280" i="5"/>
  <c r="C281" i="5"/>
  <c r="D281" i="5"/>
  <c r="E281" i="5"/>
  <c r="C282" i="5"/>
  <c r="D282" i="5"/>
  <c r="E282" i="5"/>
  <c r="C283" i="5"/>
  <c r="D283" i="5"/>
  <c r="E283" i="5"/>
  <c r="C284" i="5"/>
  <c r="D284" i="5"/>
  <c r="E284" i="5"/>
  <c r="B279" i="5"/>
  <c r="B280" i="5"/>
  <c r="B281" i="5"/>
  <c r="B282" i="5"/>
  <c r="B283" i="5"/>
  <c r="B284" i="5"/>
  <c r="C255" i="5"/>
  <c r="D255" i="5"/>
  <c r="E255" i="5"/>
  <c r="C256" i="5"/>
  <c r="D256" i="5"/>
  <c r="E256" i="5"/>
  <c r="C257" i="5"/>
  <c r="D257" i="5"/>
  <c r="E257" i="5"/>
  <c r="C258" i="5"/>
  <c r="D258" i="5"/>
  <c r="E258" i="5"/>
  <c r="C259" i="5"/>
  <c r="D259" i="5"/>
  <c r="E259" i="5"/>
  <c r="C260" i="5"/>
  <c r="D260" i="5"/>
  <c r="E260" i="5"/>
  <c r="C261" i="5"/>
  <c r="D261" i="5"/>
  <c r="C262" i="5"/>
  <c r="D262" i="5"/>
  <c r="E262" i="5"/>
  <c r="C263" i="5"/>
  <c r="D263" i="5"/>
  <c r="E263" i="5"/>
  <c r="C264" i="5"/>
  <c r="D264" i="5"/>
  <c r="E264" i="5"/>
  <c r="C266" i="5"/>
  <c r="D266" i="5"/>
  <c r="E266" i="5"/>
  <c r="B255" i="5"/>
  <c r="B256" i="5"/>
  <c r="B257" i="5"/>
  <c r="B258" i="5"/>
  <c r="B259" i="5"/>
  <c r="B260" i="5"/>
  <c r="B261" i="5"/>
  <c r="B262" i="5"/>
  <c r="B263" i="5"/>
  <c r="B264" i="5"/>
  <c r="B266" i="5"/>
  <c r="B244" i="5"/>
  <c r="B245" i="5"/>
  <c r="B246" i="5"/>
  <c r="B247" i="5"/>
  <c r="B234" i="5"/>
  <c r="B235" i="5"/>
  <c r="B236" i="5"/>
  <c r="B237" i="5"/>
  <c r="B238" i="5"/>
  <c r="B239" i="5"/>
  <c r="B240" i="5"/>
  <c r="B241" i="5"/>
  <c r="B225" i="5"/>
  <c r="B226" i="5"/>
  <c r="B227" i="5"/>
  <c r="B228" i="5"/>
  <c r="B229" i="5"/>
  <c r="B230" i="5"/>
  <c r="B231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2" i="5"/>
  <c r="B197" i="5"/>
  <c r="B198" i="5"/>
  <c r="B199" i="5"/>
  <c r="B200" i="5"/>
  <c r="B201" i="5"/>
  <c r="B202" i="5"/>
  <c r="B203" i="5"/>
  <c r="B204" i="5"/>
  <c r="B205" i="5"/>
  <c r="B206" i="5"/>
  <c r="B182" i="5"/>
  <c r="B183" i="5"/>
  <c r="B184" i="5"/>
  <c r="B185" i="5"/>
  <c r="B186" i="5"/>
  <c r="B187" i="5"/>
  <c r="B194" i="5"/>
  <c r="B175" i="5"/>
  <c r="B176" i="5"/>
  <c r="B177" i="5"/>
  <c r="B178" i="5"/>
  <c r="B179" i="5"/>
  <c r="C144" i="5"/>
  <c r="D144" i="5"/>
  <c r="E144" i="5"/>
  <c r="C145" i="5"/>
  <c r="D145" i="5"/>
  <c r="E145" i="5"/>
  <c r="C146" i="5"/>
  <c r="D146" i="5"/>
  <c r="E146" i="5"/>
  <c r="C147" i="5"/>
  <c r="D147" i="5"/>
  <c r="E147" i="5"/>
  <c r="C148" i="5"/>
  <c r="D148" i="5"/>
  <c r="E148" i="5"/>
  <c r="C149" i="5"/>
  <c r="D149" i="5"/>
  <c r="E149" i="5"/>
  <c r="C150" i="5"/>
  <c r="D150" i="5"/>
  <c r="E150" i="5"/>
  <c r="C151" i="5"/>
  <c r="D151" i="5"/>
  <c r="E151" i="5"/>
  <c r="C152" i="5"/>
  <c r="D152" i="5"/>
  <c r="E152" i="5"/>
  <c r="C153" i="5"/>
  <c r="D153" i="5"/>
  <c r="E153" i="5"/>
  <c r="C154" i="5"/>
  <c r="D154" i="5"/>
  <c r="B145" i="5"/>
  <c r="B146" i="5"/>
  <c r="B147" i="5"/>
  <c r="B148" i="5"/>
  <c r="B149" i="5"/>
  <c r="B150" i="5"/>
  <c r="B151" i="5"/>
  <c r="B152" i="5"/>
  <c r="B153" i="5"/>
  <c r="B154" i="5"/>
  <c r="B137" i="5"/>
  <c r="B138" i="5"/>
  <c r="B139" i="5"/>
  <c r="B140" i="5"/>
  <c r="B141" i="5"/>
  <c r="B142" i="5"/>
  <c r="C127" i="5"/>
  <c r="D127" i="5"/>
  <c r="C128" i="5"/>
  <c r="D128" i="5"/>
  <c r="C129" i="5"/>
  <c r="D129" i="5"/>
  <c r="C130" i="5"/>
  <c r="D130" i="5"/>
  <c r="C131" i="5"/>
  <c r="D131" i="5"/>
  <c r="C132" i="5"/>
  <c r="D132" i="5"/>
  <c r="E132" i="5"/>
  <c r="C133" i="5"/>
  <c r="D133" i="5"/>
  <c r="E133" i="5"/>
  <c r="C134" i="5"/>
  <c r="D134" i="5"/>
  <c r="E134" i="5"/>
  <c r="B128" i="5"/>
  <c r="B129" i="5"/>
  <c r="B130" i="5"/>
  <c r="B131" i="5"/>
  <c r="B132" i="5"/>
  <c r="B133" i="5"/>
  <c r="B134" i="5"/>
  <c r="C116" i="5"/>
  <c r="D116" i="5"/>
  <c r="E116" i="5"/>
  <c r="C117" i="5"/>
  <c r="D117" i="5"/>
  <c r="E117" i="5"/>
  <c r="C118" i="5"/>
  <c r="D118" i="5"/>
  <c r="E118" i="5"/>
  <c r="C119" i="5"/>
  <c r="D119" i="5"/>
  <c r="C120" i="5"/>
  <c r="D120" i="5"/>
  <c r="E120" i="5"/>
  <c r="C121" i="5"/>
  <c r="D121" i="5"/>
  <c r="E121" i="5"/>
  <c r="C122" i="5"/>
  <c r="D122" i="5"/>
  <c r="E122" i="5"/>
  <c r="C123" i="5"/>
  <c r="D123" i="5"/>
  <c r="E123" i="5"/>
  <c r="C124" i="5"/>
  <c r="D124" i="5"/>
  <c r="E124" i="5"/>
  <c r="C125" i="5"/>
  <c r="D125" i="5"/>
  <c r="E125" i="5"/>
  <c r="B117" i="5"/>
  <c r="B118" i="5"/>
  <c r="B119" i="5"/>
  <c r="B120" i="5"/>
  <c r="B121" i="5"/>
  <c r="B122" i="5"/>
  <c r="B123" i="5"/>
  <c r="B124" i="5"/>
  <c r="B125" i="5"/>
  <c r="L1381" i="1"/>
  <c r="N1381" i="1" s="1"/>
  <c r="O1381" i="1" s="1"/>
  <c r="L1380" i="1"/>
  <c r="N1380" i="1" s="1"/>
  <c r="O1380" i="1" s="1"/>
  <c r="E672" i="1"/>
  <c r="E668" i="1"/>
  <c r="E671" i="1"/>
  <c r="E670" i="1"/>
  <c r="E129" i="5" s="1"/>
  <c r="E669" i="1"/>
  <c r="E285" i="1"/>
  <c r="E284" i="1"/>
  <c r="E500" i="1"/>
  <c r="E98" i="5" s="1"/>
  <c r="E613" i="1"/>
  <c r="B103" i="5"/>
  <c r="B104" i="5"/>
  <c r="B105" i="5"/>
  <c r="B106" i="5"/>
  <c r="B107" i="5"/>
  <c r="B108" i="5"/>
  <c r="B109" i="5"/>
  <c r="B110" i="5"/>
  <c r="B111" i="5"/>
  <c r="B112" i="5"/>
  <c r="B113" i="5"/>
  <c r="B114" i="5"/>
  <c r="B95" i="5"/>
  <c r="B96" i="5"/>
  <c r="B97" i="5"/>
  <c r="B98" i="5"/>
  <c r="B99" i="5"/>
  <c r="B100" i="5"/>
  <c r="B87" i="5"/>
  <c r="B88" i="5"/>
  <c r="B89" i="5"/>
  <c r="B90" i="5"/>
  <c r="B91" i="5"/>
  <c r="B92" i="5"/>
  <c r="B76" i="5"/>
  <c r="B77" i="5"/>
  <c r="B78" i="5"/>
  <c r="B79" i="5"/>
  <c r="B80" i="5"/>
  <c r="B81" i="5"/>
  <c r="B73" i="5"/>
  <c r="B62" i="5"/>
  <c r="B63" i="5"/>
  <c r="B64" i="5"/>
  <c r="B65" i="5"/>
  <c r="B66" i="5"/>
  <c r="B54" i="5"/>
  <c r="B55" i="5"/>
  <c r="B48" i="5"/>
  <c r="B14" i="5"/>
  <c r="B15" i="5"/>
  <c r="B16" i="5"/>
  <c r="B17" i="5"/>
  <c r="B18" i="5"/>
  <c r="E1448" i="1"/>
  <c r="J1464" i="1"/>
  <c r="K1464" i="1" s="1"/>
  <c r="O1464" i="1" s="1"/>
  <c r="E876" i="1"/>
  <c r="L2281" i="1"/>
  <c r="N2281" i="1" s="1"/>
  <c r="O2281" i="1" s="1"/>
  <c r="C208" i="5"/>
  <c r="D208" i="5"/>
  <c r="E208" i="5"/>
  <c r="C209" i="5"/>
  <c r="D209" i="5"/>
  <c r="E209" i="5"/>
  <c r="C210" i="5"/>
  <c r="D210" i="5"/>
  <c r="E210" i="5"/>
  <c r="C211" i="5"/>
  <c r="D211" i="5"/>
  <c r="E211" i="5"/>
  <c r="C212" i="5"/>
  <c r="D212" i="5"/>
  <c r="E212" i="5"/>
  <c r="C213" i="5"/>
  <c r="D213" i="5"/>
  <c r="E213" i="5"/>
  <c r="C214" i="5"/>
  <c r="D214" i="5"/>
  <c r="E214" i="5"/>
  <c r="C215" i="5"/>
  <c r="D215" i="5"/>
  <c r="E215" i="5"/>
  <c r="C216" i="5"/>
  <c r="D216" i="5"/>
  <c r="E216" i="5"/>
  <c r="C217" i="5"/>
  <c r="D217" i="5"/>
  <c r="E217" i="5"/>
  <c r="C218" i="5"/>
  <c r="D218" i="5"/>
  <c r="E218" i="5"/>
  <c r="C219" i="5"/>
  <c r="D219" i="5"/>
  <c r="E219" i="5"/>
  <c r="C220" i="5"/>
  <c r="D220" i="5"/>
  <c r="E220" i="5"/>
  <c r="C94" i="5"/>
  <c r="D94" i="5"/>
  <c r="C95" i="5"/>
  <c r="D95" i="5"/>
  <c r="C96" i="5"/>
  <c r="D96" i="5"/>
  <c r="C97" i="5"/>
  <c r="D97" i="5"/>
  <c r="C98" i="5"/>
  <c r="D98" i="5"/>
  <c r="C99" i="5"/>
  <c r="D99" i="5"/>
  <c r="C100" i="5"/>
  <c r="D100" i="5"/>
  <c r="E100" i="5"/>
  <c r="C53" i="5"/>
  <c r="D53" i="5"/>
  <c r="E53" i="5"/>
  <c r="C54" i="5"/>
  <c r="D54" i="5"/>
  <c r="C55" i="5"/>
  <c r="D55" i="5"/>
  <c r="E55" i="5"/>
  <c r="C56" i="5"/>
  <c r="D56" i="5"/>
  <c r="E56" i="5"/>
  <c r="C57" i="5"/>
  <c r="D57" i="5"/>
  <c r="E57" i="5"/>
  <c r="C58" i="5"/>
  <c r="D58" i="5"/>
  <c r="E58" i="5"/>
  <c r="B56" i="5"/>
  <c r="B57" i="5"/>
  <c r="B58" i="5"/>
  <c r="L177" i="1"/>
  <c r="N177" i="1" s="1"/>
  <c r="O177" i="1" s="1"/>
  <c r="L176" i="1"/>
  <c r="N176" i="1" s="1"/>
  <c r="E926" i="1"/>
  <c r="E925" i="1"/>
  <c r="E185" i="5" s="1"/>
  <c r="E497" i="1"/>
  <c r="E47" i="5"/>
  <c r="E116" i="1"/>
  <c r="E32" i="5" s="1"/>
  <c r="F32" i="5" s="1"/>
  <c r="E115" i="1"/>
  <c r="E31" i="5" s="1"/>
  <c r="E114" i="1"/>
  <c r="E30" i="5" s="1"/>
  <c r="E1151" i="1"/>
  <c r="E727" i="1"/>
  <c r="L727" i="1" s="1"/>
  <c r="N727" i="1" s="1"/>
  <c r="O727" i="1" s="1"/>
  <c r="E496" i="1"/>
  <c r="L496" i="1" s="1"/>
  <c r="N496" i="1" s="1"/>
  <c r="O496" i="1" s="1"/>
  <c r="E113" i="1"/>
  <c r="E29" i="5" s="1"/>
  <c r="E16" i="1"/>
  <c r="E15" i="5" s="1"/>
  <c r="E279" i="5"/>
  <c r="E1447" i="1"/>
  <c r="E1446" i="1"/>
  <c r="E1321" i="1"/>
  <c r="E924" i="1"/>
  <c r="L924" i="1" s="1"/>
  <c r="N924" i="1" s="1"/>
  <c r="O924" i="1" s="1"/>
  <c r="E923" i="1"/>
  <c r="E183" i="5" s="1"/>
  <c r="E922" i="1"/>
  <c r="E182" i="5" s="1"/>
  <c r="E921" i="1"/>
  <c r="E181" i="5" s="1"/>
  <c r="E449" i="1"/>
  <c r="E89" i="5" s="1"/>
  <c r="E448" i="1"/>
  <c r="E395" i="1"/>
  <c r="E77" i="5" s="1"/>
  <c r="E394" i="1"/>
  <c r="E393" i="1"/>
  <c r="E338" i="1"/>
  <c r="E71" i="5" s="1"/>
  <c r="E18" i="1"/>
  <c r="L18" i="1" s="1"/>
  <c r="N18" i="1" s="1"/>
  <c r="O18" i="1" s="1"/>
  <c r="E17" i="1"/>
  <c r="E2849" i="1"/>
  <c r="E2847" i="1"/>
  <c r="E2841" i="1"/>
  <c r="E2839" i="1"/>
  <c r="E2644" i="1"/>
  <c r="L2644" i="1" s="1"/>
  <c r="E1150" i="1"/>
  <c r="E225" i="5" s="1"/>
  <c r="E2848" i="1"/>
  <c r="J2825" i="1"/>
  <c r="K2825" i="1" s="1"/>
  <c r="O2825" i="1" s="1"/>
  <c r="J2836" i="1"/>
  <c r="K2836" i="1" s="1"/>
  <c r="O2836" i="1" s="1"/>
  <c r="L3200" i="1"/>
  <c r="N3200" i="1" s="1"/>
  <c r="O3200" i="1" s="1"/>
  <c r="L3201" i="1"/>
  <c r="N3201" i="1" s="1"/>
  <c r="O3201" i="1" s="1"/>
  <c r="L3199" i="1"/>
  <c r="N3199" i="1" s="1"/>
  <c r="O3199" i="1" s="1"/>
  <c r="L3221" i="1"/>
  <c r="N3221" i="1" s="1"/>
  <c r="L3220" i="1"/>
  <c r="N3220" i="1" s="1"/>
  <c r="E117" i="1"/>
  <c r="E33" i="5" s="1"/>
  <c r="F33" i="5" s="1"/>
  <c r="J3217" i="1"/>
  <c r="K3217" i="1" s="1"/>
  <c r="O3217" i="1" s="1"/>
  <c r="K3221" i="1"/>
  <c r="K3220" i="1"/>
  <c r="E1692" i="1"/>
  <c r="E1691" i="1"/>
  <c r="E875" i="1"/>
  <c r="E504" i="1"/>
  <c r="E99" i="5"/>
  <c r="E237" i="1"/>
  <c r="E1092" i="1"/>
  <c r="E38" i="3" s="1"/>
  <c r="E683" i="1"/>
  <c r="E261" i="5"/>
  <c r="C9" i="7"/>
  <c r="B12" i="7"/>
  <c r="C12" i="7"/>
  <c r="D12" i="7"/>
  <c r="E12" i="7"/>
  <c r="B13" i="7"/>
  <c r="C13" i="7"/>
  <c r="D13" i="7"/>
  <c r="E13" i="7"/>
  <c r="B14" i="7"/>
  <c r="E14" i="7"/>
  <c r="F14" i="7" s="1"/>
  <c r="N14" i="7"/>
  <c r="B15" i="7"/>
  <c r="E15" i="7"/>
  <c r="F15" i="7" s="1"/>
  <c r="N15" i="7"/>
  <c r="B16" i="7"/>
  <c r="E16" i="7"/>
  <c r="F16" i="7" s="1"/>
  <c r="N16" i="7"/>
  <c r="B17" i="7"/>
  <c r="E17" i="7"/>
  <c r="F17" i="7" s="1"/>
  <c r="B18" i="7"/>
  <c r="E18" i="7"/>
  <c r="F18" i="7" s="1"/>
  <c r="B19" i="7"/>
  <c r="E19" i="7"/>
  <c r="F19" i="7" s="1"/>
  <c r="B20" i="7"/>
  <c r="F20" i="7"/>
  <c r="B21" i="7"/>
  <c r="F21" i="7"/>
  <c r="B22" i="7"/>
  <c r="C22" i="7"/>
  <c r="D22" i="7"/>
  <c r="E22" i="7"/>
  <c r="B25" i="7"/>
  <c r="C25" i="7"/>
  <c r="D25" i="7"/>
  <c r="E25" i="7"/>
  <c r="B26" i="7"/>
  <c r="E26" i="7"/>
  <c r="F26" i="7" s="1"/>
  <c r="B31" i="7"/>
  <c r="B32" i="7"/>
  <c r="C32" i="7"/>
  <c r="D32" i="7"/>
  <c r="E32" i="7"/>
  <c r="B35" i="7"/>
  <c r="B36" i="7"/>
  <c r="C36" i="7"/>
  <c r="D36" i="7"/>
  <c r="E36" i="7"/>
  <c r="B37" i="7"/>
  <c r="B38" i="7"/>
  <c r="B39" i="7"/>
  <c r="B41" i="7"/>
  <c r="B42" i="7"/>
  <c r="C42" i="7"/>
  <c r="D42" i="7"/>
  <c r="E42" i="7"/>
  <c r="B45" i="7"/>
  <c r="B46" i="7"/>
  <c r="C46" i="7"/>
  <c r="D46" i="7"/>
  <c r="E46" i="7"/>
  <c r="B48" i="7"/>
  <c r="B49" i="7"/>
  <c r="C49" i="7"/>
  <c r="D49" i="7"/>
  <c r="E49" i="7"/>
  <c r="B52" i="7"/>
  <c r="B53" i="7"/>
  <c r="C53" i="7"/>
  <c r="D53" i="7"/>
  <c r="B54" i="7"/>
  <c r="B55" i="7"/>
  <c r="B56" i="7"/>
  <c r="B57" i="7"/>
  <c r="B58" i="7"/>
  <c r="B59" i="7"/>
  <c r="B60" i="7"/>
  <c r="B61" i="7"/>
  <c r="B63" i="7"/>
  <c r="B64" i="7"/>
  <c r="C64" i="7"/>
  <c r="D64" i="7"/>
  <c r="E64" i="7"/>
  <c r="B67" i="7"/>
  <c r="B68" i="7"/>
  <c r="B69" i="7"/>
  <c r="B75" i="7"/>
  <c r="C75" i="7"/>
  <c r="D75" i="7"/>
  <c r="E75" i="7"/>
  <c r="B77" i="7"/>
  <c r="B78" i="7"/>
  <c r="C78" i="7"/>
  <c r="D78" i="7"/>
  <c r="E78" i="7"/>
  <c r="B79" i="7"/>
  <c r="B80" i="7"/>
  <c r="B81" i="7"/>
  <c r="B82" i="7"/>
  <c r="B83" i="7"/>
  <c r="B84" i="7"/>
  <c r="B85" i="7"/>
  <c r="B86" i="7"/>
  <c r="B88" i="7"/>
  <c r="B89" i="7"/>
  <c r="C89" i="7"/>
  <c r="D89" i="7"/>
  <c r="E89" i="7"/>
  <c r="B92" i="7"/>
  <c r="B93" i="7"/>
  <c r="C93" i="7"/>
  <c r="D93" i="7"/>
  <c r="E93" i="7"/>
  <c r="B94" i="7"/>
  <c r="B95" i="7"/>
  <c r="B96" i="7"/>
  <c r="B97" i="7"/>
  <c r="B98" i="7"/>
  <c r="B99" i="7"/>
  <c r="B101" i="7"/>
  <c r="B102" i="7"/>
  <c r="C102" i="7"/>
  <c r="D102" i="7"/>
  <c r="E102" i="7"/>
  <c r="B105" i="7"/>
  <c r="B106" i="7"/>
  <c r="C106" i="7"/>
  <c r="D106" i="7"/>
  <c r="E106" i="7"/>
  <c r="B107" i="7"/>
  <c r="B108" i="7"/>
  <c r="B109" i="7"/>
  <c r="B110" i="7"/>
  <c r="B111" i="7"/>
  <c r="B112" i="7"/>
  <c r="B114" i="7"/>
  <c r="B115" i="7"/>
  <c r="C115" i="7"/>
  <c r="D115" i="7"/>
  <c r="E115" i="7"/>
  <c r="B118" i="7"/>
  <c r="C119" i="7"/>
  <c r="D119" i="7"/>
  <c r="B120" i="7"/>
  <c r="B121" i="7"/>
  <c r="B124" i="7"/>
  <c r="B125" i="7"/>
  <c r="C125" i="7"/>
  <c r="D125" i="7"/>
  <c r="E125" i="7"/>
  <c r="B128" i="7"/>
  <c r="C128" i="7"/>
  <c r="D128" i="7"/>
  <c r="E128" i="7"/>
  <c r="B129" i="7"/>
  <c r="B134" i="7"/>
  <c r="C134" i="7"/>
  <c r="D134" i="7"/>
  <c r="E134" i="7"/>
  <c r="B135" i="7"/>
  <c r="C135" i="7"/>
  <c r="D135" i="7"/>
  <c r="E135" i="7"/>
  <c r="B136" i="7"/>
  <c r="C136" i="7"/>
  <c r="D136" i="7"/>
  <c r="E136" i="7"/>
  <c r="B137" i="7"/>
  <c r="C137" i="7"/>
  <c r="D137" i="7"/>
  <c r="E137" i="7"/>
  <c r="B138" i="7"/>
  <c r="C138" i="7"/>
  <c r="D138" i="7"/>
  <c r="E138" i="7"/>
  <c r="B139" i="7"/>
  <c r="C139" i="7"/>
  <c r="D139" i="7"/>
  <c r="E139" i="7"/>
  <c r="B142" i="7"/>
  <c r="C142" i="7"/>
  <c r="D142" i="7"/>
  <c r="E142" i="7"/>
  <c r="B143" i="7"/>
  <c r="C143" i="7"/>
  <c r="D143" i="7"/>
  <c r="E143" i="7"/>
  <c r="B144" i="7"/>
  <c r="C144" i="7"/>
  <c r="D144" i="7"/>
  <c r="E144" i="7"/>
  <c r="B145" i="7"/>
  <c r="C145" i="7"/>
  <c r="D145" i="7"/>
  <c r="E145" i="7"/>
  <c r="B146" i="7"/>
  <c r="C146" i="7"/>
  <c r="D146" i="7"/>
  <c r="E146" i="7"/>
  <c r="B147" i="7"/>
  <c r="C147" i="7"/>
  <c r="D147" i="7"/>
  <c r="E147" i="7"/>
  <c r="B148" i="7"/>
  <c r="C148" i="7"/>
  <c r="D148" i="7"/>
  <c r="E148" i="7"/>
  <c r="B149" i="7"/>
  <c r="C149" i="7"/>
  <c r="D149" i="7"/>
  <c r="E149" i="7"/>
  <c r="B151" i="7"/>
  <c r="C151" i="7"/>
  <c r="D151" i="7"/>
  <c r="E151" i="7"/>
  <c r="B152" i="7"/>
  <c r="C152" i="7"/>
  <c r="D152" i="7"/>
  <c r="E152" i="7"/>
  <c r="B153" i="7"/>
  <c r="C153" i="7"/>
  <c r="D153" i="7"/>
  <c r="E153" i="7"/>
  <c r="B154" i="7"/>
  <c r="C154" i="7"/>
  <c r="D154" i="7"/>
  <c r="E154" i="7"/>
  <c r="B155" i="7"/>
  <c r="C155" i="7"/>
  <c r="D155" i="7"/>
  <c r="E155" i="7"/>
  <c r="B156" i="7"/>
  <c r="C156" i="7"/>
  <c r="D156" i="7"/>
  <c r="E156" i="7"/>
  <c r="B157" i="7"/>
  <c r="C157" i="7"/>
  <c r="D157" i="7"/>
  <c r="E157" i="7"/>
  <c r="B158" i="7"/>
  <c r="C158" i="7"/>
  <c r="D158" i="7"/>
  <c r="E158" i="7"/>
  <c r="B159" i="7"/>
  <c r="C159" i="7"/>
  <c r="D159" i="7"/>
  <c r="E159" i="7"/>
  <c r="B160" i="7"/>
  <c r="C160" i="7"/>
  <c r="D160" i="7"/>
  <c r="E160" i="7"/>
  <c r="B161" i="7"/>
  <c r="C161" i="7"/>
  <c r="D161" i="7"/>
  <c r="E161" i="7"/>
  <c r="B162" i="7"/>
  <c r="C162" i="7"/>
  <c r="D162" i="7"/>
  <c r="E162" i="7"/>
  <c r="B163" i="7"/>
  <c r="C163" i="7"/>
  <c r="D163" i="7"/>
  <c r="E163" i="7"/>
  <c r="B166" i="7"/>
  <c r="C166" i="7"/>
  <c r="D166" i="7"/>
  <c r="E166" i="7"/>
  <c r="B167" i="7"/>
  <c r="C167" i="7"/>
  <c r="D167" i="7"/>
  <c r="B168" i="7"/>
  <c r="C168" i="7"/>
  <c r="D168" i="7"/>
  <c r="E168" i="7"/>
  <c r="B169" i="7"/>
  <c r="C169" i="7"/>
  <c r="D169" i="7"/>
  <c r="E169" i="7"/>
  <c r="B170" i="7"/>
  <c r="C170" i="7"/>
  <c r="D170" i="7"/>
  <c r="E170" i="7"/>
  <c r="B171" i="7"/>
  <c r="C171" i="7"/>
  <c r="D171" i="7"/>
  <c r="E171" i="7"/>
  <c r="B172" i="7"/>
  <c r="C172" i="7"/>
  <c r="D172" i="7"/>
  <c r="E172" i="7"/>
  <c r="B173" i="7"/>
  <c r="C173" i="7"/>
  <c r="D173" i="7"/>
  <c r="E173" i="7"/>
  <c r="B174" i="7"/>
  <c r="C174" i="7"/>
  <c r="D174" i="7"/>
  <c r="E174" i="7"/>
  <c r="B177" i="7"/>
  <c r="C177" i="7"/>
  <c r="D177" i="7"/>
  <c r="E177" i="7"/>
  <c r="B178" i="7"/>
  <c r="C178" i="7"/>
  <c r="D178" i="7"/>
  <c r="B179" i="7"/>
  <c r="B184" i="7"/>
  <c r="C184" i="7"/>
  <c r="D184" i="7"/>
  <c r="E184" i="7"/>
  <c r="B185" i="7"/>
  <c r="C185" i="7"/>
  <c r="D185" i="7"/>
  <c r="E185" i="7"/>
  <c r="B186" i="7"/>
  <c r="B188" i="7"/>
  <c r="C188" i="7"/>
  <c r="D188" i="7"/>
  <c r="E188" i="7"/>
  <c r="B189" i="7"/>
  <c r="C189" i="7"/>
  <c r="D189" i="7"/>
  <c r="E189" i="7"/>
  <c r="B190" i="7"/>
  <c r="F190" i="7"/>
  <c r="F194" i="7"/>
  <c r="B197" i="7"/>
  <c r="C197" i="7"/>
  <c r="D197" i="7"/>
  <c r="E197" i="7"/>
  <c r="B198" i="7"/>
  <c r="C198" i="7"/>
  <c r="D198" i="7"/>
  <c r="E198" i="7"/>
  <c r="B199" i="7"/>
  <c r="C199" i="7"/>
  <c r="D199" i="7"/>
  <c r="E199" i="7"/>
  <c r="B202" i="7"/>
  <c r="C202" i="7"/>
  <c r="D202" i="7"/>
  <c r="E202" i="7"/>
  <c r="B203" i="7"/>
  <c r="C203" i="7"/>
  <c r="D203" i="7"/>
  <c r="E203" i="7"/>
  <c r="B204" i="7"/>
  <c r="C204" i="7"/>
  <c r="D204" i="7"/>
  <c r="E204" i="7"/>
  <c r="B205" i="7"/>
  <c r="C205" i="7"/>
  <c r="D205" i="7"/>
  <c r="E205" i="7"/>
  <c r="B206" i="7"/>
  <c r="C206" i="7"/>
  <c r="D206" i="7"/>
  <c r="E206" i="7"/>
  <c r="B207" i="7"/>
  <c r="C207" i="7"/>
  <c r="D207" i="7"/>
  <c r="E207" i="7"/>
  <c r="B208" i="7"/>
  <c r="C208" i="7"/>
  <c r="D208" i="7"/>
  <c r="E208" i="7"/>
  <c r="B209" i="7"/>
  <c r="C209" i="7"/>
  <c r="D209" i="7"/>
  <c r="E209" i="7"/>
  <c r="B210" i="7"/>
  <c r="C210" i="7"/>
  <c r="D210" i="7"/>
  <c r="E210" i="7"/>
  <c r="B211" i="7"/>
  <c r="C211" i="7"/>
  <c r="D211" i="7"/>
  <c r="E211" i="7"/>
  <c r="B214" i="7"/>
  <c r="C214" i="7"/>
  <c r="D214" i="7"/>
  <c r="E214" i="7"/>
  <c r="B215" i="7"/>
  <c r="C215" i="7"/>
  <c r="D215" i="7"/>
  <c r="E215" i="7"/>
  <c r="B216" i="7"/>
  <c r="C216" i="7"/>
  <c r="D216" i="7"/>
  <c r="E216" i="7"/>
  <c r="B217" i="7"/>
  <c r="C217" i="7"/>
  <c r="D217" i="7"/>
  <c r="E217" i="7"/>
  <c r="B218" i="7"/>
  <c r="C218" i="7"/>
  <c r="D218" i="7"/>
  <c r="E218" i="7"/>
  <c r="B223" i="7"/>
  <c r="C223" i="7"/>
  <c r="D223" i="7"/>
  <c r="E223" i="7"/>
  <c r="B224" i="7"/>
  <c r="C224" i="7"/>
  <c r="D224" i="7"/>
  <c r="E224" i="7"/>
  <c r="B227" i="7"/>
  <c r="C227" i="7"/>
  <c r="D227" i="7"/>
  <c r="E227" i="7"/>
  <c r="B228" i="7"/>
  <c r="B233" i="7"/>
  <c r="C233" i="7"/>
  <c r="D233" i="7"/>
  <c r="E233" i="7"/>
  <c r="B234" i="7"/>
  <c r="C234" i="7"/>
  <c r="D234" i="7"/>
  <c r="E234" i="7"/>
  <c r="B235" i="7"/>
  <c r="C235" i="7"/>
  <c r="D235" i="7"/>
  <c r="E235" i="7"/>
  <c r="B236" i="7"/>
  <c r="C236" i="7"/>
  <c r="D236" i="7"/>
  <c r="E236" i="7"/>
  <c r="B238" i="7"/>
  <c r="C238" i="7"/>
  <c r="D238" i="7"/>
  <c r="E238" i="7"/>
  <c r="B239" i="7"/>
  <c r="C239" i="7"/>
  <c r="D239" i="7"/>
  <c r="E239" i="7"/>
  <c r="C240" i="7"/>
  <c r="D240" i="7"/>
  <c r="E240" i="7"/>
  <c r="B241" i="7"/>
  <c r="C241" i="7"/>
  <c r="D241" i="7"/>
  <c r="E241" i="7"/>
  <c r="B242" i="7"/>
  <c r="C242" i="7"/>
  <c r="D242" i="7"/>
  <c r="E242" i="7"/>
  <c r="B243" i="7"/>
  <c r="C243" i="7"/>
  <c r="D243" i="7"/>
  <c r="E243" i="7"/>
  <c r="B244" i="7"/>
  <c r="C244" i="7"/>
  <c r="D244" i="7"/>
  <c r="E244" i="7"/>
  <c r="B247" i="7"/>
  <c r="C247" i="7"/>
  <c r="D247" i="7"/>
  <c r="E247" i="7"/>
  <c r="B248" i="7"/>
  <c r="C248" i="7"/>
  <c r="D248" i="7"/>
  <c r="E248" i="7"/>
  <c r="B249" i="7"/>
  <c r="C249" i="7"/>
  <c r="D249" i="7"/>
  <c r="E249" i="7"/>
  <c r="B250" i="7"/>
  <c r="C250" i="7"/>
  <c r="D250" i="7"/>
  <c r="E250" i="7"/>
  <c r="B251" i="7"/>
  <c r="B256" i="7"/>
  <c r="C256" i="7"/>
  <c r="D256" i="7"/>
  <c r="E256" i="7"/>
  <c r="B257" i="7"/>
  <c r="C257" i="7"/>
  <c r="D257" i="7"/>
  <c r="E257" i="7"/>
  <c r="B258" i="7"/>
  <c r="C258" i="7"/>
  <c r="D258" i="7"/>
  <c r="E258" i="7"/>
  <c r="C259" i="7"/>
  <c r="D259" i="7"/>
  <c r="E259" i="7"/>
  <c r="B261" i="7"/>
  <c r="C261" i="7"/>
  <c r="D261" i="7"/>
  <c r="E261" i="7"/>
  <c r="B262" i="7"/>
  <c r="C262" i="7"/>
  <c r="D262" i="7"/>
  <c r="B263" i="7"/>
  <c r="C263" i="7"/>
  <c r="D263" i="7"/>
  <c r="E263" i="7"/>
  <c r="B264" i="7"/>
  <c r="C264" i="7"/>
  <c r="D264" i="7"/>
  <c r="E264" i="7"/>
  <c r="B265" i="7"/>
  <c r="C265" i="7"/>
  <c r="F265" i="7" s="1"/>
  <c r="D265" i="7"/>
  <c r="E265" i="7"/>
  <c r="B266" i="7"/>
  <c r="C266" i="7"/>
  <c r="D266" i="7"/>
  <c r="E266" i="7"/>
  <c r="B267" i="7"/>
  <c r="C267" i="7"/>
  <c r="F267" i="7" s="1"/>
  <c r="D267" i="7"/>
  <c r="E267" i="7"/>
  <c r="B268" i="7"/>
  <c r="C268" i="7"/>
  <c r="D268" i="7"/>
  <c r="E268" i="7"/>
  <c r="B269" i="7"/>
  <c r="C269" i="7"/>
  <c r="D269" i="7"/>
  <c r="E269" i="7"/>
  <c r="B270" i="7"/>
  <c r="C270" i="7"/>
  <c r="D270" i="7"/>
  <c r="E270" i="7"/>
  <c r="B271" i="7"/>
  <c r="C271" i="7"/>
  <c r="D271" i="7"/>
  <c r="E271" i="7"/>
  <c r="B273" i="7"/>
  <c r="C273" i="7"/>
  <c r="D273" i="7"/>
  <c r="E273" i="7"/>
  <c r="B274" i="7"/>
  <c r="C274" i="7"/>
  <c r="D274" i="7"/>
  <c r="E274" i="7"/>
  <c r="B275" i="7"/>
  <c r="C275" i="7"/>
  <c r="D275" i="7"/>
  <c r="E275" i="7"/>
  <c r="B276" i="7"/>
  <c r="B283" i="7"/>
  <c r="C283" i="7"/>
  <c r="D283" i="7"/>
  <c r="E283" i="7"/>
  <c r="B284" i="7"/>
  <c r="C284" i="7"/>
  <c r="D284" i="7"/>
  <c r="E284" i="7"/>
  <c r="B285" i="7"/>
  <c r="C285" i="7"/>
  <c r="D285" i="7"/>
  <c r="E285" i="7"/>
  <c r="B286" i="7"/>
  <c r="C286" i="7"/>
  <c r="D286" i="7"/>
  <c r="E286" i="7"/>
  <c r="B288" i="7"/>
  <c r="C288" i="7"/>
  <c r="D288" i="7"/>
  <c r="E288" i="7"/>
  <c r="B289" i="7"/>
  <c r="C289" i="7"/>
  <c r="D289" i="7"/>
  <c r="E289" i="7"/>
  <c r="B290" i="7"/>
  <c r="C290" i="7"/>
  <c r="D290" i="7"/>
  <c r="E290" i="7"/>
  <c r="B291" i="7"/>
  <c r="C291" i="7"/>
  <c r="D291" i="7"/>
  <c r="E291" i="7"/>
  <c r="B292" i="7"/>
  <c r="C292" i="7"/>
  <c r="D292" i="7"/>
  <c r="E292" i="7"/>
  <c r="B293" i="7"/>
  <c r="C293" i="7"/>
  <c r="D293" i="7"/>
  <c r="E293" i="7"/>
  <c r="B294" i="7"/>
  <c r="C294" i="7"/>
  <c r="D294" i="7"/>
  <c r="E294" i="7"/>
  <c r="B295" i="7"/>
  <c r="C295" i="7"/>
  <c r="D295" i="7"/>
  <c r="E295" i="7"/>
  <c r="B296" i="7"/>
  <c r="C296" i="7"/>
  <c r="D296" i="7"/>
  <c r="E296" i="7"/>
  <c r="B297" i="7"/>
  <c r="B300" i="7"/>
  <c r="C300" i="7"/>
  <c r="D300" i="7"/>
  <c r="E300" i="7"/>
  <c r="B301" i="7"/>
  <c r="C301" i="7"/>
  <c r="D301" i="7"/>
  <c r="E301" i="7"/>
  <c r="B304" i="7"/>
  <c r="C304" i="7"/>
  <c r="D304" i="7"/>
  <c r="E304" i="7"/>
  <c r="B305" i="7"/>
  <c r="C305" i="7"/>
  <c r="D305" i="7"/>
  <c r="E305" i="7"/>
  <c r="B306" i="7"/>
  <c r="C306" i="7"/>
  <c r="D306" i="7"/>
  <c r="E306" i="7"/>
  <c r="B307" i="7"/>
  <c r="C307" i="7"/>
  <c r="D307" i="7"/>
  <c r="E307" i="7"/>
  <c r="B308" i="7"/>
  <c r="C308" i="7"/>
  <c r="D308" i="7"/>
  <c r="E308" i="7"/>
  <c r="B309" i="7"/>
  <c r="C309" i="7"/>
  <c r="D309" i="7"/>
  <c r="E309" i="7"/>
  <c r="B310" i="7"/>
  <c r="C310" i="7"/>
  <c r="D310" i="7"/>
  <c r="E310" i="7"/>
  <c r="B311" i="7"/>
  <c r="F313" i="7"/>
  <c r="B317" i="7"/>
  <c r="C317" i="7"/>
  <c r="D317" i="7"/>
  <c r="E317" i="7"/>
  <c r="B318" i="7"/>
  <c r="C318" i="7"/>
  <c r="D318" i="7"/>
  <c r="E318" i="7"/>
  <c r="B319" i="7"/>
  <c r="C319" i="7"/>
  <c r="D319" i="7"/>
  <c r="E319" i="7"/>
  <c r="B322" i="7"/>
  <c r="C322" i="7"/>
  <c r="D322" i="7"/>
  <c r="E322" i="7"/>
  <c r="B323" i="7"/>
  <c r="C323" i="7"/>
  <c r="D323" i="7"/>
  <c r="E323" i="7"/>
  <c r="B324" i="7"/>
  <c r="C324" i="7"/>
  <c r="D324" i="7"/>
  <c r="E324" i="7"/>
  <c r="B325" i="7"/>
  <c r="C325" i="7"/>
  <c r="D325" i="7"/>
  <c r="E325" i="7"/>
  <c r="B326" i="7"/>
  <c r="F327" i="7"/>
  <c r="F330" i="7"/>
  <c r="B334" i="7"/>
  <c r="C334" i="7"/>
  <c r="D334" i="7"/>
  <c r="E334" i="7"/>
  <c r="B335" i="7"/>
  <c r="C335" i="7"/>
  <c r="D335" i="7"/>
  <c r="E335" i="7"/>
  <c r="B336" i="7"/>
  <c r="C336" i="7"/>
  <c r="D336" i="7"/>
  <c r="E336" i="7"/>
  <c r="B337" i="7"/>
  <c r="C337" i="7"/>
  <c r="D337" i="7"/>
  <c r="E337" i="7"/>
  <c r="B339" i="7"/>
  <c r="C339" i="7"/>
  <c r="D339" i="7"/>
  <c r="E339" i="7"/>
  <c r="B340" i="7"/>
  <c r="C340" i="7"/>
  <c r="D340" i="7"/>
  <c r="E340" i="7"/>
  <c r="B341" i="7"/>
  <c r="C341" i="7"/>
  <c r="D341" i="7"/>
  <c r="E341" i="7"/>
  <c r="B342" i="7"/>
  <c r="C342" i="7"/>
  <c r="D342" i="7"/>
  <c r="E342" i="7"/>
  <c r="B343" i="7"/>
  <c r="C343" i="7"/>
  <c r="D343" i="7"/>
  <c r="E343" i="7"/>
  <c r="B344" i="7"/>
  <c r="C344" i="7"/>
  <c r="D344" i="7"/>
  <c r="E344" i="7"/>
  <c r="B345" i="7"/>
  <c r="C345" i="7"/>
  <c r="D345" i="7"/>
  <c r="E345" i="7"/>
  <c r="B346" i="7"/>
  <c r="C346" i="7"/>
  <c r="D346" i="7"/>
  <c r="E346" i="7"/>
  <c r="B347" i="7"/>
  <c r="C347" i="7"/>
  <c r="D347" i="7"/>
  <c r="E347" i="7"/>
  <c r="B348" i="7"/>
  <c r="C348" i="7"/>
  <c r="D348" i="7"/>
  <c r="E348" i="7"/>
  <c r="B349" i="7"/>
  <c r="C349" i="7"/>
  <c r="D349" i="7"/>
  <c r="E349" i="7"/>
  <c r="B351" i="7"/>
  <c r="C351" i="7"/>
  <c r="D351" i="7"/>
  <c r="E351" i="7"/>
  <c r="B352" i="7"/>
  <c r="C352" i="7"/>
  <c r="D352" i="7"/>
  <c r="E352" i="7"/>
  <c r="B353" i="7"/>
  <c r="C353" i="7"/>
  <c r="D353" i="7"/>
  <c r="E353" i="7"/>
  <c r="B354" i="7"/>
  <c r="C354" i="7"/>
  <c r="D354" i="7"/>
  <c r="E354" i="7"/>
  <c r="B355" i="7"/>
  <c r="C355" i="7"/>
  <c r="D355" i="7"/>
  <c r="E355" i="7"/>
  <c r="B356" i="7"/>
  <c r="C356" i="7"/>
  <c r="D356" i="7"/>
  <c r="E356" i="7"/>
  <c r="B357" i="7"/>
  <c r="C357" i="7"/>
  <c r="D357" i="7"/>
  <c r="E357" i="7"/>
  <c r="B358" i="7"/>
  <c r="C358" i="7"/>
  <c r="D358" i="7"/>
  <c r="E358" i="7"/>
  <c r="B359" i="7"/>
  <c r="C359" i="7"/>
  <c r="D359" i="7"/>
  <c r="E359" i="7"/>
  <c r="B360" i="7"/>
  <c r="C360" i="7"/>
  <c r="D360" i="7"/>
  <c r="E360" i="7"/>
  <c r="B361" i="7"/>
  <c r="C361" i="7"/>
  <c r="D361" i="7"/>
  <c r="E361" i="7"/>
  <c r="B362" i="7"/>
  <c r="C362" i="7"/>
  <c r="D362" i="7"/>
  <c r="E362" i="7"/>
  <c r="B363" i="7"/>
  <c r="C363" i="7"/>
  <c r="D363" i="7"/>
  <c r="E363" i="7"/>
  <c r="B364" i="7"/>
  <c r="C364" i="7"/>
  <c r="D364" i="7"/>
  <c r="E364" i="7"/>
  <c r="B365" i="7"/>
  <c r="C365" i="7"/>
  <c r="D365" i="7"/>
  <c r="E365" i="7"/>
  <c r="B366" i="7"/>
  <c r="C366" i="7"/>
  <c r="D366" i="7"/>
  <c r="E366" i="7"/>
  <c r="B367" i="7"/>
  <c r="C367" i="7"/>
  <c r="D367" i="7"/>
  <c r="E367" i="7"/>
  <c r="B368" i="7"/>
  <c r="C368" i="7"/>
  <c r="D368" i="7"/>
  <c r="E368" i="7"/>
  <c r="B369" i="7"/>
  <c r="C369" i="7"/>
  <c r="D369" i="7"/>
  <c r="E369" i="7"/>
  <c r="B370" i="7"/>
  <c r="C370" i="7"/>
  <c r="D370" i="7"/>
  <c r="E370" i="7"/>
  <c r="B371" i="7"/>
  <c r="C371" i="7"/>
  <c r="D371" i="7"/>
  <c r="E371" i="7"/>
  <c r="B372" i="7"/>
  <c r="C372" i="7"/>
  <c r="D372" i="7"/>
  <c r="E372" i="7"/>
  <c r="B373" i="7"/>
  <c r="C373" i="7"/>
  <c r="D373" i="7"/>
  <c r="E373" i="7"/>
  <c r="B374" i="7"/>
  <c r="C374" i="7"/>
  <c r="D374" i="7"/>
  <c r="E374" i="7"/>
  <c r="B375" i="7"/>
  <c r="C375" i="7"/>
  <c r="D375" i="7"/>
  <c r="E375" i="7"/>
  <c r="B376" i="7"/>
  <c r="C376" i="7"/>
  <c r="D376" i="7"/>
  <c r="E376" i="7"/>
  <c r="B377" i="7"/>
  <c r="C377" i="7"/>
  <c r="D377" i="7"/>
  <c r="E377" i="7"/>
  <c r="B378" i="7"/>
  <c r="C378" i="7"/>
  <c r="D378" i="7"/>
  <c r="E378" i="7"/>
  <c r="B379" i="7"/>
  <c r="C379" i="7"/>
  <c r="D379" i="7"/>
  <c r="E379" i="7"/>
  <c r="B380" i="7"/>
  <c r="C380" i="7"/>
  <c r="D380" i="7"/>
  <c r="E380" i="7"/>
  <c r="B381" i="7"/>
  <c r="C381" i="7"/>
  <c r="D381" i="7"/>
  <c r="E381" i="7"/>
  <c r="B382" i="7"/>
  <c r="C382" i="7"/>
  <c r="D382" i="7"/>
  <c r="E382" i="7"/>
  <c r="F382" i="7" s="1"/>
  <c r="B383" i="7"/>
  <c r="C383" i="7"/>
  <c r="D383" i="7"/>
  <c r="E383" i="7"/>
  <c r="B384" i="7"/>
  <c r="C384" i="7"/>
  <c r="D384" i="7"/>
  <c r="E384" i="7"/>
  <c r="B385" i="7"/>
  <c r="C385" i="7"/>
  <c r="D385" i="7"/>
  <c r="E385" i="7"/>
  <c r="B386" i="7"/>
  <c r="C386" i="7"/>
  <c r="D386" i="7"/>
  <c r="E386" i="7"/>
  <c r="B387" i="7"/>
  <c r="C387" i="7"/>
  <c r="D387" i="7"/>
  <c r="E387" i="7"/>
  <c r="B388" i="7"/>
  <c r="C388" i="7"/>
  <c r="D388" i="7"/>
  <c r="E388" i="7"/>
  <c r="B389" i="7"/>
  <c r="C389" i="7"/>
  <c r="D389" i="7"/>
  <c r="E389" i="7"/>
  <c r="B390" i="7"/>
  <c r="C390" i="7"/>
  <c r="D390" i="7"/>
  <c r="E390" i="7"/>
  <c r="B391" i="7"/>
  <c r="C391" i="7"/>
  <c r="D391" i="7"/>
  <c r="E391" i="7"/>
  <c r="B392" i="7"/>
  <c r="C392" i="7"/>
  <c r="D392" i="7"/>
  <c r="E392" i="7"/>
  <c r="B395" i="7"/>
  <c r="C395" i="7"/>
  <c r="D395" i="7"/>
  <c r="E395" i="7"/>
  <c r="B396" i="7"/>
  <c r="C396" i="7"/>
  <c r="D396" i="7"/>
  <c r="E396" i="7"/>
  <c r="B397" i="7"/>
  <c r="C397" i="7"/>
  <c r="D397" i="7"/>
  <c r="E397" i="7"/>
  <c r="B398" i="7"/>
  <c r="C398" i="7"/>
  <c r="D398" i="7"/>
  <c r="E398" i="7"/>
  <c r="B399" i="7"/>
  <c r="C399" i="7"/>
  <c r="D399" i="7"/>
  <c r="E399" i="7"/>
  <c r="B400" i="7"/>
  <c r="C400" i="7"/>
  <c r="D400" i="7"/>
  <c r="E400" i="7"/>
  <c r="B401" i="7"/>
  <c r="C401" i="7"/>
  <c r="D401" i="7"/>
  <c r="E401" i="7"/>
  <c r="B402" i="7"/>
  <c r="C402" i="7"/>
  <c r="D402" i="7"/>
  <c r="E402" i="7"/>
  <c r="B403" i="7"/>
  <c r="C403" i="7"/>
  <c r="D403" i="7"/>
  <c r="E403" i="7"/>
  <c r="B404" i="7"/>
  <c r="C404" i="7"/>
  <c r="D404" i="7"/>
  <c r="E404" i="7"/>
  <c r="B405" i="7"/>
  <c r="C405" i="7"/>
  <c r="D405" i="7"/>
  <c r="E405" i="7"/>
  <c r="B406" i="7"/>
  <c r="C406" i="7"/>
  <c r="D406" i="7"/>
  <c r="E406" i="7"/>
  <c r="B407" i="7"/>
  <c r="C407" i="7"/>
  <c r="D407" i="7"/>
  <c r="E407" i="7"/>
  <c r="B408" i="7"/>
  <c r="C408" i="7"/>
  <c r="D408" i="7"/>
  <c r="E408" i="7"/>
  <c r="B409" i="7"/>
  <c r="C409" i="7"/>
  <c r="D409" i="7"/>
  <c r="E409" i="7"/>
  <c r="B410" i="7"/>
  <c r="C410" i="7"/>
  <c r="D410" i="7"/>
  <c r="E410" i="7"/>
  <c r="B411" i="7"/>
  <c r="C411" i="7"/>
  <c r="D411" i="7"/>
  <c r="E411" i="7"/>
  <c r="B412" i="7"/>
  <c r="C412" i="7"/>
  <c r="D412" i="7"/>
  <c r="E412" i="7"/>
  <c r="F412" i="7" s="1"/>
  <c r="B413" i="7"/>
  <c r="C413" i="7"/>
  <c r="D413" i="7"/>
  <c r="E413" i="7"/>
  <c r="B414" i="7"/>
  <c r="C414" i="7"/>
  <c r="D414" i="7"/>
  <c r="E414" i="7"/>
  <c r="F414" i="7" s="1"/>
  <c r="B415" i="7"/>
  <c r="C415" i="7"/>
  <c r="D415" i="7"/>
  <c r="E415" i="7"/>
  <c r="B416" i="7"/>
  <c r="C416" i="7"/>
  <c r="D416" i="7"/>
  <c r="E416" i="7"/>
  <c r="B417" i="7"/>
  <c r="C417" i="7"/>
  <c r="D417" i="7"/>
  <c r="E417" i="7"/>
  <c r="F1925" i="7"/>
  <c r="N8" i="10"/>
  <c r="B26" i="10"/>
  <c r="C26" i="10"/>
  <c r="E26" i="10"/>
  <c r="E24" i="10" s="1"/>
  <c r="F1565" i="10"/>
  <c r="F14" i="19"/>
  <c r="B15" i="19"/>
  <c r="C15" i="19"/>
  <c r="D15" i="19"/>
  <c r="F17" i="19"/>
  <c r="B18" i="19"/>
  <c r="C18" i="19"/>
  <c r="D18" i="19"/>
  <c r="F22" i="19"/>
  <c r="B23" i="19"/>
  <c r="C23" i="19"/>
  <c r="D23" i="19"/>
  <c r="F25" i="19"/>
  <c r="B26" i="19"/>
  <c r="C26" i="19"/>
  <c r="D26" i="19"/>
  <c r="E26" i="19"/>
  <c r="F28" i="19"/>
  <c r="B29" i="19"/>
  <c r="C29" i="19"/>
  <c r="D29" i="19"/>
  <c r="E29" i="19"/>
  <c r="F29" i="19" s="1"/>
  <c r="F31" i="19"/>
  <c r="B32" i="19"/>
  <c r="C32" i="19"/>
  <c r="D32" i="19"/>
  <c r="E32" i="19"/>
  <c r="F34" i="19"/>
  <c r="B35" i="19"/>
  <c r="C35" i="19"/>
  <c r="D35" i="19"/>
  <c r="F40" i="19"/>
  <c r="B41" i="19"/>
  <c r="C41" i="19"/>
  <c r="D41" i="19"/>
  <c r="B44" i="19"/>
  <c r="F46" i="19"/>
  <c r="B47" i="19"/>
  <c r="C47" i="19"/>
  <c r="F47" i="19" s="1"/>
  <c r="D47" i="19"/>
  <c r="F49" i="19"/>
  <c r="F50" i="19"/>
  <c r="F1460" i="19"/>
  <c r="N8" i="6"/>
  <c r="N10" i="6"/>
  <c r="B13" i="6"/>
  <c r="C13" i="6"/>
  <c r="C10" i="6" s="1"/>
  <c r="D13" i="6"/>
  <c r="N15" i="6"/>
  <c r="B20" i="6"/>
  <c r="C20" i="6"/>
  <c r="C17" i="6" s="1"/>
  <c r="C15" i="6" s="1"/>
  <c r="D20" i="6"/>
  <c r="E20" i="6"/>
  <c r="N34" i="6"/>
  <c r="N36" i="6"/>
  <c r="C36" i="6"/>
  <c r="N39" i="6"/>
  <c r="B44" i="6"/>
  <c r="C44" i="6"/>
  <c r="C41" i="6" s="1"/>
  <c r="D44" i="6"/>
  <c r="E44" i="6"/>
  <c r="B50" i="6"/>
  <c r="C50" i="6"/>
  <c r="C47" i="6" s="1"/>
  <c r="D50" i="6"/>
  <c r="F1321" i="6"/>
  <c r="B15" i="38"/>
  <c r="C15" i="38"/>
  <c r="D15" i="38"/>
  <c r="B16" i="38"/>
  <c r="C16" i="38"/>
  <c r="D16" i="38"/>
  <c r="E16" i="38"/>
  <c r="F17" i="38"/>
  <c r="B19" i="38"/>
  <c r="C19" i="38"/>
  <c r="D19" i="38"/>
  <c r="E19" i="38"/>
  <c r="B20" i="38"/>
  <c r="C20" i="38"/>
  <c r="D20" i="38"/>
  <c r="E20" i="38"/>
  <c r="B21" i="38"/>
  <c r="C21" i="38"/>
  <c r="D21" i="38"/>
  <c r="E21" i="38"/>
  <c r="B22" i="38"/>
  <c r="C22" i="38"/>
  <c r="D22" i="38"/>
  <c r="E22" i="38"/>
  <c r="B28" i="38"/>
  <c r="C28" i="38"/>
  <c r="C25" i="38" s="1"/>
  <c r="D28" i="38"/>
  <c r="E28" i="38"/>
  <c r="E35" i="38" s="1"/>
  <c r="F1540" i="38"/>
  <c r="B20" i="3"/>
  <c r="C20" i="3"/>
  <c r="C17" i="3" s="1"/>
  <c r="D20" i="3"/>
  <c r="E20" i="3"/>
  <c r="B26" i="3"/>
  <c r="C26" i="3"/>
  <c r="D26" i="3"/>
  <c r="E26" i="3"/>
  <c r="B29" i="3"/>
  <c r="C29" i="3"/>
  <c r="D29" i="3"/>
  <c r="B32" i="3"/>
  <c r="C32" i="3"/>
  <c r="D32" i="3"/>
  <c r="E32" i="3"/>
  <c r="B38" i="3"/>
  <c r="C38" i="3"/>
  <c r="D38" i="3"/>
  <c r="B44" i="3"/>
  <c r="C44" i="3"/>
  <c r="D44" i="3"/>
  <c r="E44" i="3"/>
  <c r="B45" i="3"/>
  <c r="C45" i="3"/>
  <c r="D45" i="3"/>
  <c r="E45" i="3"/>
  <c r="B48" i="3"/>
  <c r="C48" i="3"/>
  <c r="D48" i="3"/>
  <c r="E48" i="3"/>
  <c r="F1561" i="3"/>
  <c r="B13" i="5"/>
  <c r="C13" i="5"/>
  <c r="D13" i="5"/>
  <c r="E13" i="5"/>
  <c r="C14" i="5"/>
  <c r="D14" i="5"/>
  <c r="E14" i="5"/>
  <c r="C15" i="5"/>
  <c r="D15" i="5"/>
  <c r="C16" i="5"/>
  <c r="D16" i="5"/>
  <c r="C17" i="5"/>
  <c r="D17" i="5"/>
  <c r="B38" i="5"/>
  <c r="B49" i="5"/>
  <c r="B50" i="5"/>
  <c r="C50" i="5"/>
  <c r="D50" i="5"/>
  <c r="E50" i="5"/>
  <c r="B53" i="5"/>
  <c r="B61" i="5"/>
  <c r="C61" i="5"/>
  <c r="D61" i="5"/>
  <c r="E61" i="5"/>
  <c r="C62" i="5"/>
  <c r="D62" i="5"/>
  <c r="E62" i="5"/>
  <c r="C63" i="5"/>
  <c r="D63" i="5"/>
  <c r="E63" i="5"/>
  <c r="C64" i="5"/>
  <c r="D64" i="5"/>
  <c r="C65" i="5"/>
  <c r="D65" i="5"/>
  <c r="C66" i="5"/>
  <c r="D66" i="5"/>
  <c r="E66" i="5"/>
  <c r="F66" i="5" s="1"/>
  <c r="B67" i="5"/>
  <c r="C67" i="5"/>
  <c r="D67" i="5"/>
  <c r="E67" i="5"/>
  <c r="B68" i="5"/>
  <c r="C68" i="5"/>
  <c r="D68" i="5"/>
  <c r="E68" i="5"/>
  <c r="F68" i="5" s="1"/>
  <c r="B75" i="5"/>
  <c r="C75" i="5"/>
  <c r="D75" i="5"/>
  <c r="C76" i="5"/>
  <c r="D76" i="5"/>
  <c r="C77" i="5"/>
  <c r="D77" i="5"/>
  <c r="C78" i="5"/>
  <c r="D78" i="5"/>
  <c r="E78" i="5"/>
  <c r="C79" i="5"/>
  <c r="D79" i="5"/>
  <c r="C80" i="5"/>
  <c r="D80" i="5"/>
  <c r="B82" i="5"/>
  <c r="C82" i="5"/>
  <c r="D82" i="5"/>
  <c r="E82" i="5"/>
  <c r="B83" i="5"/>
  <c r="C83" i="5"/>
  <c r="D83" i="5"/>
  <c r="E83" i="5"/>
  <c r="B86" i="5"/>
  <c r="C86" i="5"/>
  <c r="D86" i="5"/>
  <c r="C87" i="5"/>
  <c r="D87" i="5"/>
  <c r="C88" i="5"/>
  <c r="D88" i="5"/>
  <c r="C89" i="5"/>
  <c r="D89" i="5"/>
  <c r="C90" i="5"/>
  <c r="D90" i="5"/>
  <c r="C91" i="5"/>
  <c r="D91" i="5"/>
  <c r="E91" i="5"/>
  <c r="B94" i="5"/>
  <c r="B102" i="5"/>
  <c r="C102" i="5"/>
  <c r="D102" i="5"/>
  <c r="E102" i="5"/>
  <c r="C103" i="5"/>
  <c r="D103" i="5"/>
  <c r="E103" i="5"/>
  <c r="C104" i="5"/>
  <c r="D104" i="5"/>
  <c r="E104" i="5"/>
  <c r="C105" i="5"/>
  <c r="D105" i="5"/>
  <c r="E105" i="5"/>
  <c r="C106" i="5"/>
  <c r="D106" i="5"/>
  <c r="E106" i="5"/>
  <c r="C107" i="5"/>
  <c r="D107" i="5"/>
  <c r="E107" i="5"/>
  <c r="F107" i="5" s="1"/>
  <c r="C108" i="5"/>
  <c r="D108" i="5"/>
  <c r="E108" i="5"/>
  <c r="C109" i="5"/>
  <c r="D109" i="5"/>
  <c r="E109" i="5"/>
  <c r="C110" i="5"/>
  <c r="D110" i="5"/>
  <c r="E110" i="5"/>
  <c r="C111" i="5"/>
  <c r="D111" i="5"/>
  <c r="E111" i="5"/>
  <c r="C112" i="5"/>
  <c r="D112" i="5"/>
  <c r="E112" i="5"/>
  <c r="C113" i="5"/>
  <c r="D113" i="5"/>
  <c r="E113" i="5"/>
  <c r="B116" i="5"/>
  <c r="B127" i="5"/>
  <c r="B136" i="5"/>
  <c r="C136" i="5"/>
  <c r="D136" i="5"/>
  <c r="E136" i="5"/>
  <c r="C137" i="5"/>
  <c r="D137" i="5"/>
  <c r="C138" i="5"/>
  <c r="D138" i="5"/>
  <c r="E138" i="5"/>
  <c r="C139" i="5"/>
  <c r="D139" i="5"/>
  <c r="E139" i="5"/>
  <c r="F139" i="5" s="1"/>
  <c r="C140" i="5"/>
  <c r="D140" i="5"/>
  <c r="E140" i="5"/>
  <c r="C141" i="5"/>
  <c r="D141" i="5"/>
  <c r="E141" i="5"/>
  <c r="B144" i="5"/>
  <c r="B167" i="5"/>
  <c r="B170" i="5"/>
  <c r="B171" i="5"/>
  <c r="C171" i="5"/>
  <c r="D171" i="5"/>
  <c r="E171" i="5"/>
  <c r="B174" i="5"/>
  <c r="C174" i="5"/>
  <c r="D174" i="5"/>
  <c r="E174" i="5"/>
  <c r="C175" i="5"/>
  <c r="D175" i="5"/>
  <c r="E175" i="5"/>
  <c r="C176" i="5"/>
  <c r="D176" i="5"/>
  <c r="E176" i="5"/>
  <c r="C177" i="5"/>
  <c r="D177" i="5"/>
  <c r="C178" i="5"/>
  <c r="D178" i="5"/>
  <c r="B181" i="5"/>
  <c r="C181" i="5"/>
  <c r="D181" i="5"/>
  <c r="C182" i="5"/>
  <c r="D182" i="5"/>
  <c r="C183" i="5"/>
  <c r="D183" i="5"/>
  <c r="C184" i="5"/>
  <c r="D184" i="5"/>
  <c r="C185" i="5"/>
  <c r="D185" i="5"/>
  <c r="C186" i="5"/>
  <c r="D186" i="5"/>
  <c r="C187" i="5"/>
  <c r="D187" i="5"/>
  <c r="B196" i="5"/>
  <c r="C196" i="5"/>
  <c r="F196" i="5" s="1"/>
  <c r="D196" i="5"/>
  <c r="E196" i="5"/>
  <c r="C197" i="5"/>
  <c r="F197" i="5" s="1"/>
  <c r="D197" i="5"/>
  <c r="E197" i="5"/>
  <c r="C198" i="5"/>
  <c r="D198" i="5"/>
  <c r="E198" i="5"/>
  <c r="C199" i="5"/>
  <c r="D199" i="5"/>
  <c r="E199" i="5"/>
  <c r="C200" i="5"/>
  <c r="D200" i="5"/>
  <c r="E200" i="5"/>
  <c r="C201" i="5"/>
  <c r="D201" i="5"/>
  <c r="E201" i="5"/>
  <c r="C202" i="5"/>
  <c r="D202" i="5"/>
  <c r="E202" i="5"/>
  <c r="C203" i="5"/>
  <c r="D203" i="5"/>
  <c r="E203" i="5"/>
  <c r="C204" i="5"/>
  <c r="D204" i="5"/>
  <c r="E204" i="5"/>
  <c r="C205" i="5"/>
  <c r="F205" i="5" s="1"/>
  <c r="D205" i="5"/>
  <c r="E205" i="5"/>
  <c r="B208" i="5"/>
  <c r="B224" i="5"/>
  <c r="C224" i="5"/>
  <c r="D224" i="5"/>
  <c r="E224" i="5"/>
  <c r="C225" i="5"/>
  <c r="D225" i="5"/>
  <c r="C226" i="5"/>
  <c r="D226" i="5"/>
  <c r="C227" i="5"/>
  <c r="D227" i="5"/>
  <c r="E227" i="5"/>
  <c r="C228" i="5"/>
  <c r="D228" i="5"/>
  <c r="E228" i="5"/>
  <c r="C230" i="5"/>
  <c r="D230" i="5"/>
  <c r="E230" i="5"/>
  <c r="B233" i="5"/>
  <c r="C233" i="5"/>
  <c r="D233" i="5"/>
  <c r="E233" i="5"/>
  <c r="C234" i="5"/>
  <c r="D234" i="5"/>
  <c r="E234" i="5"/>
  <c r="C235" i="5"/>
  <c r="D235" i="5"/>
  <c r="E235" i="5"/>
  <c r="C236" i="5"/>
  <c r="D236" i="5"/>
  <c r="E236" i="5"/>
  <c r="C237" i="5"/>
  <c r="D237" i="5"/>
  <c r="E237" i="5"/>
  <c r="C238" i="5"/>
  <c r="D238" i="5"/>
  <c r="E238" i="5"/>
  <c r="C239" i="5"/>
  <c r="F239" i="5" s="1"/>
  <c r="D239" i="5"/>
  <c r="E239" i="5"/>
  <c r="C240" i="5"/>
  <c r="D240" i="5"/>
  <c r="E240" i="5"/>
  <c r="F241" i="5"/>
  <c r="B243" i="5"/>
  <c r="C243" i="5"/>
  <c r="D243" i="5"/>
  <c r="C244" i="5"/>
  <c r="D244" i="5"/>
  <c r="C245" i="5"/>
  <c r="D245" i="5"/>
  <c r="C246" i="5"/>
  <c r="D246" i="5"/>
  <c r="E246" i="5"/>
  <c r="F246" i="5" s="1"/>
  <c r="B249" i="5"/>
  <c r="C249" i="5"/>
  <c r="D249" i="5"/>
  <c r="B250" i="5"/>
  <c r="C250" i="5"/>
  <c r="D250" i="5"/>
  <c r="E250" i="5"/>
  <c r="B251" i="5"/>
  <c r="C251" i="5"/>
  <c r="D251" i="5"/>
  <c r="E251" i="5"/>
  <c r="B268" i="5"/>
  <c r="C268" i="5"/>
  <c r="D268" i="5"/>
  <c r="B269" i="5"/>
  <c r="C269" i="5"/>
  <c r="D269" i="5"/>
  <c r="B270" i="5"/>
  <c r="C270" i="5"/>
  <c r="D270" i="5"/>
  <c r="B271" i="5"/>
  <c r="C271" i="5"/>
  <c r="D271" i="5"/>
  <c r="E271" i="5"/>
  <c r="B272" i="5"/>
  <c r="C272" i="5"/>
  <c r="D272" i="5"/>
  <c r="E272" i="5"/>
  <c r="B274" i="5"/>
  <c r="B275" i="5"/>
  <c r="C275" i="5"/>
  <c r="D275" i="5"/>
  <c r="E275" i="5"/>
  <c r="B278" i="5"/>
  <c r="C299" i="5"/>
  <c r="D299" i="5"/>
  <c r="E299" i="5"/>
  <c r="C300" i="5"/>
  <c r="D300" i="5"/>
  <c r="E300" i="5"/>
  <c r="C301" i="5"/>
  <c r="D301" i="5"/>
  <c r="E301" i="5"/>
  <c r="C302" i="5"/>
  <c r="D302" i="5"/>
  <c r="E302" i="5"/>
  <c r="C303" i="5"/>
  <c r="D303" i="5"/>
  <c r="E303" i="5"/>
  <c r="C304" i="5"/>
  <c r="D304" i="5"/>
  <c r="E304" i="5"/>
  <c r="C305" i="5"/>
  <c r="D305" i="5"/>
  <c r="B308" i="5"/>
  <c r="C308" i="5"/>
  <c r="D308" i="5"/>
  <c r="E308" i="5"/>
  <c r="B309" i="5"/>
  <c r="C309" i="5"/>
  <c r="D309" i="5"/>
  <c r="B310" i="5"/>
  <c r="C310" i="5"/>
  <c r="D310" i="5"/>
  <c r="B312" i="5"/>
  <c r="B313" i="5"/>
  <c r="C313" i="5"/>
  <c r="D313" i="5"/>
  <c r="E313" i="5"/>
  <c r="B316" i="5"/>
  <c r="C316" i="5"/>
  <c r="D316" i="5"/>
  <c r="E316" i="5"/>
  <c r="B317" i="5"/>
  <c r="C317" i="5"/>
  <c r="D317" i="5"/>
  <c r="E317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9" i="5"/>
  <c r="B330" i="5"/>
  <c r="C330" i="5"/>
  <c r="F330" i="5" s="1"/>
  <c r="D330" i="5"/>
  <c r="E330" i="5"/>
  <c r="B333" i="5"/>
  <c r="C333" i="5"/>
  <c r="D333" i="5"/>
  <c r="E333" i="5"/>
  <c r="B334" i="5"/>
  <c r="C334" i="5"/>
  <c r="F334" i="5" s="1"/>
  <c r="D334" i="5"/>
  <c r="E334" i="5"/>
  <c r="B335" i="5"/>
  <c r="C335" i="5"/>
  <c r="D335" i="5"/>
  <c r="E335" i="5"/>
  <c r="B345" i="5"/>
  <c r="C345" i="5"/>
  <c r="D345" i="5"/>
  <c r="F1737" i="5"/>
  <c r="B149" i="2"/>
  <c r="B159" i="2"/>
  <c r="O12" i="1"/>
  <c r="F13" i="1"/>
  <c r="G13" i="1"/>
  <c r="I13" i="1"/>
  <c r="J13" i="1"/>
  <c r="K13" i="1" s="1"/>
  <c r="M13" i="1"/>
  <c r="L14" i="1"/>
  <c r="N14" i="1" s="1"/>
  <c r="O14" i="1" s="1"/>
  <c r="L15" i="1"/>
  <c r="N15" i="1" s="1"/>
  <c r="O15" i="1" s="1"/>
  <c r="F20" i="1"/>
  <c r="G20" i="1"/>
  <c r="I20" i="1"/>
  <c r="L20" i="1"/>
  <c r="M20" i="1"/>
  <c r="O21" i="1"/>
  <c r="J22" i="1"/>
  <c r="K22" i="1" s="1"/>
  <c r="O22" i="1" s="1"/>
  <c r="O23" i="1"/>
  <c r="O24" i="1"/>
  <c r="O25" i="1"/>
  <c r="O26" i="1"/>
  <c r="O27" i="1"/>
  <c r="O28" i="1"/>
  <c r="O30" i="1"/>
  <c r="J31" i="1"/>
  <c r="F33" i="1"/>
  <c r="G33" i="1"/>
  <c r="I33" i="1"/>
  <c r="M33" i="1"/>
  <c r="O34" i="1"/>
  <c r="J35" i="1"/>
  <c r="K35" i="1" s="1"/>
  <c r="O35" i="1" s="1"/>
  <c r="J36" i="1"/>
  <c r="K36" i="1" s="1"/>
  <c r="O36" i="1" s="1"/>
  <c r="J37" i="1"/>
  <c r="K37" i="1" s="1"/>
  <c r="O37" i="1" s="1"/>
  <c r="J38" i="1"/>
  <c r="K38" i="1" s="1"/>
  <c r="O38" i="1" s="1"/>
  <c r="O39" i="1"/>
  <c r="J40" i="1"/>
  <c r="K40" i="1" s="1"/>
  <c r="O40" i="1" s="1"/>
  <c r="J41" i="1"/>
  <c r="K41" i="1" s="1"/>
  <c r="O41" i="1" s="1"/>
  <c r="J42" i="1"/>
  <c r="K42" i="1" s="1"/>
  <c r="O42" i="1" s="1"/>
  <c r="J43" i="1"/>
  <c r="K43" i="1" s="1"/>
  <c r="O43" i="1" s="1"/>
  <c r="J44" i="1"/>
  <c r="K44" i="1" s="1"/>
  <c r="O44" i="1" s="1"/>
  <c r="O45" i="1"/>
  <c r="J46" i="1"/>
  <c r="K46" i="1" s="1"/>
  <c r="O46" i="1" s="1"/>
  <c r="J47" i="1"/>
  <c r="K47" i="1" s="1"/>
  <c r="O47" i="1" s="1"/>
  <c r="O48" i="1"/>
  <c r="J49" i="1"/>
  <c r="K49" i="1" s="1"/>
  <c r="O49" i="1" s="1"/>
  <c r="E50" i="1"/>
  <c r="J50" i="1" s="1"/>
  <c r="K50" i="1" s="1"/>
  <c r="O50" i="1" s="1"/>
  <c r="K51" i="1"/>
  <c r="O51" i="1" s="1"/>
  <c r="J52" i="1"/>
  <c r="J53" i="1"/>
  <c r="K53" i="1" s="1"/>
  <c r="O53" i="1" s="1"/>
  <c r="J54" i="1"/>
  <c r="K54" i="1" s="1"/>
  <c r="O54" i="1" s="1"/>
  <c r="J55" i="1"/>
  <c r="K55" i="1" s="1"/>
  <c r="O55" i="1" s="1"/>
  <c r="O56" i="1"/>
  <c r="L57" i="1"/>
  <c r="L33" i="1" s="1"/>
  <c r="N33" i="1" s="1"/>
  <c r="O60" i="1"/>
  <c r="F61" i="1"/>
  <c r="G61" i="1"/>
  <c r="I61" i="1"/>
  <c r="J61" i="1"/>
  <c r="M61" i="1"/>
  <c r="L62" i="1"/>
  <c r="N62" i="1" s="1"/>
  <c r="O62" i="1" s="1"/>
  <c r="L63" i="1"/>
  <c r="N63" i="1" s="1"/>
  <c r="O63" i="1" s="1"/>
  <c r="L64" i="1"/>
  <c r="N64" i="1" s="1"/>
  <c r="O64" i="1" s="1"/>
  <c r="L65" i="1"/>
  <c r="N65" i="1" s="1"/>
  <c r="O65" i="1" s="1"/>
  <c r="L66" i="1"/>
  <c r="N66" i="1" s="1"/>
  <c r="O66" i="1" s="1"/>
  <c r="L67" i="1"/>
  <c r="N67" i="1" s="1"/>
  <c r="O67" i="1" s="1"/>
  <c r="F69" i="1"/>
  <c r="G69" i="1"/>
  <c r="I69" i="1"/>
  <c r="L69" i="1"/>
  <c r="M69" i="1"/>
  <c r="E70" i="1"/>
  <c r="J70" i="1" s="1"/>
  <c r="K70" i="1" s="1"/>
  <c r="O70" i="1" s="1"/>
  <c r="F72" i="1"/>
  <c r="G72" i="1"/>
  <c r="I72" i="1"/>
  <c r="L72" i="1"/>
  <c r="M72" i="1"/>
  <c r="O73" i="1"/>
  <c r="J74" i="1"/>
  <c r="K74" i="1" s="1"/>
  <c r="O74" i="1" s="1"/>
  <c r="O79" i="1"/>
  <c r="J80" i="1"/>
  <c r="K80" i="1" s="1"/>
  <c r="O80" i="1" s="1"/>
  <c r="O81" i="1"/>
  <c r="F82" i="1"/>
  <c r="G82" i="1"/>
  <c r="I82" i="1"/>
  <c r="L82" i="1"/>
  <c r="M82" i="1"/>
  <c r="O84" i="1"/>
  <c r="J85" i="1"/>
  <c r="K85" i="1" s="1"/>
  <c r="J86" i="1"/>
  <c r="K86" i="1" s="1"/>
  <c r="J87" i="1"/>
  <c r="K87" i="1" s="1"/>
  <c r="J88" i="1"/>
  <c r="K88" i="1" s="1"/>
  <c r="O88" i="1" s="1"/>
  <c r="J89" i="1"/>
  <c r="K89" i="1" s="1"/>
  <c r="O89" i="1" s="1"/>
  <c r="J90" i="1"/>
  <c r="K90" i="1" s="1"/>
  <c r="O90" i="1" s="1"/>
  <c r="J91" i="1"/>
  <c r="K91" i="1" s="1"/>
  <c r="O91" i="1" s="1"/>
  <c r="J92" i="1"/>
  <c r="K92" i="1" s="1"/>
  <c r="O92" i="1" s="1"/>
  <c r="J93" i="1"/>
  <c r="O93" i="1"/>
  <c r="O94" i="1"/>
  <c r="J95" i="1"/>
  <c r="K95" i="1" s="1"/>
  <c r="O95" i="1" s="1"/>
  <c r="O96" i="1"/>
  <c r="J97" i="1"/>
  <c r="K97" i="1" s="1"/>
  <c r="O97" i="1" s="1"/>
  <c r="O98" i="1"/>
  <c r="J99" i="1"/>
  <c r="K99" i="1" s="1"/>
  <c r="O99" i="1" s="1"/>
  <c r="O100" i="1"/>
  <c r="J101" i="1"/>
  <c r="K101" i="1" s="1"/>
  <c r="O101" i="1" s="1"/>
  <c r="J102" i="1"/>
  <c r="K102" i="1" s="1"/>
  <c r="O102" i="1" s="1"/>
  <c r="J103" i="1"/>
  <c r="K103" i="1" s="1"/>
  <c r="O103" i="1" s="1"/>
  <c r="J104" i="1"/>
  <c r="K104" i="1" s="1"/>
  <c r="O104" i="1" s="1"/>
  <c r="F108" i="1"/>
  <c r="G108" i="1"/>
  <c r="I108" i="1"/>
  <c r="L108" i="1"/>
  <c r="M108" i="1"/>
  <c r="J109" i="1"/>
  <c r="E118" i="1"/>
  <c r="E34" i="5" s="1"/>
  <c r="L119" i="1"/>
  <c r="N119" i="1" s="1"/>
  <c r="O119" i="1" s="1"/>
  <c r="F126" i="1"/>
  <c r="G126" i="1"/>
  <c r="I126" i="1"/>
  <c r="L126" i="1"/>
  <c r="N126" i="1" s="1"/>
  <c r="M126" i="1"/>
  <c r="J128" i="1"/>
  <c r="K128" i="1" s="1"/>
  <c r="O128" i="1" s="1"/>
  <c r="J134" i="1"/>
  <c r="K134" i="1" s="1"/>
  <c r="O134" i="1" s="1"/>
  <c r="F136" i="1"/>
  <c r="G136" i="1"/>
  <c r="I136" i="1"/>
  <c r="L136" i="1"/>
  <c r="M136" i="1"/>
  <c r="N136" i="1" s="1"/>
  <c r="J139" i="1"/>
  <c r="K139" i="1" s="1"/>
  <c r="O139" i="1" s="1"/>
  <c r="J140" i="1"/>
  <c r="K140" i="1" s="1"/>
  <c r="O140" i="1" s="1"/>
  <c r="J141" i="1"/>
  <c r="K141" i="1" s="1"/>
  <c r="O141" i="1" s="1"/>
  <c r="J142" i="1"/>
  <c r="K142" i="1" s="1"/>
  <c r="O142" i="1" s="1"/>
  <c r="J144" i="1"/>
  <c r="K144" i="1" s="1"/>
  <c r="O144" i="1" s="1"/>
  <c r="J145" i="1"/>
  <c r="K145" i="1" s="1"/>
  <c r="O145" i="1" s="1"/>
  <c r="J147" i="1"/>
  <c r="K147" i="1" s="1"/>
  <c r="O147" i="1" s="1"/>
  <c r="J148" i="1"/>
  <c r="K148" i="1" s="1"/>
  <c r="O148" i="1" s="1"/>
  <c r="J149" i="1"/>
  <c r="K149" i="1" s="1"/>
  <c r="O149" i="1" s="1"/>
  <c r="J150" i="1"/>
  <c r="K150" i="1" s="1"/>
  <c r="O150" i="1" s="1"/>
  <c r="J151" i="1"/>
  <c r="K151" i="1" s="1"/>
  <c r="O151" i="1" s="1"/>
  <c r="J153" i="1"/>
  <c r="K153" i="1" s="1"/>
  <c r="O153" i="1" s="1"/>
  <c r="J156" i="1"/>
  <c r="K156" i="1" s="1"/>
  <c r="O156" i="1" s="1"/>
  <c r="J159" i="1"/>
  <c r="K159" i="1" s="1"/>
  <c r="O159" i="1" s="1"/>
  <c r="J162" i="1"/>
  <c r="K162" i="1" s="1"/>
  <c r="O162" i="1" s="1"/>
  <c r="J165" i="1"/>
  <c r="K165" i="1" s="1"/>
  <c r="O165" i="1" s="1"/>
  <c r="J166" i="1"/>
  <c r="K166" i="1" s="1"/>
  <c r="O166" i="1" s="1"/>
  <c r="J167" i="1"/>
  <c r="K167" i="1" s="1"/>
  <c r="O167" i="1" s="1"/>
  <c r="J168" i="1"/>
  <c r="K168" i="1" s="1"/>
  <c r="O168" i="1" s="1"/>
  <c r="F173" i="1"/>
  <c r="F171" i="1" s="1"/>
  <c r="C23" i="2" s="1"/>
  <c r="G173" i="1"/>
  <c r="I173" i="1"/>
  <c r="J173" i="1"/>
  <c r="M173" i="1"/>
  <c r="L174" i="1"/>
  <c r="N174" i="1" s="1"/>
  <c r="O174" i="1" s="1"/>
  <c r="L175" i="1"/>
  <c r="N175" i="1" s="1"/>
  <c r="L189" i="1"/>
  <c r="N189" i="1" s="1"/>
  <c r="F192" i="1"/>
  <c r="G192" i="1"/>
  <c r="I192" i="1"/>
  <c r="L192" i="1"/>
  <c r="M192" i="1"/>
  <c r="J195" i="1"/>
  <c r="K195" i="1" s="1"/>
  <c r="O195" i="1" s="1"/>
  <c r="J196" i="1"/>
  <c r="K196" i="1" s="1"/>
  <c r="O196" i="1" s="1"/>
  <c r="J197" i="1"/>
  <c r="K197" i="1" s="1"/>
  <c r="O197" i="1" s="1"/>
  <c r="J198" i="1"/>
  <c r="K198" i="1" s="1"/>
  <c r="O198" i="1" s="1"/>
  <c r="J199" i="1"/>
  <c r="K199" i="1" s="1"/>
  <c r="O199" i="1" s="1"/>
  <c r="J201" i="1"/>
  <c r="K201" i="1" s="1"/>
  <c r="O201" i="1" s="1"/>
  <c r="J202" i="1"/>
  <c r="K202" i="1" s="1"/>
  <c r="O202" i="1" s="1"/>
  <c r="J205" i="1"/>
  <c r="K205" i="1" s="1"/>
  <c r="O205" i="1" s="1"/>
  <c r="J206" i="1"/>
  <c r="K206" i="1" s="1"/>
  <c r="O206" i="1" s="1"/>
  <c r="J209" i="1"/>
  <c r="K209" i="1" s="1"/>
  <c r="O209" i="1" s="1"/>
  <c r="J212" i="1"/>
  <c r="K212" i="1" s="1"/>
  <c r="O212" i="1" s="1"/>
  <c r="J215" i="1"/>
  <c r="K215" i="1" s="1"/>
  <c r="O215" i="1" s="1"/>
  <c r="J218" i="1"/>
  <c r="K218" i="1"/>
  <c r="O218" i="1" s="1"/>
  <c r="J219" i="1"/>
  <c r="K219" i="1" s="1"/>
  <c r="O219" i="1" s="1"/>
  <c r="J220" i="1"/>
  <c r="K220" i="1" s="1"/>
  <c r="O220" i="1" s="1"/>
  <c r="J221" i="1"/>
  <c r="K221" i="1" s="1"/>
  <c r="O221" i="1" s="1"/>
  <c r="J224" i="1"/>
  <c r="K224" i="1" s="1"/>
  <c r="O224" i="1" s="1"/>
  <c r="J225" i="1"/>
  <c r="K225" i="1" s="1"/>
  <c r="O225" i="1" s="1"/>
  <c r="O228" i="1"/>
  <c r="F229" i="1"/>
  <c r="G229" i="1"/>
  <c r="I229" i="1"/>
  <c r="J229" i="1"/>
  <c r="K229" i="1" s="1"/>
  <c r="M229" i="1"/>
  <c r="L230" i="1"/>
  <c r="N230" i="1" s="1"/>
  <c r="O230" i="1" s="1"/>
  <c r="L234" i="1"/>
  <c r="F236" i="1"/>
  <c r="H236" i="1" s="1"/>
  <c r="G236" i="1"/>
  <c r="I236" i="1"/>
  <c r="L236" i="1"/>
  <c r="M236" i="1"/>
  <c r="F239" i="1"/>
  <c r="G239" i="1"/>
  <c r="I239" i="1"/>
  <c r="L239" i="1"/>
  <c r="N239" i="1" s="1"/>
  <c r="M239" i="1"/>
  <c r="J241" i="1"/>
  <c r="J244" i="1"/>
  <c r="K244" i="1" s="1"/>
  <c r="O244" i="1" s="1"/>
  <c r="F246" i="1"/>
  <c r="G246" i="1"/>
  <c r="I246" i="1"/>
  <c r="L246" i="1"/>
  <c r="M246" i="1"/>
  <c r="N246" i="1" s="1"/>
  <c r="O248" i="1"/>
  <c r="J249" i="1"/>
  <c r="J250" i="1"/>
  <c r="K250" i="1" s="1"/>
  <c r="O250" i="1" s="1"/>
  <c r="J251" i="1"/>
  <c r="K251" i="1" s="1"/>
  <c r="O251" i="1" s="1"/>
  <c r="J252" i="1"/>
  <c r="K252" i="1" s="1"/>
  <c r="O252" i="1" s="1"/>
  <c r="J253" i="1"/>
  <c r="K253" i="1" s="1"/>
  <c r="O253" i="1" s="1"/>
  <c r="O254" i="1"/>
  <c r="J255" i="1"/>
  <c r="K255" i="1" s="1"/>
  <c r="O255" i="1" s="1"/>
  <c r="J256" i="1"/>
  <c r="K256" i="1" s="1"/>
  <c r="O256" i="1" s="1"/>
  <c r="J257" i="1"/>
  <c r="K257" i="1" s="1"/>
  <c r="O257" i="1" s="1"/>
  <c r="J258" i="1"/>
  <c r="K258" i="1" s="1"/>
  <c r="O258" i="1" s="1"/>
  <c r="J259" i="1"/>
  <c r="K259" i="1" s="1"/>
  <c r="O259" i="1" s="1"/>
  <c r="J260" i="1"/>
  <c r="K260" i="1" s="1"/>
  <c r="O260" i="1" s="1"/>
  <c r="O263" i="1"/>
  <c r="J264" i="1"/>
  <c r="E265" i="1"/>
  <c r="J265" i="1" s="1"/>
  <c r="K265" i="1" s="1"/>
  <c r="O265" i="1" s="1"/>
  <c r="J266" i="1"/>
  <c r="K266" i="1" s="1"/>
  <c r="O266" i="1" s="1"/>
  <c r="J267" i="1"/>
  <c r="K267" i="1" s="1"/>
  <c r="O267" i="1" s="1"/>
  <c r="O269" i="1"/>
  <c r="J270" i="1"/>
  <c r="K270" i="1" s="1"/>
  <c r="O270" i="1" s="1"/>
  <c r="O271" i="1"/>
  <c r="K272" i="1"/>
  <c r="O272" i="1" s="1"/>
  <c r="J273" i="1"/>
  <c r="K273" i="1" s="1"/>
  <c r="O273" i="1" s="1"/>
  <c r="J274" i="1"/>
  <c r="K274" i="1" s="1"/>
  <c r="O274" i="1" s="1"/>
  <c r="J275" i="1"/>
  <c r="K275" i="1" s="1"/>
  <c r="O275" i="1" s="1"/>
  <c r="J276" i="1"/>
  <c r="K276" i="1" s="1"/>
  <c r="O276" i="1" s="1"/>
  <c r="O279" i="1"/>
  <c r="F280" i="1"/>
  <c r="G280" i="1"/>
  <c r="I280" i="1"/>
  <c r="M280" i="1"/>
  <c r="L281" i="1"/>
  <c r="N281" i="1" s="1"/>
  <c r="O281" i="1" s="1"/>
  <c r="L282" i="1"/>
  <c r="N282" i="1" s="1"/>
  <c r="O282" i="1" s="1"/>
  <c r="L283" i="1"/>
  <c r="N283" i="1" s="1"/>
  <c r="O283" i="1" s="1"/>
  <c r="L288" i="1"/>
  <c r="N288" i="1" s="1"/>
  <c r="O288" i="1" s="1"/>
  <c r="J289" i="1"/>
  <c r="F290" i="1"/>
  <c r="G290" i="1"/>
  <c r="I290" i="1"/>
  <c r="L290" i="1"/>
  <c r="N290" i="1" s="1"/>
  <c r="M290" i="1"/>
  <c r="J291" i="1"/>
  <c r="J290" i="1" s="1"/>
  <c r="O292" i="1"/>
  <c r="F293" i="1"/>
  <c r="H293" i="1" s="1"/>
  <c r="G293" i="1"/>
  <c r="I293" i="1"/>
  <c r="L293" i="1"/>
  <c r="M293" i="1"/>
  <c r="N293" i="1" s="1"/>
  <c r="O294" i="1"/>
  <c r="E53" i="7"/>
  <c r="O296" i="1"/>
  <c r="O297" i="1"/>
  <c r="O298" i="1"/>
  <c r="O299" i="1"/>
  <c r="O300" i="1"/>
  <c r="O304" i="1"/>
  <c r="O305" i="1"/>
  <c r="J306" i="1"/>
  <c r="K306" i="1" s="1"/>
  <c r="O306" i="1" s="1"/>
  <c r="O307" i="1"/>
  <c r="F308" i="1"/>
  <c r="G308" i="1"/>
  <c r="I308" i="1"/>
  <c r="L308" i="1"/>
  <c r="M308" i="1"/>
  <c r="N308" i="1" s="1"/>
  <c r="J311" i="1"/>
  <c r="K311" i="1" s="1"/>
  <c r="O311" i="1" s="1"/>
  <c r="J312" i="1"/>
  <c r="K312" i="1" s="1"/>
  <c r="O312" i="1" s="1"/>
  <c r="J313" i="1"/>
  <c r="K313" i="1" s="1"/>
  <c r="O313" i="1" s="1"/>
  <c r="J314" i="1"/>
  <c r="O315" i="1"/>
  <c r="J316" i="1"/>
  <c r="K316" i="1" s="1"/>
  <c r="O316" i="1" s="1"/>
  <c r="J317" i="1"/>
  <c r="K317" i="1" s="1"/>
  <c r="O317" i="1" s="1"/>
  <c r="J318" i="1"/>
  <c r="K318" i="1" s="1"/>
  <c r="O318" i="1" s="1"/>
  <c r="J319" i="1"/>
  <c r="K319" i="1" s="1"/>
  <c r="O319" i="1" s="1"/>
  <c r="O321" i="1"/>
  <c r="J322" i="1"/>
  <c r="K322" i="1" s="1"/>
  <c r="O322" i="1" s="1"/>
  <c r="J323" i="1"/>
  <c r="K323" i="1" s="1"/>
  <c r="O323" i="1" s="1"/>
  <c r="O325" i="1"/>
  <c r="J326" i="1"/>
  <c r="K326" i="1" s="1"/>
  <c r="O326" i="1" s="1"/>
  <c r="O327" i="1"/>
  <c r="K328" i="1"/>
  <c r="O328" i="1"/>
  <c r="J329" i="1"/>
  <c r="K329" i="1" s="1"/>
  <c r="O329" i="1" s="1"/>
  <c r="J330" i="1"/>
  <c r="K330" i="1" s="1"/>
  <c r="O330" i="1" s="1"/>
  <c r="J331" i="1"/>
  <c r="K331" i="1" s="1"/>
  <c r="O331" i="1" s="1"/>
  <c r="J332" i="1"/>
  <c r="K332" i="1" s="1"/>
  <c r="O332" i="1" s="1"/>
  <c r="O336" i="1"/>
  <c r="F337" i="1"/>
  <c r="G337" i="1"/>
  <c r="I337" i="1"/>
  <c r="J337" i="1"/>
  <c r="M337" i="1"/>
  <c r="L339" i="1"/>
  <c r="N339" i="1" s="1"/>
  <c r="O339" i="1" s="1"/>
  <c r="L341" i="1"/>
  <c r="N341" i="1" s="1"/>
  <c r="O341" i="1" s="1"/>
  <c r="F342" i="1"/>
  <c r="G342" i="1"/>
  <c r="H342" i="1" s="1"/>
  <c r="I342" i="1"/>
  <c r="L342" i="1"/>
  <c r="M342" i="1"/>
  <c r="F345" i="1"/>
  <c r="H345" i="1" s="1"/>
  <c r="G345" i="1"/>
  <c r="I345" i="1"/>
  <c r="L345" i="1"/>
  <c r="M345" i="1"/>
  <c r="O346" i="1"/>
  <c r="J347" i="1"/>
  <c r="K347" i="1" s="1"/>
  <c r="O347" i="1" s="1"/>
  <c r="O348" i="1"/>
  <c r="O350" i="1"/>
  <c r="O351" i="1"/>
  <c r="O352" i="1"/>
  <c r="O353" i="1"/>
  <c r="O354" i="1"/>
  <c r="O355" i="1"/>
  <c r="O357" i="1"/>
  <c r="J358" i="1"/>
  <c r="K358" i="1"/>
  <c r="O358" i="1" s="1"/>
  <c r="F360" i="1"/>
  <c r="G360" i="1"/>
  <c r="I360" i="1"/>
  <c r="M360" i="1"/>
  <c r="O362" i="1"/>
  <c r="J363" i="1"/>
  <c r="K363" i="1" s="1"/>
  <c r="O363" i="1" s="1"/>
  <c r="J364" i="1"/>
  <c r="K364" i="1" s="1"/>
  <c r="O364" i="1" s="1"/>
  <c r="J365" i="1"/>
  <c r="K365" i="1" s="1"/>
  <c r="O365" i="1" s="1"/>
  <c r="J366" i="1"/>
  <c r="K366" i="1" s="1"/>
  <c r="O366" i="1" s="1"/>
  <c r="O367" i="1"/>
  <c r="J368" i="1"/>
  <c r="K368" i="1" s="1"/>
  <c r="O368" i="1" s="1"/>
  <c r="J369" i="1"/>
  <c r="K369" i="1" s="1"/>
  <c r="O369" i="1" s="1"/>
  <c r="J370" i="1"/>
  <c r="K370" i="1" s="1"/>
  <c r="O370" i="1" s="1"/>
  <c r="J371" i="1"/>
  <c r="O373" i="1"/>
  <c r="J374" i="1"/>
  <c r="K374" i="1" s="1"/>
  <c r="O374" i="1" s="1"/>
  <c r="J375" i="1"/>
  <c r="K375" i="1" s="1"/>
  <c r="O375" i="1" s="1"/>
  <c r="O377" i="1"/>
  <c r="J378" i="1"/>
  <c r="K378" i="1" s="1"/>
  <c r="O378" i="1" s="1"/>
  <c r="O379" i="1"/>
  <c r="K380" i="1"/>
  <c r="O380" i="1" s="1"/>
  <c r="J381" i="1"/>
  <c r="K381" i="1" s="1"/>
  <c r="O381" i="1" s="1"/>
  <c r="J382" i="1"/>
  <c r="K382" i="1" s="1"/>
  <c r="O382" i="1" s="1"/>
  <c r="J383" i="1"/>
  <c r="K383" i="1" s="1"/>
  <c r="O383" i="1" s="1"/>
  <c r="J384" i="1"/>
  <c r="K384" i="1" s="1"/>
  <c r="O384" i="1" s="1"/>
  <c r="O386" i="1"/>
  <c r="L387" i="1"/>
  <c r="F392" i="1"/>
  <c r="G392" i="1"/>
  <c r="I392" i="1"/>
  <c r="J392" i="1"/>
  <c r="M392" i="1"/>
  <c r="L396" i="1"/>
  <c r="N396" i="1" s="1"/>
  <c r="O396" i="1" s="1"/>
  <c r="E397" i="1"/>
  <c r="E79" i="5" s="1"/>
  <c r="E398" i="1"/>
  <c r="E80" i="5" s="1"/>
  <c r="L401" i="1"/>
  <c r="N401" i="1" s="1"/>
  <c r="O401" i="1" s="1"/>
  <c r="F407" i="1"/>
  <c r="G407" i="1"/>
  <c r="I407" i="1"/>
  <c r="L407" i="1"/>
  <c r="M407" i="1"/>
  <c r="O408" i="1"/>
  <c r="O409" i="1"/>
  <c r="J410" i="1"/>
  <c r="K410" i="1" s="1"/>
  <c r="O410" i="1" s="1"/>
  <c r="J411" i="1"/>
  <c r="K411" i="1" s="1"/>
  <c r="O411" i="1" s="1"/>
  <c r="O413" i="1"/>
  <c r="J414" i="1"/>
  <c r="K414" i="1" s="1"/>
  <c r="O414" i="1" s="1"/>
  <c r="F416" i="1"/>
  <c r="G416" i="1"/>
  <c r="I416" i="1"/>
  <c r="M416" i="1"/>
  <c r="O418" i="1"/>
  <c r="J419" i="1"/>
  <c r="K419" i="1" s="1"/>
  <c r="O419" i="1" s="1"/>
  <c r="J420" i="1"/>
  <c r="K420" i="1" s="1"/>
  <c r="O420" i="1" s="1"/>
  <c r="J421" i="1"/>
  <c r="K421" i="1" s="1"/>
  <c r="O421" i="1" s="1"/>
  <c r="J422" i="1"/>
  <c r="K422" i="1" s="1"/>
  <c r="O422" i="1" s="1"/>
  <c r="J423" i="1"/>
  <c r="K423" i="1" s="1"/>
  <c r="O423" i="1" s="1"/>
  <c r="O424" i="1"/>
  <c r="J425" i="1"/>
  <c r="K425" i="1" s="1"/>
  <c r="O425" i="1" s="1"/>
  <c r="J426" i="1"/>
  <c r="K426" i="1" s="1"/>
  <c r="O426" i="1" s="1"/>
  <c r="J427" i="1"/>
  <c r="K427" i="1"/>
  <c r="O427" i="1" s="1"/>
  <c r="J428" i="1"/>
  <c r="K428" i="1" s="1"/>
  <c r="O428" i="1" s="1"/>
  <c r="O429" i="1"/>
  <c r="J430" i="1"/>
  <c r="K430" i="1" s="1"/>
  <c r="O430" i="1" s="1"/>
  <c r="J431" i="1"/>
  <c r="K431" i="1" s="1"/>
  <c r="O431" i="1" s="1"/>
  <c r="O432" i="1"/>
  <c r="J433" i="1"/>
  <c r="K433" i="1" s="1"/>
  <c r="O433" i="1" s="1"/>
  <c r="O434" i="1"/>
  <c r="K435" i="1"/>
  <c r="O435" i="1" s="1"/>
  <c r="J436" i="1"/>
  <c r="K436" i="1" s="1"/>
  <c r="O436" i="1" s="1"/>
  <c r="J437" i="1"/>
  <c r="K437" i="1" s="1"/>
  <c r="O437" i="1" s="1"/>
  <c r="J438" i="1"/>
  <c r="K438" i="1"/>
  <c r="O438" i="1" s="1"/>
  <c r="J439" i="1"/>
  <c r="K439" i="1" s="1"/>
  <c r="O439" i="1" s="1"/>
  <c r="L441" i="1"/>
  <c r="O444" i="1"/>
  <c r="F445" i="1"/>
  <c r="G445" i="1"/>
  <c r="I445" i="1"/>
  <c r="J445" i="1"/>
  <c r="M445" i="1"/>
  <c r="E446" i="1"/>
  <c r="E86" i="5" s="1"/>
  <c r="E447" i="1"/>
  <c r="E87" i="5" s="1"/>
  <c r="F87" i="5" s="1"/>
  <c r="E450" i="1"/>
  <c r="L451" i="1"/>
  <c r="N451" i="1" s="1"/>
  <c r="O451" i="1" s="1"/>
  <c r="F453" i="1"/>
  <c r="G453" i="1"/>
  <c r="I453" i="1"/>
  <c r="L453" i="1"/>
  <c r="M453" i="1"/>
  <c r="O454" i="1"/>
  <c r="J455" i="1"/>
  <c r="J456" i="1"/>
  <c r="J457" i="1"/>
  <c r="K457" i="1" s="1"/>
  <c r="O457" i="1" s="1"/>
  <c r="J458" i="1"/>
  <c r="K458" i="1" s="1"/>
  <c r="O458" i="1" s="1"/>
  <c r="O459" i="1"/>
  <c r="O460" i="1"/>
  <c r="O461" i="1"/>
  <c r="O463" i="1"/>
  <c r="J464" i="1"/>
  <c r="K464" i="1" s="1"/>
  <c r="O464" i="1" s="1"/>
  <c r="F466" i="1"/>
  <c r="H466" i="1" s="1"/>
  <c r="G466" i="1"/>
  <c r="I466" i="1"/>
  <c r="M466" i="1"/>
  <c r="O468" i="1"/>
  <c r="J469" i="1"/>
  <c r="K469" i="1" s="1"/>
  <c r="O469" i="1" s="1"/>
  <c r="J470" i="1"/>
  <c r="K470" i="1" s="1"/>
  <c r="O470" i="1" s="1"/>
  <c r="J471" i="1"/>
  <c r="K471" i="1" s="1"/>
  <c r="O471" i="1" s="1"/>
  <c r="J472" i="1"/>
  <c r="K472" i="1" s="1"/>
  <c r="O472" i="1" s="1"/>
  <c r="O473" i="1"/>
  <c r="J474" i="1"/>
  <c r="K474" i="1" s="1"/>
  <c r="O474" i="1" s="1"/>
  <c r="J475" i="1"/>
  <c r="K475" i="1" s="1"/>
  <c r="O475" i="1" s="1"/>
  <c r="J476" i="1"/>
  <c r="K476" i="1" s="1"/>
  <c r="O476" i="1" s="1"/>
  <c r="J477" i="1"/>
  <c r="K477" i="1" s="1"/>
  <c r="O477" i="1" s="1"/>
  <c r="O478" i="1"/>
  <c r="J479" i="1"/>
  <c r="K479" i="1" s="1"/>
  <c r="O479" i="1" s="1"/>
  <c r="J480" i="1"/>
  <c r="K480" i="1" s="1"/>
  <c r="O480" i="1" s="1"/>
  <c r="O481" i="1"/>
  <c r="J482" i="1"/>
  <c r="K482" i="1" s="1"/>
  <c r="O482" i="1" s="1"/>
  <c r="O483" i="1"/>
  <c r="K484" i="1"/>
  <c r="O484" i="1" s="1"/>
  <c r="J485" i="1"/>
  <c r="K485" i="1" s="1"/>
  <c r="O485" i="1" s="1"/>
  <c r="J486" i="1"/>
  <c r="K486" i="1" s="1"/>
  <c r="O486" i="1" s="1"/>
  <c r="J487" i="1"/>
  <c r="J488" i="1"/>
  <c r="K488" i="1" s="1"/>
  <c r="O488" i="1" s="1"/>
  <c r="O490" i="1"/>
  <c r="L491" i="1"/>
  <c r="O494" i="1"/>
  <c r="F495" i="1"/>
  <c r="H495" i="1" s="1"/>
  <c r="G495" i="1"/>
  <c r="I495" i="1"/>
  <c r="J495" i="1"/>
  <c r="M495" i="1"/>
  <c r="E498" i="1"/>
  <c r="E96" i="5"/>
  <c r="F96" i="5" s="1"/>
  <c r="F503" i="1"/>
  <c r="G503" i="1"/>
  <c r="H503" i="1" s="1"/>
  <c r="I503" i="1"/>
  <c r="L503" i="1"/>
  <c r="M503" i="1"/>
  <c r="F506" i="1"/>
  <c r="H506" i="1" s="1"/>
  <c r="G506" i="1"/>
  <c r="I506" i="1"/>
  <c r="L506" i="1"/>
  <c r="M506" i="1"/>
  <c r="J507" i="1"/>
  <c r="J506" i="1" s="1"/>
  <c r="F509" i="1"/>
  <c r="G509" i="1"/>
  <c r="I509" i="1"/>
  <c r="L509" i="1"/>
  <c r="M509" i="1"/>
  <c r="O510" i="1"/>
  <c r="J511" i="1"/>
  <c r="O519" i="1"/>
  <c r="J520" i="1"/>
  <c r="O522" i="1"/>
  <c r="F523" i="1"/>
  <c r="G523" i="1"/>
  <c r="I523" i="1"/>
  <c r="M523" i="1"/>
  <c r="O525" i="1"/>
  <c r="J526" i="1"/>
  <c r="K526" i="1" s="1"/>
  <c r="O526" i="1" s="1"/>
  <c r="J527" i="1"/>
  <c r="K527" i="1" s="1"/>
  <c r="O527" i="1" s="1"/>
  <c r="J528" i="1"/>
  <c r="K528" i="1" s="1"/>
  <c r="O528" i="1" s="1"/>
  <c r="J529" i="1"/>
  <c r="K529" i="1" s="1"/>
  <c r="O529" i="1" s="1"/>
  <c r="O530" i="1"/>
  <c r="J531" i="1"/>
  <c r="K531" i="1" s="1"/>
  <c r="O531" i="1" s="1"/>
  <c r="J532" i="1"/>
  <c r="K532" i="1" s="1"/>
  <c r="O532" i="1" s="1"/>
  <c r="J534" i="1"/>
  <c r="K534" i="1" s="1"/>
  <c r="O534" i="1" s="1"/>
  <c r="J535" i="1"/>
  <c r="K535" i="1" s="1"/>
  <c r="O535" i="1" s="1"/>
  <c r="O536" i="1"/>
  <c r="J537" i="1"/>
  <c r="J538" i="1"/>
  <c r="K538" i="1" s="1"/>
  <c r="O538" i="1" s="1"/>
  <c r="O539" i="1"/>
  <c r="J540" i="1"/>
  <c r="K540" i="1" s="1"/>
  <c r="O540" i="1" s="1"/>
  <c r="O541" i="1"/>
  <c r="K542" i="1"/>
  <c r="O542" i="1" s="1"/>
  <c r="J543" i="1"/>
  <c r="K543" i="1" s="1"/>
  <c r="O543" i="1" s="1"/>
  <c r="J544" i="1"/>
  <c r="K544" i="1" s="1"/>
  <c r="O544" i="1" s="1"/>
  <c r="J545" i="1"/>
  <c r="K545" i="1" s="1"/>
  <c r="O545" i="1" s="1"/>
  <c r="J546" i="1"/>
  <c r="K546" i="1" s="1"/>
  <c r="O546" i="1" s="1"/>
  <c r="L548" i="1"/>
  <c r="L523" i="1" s="1"/>
  <c r="O552" i="1"/>
  <c r="F553" i="1"/>
  <c r="G553" i="1"/>
  <c r="I553" i="1"/>
  <c r="J553" i="1"/>
  <c r="M553" i="1"/>
  <c r="L554" i="1"/>
  <c r="N554" i="1" s="1"/>
  <c r="O554" i="1" s="1"/>
  <c r="L555" i="1"/>
  <c r="L556" i="1"/>
  <c r="N556" i="1" s="1"/>
  <c r="O556" i="1" s="1"/>
  <c r="L557" i="1"/>
  <c r="N557" i="1" s="1"/>
  <c r="O557" i="1" s="1"/>
  <c r="L558" i="1"/>
  <c r="N558" i="1" s="1"/>
  <c r="O558" i="1" s="1"/>
  <c r="L559" i="1"/>
  <c r="N559" i="1" s="1"/>
  <c r="O559" i="1" s="1"/>
  <c r="L560" i="1"/>
  <c r="N560" i="1" s="1"/>
  <c r="O560" i="1" s="1"/>
  <c r="L561" i="1"/>
  <c r="N561" i="1" s="1"/>
  <c r="O561" i="1" s="1"/>
  <c r="L562" i="1"/>
  <c r="N562" i="1" s="1"/>
  <c r="O562" i="1" s="1"/>
  <c r="L563" i="1"/>
  <c r="N563" i="1" s="1"/>
  <c r="O563" i="1" s="1"/>
  <c r="L564" i="1"/>
  <c r="N564" i="1" s="1"/>
  <c r="O564" i="1" s="1"/>
  <c r="L565" i="1"/>
  <c r="N565" i="1" s="1"/>
  <c r="O565" i="1" s="1"/>
  <c r="F567" i="1"/>
  <c r="G567" i="1"/>
  <c r="I567" i="1"/>
  <c r="I551" i="1" s="1"/>
  <c r="F49" i="2" s="1"/>
  <c r="L567" i="1"/>
  <c r="M567" i="1"/>
  <c r="O568" i="1"/>
  <c r="O572" i="1"/>
  <c r="O574" i="1"/>
  <c r="J575" i="1"/>
  <c r="K575" i="1" s="1"/>
  <c r="O575" i="1" s="1"/>
  <c r="F577" i="1"/>
  <c r="G577" i="1"/>
  <c r="I577" i="1"/>
  <c r="L577" i="1"/>
  <c r="M577" i="1"/>
  <c r="O579" i="1"/>
  <c r="J580" i="1"/>
  <c r="K580" i="1" s="1"/>
  <c r="O580" i="1" s="1"/>
  <c r="J581" i="1"/>
  <c r="K581" i="1" s="1"/>
  <c r="O581" i="1" s="1"/>
  <c r="J582" i="1"/>
  <c r="K582" i="1" s="1"/>
  <c r="O582" i="1" s="1"/>
  <c r="J583" i="1"/>
  <c r="O584" i="1"/>
  <c r="J585" i="1"/>
  <c r="K585" i="1" s="1"/>
  <c r="O585" i="1" s="1"/>
  <c r="J586" i="1"/>
  <c r="K586" i="1" s="1"/>
  <c r="O586" i="1" s="1"/>
  <c r="J587" i="1"/>
  <c r="K587" i="1" s="1"/>
  <c r="O587" i="1" s="1"/>
  <c r="O588" i="1"/>
  <c r="J589" i="1"/>
  <c r="K589" i="1" s="1"/>
  <c r="O589" i="1" s="1"/>
  <c r="J590" i="1"/>
  <c r="K590" i="1" s="1"/>
  <c r="O590" i="1" s="1"/>
  <c r="O591" i="1"/>
  <c r="O592" i="1"/>
  <c r="J593" i="1"/>
  <c r="K593" i="1" s="1"/>
  <c r="O593" i="1" s="1"/>
  <c r="O594" i="1"/>
  <c r="O595" i="1"/>
  <c r="J596" i="1"/>
  <c r="K596" i="1"/>
  <c r="O596" i="1" s="1"/>
  <c r="O597" i="1"/>
  <c r="O598" i="1"/>
  <c r="J599" i="1"/>
  <c r="K599" i="1"/>
  <c r="O599" i="1" s="1"/>
  <c r="O600" i="1"/>
  <c r="K601" i="1"/>
  <c r="O601" i="1" s="1"/>
  <c r="J602" i="1"/>
  <c r="K602" i="1" s="1"/>
  <c r="O602" i="1" s="1"/>
  <c r="J603" i="1"/>
  <c r="K603" i="1" s="1"/>
  <c r="O603" i="1" s="1"/>
  <c r="J604" i="1"/>
  <c r="K604" i="1" s="1"/>
  <c r="O604" i="1" s="1"/>
  <c r="J605" i="1"/>
  <c r="K605" i="1" s="1"/>
  <c r="O605" i="1" s="1"/>
  <c r="F609" i="1"/>
  <c r="G609" i="1"/>
  <c r="I609" i="1"/>
  <c r="I607" i="1" s="1"/>
  <c r="F52" i="2" s="1"/>
  <c r="J609" i="1"/>
  <c r="M609" i="1"/>
  <c r="L610" i="1"/>
  <c r="N610" i="1" s="1"/>
  <c r="O610" i="1" s="1"/>
  <c r="L611" i="1"/>
  <c r="L612" i="1"/>
  <c r="N612" i="1"/>
  <c r="O612" i="1" s="1"/>
  <c r="L614" i="1"/>
  <c r="N614" i="1" s="1"/>
  <c r="O614" i="1" s="1"/>
  <c r="L615" i="1"/>
  <c r="N615" i="1" s="1"/>
  <c r="O615" i="1" s="1"/>
  <c r="L616" i="1"/>
  <c r="N616" i="1" s="1"/>
  <c r="O616" i="1" s="1"/>
  <c r="L617" i="1"/>
  <c r="N617" i="1" s="1"/>
  <c r="O617" i="1" s="1"/>
  <c r="F620" i="1"/>
  <c r="G620" i="1"/>
  <c r="I620" i="1"/>
  <c r="L620" i="1"/>
  <c r="M620" i="1"/>
  <c r="J621" i="1"/>
  <c r="J620" i="1" s="1"/>
  <c r="F623" i="1"/>
  <c r="G623" i="1"/>
  <c r="I623" i="1"/>
  <c r="L623" i="1"/>
  <c r="M623" i="1"/>
  <c r="J624" i="1"/>
  <c r="J623" i="1" s="1"/>
  <c r="F626" i="1"/>
  <c r="G626" i="1"/>
  <c r="I626" i="1"/>
  <c r="L626" i="1"/>
  <c r="M626" i="1"/>
  <c r="E627" i="1"/>
  <c r="E13" i="6" s="1"/>
  <c r="F630" i="1"/>
  <c r="G630" i="1"/>
  <c r="I630" i="1"/>
  <c r="L630" i="1"/>
  <c r="M630" i="1"/>
  <c r="J631" i="1"/>
  <c r="K631" i="1" s="1"/>
  <c r="O631" i="1" s="1"/>
  <c r="F635" i="1"/>
  <c r="G635" i="1"/>
  <c r="I635" i="1"/>
  <c r="M635" i="1"/>
  <c r="O636" i="1"/>
  <c r="J637" i="1"/>
  <c r="K637" i="1" s="1"/>
  <c r="O637" i="1" s="1"/>
  <c r="J638" i="1"/>
  <c r="K638" i="1" s="1"/>
  <c r="O638" i="1" s="1"/>
  <c r="J639" i="1"/>
  <c r="K639" i="1" s="1"/>
  <c r="O639" i="1" s="1"/>
  <c r="J640" i="1"/>
  <c r="K640" i="1" s="1"/>
  <c r="O640" i="1" s="1"/>
  <c r="O641" i="1"/>
  <c r="J642" i="1"/>
  <c r="K642" i="1" s="1"/>
  <c r="O642" i="1" s="1"/>
  <c r="J643" i="1"/>
  <c r="K643" i="1" s="1"/>
  <c r="O643" i="1" s="1"/>
  <c r="J645" i="1"/>
  <c r="K645" i="1" s="1"/>
  <c r="O645" i="1" s="1"/>
  <c r="J646" i="1"/>
  <c r="K646" i="1" s="1"/>
  <c r="O646" i="1" s="1"/>
  <c r="O647" i="1"/>
  <c r="J648" i="1"/>
  <c r="K648" i="1" s="1"/>
  <c r="O648" i="1" s="1"/>
  <c r="J649" i="1"/>
  <c r="K649" i="1" s="1"/>
  <c r="O649" i="1" s="1"/>
  <c r="O650" i="1"/>
  <c r="J651" i="1"/>
  <c r="K651" i="1" s="1"/>
  <c r="O651" i="1" s="1"/>
  <c r="J652" i="1"/>
  <c r="K652" i="1" s="1"/>
  <c r="O652" i="1" s="1"/>
  <c r="O653" i="1"/>
  <c r="K654" i="1"/>
  <c r="O654" i="1" s="1"/>
  <c r="J655" i="1"/>
  <c r="K655" i="1" s="1"/>
  <c r="O655" i="1" s="1"/>
  <c r="J656" i="1"/>
  <c r="K656" i="1" s="1"/>
  <c r="O656" i="1" s="1"/>
  <c r="J657" i="1"/>
  <c r="K657" i="1" s="1"/>
  <c r="O657" i="1" s="1"/>
  <c r="J658" i="1"/>
  <c r="K658" i="1" s="1"/>
  <c r="O658" i="1" s="1"/>
  <c r="L661" i="1"/>
  <c r="N661" i="1" s="1"/>
  <c r="O661" i="1" s="1"/>
  <c r="L662" i="1"/>
  <c r="N662" i="1" s="1"/>
  <c r="O662" i="1" s="1"/>
  <c r="L663" i="1"/>
  <c r="N663" i="1" s="1"/>
  <c r="O663" i="1" s="1"/>
  <c r="O666" i="1"/>
  <c r="F667" i="1"/>
  <c r="G667" i="1"/>
  <c r="I667" i="1"/>
  <c r="K667" i="1" s="1"/>
  <c r="J667" i="1"/>
  <c r="M667" i="1"/>
  <c r="L673" i="1"/>
  <c r="N673" i="1" s="1"/>
  <c r="O673" i="1" s="1"/>
  <c r="L674" i="1"/>
  <c r="N674" i="1" s="1"/>
  <c r="O674" i="1" s="1"/>
  <c r="F676" i="1"/>
  <c r="G676" i="1"/>
  <c r="I676" i="1"/>
  <c r="L676" i="1"/>
  <c r="N676" i="1" s="1"/>
  <c r="M676" i="1"/>
  <c r="N677" i="1"/>
  <c r="F679" i="1"/>
  <c r="G679" i="1"/>
  <c r="I679" i="1"/>
  <c r="L679" i="1"/>
  <c r="M679" i="1"/>
  <c r="J680" i="1"/>
  <c r="F682" i="1"/>
  <c r="G682" i="1"/>
  <c r="I682" i="1"/>
  <c r="L682" i="1"/>
  <c r="M682" i="1"/>
  <c r="F685" i="1"/>
  <c r="G685" i="1"/>
  <c r="I685" i="1"/>
  <c r="L685" i="1"/>
  <c r="M685" i="1"/>
  <c r="O686" i="1"/>
  <c r="J687" i="1"/>
  <c r="O691" i="1"/>
  <c r="J692" i="1"/>
  <c r="F694" i="1"/>
  <c r="G694" i="1"/>
  <c r="H694" i="1" s="1"/>
  <c r="I694" i="1"/>
  <c r="L694" i="1"/>
  <c r="M694" i="1"/>
  <c r="O695" i="1"/>
  <c r="J696" i="1"/>
  <c r="K696" i="1" s="1"/>
  <c r="O696" i="1" s="1"/>
  <c r="J697" i="1"/>
  <c r="K697" i="1" s="1"/>
  <c r="O697" i="1" s="1"/>
  <c r="J698" i="1"/>
  <c r="K698" i="1" s="1"/>
  <c r="O698" i="1" s="1"/>
  <c r="J699" i="1"/>
  <c r="K699" i="1" s="1"/>
  <c r="O699" i="1" s="1"/>
  <c r="O700" i="1"/>
  <c r="J701" i="1"/>
  <c r="K701" i="1" s="1"/>
  <c r="O701" i="1" s="1"/>
  <c r="J702" i="1"/>
  <c r="K702" i="1" s="1"/>
  <c r="O702" i="1" s="1"/>
  <c r="O703" i="1"/>
  <c r="E705" i="1"/>
  <c r="J705" i="1" s="1"/>
  <c r="K705" i="1" s="1"/>
  <c r="O705" i="1" s="1"/>
  <c r="J706" i="1"/>
  <c r="K706" i="1" s="1"/>
  <c r="O706" i="1" s="1"/>
  <c r="O707" i="1"/>
  <c r="O708" i="1"/>
  <c r="J709" i="1"/>
  <c r="K709" i="1" s="1"/>
  <c r="O709" i="1" s="1"/>
  <c r="O710" i="1"/>
  <c r="O711" i="1"/>
  <c r="J712" i="1"/>
  <c r="K712" i="1" s="1"/>
  <c r="O712" i="1" s="1"/>
  <c r="O713" i="1"/>
  <c r="O714" i="1"/>
  <c r="J715" i="1"/>
  <c r="K715" i="1" s="1"/>
  <c r="O715" i="1" s="1"/>
  <c r="O716" i="1"/>
  <c r="O717" i="1"/>
  <c r="J718" i="1"/>
  <c r="K718" i="1" s="1"/>
  <c r="O718" i="1" s="1"/>
  <c r="J719" i="1"/>
  <c r="K719" i="1" s="1"/>
  <c r="O719" i="1" s="1"/>
  <c r="J720" i="1"/>
  <c r="K720" i="1" s="1"/>
  <c r="O720" i="1" s="1"/>
  <c r="J721" i="1"/>
  <c r="K721" i="1" s="1"/>
  <c r="O721" i="1" s="1"/>
  <c r="O724" i="1"/>
  <c r="F725" i="1"/>
  <c r="H725" i="1" s="1"/>
  <c r="G725" i="1"/>
  <c r="I725" i="1"/>
  <c r="J725" i="1"/>
  <c r="M725" i="1"/>
  <c r="L726" i="1"/>
  <c r="N726" i="1" s="1"/>
  <c r="O726" i="1" s="1"/>
  <c r="L728" i="1"/>
  <c r="N728" i="1" s="1"/>
  <c r="O728" i="1" s="1"/>
  <c r="L729" i="1"/>
  <c r="N729" i="1" s="1"/>
  <c r="O729" i="1" s="1"/>
  <c r="L730" i="1"/>
  <c r="L731" i="1"/>
  <c r="N731" i="1" s="1"/>
  <c r="O731" i="1" s="1"/>
  <c r="F733" i="1"/>
  <c r="G733" i="1"/>
  <c r="I733" i="1"/>
  <c r="L733" i="1"/>
  <c r="M733" i="1"/>
  <c r="E734" i="1"/>
  <c r="E35" i="19" s="1"/>
  <c r="F736" i="1"/>
  <c r="G736" i="1"/>
  <c r="I736" i="1"/>
  <c r="L736" i="1"/>
  <c r="M736" i="1"/>
  <c r="O737" i="1"/>
  <c r="J738" i="1"/>
  <c r="K738" i="1" s="1"/>
  <c r="O738" i="1" s="1"/>
  <c r="J739" i="1"/>
  <c r="K739" i="1" s="1"/>
  <c r="O739" i="1" s="1"/>
  <c r="J740" i="1"/>
  <c r="J741" i="1"/>
  <c r="K741" i="1" s="1"/>
  <c r="O741" i="1" s="1"/>
  <c r="O742" i="1"/>
  <c r="J743" i="1"/>
  <c r="K743" i="1" s="1"/>
  <c r="O743" i="1" s="1"/>
  <c r="J744" i="1"/>
  <c r="K744" i="1" s="1"/>
  <c r="O744" i="1" s="1"/>
  <c r="J745" i="1"/>
  <c r="K745" i="1" s="1"/>
  <c r="O745" i="1" s="1"/>
  <c r="J746" i="1"/>
  <c r="K746" i="1" s="1"/>
  <c r="O746" i="1" s="1"/>
  <c r="O747" i="1"/>
  <c r="J748" i="1"/>
  <c r="K748" i="1"/>
  <c r="O748" i="1" s="1"/>
  <c r="J749" i="1"/>
  <c r="K749" i="1" s="1"/>
  <c r="O749" i="1" s="1"/>
  <c r="O750" i="1"/>
  <c r="J751" i="1"/>
  <c r="K751" i="1" s="1"/>
  <c r="O751" i="1" s="1"/>
  <c r="O752" i="1"/>
  <c r="K753" i="1"/>
  <c r="O753" i="1"/>
  <c r="J754" i="1"/>
  <c r="K754" i="1"/>
  <c r="O754" i="1" s="1"/>
  <c r="J755" i="1"/>
  <c r="K755" i="1" s="1"/>
  <c r="O755" i="1" s="1"/>
  <c r="J756" i="1"/>
  <c r="K756" i="1" s="1"/>
  <c r="O756" i="1" s="1"/>
  <c r="J757" i="1"/>
  <c r="K757" i="1" s="1"/>
  <c r="O757" i="1" s="1"/>
  <c r="F761" i="1"/>
  <c r="G761" i="1"/>
  <c r="I761" i="1"/>
  <c r="J761" i="1"/>
  <c r="M761" i="1"/>
  <c r="L762" i="1"/>
  <c r="N762" i="1" s="1"/>
  <c r="O762" i="1" s="1"/>
  <c r="L763" i="1"/>
  <c r="N763" i="1" s="1"/>
  <c r="O763" i="1" s="1"/>
  <c r="L764" i="1"/>
  <c r="N764" i="1" s="1"/>
  <c r="O764" i="1" s="1"/>
  <c r="L765" i="1"/>
  <c r="L766" i="1"/>
  <c r="N766" i="1"/>
  <c r="O766" i="1" s="1"/>
  <c r="L767" i="1"/>
  <c r="N767" i="1" s="1"/>
  <c r="O767" i="1" s="1"/>
  <c r="L768" i="1"/>
  <c r="N768" i="1" s="1"/>
  <c r="O768" i="1" s="1"/>
  <c r="L769" i="1"/>
  <c r="N769" i="1"/>
  <c r="O769" i="1" s="1"/>
  <c r="L770" i="1"/>
  <c r="N770" i="1" s="1"/>
  <c r="O770" i="1" s="1"/>
  <c r="L771" i="1"/>
  <c r="N771" i="1" s="1"/>
  <c r="O771" i="1" s="1"/>
  <c r="E772" i="1"/>
  <c r="F784" i="1"/>
  <c r="H784" i="1" s="1"/>
  <c r="G784" i="1"/>
  <c r="I784" i="1"/>
  <c r="L784" i="1"/>
  <c r="M784" i="1"/>
  <c r="J785" i="1"/>
  <c r="J784" i="1"/>
  <c r="F787" i="1"/>
  <c r="G787" i="1"/>
  <c r="H787" i="1" s="1"/>
  <c r="I787" i="1"/>
  <c r="L787" i="1"/>
  <c r="M787" i="1"/>
  <c r="J788" i="1"/>
  <c r="J787" i="1" s="1"/>
  <c r="K787" i="1" s="1"/>
  <c r="F790" i="1"/>
  <c r="G790" i="1"/>
  <c r="I790" i="1"/>
  <c r="L790" i="1"/>
  <c r="M790" i="1"/>
  <c r="E791" i="1"/>
  <c r="E15" i="38" s="1"/>
  <c r="F15" i="38" s="1"/>
  <c r="O15" i="38" s="1"/>
  <c r="J792" i="1"/>
  <c r="K792" i="1" s="1"/>
  <c r="O792" i="1" s="1"/>
  <c r="F794" i="1"/>
  <c r="G794" i="1"/>
  <c r="I794" i="1"/>
  <c r="L794" i="1"/>
  <c r="M794" i="1"/>
  <c r="J795" i="1"/>
  <c r="K795" i="1" s="1"/>
  <c r="O795" i="1" s="1"/>
  <c r="F798" i="1"/>
  <c r="G798" i="1"/>
  <c r="I798" i="1"/>
  <c r="L798" i="1"/>
  <c r="M798" i="1"/>
  <c r="O799" i="1"/>
  <c r="J800" i="1"/>
  <c r="K800" i="1" s="1"/>
  <c r="O800" i="1" s="1"/>
  <c r="O804" i="1"/>
  <c r="J805" i="1"/>
  <c r="F807" i="1"/>
  <c r="G807" i="1"/>
  <c r="I807" i="1"/>
  <c r="L807" i="1"/>
  <c r="M807" i="1"/>
  <c r="O808" i="1"/>
  <c r="J809" i="1"/>
  <c r="K809" i="1" s="1"/>
  <c r="O809" i="1" s="1"/>
  <c r="J810" i="1"/>
  <c r="K810" i="1" s="1"/>
  <c r="O810" i="1" s="1"/>
  <c r="J811" i="1"/>
  <c r="K811" i="1" s="1"/>
  <c r="O811" i="1" s="1"/>
  <c r="J812" i="1"/>
  <c r="K812" i="1" s="1"/>
  <c r="O812" i="1" s="1"/>
  <c r="O813" i="1"/>
  <c r="J814" i="1"/>
  <c r="K814" i="1" s="1"/>
  <c r="O814" i="1" s="1"/>
  <c r="J815" i="1"/>
  <c r="K815" i="1" s="1"/>
  <c r="O815" i="1" s="1"/>
  <c r="J816" i="1"/>
  <c r="K816" i="1" s="1"/>
  <c r="O816" i="1" s="1"/>
  <c r="J817" i="1"/>
  <c r="K817" i="1" s="1"/>
  <c r="O817" i="1" s="1"/>
  <c r="O818" i="1"/>
  <c r="J819" i="1"/>
  <c r="K819" i="1" s="1"/>
  <c r="O819" i="1" s="1"/>
  <c r="J820" i="1"/>
  <c r="K820" i="1" s="1"/>
  <c r="O820" i="1" s="1"/>
  <c r="O821" i="1"/>
  <c r="J822" i="1"/>
  <c r="K822" i="1" s="1"/>
  <c r="O822" i="1" s="1"/>
  <c r="K823" i="1"/>
  <c r="O823" i="1" s="1"/>
  <c r="J824" i="1"/>
  <c r="K824" i="1" s="1"/>
  <c r="O824" i="1" s="1"/>
  <c r="J825" i="1"/>
  <c r="K825" i="1" s="1"/>
  <c r="O825" i="1" s="1"/>
  <c r="J826" i="1"/>
  <c r="J827" i="1"/>
  <c r="K827" i="1" s="1"/>
  <c r="O827" i="1" s="1"/>
  <c r="O831" i="1"/>
  <c r="I832" i="1"/>
  <c r="J832" i="1"/>
  <c r="M832" i="1"/>
  <c r="L833" i="1"/>
  <c r="L834" i="1"/>
  <c r="F836" i="1"/>
  <c r="F832" i="1" s="1"/>
  <c r="G836" i="1"/>
  <c r="L837" i="1"/>
  <c r="N837" i="1" s="1"/>
  <c r="O837" i="1" s="1"/>
  <c r="F839" i="1"/>
  <c r="G839" i="1"/>
  <c r="I839" i="1"/>
  <c r="M839" i="1"/>
  <c r="O841" i="1"/>
  <c r="J842" i="1"/>
  <c r="K842" i="1" s="1"/>
  <c r="O842" i="1" s="1"/>
  <c r="J843" i="1"/>
  <c r="K843" i="1" s="1"/>
  <c r="O843" i="1" s="1"/>
  <c r="J844" i="1"/>
  <c r="K844" i="1" s="1"/>
  <c r="O844" i="1" s="1"/>
  <c r="J845" i="1"/>
  <c r="K845" i="1"/>
  <c r="O845" i="1" s="1"/>
  <c r="O846" i="1"/>
  <c r="J847" i="1"/>
  <c r="J848" i="1"/>
  <c r="K848" i="1" s="1"/>
  <c r="O848" i="1" s="1"/>
  <c r="J849" i="1"/>
  <c r="K849" i="1" s="1"/>
  <c r="O849" i="1" s="1"/>
  <c r="J850" i="1"/>
  <c r="K850" i="1"/>
  <c r="O850" i="1" s="1"/>
  <c r="J851" i="1"/>
  <c r="K851" i="1" s="1"/>
  <c r="O851" i="1" s="1"/>
  <c r="J852" i="1"/>
  <c r="K852" i="1" s="1"/>
  <c r="O852" i="1" s="1"/>
  <c r="O854" i="1"/>
  <c r="J855" i="1"/>
  <c r="K855" i="1" s="1"/>
  <c r="O855" i="1" s="1"/>
  <c r="J856" i="1"/>
  <c r="K856" i="1" s="1"/>
  <c r="O856" i="1" s="1"/>
  <c r="O857" i="1"/>
  <c r="J858" i="1"/>
  <c r="K858" i="1" s="1"/>
  <c r="O858" i="1" s="1"/>
  <c r="J859" i="1"/>
  <c r="K859" i="1" s="1"/>
  <c r="O859" i="1" s="1"/>
  <c r="O860" i="1"/>
  <c r="K861" i="1"/>
  <c r="O861" i="1" s="1"/>
  <c r="J862" i="1"/>
  <c r="K862" i="1" s="1"/>
  <c r="O862" i="1" s="1"/>
  <c r="J863" i="1"/>
  <c r="K863" i="1" s="1"/>
  <c r="O863" i="1" s="1"/>
  <c r="J864" i="1"/>
  <c r="K864" i="1" s="1"/>
  <c r="O864" i="1" s="1"/>
  <c r="J865" i="1"/>
  <c r="K865" i="1" s="1"/>
  <c r="O865" i="1" s="1"/>
  <c r="O866" i="1"/>
  <c r="L867" i="1"/>
  <c r="O870" i="1"/>
  <c r="F871" i="1"/>
  <c r="G871" i="1"/>
  <c r="I871" i="1"/>
  <c r="J871" i="1"/>
  <c r="M871" i="1"/>
  <c r="L872" i="1"/>
  <c r="N872" i="1" s="1"/>
  <c r="O872" i="1" s="1"/>
  <c r="L873" i="1"/>
  <c r="N873" i="1" s="1"/>
  <c r="O873" i="1" s="1"/>
  <c r="L874" i="1"/>
  <c r="F878" i="1"/>
  <c r="G878" i="1"/>
  <c r="I878" i="1"/>
  <c r="L878" i="1"/>
  <c r="M878" i="1"/>
  <c r="O879" i="1"/>
  <c r="J880" i="1"/>
  <c r="K880" i="1" s="1"/>
  <c r="O880" i="1" s="1"/>
  <c r="O881" i="1"/>
  <c r="O885" i="1"/>
  <c r="O890" i="1"/>
  <c r="J891" i="1"/>
  <c r="F893" i="1"/>
  <c r="G893" i="1"/>
  <c r="I893" i="1"/>
  <c r="L893" i="1"/>
  <c r="M893" i="1"/>
  <c r="O895" i="1"/>
  <c r="J896" i="1"/>
  <c r="J897" i="1"/>
  <c r="K897" i="1" s="1"/>
  <c r="O897" i="1" s="1"/>
  <c r="J898" i="1"/>
  <c r="K898" i="1" s="1"/>
  <c r="O898" i="1" s="1"/>
  <c r="J899" i="1"/>
  <c r="K899" i="1" s="1"/>
  <c r="O899" i="1" s="1"/>
  <c r="O900" i="1"/>
  <c r="J901" i="1"/>
  <c r="K901" i="1" s="1"/>
  <c r="O901" i="1" s="1"/>
  <c r="J902" i="1"/>
  <c r="K902" i="1" s="1"/>
  <c r="O902" i="1" s="1"/>
  <c r="J903" i="1"/>
  <c r="K903" i="1" s="1"/>
  <c r="O903" i="1" s="1"/>
  <c r="J904" i="1"/>
  <c r="K904" i="1" s="1"/>
  <c r="O904" i="1" s="1"/>
  <c r="O905" i="1"/>
  <c r="J906" i="1"/>
  <c r="K906" i="1" s="1"/>
  <c r="O906" i="1" s="1"/>
  <c r="J907" i="1"/>
  <c r="K907" i="1" s="1"/>
  <c r="O907" i="1" s="1"/>
  <c r="O908" i="1"/>
  <c r="J909" i="1"/>
  <c r="K909" i="1" s="1"/>
  <c r="O909" i="1" s="1"/>
  <c r="O910" i="1"/>
  <c r="K911" i="1"/>
  <c r="O911" i="1" s="1"/>
  <c r="J912" i="1"/>
  <c r="K912" i="1" s="1"/>
  <c r="O912" i="1" s="1"/>
  <c r="J913" i="1"/>
  <c r="K913" i="1" s="1"/>
  <c r="O913" i="1" s="1"/>
  <c r="J914" i="1"/>
  <c r="K914" i="1" s="1"/>
  <c r="O914" i="1" s="1"/>
  <c r="J915" i="1"/>
  <c r="K915" i="1" s="1"/>
  <c r="O915" i="1" s="1"/>
  <c r="O919" i="1"/>
  <c r="E927" i="1"/>
  <c r="I935" i="1"/>
  <c r="J936" i="1"/>
  <c r="J935" i="1" s="1"/>
  <c r="F939" i="1"/>
  <c r="G939" i="1"/>
  <c r="I939" i="1"/>
  <c r="L939" i="1"/>
  <c r="M939" i="1"/>
  <c r="O940" i="1"/>
  <c r="E941" i="1"/>
  <c r="E167" i="7" s="1"/>
  <c r="O982" i="1"/>
  <c r="O983" i="1"/>
  <c r="J984" i="1"/>
  <c r="K984" i="1" s="1"/>
  <c r="O984" i="1" s="1"/>
  <c r="F986" i="1"/>
  <c r="G986" i="1"/>
  <c r="I986" i="1"/>
  <c r="M986" i="1"/>
  <c r="O988" i="1"/>
  <c r="J989" i="1"/>
  <c r="K989" i="1" s="1"/>
  <c r="J990" i="1"/>
  <c r="K990" i="1" s="1"/>
  <c r="J991" i="1"/>
  <c r="K991" i="1" s="1"/>
  <c r="O991" i="1" s="1"/>
  <c r="J992" i="1"/>
  <c r="K992" i="1" s="1"/>
  <c r="O993" i="1"/>
  <c r="J994" i="1"/>
  <c r="K994" i="1" s="1"/>
  <c r="O994" i="1" s="1"/>
  <c r="J995" i="1"/>
  <c r="K995" i="1" s="1"/>
  <c r="O995" i="1" s="1"/>
  <c r="J996" i="1"/>
  <c r="K996" i="1" s="1"/>
  <c r="O996" i="1" s="1"/>
  <c r="J997" i="1"/>
  <c r="K997" i="1" s="1"/>
  <c r="O997" i="1" s="1"/>
  <c r="O998" i="1"/>
  <c r="J999" i="1"/>
  <c r="K999" i="1" s="1"/>
  <c r="O999" i="1" s="1"/>
  <c r="J1000" i="1"/>
  <c r="K1000" i="1" s="1"/>
  <c r="O1000" i="1" s="1"/>
  <c r="J1001" i="1"/>
  <c r="K1001" i="1" s="1"/>
  <c r="O1001" i="1" s="1"/>
  <c r="J1002" i="1"/>
  <c r="K1002" i="1" s="1"/>
  <c r="O1002" i="1" s="1"/>
  <c r="J1003" i="1"/>
  <c r="K1003" i="1" s="1"/>
  <c r="O1003" i="1" s="1"/>
  <c r="O1004" i="1"/>
  <c r="J1005" i="1"/>
  <c r="K1005" i="1" s="1"/>
  <c r="O1006" i="1"/>
  <c r="K1007" i="1"/>
  <c r="O1007" i="1" s="1"/>
  <c r="J1008" i="1"/>
  <c r="K1008" i="1" s="1"/>
  <c r="O1008" i="1" s="1"/>
  <c r="J1009" i="1"/>
  <c r="K1009" i="1" s="1"/>
  <c r="O1009" i="1" s="1"/>
  <c r="J1010" i="1"/>
  <c r="K1010" i="1" s="1"/>
  <c r="O1010" i="1" s="1"/>
  <c r="J1011" i="1"/>
  <c r="K1011" i="1" s="1"/>
  <c r="O1011" i="1" s="1"/>
  <c r="O1013" i="1"/>
  <c r="L1014" i="1"/>
  <c r="O1017" i="1"/>
  <c r="F1018" i="1"/>
  <c r="G1018" i="1"/>
  <c r="I1018" i="1"/>
  <c r="J1018" i="1"/>
  <c r="M1018" i="1"/>
  <c r="L1019" i="1"/>
  <c r="N1019" i="1" s="1"/>
  <c r="O1019" i="1" s="1"/>
  <c r="L1020" i="1"/>
  <c r="N1020" i="1" s="1"/>
  <c r="O1020" i="1" s="1"/>
  <c r="L1021" i="1"/>
  <c r="N1021" i="1" s="1"/>
  <c r="O1021" i="1" s="1"/>
  <c r="L1022" i="1"/>
  <c r="N1022" i="1" s="1"/>
  <c r="O1022" i="1" s="1"/>
  <c r="L1023" i="1"/>
  <c r="L1024" i="1"/>
  <c r="N1024" i="1" s="1"/>
  <c r="O1024" i="1" s="1"/>
  <c r="L1025" i="1"/>
  <c r="N1025" i="1" s="1"/>
  <c r="O1025" i="1" s="1"/>
  <c r="L1026" i="1"/>
  <c r="N1026" i="1" s="1"/>
  <c r="O1026" i="1" s="1"/>
  <c r="L1027" i="1"/>
  <c r="N1027" i="1" s="1"/>
  <c r="O1027" i="1" s="1"/>
  <c r="L1028" i="1"/>
  <c r="N1028" i="1" s="1"/>
  <c r="O1028" i="1" s="1"/>
  <c r="F1030" i="1"/>
  <c r="G1030" i="1"/>
  <c r="I1030" i="1"/>
  <c r="L1030" i="1"/>
  <c r="M1030" i="1"/>
  <c r="O1031" i="1"/>
  <c r="E1032" i="1"/>
  <c r="O1037" i="1"/>
  <c r="O1038" i="1"/>
  <c r="J1039" i="1"/>
  <c r="K1039" i="1" s="1"/>
  <c r="O1039" i="1" s="1"/>
  <c r="O1040" i="1"/>
  <c r="F1041" i="1"/>
  <c r="G1041" i="1"/>
  <c r="I1041" i="1"/>
  <c r="M1041" i="1"/>
  <c r="O1043" i="1"/>
  <c r="J1044" i="1"/>
  <c r="K1044" i="1" s="1"/>
  <c r="O1044" i="1" s="1"/>
  <c r="J1045" i="1"/>
  <c r="J1046" i="1"/>
  <c r="K1046" i="1" s="1"/>
  <c r="O1046" i="1" s="1"/>
  <c r="J1047" i="1"/>
  <c r="K1047" i="1" s="1"/>
  <c r="O1047" i="1" s="1"/>
  <c r="O1048" i="1"/>
  <c r="J1049" i="1"/>
  <c r="K1049" i="1" s="1"/>
  <c r="O1049" i="1" s="1"/>
  <c r="J1050" i="1"/>
  <c r="K1050" i="1" s="1"/>
  <c r="O1050" i="1" s="1"/>
  <c r="J1051" i="1"/>
  <c r="K1051" i="1" s="1"/>
  <c r="O1051" i="1" s="1"/>
  <c r="J1052" i="1"/>
  <c r="K1052" i="1" s="1"/>
  <c r="O1052" i="1" s="1"/>
  <c r="O1054" i="1"/>
  <c r="E1055" i="1"/>
  <c r="J1055" i="1" s="1"/>
  <c r="J1056" i="1"/>
  <c r="K1056" i="1" s="1"/>
  <c r="O1056" i="1" s="1"/>
  <c r="O1058" i="1"/>
  <c r="J1059" i="1"/>
  <c r="K1059" i="1" s="1"/>
  <c r="O1059" i="1" s="1"/>
  <c r="O1060" i="1"/>
  <c r="K1061" i="1"/>
  <c r="O1061" i="1" s="1"/>
  <c r="J1062" i="1"/>
  <c r="K1062" i="1" s="1"/>
  <c r="O1062" i="1" s="1"/>
  <c r="J1063" i="1"/>
  <c r="K1063" i="1" s="1"/>
  <c r="O1063" i="1" s="1"/>
  <c r="J1064" i="1"/>
  <c r="K1064" i="1" s="1"/>
  <c r="O1064" i="1" s="1"/>
  <c r="J1065" i="1"/>
  <c r="K1065" i="1" s="1"/>
  <c r="O1065" i="1" s="1"/>
  <c r="L1068" i="1"/>
  <c r="O1072" i="1"/>
  <c r="F1073" i="1"/>
  <c r="G1073" i="1"/>
  <c r="H1073" i="1" s="1"/>
  <c r="I1073" i="1"/>
  <c r="J1073" i="1"/>
  <c r="M1073" i="1"/>
  <c r="L1074" i="1"/>
  <c r="N1074" i="1" s="1"/>
  <c r="O1074" i="1" s="1"/>
  <c r="L1075" i="1"/>
  <c r="N1075" i="1" s="1"/>
  <c r="O1075" i="1" s="1"/>
  <c r="L1076" i="1"/>
  <c r="N1076" i="1" s="1"/>
  <c r="O1076" i="1" s="1"/>
  <c r="L1077" i="1"/>
  <c r="L1078" i="1"/>
  <c r="N1078" i="1" s="1"/>
  <c r="O1078" i="1" s="1"/>
  <c r="L1079" i="1"/>
  <c r="N1079" i="1" s="1"/>
  <c r="O1079" i="1" s="1"/>
  <c r="L1080" i="1"/>
  <c r="N1080" i="1" s="1"/>
  <c r="O1080" i="1" s="1"/>
  <c r="L1081" i="1"/>
  <c r="N1081" i="1" s="1"/>
  <c r="O1081" i="1" s="1"/>
  <c r="L1082" i="1"/>
  <c r="N1082" i="1" s="1"/>
  <c r="O1082" i="1" s="1"/>
  <c r="L1083" i="1"/>
  <c r="N1083" i="1" s="1"/>
  <c r="O1083" i="1" s="1"/>
  <c r="L1084" i="1"/>
  <c r="N1084" i="1" s="1"/>
  <c r="O1084" i="1" s="1"/>
  <c r="L1085" i="1"/>
  <c r="N1085" i="1" s="1"/>
  <c r="O1085" i="1" s="1"/>
  <c r="L1086" i="1"/>
  <c r="N1086" i="1" s="1"/>
  <c r="O1086" i="1" s="1"/>
  <c r="L1089" i="1"/>
  <c r="N1089" i="1"/>
  <c r="O1089" i="1" s="1"/>
  <c r="F1091" i="1"/>
  <c r="G1091" i="1"/>
  <c r="I1091" i="1"/>
  <c r="L1091" i="1"/>
  <c r="M1091" i="1"/>
  <c r="N1092" i="1"/>
  <c r="F1094" i="1"/>
  <c r="G1094" i="1"/>
  <c r="I1094" i="1"/>
  <c r="L1094" i="1"/>
  <c r="M1094" i="1"/>
  <c r="N1095" i="1"/>
  <c r="J1096" i="1"/>
  <c r="K1096" i="1" s="1"/>
  <c r="N1096" i="1"/>
  <c r="F1099" i="1"/>
  <c r="G1099" i="1"/>
  <c r="I1099" i="1"/>
  <c r="L1099" i="1"/>
  <c r="N1099" i="1" s="1"/>
  <c r="M1099" i="1"/>
  <c r="O1100" i="1"/>
  <c r="J1101" i="1"/>
  <c r="O1104" i="1"/>
  <c r="O1109" i="1"/>
  <c r="J1110" i="1"/>
  <c r="F1112" i="1"/>
  <c r="G1112" i="1"/>
  <c r="H1112" i="1" s="1"/>
  <c r="I1112" i="1"/>
  <c r="M1112" i="1"/>
  <c r="O1115" i="1"/>
  <c r="J1116" i="1"/>
  <c r="K1116" i="1" s="1"/>
  <c r="O1116" i="1" s="1"/>
  <c r="J1117" i="1"/>
  <c r="K1117" i="1" s="1"/>
  <c r="O1117" i="1" s="1"/>
  <c r="J1118" i="1"/>
  <c r="K1118" i="1" s="1"/>
  <c r="O1118" i="1" s="1"/>
  <c r="J1119" i="1"/>
  <c r="K1119" i="1" s="1"/>
  <c r="O1119" i="1" s="1"/>
  <c r="O1121" i="1"/>
  <c r="J1122" i="1"/>
  <c r="K1122" i="1" s="1"/>
  <c r="O1122" i="1" s="1"/>
  <c r="J1123" i="1"/>
  <c r="K1123" i="1" s="1"/>
  <c r="O1123" i="1" s="1"/>
  <c r="O1124" i="1"/>
  <c r="J1125" i="1"/>
  <c r="K1125" i="1" s="1"/>
  <c r="O1125" i="1" s="1"/>
  <c r="J1126" i="1"/>
  <c r="K1126" i="1" s="1"/>
  <c r="O1126" i="1" s="1"/>
  <c r="O1127" i="1"/>
  <c r="O1128" i="1"/>
  <c r="J1129" i="1"/>
  <c r="K1129" i="1" s="1"/>
  <c r="O1129" i="1" s="1"/>
  <c r="O1130" i="1"/>
  <c r="O1131" i="1"/>
  <c r="J1132" i="1"/>
  <c r="K1132" i="1"/>
  <c r="O1132" i="1" s="1"/>
  <c r="O1133" i="1"/>
  <c r="O1134" i="1"/>
  <c r="J1135" i="1"/>
  <c r="K1135" i="1" s="1"/>
  <c r="O1135" i="1" s="1"/>
  <c r="O1136" i="1"/>
  <c r="K1137" i="1"/>
  <c r="O1137" i="1" s="1"/>
  <c r="J1138" i="1"/>
  <c r="K1138" i="1" s="1"/>
  <c r="O1138" i="1" s="1"/>
  <c r="J1139" i="1"/>
  <c r="K1139" i="1" s="1"/>
  <c r="O1139" i="1" s="1"/>
  <c r="J1140" i="1"/>
  <c r="K1140" i="1" s="1"/>
  <c r="O1140" i="1" s="1"/>
  <c r="J1141" i="1"/>
  <c r="K1141" i="1" s="1"/>
  <c r="O1141" i="1" s="1"/>
  <c r="O1143" i="1"/>
  <c r="L1144" i="1"/>
  <c r="O1147" i="1"/>
  <c r="F1148" i="1"/>
  <c r="G1148" i="1"/>
  <c r="I1148" i="1"/>
  <c r="J1148" i="1"/>
  <c r="K1148" i="1" s="1"/>
  <c r="M1148" i="1"/>
  <c r="N1149" i="1"/>
  <c r="O1149" i="1" s="1"/>
  <c r="L1152" i="1"/>
  <c r="N1152" i="1" s="1"/>
  <c r="O1152" i="1" s="1"/>
  <c r="L1153" i="1"/>
  <c r="N1153" i="1" s="1"/>
  <c r="O1153" i="1" s="1"/>
  <c r="L1156" i="1"/>
  <c r="N1156" i="1" s="1"/>
  <c r="O1156" i="1" s="1"/>
  <c r="O1157" i="1"/>
  <c r="F1158" i="1"/>
  <c r="G1158" i="1"/>
  <c r="I1158" i="1"/>
  <c r="M1158" i="1"/>
  <c r="N1158" i="1"/>
  <c r="O1159" i="1"/>
  <c r="J1160" i="1"/>
  <c r="O1168" i="1"/>
  <c r="J1169" i="1"/>
  <c r="F1171" i="1"/>
  <c r="G1171" i="1"/>
  <c r="I1171" i="1"/>
  <c r="M1171" i="1"/>
  <c r="O1173" i="1"/>
  <c r="J1174" i="1"/>
  <c r="K1174" i="1" s="1"/>
  <c r="O1174" i="1" s="1"/>
  <c r="J1175" i="1"/>
  <c r="K1175" i="1" s="1"/>
  <c r="O1175" i="1" s="1"/>
  <c r="J1176" i="1"/>
  <c r="K1176" i="1" s="1"/>
  <c r="O1176" i="1" s="1"/>
  <c r="J1177" i="1"/>
  <c r="K1177" i="1" s="1"/>
  <c r="O1177" i="1" s="1"/>
  <c r="J1178" i="1"/>
  <c r="O1179" i="1"/>
  <c r="J1180" i="1"/>
  <c r="K1180" i="1" s="1"/>
  <c r="O1180" i="1" s="1"/>
  <c r="J1181" i="1"/>
  <c r="K1181" i="1" s="1"/>
  <c r="O1181" i="1" s="1"/>
  <c r="O1182" i="1"/>
  <c r="J1183" i="1"/>
  <c r="K1183" i="1" s="1"/>
  <c r="O1183" i="1" s="1"/>
  <c r="J1184" i="1"/>
  <c r="K1184" i="1" s="1"/>
  <c r="O1184" i="1" s="1"/>
  <c r="O1185" i="1"/>
  <c r="O1186" i="1"/>
  <c r="J1187" i="1"/>
  <c r="K1187" i="1" s="1"/>
  <c r="O1187" i="1" s="1"/>
  <c r="O1188" i="1"/>
  <c r="O1189" i="1"/>
  <c r="J1190" i="1"/>
  <c r="K1190" i="1" s="1"/>
  <c r="O1190" i="1" s="1"/>
  <c r="O1191" i="1"/>
  <c r="O1192" i="1"/>
  <c r="J1193" i="1"/>
  <c r="K1193" i="1" s="1"/>
  <c r="O1193" i="1" s="1"/>
  <c r="O1194" i="1"/>
  <c r="K1195" i="1"/>
  <c r="O1195" i="1" s="1"/>
  <c r="J1196" i="1"/>
  <c r="K1196" i="1" s="1"/>
  <c r="O1196" i="1" s="1"/>
  <c r="J1197" i="1"/>
  <c r="K1197" i="1" s="1"/>
  <c r="O1197" i="1" s="1"/>
  <c r="J1198" i="1"/>
  <c r="K1198" i="1" s="1"/>
  <c r="O1198" i="1" s="1"/>
  <c r="J1199" i="1"/>
  <c r="K1199" i="1" s="1"/>
  <c r="O1199" i="1" s="1"/>
  <c r="O1201" i="1"/>
  <c r="L1171" i="1"/>
  <c r="O1206" i="1"/>
  <c r="F1207" i="1"/>
  <c r="G1207" i="1"/>
  <c r="I1207" i="1"/>
  <c r="I1205" i="1" s="1"/>
  <c r="J1207" i="1"/>
  <c r="M1207" i="1"/>
  <c r="L1208" i="1"/>
  <c r="N1208" i="1" s="1"/>
  <c r="O1208" i="1" s="1"/>
  <c r="L1209" i="1"/>
  <c r="N1209" i="1" s="1"/>
  <c r="O1209" i="1" s="1"/>
  <c r="L1210" i="1"/>
  <c r="L1211" i="1"/>
  <c r="L1212" i="1"/>
  <c r="N1212" i="1" s="1"/>
  <c r="O1212" i="1" s="1"/>
  <c r="L1213" i="1"/>
  <c r="N1213" i="1" s="1"/>
  <c r="O1213" i="1" s="1"/>
  <c r="L1214" i="1"/>
  <c r="N1214" i="1" s="1"/>
  <c r="O1214" i="1" s="1"/>
  <c r="L1216" i="1"/>
  <c r="N1216" i="1" s="1"/>
  <c r="O1216" i="1" s="1"/>
  <c r="F1218" i="1"/>
  <c r="G1218" i="1"/>
  <c r="I1218" i="1"/>
  <c r="L1218" i="1"/>
  <c r="M1218" i="1"/>
  <c r="M1205" i="1" s="1"/>
  <c r="J94" i="2" s="1"/>
  <c r="J1219" i="1"/>
  <c r="J1218" i="1" s="1"/>
  <c r="F1221" i="1"/>
  <c r="G1221" i="1"/>
  <c r="I1221" i="1"/>
  <c r="L1221" i="1"/>
  <c r="M1221" i="1"/>
  <c r="O1222" i="1"/>
  <c r="J1223" i="1"/>
  <c r="K1223" i="1" s="1"/>
  <c r="O1223" i="1" s="1"/>
  <c r="O1226" i="1"/>
  <c r="O1231" i="1"/>
  <c r="J1232" i="1"/>
  <c r="K1232" i="1" s="1"/>
  <c r="O1232" i="1" s="1"/>
  <c r="F1234" i="1"/>
  <c r="H1234" i="1" s="1"/>
  <c r="G1234" i="1"/>
  <c r="I1234" i="1"/>
  <c r="M1234" i="1"/>
  <c r="O1237" i="1"/>
  <c r="J1238" i="1"/>
  <c r="K1238" i="1" s="1"/>
  <c r="O1238" i="1" s="1"/>
  <c r="J1239" i="1"/>
  <c r="K1239" i="1" s="1"/>
  <c r="O1239" i="1" s="1"/>
  <c r="J1240" i="1"/>
  <c r="K1240" i="1" s="1"/>
  <c r="O1240" i="1" s="1"/>
  <c r="J1241" i="1"/>
  <c r="K1241" i="1" s="1"/>
  <c r="O1241" i="1" s="1"/>
  <c r="O1242" i="1"/>
  <c r="J1243" i="1"/>
  <c r="K1243" i="1" s="1"/>
  <c r="O1243" i="1" s="1"/>
  <c r="J1244" i="1"/>
  <c r="K1244" i="1" s="1"/>
  <c r="O1244" i="1" s="1"/>
  <c r="O1245" i="1"/>
  <c r="J1246" i="1"/>
  <c r="K1246" i="1" s="1"/>
  <c r="O1246" i="1" s="1"/>
  <c r="J1247" i="1"/>
  <c r="K1247" i="1" s="1"/>
  <c r="O1247" i="1" s="1"/>
  <c r="O1248" i="1"/>
  <c r="O1249" i="1"/>
  <c r="J1250" i="1"/>
  <c r="O1251" i="1"/>
  <c r="O1252" i="1"/>
  <c r="J1253" i="1"/>
  <c r="K1253" i="1" s="1"/>
  <c r="O1253" i="1" s="1"/>
  <c r="O1254" i="1"/>
  <c r="O1255" i="1"/>
  <c r="J1256" i="1"/>
  <c r="K1256" i="1" s="1"/>
  <c r="O1256" i="1" s="1"/>
  <c r="O1257" i="1"/>
  <c r="K1258" i="1"/>
  <c r="O1258" i="1" s="1"/>
  <c r="J1259" i="1"/>
  <c r="K1259" i="1" s="1"/>
  <c r="O1259" i="1" s="1"/>
  <c r="J1260" i="1"/>
  <c r="K1260" i="1" s="1"/>
  <c r="O1260" i="1" s="1"/>
  <c r="J1261" i="1"/>
  <c r="K1261" i="1" s="1"/>
  <c r="O1261" i="1" s="1"/>
  <c r="J1262" i="1"/>
  <c r="F1269" i="1"/>
  <c r="G1269" i="1"/>
  <c r="I1269" i="1"/>
  <c r="J1269" i="1"/>
  <c r="M1269" i="1"/>
  <c r="E1270" i="1"/>
  <c r="E1271" i="1"/>
  <c r="E1272" i="1"/>
  <c r="L1273" i="1"/>
  <c r="N1273" i="1" s="1"/>
  <c r="O1273" i="1" s="1"/>
  <c r="F1276" i="1"/>
  <c r="G1276" i="1"/>
  <c r="I1276" i="1"/>
  <c r="L1276" i="1"/>
  <c r="M1276" i="1"/>
  <c r="O1277" i="1"/>
  <c r="J1278" i="1"/>
  <c r="K1278" i="1" s="1"/>
  <c r="O1278" i="1" s="1"/>
  <c r="O1280" i="1"/>
  <c r="O1283" i="1"/>
  <c r="J1284" i="1"/>
  <c r="K1284" i="1" s="1"/>
  <c r="O1284" i="1" s="1"/>
  <c r="F1286" i="1"/>
  <c r="G1286" i="1"/>
  <c r="I1286" i="1"/>
  <c r="M1286" i="1"/>
  <c r="O1288" i="1"/>
  <c r="J1289" i="1"/>
  <c r="K1289" i="1" s="1"/>
  <c r="O1289" i="1" s="1"/>
  <c r="J1290" i="1"/>
  <c r="K1290" i="1" s="1"/>
  <c r="O1290" i="1" s="1"/>
  <c r="J1291" i="1"/>
  <c r="K1291" i="1" s="1"/>
  <c r="O1291" i="1" s="1"/>
  <c r="J1292" i="1"/>
  <c r="O1293" i="1"/>
  <c r="J1294" i="1"/>
  <c r="K1294" i="1" s="1"/>
  <c r="O1294" i="1" s="1"/>
  <c r="J1295" i="1"/>
  <c r="K1295" i="1" s="1"/>
  <c r="O1295" i="1" s="1"/>
  <c r="O1296" i="1"/>
  <c r="J1297" i="1"/>
  <c r="K1297" i="1"/>
  <c r="O1297" i="1" s="1"/>
  <c r="J1298" i="1"/>
  <c r="K1298" i="1" s="1"/>
  <c r="O1298" i="1" s="1"/>
  <c r="O1299" i="1"/>
  <c r="O1300" i="1"/>
  <c r="J1301" i="1"/>
  <c r="K1301" i="1" s="1"/>
  <c r="O1301" i="1" s="1"/>
  <c r="O1302" i="1"/>
  <c r="O1303" i="1"/>
  <c r="J1304" i="1"/>
  <c r="K1304" i="1" s="1"/>
  <c r="O1304" i="1" s="1"/>
  <c r="O1305" i="1"/>
  <c r="O1306" i="1"/>
  <c r="J1307" i="1"/>
  <c r="K1307" i="1" s="1"/>
  <c r="O1307" i="1" s="1"/>
  <c r="O1308" i="1"/>
  <c r="K1309" i="1"/>
  <c r="O1309" i="1" s="1"/>
  <c r="J1310" i="1"/>
  <c r="J1311" i="1"/>
  <c r="K1311" i="1" s="1"/>
  <c r="O1311" i="1" s="1"/>
  <c r="J1312" i="1"/>
  <c r="K1312" i="1" s="1"/>
  <c r="O1312" i="1" s="1"/>
  <c r="J1313" i="1"/>
  <c r="K1313" i="1" s="1"/>
  <c r="O1313" i="1" s="1"/>
  <c r="O1315" i="1"/>
  <c r="L1316" i="1"/>
  <c r="L1286" i="1" s="1"/>
  <c r="N1286" i="1" s="1"/>
  <c r="O1319" i="1"/>
  <c r="F1320" i="1"/>
  <c r="G1320" i="1"/>
  <c r="I1320" i="1"/>
  <c r="J1320" i="1"/>
  <c r="M1320" i="1"/>
  <c r="L1322" i="1"/>
  <c r="N1322" i="1" s="1"/>
  <c r="O1322" i="1" s="1"/>
  <c r="L1323" i="1"/>
  <c r="N1323" i="1" s="1"/>
  <c r="O1323" i="1" s="1"/>
  <c r="F1325" i="1"/>
  <c r="G1325" i="1"/>
  <c r="I1325" i="1"/>
  <c r="L1325" i="1"/>
  <c r="M1325" i="1"/>
  <c r="J1326" i="1"/>
  <c r="J1325" i="1" s="1"/>
  <c r="F1329" i="1"/>
  <c r="G1329" i="1"/>
  <c r="I1329" i="1"/>
  <c r="L1329" i="1"/>
  <c r="M1329" i="1"/>
  <c r="O1330" i="1"/>
  <c r="J1331" i="1"/>
  <c r="O1335" i="1"/>
  <c r="J1336" i="1"/>
  <c r="K1336" i="1" s="1"/>
  <c r="O1336" i="1" s="1"/>
  <c r="F1338" i="1"/>
  <c r="G1338" i="1"/>
  <c r="I1338" i="1"/>
  <c r="L1338" i="1"/>
  <c r="M1338" i="1"/>
  <c r="O1341" i="1"/>
  <c r="J1342" i="1"/>
  <c r="K1342" i="1" s="1"/>
  <c r="O1342" i="1" s="1"/>
  <c r="J1343" i="1"/>
  <c r="K1343" i="1" s="1"/>
  <c r="O1343" i="1" s="1"/>
  <c r="J1344" i="1"/>
  <c r="K1344" i="1" s="1"/>
  <c r="O1344" i="1" s="1"/>
  <c r="J1345" i="1"/>
  <c r="K1345" i="1" s="1"/>
  <c r="O1345" i="1" s="1"/>
  <c r="O1346" i="1"/>
  <c r="J1347" i="1"/>
  <c r="K1347" i="1"/>
  <c r="O1347" i="1" s="1"/>
  <c r="J1348" i="1"/>
  <c r="O1349" i="1"/>
  <c r="J1350" i="1"/>
  <c r="K1350" i="1" s="1"/>
  <c r="O1350" i="1" s="1"/>
  <c r="J1351" i="1"/>
  <c r="K1351" i="1" s="1"/>
  <c r="O1351" i="1" s="1"/>
  <c r="O1352" i="1"/>
  <c r="O1353" i="1"/>
  <c r="J1354" i="1"/>
  <c r="K1354" i="1" s="1"/>
  <c r="O1354" i="1" s="1"/>
  <c r="O1355" i="1"/>
  <c r="O1356" i="1"/>
  <c r="J1357" i="1"/>
  <c r="K1357" i="1" s="1"/>
  <c r="O1357" i="1" s="1"/>
  <c r="O1358" i="1"/>
  <c r="O1359" i="1"/>
  <c r="J1360" i="1"/>
  <c r="K1360" i="1" s="1"/>
  <c r="O1360" i="1" s="1"/>
  <c r="O1361" i="1"/>
  <c r="K1362" i="1"/>
  <c r="O1362" i="1" s="1"/>
  <c r="J1363" i="1"/>
  <c r="K1363" i="1" s="1"/>
  <c r="O1363" i="1" s="1"/>
  <c r="J1364" i="1"/>
  <c r="K1364" i="1" s="1"/>
  <c r="O1364" i="1" s="1"/>
  <c r="J1365" i="1"/>
  <c r="K1365" i="1" s="1"/>
  <c r="O1365" i="1" s="1"/>
  <c r="J1366" i="1"/>
  <c r="K1366" i="1" s="1"/>
  <c r="O1366" i="1" s="1"/>
  <c r="O1370" i="1"/>
  <c r="F1371" i="1"/>
  <c r="G1371" i="1"/>
  <c r="I1371" i="1"/>
  <c r="J1371" i="1"/>
  <c r="M1371" i="1"/>
  <c r="L1372" i="1"/>
  <c r="N1372" i="1" s="1"/>
  <c r="O1372" i="1" s="1"/>
  <c r="L1373" i="1"/>
  <c r="N1373" i="1" s="1"/>
  <c r="O1373" i="1" s="1"/>
  <c r="L1374" i="1"/>
  <c r="N1374" i="1" s="1"/>
  <c r="O1374" i="1" s="1"/>
  <c r="L1375" i="1"/>
  <c r="N1375" i="1" s="1"/>
  <c r="O1375" i="1" s="1"/>
  <c r="L1376" i="1"/>
  <c r="N1376" i="1" s="1"/>
  <c r="O1376" i="1" s="1"/>
  <c r="L1377" i="1"/>
  <c r="N1377" i="1" s="1"/>
  <c r="O1377" i="1" s="1"/>
  <c r="L1379" i="1"/>
  <c r="J1389" i="1"/>
  <c r="K1389" i="1" s="1"/>
  <c r="O1389" i="1" s="1"/>
  <c r="F1397" i="1"/>
  <c r="G1397" i="1"/>
  <c r="I1397" i="1"/>
  <c r="L1397" i="1"/>
  <c r="M1397" i="1"/>
  <c r="O1398" i="1"/>
  <c r="J1399" i="1"/>
  <c r="K1399" i="1" s="1"/>
  <c r="O1399" i="1" s="1"/>
  <c r="O1407" i="1"/>
  <c r="J1408" i="1"/>
  <c r="O1410" i="1"/>
  <c r="F1411" i="1"/>
  <c r="G1411" i="1"/>
  <c r="I1411" i="1"/>
  <c r="M1411" i="1"/>
  <c r="O1413" i="1"/>
  <c r="J1414" i="1"/>
  <c r="K1414" i="1" s="1"/>
  <c r="O1414" i="1" s="1"/>
  <c r="J1415" i="1"/>
  <c r="K1415" i="1" s="1"/>
  <c r="O1415" i="1" s="1"/>
  <c r="J1416" i="1"/>
  <c r="K1416" i="1" s="1"/>
  <c r="O1416" i="1" s="1"/>
  <c r="J1417" i="1"/>
  <c r="K1417" i="1" s="1"/>
  <c r="O1417" i="1" s="1"/>
  <c r="O1418" i="1"/>
  <c r="J1419" i="1"/>
  <c r="J1420" i="1"/>
  <c r="K1420" i="1" s="1"/>
  <c r="O1420" i="1" s="1"/>
  <c r="O1421" i="1"/>
  <c r="J1422" i="1"/>
  <c r="K1422" i="1" s="1"/>
  <c r="O1422" i="1" s="1"/>
  <c r="J1423" i="1"/>
  <c r="K1423" i="1" s="1"/>
  <c r="O1423" i="1" s="1"/>
  <c r="O1424" i="1"/>
  <c r="O1425" i="1"/>
  <c r="J1426" i="1"/>
  <c r="K1426" i="1" s="1"/>
  <c r="O1426" i="1" s="1"/>
  <c r="O1427" i="1"/>
  <c r="O1428" i="1"/>
  <c r="J1429" i="1"/>
  <c r="K1429" i="1" s="1"/>
  <c r="O1429" i="1" s="1"/>
  <c r="O1430" i="1"/>
  <c r="O1431" i="1"/>
  <c r="J1432" i="1"/>
  <c r="K1432" i="1" s="1"/>
  <c r="O1432" i="1" s="1"/>
  <c r="O1433" i="1"/>
  <c r="K1434" i="1"/>
  <c r="O1434" i="1" s="1"/>
  <c r="J1435" i="1"/>
  <c r="K1435" i="1" s="1"/>
  <c r="O1435" i="1" s="1"/>
  <c r="J1436" i="1"/>
  <c r="K1436" i="1" s="1"/>
  <c r="O1436" i="1" s="1"/>
  <c r="J1437" i="1"/>
  <c r="K1437" i="1" s="1"/>
  <c r="O1437" i="1" s="1"/>
  <c r="J1438" i="1"/>
  <c r="K1438" i="1" s="1"/>
  <c r="O1438" i="1" s="1"/>
  <c r="O1440" i="1"/>
  <c r="L1441" i="1"/>
  <c r="O1444" i="1"/>
  <c r="F1445" i="1"/>
  <c r="G1445" i="1"/>
  <c r="I1445" i="1"/>
  <c r="J1445" i="1"/>
  <c r="M1445" i="1"/>
  <c r="L1449" i="1"/>
  <c r="N1449" i="1" s="1"/>
  <c r="O1449" i="1" s="1"/>
  <c r="L1450" i="1"/>
  <c r="N1450" i="1" s="1"/>
  <c r="O1450" i="1" s="1"/>
  <c r="L1453" i="1"/>
  <c r="N1453" i="1" s="1"/>
  <c r="O1453" i="1" s="1"/>
  <c r="F1456" i="1"/>
  <c r="G1456" i="1"/>
  <c r="I1456" i="1"/>
  <c r="L1456" i="1"/>
  <c r="M1456" i="1"/>
  <c r="J1457" i="1"/>
  <c r="J1456" i="1" s="1"/>
  <c r="K1456" i="1" s="1"/>
  <c r="N1457" i="1"/>
  <c r="F1459" i="1"/>
  <c r="G1459" i="1"/>
  <c r="I1459" i="1"/>
  <c r="L1459" i="1"/>
  <c r="M1459" i="1"/>
  <c r="J1460" i="1"/>
  <c r="K1460" i="1" s="1"/>
  <c r="O1460" i="1" s="1"/>
  <c r="J1461" i="1"/>
  <c r="K1461" i="1" s="1"/>
  <c r="N1461" i="1"/>
  <c r="F1462" i="1"/>
  <c r="H1462" i="1" s="1"/>
  <c r="G1462" i="1"/>
  <c r="I1462" i="1"/>
  <c r="L1462" i="1"/>
  <c r="M1462" i="1"/>
  <c r="O1463" i="1"/>
  <c r="E262" i="7"/>
  <c r="O1471" i="1"/>
  <c r="J1472" i="1"/>
  <c r="K1472" i="1" s="1"/>
  <c r="O1472" i="1" s="1"/>
  <c r="F1474" i="1"/>
  <c r="G1474" i="1"/>
  <c r="I1474" i="1"/>
  <c r="L1474" i="1"/>
  <c r="N1474" i="1" s="1"/>
  <c r="M1474" i="1"/>
  <c r="O1476" i="1"/>
  <c r="J1477" i="1"/>
  <c r="K1477" i="1" s="1"/>
  <c r="O1477" i="1" s="1"/>
  <c r="J1478" i="1"/>
  <c r="K1478" i="1" s="1"/>
  <c r="O1478" i="1" s="1"/>
  <c r="J1479" i="1"/>
  <c r="K1479" i="1" s="1"/>
  <c r="O1479" i="1" s="1"/>
  <c r="J1480" i="1"/>
  <c r="K1480" i="1" s="1"/>
  <c r="O1480" i="1" s="1"/>
  <c r="J1481" i="1"/>
  <c r="K1481" i="1" s="1"/>
  <c r="O1481" i="1" s="1"/>
  <c r="O1482" i="1"/>
  <c r="J1483" i="1"/>
  <c r="K1483" i="1" s="1"/>
  <c r="O1483" i="1" s="1"/>
  <c r="J1484" i="1"/>
  <c r="K1484" i="1" s="1"/>
  <c r="O1484" i="1" s="1"/>
  <c r="O1485" i="1"/>
  <c r="J1486" i="1"/>
  <c r="K1486" i="1" s="1"/>
  <c r="O1486" i="1" s="1"/>
  <c r="J1487" i="1"/>
  <c r="K1487" i="1" s="1"/>
  <c r="O1487" i="1" s="1"/>
  <c r="O1488" i="1"/>
  <c r="O1489" i="1"/>
  <c r="J1490" i="1"/>
  <c r="K1490" i="1" s="1"/>
  <c r="O1490" i="1" s="1"/>
  <c r="O1491" i="1"/>
  <c r="O1492" i="1"/>
  <c r="J1493" i="1"/>
  <c r="K1493" i="1" s="1"/>
  <c r="O1493" i="1" s="1"/>
  <c r="O1494" i="1"/>
  <c r="O1495" i="1"/>
  <c r="J1496" i="1"/>
  <c r="K1496" i="1" s="1"/>
  <c r="O1496" i="1" s="1"/>
  <c r="J1497" i="1"/>
  <c r="K1497" i="1" s="1"/>
  <c r="O1497" i="1" s="1"/>
  <c r="K1499" i="1"/>
  <c r="O1499" i="1" s="1"/>
  <c r="J1500" i="1"/>
  <c r="K1500" i="1" s="1"/>
  <c r="O1500" i="1" s="1"/>
  <c r="J1501" i="1"/>
  <c r="K1501" i="1" s="1"/>
  <c r="O1501" i="1" s="1"/>
  <c r="J1502" i="1"/>
  <c r="K1502" i="1" s="1"/>
  <c r="O1502" i="1" s="1"/>
  <c r="J1503" i="1"/>
  <c r="K1503" i="1"/>
  <c r="O1503" i="1" s="1"/>
  <c r="F1507" i="1"/>
  <c r="G1507" i="1"/>
  <c r="H1507" i="1" s="1"/>
  <c r="I1507" i="1"/>
  <c r="J1507" i="1"/>
  <c r="M1507" i="1"/>
  <c r="E280" i="5"/>
  <c r="L1511" i="1"/>
  <c r="N1511" i="1" s="1"/>
  <c r="O1511" i="1" s="1"/>
  <c r="L1512" i="1"/>
  <c r="N1512" i="1" s="1"/>
  <c r="O1512" i="1" s="1"/>
  <c r="L1514" i="1"/>
  <c r="N1514" i="1" s="1"/>
  <c r="O1514" i="1" s="1"/>
  <c r="F1517" i="1"/>
  <c r="G1517" i="1"/>
  <c r="I1517" i="1"/>
  <c r="L1517" i="1"/>
  <c r="M1517" i="1"/>
  <c r="J1518" i="1"/>
  <c r="K1518" i="1" s="1"/>
  <c r="N1518" i="1"/>
  <c r="F1520" i="1"/>
  <c r="G1520" i="1"/>
  <c r="I1520" i="1"/>
  <c r="L1520" i="1"/>
  <c r="M1520" i="1"/>
  <c r="O1521" i="1"/>
  <c r="J1522" i="1"/>
  <c r="O1531" i="1"/>
  <c r="J1532" i="1"/>
  <c r="K1532" i="1" s="1"/>
  <c r="O1532" i="1" s="1"/>
  <c r="O1534" i="1"/>
  <c r="F1535" i="1"/>
  <c r="G1535" i="1"/>
  <c r="I1535" i="1"/>
  <c r="M1535" i="1"/>
  <c r="O1536" i="1"/>
  <c r="J1537" i="1"/>
  <c r="J1538" i="1"/>
  <c r="K1538" i="1" s="1"/>
  <c r="O1538" i="1" s="1"/>
  <c r="J1539" i="1"/>
  <c r="K1539" i="1" s="1"/>
  <c r="O1539" i="1" s="1"/>
  <c r="J1540" i="1"/>
  <c r="K1540" i="1" s="1"/>
  <c r="O1540" i="1" s="1"/>
  <c r="J1541" i="1"/>
  <c r="K1541" i="1" s="1"/>
  <c r="O1541" i="1" s="1"/>
  <c r="O1542" i="1"/>
  <c r="J1543" i="1"/>
  <c r="J1544" i="1"/>
  <c r="K1544" i="1" s="1"/>
  <c r="O1544" i="1" s="1"/>
  <c r="O1545" i="1"/>
  <c r="J1546" i="1"/>
  <c r="K1546" i="1" s="1"/>
  <c r="O1546" i="1" s="1"/>
  <c r="J1547" i="1"/>
  <c r="K1547" i="1" s="1"/>
  <c r="O1547" i="1" s="1"/>
  <c r="O1548" i="1"/>
  <c r="O1549" i="1"/>
  <c r="J1550" i="1"/>
  <c r="K1550" i="1" s="1"/>
  <c r="O1550" i="1" s="1"/>
  <c r="O1551" i="1"/>
  <c r="O1552" i="1"/>
  <c r="J1553" i="1"/>
  <c r="K1553" i="1" s="1"/>
  <c r="O1553" i="1" s="1"/>
  <c r="O1554" i="1"/>
  <c r="O1555" i="1"/>
  <c r="J1556" i="1"/>
  <c r="K1556" i="1" s="1"/>
  <c r="O1556" i="1" s="1"/>
  <c r="O1557" i="1"/>
  <c r="K1558" i="1"/>
  <c r="O1558" i="1" s="1"/>
  <c r="J1559" i="1"/>
  <c r="K1559" i="1" s="1"/>
  <c r="O1559" i="1" s="1"/>
  <c r="J1560" i="1"/>
  <c r="K1560" i="1" s="1"/>
  <c r="O1560" i="1" s="1"/>
  <c r="J1561" i="1"/>
  <c r="K1561" i="1" s="1"/>
  <c r="O1561" i="1" s="1"/>
  <c r="J1562" i="1"/>
  <c r="K1562" i="1" s="1"/>
  <c r="O1562" i="1" s="1"/>
  <c r="L1564" i="1"/>
  <c r="N1564" i="1" s="1"/>
  <c r="O1564" i="1" s="1"/>
  <c r="L1565" i="1"/>
  <c r="N1565" i="1" s="1"/>
  <c r="O1565" i="1" s="1"/>
  <c r="O1568" i="1"/>
  <c r="F1569" i="1"/>
  <c r="F1567" i="1" s="1"/>
  <c r="G1569" i="1"/>
  <c r="I1569" i="1"/>
  <c r="J1569" i="1"/>
  <c r="M1569" i="1"/>
  <c r="L1570" i="1"/>
  <c r="N1570" i="1" s="1"/>
  <c r="O1570" i="1" s="1"/>
  <c r="E1571" i="1"/>
  <c r="E288" i="5" s="1"/>
  <c r="L1572" i="1"/>
  <c r="N1572" i="1" s="1"/>
  <c r="O1572" i="1" s="1"/>
  <c r="L1573" i="1"/>
  <c r="N1573" i="1" s="1"/>
  <c r="O1573" i="1" s="1"/>
  <c r="L1574" i="1"/>
  <c r="N1574" i="1" s="1"/>
  <c r="O1574" i="1" s="1"/>
  <c r="L1575" i="1"/>
  <c r="N1575" i="1" s="1"/>
  <c r="O1575" i="1" s="1"/>
  <c r="E1576" i="1"/>
  <c r="E1577" i="1"/>
  <c r="E294" i="5" s="1"/>
  <c r="F294" i="5" s="1"/>
  <c r="F1582" i="1"/>
  <c r="G1582" i="1"/>
  <c r="I1582" i="1"/>
  <c r="L1582" i="1"/>
  <c r="M1582" i="1"/>
  <c r="J1583" i="1"/>
  <c r="K1583" i="1" s="1"/>
  <c r="O1583" i="1" s="1"/>
  <c r="J1584" i="1"/>
  <c r="K1584" i="1" s="1"/>
  <c r="O1584" i="1" s="1"/>
  <c r="J1585" i="1"/>
  <c r="K1585" i="1" s="1"/>
  <c r="O1585" i="1" s="1"/>
  <c r="F1587" i="1"/>
  <c r="G1587" i="1"/>
  <c r="I1587" i="1"/>
  <c r="L1587" i="1"/>
  <c r="M1587" i="1"/>
  <c r="O1588" i="1"/>
  <c r="J1589" i="1"/>
  <c r="J1587" i="1" s="1"/>
  <c r="K1587" i="1" s="1"/>
  <c r="J1600" i="1"/>
  <c r="K1600" i="1" s="1"/>
  <c r="O1600" i="1" s="1"/>
  <c r="F1602" i="1"/>
  <c r="G1602" i="1"/>
  <c r="I1602" i="1"/>
  <c r="L1602" i="1"/>
  <c r="M1602" i="1"/>
  <c r="J1603" i="1"/>
  <c r="K1603" i="1" s="1"/>
  <c r="O1603" i="1" s="1"/>
  <c r="J1604" i="1"/>
  <c r="K1604" i="1" s="1"/>
  <c r="O1604" i="1" s="1"/>
  <c r="J1605" i="1"/>
  <c r="J1606" i="1"/>
  <c r="K1606" i="1" s="1"/>
  <c r="O1606" i="1" s="1"/>
  <c r="J1607" i="1"/>
  <c r="K1607" i="1" s="1"/>
  <c r="O1607" i="1" s="1"/>
  <c r="J1608" i="1"/>
  <c r="K1608" i="1" s="1"/>
  <c r="O1608" i="1" s="1"/>
  <c r="J1609" i="1"/>
  <c r="K1609" i="1" s="1"/>
  <c r="O1609" i="1" s="1"/>
  <c r="J1610" i="1"/>
  <c r="K1610" i="1" s="1"/>
  <c r="O1610" i="1" s="1"/>
  <c r="J1611" i="1"/>
  <c r="K1611" i="1" s="1"/>
  <c r="O1611" i="1" s="1"/>
  <c r="J1612" i="1"/>
  <c r="K1612" i="1" s="1"/>
  <c r="O1612" i="1" s="1"/>
  <c r="J1613" i="1"/>
  <c r="K1613" i="1" s="1"/>
  <c r="O1613" i="1" s="1"/>
  <c r="J1614" i="1"/>
  <c r="K1614" i="1" s="1"/>
  <c r="O1614" i="1" s="1"/>
  <c r="J1615" i="1"/>
  <c r="K1615" i="1" s="1"/>
  <c r="O1615" i="1" s="1"/>
  <c r="J1616" i="1"/>
  <c r="K1616" i="1" s="1"/>
  <c r="O1616" i="1" s="1"/>
  <c r="E1617" i="1"/>
  <c r="J1617" i="1" s="1"/>
  <c r="K1617" i="1" s="1"/>
  <c r="O1617" i="1" s="1"/>
  <c r="E1618" i="1"/>
  <c r="J1618" i="1" s="1"/>
  <c r="K1618" i="1" s="1"/>
  <c r="O1618" i="1" s="1"/>
  <c r="J1619" i="1"/>
  <c r="K1619" i="1" s="1"/>
  <c r="O1619" i="1" s="1"/>
  <c r="E1620" i="1"/>
  <c r="J1620" i="1" s="1"/>
  <c r="K1620" i="1" s="1"/>
  <c r="O1620" i="1" s="1"/>
  <c r="J1621" i="1"/>
  <c r="K1621" i="1" s="1"/>
  <c r="O1621" i="1" s="1"/>
  <c r="J1622" i="1"/>
  <c r="K1622" i="1" s="1"/>
  <c r="O1622" i="1" s="1"/>
  <c r="J1623" i="1"/>
  <c r="K1623" i="1" s="1"/>
  <c r="O1623" i="1" s="1"/>
  <c r="J1624" i="1"/>
  <c r="K1624" i="1" s="1"/>
  <c r="O1624" i="1" s="1"/>
  <c r="J1625" i="1"/>
  <c r="K1625" i="1" s="1"/>
  <c r="O1625" i="1" s="1"/>
  <c r="J1626" i="1"/>
  <c r="J1627" i="1"/>
  <c r="K1627" i="1" s="1"/>
  <c r="O1627" i="1" s="1"/>
  <c r="O1630" i="1"/>
  <c r="F1631" i="1"/>
  <c r="G1631" i="1"/>
  <c r="I1631" i="1"/>
  <c r="J1631" i="1"/>
  <c r="M1631" i="1"/>
  <c r="B1632" i="1"/>
  <c r="B299" i="5" s="1"/>
  <c r="L1632" i="1"/>
  <c r="N1632" i="1" s="1"/>
  <c r="O1632" i="1" s="1"/>
  <c r="B1633" i="1"/>
  <c r="B300" i="5" s="1"/>
  <c r="L1633" i="1"/>
  <c r="N1633" i="1" s="1"/>
  <c r="O1633" i="1" s="1"/>
  <c r="B1634" i="1"/>
  <c r="B301" i="5" s="1"/>
  <c r="L1634" i="1"/>
  <c r="N1634" i="1" s="1"/>
  <c r="O1634" i="1" s="1"/>
  <c r="B1635" i="1"/>
  <c r="B302" i="5" s="1"/>
  <c r="L1635" i="1"/>
  <c r="N1635" i="1" s="1"/>
  <c r="O1635" i="1" s="1"/>
  <c r="B1636" i="1"/>
  <c r="B303" i="5" s="1"/>
  <c r="L1636" i="1"/>
  <c r="N1636" i="1" s="1"/>
  <c r="O1636" i="1" s="1"/>
  <c r="B304" i="5"/>
  <c r="B305" i="5"/>
  <c r="F1640" i="1"/>
  <c r="G1640" i="1"/>
  <c r="I1640" i="1"/>
  <c r="L1640" i="1"/>
  <c r="M1640" i="1"/>
  <c r="O1641" i="1"/>
  <c r="J1642" i="1"/>
  <c r="K1642" i="1" s="1"/>
  <c r="O1642" i="1" s="1"/>
  <c r="J1654" i="1"/>
  <c r="K1654" i="1" s="1"/>
  <c r="O1654" i="1" s="1"/>
  <c r="F1656" i="1"/>
  <c r="G1656" i="1"/>
  <c r="I1656" i="1"/>
  <c r="M1656" i="1"/>
  <c r="O1657" i="1"/>
  <c r="J1658" i="1"/>
  <c r="K1658" i="1" s="1"/>
  <c r="O1658" i="1" s="1"/>
  <c r="J1659" i="1"/>
  <c r="K1659" i="1" s="1"/>
  <c r="O1659" i="1" s="1"/>
  <c r="J1660" i="1"/>
  <c r="J1661" i="1"/>
  <c r="K1661" i="1" s="1"/>
  <c r="O1661" i="1" s="1"/>
  <c r="O1662" i="1"/>
  <c r="J1663" i="1"/>
  <c r="K1663" i="1" s="1"/>
  <c r="O1663" i="1" s="1"/>
  <c r="J1664" i="1"/>
  <c r="K1664" i="1" s="1"/>
  <c r="O1664" i="1" s="1"/>
  <c r="O1665" i="1"/>
  <c r="J1666" i="1"/>
  <c r="K1666" i="1" s="1"/>
  <c r="O1666" i="1" s="1"/>
  <c r="J1667" i="1"/>
  <c r="K1667" i="1" s="1"/>
  <c r="O1667" i="1" s="1"/>
  <c r="O1668" i="1"/>
  <c r="O1669" i="1"/>
  <c r="J1670" i="1"/>
  <c r="K1670" i="1" s="1"/>
  <c r="O1670" i="1" s="1"/>
  <c r="O1671" i="1"/>
  <c r="O1672" i="1"/>
  <c r="J1673" i="1"/>
  <c r="K1673" i="1" s="1"/>
  <c r="O1673" i="1" s="1"/>
  <c r="O1674" i="1"/>
  <c r="O1675" i="1"/>
  <c r="J1676" i="1"/>
  <c r="K1676" i="1" s="1"/>
  <c r="O1676" i="1" s="1"/>
  <c r="O1677" i="1"/>
  <c r="K1678" i="1"/>
  <c r="O1678" i="1" s="1"/>
  <c r="J1679" i="1"/>
  <c r="K1679" i="1" s="1"/>
  <c r="O1679" i="1" s="1"/>
  <c r="J1680" i="1"/>
  <c r="K1680" i="1" s="1"/>
  <c r="O1680" i="1" s="1"/>
  <c r="J1681" i="1"/>
  <c r="K1681" i="1" s="1"/>
  <c r="O1681" i="1" s="1"/>
  <c r="J1682" i="1"/>
  <c r="K1682" i="1" s="1"/>
  <c r="O1682" i="1" s="1"/>
  <c r="J1683" i="1"/>
  <c r="K1683" i="1" s="1"/>
  <c r="O1683" i="1" s="1"/>
  <c r="J1684" i="1"/>
  <c r="L1685" i="1"/>
  <c r="L1656" i="1" s="1"/>
  <c r="O1688" i="1"/>
  <c r="F1689" i="1"/>
  <c r="G1689" i="1"/>
  <c r="I1689" i="1"/>
  <c r="J1689" i="1"/>
  <c r="M1689" i="1"/>
  <c r="M1687" i="1" s="1"/>
  <c r="J126" i="2" s="1"/>
  <c r="L1690" i="1"/>
  <c r="N1690" i="1" s="1"/>
  <c r="O1690" i="1" s="1"/>
  <c r="L1695" i="1"/>
  <c r="N1695" i="1" s="1"/>
  <c r="O1695" i="1" s="1"/>
  <c r="F1700" i="1"/>
  <c r="G1700" i="1"/>
  <c r="I1700" i="1"/>
  <c r="L1700" i="1"/>
  <c r="M1700" i="1"/>
  <c r="O1701" i="1"/>
  <c r="J1702" i="1"/>
  <c r="K1702" i="1" s="1"/>
  <c r="O1702" i="1" s="1"/>
  <c r="O1711" i="1"/>
  <c r="J1712" i="1"/>
  <c r="O1714" i="1"/>
  <c r="J1715" i="1"/>
  <c r="K1715" i="1" s="1"/>
  <c r="O1715" i="1" s="1"/>
  <c r="F1718" i="1"/>
  <c r="G1718" i="1"/>
  <c r="I1718" i="1"/>
  <c r="M1718" i="1"/>
  <c r="O1721" i="1"/>
  <c r="J1722" i="1"/>
  <c r="K1722" i="1" s="1"/>
  <c r="O1722" i="1" s="1"/>
  <c r="J1723" i="1"/>
  <c r="K1723" i="1" s="1"/>
  <c r="O1723" i="1" s="1"/>
  <c r="J1724" i="1"/>
  <c r="K1724" i="1" s="1"/>
  <c r="O1724" i="1" s="1"/>
  <c r="J1725" i="1"/>
  <c r="K1725" i="1" s="1"/>
  <c r="O1725" i="1" s="1"/>
  <c r="O1726" i="1"/>
  <c r="J1727" i="1"/>
  <c r="K1727" i="1" s="1"/>
  <c r="O1727" i="1" s="1"/>
  <c r="J1728" i="1"/>
  <c r="K1728" i="1" s="1"/>
  <c r="O1728" i="1" s="1"/>
  <c r="O1729" i="1"/>
  <c r="J1730" i="1"/>
  <c r="K1730" i="1" s="1"/>
  <c r="O1730" i="1" s="1"/>
  <c r="J1731" i="1"/>
  <c r="K1731" i="1" s="1"/>
  <c r="O1731" i="1" s="1"/>
  <c r="J1732" i="1"/>
  <c r="K1732" i="1" s="1"/>
  <c r="O1732" i="1" s="1"/>
  <c r="O1733" i="1"/>
  <c r="O1734" i="1"/>
  <c r="J1735" i="1"/>
  <c r="K1735" i="1" s="1"/>
  <c r="O1735" i="1" s="1"/>
  <c r="O1736" i="1"/>
  <c r="O1737" i="1"/>
  <c r="J1738" i="1"/>
  <c r="K1738" i="1" s="1"/>
  <c r="O1738" i="1" s="1"/>
  <c r="O1739" i="1"/>
  <c r="O1740" i="1"/>
  <c r="J1741" i="1"/>
  <c r="K1741" i="1" s="1"/>
  <c r="O1741" i="1" s="1"/>
  <c r="O1742" i="1"/>
  <c r="K1743" i="1"/>
  <c r="O1743" i="1" s="1"/>
  <c r="J1744" i="1"/>
  <c r="K1744" i="1" s="1"/>
  <c r="O1744" i="1" s="1"/>
  <c r="J1745" i="1"/>
  <c r="K1745" i="1" s="1"/>
  <c r="O1745" i="1" s="1"/>
  <c r="J1746" i="1"/>
  <c r="K1746" i="1" s="1"/>
  <c r="O1746" i="1" s="1"/>
  <c r="J1747" i="1"/>
  <c r="K1747" i="1" s="1"/>
  <c r="O1747" i="1" s="1"/>
  <c r="J1748" i="1"/>
  <c r="K1748" i="1" s="1"/>
  <c r="O1748" i="1" s="1"/>
  <c r="J1749" i="1"/>
  <c r="K1749" i="1" s="1"/>
  <c r="O1749" i="1" s="1"/>
  <c r="L1750" i="1"/>
  <c r="N1750" i="1" s="1"/>
  <c r="O1750" i="1" s="1"/>
  <c r="L1751" i="1"/>
  <c r="N1751" i="1" s="1"/>
  <c r="O1751" i="1" s="1"/>
  <c r="O1754" i="1"/>
  <c r="F1755" i="1"/>
  <c r="G1755" i="1"/>
  <c r="I1755" i="1"/>
  <c r="J1755" i="1"/>
  <c r="M1755" i="1"/>
  <c r="L1756" i="1"/>
  <c r="N1756" i="1" s="1"/>
  <c r="O1756" i="1" s="1"/>
  <c r="L1757" i="1"/>
  <c r="N1757" i="1" s="1"/>
  <c r="O1757" i="1" s="1"/>
  <c r="F1759" i="1"/>
  <c r="G1759" i="1"/>
  <c r="I1759" i="1"/>
  <c r="L1759" i="1"/>
  <c r="M1759" i="1"/>
  <c r="O1760" i="1"/>
  <c r="J1761" i="1"/>
  <c r="K1761" i="1" s="1"/>
  <c r="O1761" i="1" s="1"/>
  <c r="O1768" i="1"/>
  <c r="J1769" i="1"/>
  <c r="K1769" i="1" s="1"/>
  <c r="O1769" i="1" s="1"/>
  <c r="O1771" i="1"/>
  <c r="F1772" i="1"/>
  <c r="G1772" i="1"/>
  <c r="I1772" i="1"/>
  <c r="L1772" i="1"/>
  <c r="M1772" i="1"/>
  <c r="O1773" i="1"/>
  <c r="J1774" i="1"/>
  <c r="K1774" i="1" s="1"/>
  <c r="O1774" i="1" s="1"/>
  <c r="J1775" i="1"/>
  <c r="K1775" i="1" s="1"/>
  <c r="O1775" i="1" s="1"/>
  <c r="J1776" i="1"/>
  <c r="K1776" i="1" s="1"/>
  <c r="O1776" i="1" s="1"/>
  <c r="J1777" i="1"/>
  <c r="K1777" i="1" s="1"/>
  <c r="O1777" i="1" s="1"/>
  <c r="O1778" i="1"/>
  <c r="J1779" i="1"/>
  <c r="K1779" i="1" s="1"/>
  <c r="O1779" i="1" s="1"/>
  <c r="J1780" i="1"/>
  <c r="K1780" i="1" s="1"/>
  <c r="O1780" i="1" s="1"/>
  <c r="O1781" i="1"/>
  <c r="J1782" i="1"/>
  <c r="J1783" i="1"/>
  <c r="K1783" i="1" s="1"/>
  <c r="O1783" i="1" s="1"/>
  <c r="O1784" i="1"/>
  <c r="O1785" i="1"/>
  <c r="J1786" i="1"/>
  <c r="K1786" i="1" s="1"/>
  <c r="O1786" i="1" s="1"/>
  <c r="O1787" i="1"/>
  <c r="O1788" i="1"/>
  <c r="J1789" i="1"/>
  <c r="K1789" i="1" s="1"/>
  <c r="O1789" i="1" s="1"/>
  <c r="O1790" i="1"/>
  <c r="O1791" i="1"/>
  <c r="J1792" i="1"/>
  <c r="K1792" i="1" s="1"/>
  <c r="O1792" i="1" s="1"/>
  <c r="O1793" i="1"/>
  <c r="K1794" i="1"/>
  <c r="O1794" i="1" s="1"/>
  <c r="J1795" i="1"/>
  <c r="K1795" i="1" s="1"/>
  <c r="O1795" i="1" s="1"/>
  <c r="J1796" i="1"/>
  <c r="K1796" i="1" s="1"/>
  <c r="O1796" i="1" s="1"/>
  <c r="J1797" i="1"/>
  <c r="K1797" i="1" s="1"/>
  <c r="O1797" i="1" s="1"/>
  <c r="J1798" i="1"/>
  <c r="K1798" i="1"/>
  <c r="O1798" i="1" s="1"/>
  <c r="J1799" i="1"/>
  <c r="K1799" i="1" s="1"/>
  <c r="O1799" i="1" s="1"/>
  <c r="O1801" i="1"/>
  <c r="F1802" i="1"/>
  <c r="G1802" i="1"/>
  <c r="I1802" i="1"/>
  <c r="J1802" i="1"/>
  <c r="M1802" i="1"/>
  <c r="L1803" i="1"/>
  <c r="N1803" i="1" s="1"/>
  <c r="O1803" i="1" s="1"/>
  <c r="L1804" i="1"/>
  <c r="N1804" i="1" s="1"/>
  <c r="O1804" i="1" s="1"/>
  <c r="L1805" i="1"/>
  <c r="N1805" i="1" s="1"/>
  <c r="O1805" i="1" s="1"/>
  <c r="L1806" i="1"/>
  <c r="N1806" i="1" s="1"/>
  <c r="O1806" i="1" s="1"/>
  <c r="L1807" i="1"/>
  <c r="L1808" i="1"/>
  <c r="N1808" i="1" s="1"/>
  <c r="O1808" i="1" s="1"/>
  <c r="L1811" i="1"/>
  <c r="N1811" i="1" s="1"/>
  <c r="O1811" i="1" s="1"/>
  <c r="F1813" i="1"/>
  <c r="G1813" i="1"/>
  <c r="I1813" i="1"/>
  <c r="L1813" i="1"/>
  <c r="M1813" i="1"/>
  <c r="O1814" i="1"/>
  <c r="J1815" i="1"/>
  <c r="K1815" i="1" s="1"/>
  <c r="O1815" i="1" s="1"/>
  <c r="O1846" i="1"/>
  <c r="J1854" i="1"/>
  <c r="F1856" i="1"/>
  <c r="G1856" i="1"/>
  <c r="I1856" i="1"/>
  <c r="L1856" i="1"/>
  <c r="M1856" i="1"/>
  <c r="J1859" i="1"/>
  <c r="K1859" i="1" s="1"/>
  <c r="O1859" i="1" s="1"/>
  <c r="J1860" i="1"/>
  <c r="K1860" i="1" s="1"/>
  <c r="O1860" i="1" s="1"/>
  <c r="J1861" i="1"/>
  <c r="K1861" i="1" s="1"/>
  <c r="O1861" i="1" s="1"/>
  <c r="J1862" i="1"/>
  <c r="K1862" i="1" s="1"/>
  <c r="O1862" i="1" s="1"/>
  <c r="J1863" i="1"/>
  <c r="J1864" i="1"/>
  <c r="K1864" i="1" s="1"/>
  <c r="O1864" i="1" s="1"/>
  <c r="J1865" i="1"/>
  <c r="K1865" i="1" s="1"/>
  <c r="O1865" i="1" s="1"/>
  <c r="J1866" i="1"/>
  <c r="K1866" i="1" s="1"/>
  <c r="O1866" i="1" s="1"/>
  <c r="J1867" i="1"/>
  <c r="K1867" i="1" s="1"/>
  <c r="O1867" i="1" s="1"/>
  <c r="J1868" i="1"/>
  <c r="K1868" i="1" s="1"/>
  <c r="O1868" i="1" s="1"/>
  <c r="J1869" i="1"/>
  <c r="K1869" i="1" s="1"/>
  <c r="O1869" i="1" s="1"/>
  <c r="J1870" i="1"/>
  <c r="K1870" i="1" s="1"/>
  <c r="O1870" i="1" s="1"/>
  <c r="J1871" i="1"/>
  <c r="K1871" i="1" s="1"/>
  <c r="O1871" i="1" s="1"/>
  <c r="J1872" i="1"/>
  <c r="K1872" i="1" s="1"/>
  <c r="O1872" i="1" s="1"/>
  <c r="J1873" i="1"/>
  <c r="K1873" i="1" s="1"/>
  <c r="O1873" i="1" s="1"/>
  <c r="J1874" i="1"/>
  <c r="K1874" i="1" s="1"/>
  <c r="O1874" i="1" s="1"/>
  <c r="J1875" i="1"/>
  <c r="K1875" i="1" s="1"/>
  <c r="O1875" i="1" s="1"/>
  <c r="J1876" i="1"/>
  <c r="K1876" i="1" s="1"/>
  <c r="O1876" i="1" s="1"/>
  <c r="J1877" i="1"/>
  <c r="K1877" i="1" s="1"/>
  <c r="O1877" i="1" s="1"/>
  <c r="J1878" i="1"/>
  <c r="K1878" i="1" s="1"/>
  <c r="O1878" i="1" s="1"/>
  <c r="O1881" i="1"/>
  <c r="F1882" i="1"/>
  <c r="G1882" i="1"/>
  <c r="I1882" i="1"/>
  <c r="J1882" i="1"/>
  <c r="M1882" i="1"/>
  <c r="L1883" i="1"/>
  <c r="N1883" i="1" s="1"/>
  <c r="O1883" i="1" s="1"/>
  <c r="L1884" i="1"/>
  <c r="N1884" i="1" s="1"/>
  <c r="O1884" i="1" s="1"/>
  <c r="L1885" i="1"/>
  <c r="F1887" i="1"/>
  <c r="G1887" i="1"/>
  <c r="I1887" i="1"/>
  <c r="L1887" i="1"/>
  <c r="M1887" i="1"/>
  <c r="O1888" i="1"/>
  <c r="J1889" i="1"/>
  <c r="K1889" i="1" s="1"/>
  <c r="O1889" i="1" s="1"/>
  <c r="O1909" i="1"/>
  <c r="J1910" i="1"/>
  <c r="K1910" i="1" s="1"/>
  <c r="O1910" i="1" s="1"/>
  <c r="F1912" i="1"/>
  <c r="G1912" i="1"/>
  <c r="I1912" i="1"/>
  <c r="L1912" i="1"/>
  <c r="M1912" i="1"/>
  <c r="O1913" i="1"/>
  <c r="J1914" i="1"/>
  <c r="K1914" i="1" s="1"/>
  <c r="O1914" i="1" s="1"/>
  <c r="J1915" i="1"/>
  <c r="K1915" i="1" s="1"/>
  <c r="O1915" i="1" s="1"/>
  <c r="J1916" i="1"/>
  <c r="K1916" i="1" s="1"/>
  <c r="O1916" i="1" s="1"/>
  <c r="J1917" i="1"/>
  <c r="K1917" i="1" s="1"/>
  <c r="O1917" i="1" s="1"/>
  <c r="O1918" i="1"/>
  <c r="J1919" i="1"/>
  <c r="K1919" i="1" s="1"/>
  <c r="O1919" i="1" s="1"/>
  <c r="J1920" i="1"/>
  <c r="K1920" i="1" s="1"/>
  <c r="O1920" i="1" s="1"/>
  <c r="O1921" i="1"/>
  <c r="J1922" i="1"/>
  <c r="K1922" i="1" s="1"/>
  <c r="O1922" i="1" s="1"/>
  <c r="J1923" i="1"/>
  <c r="K1923" i="1" s="1"/>
  <c r="O1923" i="1" s="1"/>
  <c r="O1924" i="1"/>
  <c r="O1925" i="1"/>
  <c r="J1926" i="1"/>
  <c r="K1926" i="1" s="1"/>
  <c r="O1926" i="1" s="1"/>
  <c r="O1927" i="1"/>
  <c r="O1928" i="1"/>
  <c r="J1929" i="1"/>
  <c r="K1929" i="1" s="1"/>
  <c r="O1929" i="1" s="1"/>
  <c r="O1930" i="1"/>
  <c r="O1931" i="1"/>
  <c r="J1932" i="1"/>
  <c r="K1932" i="1" s="1"/>
  <c r="O1932" i="1" s="1"/>
  <c r="O1933" i="1"/>
  <c r="K1934" i="1"/>
  <c r="O1934" i="1" s="1"/>
  <c r="J1935" i="1"/>
  <c r="K1935" i="1"/>
  <c r="O1935" i="1" s="1"/>
  <c r="J1936" i="1"/>
  <c r="K1936" i="1" s="1"/>
  <c r="O1936" i="1" s="1"/>
  <c r="J1937" i="1"/>
  <c r="K1937" i="1" s="1"/>
  <c r="O1937" i="1" s="1"/>
  <c r="J1938" i="1"/>
  <c r="K1938" i="1" s="1"/>
  <c r="O1938" i="1" s="1"/>
  <c r="C142" i="2"/>
  <c r="D142" i="2"/>
  <c r="J142" i="2"/>
  <c r="J1943" i="1"/>
  <c r="K1943" i="1" s="1"/>
  <c r="O1943" i="1" s="1"/>
  <c r="J1944" i="1"/>
  <c r="K1944" i="1" s="1"/>
  <c r="O1944" i="1" s="1"/>
  <c r="J1945" i="1"/>
  <c r="K1945" i="1" s="1"/>
  <c r="O1945" i="1" s="1"/>
  <c r="J1946" i="1"/>
  <c r="K1946" i="1" s="1"/>
  <c r="O1946" i="1" s="1"/>
  <c r="J1947" i="1"/>
  <c r="K1947" i="1" s="1"/>
  <c r="O1947" i="1" s="1"/>
  <c r="J1948" i="1"/>
  <c r="K1948" i="1" s="1"/>
  <c r="O1948" i="1" s="1"/>
  <c r="J1949" i="1"/>
  <c r="K1949" i="1" s="1"/>
  <c r="O1949" i="1" s="1"/>
  <c r="J1950" i="1"/>
  <c r="K1950" i="1" s="1"/>
  <c r="O1950" i="1" s="1"/>
  <c r="J1951" i="1"/>
  <c r="K1951" i="1" s="1"/>
  <c r="O1951" i="1" s="1"/>
  <c r="J1952" i="1"/>
  <c r="K1952" i="1" s="1"/>
  <c r="O1952" i="1" s="1"/>
  <c r="J1963" i="1"/>
  <c r="K1963" i="1" s="1"/>
  <c r="O1963" i="1" s="1"/>
  <c r="J1988" i="1"/>
  <c r="K1988" i="1" s="1"/>
  <c r="O1988" i="1" s="1"/>
  <c r="J2003" i="1"/>
  <c r="K2003" i="1" s="1"/>
  <c r="O2003" i="1" s="1"/>
  <c r="J2005" i="1"/>
  <c r="K2005" i="1" s="1"/>
  <c r="O2005" i="1" s="1"/>
  <c r="E2006" i="1"/>
  <c r="L2006" i="1" s="1"/>
  <c r="J2007" i="1"/>
  <c r="K2007" i="1" s="1"/>
  <c r="O2007" i="1" s="1"/>
  <c r="J2008" i="1"/>
  <c r="K2008" i="1" s="1"/>
  <c r="O2008" i="1" s="1"/>
  <c r="J2016" i="1"/>
  <c r="K2016" i="1" s="1"/>
  <c r="O2016" i="1" s="1"/>
  <c r="J2017" i="1"/>
  <c r="K2017" i="1" s="1"/>
  <c r="O2017" i="1" s="1"/>
  <c r="C143" i="2"/>
  <c r="J143" i="2"/>
  <c r="J2136" i="1"/>
  <c r="K2136" i="1" s="1"/>
  <c r="O2136" i="1" s="1"/>
  <c r="J2137" i="1"/>
  <c r="K2137" i="1" s="1"/>
  <c r="O2137" i="1" s="1"/>
  <c r="J2138" i="1"/>
  <c r="K2138" i="1" s="1"/>
  <c r="O2138" i="1" s="1"/>
  <c r="J2139" i="1"/>
  <c r="J2140" i="1"/>
  <c r="K2140" i="1" s="1"/>
  <c r="O2140" i="1" s="1"/>
  <c r="J2153" i="1"/>
  <c r="K2153" i="1" s="1"/>
  <c r="O2153" i="1" s="1"/>
  <c r="J2155" i="1"/>
  <c r="K2155" i="1" s="1"/>
  <c r="O2155" i="1" s="1"/>
  <c r="J2156" i="1"/>
  <c r="K2156" i="1" s="1"/>
  <c r="O2156" i="1" s="1"/>
  <c r="J2157" i="1"/>
  <c r="K2157" i="1" s="1"/>
  <c r="O2157" i="1" s="1"/>
  <c r="J2158" i="1"/>
  <c r="K2158" i="1" s="1"/>
  <c r="O2158" i="1" s="1"/>
  <c r="J2159" i="1"/>
  <c r="K2159" i="1" s="1"/>
  <c r="O2159" i="1" s="1"/>
  <c r="J2160" i="1"/>
  <c r="K2160" i="1" s="1"/>
  <c r="O2160" i="1" s="1"/>
  <c r="J2161" i="1"/>
  <c r="K2161" i="1" s="1"/>
  <c r="O2161" i="1" s="1"/>
  <c r="J2162" i="1"/>
  <c r="K2162" i="1" s="1"/>
  <c r="O2162" i="1" s="1"/>
  <c r="J2163" i="1"/>
  <c r="K2163" i="1" s="1"/>
  <c r="O2163" i="1" s="1"/>
  <c r="J2164" i="1"/>
  <c r="K2164" i="1" s="1"/>
  <c r="O2164" i="1" s="1"/>
  <c r="J2165" i="1"/>
  <c r="K2165" i="1" s="1"/>
  <c r="O2165" i="1" s="1"/>
  <c r="J2166" i="1"/>
  <c r="K2166" i="1" s="1"/>
  <c r="O2166" i="1" s="1"/>
  <c r="J2169" i="1"/>
  <c r="K2169" i="1" s="1"/>
  <c r="O2169" i="1" s="1"/>
  <c r="J2170" i="1"/>
  <c r="K2170" i="1" s="1"/>
  <c r="O2170" i="1" s="1"/>
  <c r="J2171" i="1"/>
  <c r="K2171" i="1" s="1"/>
  <c r="O2171" i="1" s="1"/>
  <c r="J2172" i="1"/>
  <c r="K2172" i="1" s="1"/>
  <c r="O2172" i="1" s="1"/>
  <c r="J2173" i="1"/>
  <c r="K2173" i="1" s="1"/>
  <c r="O2173" i="1" s="1"/>
  <c r="J2174" i="1"/>
  <c r="K2174" i="1" s="1"/>
  <c r="O2174" i="1" s="1"/>
  <c r="J2176" i="1"/>
  <c r="K2176" i="1" s="1"/>
  <c r="O2176" i="1" s="1"/>
  <c r="J2177" i="1"/>
  <c r="K2177" i="1" s="1"/>
  <c r="O2177" i="1" s="1"/>
  <c r="J2178" i="1"/>
  <c r="K2178" i="1" s="1"/>
  <c r="O2178" i="1" s="1"/>
  <c r="J2179" i="1"/>
  <c r="K2179" i="1" s="1"/>
  <c r="O2179" i="1" s="1"/>
  <c r="J2180" i="1"/>
  <c r="K2180" i="1" s="1"/>
  <c r="O2180" i="1" s="1"/>
  <c r="J2181" i="1"/>
  <c r="K2181" i="1" s="1"/>
  <c r="O2181" i="1" s="1"/>
  <c r="J2182" i="1"/>
  <c r="K2182" i="1" s="1"/>
  <c r="O2182" i="1" s="1"/>
  <c r="J2183" i="1"/>
  <c r="K2183" i="1" s="1"/>
  <c r="O2183" i="1" s="1"/>
  <c r="J2184" i="1"/>
  <c r="K2184" i="1" s="1"/>
  <c r="O2184" i="1" s="1"/>
  <c r="J2185" i="1"/>
  <c r="K2185" i="1" s="1"/>
  <c r="O2185" i="1" s="1"/>
  <c r="J2186" i="1"/>
  <c r="K2186" i="1" s="1"/>
  <c r="O2186" i="1" s="1"/>
  <c r="J2188" i="1"/>
  <c r="K2188" i="1" s="1"/>
  <c r="O2188" i="1" s="1"/>
  <c r="J2190" i="1"/>
  <c r="K2190" i="1"/>
  <c r="O2190" i="1" s="1"/>
  <c r="J2191" i="1"/>
  <c r="K2191" i="1" s="1"/>
  <c r="O2191" i="1" s="1"/>
  <c r="E2192" i="1"/>
  <c r="L2192" i="1" s="1"/>
  <c r="N2192" i="1" s="1"/>
  <c r="O2192" i="1" s="1"/>
  <c r="J2193" i="1"/>
  <c r="K2193" i="1" s="1"/>
  <c r="O2193" i="1" s="1"/>
  <c r="J2194" i="1"/>
  <c r="K2194" i="1" s="1"/>
  <c r="O2194" i="1" s="1"/>
  <c r="J2195" i="1"/>
  <c r="K2195" i="1" s="1"/>
  <c r="O2195" i="1" s="1"/>
  <c r="J2196" i="1"/>
  <c r="K2196" i="1" s="1"/>
  <c r="O2196" i="1" s="1"/>
  <c r="J2197" i="1"/>
  <c r="K2197" i="1" s="1"/>
  <c r="O2197" i="1" s="1"/>
  <c r="J2198" i="1"/>
  <c r="K2198" i="1" s="1"/>
  <c r="O2198" i="1" s="1"/>
  <c r="J2199" i="1"/>
  <c r="K2199" i="1" s="1"/>
  <c r="O2199" i="1" s="1"/>
  <c r="J2200" i="1"/>
  <c r="K2200" i="1" s="1"/>
  <c r="O2200" i="1" s="1"/>
  <c r="J2201" i="1"/>
  <c r="K2201" i="1" s="1"/>
  <c r="O2201" i="1" s="1"/>
  <c r="J2202" i="1"/>
  <c r="K2202" i="1" s="1"/>
  <c r="O2202" i="1" s="1"/>
  <c r="J2203" i="1"/>
  <c r="K2203" i="1" s="1"/>
  <c r="O2203" i="1" s="1"/>
  <c r="J2205" i="1"/>
  <c r="K2205" i="1" s="1"/>
  <c r="O2205" i="1" s="1"/>
  <c r="J2206" i="1"/>
  <c r="K2206" i="1" s="1"/>
  <c r="O2206" i="1" s="1"/>
  <c r="J2207" i="1"/>
  <c r="K2207" i="1" s="1"/>
  <c r="O2207" i="1" s="1"/>
  <c r="J2208" i="1"/>
  <c r="K2208" i="1" s="1"/>
  <c r="O2208" i="1" s="1"/>
  <c r="J2209" i="1"/>
  <c r="K2209" i="1" s="1"/>
  <c r="O2209" i="1" s="1"/>
  <c r="J2210" i="1"/>
  <c r="K2210" i="1" s="1"/>
  <c r="O2210" i="1" s="1"/>
  <c r="J2211" i="1"/>
  <c r="K2211" i="1" s="1"/>
  <c r="O2211" i="1" s="1"/>
  <c r="J2212" i="1"/>
  <c r="K2212" i="1" s="1"/>
  <c r="O2212" i="1" s="1"/>
  <c r="J2213" i="1"/>
  <c r="K2213" i="1" s="1"/>
  <c r="O2213" i="1" s="1"/>
  <c r="J2214" i="1"/>
  <c r="K2214" i="1" s="1"/>
  <c r="O2214" i="1" s="1"/>
  <c r="J2215" i="1"/>
  <c r="I2216" i="1"/>
  <c r="K2216" i="1" s="1"/>
  <c r="O2216" i="1" s="1"/>
  <c r="I2217" i="1"/>
  <c r="K2217" i="1" s="1"/>
  <c r="O2217" i="1" s="1"/>
  <c r="I2218" i="1"/>
  <c r="K2218" i="1" s="1"/>
  <c r="O2218" i="1" s="1"/>
  <c r="I2219" i="1"/>
  <c r="K2219" i="1" s="1"/>
  <c r="O2219" i="1" s="1"/>
  <c r="I2220" i="1"/>
  <c r="I2221" i="1"/>
  <c r="K2221" i="1" s="1"/>
  <c r="O2221" i="1" s="1"/>
  <c r="I2222" i="1"/>
  <c r="K2222" i="1" s="1"/>
  <c r="O2222" i="1" s="1"/>
  <c r="I2223" i="1"/>
  <c r="K2223" i="1" s="1"/>
  <c r="O2223" i="1" s="1"/>
  <c r="J2224" i="1"/>
  <c r="K2224" i="1" s="1"/>
  <c r="O2224" i="1" s="1"/>
  <c r="J2225" i="1"/>
  <c r="K2225" i="1" s="1"/>
  <c r="O2225" i="1" s="1"/>
  <c r="I2226" i="1"/>
  <c r="K2226" i="1" s="1"/>
  <c r="O2226" i="1" s="1"/>
  <c r="J2227" i="1"/>
  <c r="K2227" i="1" s="1"/>
  <c r="O2227" i="1" s="1"/>
  <c r="J2228" i="1"/>
  <c r="K2228" i="1" s="1"/>
  <c r="O2228" i="1" s="1"/>
  <c r="J2229" i="1"/>
  <c r="K2229" i="1" s="1"/>
  <c r="O2229" i="1" s="1"/>
  <c r="J2230" i="1"/>
  <c r="K2230" i="1" s="1"/>
  <c r="O2230" i="1" s="1"/>
  <c r="J2231" i="1"/>
  <c r="K2231" i="1" s="1"/>
  <c r="O2231" i="1" s="1"/>
  <c r="J2232" i="1"/>
  <c r="K2232" i="1" s="1"/>
  <c r="O2232" i="1" s="1"/>
  <c r="J2233" i="1"/>
  <c r="K2233" i="1" s="1"/>
  <c r="O2233" i="1" s="1"/>
  <c r="J2234" i="1"/>
  <c r="K2234" i="1" s="1"/>
  <c r="O2234" i="1" s="1"/>
  <c r="I2235" i="1"/>
  <c r="K2235" i="1" s="1"/>
  <c r="O2235" i="1" s="1"/>
  <c r="J2236" i="1"/>
  <c r="K2236" i="1" s="1"/>
  <c r="O2236" i="1" s="1"/>
  <c r="J2237" i="1"/>
  <c r="K2237" i="1" s="1"/>
  <c r="O2237" i="1" s="1"/>
  <c r="I2238" i="1"/>
  <c r="K2238" i="1" s="1"/>
  <c r="O2238" i="1" s="1"/>
  <c r="J2239" i="1"/>
  <c r="K2239" i="1" s="1"/>
  <c r="O2239" i="1" s="1"/>
  <c r="J2240" i="1"/>
  <c r="K2240" i="1" s="1"/>
  <c r="O2240" i="1" s="1"/>
  <c r="I2241" i="1"/>
  <c r="K2241" i="1" s="1"/>
  <c r="O2241" i="1" s="1"/>
  <c r="J2242" i="1"/>
  <c r="K2242" i="1" s="1"/>
  <c r="O2242" i="1" s="1"/>
  <c r="J2243" i="1"/>
  <c r="K2243" i="1" s="1"/>
  <c r="O2243" i="1" s="1"/>
  <c r="I2244" i="1"/>
  <c r="K2244" i="1" s="1"/>
  <c r="O2244" i="1" s="1"/>
  <c r="J2245" i="1"/>
  <c r="K2245" i="1" s="1"/>
  <c r="O2245" i="1" s="1"/>
  <c r="J2246" i="1"/>
  <c r="K2246" i="1" s="1"/>
  <c r="O2246" i="1" s="1"/>
  <c r="I2247" i="1"/>
  <c r="K2247" i="1" s="1"/>
  <c r="O2247" i="1" s="1"/>
  <c r="J2248" i="1"/>
  <c r="K2248" i="1" s="1"/>
  <c r="O2248" i="1" s="1"/>
  <c r="I2249" i="1"/>
  <c r="K2249" i="1" s="1"/>
  <c r="O2249" i="1" s="1"/>
  <c r="I2250" i="1"/>
  <c r="K2250" i="1" s="1"/>
  <c r="O2250" i="1" s="1"/>
  <c r="I2251" i="1"/>
  <c r="K2251" i="1" s="1"/>
  <c r="O2251" i="1" s="1"/>
  <c r="I2252" i="1"/>
  <c r="K2252" i="1" s="1"/>
  <c r="O2252" i="1" s="1"/>
  <c r="I2253" i="1"/>
  <c r="K2253" i="1" s="1"/>
  <c r="O2253" i="1" s="1"/>
  <c r="J2254" i="1"/>
  <c r="K2254" i="1" s="1"/>
  <c r="O2254" i="1" s="1"/>
  <c r="J2255" i="1"/>
  <c r="K2255" i="1" s="1"/>
  <c r="O2255" i="1" s="1"/>
  <c r="I2256" i="1"/>
  <c r="K2256" i="1" s="1"/>
  <c r="O2256" i="1" s="1"/>
  <c r="I2257" i="1"/>
  <c r="K2257" i="1" s="1"/>
  <c r="O2257" i="1" s="1"/>
  <c r="I2259" i="1"/>
  <c r="K2259" i="1" s="1"/>
  <c r="O2259" i="1" s="1"/>
  <c r="J2260" i="1"/>
  <c r="K2260" i="1" s="1"/>
  <c r="O2260" i="1" s="1"/>
  <c r="J2261" i="1"/>
  <c r="K2261" i="1" s="1"/>
  <c r="O2261" i="1" s="1"/>
  <c r="I2262" i="1"/>
  <c r="K2262" i="1" s="1"/>
  <c r="O2262" i="1" s="1"/>
  <c r="J2263" i="1"/>
  <c r="K2263" i="1" s="1"/>
  <c r="O2263" i="1"/>
  <c r="J2264" i="1"/>
  <c r="K2264" i="1" s="1"/>
  <c r="O2264" i="1" s="1"/>
  <c r="I2265" i="1"/>
  <c r="K2265" i="1" s="1"/>
  <c r="O2265" i="1" s="1"/>
  <c r="I2266" i="1"/>
  <c r="K2266" i="1" s="1"/>
  <c r="O2266" i="1" s="1"/>
  <c r="I2267" i="1"/>
  <c r="K2267" i="1" s="1"/>
  <c r="O2267" i="1" s="1"/>
  <c r="I2268" i="1"/>
  <c r="K2268" i="1" s="1"/>
  <c r="O2268" i="1" s="1"/>
  <c r="I2269" i="1"/>
  <c r="K2269" i="1" s="1"/>
  <c r="O2269" i="1" s="1"/>
  <c r="I2270" i="1"/>
  <c r="K2270" i="1" s="1"/>
  <c r="O2270" i="1" s="1"/>
  <c r="I2271" i="1"/>
  <c r="K2271" i="1" s="1"/>
  <c r="O2271" i="1" s="1"/>
  <c r="J2272" i="1"/>
  <c r="K2272" i="1" s="1"/>
  <c r="O2272" i="1" s="1"/>
  <c r="J2273" i="1"/>
  <c r="K2273" i="1" s="1"/>
  <c r="O2273" i="1" s="1"/>
  <c r="I2274" i="1"/>
  <c r="K2274" i="1" s="1"/>
  <c r="O2274" i="1" s="1"/>
  <c r="I2275" i="1"/>
  <c r="K2275" i="1" s="1"/>
  <c r="O2275" i="1" s="1"/>
  <c r="I2276" i="1"/>
  <c r="K2276" i="1" s="1"/>
  <c r="O2276" i="1" s="1"/>
  <c r="I2277" i="1"/>
  <c r="K2277" i="1" s="1"/>
  <c r="O2277" i="1" s="1"/>
  <c r="I2278" i="1"/>
  <c r="K2278" i="1" s="1"/>
  <c r="O2278" i="1" s="1"/>
  <c r="J2279" i="1"/>
  <c r="K2279" i="1" s="1"/>
  <c r="O2279" i="1" s="1"/>
  <c r="J2280" i="1"/>
  <c r="K2280" i="1" s="1"/>
  <c r="O2280" i="1" s="1"/>
  <c r="J2283" i="1"/>
  <c r="K2283" i="1" s="1"/>
  <c r="O2283" i="1" s="1"/>
  <c r="J2284" i="1"/>
  <c r="K2284" i="1" s="1"/>
  <c r="O2284" i="1" s="1"/>
  <c r="L2285" i="1"/>
  <c r="N2285" i="1" s="1"/>
  <c r="O2285" i="1" s="1"/>
  <c r="L2286" i="1"/>
  <c r="N2286" i="1" s="1"/>
  <c r="O2286" i="1" s="1"/>
  <c r="L2287" i="1"/>
  <c r="N2287" i="1" s="1"/>
  <c r="O2287" i="1" s="1"/>
  <c r="L2288" i="1"/>
  <c r="N2288" i="1" s="1"/>
  <c r="O2288" i="1" s="1"/>
  <c r="L2289" i="1"/>
  <c r="N2289" i="1" s="1"/>
  <c r="O2289" i="1" s="1"/>
  <c r="L2290" i="1"/>
  <c r="N2290" i="1" s="1"/>
  <c r="O2290" i="1" s="1"/>
  <c r="L2291" i="1"/>
  <c r="N2291" i="1" s="1"/>
  <c r="O2291" i="1" s="1"/>
  <c r="L2292" i="1"/>
  <c r="N2292" i="1" s="1"/>
  <c r="O2292" i="1" s="1"/>
  <c r="L2293" i="1"/>
  <c r="N2293" i="1" s="1"/>
  <c r="O2293" i="1" s="1"/>
  <c r="L2294" i="1"/>
  <c r="N2294" i="1" s="1"/>
  <c r="O2294" i="1" s="1"/>
  <c r="L2295" i="1"/>
  <c r="N2295" i="1" s="1"/>
  <c r="O2295" i="1" s="1"/>
  <c r="L2296" i="1"/>
  <c r="N2296" i="1" s="1"/>
  <c r="O2296" i="1" s="1"/>
  <c r="L2297" i="1"/>
  <c r="N2297" i="1" s="1"/>
  <c r="O2297" i="1" s="1"/>
  <c r="L2298" i="1"/>
  <c r="N2298" i="1" s="1"/>
  <c r="O2298" i="1" s="1"/>
  <c r="L2299" i="1"/>
  <c r="N2299" i="1" s="1"/>
  <c r="O2299" i="1" s="1"/>
  <c r="L2300" i="1"/>
  <c r="N2300" i="1" s="1"/>
  <c r="O2300" i="1" s="1"/>
  <c r="L2301" i="1"/>
  <c r="N2301" i="1" s="1"/>
  <c r="O2301" i="1" s="1"/>
  <c r="L2302" i="1"/>
  <c r="N2302" i="1" s="1"/>
  <c r="O2302" i="1" s="1"/>
  <c r="L2303" i="1"/>
  <c r="N2303" i="1" s="1"/>
  <c r="O2303" i="1" s="1"/>
  <c r="L2304" i="1"/>
  <c r="N2304" i="1" s="1"/>
  <c r="O2304" i="1" s="1"/>
  <c r="L2305" i="1"/>
  <c r="N2305" i="1" s="1"/>
  <c r="O2305" i="1" s="1"/>
  <c r="L2306" i="1"/>
  <c r="N2306" i="1" s="1"/>
  <c r="O2306" i="1" s="1"/>
  <c r="L2307" i="1"/>
  <c r="N2307" i="1" s="1"/>
  <c r="O2307" i="1" s="1"/>
  <c r="L2308" i="1"/>
  <c r="N2308" i="1" s="1"/>
  <c r="O2308" i="1" s="1"/>
  <c r="L2309" i="1"/>
  <c r="N2309" i="1" s="1"/>
  <c r="O2309" i="1" s="1"/>
  <c r="L2310" i="1"/>
  <c r="N2310" i="1" s="1"/>
  <c r="O2310" i="1" s="1"/>
  <c r="L2311" i="1"/>
  <c r="N2311" i="1" s="1"/>
  <c r="O2311" i="1" s="1"/>
  <c r="L2312" i="1"/>
  <c r="N2312" i="1" s="1"/>
  <c r="O2312" i="1" s="1"/>
  <c r="L2313" i="1"/>
  <c r="N2313" i="1"/>
  <c r="O2313" i="1" s="1"/>
  <c r="L2314" i="1"/>
  <c r="N2314" i="1" s="1"/>
  <c r="O2314" i="1" s="1"/>
  <c r="L2315" i="1"/>
  <c r="N2315" i="1" s="1"/>
  <c r="O2315" i="1" s="1"/>
  <c r="L2316" i="1"/>
  <c r="N2316" i="1"/>
  <c r="O2316" i="1" s="1"/>
  <c r="L2317" i="1"/>
  <c r="N2317" i="1" s="1"/>
  <c r="O2317" i="1" s="1"/>
  <c r="L2318" i="1"/>
  <c r="N2318" i="1" s="1"/>
  <c r="O2318" i="1" s="1"/>
  <c r="L2319" i="1"/>
  <c r="N2319" i="1" s="1"/>
  <c r="O2319" i="1" s="1"/>
  <c r="L2320" i="1"/>
  <c r="C144" i="2"/>
  <c r="D144" i="2"/>
  <c r="J144" i="2"/>
  <c r="J2330" i="1"/>
  <c r="K2330" i="1" s="1"/>
  <c r="O2330" i="1" s="1"/>
  <c r="J2331" i="1"/>
  <c r="K2331" i="1" s="1"/>
  <c r="O2331" i="1" s="1"/>
  <c r="J2332" i="1"/>
  <c r="K2332" i="1" s="1"/>
  <c r="O2332" i="1" s="1"/>
  <c r="J2333" i="1"/>
  <c r="K2333" i="1" s="1"/>
  <c r="O2333" i="1" s="1"/>
  <c r="J2334" i="1"/>
  <c r="K2334" i="1" s="1"/>
  <c r="O2334" i="1" s="1"/>
  <c r="J2335" i="1"/>
  <c r="K2335" i="1" s="1"/>
  <c r="O2335" i="1" s="1"/>
  <c r="J2336" i="1"/>
  <c r="K2336" i="1" s="1"/>
  <c r="O2336" i="1" s="1"/>
  <c r="C2337" i="1"/>
  <c r="J2337" i="1" s="1"/>
  <c r="K2337" i="1" s="1"/>
  <c r="O2337" i="1" s="1"/>
  <c r="J2338" i="1"/>
  <c r="K2338" i="1" s="1"/>
  <c r="O2338" i="1" s="1"/>
  <c r="J2339" i="1"/>
  <c r="K2339" i="1" s="1"/>
  <c r="O2339" i="1" s="1"/>
  <c r="J2341" i="1"/>
  <c r="K2341" i="1" s="1"/>
  <c r="O2341" i="1" s="1"/>
  <c r="J2343" i="1"/>
  <c r="K2343" i="1" s="1"/>
  <c r="O2343" i="1" s="1"/>
  <c r="J2344" i="1"/>
  <c r="K2344" i="1" s="1"/>
  <c r="O2344" i="1" s="1"/>
  <c r="J2346" i="1"/>
  <c r="K2346" i="1" s="1"/>
  <c r="O2346" i="1" s="1"/>
  <c r="J2347" i="1"/>
  <c r="K2347" i="1" s="1"/>
  <c r="O2347" i="1" s="1"/>
  <c r="J2348" i="1"/>
  <c r="K2348" i="1" s="1"/>
  <c r="O2348" i="1" s="1"/>
  <c r="J2355" i="1"/>
  <c r="K2355" i="1" s="1"/>
  <c r="O2355" i="1" s="1"/>
  <c r="J2356" i="1"/>
  <c r="K2356" i="1" s="1"/>
  <c r="O2356" i="1" s="1"/>
  <c r="J2357" i="1"/>
  <c r="K2357" i="1" s="1"/>
  <c r="O2357" i="1" s="1"/>
  <c r="J2358" i="1"/>
  <c r="K2358" i="1" s="1"/>
  <c r="O2358" i="1" s="1"/>
  <c r="J2359" i="1"/>
  <c r="K2359" i="1" s="1"/>
  <c r="O2359" i="1" s="1"/>
  <c r="J2361" i="1"/>
  <c r="K2361" i="1" s="1"/>
  <c r="O2361" i="1" s="1"/>
  <c r="J2362" i="1"/>
  <c r="K2362" i="1" s="1"/>
  <c r="O2362" i="1" s="1"/>
  <c r="J2363" i="1"/>
  <c r="K2363" i="1" s="1"/>
  <c r="O2363" i="1" s="1"/>
  <c r="J2364" i="1"/>
  <c r="K2364" i="1" s="1"/>
  <c r="O2364" i="1" s="1"/>
  <c r="J2367" i="1"/>
  <c r="K2367" i="1" s="1"/>
  <c r="O2367" i="1" s="1"/>
  <c r="J2369" i="1"/>
  <c r="K2369" i="1" s="1"/>
  <c r="O2369" i="1" s="1"/>
  <c r="J2371" i="1"/>
  <c r="K2371" i="1" s="1"/>
  <c r="O2371" i="1" s="1"/>
  <c r="J2372" i="1"/>
  <c r="K2372" i="1" s="1"/>
  <c r="O2372" i="1" s="1"/>
  <c r="J2373" i="1"/>
  <c r="K2373" i="1" s="1"/>
  <c r="O2373" i="1" s="1"/>
  <c r="J2374" i="1"/>
  <c r="K2374" i="1" s="1"/>
  <c r="O2374" i="1" s="1"/>
  <c r="J2375" i="1"/>
  <c r="K2375" i="1" s="1"/>
  <c r="O2375" i="1" s="1"/>
  <c r="J2376" i="1"/>
  <c r="K2376" i="1" s="1"/>
  <c r="O2376" i="1" s="1"/>
  <c r="J2377" i="1"/>
  <c r="K2377" i="1" s="1"/>
  <c r="O2377" i="1" s="1"/>
  <c r="J2378" i="1"/>
  <c r="K2378" i="1" s="1"/>
  <c r="O2378" i="1" s="1"/>
  <c r="J2379" i="1"/>
  <c r="K2379" i="1" s="1"/>
  <c r="O2379" i="1" s="1"/>
  <c r="J2380" i="1"/>
  <c r="K2380" i="1" s="1"/>
  <c r="O2380" i="1" s="1"/>
  <c r="J2381" i="1"/>
  <c r="K2381" i="1" s="1"/>
  <c r="O2381" i="1" s="1"/>
  <c r="J2383" i="1"/>
  <c r="K2383" i="1" s="1"/>
  <c r="O2383" i="1" s="1"/>
  <c r="J2384" i="1"/>
  <c r="K2384" i="1" s="1"/>
  <c r="O2384" i="1" s="1"/>
  <c r="J2387" i="1"/>
  <c r="K2387" i="1" s="1"/>
  <c r="O2387" i="1" s="1"/>
  <c r="J2389" i="1"/>
  <c r="K2389" i="1" s="1"/>
  <c r="O2389" i="1" s="1"/>
  <c r="J2390" i="1"/>
  <c r="K2390" i="1" s="1"/>
  <c r="O2390" i="1" s="1"/>
  <c r="J2391" i="1"/>
  <c r="K2391" i="1" s="1"/>
  <c r="O2391" i="1" s="1"/>
  <c r="J2392" i="1"/>
  <c r="K2392" i="1" s="1"/>
  <c r="O2392" i="1" s="1"/>
  <c r="J2393" i="1"/>
  <c r="K2393" i="1" s="1"/>
  <c r="O2393" i="1" s="1"/>
  <c r="J2394" i="1"/>
  <c r="K2394" i="1" s="1"/>
  <c r="O2394" i="1" s="1"/>
  <c r="J2396" i="1"/>
  <c r="K2396" i="1" s="1"/>
  <c r="O2396" i="1" s="1"/>
  <c r="J2404" i="1"/>
  <c r="K2404" i="1" s="1"/>
  <c r="O2404" i="1" s="1"/>
  <c r="J2409" i="1"/>
  <c r="K2409" i="1" s="1"/>
  <c r="O2409" i="1" s="1"/>
  <c r="E2410" i="1"/>
  <c r="J2410" i="1" s="1"/>
  <c r="K2410" i="1" s="1"/>
  <c r="O2410" i="1" s="1"/>
  <c r="J2411" i="1"/>
  <c r="K2411" i="1" s="1"/>
  <c r="O2411" i="1" s="1"/>
  <c r="J2412" i="1"/>
  <c r="K2412" i="1" s="1"/>
  <c r="O2412" i="1" s="1"/>
  <c r="J2413" i="1"/>
  <c r="K2413" i="1" s="1"/>
  <c r="O2413" i="1" s="1"/>
  <c r="J2414" i="1"/>
  <c r="K2414" i="1" s="1"/>
  <c r="O2414" i="1" s="1"/>
  <c r="J2415" i="1"/>
  <c r="K2415" i="1" s="1"/>
  <c r="O2415" i="1" s="1"/>
  <c r="L2416" i="1"/>
  <c r="N2416" i="1"/>
  <c r="O2416" i="1" s="1"/>
  <c r="J2419" i="1"/>
  <c r="K2419" i="1" s="1"/>
  <c r="O2419" i="1" s="1"/>
  <c r="J2420" i="1"/>
  <c r="K2420" i="1" s="1"/>
  <c r="O2420" i="1" s="1"/>
  <c r="J2421" i="1"/>
  <c r="K2421" i="1" s="1"/>
  <c r="O2421" i="1" s="1"/>
  <c r="J2422" i="1"/>
  <c r="K2422" i="1" s="1"/>
  <c r="O2422" i="1" s="1"/>
  <c r="J2423" i="1"/>
  <c r="K2423" i="1" s="1"/>
  <c r="O2423" i="1" s="1"/>
  <c r="J2424" i="1"/>
  <c r="K2424" i="1" s="1"/>
  <c r="O2424" i="1" s="1"/>
  <c r="J2425" i="1"/>
  <c r="K2425" i="1" s="1"/>
  <c r="O2425" i="1" s="1"/>
  <c r="J2426" i="1"/>
  <c r="K2426" i="1" s="1"/>
  <c r="O2426" i="1" s="1"/>
  <c r="J2427" i="1"/>
  <c r="K2427" i="1" s="1"/>
  <c r="O2427" i="1" s="1"/>
  <c r="J2428" i="1"/>
  <c r="K2428" i="1" s="1"/>
  <c r="O2428" i="1" s="1"/>
  <c r="J2429" i="1"/>
  <c r="K2429" i="1" s="1"/>
  <c r="O2429" i="1" s="1"/>
  <c r="J2440" i="1"/>
  <c r="K2440" i="1" s="1"/>
  <c r="O2440" i="1" s="1"/>
  <c r="J2441" i="1"/>
  <c r="K2441" i="1" s="1"/>
  <c r="O2441" i="1" s="1"/>
  <c r="J2442" i="1"/>
  <c r="K2442" i="1" s="1"/>
  <c r="O2442" i="1" s="1"/>
  <c r="J2443" i="1"/>
  <c r="K2443" i="1" s="1"/>
  <c r="O2443" i="1" s="1"/>
  <c r="J2444" i="1"/>
  <c r="K2444" i="1" s="1"/>
  <c r="O2444" i="1" s="1"/>
  <c r="J2445" i="1"/>
  <c r="K2445" i="1" s="1"/>
  <c r="O2445" i="1" s="1"/>
  <c r="J2446" i="1"/>
  <c r="K2446" i="1" s="1"/>
  <c r="O2446" i="1" s="1"/>
  <c r="J2447" i="1"/>
  <c r="K2447" i="1" s="1"/>
  <c r="O2447" i="1" s="1"/>
  <c r="J2448" i="1"/>
  <c r="K2448" i="1" s="1"/>
  <c r="O2448" i="1" s="1"/>
  <c r="J2449" i="1"/>
  <c r="K2449" i="1" s="1"/>
  <c r="O2449" i="1" s="1"/>
  <c r="I2450" i="1"/>
  <c r="K2450" i="1" s="1"/>
  <c r="O2450" i="1" s="1"/>
  <c r="I2452" i="1"/>
  <c r="K2452" i="1"/>
  <c r="O2452" i="1" s="1"/>
  <c r="I2453" i="1"/>
  <c r="K2453" i="1" s="1"/>
  <c r="O2453" i="1" s="1"/>
  <c r="I2454" i="1"/>
  <c r="K2454" i="1" s="1"/>
  <c r="O2454" i="1" s="1"/>
  <c r="I2455" i="1"/>
  <c r="K2455" i="1" s="1"/>
  <c r="O2455" i="1" s="1"/>
  <c r="I2456" i="1"/>
  <c r="I2457" i="1"/>
  <c r="K2457" i="1" s="1"/>
  <c r="O2457" i="1" s="1"/>
  <c r="I2458" i="1"/>
  <c r="K2458" i="1" s="1"/>
  <c r="O2458" i="1" s="1"/>
  <c r="J2459" i="1"/>
  <c r="K2459" i="1" s="1"/>
  <c r="O2459" i="1" s="1"/>
  <c r="J2460" i="1"/>
  <c r="K2460" i="1" s="1"/>
  <c r="O2460" i="1" s="1"/>
  <c r="I2461" i="1"/>
  <c r="K2461" i="1" s="1"/>
  <c r="O2461" i="1" s="1"/>
  <c r="J2462" i="1"/>
  <c r="K2462" i="1" s="1"/>
  <c r="O2462" i="1" s="1"/>
  <c r="J2463" i="1"/>
  <c r="K2463" i="1" s="1"/>
  <c r="O2463" i="1" s="1"/>
  <c r="J2464" i="1"/>
  <c r="K2464" i="1" s="1"/>
  <c r="O2464" i="1" s="1"/>
  <c r="J2465" i="1"/>
  <c r="K2465" i="1" s="1"/>
  <c r="O2465" i="1" s="1"/>
  <c r="J2466" i="1"/>
  <c r="K2466" i="1" s="1"/>
  <c r="O2466" i="1" s="1"/>
  <c r="J2467" i="1"/>
  <c r="K2467" i="1" s="1"/>
  <c r="O2467" i="1" s="1"/>
  <c r="J2470" i="1"/>
  <c r="K2470" i="1" s="1"/>
  <c r="O2470" i="1" s="1"/>
  <c r="J2471" i="1"/>
  <c r="K2471" i="1" s="1"/>
  <c r="O2471" i="1" s="1"/>
  <c r="I2472" i="1"/>
  <c r="K2472" i="1" s="1"/>
  <c r="O2472" i="1" s="1"/>
  <c r="J2473" i="1"/>
  <c r="K2473" i="1" s="1"/>
  <c r="O2473" i="1" s="1"/>
  <c r="J2474" i="1"/>
  <c r="K2474" i="1" s="1"/>
  <c r="O2474" i="1" s="1"/>
  <c r="I2475" i="1"/>
  <c r="K2475" i="1" s="1"/>
  <c r="O2475" i="1" s="1"/>
  <c r="J2476" i="1"/>
  <c r="K2476" i="1" s="1"/>
  <c r="O2476" i="1" s="1"/>
  <c r="J2477" i="1"/>
  <c r="K2477" i="1" s="1"/>
  <c r="O2477" i="1" s="1"/>
  <c r="I2478" i="1"/>
  <c r="K2478" i="1" s="1"/>
  <c r="O2478" i="1" s="1"/>
  <c r="J2479" i="1"/>
  <c r="K2479" i="1" s="1"/>
  <c r="O2479" i="1" s="1"/>
  <c r="J2480" i="1"/>
  <c r="K2480" i="1" s="1"/>
  <c r="O2480" i="1" s="1"/>
  <c r="I2481" i="1"/>
  <c r="K2481" i="1" s="1"/>
  <c r="O2481" i="1" s="1"/>
  <c r="J2482" i="1"/>
  <c r="K2482" i="1" s="1"/>
  <c r="O2482" i="1" s="1"/>
  <c r="J2483" i="1"/>
  <c r="K2483" i="1" s="1"/>
  <c r="O2483" i="1" s="1"/>
  <c r="I2484" i="1"/>
  <c r="K2484" i="1" s="1"/>
  <c r="O2484" i="1" s="1"/>
  <c r="J2485" i="1"/>
  <c r="K2485" i="1" s="1"/>
  <c r="O2485" i="1" s="1"/>
  <c r="I2486" i="1"/>
  <c r="K2486" i="1" s="1"/>
  <c r="O2486" i="1" s="1"/>
  <c r="I2487" i="1"/>
  <c r="K2487" i="1" s="1"/>
  <c r="O2487" i="1" s="1"/>
  <c r="I2488" i="1"/>
  <c r="K2488" i="1" s="1"/>
  <c r="O2488" i="1" s="1"/>
  <c r="I2489" i="1"/>
  <c r="K2489" i="1" s="1"/>
  <c r="O2489" i="1" s="1"/>
  <c r="I2490" i="1"/>
  <c r="K2490" i="1" s="1"/>
  <c r="O2490" i="1" s="1"/>
  <c r="J2491" i="1"/>
  <c r="K2491" i="1" s="1"/>
  <c r="O2491" i="1" s="1"/>
  <c r="J2492" i="1"/>
  <c r="K2492" i="1" s="1"/>
  <c r="O2492" i="1" s="1"/>
  <c r="I2493" i="1"/>
  <c r="K2493" i="1" s="1"/>
  <c r="O2493" i="1" s="1"/>
  <c r="I2494" i="1"/>
  <c r="K2494" i="1" s="1"/>
  <c r="O2494" i="1" s="1"/>
  <c r="I2495" i="1"/>
  <c r="K2495" i="1" s="1"/>
  <c r="O2495" i="1" s="1"/>
  <c r="J2498" i="1"/>
  <c r="K2498" i="1" s="1"/>
  <c r="O2498" i="1" s="1"/>
  <c r="J2499" i="1"/>
  <c r="K2499" i="1" s="1"/>
  <c r="O2499" i="1" s="1"/>
  <c r="I2500" i="1"/>
  <c r="K2500" i="1" s="1"/>
  <c r="O2500" i="1" s="1"/>
  <c r="J2501" i="1"/>
  <c r="K2501" i="1" s="1"/>
  <c r="O2501" i="1" s="1"/>
  <c r="J2502" i="1"/>
  <c r="K2502" i="1" s="1"/>
  <c r="O2502" i="1" s="1"/>
  <c r="I2503" i="1"/>
  <c r="K2503" i="1" s="1"/>
  <c r="O2503" i="1" s="1"/>
  <c r="I2504" i="1"/>
  <c r="K2504" i="1" s="1"/>
  <c r="O2504" i="1" s="1"/>
  <c r="I2505" i="1"/>
  <c r="K2505" i="1" s="1"/>
  <c r="O2505" i="1" s="1"/>
  <c r="I2506" i="1"/>
  <c r="K2506" i="1" s="1"/>
  <c r="O2506" i="1" s="1"/>
  <c r="I2507" i="1"/>
  <c r="K2507" i="1" s="1"/>
  <c r="O2507" i="1" s="1"/>
  <c r="I2508" i="1"/>
  <c r="K2508" i="1" s="1"/>
  <c r="O2508" i="1" s="1"/>
  <c r="J2509" i="1"/>
  <c r="K2509" i="1" s="1"/>
  <c r="O2509" i="1" s="1"/>
  <c r="J2511" i="1"/>
  <c r="K2511" i="1" s="1"/>
  <c r="O2511" i="1" s="1"/>
  <c r="I2512" i="1"/>
  <c r="K2512" i="1" s="1"/>
  <c r="O2512" i="1" s="1"/>
  <c r="I2513" i="1"/>
  <c r="K2513" i="1" s="1"/>
  <c r="O2513" i="1" s="1"/>
  <c r="I2514" i="1"/>
  <c r="K2514" i="1" s="1"/>
  <c r="O2514" i="1" s="1"/>
  <c r="I2515" i="1"/>
  <c r="K2515" i="1" s="1"/>
  <c r="O2515" i="1" s="1"/>
  <c r="I2516" i="1"/>
  <c r="K2516" i="1" s="1"/>
  <c r="O2516" i="1" s="1"/>
  <c r="J2520" i="1"/>
  <c r="K2520" i="1" s="1"/>
  <c r="O2520" i="1" s="1"/>
  <c r="L2521" i="1"/>
  <c r="N2521" i="1" s="1"/>
  <c r="O2521" i="1" s="1"/>
  <c r="J2523" i="1"/>
  <c r="K2523" i="1" s="1"/>
  <c r="O2523" i="1" s="1"/>
  <c r="J2524" i="1"/>
  <c r="K2524" i="1" s="1"/>
  <c r="O2524" i="1" s="1"/>
  <c r="L2525" i="1"/>
  <c r="N2525" i="1" s="1"/>
  <c r="O2525" i="1" s="1"/>
  <c r="L2526" i="1"/>
  <c r="N2526" i="1" s="1"/>
  <c r="O2526" i="1" s="1"/>
  <c r="L2527" i="1"/>
  <c r="L2528" i="1"/>
  <c r="N2528" i="1" s="1"/>
  <c r="O2528" i="1" s="1"/>
  <c r="L2529" i="1"/>
  <c r="N2529" i="1" s="1"/>
  <c r="O2529" i="1" s="1"/>
  <c r="L2530" i="1"/>
  <c r="N2530" i="1" s="1"/>
  <c r="O2530" i="1" s="1"/>
  <c r="L2531" i="1"/>
  <c r="N2531" i="1" s="1"/>
  <c r="O2531" i="1" s="1"/>
  <c r="L2532" i="1"/>
  <c r="N2532" i="1" s="1"/>
  <c r="O2532" i="1" s="1"/>
  <c r="L2533" i="1"/>
  <c r="N2533" i="1" s="1"/>
  <c r="O2533" i="1" s="1"/>
  <c r="L2534" i="1"/>
  <c r="N2534" i="1" s="1"/>
  <c r="O2534" i="1" s="1"/>
  <c r="L2535" i="1"/>
  <c r="N2535" i="1" s="1"/>
  <c r="O2535" i="1" s="1"/>
  <c r="L2536" i="1"/>
  <c r="N2536" i="1" s="1"/>
  <c r="O2536" i="1" s="1"/>
  <c r="L2537" i="1"/>
  <c r="N2537" i="1" s="1"/>
  <c r="O2537" i="1" s="1"/>
  <c r="L2538" i="1"/>
  <c r="N2538" i="1" s="1"/>
  <c r="O2538" i="1" s="1"/>
  <c r="L2539" i="1"/>
  <c r="N2539" i="1" s="1"/>
  <c r="O2539" i="1" s="1"/>
  <c r="L2541" i="1"/>
  <c r="N2541" i="1" s="1"/>
  <c r="O2541" i="1" s="1"/>
  <c r="L2542" i="1"/>
  <c r="N2542" i="1" s="1"/>
  <c r="O2542" i="1" s="1"/>
  <c r="L2543" i="1"/>
  <c r="N2543" i="1" s="1"/>
  <c r="O2543" i="1" s="1"/>
  <c r="L2544" i="1"/>
  <c r="N2544" i="1" s="1"/>
  <c r="O2544" i="1" s="1"/>
  <c r="L2545" i="1"/>
  <c r="N2545" i="1" s="1"/>
  <c r="O2545" i="1" s="1"/>
  <c r="L2546" i="1"/>
  <c r="N2546" i="1" s="1"/>
  <c r="O2546" i="1" s="1"/>
  <c r="L2547" i="1"/>
  <c r="N2547" i="1" s="1"/>
  <c r="O2547" i="1" s="1"/>
  <c r="L2548" i="1"/>
  <c r="N2548" i="1" s="1"/>
  <c r="O2548" i="1" s="1"/>
  <c r="L2549" i="1"/>
  <c r="N2549" i="1" s="1"/>
  <c r="O2549" i="1" s="1"/>
  <c r="L2550" i="1"/>
  <c r="N2550" i="1" s="1"/>
  <c r="O2550" i="1" s="1"/>
  <c r="L2551" i="1"/>
  <c r="N2551" i="1" s="1"/>
  <c r="O2551" i="1" s="1"/>
  <c r="L2552" i="1"/>
  <c r="N2552" i="1" s="1"/>
  <c r="O2552" i="1" s="1"/>
  <c r="L2553" i="1"/>
  <c r="N2553" i="1" s="1"/>
  <c r="O2553" i="1" s="1"/>
  <c r="L2554" i="1"/>
  <c r="N2554" i="1" s="1"/>
  <c r="O2554" i="1" s="1"/>
  <c r="L2555" i="1"/>
  <c r="N2555" i="1" s="1"/>
  <c r="O2555" i="1" s="1"/>
  <c r="L2556" i="1"/>
  <c r="N2556" i="1" s="1"/>
  <c r="O2556" i="1" s="1"/>
  <c r="L2557" i="1"/>
  <c r="N2557" i="1" s="1"/>
  <c r="O2557" i="1" s="1"/>
  <c r="L2558" i="1"/>
  <c r="N2558" i="1" s="1"/>
  <c r="O2558" i="1" s="1"/>
  <c r="L2559" i="1"/>
  <c r="N2559" i="1" s="1"/>
  <c r="O2559" i="1" s="1"/>
  <c r="L2561" i="1"/>
  <c r="N2561" i="1" s="1"/>
  <c r="O2561" i="1" s="1"/>
  <c r="C145" i="2"/>
  <c r="D145" i="2"/>
  <c r="J145" i="2"/>
  <c r="J2566" i="1"/>
  <c r="K2566" i="1" s="1"/>
  <c r="J2567" i="1"/>
  <c r="K2567" i="1" s="1"/>
  <c r="J2568" i="1"/>
  <c r="K2568" i="1" s="1"/>
  <c r="O2568" i="1" s="1"/>
  <c r="J2569" i="1"/>
  <c r="K2569" i="1" s="1"/>
  <c r="J2570" i="1"/>
  <c r="K2570" i="1" s="1"/>
  <c r="J2571" i="1"/>
  <c r="K2571" i="1" s="1"/>
  <c r="J2572" i="1"/>
  <c r="K2572" i="1" s="1"/>
  <c r="O2572" i="1" s="1"/>
  <c r="J2573" i="1"/>
  <c r="K2573" i="1" s="1"/>
  <c r="J2574" i="1"/>
  <c r="K2574" i="1" s="1"/>
  <c r="J2575" i="1"/>
  <c r="K2575" i="1" s="1"/>
  <c r="J2577" i="1"/>
  <c r="K2577" i="1" s="1"/>
  <c r="J2579" i="1"/>
  <c r="K2579" i="1" s="1"/>
  <c r="J2580" i="1"/>
  <c r="K2580" i="1" s="1"/>
  <c r="J2582" i="1"/>
  <c r="K2582" i="1" s="1"/>
  <c r="J2583" i="1"/>
  <c r="K2583" i="1" s="1"/>
  <c r="J2584" i="1"/>
  <c r="K2584" i="1" s="1"/>
  <c r="J2585" i="1"/>
  <c r="K2585" i="1" s="1"/>
  <c r="J2588" i="1"/>
  <c r="K2588" i="1" s="1"/>
  <c r="O2588" i="1" s="1"/>
  <c r="J2589" i="1"/>
  <c r="K2589" i="1" s="1"/>
  <c r="O2589" i="1" s="1"/>
  <c r="J2590" i="1"/>
  <c r="K2590" i="1" s="1"/>
  <c r="J2591" i="1"/>
  <c r="K2591" i="1" s="1"/>
  <c r="O2591" i="1" s="1"/>
  <c r="J2592" i="1"/>
  <c r="K2592" i="1" s="1"/>
  <c r="J2594" i="1"/>
  <c r="K2594" i="1" s="1"/>
  <c r="J2595" i="1"/>
  <c r="K2595" i="1" s="1"/>
  <c r="J2596" i="1"/>
  <c r="K2596" i="1" s="1"/>
  <c r="O2596" i="1" s="1"/>
  <c r="J2597" i="1"/>
  <c r="K2597" i="1" s="1"/>
  <c r="O2597" i="1" s="1"/>
  <c r="J2600" i="1"/>
  <c r="K2600" i="1" s="1"/>
  <c r="J2602" i="1"/>
  <c r="K2602" i="1" s="1"/>
  <c r="J2610" i="1"/>
  <c r="K2610" i="1" s="1"/>
  <c r="J2611" i="1"/>
  <c r="K2611" i="1" s="1"/>
  <c r="J2612" i="1"/>
  <c r="K2612" i="1" s="1"/>
  <c r="J2613" i="1"/>
  <c r="K2613" i="1" s="1"/>
  <c r="O2613" i="1" s="1"/>
  <c r="J2614" i="1"/>
  <c r="K2614" i="1" s="1"/>
  <c r="J2615" i="1"/>
  <c r="K2615" i="1" s="1"/>
  <c r="J2616" i="1"/>
  <c r="K2616" i="1" s="1"/>
  <c r="J2617" i="1"/>
  <c r="K2617" i="1" s="1"/>
  <c r="J2619" i="1"/>
  <c r="K2619" i="1" s="1"/>
  <c r="J2620" i="1"/>
  <c r="K2620" i="1" s="1"/>
  <c r="J2626" i="1"/>
  <c r="K2626" i="1" s="1"/>
  <c r="J2628" i="1"/>
  <c r="K2628" i="1" s="1"/>
  <c r="J2629" i="1"/>
  <c r="K2629" i="1" s="1"/>
  <c r="J2630" i="1"/>
  <c r="K2630" i="1" s="1"/>
  <c r="O2630" i="1" s="1"/>
  <c r="J2631" i="1"/>
  <c r="K2631" i="1" s="1"/>
  <c r="J2632" i="1"/>
  <c r="K2632" i="1" s="1"/>
  <c r="J2633" i="1"/>
  <c r="K2633" i="1" s="1"/>
  <c r="O2633" i="1" s="1"/>
  <c r="J2635" i="1"/>
  <c r="K2635" i="1" s="1"/>
  <c r="O2635" i="1" s="1"/>
  <c r="J2636" i="1"/>
  <c r="K2636" i="1" s="1"/>
  <c r="J2637" i="1"/>
  <c r="K2637" i="1" s="1"/>
  <c r="O2637" i="1" s="1"/>
  <c r="E2638" i="1"/>
  <c r="J2638" i="1" s="1"/>
  <c r="K2638" i="1" s="1"/>
  <c r="J2639" i="1"/>
  <c r="K2639" i="1" s="1"/>
  <c r="O2639" i="1" s="1"/>
  <c r="J2640" i="1"/>
  <c r="K2640" i="1" s="1"/>
  <c r="O2640" i="1" s="1"/>
  <c r="J2641" i="1"/>
  <c r="K2641" i="1" s="1"/>
  <c r="J2642" i="1"/>
  <c r="K2642" i="1" s="1"/>
  <c r="O2642" i="1" s="1"/>
  <c r="J2643" i="1"/>
  <c r="K2643" i="1" s="1"/>
  <c r="J2647" i="1"/>
  <c r="K2647" i="1" s="1"/>
  <c r="J2648" i="1"/>
  <c r="K2648" i="1" s="1"/>
  <c r="J2649" i="1"/>
  <c r="K2649" i="1" s="1"/>
  <c r="J2650" i="1"/>
  <c r="K2650" i="1" s="1"/>
  <c r="O2650" i="1" s="1"/>
  <c r="J2651" i="1"/>
  <c r="K2651" i="1" s="1"/>
  <c r="J2652" i="1"/>
  <c r="K2652" i="1" s="1"/>
  <c r="O2652" i="1" s="1"/>
  <c r="J2653" i="1"/>
  <c r="K2653" i="1" s="1"/>
  <c r="J2654" i="1"/>
  <c r="K2654" i="1" s="1"/>
  <c r="J2655" i="1"/>
  <c r="K2655" i="1" s="1"/>
  <c r="J2658" i="1"/>
  <c r="K2658" i="1" s="1"/>
  <c r="J2659" i="1"/>
  <c r="K2659" i="1" s="1"/>
  <c r="J2660" i="1"/>
  <c r="K2660" i="1" s="1"/>
  <c r="J2661" i="1"/>
  <c r="K2661" i="1" s="1"/>
  <c r="O2661" i="1" s="1"/>
  <c r="J2662" i="1"/>
  <c r="K2662" i="1"/>
  <c r="J2663" i="1"/>
  <c r="K2663" i="1" s="1"/>
  <c r="O2663" i="1" s="1"/>
  <c r="J2664" i="1"/>
  <c r="K2664" i="1" s="1"/>
  <c r="O2664" i="1" s="1"/>
  <c r="J2665" i="1"/>
  <c r="K2665" i="1" s="1"/>
  <c r="J2666" i="1"/>
  <c r="K2666" i="1" s="1"/>
  <c r="J2667" i="1"/>
  <c r="K2667" i="1" s="1"/>
  <c r="J2668" i="1"/>
  <c r="K2668" i="1" s="1"/>
  <c r="J2669" i="1"/>
  <c r="K2669" i="1"/>
  <c r="I2670" i="1"/>
  <c r="K2670" i="1" s="1"/>
  <c r="I2676" i="1"/>
  <c r="K2676" i="1" s="1"/>
  <c r="O2676" i="1" s="1"/>
  <c r="I2677" i="1"/>
  <c r="I2678" i="1"/>
  <c r="K2678" i="1" s="1"/>
  <c r="I2679" i="1"/>
  <c r="K2679" i="1" s="1"/>
  <c r="I2680" i="1"/>
  <c r="K2680" i="1" s="1"/>
  <c r="I2681" i="1"/>
  <c r="K2681" i="1" s="1"/>
  <c r="I2682" i="1"/>
  <c r="J2688" i="1"/>
  <c r="K2688" i="1" s="1"/>
  <c r="J2689" i="1"/>
  <c r="K2689" i="1" s="1"/>
  <c r="O2689" i="1" s="1"/>
  <c r="I2690" i="1"/>
  <c r="K2690" i="1" s="1"/>
  <c r="J2691" i="1"/>
  <c r="K2691" i="1" s="1"/>
  <c r="O2691" i="1" s="1"/>
  <c r="F2811" i="1"/>
  <c r="C149" i="2" s="1"/>
  <c r="G2811" i="1"/>
  <c r="I2811" i="1"/>
  <c r="F149" i="2" s="1"/>
  <c r="M2811" i="1"/>
  <c r="J149" i="2" s="1"/>
  <c r="O2812" i="1"/>
  <c r="O2815" i="1"/>
  <c r="J2816" i="1"/>
  <c r="K2816" i="1" s="1"/>
  <c r="O2816" i="1" s="1"/>
  <c r="J2817" i="1"/>
  <c r="K2817" i="1" s="1"/>
  <c r="O2817" i="1" s="1"/>
  <c r="J2818" i="1"/>
  <c r="J2819" i="1"/>
  <c r="K2819" i="1" s="1"/>
  <c r="O2819" i="1" s="1"/>
  <c r="J2820" i="1"/>
  <c r="K2820" i="1" s="1"/>
  <c r="O2820" i="1" s="1"/>
  <c r="J2821" i="1"/>
  <c r="K2821" i="1" s="1"/>
  <c r="O2821" i="1" s="1"/>
  <c r="J2824" i="1"/>
  <c r="K2824" i="1"/>
  <c r="O2824" i="1" s="1"/>
  <c r="J2826" i="1"/>
  <c r="K2826" i="1" s="1"/>
  <c r="O2826" i="1" s="1"/>
  <c r="J2827" i="1"/>
  <c r="K2827" i="1" s="1"/>
  <c r="O2827" i="1" s="1"/>
  <c r="J2828" i="1"/>
  <c r="K2828" i="1"/>
  <c r="O2828" i="1" s="1"/>
  <c r="J2829" i="1"/>
  <c r="K2829" i="1" s="1"/>
  <c r="O2829" i="1" s="1"/>
  <c r="J2830" i="1"/>
  <c r="K2830" i="1" s="1"/>
  <c r="O2830" i="1" s="1"/>
  <c r="J2831" i="1"/>
  <c r="K2831" i="1" s="1"/>
  <c r="O2831" i="1" s="1"/>
  <c r="J2832" i="1"/>
  <c r="K2832" i="1" s="1"/>
  <c r="O2832" i="1" s="1"/>
  <c r="J2833" i="1"/>
  <c r="K2833" i="1" s="1"/>
  <c r="O2833" i="1" s="1"/>
  <c r="J2834" i="1"/>
  <c r="K2834" i="1" s="1"/>
  <c r="O2834" i="1" s="1"/>
  <c r="J2835" i="1"/>
  <c r="K2835" i="1" s="1"/>
  <c r="O2835" i="1" s="1"/>
  <c r="L2840" i="1"/>
  <c r="N2840" i="1" s="1"/>
  <c r="O2840" i="1" s="1"/>
  <c r="L2842" i="1"/>
  <c r="N2842" i="1" s="1"/>
  <c r="O2842" i="1" s="1"/>
  <c r="L2843" i="1"/>
  <c r="N2843" i="1" s="1"/>
  <c r="O2843" i="1" s="1"/>
  <c r="L2844" i="1"/>
  <c r="N2844" i="1" s="1"/>
  <c r="O2844" i="1" s="1"/>
  <c r="E2845" i="1"/>
  <c r="L2846" i="1"/>
  <c r="N2846" i="1" s="1"/>
  <c r="O2846" i="1" s="1"/>
  <c r="J2852" i="1"/>
  <c r="K2852" i="1" s="1"/>
  <c r="O2852" i="1" s="1"/>
  <c r="J2853" i="1"/>
  <c r="K2853" i="1" s="1"/>
  <c r="O2853" i="1" s="1"/>
  <c r="J2854" i="1"/>
  <c r="K2854" i="1" s="1"/>
  <c r="O2854" i="1" s="1"/>
  <c r="J2855" i="1"/>
  <c r="K2855" i="1" s="1"/>
  <c r="O2855" i="1" s="1"/>
  <c r="J2856" i="1"/>
  <c r="K2856" i="1" s="1"/>
  <c r="O2856" i="1" s="1"/>
  <c r="J2859" i="1"/>
  <c r="K2859" i="1" s="1"/>
  <c r="O2859" i="1" s="1"/>
  <c r="J2860" i="1"/>
  <c r="K2860" i="1" s="1"/>
  <c r="O2860" i="1" s="1"/>
  <c r="J2861" i="1"/>
  <c r="K2861" i="1" s="1"/>
  <c r="O2861" i="1" s="1"/>
  <c r="J2862" i="1"/>
  <c r="K2862" i="1" s="1"/>
  <c r="O2862" i="1" s="1"/>
  <c r="J2863" i="1"/>
  <c r="K2863" i="1" s="1"/>
  <c r="O2863" i="1" s="1"/>
  <c r="J2864" i="1"/>
  <c r="K2864" i="1" s="1"/>
  <c r="O2864" i="1" s="1"/>
  <c r="J2865" i="1"/>
  <c r="K2865" i="1" s="1"/>
  <c r="O2865" i="1" s="1"/>
  <c r="J2866" i="1"/>
  <c r="K2866" i="1" s="1"/>
  <c r="O2866" i="1" s="1"/>
  <c r="J2867" i="1"/>
  <c r="K2867" i="1"/>
  <c r="O2867" i="1" s="1"/>
  <c r="J2893" i="1"/>
  <c r="K2893" i="1" s="1"/>
  <c r="O2893" i="1" s="1"/>
  <c r="J2894" i="1"/>
  <c r="K2894" i="1" s="1"/>
  <c r="O2894" i="1" s="1"/>
  <c r="J2942" i="1"/>
  <c r="K2942" i="1" s="1"/>
  <c r="O2942" i="1" s="1"/>
  <c r="J2943" i="1"/>
  <c r="K2943" i="1" s="1"/>
  <c r="O2943" i="1" s="1"/>
  <c r="J2944" i="1"/>
  <c r="K2944" i="1" s="1"/>
  <c r="O2944" i="1" s="1"/>
  <c r="L2968" i="1"/>
  <c r="N2968" i="1" s="1"/>
  <c r="O2968" i="1" s="1"/>
  <c r="J2981" i="1"/>
  <c r="K2981" i="1" s="1"/>
  <c r="O2981" i="1" s="1"/>
  <c r="L2982" i="1"/>
  <c r="N2982" i="1" s="1"/>
  <c r="O2982" i="1" s="1"/>
  <c r="L2983" i="1"/>
  <c r="N2983" i="1" s="1"/>
  <c r="O2983" i="1" s="1"/>
  <c r="J2994" i="1"/>
  <c r="K2994" i="1" s="1"/>
  <c r="O2994" i="1" s="1"/>
  <c r="L3000" i="1"/>
  <c r="N3000" i="1" s="1"/>
  <c r="O3000" i="1" s="1"/>
  <c r="J3001" i="1"/>
  <c r="K3001" i="1" s="1"/>
  <c r="O3001" i="1" s="1"/>
  <c r="J3013" i="1"/>
  <c r="K3013" i="1" s="1"/>
  <c r="O3013" i="1" s="1"/>
  <c r="J3014" i="1"/>
  <c r="K3014" i="1" s="1"/>
  <c r="O3014" i="1" s="1"/>
  <c r="C150" i="2"/>
  <c r="J150" i="2"/>
  <c r="F150" i="2"/>
  <c r="F3168" i="1"/>
  <c r="C151" i="2" s="1"/>
  <c r="G3168" i="1"/>
  <c r="D151" i="2" s="1"/>
  <c r="I3168" i="1"/>
  <c r="F151" i="2" s="1"/>
  <c r="M3168" i="1"/>
  <c r="J151" i="2" s="1"/>
  <c r="J3170" i="1"/>
  <c r="K3170" i="1" s="1"/>
  <c r="O3170" i="1" s="1"/>
  <c r="J3171" i="1"/>
  <c r="K3171" i="1" s="1"/>
  <c r="O3171" i="1" s="1"/>
  <c r="J3172" i="1"/>
  <c r="K3172" i="1" s="1"/>
  <c r="O3172" i="1" s="1"/>
  <c r="J3173" i="1"/>
  <c r="K3173" i="1" s="1"/>
  <c r="O3173" i="1" s="1"/>
  <c r="L3174" i="1"/>
  <c r="J3175" i="1"/>
  <c r="K3175" i="1" s="1"/>
  <c r="O3175" i="1" s="1"/>
  <c r="J3176" i="1"/>
  <c r="K3176" i="1" s="1"/>
  <c r="O3176" i="1" s="1"/>
  <c r="J3177" i="1"/>
  <c r="K3177" i="1" s="1"/>
  <c r="O3177" i="1" s="1"/>
  <c r="J3178" i="1"/>
  <c r="K3178" i="1" s="1"/>
  <c r="O3178" i="1" s="1"/>
  <c r="J3179" i="1"/>
  <c r="K3179" i="1" s="1"/>
  <c r="O3179" i="1" s="1"/>
  <c r="L3180" i="1"/>
  <c r="N3180" i="1" s="1"/>
  <c r="O3180" i="1" s="1"/>
  <c r="L3181" i="1"/>
  <c r="N3181" i="1" s="1"/>
  <c r="O3181" i="1" s="1"/>
  <c r="J3186" i="1"/>
  <c r="K3186" i="1" s="1"/>
  <c r="O3186" i="1" s="1"/>
  <c r="J3187" i="1"/>
  <c r="K3187" i="1" s="1"/>
  <c r="O3187" i="1" s="1"/>
  <c r="J3188" i="1"/>
  <c r="K3188" i="1" s="1"/>
  <c r="O3188" i="1" s="1"/>
  <c r="J3189" i="1"/>
  <c r="K3189" i="1" s="1"/>
  <c r="O3189" i="1" s="1"/>
  <c r="J3190" i="1"/>
  <c r="K3190" i="1" s="1"/>
  <c r="O3190" i="1" s="1"/>
  <c r="J3191" i="1"/>
  <c r="K3191" i="1" s="1"/>
  <c r="O3191" i="1" s="1"/>
  <c r="J3192" i="1"/>
  <c r="K3192" i="1" s="1"/>
  <c r="O3192" i="1" s="1"/>
  <c r="J3193" i="1"/>
  <c r="K3193" i="1" s="1"/>
  <c r="O3193" i="1" s="1"/>
  <c r="J3194" i="1"/>
  <c r="K3194" i="1" s="1"/>
  <c r="O3194" i="1" s="1"/>
  <c r="J3195" i="1"/>
  <c r="K3195" i="1" s="1"/>
  <c r="O3195" i="1" s="1"/>
  <c r="J3196" i="1"/>
  <c r="K3196" i="1" s="1"/>
  <c r="O3196" i="1" s="1"/>
  <c r="J3207" i="1"/>
  <c r="K3207" i="1" s="1"/>
  <c r="O3207" i="1" s="1"/>
  <c r="J3208" i="1"/>
  <c r="K3208" i="1" s="1"/>
  <c r="O3208" i="1" s="1"/>
  <c r="J3209" i="1"/>
  <c r="K3209" i="1" s="1"/>
  <c r="O3209" i="1" s="1"/>
  <c r="J3210" i="1"/>
  <c r="K3210" i="1" s="1"/>
  <c r="O3210" i="1" s="1"/>
  <c r="J3211" i="1"/>
  <c r="K3211" i="1" s="1"/>
  <c r="O3211" i="1" s="1"/>
  <c r="J3212" i="1"/>
  <c r="K3212" i="1" s="1"/>
  <c r="O3212" i="1" s="1"/>
  <c r="J3213" i="1"/>
  <c r="K3213" i="1" s="1"/>
  <c r="O3213" i="1" s="1"/>
  <c r="J3214" i="1"/>
  <c r="K3214" i="1" s="1"/>
  <c r="O3214" i="1" s="1"/>
  <c r="J3215" i="1"/>
  <c r="K3215" i="1" s="1"/>
  <c r="O3215" i="1" s="1"/>
  <c r="J3216" i="1"/>
  <c r="K3216" i="1" s="1"/>
  <c r="O3216" i="1" s="1"/>
  <c r="H3225" i="1"/>
  <c r="K3225" i="1"/>
  <c r="L3225" i="1"/>
  <c r="N3225" i="1" s="1"/>
  <c r="H3226" i="1"/>
  <c r="K3226" i="1"/>
  <c r="L3226" i="1"/>
  <c r="N3226" i="1" s="1"/>
  <c r="H3227" i="1"/>
  <c r="K3227" i="1"/>
  <c r="L3227" i="1"/>
  <c r="N3227" i="1" s="1"/>
  <c r="J3228" i="1"/>
  <c r="K3228" i="1" s="1"/>
  <c r="O3228" i="1" s="1"/>
  <c r="J3229" i="1"/>
  <c r="K3229" i="1"/>
  <c r="O3229" i="1" s="1"/>
  <c r="J3230" i="1"/>
  <c r="K3230" i="1" s="1"/>
  <c r="O3230" i="1" s="1"/>
  <c r="J3231" i="1"/>
  <c r="K3231" i="1" s="1"/>
  <c r="O3231" i="1" s="1"/>
  <c r="J3232" i="1"/>
  <c r="K3232" i="1" s="1"/>
  <c r="O3232" i="1" s="1"/>
  <c r="J3233" i="1"/>
  <c r="K3233" i="1" s="1"/>
  <c r="O3233" i="1" s="1"/>
  <c r="J3234" i="1"/>
  <c r="K3234" i="1" s="1"/>
  <c r="O3234" i="1" s="1"/>
  <c r="J3235" i="1"/>
  <c r="K3235" i="1" s="1"/>
  <c r="O3235" i="1" s="1"/>
  <c r="J3236" i="1"/>
  <c r="K3236" i="1" s="1"/>
  <c r="O3236" i="1" s="1"/>
  <c r="J3237" i="1"/>
  <c r="K3237" i="1" s="1"/>
  <c r="O3237" i="1" s="1"/>
  <c r="J3238" i="1"/>
  <c r="K3238" i="1" s="1"/>
  <c r="O3238" i="1" s="1"/>
  <c r="J3239" i="1"/>
  <c r="K3239" i="1" s="1"/>
  <c r="O3239" i="1" s="1"/>
  <c r="J3241" i="1"/>
  <c r="K3241" i="1" s="1"/>
  <c r="O3241" i="1" s="1"/>
  <c r="J3242" i="1"/>
  <c r="K3242" i="1" s="1"/>
  <c r="O3242" i="1" s="1"/>
  <c r="J3243" i="1"/>
  <c r="K3243" i="1" s="1"/>
  <c r="O3243" i="1" s="1"/>
  <c r="J3244" i="1"/>
  <c r="K3244" i="1" s="1"/>
  <c r="O3244" i="1" s="1"/>
  <c r="J3245" i="1"/>
  <c r="K3245" i="1" s="1"/>
  <c r="O3245" i="1" s="1"/>
  <c r="J3246" i="1"/>
  <c r="K3246" i="1" s="1"/>
  <c r="O3246" i="1" s="1"/>
  <c r="J3247" i="1"/>
  <c r="K3247" i="1" s="1"/>
  <c r="O3247" i="1" s="1"/>
  <c r="J3248" i="1"/>
  <c r="K3248" i="1" s="1"/>
  <c r="O3248" i="1" s="1"/>
  <c r="J3258" i="1"/>
  <c r="K3258" i="1" s="1"/>
  <c r="O3258" i="1" s="1"/>
  <c r="J3259" i="1"/>
  <c r="K3259" i="1" s="1"/>
  <c r="O3259" i="1" s="1"/>
  <c r="J3260" i="1"/>
  <c r="K3260" i="1" s="1"/>
  <c r="O3260" i="1" s="1"/>
  <c r="J3261" i="1"/>
  <c r="K3261" i="1" s="1"/>
  <c r="O3261" i="1" s="1"/>
  <c r="J3262" i="1"/>
  <c r="K3262" i="1" s="1"/>
  <c r="O3262" i="1" s="1"/>
  <c r="J3263" i="1"/>
  <c r="K3263" i="1" s="1"/>
  <c r="O3263" i="1" s="1"/>
  <c r="J3264" i="1"/>
  <c r="K3264" i="1" s="1"/>
  <c r="O3264" i="1" s="1"/>
  <c r="J3265" i="1"/>
  <c r="K3265" i="1" s="1"/>
  <c r="O3265" i="1" s="1"/>
  <c r="H3266" i="1"/>
  <c r="K3266" i="1"/>
  <c r="L3266" i="1"/>
  <c r="N3266" i="1" s="1"/>
  <c r="H3267" i="1"/>
  <c r="K3267" i="1"/>
  <c r="L3267" i="1"/>
  <c r="N3267" i="1" s="1"/>
  <c r="H3268" i="1"/>
  <c r="K3268" i="1"/>
  <c r="L3268" i="1"/>
  <c r="N3268" i="1" s="1"/>
  <c r="J3269" i="1"/>
  <c r="K3269" i="1"/>
  <c r="O3269" i="1" s="1"/>
  <c r="J3273" i="1"/>
  <c r="K3273" i="1" s="1"/>
  <c r="O3273" i="1" s="1"/>
  <c r="J3274" i="1"/>
  <c r="K3274" i="1" s="1"/>
  <c r="O3274" i="1" s="1"/>
  <c r="J3275" i="1"/>
  <c r="K3275" i="1" s="1"/>
  <c r="O3275" i="1" s="1"/>
  <c r="J3276" i="1"/>
  <c r="K3276" i="1" s="1"/>
  <c r="O3276" i="1" s="1"/>
  <c r="J3277" i="1"/>
  <c r="K3277" i="1" s="1"/>
  <c r="O3277" i="1" s="1"/>
  <c r="J3278" i="1"/>
  <c r="K3278" i="1" s="1"/>
  <c r="O3278" i="1" s="1"/>
  <c r="J3280" i="1"/>
  <c r="K3280" i="1" s="1"/>
  <c r="O3280" i="1" s="1"/>
  <c r="D148" i="2"/>
  <c r="D159" i="2"/>
  <c r="L4712" i="1"/>
  <c r="N4712" i="1" s="1"/>
  <c r="L921" i="1"/>
  <c r="N921" i="1" s="1"/>
  <c r="O921" i="1" s="1"/>
  <c r="L114" i="1"/>
  <c r="N114" i="1" s="1"/>
  <c r="O114" i="1" s="1"/>
  <c r="L1378" i="1"/>
  <c r="N1378" i="1" s="1"/>
  <c r="O1378" i="1" s="1"/>
  <c r="L501" i="1"/>
  <c r="N501" i="1" s="1"/>
  <c r="O501" i="1" s="1"/>
  <c r="J295" i="1"/>
  <c r="J293" i="1" s="1"/>
  <c r="L115" i="1"/>
  <c r="N115" i="1" s="1"/>
  <c r="O115" i="1" s="1"/>
  <c r="L394" i="1"/>
  <c r="E76" i="5"/>
  <c r="F76" i="5" s="1"/>
  <c r="F36" i="6"/>
  <c r="J1697" i="1"/>
  <c r="K1697" i="1" s="1"/>
  <c r="L782" i="1"/>
  <c r="N782" i="1" s="1"/>
  <c r="O782" i="1" s="1"/>
  <c r="J123" i="1"/>
  <c r="K123" i="1" s="1"/>
  <c r="E184" i="5"/>
  <c r="F184" i="5" s="1"/>
  <c r="E94" i="5"/>
  <c r="F94" i="5" s="1"/>
  <c r="L670" i="1"/>
  <c r="N670" i="1" s="1"/>
  <c r="O670" i="1" s="1"/>
  <c r="K936" i="1"/>
  <c r="O936" i="1" s="1"/>
  <c r="H1286" i="1"/>
  <c r="J791" i="1"/>
  <c r="K791" i="1" s="1"/>
  <c r="O791" i="1" s="1"/>
  <c r="J1517" i="1"/>
  <c r="N1520" i="1"/>
  <c r="L395" i="1"/>
  <c r="N395" i="1" s="1"/>
  <c r="O395" i="1" s="1"/>
  <c r="N798" i="1"/>
  <c r="L925" i="1"/>
  <c r="N925" i="1" s="1"/>
  <c r="O925" i="1" s="1"/>
  <c r="K1219" i="1"/>
  <c r="O1219" i="1" s="1"/>
  <c r="J630" i="1"/>
  <c r="L398" i="1"/>
  <c r="N398" i="1" s="1"/>
  <c r="O398" i="1" s="1"/>
  <c r="K624" i="1"/>
  <c r="O624" i="1" s="1"/>
  <c r="L449" i="1"/>
  <c r="N449" i="1" s="1"/>
  <c r="O449" i="1" s="1"/>
  <c r="L500" i="1"/>
  <c r="N500" i="1" s="1"/>
  <c r="O500" i="1" s="1"/>
  <c r="H620" i="1"/>
  <c r="L117" i="1"/>
  <c r="N117" i="1" s="1"/>
  <c r="O117" i="1" s="1"/>
  <c r="H229" i="1"/>
  <c r="L922" i="1"/>
  <c r="N922" i="1" s="1"/>
  <c r="O922" i="1" s="1"/>
  <c r="L16" i="1"/>
  <c r="N16" i="1" s="1"/>
  <c r="O16" i="1" s="1"/>
  <c r="J627" i="1"/>
  <c r="J626" i="1" s="1"/>
  <c r="L2849" i="1"/>
  <c r="N2849" i="1" s="1"/>
  <c r="O2849" i="1" s="1"/>
  <c r="L116" i="1"/>
  <c r="N116" i="1" s="1"/>
  <c r="O116" i="1" s="1"/>
  <c r="J1092" i="1"/>
  <c r="J1091" i="1" s="1"/>
  <c r="N790" i="1"/>
  <c r="N506" i="1"/>
  <c r="H453" i="1"/>
  <c r="G390" i="1"/>
  <c r="D37" i="2" s="1"/>
  <c r="N694" i="1"/>
  <c r="K623" i="1"/>
  <c r="H523" i="1"/>
  <c r="E17" i="5"/>
  <c r="K291" i="1"/>
  <c r="O291" i="1" s="1"/>
  <c r="H1388" i="1"/>
  <c r="H939" i="1"/>
  <c r="F869" i="1"/>
  <c r="C72" i="2" s="1"/>
  <c r="I830" i="1"/>
  <c r="F68" i="2" s="1"/>
  <c r="N736" i="1"/>
  <c r="H635" i="1"/>
  <c r="H609" i="1"/>
  <c r="K553" i="1"/>
  <c r="H337" i="1"/>
  <c r="N236" i="1"/>
  <c r="H13" i="1"/>
  <c r="J1095" i="1"/>
  <c r="K1095" i="1" s="1"/>
  <c r="O1095" i="1" s="1"/>
  <c r="J239" i="1"/>
  <c r="K239" i="1" s="1"/>
  <c r="N57" i="1"/>
  <c r="O57" i="1" s="1"/>
  <c r="G1629" i="1"/>
  <c r="K1110" i="1"/>
  <c r="O1110" i="1" s="1"/>
  <c r="K520" i="1"/>
  <c r="O520" i="1" s="1"/>
  <c r="J1221" i="1"/>
  <c r="K1221" i="1" s="1"/>
  <c r="L498" i="1"/>
  <c r="N498" i="1" s="1"/>
  <c r="O498" i="1" s="1"/>
  <c r="K1408" i="1"/>
  <c r="O1408" i="1" s="1"/>
  <c r="J1397" i="1"/>
  <c r="K1397" i="1"/>
  <c r="L1041" i="1"/>
  <c r="N1041" i="1" s="1"/>
  <c r="N1068" i="1"/>
  <c r="O1068" i="1" s="1"/>
  <c r="J734" i="1"/>
  <c r="J733" i="1"/>
  <c r="K785" i="1"/>
  <c r="O785" i="1" s="1"/>
  <c r="L1571" i="1"/>
  <c r="N1571" i="1" s="1"/>
  <c r="O1571" i="1" s="1"/>
  <c r="N1171" i="1"/>
  <c r="N626" i="1"/>
  <c r="N620" i="1"/>
  <c r="N630" i="1"/>
  <c r="L466" i="1"/>
  <c r="N466" i="1"/>
  <c r="N491" i="1"/>
  <c r="O491" i="1" s="1"/>
  <c r="L113" i="1"/>
  <c r="N113" i="1" s="1"/>
  <c r="O113" i="1" s="1"/>
  <c r="E305" i="5"/>
  <c r="E186" i="5"/>
  <c r="L926" i="1"/>
  <c r="N926" i="1" s="1"/>
  <c r="O926" i="1" s="1"/>
  <c r="E127" i="5"/>
  <c r="F127" i="5" s="1"/>
  <c r="L668" i="1"/>
  <c r="N668" i="1"/>
  <c r="O668" i="1" s="1"/>
  <c r="E243" i="5"/>
  <c r="L1270" i="1"/>
  <c r="N1270" i="1" s="1"/>
  <c r="O1270" i="1" s="1"/>
  <c r="F94" i="2"/>
  <c r="K1160" i="1"/>
  <c r="O1160" i="1" s="1"/>
  <c r="L923" i="1"/>
  <c r="E309" i="5"/>
  <c r="F309" i="5" s="1"/>
  <c r="L1691" i="1"/>
  <c r="N1691" i="1" s="1"/>
  <c r="O1691" i="1" s="1"/>
  <c r="L2848" i="1"/>
  <c r="N2848" i="1" s="1"/>
  <c r="O2848" i="1" s="1"/>
  <c r="L338" i="1"/>
  <c r="N338" i="1"/>
  <c r="O338" i="1" s="1"/>
  <c r="L285" i="1"/>
  <c r="N285" i="1" s="1"/>
  <c r="O285" i="1" s="1"/>
  <c r="E65" i="5"/>
  <c r="E188" i="5"/>
  <c r="L928" i="1"/>
  <c r="N928" i="1" s="1"/>
  <c r="O928" i="1" s="1"/>
  <c r="F295" i="5"/>
  <c r="L1580" i="1"/>
  <c r="N1580" i="1" s="1"/>
  <c r="O1580" i="1" s="1"/>
  <c r="N1276" i="1"/>
  <c r="N1221" i="1"/>
  <c r="K1218" i="1"/>
  <c r="H1171" i="1"/>
  <c r="G493" i="1"/>
  <c r="D45" i="2" s="1"/>
  <c r="G443" i="1"/>
  <c r="D41" i="2" s="1"/>
  <c r="K1589" i="1"/>
  <c r="O1589" i="1" s="1"/>
  <c r="E178" i="7"/>
  <c r="F178" i="7" s="1"/>
  <c r="J1032" i="1"/>
  <c r="K1032" i="1" s="1"/>
  <c r="O1032" i="1" s="1"/>
  <c r="N682" i="1"/>
  <c r="M551" i="1"/>
  <c r="J49" i="2" s="1"/>
  <c r="K1522" i="1"/>
  <c r="O1522" i="1" s="1"/>
  <c r="K1045" i="1"/>
  <c r="O1045" i="1" s="1"/>
  <c r="E187" i="5"/>
  <c r="F187" i="5" s="1"/>
  <c r="L927" i="1"/>
  <c r="N927" i="1" s="1"/>
  <c r="O927" i="1" s="1"/>
  <c r="K109" i="1"/>
  <c r="O109" i="1" s="1"/>
  <c r="J108" i="1"/>
  <c r="K108" i="1" s="1"/>
  <c r="H1602" i="1"/>
  <c r="N567" i="1"/>
  <c r="N509" i="1"/>
  <c r="H1445" i="1"/>
  <c r="K445" i="1"/>
  <c r="H82" i="1"/>
  <c r="G227" i="1"/>
  <c r="D26" i="2" s="1"/>
  <c r="E119" i="7"/>
  <c r="J569" i="1"/>
  <c r="K569" i="1" s="1"/>
  <c r="O569" i="1" s="1"/>
  <c r="J941" i="1"/>
  <c r="J939" i="1" s="1"/>
  <c r="K692" i="1"/>
  <c r="O692" i="1" s="1"/>
  <c r="H685" i="1"/>
  <c r="L635" i="1"/>
  <c r="N733" i="1"/>
  <c r="N342" i="1"/>
  <c r="E249" i="5"/>
  <c r="F249" i="5" s="1"/>
  <c r="L1321" i="1"/>
  <c r="N1321" i="1" s="1"/>
  <c r="O1321" i="1" s="1"/>
  <c r="H1940" i="1"/>
  <c r="E142" i="2" s="1"/>
  <c r="N1094" i="1"/>
  <c r="N679" i="1"/>
  <c r="N72" i="1"/>
  <c r="H682" i="1"/>
  <c r="N577" i="1"/>
  <c r="K392" i="1"/>
  <c r="H407" i="1"/>
  <c r="G832" i="1"/>
  <c r="G830" i="1" s="1"/>
  <c r="D68" i="2" s="1"/>
  <c r="K456" i="1"/>
  <c r="O456" i="1" s="1"/>
  <c r="L446" i="1"/>
  <c r="L2841" i="1"/>
  <c r="N2841" i="1" s="1"/>
  <c r="O2841" i="1" s="1"/>
  <c r="K241" i="1"/>
  <c r="O241" i="1" s="1"/>
  <c r="N1316" i="1"/>
  <c r="O1316" i="1" s="1"/>
  <c r="K507" i="1"/>
  <c r="O507" i="1" s="1"/>
  <c r="O506" i="1" s="1"/>
  <c r="L397" i="1"/>
  <c r="N397" i="1" s="1"/>
  <c r="O397" i="1" s="1"/>
  <c r="L1234" i="1"/>
  <c r="N1234" i="1" s="1"/>
  <c r="L986" i="1"/>
  <c r="N986" i="1" s="1"/>
  <c r="N1014" i="1"/>
  <c r="O1014" i="1" s="1"/>
  <c r="N834" i="1"/>
  <c r="O834" i="1" s="1"/>
  <c r="M227" i="1"/>
  <c r="J26" i="2" s="1"/>
  <c r="E50" i="6"/>
  <c r="F50" i="6" s="1"/>
  <c r="F47" i="6" s="1"/>
  <c r="J683" i="1"/>
  <c r="E18" i="19"/>
  <c r="J504" i="1"/>
  <c r="K504" i="1" s="1"/>
  <c r="O504" i="1" s="1"/>
  <c r="K621" i="1"/>
  <c r="O621" i="1" s="1"/>
  <c r="H1094" i="1"/>
  <c r="K1326" i="1"/>
  <c r="O1326" i="1" s="1"/>
  <c r="L393" i="1"/>
  <c r="N393" i="1" s="1"/>
  <c r="O393" i="1" s="1"/>
  <c r="E75" i="5"/>
  <c r="L876" i="1"/>
  <c r="N876" i="1" s="1"/>
  <c r="O876" i="1" s="1"/>
  <c r="E178" i="5"/>
  <c r="F178" i="5" s="1"/>
  <c r="E130" i="5"/>
  <c r="L671" i="1"/>
  <c r="N671" i="1" s="1"/>
  <c r="O671" i="1" s="1"/>
  <c r="E97" i="5"/>
  <c r="L499" i="1"/>
  <c r="N499" i="1" s="1"/>
  <c r="O499" i="1" s="1"/>
  <c r="H807" i="1"/>
  <c r="N345" i="1"/>
  <c r="O1461" i="1"/>
  <c r="N623" i="1"/>
  <c r="H416" i="1"/>
  <c r="M390" i="1"/>
  <c r="J37" i="2" s="1"/>
  <c r="K337" i="1"/>
  <c r="N192" i="1"/>
  <c r="E119" i="5"/>
  <c r="F119" i="5" s="1"/>
  <c r="L613" i="1"/>
  <c r="N613" i="1" s="1"/>
  <c r="O613" i="1" s="1"/>
  <c r="E131" i="5"/>
  <c r="F131" i="5" s="1"/>
  <c r="L672" i="1"/>
  <c r="N672" i="1" s="1"/>
  <c r="O672" i="1" s="1"/>
  <c r="N1459" i="1"/>
  <c r="K583" i="1"/>
  <c r="O583" i="1" s="1"/>
  <c r="F390" i="1"/>
  <c r="C37" i="2" s="1"/>
  <c r="K61" i="1"/>
  <c r="L184" i="1"/>
  <c r="N184" i="1" s="1"/>
  <c r="N1697" i="1"/>
  <c r="H360" i="1"/>
  <c r="H126" i="1"/>
  <c r="E16" i="5"/>
  <c r="L17" i="1"/>
  <c r="N17" i="1" s="1"/>
  <c r="O17" i="1" s="1"/>
  <c r="E278" i="5"/>
  <c r="L1508" i="1"/>
  <c r="N939" i="1"/>
  <c r="H72" i="1"/>
  <c r="K1331" i="1"/>
  <c r="O1331" i="1" s="1"/>
  <c r="L360" i="1"/>
  <c r="N387" i="1"/>
  <c r="O387" i="1" s="1"/>
  <c r="K31" i="1"/>
  <c r="O31" i="1" s="1"/>
  <c r="J20" i="1"/>
  <c r="K20" i="1" s="1"/>
  <c r="F11" i="1"/>
  <c r="C11" i="2" s="1"/>
  <c r="E90" i="5"/>
  <c r="L450" i="1"/>
  <c r="N450" i="1" s="1"/>
  <c r="O450" i="1" s="1"/>
  <c r="E244" i="5"/>
  <c r="L1271" i="1"/>
  <c r="H1218" i="1"/>
  <c r="K788" i="1"/>
  <c r="O788" i="1" s="1"/>
  <c r="E269" i="5"/>
  <c r="L1447" i="1"/>
  <c r="N1447" i="1" s="1"/>
  <c r="O1447" i="1" s="1"/>
  <c r="N1338" i="1"/>
  <c r="G1567" i="1"/>
  <c r="D118" i="2" s="1"/>
  <c r="L1150" i="1"/>
  <c r="N123" i="1"/>
  <c r="G918" i="1"/>
  <c r="D76" i="2" s="1"/>
  <c r="K1660" i="1"/>
  <c r="O1660" i="1" s="1"/>
  <c r="K1419" i="1"/>
  <c r="O1419" i="1" s="1"/>
  <c r="K1310" i="1"/>
  <c r="O1310" i="1" s="1"/>
  <c r="K1250" i="1"/>
  <c r="O1250" i="1" s="1"/>
  <c r="N874" i="1"/>
  <c r="O874" i="1" s="1"/>
  <c r="H33" i="1"/>
  <c r="J237" i="1"/>
  <c r="E177" i="5"/>
  <c r="L875" i="1"/>
  <c r="N875" i="1" s="1"/>
  <c r="O875" i="1" s="1"/>
  <c r="L2839" i="1"/>
  <c r="N2839" i="1" s="1"/>
  <c r="O2839" i="1" s="1"/>
  <c r="L2847" i="1"/>
  <c r="N2847" i="1" s="1"/>
  <c r="O2847" i="1" s="1"/>
  <c r="E29" i="3"/>
  <c r="J677" i="1"/>
  <c r="K677" i="1" s="1"/>
  <c r="O677" i="1" s="1"/>
  <c r="E15" i="19"/>
  <c r="H1656" i="1"/>
  <c r="M1318" i="1"/>
  <c r="J102" i="2" s="1"/>
  <c r="H920" i="1"/>
  <c r="E310" i="5"/>
  <c r="F310" i="5" s="1"/>
  <c r="L1692" i="1"/>
  <c r="N1692" i="1" s="1"/>
  <c r="O1692" i="1" s="1"/>
  <c r="E128" i="5"/>
  <c r="L669" i="1"/>
  <c r="I227" i="1"/>
  <c r="F26" i="2" s="1"/>
  <c r="K920" i="1"/>
  <c r="N1885" i="1"/>
  <c r="O1885" i="1" s="1"/>
  <c r="K371" i="1"/>
  <c r="O371" i="1" s="1"/>
  <c r="K249" i="1"/>
  <c r="O249" i="1" s="1"/>
  <c r="N234" i="1"/>
  <c r="O234" i="1" s="1"/>
  <c r="H108" i="1"/>
  <c r="M59" i="1"/>
  <c r="J15" i="2" s="1"/>
  <c r="N69" i="1"/>
  <c r="F59" i="1"/>
  <c r="C15" i="2" s="1"/>
  <c r="H69" i="1"/>
  <c r="H61" i="1"/>
  <c r="G59" i="1"/>
  <c r="D15" i="2" s="1"/>
  <c r="K403" i="1"/>
  <c r="O992" i="1"/>
  <c r="H403" i="1"/>
  <c r="E270" i="5"/>
  <c r="F270" i="5" s="1"/>
  <c r="L1448" i="1"/>
  <c r="N1448" i="1" s="1"/>
  <c r="O1448" i="1" s="1"/>
  <c r="N403" i="1"/>
  <c r="E137" i="5"/>
  <c r="F137" i="5" s="1"/>
  <c r="K404" i="1"/>
  <c r="O404" i="1" s="1"/>
  <c r="J2145" i="1"/>
  <c r="K2145" i="1" s="1"/>
  <c r="O2145" i="1" s="1"/>
  <c r="G278" i="1"/>
  <c r="J2141" i="1"/>
  <c r="K2141" i="1" s="1"/>
  <c r="O2141" i="1" s="1"/>
  <c r="J2149" i="1"/>
  <c r="K2149" i="1" s="1"/>
  <c r="O2149" i="1" s="1"/>
  <c r="K1262" i="1"/>
  <c r="O1262" i="1" s="1"/>
  <c r="K314" i="1"/>
  <c r="O314" i="1" s="1"/>
  <c r="L231" i="1"/>
  <c r="N231" i="1" s="1"/>
  <c r="O231" i="1" s="1"/>
  <c r="E54" i="5"/>
  <c r="F54" i="5" s="1"/>
  <c r="K1457" i="1"/>
  <c r="O1457" i="1" s="1"/>
  <c r="L2896" i="1"/>
  <c r="N2896" i="1" s="1"/>
  <c r="O2896" i="1" s="1"/>
  <c r="L2990" i="1"/>
  <c r="N2990" i="1" s="1"/>
  <c r="O2990" i="1" s="1"/>
  <c r="J2147" i="1"/>
  <c r="K2147" i="1" s="1"/>
  <c r="O2147" i="1" s="1"/>
  <c r="F219" i="5"/>
  <c r="N1640" i="1"/>
  <c r="H392" i="1"/>
  <c r="H1587" i="1"/>
  <c r="H1535" i="1"/>
  <c r="N1517" i="1"/>
  <c r="H290" i="1"/>
  <c r="M278" i="1"/>
  <c r="J30" i="2" s="1"/>
  <c r="H192" i="1"/>
  <c r="N82" i="1"/>
  <c r="N20" i="1"/>
  <c r="M830" i="1"/>
  <c r="J68" i="2" s="1"/>
  <c r="N1587" i="1"/>
  <c r="M1369" i="1"/>
  <c r="J106" i="2" s="1"/>
  <c r="K1371" i="1"/>
  <c r="H1329" i="1"/>
  <c r="K1207" i="1"/>
  <c r="H1148" i="1"/>
  <c r="H1091" i="1"/>
  <c r="I1016" i="1"/>
  <c r="F82" i="2" s="1"/>
  <c r="N893" i="1"/>
  <c r="H878" i="1"/>
  <c r="I869" i="1"/>
  <c r="F72" i="2" s="1"/>
  <c r="H836" i="1"/>
  <c r="N807" i="1"/>
  <c r="N787" i="1"/>
  <c r="N784" i="1"/>
  <c r="G665" i="1"/>
  <c r="D56" i="2" s="1"/>
  <c r="H630" i="1"/>
  <c r="K620" i="1"/>
  <c r="O620" i="1" s="1"/>
  <c r="K609" i="1"/>
  <c r="H577" i="1"/>
  <c r="N523" i="1"/>
  <c r="H509" i="1"/>
  <c r="M493" i="1"/>
  <c r="J45" i="2" s="1"/>
  <c r="N407" i="1"/>
  <c r="O189" i="1"/>
  <c r="L1510" i="1"/>
  <c r="N1510" i="1" s="1"/>
  <c r="O1510" i="1" s="1"/>
  <c r="H1759" i="1"/>
  <c r="G1753" i="1"/>
  <c r="D131" i="2" s="1"/>
  <c r="M1753" i="1"/>
  <c r="J131" i="2" s="1"/>
  <c r="F1505" i="1"/>
  <c r="C114" i="2" s="1"/>
  <c r="I1071" i="1"/>
  <c r="F86" i="2" s="1"/>
  <c r="M665" i="1"/>
  <c r="J56" i="2" s="1"/>
  <c r="I665" i="1"/>
  <c r="F56" i="2" s="1"/>
  <c r="F665" i="1"/>
  <c r="C56" i="2" s="1"/>
  <c r="M443" i="1"/>
  <c r="J41" i="2" s="1"/>
  <c r="J343" i="1"/>
  <c r="K343" i="1" s="1"/>
  <c r="O343" i="1" s="1"/>
  <c r="F335" i="1"/>
  <c r="C34" i="2" s="1"/>
  <c r="F227" i="1"/>
  <c r="C26" i="2" s="1"/>
  <c r="I59" i="1"/>
  <c r="F15" i="2"/>
  <c r="M11" i="1"/>
  <c r="J11" i="2" s="1"/>
  <c r="J1459" i="1"/>
  <c r="K1459" i="1" s="1"/>
  <c r="M1071" i="1"/>
  <c r="J86" i="2" s="1"/>
  <c r="J308" i="1"/>
  <c r="J416" i="1"/>
  <c r="K416" i="1" s="1"/>
  <c r="J407" i="1"/>
  <c r="K407" i="1" s="1"/>
  <c r="J192" i="1"/>
  <c r="I1369" i="1"/>
  <c r="F106" i="2" s="1"/>
  <c r="M869" i="1"/>
  <c r="J72" i="2" s="1"/>
  <c r="L447" i="1"/>
  <c r="N447" i="1"/>
  <c r="O447" i="1" s="1"/>
  <c r="N1218" i="1"/>
  <c r="J126" i="1"/>
  <c r="J1234" i="1"/>
  <c r="J345" i="1"/>
  <c r="K345" i="1" s="1"/>
  <c r="O345" i="1" s="1"/>
  <c r="J694" i="1"/>
  <c r="K694" i="1" s="1"/>
  <c r="O694" i="1" s="1"/>
  <c r="N503" i="1"/>
  <c r="H1912" i="1"/>
  <c r="E23" i="19"/>
  <c r="J72" i="1"/>
  <c r="K72" i="1" s="1"/>
  <c r="J1329" i="1"/>
  <c r="J1462" i="1"/>
  <c r="G869" i="1"/>
  <c r="N548" i="1"/>
  <c r="O548" i="1" s="1"/>
  <c r="L118" i="1"/>
  <c r="N118" i="1" s="1"/>
  <c r="O118" i="1" s="1"/>
  <c r="E345" i="5"/>
  <c r="G1443" i="1"/>
  <c r="D110" i="2" s="1"/>
  <c r="J794" i="1"/>
  <c r="K794" i="1" s="1"/>
  <c r="J360" i="1"/>
  <c r="K360" i="1" s="1"/>
  <c r="H1772" i="1"/>
  <c r="J1411" i="1"/>
  <c r="K1411" i="1" s="1"/>
  <c r="H2326" i="1"/>
  <c r="E144" i="2" s="1"/>
  <c r="K871" i="1"/>
  <c r="F493" i="1"/>
  <c r="C45" i="2" s="1"/>
  <c r="H667" i="1"/>
  <c r="L1577" i="1"/>
  <c r="N1577" i="1" s="1"/>
  <c r="O1577" i="1" s="1"/>
  <c r="J577" i="1"/>
  <c r="K577" i="1" s="1"/>
  <c r="O577" i="1" s="1"/>
  <c r="J635" i="1"/>
  <c r="K635" i="1" s="1"/>
  <c r="J986" i="1"/>
  <c r="J1276" i="1"/>
  <c r="K1276" i="1" s="1"/>
  <c r="F159" i="5"/>
  <c r="N2644" i="1"/>
  <c r="K2677" i="1"/>
  <c r="F237" i="5"/>
  <c r="F322" i="5"/>
  <c r="F375" i="7"/>
  <c r="F20" i="3"/>
  <c r="F17" i="3" s="1"/>
  <c r="F272" i="5"/>
  <c r="F302" i="5"/>
  <c r="F227" i="5"/>
  <c r="F18" i="10"/>
  <c r="F16" i="10" s="1"/>
  <c r="F177" i="7"/>
  <c r="F57" i="5"/>
  <c r="J790" i="1"/>
  <c r="K790" i="1" s="1"/>
  <c r="F264" i="5"/>
  <c r="F259" i="5"/>
  <c r="F234" i="5"/>
  <c r="F26" i="5"/>
  <c r="F148" i="5"/>
  <c r="F153" i="5"/>
  <c r="F146" i="5"/>
  <c r="F211" i="5"/>
  <c r="J136" i="1"/>
  <c r="K136" i="1" s="1"/>
  <c r="N765" i="1"/>
  <c r="O765" i="1" s="1"/>
  <c r="F34" i="5"/>
  <c r="F279" i="5"/>
  <c r="H2563" i="1"/>
  <c r="E145" i="2" s="1"/>
  <c r="L1509" i="1"/>
  <c r="N1509" i="1" s="1"/>
  <c r="O1509" i="1" s="1"/>
  <c r="J2587" i="1"/>
  <c r="K2587" i="1" s="1"/>
  <c r="F98" i="5"/>
  <c r="O1005" i="1"/>
  <c r="J2143" i="1"/>
  <c r="K2143" i="1" s="1"/>
  <c r="O2143" i="1" s="1"/>
  <c r="J69" i="1"/>
  <c r="K69" i="1" s="1"/>
  <c r="J1094" i="1"/>
  <c r="K1094" i="1" s="1"/>
  <c r="O2698" i="1"/>
  <c r="O2787" i="1"/>
  <c r="O2763" i="1"/>
  <c r="H1041" i="1"/>
  <c r="H1882" i="1"/>
  <c r="O2766" i="1"/>
  <c r="O2773" i="1"/>
  <c r="H1569" i="1"/>
  <c r="N1091" i="1"/>
  <c r="O2694" i="1"/>
  <c r="O3085" i="1"/>
  <c r="O3143" i="1"/>
  <c r="O4414" i="1"/>
  <c r="O4701" i="1"/>
  <c r="O3133" i="1"/>
  <c r="O4479" i="1"/>
  <c r="O4610" i="1"/>
  <c r="O2733" i="1"/>
  <c r="O2745" i="1"/>
  <c r="O3165" i="1"/>
  <c r="O4694" i="1"/>
  <c r="O4511" i="1"/>
  <c r="O4505" i="1"/>
  <c r="O4569" i="1"/>
  <c r="O3099" i="1"/>
  <c r="O3131" i="1"/>
  <c r="O4489" i="1"/>
  <c r="O4530" i="1"/>
  <c r="O4589" i="1"/>
  <c r="O2793" i="1"/>
  <c r="K3067" i="1"/>
  <c r="O4509" i="1"/>
  <c r="O3063" i="1"/>
  <c r="O3120" i="1"/>
  <c r="O3132" i="1"/>
  <c r="O3135" i="1"/>
  <c r="O4700" i="1"/>
  <c r="O4522" i="1"/>
  <c r="O4541" i="1"/>
  <c r="O4628" i="1"/>
  <c r="O3149" i="1"/>
  <c r="F4399" i="1"/>
  <c r="C2101" i="1"/>
  <c r="I2101" i="1" s="1"/>
  <c r="K2101" i="1" s="1"/>
  <c r="O2101" i="1" s="1"/>
  <c r="K2029" i="1"/>
  <c r="O2029" i="1" s="1"/>
  <c r="O2716" i="1"/>
  <c r="O2605" i="1"/>
  <c r="O2789" i="1"/>
  <c r="O2701" i="1"/>
  <c r="O2786" i="1"/>
  <c r="O2717" i="1"/>
  <c r="O2795" i="1"/>
  <c r="O2696" i="1"/>
  <c r="O2695" i="1"/>
  <c r="O2738" i="1"/>
  <c r="O2748" i="1"/>
  <c r="O2785" i="1"/>
  <c r="O3064" i="1"/>
  <c r="O3074" i="1"/>
  <c r="O4430" i="1"/>
  <c r="O4508" i="1"/>
  <c r="L1578" i="1"/>
  <c r="F39" i="5"/>
  <c r="O2724" i="1"/>
  <c r="O3125" i="1"/>
  <c r="O4424" i="1"/>
  <c r="O4682" i="1"/>
  <c r="O4550" i="1"/>
  <c r="O4579" i="1"/>
  <c r="O2768" i="1"/>
  <c r="O3118" i="1"/>
  <c r="O3140" i="1"/>
  <c r="L4399" i="1"/>
  <c r="L4402" i="1" s="1"/>
  <c r="O4663" i="1"/>
  <c r="O4710" i="1"/>
  <c r="O4523" i="1"/>
  <c r="O4588" i="1"/>
  <c r="O4606" i="1"/>
  <c r="O3126" i="1"/>
  <c r="O4451" i="1"/>
  <c r="O4495" i="1"/>
  <c r="L2897" i="1"/>
  <c r="N2897" i="1" s="1"/>
  <c r="O2897" i="1" s="1"/>
  <c r="O2742" i="1"/>
  <c r="O3127" i="1"/>
  <c r="K4499" i="1"/>
  <c r="O4665" i="1"/>
  <c r="O4593" i="1"/>
  <c r="O4586" i="1"/>
  <c r="M1443" i="1"/>
  <c r="J110" i="2" s="1"/>
  <c r="N1329" i="1"/>
  <c r="O2704" i="1"/>
  <c r="O3100" i="1"/>
  <c r="O4440" i="1"/>
  <c r="O4456" i="1"/>
  <c r="O4692" i="1"/>
  <c r="O4532" i="1"/>
  <c r="O2744" i="1"/>
  <c r="O4419" i="1"/>
  <c r="O4457" i="1"/>
  <c r="O4674" i="1"/>
  <c r="O4678" i="1"/>
  <c r="O4501" i="1"/>
  <c r="O4526" i="1"/>
  <c r="O4591" i="1"/>
  <c r="O4445" i="1"/>
  <c r="O4474" i="1"/>
  <c r="O4507" i="1"/>
  <c r="J4399" i="1"/>
  <c r="J4402" i="1" s="1"/>
  <c r="K4568" i="1"/>
  <c r="O4568" i="1" s="1"/>
  <c r="O3150" i="1"/>
  <c r="H893" i="1"/>
  <c r="O2685" i="1"/>
  <c r="O2687" i="1"/>
  <c r="O3068" i="1"/>
  <c r="O3112" i="1"/>
  <c r="O3134" i="1"/>
  <c r="O3148" i="1"/>
  <c r="O3082" i="1"/>
  <c r="O3113" i="1"/>
  <c r="O2741" i="1"/>
  <c r="O3065" i="1"/>
  <c r="O3138" i="1"/>
  <c r="O3097" i="1"/>
  <c r="K1325" i="1"/>
  <c r="O3081" i="1"/>
  <c r="F260" i="5"/>
  <c r="O3152" i="1"/>
  <c r="O2697" i="1"/>
  <c r="O4709" i="1"/>
  <c r="N1030" i="1"/>
  <c r="F72" i="5"/>
  <c r="G3057" i="1"/>
  <c r="H3057" i="1" s="1"/>
  <c r="E150" i="2" s="1"/>
  <c r="O4596" i="1"/>
  <c r="K826" i="1"/>
  <c r="O826" i="1"/>
  <c r="J807" i="1"/>
  <c r="K807" i="1" s="1"/>
  <c r="O807" i="1" s="1"/>
  <c r="O4558" i="1"/>
  <c r="O4409" i="1"/>
  <c r="O4590" i="1"/>
  <c r="J1030" i="1"/>
  <c r="K1030" i="1" s="1"/>
  <c r="C407" i="1"/>
  <c r="N1602" i="1"/>
  <c r="O3220" i="1"/>
  <c r="N1582" i="1"/>
  <c r="F191" i="5"/>
  <c r="O4408" i="1"/>
  <c r="O2707" i="1"/>
  <c r="O4512" i="1"/>
  <c r="H390" i="1"/>
  <c r="E37" i="2" s="1"/>
  <c r="O403" i="1"/>
  <c r="H1411" i="1"/>
  <c r="N794" i="1"/>
  <c r="H1755" i="1"/>
  <c r="K935" i="1"/>
  <c r="I723" i="1"/>
  <c r="F60" i="2" s="1"/>
  <c r="M723" i="1"/>
  <c r="J60" i="2" s="1"/>
  <c r="F283" i="5"/>
  <c r="O3161" i="1"/>
  <c r="F1071" i="1"/>
  <c r="C86" i="2" s="1"/>
  <c r="O3124" i="1"/>
  <c r="O4707" i="1"/>
  <c r="O4493" i="1"/>
  <c r="O4545" i="1"/>
  <c r="O3083" i="1"/>
  <c r="O4708" i="1"/>
  <c r="O4527" i="1"/>
  <c r="O4431" i="1"/>
  <c r="O4652" i="1"/>
  <c r="O4542" i="1"/>
  <c r="O990" i="1"/>
  <c r="O4420" i="1"/>
  <c r="O4585" i="1"/>
  <c r="O2622" i="1"/>
  <c r="K192" i="1"/>
  <c r="O192" i="1" s="1"/>
  <c r="O1518" i="1"/>
  <c r="F1205" i="1"/>
  <c r="C94" i="2" s="1"/>
  <c r="H1582" i="1"/>
  <c r="G1146" i="1"/>
  <c r="I918" i="1"/>
  <c r="F76" i="2" s="1"/>
  <c r="H871" i="1"/>
  <c r="C2100" i="1"/>
  <c r="I2100" i="1" s="1"/>
  <c r="K2100" i="1" s="1"/>
  <c r="O2100" i="1" s="1"/>
  <c r="N1759" i="1"/>
  <c r="H1325" i="1"/>
  <c r="H1320" i="1"/>
  <c r="M1268" i="1"/>
  <c r="J99" i="2" s="1"/>
  <c r="M1880" i="1"/>
  <c r="J139" i="2" s="1"/>
  <c r="I1687" i="1"/>
  <c r="F126" i="2" s="1"/>
  <c r="N1462" i="1"/>
  <c r="G759" i="1"/>
  <c r="F1753" i="1"/>
  <c r="K1169" i="1"/>
  <c r="O1169" i="1" s="1"/>
  <c r="J1158" i="1"/>
  <c r="K1158" i="1" s="1"/>
  <c r="I759" i="1"/>
  <c r="F64" i="2" s="1"/>
  <c r="K761" i="1"/>
  <c r="C118" i="2"/>
  <c r="N1271" i="1"/>
  <c r="O1271" i="1" s="1"/>
  <c r="K1543" i="1"/>
  <c r="O1543" i="1" s="1"/>
  <c r="M759" i="1"/>
  <c r="J64" i="2" s="1"/>
  <c r="C2102" i="1"/>
  <c r="I2102" i="1" s="1"/>
  <c r="K2102" i="1" s="1"/>
  <c r="O2102" i="1" s="1"/>
  <c r="H1276" i="1"/>
  <c r="G723" i="1"/>
  <c r="H733" i="1"/>
  <c r="O4582" i="1"/>
  <c r="K1348" i="1"/>
  <c r="O1348" i="1" s="1"/>
  <c r="J1338" i="1"/>
  <c r="J1318" i="1" s="1"/>
  <c r="J1099" i="1"/>
  <c r="K1099" i="1" s="1"/>
  <c r="K1101" i="1"/>
  <c r="O1101" i="1" s="1"/>
  <c r="K740" i="1"/>
  <c r="O740" i="1" s="1"/>
  <c r="J736" i="1"/>
  <c r="K736" i="1" s="1"/>
  <c r="K308" i="1"/>
  <c r="J893" i="1"/>
  <c r="K893" i="1" s="1"/>
  <c r="K896" i="1"/>
  <c r="O896" i="1" s="1"/>
  <c r="K891" i="1"/>
  <c r="O891" i="1" s="1"/>
  <c r="J878" i="1"/>
  <c r="J682" i="1"/>
  <c r="K682" i="1" s="1"/>
  <c r="O682" i="1" s="1"/>
  <c r="K683" i="1"/>
  <c r="O683" i="1" s="1"/>
  <c r="I1800" i="1"/>
  <c r="F135" i="2" s="1"/>
  <c r="O4669" i="1"/>
  <c r="O4552" i="1"/>
  <c r="O4608" i="1"/>
  <c r="O4601" i="1"/>
  <c r="G1071" i="1"/>
  <c r="D86" i="2"/>
  <c r="O4504" i="1"/>
  <c r="O4556" i="1"/>
  <c r="O4435" i="1"/>
  <c r="O4491" i="1"/>
  <c r="O4492" i="1"/>
  <c r="O4570" i="1"/>
  <c r="O4425" i="1"/>
  <c r="O4477" i="1"/>
  <c r="O4697" i="1"/>
  <c r="O4500" i="1"/>
  <c r="O4592" i="1"/>
  <c r="O3142" i="1"/>
  <c r="O4683" i="1"/>
  <c r="O4506" i="1"/>
  <c r="F111" i="5"/>
  <c r="F104" i="5"/>
  <c r="F15" i="5"/>
  <c r="O3155" i="1"/>
  <c r="K1055" i="1"/>
  <c r="O1055" i="1" s="1"/>
  <c r="J1041" i="1"/>
  <c r="K1041" i="1" s="1"/>
  <c r="K1178" i="1"/>
  <c r="O1178" i="1" s="1"/>
  <c r="J1171" i="1"/>
  <c r="K1171" i="1" s="1"/>
  <c r="F1146" i="1"/>
  <c r="C90" i="2" s="1"/>
  <c r="H1158" i="1"/>
  <c r="D149" i="2"/>
  <c r="H665" i="1"/>
  <c r="E56" i="2" s="1"/>
  <c r="I1318" i="1"/>
  <c r="F102" i="2" s="1"/>
  <c r="O4567" i="1"/>
  <c r="F182" i="5"/>
  <c r="O4446" i="1"/>
  <c r="O4484" i="1"/>
  <c r="O4684" i="1"/>
  <c r="O4698" i="1"/>
  <c r="O4553" i="1"/>
  <c r="O4547" i="1"/>
  <c r="O4607" i="1"/>
  <c r="O4613" i="1"/>
  <c r="O3146" i="1"/>
  <c r="O4467" i="1"/>
  <c r="O4618" i="1"/>
  <c r="O4513" i="1"/>
  <c r="O4540" i="1"/>
  <c r="O4551" i="1"/>
  <c r="O4581" i="1"/>
  <c r="O4594" i="1"/>
  <c r="F99" i="5"/>
  <c r="O4450" i="1"/>
  <c r="O4465" i="1"/>
  <c r="O3221" i="1"/>
  <c r="O4629" i="1"/>
  <c r="F251" i="5"/>
  <c r="F235" i="5"/>
  <c r="F400" i="7"/>
  <c r="F319" i="7"/>
  <c r="F253" i="7"/>
  <c r="F215" i="5"/>
  <c r="F22" i="10"/>
  <c r="F20" i="10" s="1"/>
  <c r="O3087" i="1"/>
  <c r="F23" i="19"/>
  <c r="F103" i="5"/>
  <c r="F384" i="7"/>
  <c r="F377" i="7"/>
  <c r="F370" i="7"/>
  <c r="F291" i="5"/>
  <c r="F23" i="5"/>
  <c r="F311" i="7"/>
  <c r="F304" i="7"/>
  <c r="F295" i="7"/>
  <c r="F12" i="10"/>
  <c r="F20" i="38"/>
  <c r="F328" i="7"/>
  <c r="F324" i="7"/>
  <c r="F314" i="7"/>
  <c r="F291" i="7"/>
  <c r="F276" i="7"/>
  <c r="F303" i="5"/>
  <c r="F109" i="5"/>
  <c r="F102" i="5"/>
  <c r="F63" i="5"/>
  <c r="F100" i="5"/>
  <c r="F123" i="5"/>
  <c r="F149" i="5"/>
  <c r="F280" i="7"/>
  <c r="F273" i="7"/>
  <c r="F244" i="7"/>
  <c r="F240" i="7"/>
  <c r="F220" i="7"/>
  <c r="F211" i="7"/>
  <c r="F204" i="7"/>
  <c r="F182" i="7"/>
  <c r="F171" i="7"/>
  <c r="F145" i="7"/>
  <c r="F125" i="7"/>
  <c r="F115" i="7"/>
  <c r="F121" i="5"/>
  <c r="F116" i="5"/>
  <c r="F284" i="5"/>
  <c r="F163" i="5"/>
  <c r="F156" i="5"/>
  <c r="O2629" i="1"/>
  <c r="F155" i="5"/>
  <c r="F190" i="5"/>
  <c r="F290" i="5"/>
  <c r="F22" i="5"/>
  <c r="F168" i="5"/>
  <c r="F181" i="5"/>
  <c r="F256" i="7"/>
  <c r="F238" i="7"/>
  <c r="F230" i="7"/>
  <c r="F30" i="5"/>
  <c r="O2797" i="1"/>
  <c r="C315" i="5"/>
  <c r="O3163" i="1"/>
  <c r="F193" i="5"/>
  <c r="F325" i="5"/>
  <c r="F299" i="5"/>
  <c r="F22" i="38"/>
  <c r="F361" i="7"/>
  <c r="F354" i="7"/>
  <c r="F339" i="7"/>
  <c r="F300" i="7"/>
  <c r="F251" i="7"/>
  <c r="F180" i="7"/>
  <c r="F169" i="7"/>
  <c r="F158" i="7"/>
  <c r="F143" i="7"/>
  <c r="F74" i="7"/>
  <c r="F162" i="5"/>
  <c r="F13" i="6"/>
  <c r="F10" i="6" s="1"/>
  <c r="F198" i="5"/>
  <c r="F28" i="38"/>
  <c r="O28" i="38" s="1"/>
  <c r="F380" i="7"/>
  <c r="F298" i="7"/>
  <c r="F268" i="7"/>
  <c r="F335" i="5"/>
  <c r="F326" i="5"/>
  <c r="F323" i="5"/>
  <c r="F313" i="5"/>
  <c r="F250" i="5"/>
  <c r="F224" i="5"/>
  <c r="F202" i="5"/>
  <c r="F140" i="5"/>
  <c r="F61" i="5"/>
  <c r="F366" i="7"/>
  <c r="F331" i="7"/>
  <c r="F307" i="7"/>
  <c r="F244" i="5"/>
  <c r="F80" i="5"/>
  <c r="F40" i="5"/>
  <c r="C115" i="5"/>
  <c r="C126" i="5"/>
  <c r="F44" i="6"/>
  <c r="F41" i="6" s="1"/>
  <c r="F39" i="6" s="1"/>
  <c r="F34" i="6" s="1"/>
  <c r="O3103" i="1"/>
  <c r="O2791" i="1"/>
  <c r="F308" i="5"/>
  <c r="F288" i="5"/>
  <c r="F200" i="5"/>
  <c r="F174" i="5"/>
  <c r="N730" i="1"/>
  <c r="O730" i="1" s="1"/>
  <c r="F301" i="5"/>
  <c r="F20" i="6"/>
  <c r="F17" i="6" s="1"/>
  <c r="F15" i="6" s="1"/>
  <c r="F18" i="19"/>
  <c r="O2670" i="1"/>
  <c r="O3073" i="1"/>
  <c r="O3078" i="1"/>
  <c r="O3094" i="1"/>
  <c r="O2659" i="1"/>
  <c r="O2796" i="1"/>
  <c r="O2772" i="1"/>
  <c r="O2778" i="1"/>
  <c r="O2732" i="1"/>
  <c r="O3071" i="1"/>
  <c r="O3077" i="1"/>
  <c r="O2735" i="1"/>
  <c r="O2769" i="1"/>
  <c r="O2606" i="1"/>
  <c r="O2752" i="1"/>
  <c r="O3110" i="1"/>
  <c r="O2779" i="1"/>
  <c r="O3104" i="1"/>
  <c r="O2754" i="1"/>
  <c r="O2765" i="1"/>
  <c r="O2792" i="1"/>
  <c r="O2755" i="1"/>
  <c r="O2760" i="1"/>
  <c r="O3164" i="1"/>
  <c r="O2794" i="1"/>
  <c r="D150" i="2"/>
  <c r="D64" i="2"/>
  <c r="D60" i="2"/>
  <c r="O3156" i="1"/>
  <c r="G1318" i="1"/>
  <c r="H246" i="1"/>
  <c r="H239" i="1"/>
  <c r="O4058" i="1"/>
  <c r="O4370" i="1"/>
  <c r="K832" i="1"/>
  <c r="H798" i="1"/>
  <c r="H761" i="1"/>
  <c r="K725" i="1"/>
  <c r="O4063" i="1"/>
  <c r="O4101" i="1"/>
  <c r="O4103" i="1"/>
  <c r="I1268" i="1"/>
  <c r="F99" i="2" s="1"/>
  <c r="H1099" i="1"/>
  <c r="O4494" i="1"/>
  <c r="H136" i="1"/>
  <c r="J2142" i="1"/>
  <c r="K2142" i="1" s="1"/>
  <c r="O2142" i="1" s="1"/>
  <c r="O3462" i="1"/>
  <c r="O3495" i="1"/>
  <c r="O3503" i="1"/>
  <c r="O3507" i="1"/>
  <c r="O3464" i="1"/>
  <c r="O3465" i="1"/>
  <c r="O3472" i="1"/>
  <c r="O3506" i="1"/>
  <c r="O3555" i="1"/>
  <c r="O3564" i="1"/>
  <c r="O3566" i="1"/>
  <c r="O3590" i="1"/>
  <c r="O4001" i="1"/>
  <c r="O4154" i="1"/>
  <c r="H676" i="1"/>
  <c r="F207" i="7"/>
  <c r="F198" i="7"/>
  <c r="F191" i="7"/>
  <c r="F184" i="7"/>
  <c r="F174" i="7"/>
  <c r="O3442" i="1"/>
  <c r="O3769" i="1"/>
  <c r="O3463" i="1"/>
  <c r="O3466" i="1"/>
  <c r="O3471" i="1"/>
  <c r="O3563" i="1"/>
  <c r="O3668" i="1"/>
  <c r="O3672" i="1"/>
  <c r="O4020" i="1"/>
  <c r="O4362" i="1"/>
  <c r="O2719" i="1"/>
  <c r="O3159" i="1"/>
  <c r="O4516" i="1"/>
  <c r="O3144" i="1"/>
  <c r="O4670" i="1"/>
  <c r="K1993" i="1"/>
  <c r="O1993" i="1" s="1"/>
  <c r="J390" i="1"/>
  <c r="G37" i="2" s="1"/>
  <c r="K627" i="1"/>
  <c r="O627" i="1" s="1"/>
  <c r="L13" i="1"/>
  <c r="N1656" i="1"/>
  <c r="H1813" i="1"/>
  <c r="F79" i="5"/>
  <c r="O4565" i="1"/>
  <c r="O3354" i="1"/>
  <c r="O3380" i="1"/>
  <c r="O3539" i="1"/>
  <c r="O3541" i="1"/>
  <c r="O3549" i="1"/>
  <c r="O3562" i="1"/>
  <c r="O3591" i="1"/>
  <c r="O3612" i="1"/>
  <c r="O3617" i="1"/>
  <c r="O3835" i="1"/>
  <c r="O3938" i="1"/>
  <c r="O3308" i="1"/>
  <c r="O3345" i="1"/>
  <c r="O3427" i="1"/>
  <c r="O3797" i="1"/>
  <c r="O3878" i="1"/>
  <c r="O3958" i="1"/>
  <c r="O3992" i="1"/>
  <c r="O4132" i="1"/>
  <c r="O4140" i="1"/>
  <c r="O4333" i="1"/>
  <c r="O4335" i="1"/>
  <c r="O4340" i="1"/>
  <c r="O4342" i="1"/>
  <c r="O4344" i="1"/>
  <c r="O4346" i="1"/>
  <c r="O4349" i="1"/>
  <c r="N453" i="1"/>
  <c r="O3335" i="1"/>
  <c r="O3337" i="1"/>
  <c r="O3431" i="1"/>
  <c r="O3493" i="1"/>
  <c r="O3498" i="1"/>
  <c r="O3500" i="1"/>
  <c r="O3743" i="1"/>
  <c r="O3972" i="1"/>
  <c r="O4057" i="1"/>
  <c r="O4059" i="1"/>
  <c r="O4069" i="1"/>
  <c r="O4105" i="1"/>
  <c r="O4122" i="1"/>
  <c r="K1689" i="1"/>
  <c r="O3752" i="1"/>
  <c r="O3754" i="1"/>
  <c r="C3919" i="1"/>
  <c r="G1369" i="1"/>
  <c r="D106" i="2" s="1"/>
  <c r="N1397" i="1"/>
  <c r="F106" i="1"/>
  <c r="C19" i="2" s="1"/>
  <c r="H123" i="1"/>
  <c r="H1697" i="1"/>
  <c r="O3331" i="1"/>
  <c r="O3340" i="1"/>
  <c r="O3381" i="1"/>
  <c r="O3421" i="1"/>
  <c r="O3423" i="1"/>
  <c r="O3478" i="1"/>
  <c r="O3492" i="1"/>
  <c r="O3496" i="1"/>
  <c r="O3778" i="1"/>
  <c r="O3828" i="1"/>
  <c r="O4025" i="1"/>
  <c r="O4027" i="1"/>
  <c r="O4029" i="1"/>
  <c r="O4049" i="1"/>
  <c r="O4081" i="1"/>
  <c r="O4359" i="1"/>
  <c r="O4366" i="1"/>
  <c r="O4391" i="1"/>
  <c r="G335" i="1"/>
  <c r="I335" i="1"/>
  <c r="F34" i="2" s="1"/>
  <c r="J106" i="1"/>
  <c r="G19" i="2" s="1"/>
  <c r="M1629" i="1"/>
  <c r="J122" i="2" s="1"/>
  <c r="H1517" i="1"/>
  <c r="K1507" i="1"/>
  <c r="M1016" i="1"/>
  <c r="J82" i="2" s="1"/>
  <c r="H2811" i="1"/>
  <c r="E149" i="2" s="1"/>
  <c r="J503" i="1"/>
  <c r="K503" i="1" s="1"/>
  <c r="O503" i="1" s="1"/>
  <c r="K1092" i="1"/>
  <c r="O1092" i="1" s="1"/>
  <c r="F1800" i="1"/>
  <c r="K1073" i="1"/>
  <c r="N685" i="1"/>
  <c r="H679" i="1"/>
  <c r="O4577" i="1"/>
  <c r="O3067" i="1"/>
  <c r="H832" i="1"/>
  <c r="L871" i="1"/>
  <c r="N871" i="1" s="1"/>
  <c r="O871" i="1" s="1"/>
  <c r="K1320" i="1"/>
  <c r="N878" i="1"/>
  <c r="H794" i="1"/>
  <c r="I1146" i="1"/>
  <c r="F90" i="2" s="1"/>
  <c r="F1443" i="1"/>
  <c r="H1459" i="1"/>
  <c r="H1456" i="1"/>
  <c r="K1445" i="1"/>
  <c r="I159" i="2"/>
  <c r="F93" i="7"/>
  <c r="F72" i="7"/>
  <c r="F49" i="7"/>
  <c r="F22" i="7"/>
  <c r="J2144" i="1"/>
  <c r="J2148" i="1"/>
  <c r="K2148" i="1" s="1"/>
  <c r="O2148" i="1" s="1"/>
  <c r="O4672" i="1"/>
  <c r="O3294" i="1"/>
  <c r="O3305" i="1"/>
  <c r="O3407" i="1"/>
  <c r="O3409" i="1"/>
  <c r="O3411" i="1"/>
  <c r="O3417" i="1"/>
  <c r="O3419" i="1"/>
  <c r="O3420" i="1"/>
  <c r="O3422" i="1"/>
  <c r="O3426" i="1"/>
  <c r="O3447" i="1"/>
  <c r="O3452" i="1"/>
  <c r="O3453" i="1"/>
  <c r="O3455" i="1"/>
  <c r="O3457" i="1"/>
  <c r="O3477" i="1"/>
  <c r="O3568" i="1"/>
  <c r="O3584" i="1"/>
  <c r="O3603" i="1"/>
  <c r="O3742" i="1"/>
  <c r="O3747" i="1"/>
  <c r="O3930" i="1"/>
  <c r="O3932" i="1"/>
  <c r="O3973" i="1"/>
  <c r="O4019" i="1"/>
  <c r="O4021" i="1"/>
  <c r="O4106" i="1"/>
  <c r="O4123" i="1"/>
  <c r="O4124" i="1"/>
  <c r="O4126" i="1"/>
  <c r="O4133" i="1"/>
  <c r="O4137" i="1"/>
  <c r="O4171" i="1"/>
  <c r="O4358" i="1"/>
  <c r="O4393" i="1"/>
  <c r="O4395" i="1"/>
  <c r="O4397" i="1"/>
  <c r="M607" i="1"/>
  <c r="H626" i="1"/>
  <c r="I11" i="1"/>
  <c r="F11" i="2" s="1"/>
  <c r="F19" i="38"/>
  <c r="F388" i="7"/>
  <c r="F284" i="7"/>
  <c r="F269" i="7"/>
  <c r="O3334" i="1"/>
  <c r="O3402" i="1"/>
  <c r="O3501" i="1"/>
  <c r="O3505" i="1"/>
  <c r="O3599" i="1"/>
  <c r="O3729" i="1"/>
  <c r="O3731" i="1"/>
  <c r="O3734" i="1"/>
  <c r="O3736" i="1"/>
  <c r="O3889" i="1"/>
  <c r="C3881" i="1" s="1"/>
  <c r="O3896" i="1"/>
  <c r="O3898" i="1"/>
  <c r="O3913" i="1"/>
  <c r="O3916" i="1"/>
  <c r="O3964" i="1"/>
  <c r="O3998" i="1"/>
  <c r="O4006" i="1"/>
  <c r="O4010" i="1"/>
  <c r="O4014" i="1"/>
  <c r="O4072" i="1"/>
  <c r="O4074" i="1"/>
  <c r="O4076" i="1"/>
  <c r="O4108" i="1"/>
  <c r="O4110" i="1"/>
  <c r="O4115" i="1"/>
  <c r="O4117" i="1"/>
  <c r="O4119" i="1"/>
  <c r="O4173" i="1"/>
  <c r="O4368" i="1"/>
  <c r="O4375" i="1"/>
  <c r="O4377" i="1"/>
  <c r="O4381" i="1"/>
  <c r="O4383" i="1"/>
  <c r="O4385" i="1"/>
  <c r="O4390" i="1"/>
  <c r="O3332" i="1"/>
  <c r="O3532" i="1"/>
  <c r="O3554" i="1"/>
  <c r="O3690" i="1"/>
  <c r="O3692" i="1"/>
  <c r="O3867" i="1"/>
  <c r="O3870" i="1"/>
  <c r="O3988" i="1"/>
  <c r="O3990" i="1"/>
  <c r="O4080" i="1"/>
  <c r="O4151" i="1"/>
  <c r="O4329" i="1"/>
  <c r="M918" i="1"/>
  <c r="J76" i="2" s="1"/>
  <c r="O3341" i="1"/>
  <c r="O3300" i="1"/>
  <c r="O3307" i="1"/>
  <c r="O3314" i="1"/>
  <c r="O3316" i="1"/>
  <c r="O3318" i="1"/>
  <c r="O3323" i="1"/>
  <c r="O3328" i="1"/>
  <c r="O3333" i="1"/>
  <c r="O3384" i="1"/>
  <c r="O3470" i="1"/>
  <c r="O3481" i="1"/>
  <c r="O3484" i="1"/>
  <c r="O3486" i="1"/>
  <c r="O3488" i="1"/>
  <c r="O3616" i="1"/>
  <c r="O3626" i="1"/>
  <c r="O3632" i="1"/>
  <c r="O3648" i="1"/>
  <c r="O3656" i="1"/>
  <c r="O3660" i="1"/>
  <c r="O3665" i="1"/>
  <c r="O3667" i="1"/>
  <c r="O3749" i="1"/>
  <c r="O3820" i="1"/>
  <c r="O3822" i="1"/>
  <c r="O3832" i="1"/>
  <c r="O3970" i="1"/>
  <c r="O3997" i="1"/>
  <c r="O4071" i="1"/>
  <c r="O4107" i="1"/>
  <c r="O4149" i="1"/>
  <c r="O4156" i="1"/>
  <c r="O4158" i="1"/>
  <c r="O4161" i="1"/>
  <c r="O4170" i="1"/>
  <c r="O4172" i="1"/>
  <c r="O4357" i="1"/>
  <c r="H1207" i="1"/>
  <c r="I171" i="1"/>
  <c r="F23" i="2" s="1"/>
  <c r="O4653" i="1"/>
  <c r="O3382" i="1"/>
  <c r="O3387" i="1"/>
  <c r="O3448" i="1"/>
  <c r="O3542" i="1"/>
  <c r="O3770" i="1"/>
  <c r="O3772" i="1"/>
  <c r="O3774" i="1"/>
  <c r="O3779" i="1"/>
  <c r="O3783" i="1"/>
  <c r="O3790" i="1"/>
  <c r="O3792" i="1"/>
  <c r="O3794" i="1"/>
  <c r="J3799" i="1"/>
  <c r="K3799" i="1" s="1"/>
  <c r="O3873" i="1"/>
  <c r="O3879" i="1"/>
  <c r="O3957" i="1"/>
  <c r="O3959" i="1"/>
  <c r="O4032" i="1"/>
  <c r="O4079" i="1"/>
  <c r="O4086" i="1"/>
  <c r="O4094" i="1"/>
  <c r="O4096" i="1"/>
  <c r="O4141" i="1"/>
  <c r="O4143" i="1"/>
  <c r="O4147" i="1"/>
  <c r="O4218" i="1"/>
  <c r="O4355" i="1"/>
  <c r="O4353" i="1"/>
  <c r="G1505" i="1"/>
  <c r="H1505" i="1" s="1"/>
  <c r="E114" i="2" s="1"/>
  <c r="H1520" i="1"/>
  <c r="O86" i="1"/>
  <c r="O4070" i="1"/>
  <c r="C4067" i="1"/>
  <c r="J4067" i="1" s="1"/>
  <c r="K4067" i="1" s="1"/>
  <c r="O4067" i="1" s="1"/>
  <c r="H2133" i="1"/>
  <c r="E143" i="2" s="1"/>
  <c r="H59" i="1"/>
  <c r="E15" i="2" s="1"/>
  <c r="N669" i="1"/>
  <c r="O669" i="1" s="1"/>
  <c r="N1150" i="1"/>
  <c r="O1150" i="1" s="1"/>
  <c r="F1016" i="1"/>
  <c r="C82" i="2" s="1"/>
  <c r="H1030" i="1"/>
  <c r="O1030" i="1" s="1"/>
  <c r="J1520" i="1"/>
  <c r="K1520" i="1" s="1"/>
  <c r="O2621" i="1"/>
  <c r="D72" i="2"/>
  <c r="H869" i="1"/>
  <c r="E72" i="2" s="1"/>
  <c r="N394" i="1"/>
  <c r="O394" i="1" s="1"/>
  <c r="K2139" i="1"/>
  <c r="O2139" i="1" s="1"/>
  <c r="K1537" i="1"/>
  <c r="O1537" i="1" s="1"/>
  <c r="J1535" i="1"/>
  <c r="O3153" i="1"/>
  <c r="O2666" i="1"/>
  <c r="K1782" i="1"/>
  <c r="O1782" i="1" s="1"/>
  <c r="K1626" i="1"/>
  <c r="O1626" i="1" s="1"/>
  <c r="K264" i="1"/>
  <c r="O264" i="1" s="1"/>
  <c r="J246" i="1"/>
  <c r="K246" i="1" s="1"/>
  <c r="O246" i="1" s="1"/>
  <c r="O3147" i="1"/>
  <c r="L3057" i="1"/>
  <c r="N1578" i="1"/>
  <c r="O1578" i="1" s="1"/>
  <c r="F607" i="1"/>
  <c r="C52" i="2" s="1"/>
  <c r="H623" i="1"/>
  <c r="K537" i="1"/>
  <c r="O537" i="1" s="1"/>
  <c r="J523" i="1"/>
  <c r="K523" i="1"/>
  <c r="H280" i="1"/>
  <c r="F278" i="1"/>
  <c r="H278" i="1" s="1"/>
  <c r="E30" i="2" s="1"/>
  <c r="H20" i="1"/>
  <c r="O20" i="1" s="1"/>
  <c r="G11" i="1"/>
  <c r="D11" i="2" s="1"/>
  <c r="O4572" i="1"/>
  <c r="O4587" i="1"/>
  <c r="K1854" i="1"/>
  <c r="O1854" i="1" s="1"/>
  <c r="J1813" i="1"/>
  <c r="K1813" i="1" s="1"/>
  <c r="K1712" i="1"/>
  <c r="O1712" i="1" s="1"/>
  <c r="J1700" i="1"/>
  <c r="G1687" i="1"/>
  <c r="E245" i="5"/>
  <c r="F245" i="5" s="1"/>
  <c r="L1272" i="1"/>
  <c r="F1268" i="1"/>
  <c r="H1269" i="1"/>
  <c r="F551" i="1"/>
  <c r="H553" i="1"/>
  <c r="O4407" i="1"/>
  <c r="O4469" i="1"/>
  <c r="O4497" i="1"/>
  <c r="O1094" i="1"/>
  <c r="K1292" i="1"/>
  <c r="O1292" i="1" s="1"/>
  <c r="J1286" i="1"/>
  <c r="I278" i="1"/>
  <c r="F30" i="2" s="1"/>
  <c r="K290" i="1"/>
  <c r="L1112" i="1"/>
  <c r="N1144" i="1"/>
  <c r="O1144" i="1" s="1"/>
  <c r="H986" i="1"/>
  <c r="F918" i="1"/>
  <c r="H918" i="1" s="1"/>
  <c r="E76" i="2" s="1"/>
  <c r="J798" i="1"/>
  <c r="K798" i="1" s="1"/>
  <c r="K805" i="1"/>
  <c r="O805" i="1" s="1"/>
  <c r="F759" i="1"/>
  <c r="C64" i="2" s="1"/>
  <c r="H790" i="1"/>
  <c r="E154" i="5"/>
  <c r="F154" i="5" s="1"/>
  <c r="L772" i="1"/>
  <c r="N772" i="1" s="1"/>
  <c r="O772" i="1" s="1"/>
  <c r="H736" i="1"/>
  <c r="F723" i="1"/>
  <c r="C60" i="2" s="1"/>
  <c r="H111" i="1"/>
  <c r="G106" i="1"/>
  <c r="L448" i="1"/>
  <c r="N448" i="1" s="1"/>
  <c r="O448" i="1" s="1"/>
  <c r="E88" i="5"/>
  <c r="F88" i="5" s="1"/>
  <c r="E268" i="5"/>
  <c r="F268" i="5" s="1"/>
  <c r="L1446" i="1"/>
  <c r="L1445" i="1" s="1"/>
  <c r="L1443" i="1" s="1"/>
  <c r="N1443" i="1" s="1"/>
  <c r="E226" i="5"/>
  <c r="L1151" i="1"/>
  <c r="N1151" i="1" s="1"/>
  <c r="E95" i="5"/>
  <c r="L497" i="1"/>
  <c r="E64" i="5"/>
  <c r="F64" i="5" s="1"/>
  <c r="L284" i="1"/>
  <c r="N284" i="1" s="1"/>
  <c r="O284" i="1" s="1"/>
  <c r="N1210" i="1"/>
  <c r="O1210" i="1" s="1"/>
  <c r="H567" i="1"/>
  <c r="G551" i="1"/>
  <c r="J342" i="1"/>
  <c r="J335" i="1" s="1"/>
  <c r="K511" i="1"/>
  <c r="O511" i="1" s="1"/>
  <c r="J509" i="1"/>
  <c r="K509" i="1" s="1"/>
  <c r="O509" i="1" s="1"/>
  <c r="I493" i="1"/>
  <c r="F45" i="2" s="1"/>
  <c r="K495" i="1"/>
  <c r="L416" i="1"/>
  <c r="N416" i="1" s="1"/>
  <c r="O416" i="1" s="1"/>
  <c r="N441" i="1"/>
  <c r="O441" i="1" s="1"/>
  <c r="C4075" i="1"/>
  <c r="J4075" i="1"/>
  <c r="K4075" i="1" s="1"/>
  <c r="O4075" i="1" s="1"/>
  <c r="O4078" i="1"/>
  <c r="N4372" i="1"/>
  <c r="O4372" i="1" s="1"/>
  <c r="M3282" i="1"/>
  <c r="J148" i="2" s="1"/>
  <c r="N635" i="1"/>
  <c r="C3508" i="1"/>
  <c r="J3508" i="1" s="1"/>
  <c r="K3508" i="1" s="1"/>
  <c r="C3691" i="1"/>
  <c r="J3691" i="1" s="1"/>
  <c r="K3691" i="1"/>
  <c r="C3715" i="1"/>
  <c r="O4018" i="1"/>
  <c r="O3398" i="1"/>
  <c r="C3635" i="1"/>
  <c r="O3810" i="1"/>
  <c r="F305" i="5"/>
  <c r="K630" i="1"/>
  <c r="O630" i="1"/>
  <c r="O4537" i="1"/>
  <c r="F42" i="5"/>
  <c r="O4627" i="1"/>
  <c r="O4452" i="1"/>
  <c r="O4098" i="1"/>
  <c r="O3830" i="1"/>
  <c r="O3295" i="1"/>
  <c r="O3437" i="1"/>
  <c r="O3766" i="1"/>
  <c r="O3869" i="1"/>
  <c r="O3983" i="1"/>
  <c r="O4055" i="1"/>
  <c r="O4145" i="1"/>
  <c r="O4174" i="1"/>
  <c r="O4387" i="1"/>
  <c r="O3824" i="1"/>
  <c r="O3406" i="1"/>
  <c r="O3449" i="1"/>
  <c r="O3456" i="1"/>
  <c r="O3567" i="1"/>
  <c r="O3877" i="1"/>
  <c r="O3892" i="1"/>
  <c r="O3954" i="1"/>
  <c r="O4031" i="1"/>
  <c r="O4378" i="1"/>
  <c r="O3292" i="1"/>
  <c r="O3299" i="1"/>
  <c r="O3320" i="1"/>
  <c r="O3327" i="1"/>
  <c r="O3336" i="1"/>
  <c r="O3338" i="1"/>
  <c r="O3829" i="1"/>
  <c r="O3989" i="1"/>
  <c r="O4087" i="1"/>
  <c r="O4167" i="1"/>
  <c r="O4341" i="1"/>
  <c r="O4367" i="1"/>
  <c r="O4388" i="1"/>
  <c r="O3313" i="1"/>
  <c r="O3399" i="1"/>
  <c r="O3461" i="1"/>
  <c r="O3836" i="1"/>
  <c r="O3901" i="1"/>
  <c r="O3975" i="1"/>
  <c r="O3979" i="1"/>
  <c r="O4113" i="1"/>
  <c r="O4287" i="1"/>
  <c r="O2566" i="1"/>
  <c r="O2662" i="1"/>
  <c r="O4666" i="1"/>
  <c r="C4036" i="1"/>
  <c r="O3814" i="1"/>
  <c r="I2098" i="1"/>
  <c r="O4566" i="1"/>
  <c r="O3404" i="1"/>
  <c r="O3487" i="1"/>
  <c r="O3550" i="1"/>
  <c r="L3825" i="1"/>
  <c r="N3825" i="1" s="1"/>
  <c r="O3825" i="1" s="1"/>
  <c r="O3928" i="1"/>
  <c r="O3942" i="1"/>
  <c r="O3948" i="1"/>
  <c r="O4047" i="1"/>
  <c r="O3304" i="1"/>
  <c r="O3355" i="1"/>
  <c r="O3479" i="1"/>
  <c r="O3480" i="1"/>
  <c r="O3545" i="1"/>
  <c r="O3329" i="1"/>
  <c r="O3344" i="1"/>
  <c r="O3403" i="1"/>
  <c r="O3412" i="1"/>
  <c r="O3311" i="1"/>
  <c r="O4088" i="1"/>
  <c r="O3289" i="1"/>
  <c r="O3322" i="1"/>
  <c r="O3394" i="1"/>
  <c r="O3553" i="1"/>
  <c r="O3943" i="1"/>
  <c r="O3310" i="1"/>
  <c r="O3325" i="1"/>
  <c r="O3330" i="1"/>
  <c r="O3379" i="1"/>
  <c r="O3388" i="1"/>
  <c r="O3834" i="1"/>
  <c r="F55" i="19"/>
  <c r="F4402" i="1"/>
  <c r="O2580" i="1"/>
  <c r="O2626" i="1"/>
  <c r="O2620" i="1"/>
  <c r="J676" i="1"/>
  <c r="K676" i="1" s="1"/>
  <c r="L1320" i="1"/>
  <c r="L1318" i="1" s="1"/>
  <c r="O2644" i="1"/>
  <c r="O4704" i="1"/>
  <c r="O4611" i="1"/>
  <c r="O4614" i="1"/>
  <c r="O3061" i="1"/>
  <c r="O4676" i="1"/>
  <c r="M4399" i="1"/>
  <c r="O3290" i="1"/>
  <c r="O3293" i="1"/>
  <c r="O3297" i="1"/>
  <c r="O3302" i="1"/>
  <c r="O3324" i="1"/>
  <c r="O3393" i="1"/>
  <c r="O3435" i="1"/>
  <c r="F3282" i="1"/>
  <c r="H3282" i="1" s="1"/>
  <c r="E148" i="2" s="1"/>
  <c r="O3296" i="1"/>
  <c r="O3352" i="1"/>
  <c r="O3443" i="1"/>
  <c r="O3816" i="1"/>
  <c r="O3319" i="1"/>
  <c r="O3321" i="1"/>
  <c r="C3523" i="1"/>
  <c r="O3306" i="1"/>
  <c r="O3339" i="1"/>
  <c r="O3386" i="1"/>
  <c r="O4043" i="1"/>
  <c r="O3425" i="1"/>
  <c r="O4114" i="1"/>
  <c r="O3396" i="1"/>
  <c r="O4364" i="1"/>
  <c r="O3291" i="1"/>
  <c r="O3309" i="1"/>
  <c r="O3430" i="1"/>
  <c r="O3865" i="1"/>
  <c r="O3871" i="1"/>
  <c r="O3891" i="1"/>
  <c r="O4065" i="1"/>
  <c r="O4350" i="1"/>
  <c r="O3385" i="1"/>
  <c r="O3965" i="1"/>
  <c r="O4371" i="1"/>
  <c r="O3298" i="1"/>
  <c r="O3383" i="1"/>
  <c r="O3408" i="1"/>
  <c r="O3424" i="1"/>
  <c r="O3445" i="1"/>
  <c r="O4112" i="1"/>
  <c r="O2577" i="1"/>
  <c r="O2614" i="1"/>
  <c r="O4436" i="1"/>
  <c r="O3101" i="1"/>
  <c r="O3312" i="1"/>
  <c r="O3405" i="1"/>
  <c r="O3806" i="1"/>
  <c r="O3551" i="1"/>
  <c r="O4000" i="1"/>
  <c r="O4066" i="1"/>
  <c r="O3939" i="1"/>
  <c r="D34" i="2"/>
  <c r="C3613" i="1"/>
  <c r="D49" i="2"/>
  <c r="N1112" i="1"/>
  <c r="K1535" i="1"/>
  <c r="N1272" i="1"/>
  <c r="O1272" i="1" s="1"/>
  <c r="K1700" i="1"/>
  <c r="L11" i="1"/>
  <c r="N13" i="1"/>
  <c r="O13" i="1" s="1"/>
  <c r="O2777" i="1"/>
  <c r="O2764" i="1"/>
  <c r="O4612" i="1"/>
  <c r="H759" i="1"/>
  <c r="E64" i="2" s="1"/>
  <c r="O3121" i="1"/>
  <c r="O3139" i="1"/>
  <c r="O3815" i="1"/>
  <c r="O3301" i="1"/>
  <c r="O3315" i="1"/>
  <c r="L3823" i="1"/>
  <c r="N3823" i="1" s="1"/>
  <c r="O3823" i="1" s="1"/>
  <c r="L3828" i="1"/>
  <c r="N3828" i="1" s="1"/>
  <c r="O3897" i="1"/>
  <c r="O3899" i="1"/>
  <c r="H1567" i="1"/>
  <c r="E118" i="2" s="1"/>
  <c r="F1629" i="1"/>
  <c r="C122" i="2" s="1"/>
  <c r="N1456" i="1"/>
  <c r="O1456" i="1" s="1"/>
  <c r="J1887" i="1"/>
  <c r="K1887" i="1" s="1"/>
  <c r="O3663" i="1"/>
  <c r="O3977" i="1"/>
  <c r="J1146" i="1"/>
  <c r="K1755" i="1"/>
  <c r="L337" i="1"/>
  <c r="O3227" i="1"/>
  <c r="F32" i="7"/>
  <c r="O3444" i="1"/>
  <c r="O3485" i="1"/>
  <c r="O4056" i="1"/>
  <c r="H1802" i="1"/>
  <c r="I1880" i="1"/>
  <c r="F139" i="2" s="1"/>
  <c r="O3588" i="1"/>
  <c r="O3596" i="1"/>
  <c r="O3644" i="1"/>
  <c r="O3649" i="1"/>
  <c r="O3662" i="1"/>
  <c r="O3670" i="1"/>
  <c r="O3955" i="1"/>
  <c r="O3960" i="1"/>
  <c r="O3974" i="1"/>
  <c r="O3976" i="1"/>
  <c r="O3985" i="1"/>
  <c r="O3987" i="1"/>
  <c r="O3991" i="1"/>
  <c r="J1772" i="1"/>
  <c r="K1772" i="1" s="1"/>
  <c r="J1016" i="1"/>
  <c r="D30" i="2"/>
  <c r="F1687" i="1"/>
  <c r="C126" i="2" s="1"/>
  <c r="O3268" i="1"/>
  <c r="O3266" i="1"/>
  <c r="G1880" i="1"/>
  <c r="D139" i="2" s="1"/>
  <c r="N1887" i="1"/>
  <c r="N1856" i="1"/>
  <c r="K1802" i="1"/>
  <c r="O3454" i="1"/>
  <c r="O3912" i="1"/>
  <c r="O3914" i="1"/>
  <c r="O3934" i="1"/>
  <c r="O3941" i="1"/>
  <c r="O3947" i="1"/>
  <c r="O4026" i="1"/>
  <c r="H335" i="1"/>
  <c r="E34" i="2" s="1"/>
  <c r="H1071" i="1"/>
  <c r="E86" i="2" s="1"/>
  <c r="J567" i="1"/>
  <c r="K567" i="1" s="1"/>
  <c r="O567" i="1" s="1"/>
  <c r="J1718" i="1"/>
  <c r="K1718" i="1" s="1"/>
  <c r="K295" i="1"/>
  <c r="O295" i="1" s="1"/>
  <c r="H173" i="1"/>
  <c r="F75" i="7"/>
  <c r="G171" i="1"/>
  <c r="D23" i="2"/>
  <c r="O4531" i="1"/>
  <c r="O2656" i="1"/>
  <c r="O2799" i="1"/>
  <c r="O2782" i="1"/>
  <c r="O4521" i="1"/>
  <c r="C3753" i="1"/>
  <c r="O123" i="1"/>
  <c r="M1146" i="1"/>
  <c r="J90" i="2" s="1"/>
  <c r="H1018" i="1"/>
  <c r="J1205" i="1"/>
  <c r="G94" i="2" s="1"/>
  <c r="M1800" i="1"/>
  <c r="J135" i="2" s="1"/>
  <c r="N1772" i="1"/>
  <c r="H1718" i="1"/>
  <c r="K1631" i="1"/>
  <c r="H1397" i="1"/>
  <c r="O1397" i="1" s="1"/>
  <c r="N1325" i="1"/>
  <c r="O1325" i="1" s="1"/>
  <c r="O3826" i="1"/>
  <c r="O3837" i="1"/>
  <c r="O3303" i="1"/>
  <c r="O3317" i="1"/>
  <c r="O4033" i="1"/>
  <c r="H1394" i="1"/>
  <c r="I1443" i="1"/>
  <c r="F110" i="2" s="1"/>
  <c r="O3773" i="1"/>
  <c r="O3984" i="1"/>
  <c r="K734" i="1"/>
  <c r="O734" i="1" s="1"/>
  <c r="O1218" i="1"/>
  <c r="O3374" i="1"/>
  <c r="O3544" i="1"/>
  <c r="O3740" i="1"/>
  <c r="F333" i="5"/>
  <c r="N1508" i="1"/>
  <c r="O1508" i="1" s="1"/>
  <c r="L1507" i="1"/>
  <c r="N1507" i="1" s="1"/>
  <c r="O1507" i="1" s="1"/>
  <c r="O1697" i="1"/>
  <c r="N3174" i="1"/>
  <c r="O3174" i="1" s="1"/>
  <c r="L3168" i="1"/>
  <c r="O4499" i="1"/>
  <c r="D102" i="2"/>
  <c r="C131" i="2"/>
  <c r="H1753" i="1"/>
  <c r="E131" i="2" s="1"/>
  <c r="D122" i="2"/>
  <c r="K237" i="1"/>
  <c r="O237" i="1" s="1"/>
  <c r="J236" i="1"/>
  <c r="J227" i="1" s="1"/>
  <c r="C110" i="2"/>
  <c r="H1443" i="1"/>
  <c r="E110" i="2" s="1"/>
  <c r="G102" i="2"/>
  <c r="K1318" i="1"/>
  <c r="H102" i="2" s="1"/>
  <c r="O1151" i="1"/>
  <c r="J869" i="1"/>
  <c r="K869" i="1" s="1"/>
  <c r="H72" i="2" s="1"/>
  <c r="K878" i="1"/>
  <c r="O878" i="1" s="1"/>
  <c r="N446" i="1"/>
  <c r="O446" i="1" s="1"/>
  <c r="O989" i="1"/>
  <c r="K986" i="1"/>
  <c r="O986" i="1" s="1"/>
  <c r="D90" i="2"/>
  <c r="H1146" i="1"/>
  <c r="E90" i="2" s="1"/>
  <c r="O523" i="1"/>
  <c r="H3168" i="1"/>
  <c r="E151" i="2" s="1"/>
  <c r="L1882" i="1"/>
  <c r="H1221" i="1"/>
  <c r="O1221" i="1" s="1"/>
  <c r="O3413" i="1"/>
  <c r="O3446" i="1"/>
  <c r="O3750" i="1"/>
  <c r="O3909" i="1"/>
  <c r="O3768" i="1"/>
  <c r="O3432" i="1"/>
  <c r="O3438" i="1"/>
  <c r="O3489" i="1"/>
  <c r="O3497" i="1"/>
  <c r="O3894" i="1"/>
  <c r="O3931" i="1"/>
  <c r="O3946" i="1"/>
  <c r="O4266" i="1"/>
  <c r="L2845" i="1"/>
  <c r="N2845" i="1" s="1"/>
  <c r="O2845" i="1" s="1"/>
  <c r="H11" i="1"/>
  <c r="E11" i="2" s="1"/>
  <c r="J1759" i="1"/>
  <c r="L1631" i="1"/>
  <c r="N1631" i="1" s="1"/>
  <c r="L1535" i="1"/>
  <c r="N1535" i="1" s="1"/>
  <c r="G1016" i="1"/>
  <c r="H1016" i="1" s="1"/>
  <c r="E82" i="2" s="1"/>
  <c r="N1685" i="1"/>
  <c r="O1685" i="1" s="1"/>
  <c r="F144" i="5"/>
  <c r="F282" i="5"/>
  <c r="O3460" i="1"/>
  <c r="O4009" i="1"/>
  <c r="O4111" i="1"/>
  <c r="O4135" i="1"/>
  <c r="O4392" i="1"/>
  <c r="J1640" i="1"/>
  <c r="K1234" i="1"/>
  <c r="O1234" i="1" s="1"/>
  <c r="L1755" i="1"/>
  <c r="N1755" i="1" s="1"/>
  <c r="L1718" i="1"/>
  <c r="N1718" i="1"/>
  <c r="K1462" i="1"/>
  <c r="O1462" i="1" s="1"/>
  <c r="J1912" i="1"/>
  <c r="K1912" i="1" s="1"/>
  <c r="F289" i="5"/>
  <c r="O1099" i="1"/>
  <c r="O239" i="1"/>
  <c r="O1171" i="1"/>
  <c r="J1112" i="1"/>
  <c r="K1112" i="1" s="1"/>
  <c r="O3739" i="1"/>
  <c r="O3767" i="1"/>
  <c r="O3789" i="1"/>
  <c r="O4205" i="1"/>
  <c r="O4354" i="1"/>
  <c r="O290" i="1"/>
  <c r="H493" i="1"/>
  <c r="E45" i="2" s="1"/>
  <c r="O2651" i="1"/>
  <c r="L1689" i="1"/>
  <c r="J1474" i="1"/>
  <c r="J1443" i="1" s="1"/>
  <c r="O2715" i="1"/>
  <c r="K1996" i="1"/>
  <c r="O1996" i="1" s="1"/>
  <c r="O4426" i="1"/>
  <c r="O4632" i="1"/>
  <c r="O4626" i="1" s="1"/>
  <c r="O4625" i="1" s="1"/>
  <c r="O4693" i="1"/>
  <c r="O4600" i="1"/>
  <c r="C49" i="2"/>
  <c r="H551" i="1"/>
  <c r="E49" i="2" s="1"/>
  <c r="O3060" i="1"/>
  <c r="O3154" i="1"/>
  <c r="O4696" i="1"/>
  <c r="C99" i="2"/>
  <c r="O3086" i="1"/>
  <c r="K939" i="1"/>
  <c r="O939" i="1" s="1"/>
  <c r="J918" i="1"/>
  <c r="G76" i="2" s="1"/>
  <c r="O3062" i="1"/>
  <c r="O3119" i="1"/>
  <c r="O136" i="1"/>
  <c r="O4060" i="1"/>
  <c r="O4083" i="1"/>
  <c r="O4091" i="1"/>
  <c r="O4148" i="1"/>
  <c r="K1338" i="1"/>
  <c r="K941" i="1"/>
  <c r="O941" i="1" s="1"/>
  <c r="F230" i="5"/>
  <c r="F204" i="5"/>
  <c r="F113" i="5"/>
  <c r="O3755" i="1"/>
  <c r="O3796" i="1"/>
  <c r="O3927" i="1"/>
  <c r="O4085" i="1"/>
  <c r="O3978" i="1"/>
  <c r="K1018" i="1"/>
  <c r="O3414" i="1"/>
  <c r="O4092" i="1"/>
  <c r="O4099" i="1"/>
  <c r="N1392" i="1"/>
  <c r="O1392" i="1" s="1"/>
  <c r="O3469" i="1"/>
  <c r="O3494" i="1"/>
  <c r="O3659" i="1"/>
  <c r="O3800" i="1"/>
  <c r="O3583" i="1"/>
  <c r="K733" i="1"/>
  <c r="O733" i="1" s="1"/>
  <c r="J723" i="1"/>
  <c r="O2595" i="1"/>
  <c r="C2382" i="1"/>
  <c r="D126" i="2"/>
  <c r="L1940" i="1"/>
  <c r="N1940" i="1" s="1"/>
  <c r="N2006" i="1"/>
  <c r="O2006" i="1" s="1"/>
  <c r="O2638" i="1"/>
  <c r="O2669" i="1"/>
  <c r="C135" i="2"/>
  <c r="O4536" i="1"/>
  <c r="O1041" i="1"/>
  <c r="O184" i="1"/>
  <c r="O4418" i="1"/>
  <c r="O4664" i="1"/>
  <c r="O3499" i="1"/>
  <c r="O3733" i="1"/>
  <c r="F43" i="5"/>
  <c r="O3833" i="1"/>
  <c r="O3929" i="1"/>
  <c r="O4048" i="1"/>
  <c r="O4146" i="1"/>
  <c r="O4226" i="1"/>
  <c r="O4361" i="1"/>
  <c r="O3540" i="1"/>
  <c r="E45" i="5"/>
  <c r="F45" i="5" s="1"/>
  <c r="O3569" i="1"/>
  <c r="O4104" i="1"/>
  <c r="O4153" i="1"/>
  <c r="N1394" i="1"/>
  <c r="C3516" i="1"/>
  <c r="O3775" i="1"/>
  <c r="O3875" i="1"/>
  <c r="O3986" i="1"/>
  <c r="O3999" i="1"/>
  <c r="O4077" i="1"/>
  <c r="O4369" i="1"/>
  <c r="H1385" i="1"/>
  <c r="F12" i="3"/>
  <c r="F10" i="3" s="1"/>
  <c r="C19" i="5"/>
  <c r="K784" i="1"/>
  <c r="O784" i="1" s="1"/>
  <c r="O3504" i="1"/>
  <c r="O3735" i="1"/>
  <c r="O3746" i="1"/>
  <c r="C3745" i="1" s="1"/>
  <c r="I3745" i="1" s="1"/>
  <c r="K3745" i="1" s="1"/>
  <c r="O3745" i="1" s="1"/>
  <c r="O3795" i="1"/>
  <c r="O3095" i="1"/>
  <c r="O3105" i="1"/>
  <c r="O3088" i="1"/>
  <c r="O2592" i="1"/>
  <c r="O3091" i="1"/>
  <c r="O2658" i="1"/>
  <c r="O2660" i="1"/>
  <c r="O2590" i="1"/>
  <c r="O2774" i="1"/>
  <c r="O2756" i="1"/>
  <c r="O2804" i="1"/>
  <c r="O3116" i="1"/>
  <c r="L392" i="1"/>
  <c r="O2679" i="1"/>
  <c r="F21" i="5"/>
  <c r="C3602" i="1"/>
  <c r="J52" i="2"/>
  <c r="L761" i="1"/>
  <c r="N761" i="1" s="1"/>
  <c r="O761" i="1" s="1"/>
  <c r="C3741" i="1"/>
  <c r="I3741" i="1"/>
  <c r="K3741" i="1" s="1"/>
  <c r="O3741" i="1" s="1"/>
  <c r="F25" i="38"/>
  <c r="O4712" i="1"/>
  <c r="O2619" i="1"/>
  <c r="O787" i="1"/>
  <c r="N1912" i="1"/>
  <c r="O1912" i="1" s="1"/>
  <c r="K506" i="1"/>
  <c r="H308" i="1"/>
  <c r="O308" i="1"/>
  <c r="F45" i="3"/>
  <c r="C12" i="38"/>
  <c r="C10" i="38" s="1"/>
  <c r="C20" i="19"/>
  <c r="F161" i="5"/>
  <c r="O4478" i="1"/>
  <c r="O4557" i="1"/>
  <c r="I443" i="1"/>
  <c r="F41" i="2" s="1"/>
  <c r="F160" i="5"/>
  <c r="O3808" i="1"/>
  <c r="F296" i="5"/>
  <c r="F20" i="5"/>
  <c r="F344" i="5"/>
  <c r="F341" i="5"/>
  <c r="O3436" i="1"/>
  <c r="O3439" i="1"/>
  <c r="O3473" i="1"/>
  <c r="O3552" i="1"/>
  <c r="O3595" i="1"/>
  <c r="E44" i="5"/>
  <c r="F44" i="5" s="1"/>
  <c r="O3395" i="1"/>
  <c r="O3666" i="1"/>
  <c r="C3662" i="1" s="1"/>
  <c r="J1386" i="1"/>
  <c r="J1385" i="1" s="1"/>
  <c r="K1385" i="1" s="1"/>
  <c r="O3658" i="1"/>
  <c r="J1394" i="1"/>
  <c r="K1394" i="1" s="1"/>
  <c r="K2144" i="1"/>
  <c r="O2144" i="1" s="1"/>
  <c r="H227" i="1"/>
  <c r="E26" i="2" s="1"/>
  <c r="F830" i="1"/>
  <c r="C68" i="2" s="1"/>
  <c r="M171" i="1"/>
  <c r="J23" i="2" s="1"/>
  <c r="J171" i="1"/>
  <c r="K171" i="1" s="1"/>
  <c r="H23" i="2" s="1"/>
  <c r="F13" i="5"/>
  <c r="F89" i="5"/>
  <c r="F82" i="5"/>
  <c r="C242" i="5"/>
  <c r="F240" i="5"/>
  <c r="F236" i="5"/>
  <c r="F233" i="5"/>
  <c r="F228" i="5"/>
  <c r="F203" i="5"/>
  <c r="F138" i="5"/>
  <c r="F112" i="5"/>
  <c r="F108" i="5"/>
  <c r="F105" i="5"/>
  <c r="F91" i="5"/>
  <c r="F83" i="5"/>
  <c r="F78" i="5"/>
  <c r="F62" i="5"/>
  <c r="F13" i="7"/>
  <c r="C52" i="5"/>
  <c r="F38" i="3"/>
  <c r="C38" i="19"/>
  <c r="O4546" i="1"/>
  <c r="C3671" i="1"/>
  <c r="J3671" i="1" s="1"/>
  <c r="K3671" i="1" s="1"/>
  <c r="C3682" i="1"/>
  <c r="J3682" i="1" s="1"/>
  <c r="K3682" i="1" s="1"/>
  <c r="F167" i="5"/>
  <c r="O1394" i="1"/>
  <c r="O3950" i="1"/>
  <c r="F47" i="5"/>
  <c r="O4002" i="1"/>
  <c r="O4005" i="1"/>
  <c r="F46" i="5"/>
  <c r="L182" i="1"/>
  <c r="N182" i="1" s="1"/>
  <c r="H839" i="1"/>
  <c r="F186" i="5"/>
  <c r="F225" i="5"/>
  <c r="C254" i="5"/>
  <c r="F164" i="5"/>
  <c r="F188" i="5"/>
  <c r="F226" i="5"/>
  <c r="F171" i="5"/>
  <c r="F280" i="5"/>
  <c r="F238" i="5"/>
  <c r="C232" i="5"/>
  <c r="F201" i="5"/>
  <c r="C173" i="5"/>
  <c r="C60" i="5"/>
  <c r="F50" i="5"/>
  <c r="F38" i="5"/>
  <c r="C12" i="5"/>
  <c r="C321" i="5"/>
  <c r="F41" i="5"/>
  <c r="C267" i="5"/>
  <c r="F157" i="5"/>
  <c r="F192" i="5"/>
  <c r="F292" i="5"/>
  <c r="F287" i="5"/>
  <c r="F35" i="5"/>
  <c r="F24" i="5"/>
  <c r="F110" i="5"/>
  <c r="F327" i="5"/>
  <c r="F316" i="5"/>
  <c r="F304" i="5"/>
  <c r="F271" i="5"/>
  <c r="F214" i="5"/>
  <c r="F122" i="5"/>
  <c r="F117" i="5"/>
  <c r="C180" i="5"/>
  <c r="F262" i="5"/>
  <c r="C101" i="5"/>
  <c r="C74" i="5"/>
  <c r="C70" i="5"/>
  <c r="F332" i="5"/>
  <c r="O332" i="5" s="1"/>
  <c r="P332" i="5" s="1"/>
  <c r="C298" i="5"/>
  <c r="F95" i="5"/>
  <c r="F217" i="5"/>
  <c r="F210" i="5"/>
  <c r="F132" i="5"/>
  <c r="F147" i="5"/>
  <c r="C277" i="5"/>
  <c r="C28" i="5"/>
  <c r="O176" i="1"/>
  <c r="O178" i="1"/>
  <c r="H23" i="19"/>
  <c r="C286" i="5"/>
  <c r="F281" i="5"/>
  <c r="F21" i="38"/>
  <c r="F41" i="19"/>
  <c r="F106" i="5"/>
  <c r="F29" i="3"/>
  <c r="F65" i="5"/>
  <c r="F71" i="5"/>
  <c r="F70" i="5" s="1"/>
  <c r="O70" i="5" s="1"/>
  <c r="P70" i="5" s="1"/>
  <c r="C24" i="10"/>
  <c r="F300" i="5"/>
  <c r="C332" i="5"/>
  <c r="F75" i="5"/>
  <c r="F53" i="7"/>
  <c r="F340" i="5"/>
  <c r="L61" i="1"/>
  <c r="N61" i="1" s="1"/>
  <c r="O61" i="1" s="1"/>
  <c r="C195" i="5"/>
  <c r="C93" i="5"/>
  <c r="C339" i="5"/>
  <c r="C337" i="5" s="1"/>
  <c r="J82" i="1"/>
  <c r="J59" i="1" s="1"/>
  <c r="G15" i="2" s="1"/>
  <c r="C143" i="5"/>
  <c r="F183" i="5"/>
  <c r="C135" i="5"/>
  <c r="F29" i="5"/>
  <c r="C207" i="5"/>
  <c r="F16" i="5"/>
  <c r="K173" i="1"/>
  <c r="H171" i="1"/>
  <c r="E23" i="2" s="1"/>
  <c r="O181" i="1"/>
  <c r="O180" i="1"/>
  <c r="N179" i="1"/>
  <c r="O85" i="1"/>
  <c r="C39" i="6"/>
  <c r="C34" i="6" s="1"/>
  <c r="J1388" i="1"/>
  <c r="K1146" i="1"/>
  <c r="H90" i="2" s="1"/>
  <c r="G90" i="2"/>
  <c r="N11" i="1"/>
  <c r="K11" i="2" s="1"/>
  <c r="I11" i="2"/>
  <c r="K1016" i="1"/>
  <c r="H82" i="2" s="1"/>
  <c r="G82" i="2"/>
  <c r="L335" i="1"/>
  <c r="I34" i="2" s="1"/>
  <c r="N337" i="1"/>
  <c r="O337" i="1" s="1"/>
  <c r="L1753" i="1"/>
  <c r="I131" i="2" s="1"/>
  <c r="D82" i="2"/>
  <c r="K1640" i="1"/>
  <c r="N3168" i="1"/>
  <c r="K151" i="2" s="1"/>
  <c r="I151" i="2"/>
  <c r="L1629" i="1"/>
  <c r="N1629" i="1" s="1"/>
  <c r="N1882" i="1"/>
  <c r="L1880" i="1"/>
  <c r="N1880" i="1" s="1"/>
  <c r="K139" i="2" s="1"/>
  <c r="K236" i="1"/>
  <c r="O236" i="1" s="1"/>
  <c r="N1689" i="1"/>
  <c r="L1505" i="1"/>
  <c r="I114" i="2" s="1"/>
  <c r="J1753" i="1"/>
  <c r="G131" i="2" s="1"/>
  <c r="K1759" i="1"/>
  <c r="O1759" i="1" s="1"/>
  <c r="K918" i="1"/>
  <c r="H76" i="2" s="1"/>
  <c r="K723" i="1"/>
  <c r="H60" i="2" s="1"/>
  <c r="G60" i="2"/>
  <c r="O25" i="38"/>
  <c r="L3282" i="1"/>
  <c r="N3282" i="1" s="1"/>
  <c r="O2665" i="1"/>
  <c r="O2583" i="1"/>
  <c r="O2574" i="1"/>
  <c r="O2567" i="1"/>
  <c r="O2628" i="1"/>
  <c r="F97" i="5"/>
  <c r="O4602" i="1"/>
  <c r="C3342" i="1"/>
  <c r="I3342" i="1" s="1"/>
  <c r="K3342" i="1" s="1"/>
  <c r="O3342" i="1" s="1"/>
  <c r="H4399" i="1"/>
  <c r="E159" i="2"/>
  <c r="C159" i="2"/>
  <c r="C3531" i="1"/>
  <c r="O4518" i="1"/>
  <c r="C3476" i="1"/>
  <c r="J3476" i="1" s="1"/>
  <c r="K3476" i="1" s="1"/>
  <c r="O3476" i="1" s="1"/>
  <c r="N1077" i="1"/>
  <c r="O1077" i="1" s="1"/>
  <c r="L1073" i="1"/>
  <c r="N1073" i="1" s="1"/>
  <c r="O1073" i="1" s="1"/>
  <c r="N1023" i="1"/>
  <c r="O1023" i="1" s="1"/>
  <c r="L1018" i="1"/>
  <c r="L1016" i="1" s="1"/>
  <c r="I82" i="2" s="1"/>
  <c r="K847" i="1"/>
  <c r="O847" i="1" s="1"/>
  <c r="J839" i="1"/>
  <c r="K839" i="1" s="1"/>
  <c r="N611" i="1"/>
  <c r="O611" i="1" s="1"/>
  <c r="L609" i="1"/>
  <c r="N609" i="1" s="1"/>
  <c r="O609" i="1" s="1"/>
  <c r="C3380" i="1"/>
  <c r="C148" i="2"/>
  <c r="L445" i="1"/>
  <c r="N445" i="1" s="1"/>
  <c r="N497" i="1"/>
  <c r="O497" i="1" s="1"/>
  <c r="O4571" i="1"/>
  <c r="O3763" i="1"/>
  <c r="O3803" i="1"/>
  <c r="F17" i="5"/>
  <c r="F26" i="10"/>
  <c r="F24" i="10" s="1"/>
  <c r="F278" i="5"/>
  <c r="F130" i="5"/>
  <c r="O4046" i="1"/>
  <c r="C4042" i="1" s="1"/>
  <c r="J4042" i="1" s="1"/>
  <c r="K4042" i="1" s="1"/>
  <c r="O4042" i="1" s="1"/>
  <c r="F67" i="5"/>
  <c r="O3614" i="1"/>
  <c r="O3895" i="1"/>
  <c r="O4125" i="1"/>
  <c r="M4402" i="1"/>
  <c r="G159" i="2"/>
  <c r="J159" i="2"/>
  <c r="K1517" i="1"/>
  <c r="O1517" i="1" s="1"/>
  <c r="L1269" i="1"/>
  <c r="N1269" i="1" s="1"/>
  <c r="D19" i="2"/>
  <c r="H106" i="1"/>
  <c r="E19" i="2" s="1"/>
  <c r="O1520" i="1"/>
  <c r="N1446" i="1"/>
  <c r="O1446" i="1" s="1"/>
  <c r="O407" i="1"/>
  <c r="O893" i="1"/>
  <c r="O1158" i="1"/>
  <c r="O72" i="1"/>
  <c r="O798" i="1"/>
  <c r="H1474" i="1"/>
  <c r="H1689" i="1"/>
  <c r="F324" i="5"/>
  <c r="F321" i="5" s="1"/>
  <c r="O321" i="5" s="1"/>
  <c r="P321" i="5" s="1"/>
  <c r="F275" i="5"/>
  <c r="I1753" i="1"/>
  <c r="K1753" i="1" s="1"/>
  <c r="H131" i="2" s="1"/>
  <c r="G1205" i="1"/>
  <c r="H1205" i="1" s="1"/>
  <c r="E94" i="2" s="1"/>
  <c r="O3996" i="1"/>
  <c r="O4016" i="1"/>
  <c r="O3401" i="1"/>
  <c r="O3751" i="1"/>
  <c r="O3400" i="1"/>
  <c r="O4097" i="1"/>
  <c r="O2678" i="1"/>
  <c r="O3089" i="1"/>
  <c r="O2612" i="1"/>
  <c r="O2647" i="1"/>
  <c r="O2636" i="1"/>
  <c r="O2655" i="1"/>
  <c r="O2641" i="1"/>
  <c r="O2668" i="1"/>
  <c r="O3106" i="1"/>
  <c r="F199" i="5"/>
  <c r="F248" i="5"/>
  <c r="O248" i="5" s="1"/>
  <c r="P248" i="5" s="1"/>
  <c r="F310" i="7"/>
  <c r="K3279" i="1"/>
  <c r="O3279" i="1" s="1"/>
  <c r="J3168" i="1"/>
  <c r="G151" i="2" s="1"/>
  <c r="O2643" i="1"/>
  <c r="O2584" i="1"/>
  <c r="O3096" i="1"/>
  <c r="O2649" i="1"/>
  <c r="O2611" i="1"/>
  <c r="O87" i="1"/>
  <c r="K82" i="1"/>
  <c r="O82" i="1" s="1"/>
  <c r="O2616" i="1"/>
  <c r="O2806" i="1"/>
  <c r="O3114" i="1"/>
  <c r="C8" i="6"/>
  <c r="C2354" i="1"/>
  <c r="J2354" i="1" s="1"/>
  <c r="K2354" i="1" s="1"/>
  <c r="O2354" i="1" s="1"/>
  <c r="F136" i="5"/>
  <c r="F351" i="7"/>
  <c r="F335" i="7"/>
  <c r="F78" i="7"/>
  <c r="H830" i="1"/>
  <c r="E68" i="2" s="1"/>
  <c r="C3585" i="1"/>
  <c r="H723" i="1"/>
  <c r="E60" i="2"/>
  <c r="K1205" i="1"/>
  <c r="H94" i="2" s="1"/>
  <c r="C30" i="2"/>
  <c r="O1459" i="1"/>
  <c r="O2617" i="1"/>
  <c r="O2579" i="1"/>
  <c r="O2615" i="1"/>
  <c r="O3225" i="1"/>
  <c r="M1567" i="1"/>
  <c r="J118" i="2" s="1"/>
  <c r="K1269" i="1"/>
  <c r="F362" i="7"/>
  <c r="F222" i="7"/>
  <c r="F141" i="5"/>
  <c r="F343" i="7"/>
  <c r="F64" i="7"/>
  <c r="F51" i="7" s="1"/>
  <c r="F358" i="7"/>
  <c r="F243" i="7"/>
  <c r="O4128" i="1"/>
  <c r="O2587" i="1"/>
  <c r="L2811" i="1"/>
  <c r="N2811" i="1" s="1"/>
  <c r="K149" i="2" s="1"/>
  <c r="K2098" i="1"/>
  <c r="O2098" i="1" s="1"/>
  <c r="L111" i="1"/>
  <c r="L106" i="1" s="1"/>
  <c r="N111" i="1"/>
  <c r="O111" i="1" s="1"/>
  <c r="H4402" i="1"/>
  <c r="D94" i="2"/>
  <c r="F131" i="2"/>
  <c r="O4597" i="1"/>
  <c r="F19" i="5"/>
  <c r="O19" i="5" s="1"/>
  <c r="P19" i="5" s="1"/>
  <c r="C3777" i="1"/>
  <c r="I3777" i="1" s="1"/>
  <c r="K3777" i="1" s="1"/>
  <c r="O3777" i="1" s="1"/>
  <c r="C3483" i="1"/>
  <c r="C3441" i="1"/>
  <c r="J3441" i="1" s="1"/>
  <c r="K3441" i="1" s="1"/>
  <c r="O3441" i="1" s="1"/>
  <c r="F241" i="7"/>
  <c r="F239" i="7"/>
  <c r="F231" i="7"/>
  <c r="O4062" i="1"/>
  <c r="F220" i="5"/>
  <c r="F213" i="5"/>
  <c r="O4022" i="1"/>
  <c r="F401" i="7"/>
  <c r="F385" i="7"/>
  <c r="F315" i="7"/>
  <c r="F281" i="7"/>
  <c r="O3415" i="1"/>
  <c r="O3753" i="1"/>
  <c r="O4142" i="1"/>
  <c r="F378" i="7"/>
  <c r="F250" i="7"/>
  <c r="F258" i="5"/>
  <c r="O3474" i="1"/>
  <c r="C3468" i="1" s="1"/>
  <c r="J3468" i="1" s="1"/>
  <c r="K3468" i="1" s="1"/>
  <c r="O3468" i="1" s="1"/>
  <c r="F26" i="19"/>
  <c r="F397" i="7"/>
  <c r="F349" i="7"/>
  <c r="O3876" i="1"/>
  <c r="O3925" i="1"/>
  <c r="O4068" i="1"/>
  <c r="O4150" i="1"/>
  <c r="F129" i="5"/>
  <c r="N4399" i="1"/>
  <c r="K159" i="2" s="1"/>
  <c r="K122" i="2"/>
  <c r="L607" i="1"/>
  <c r="I52" i="2" s="1"/>
  <c r="K1474" i="1"/>
  <c r="O1474" i="1"/>
  <c r="N1445" i="1"/>
  <c r="O1445" i="1" s="1"/>
  <c r="C3940" i="1"/>
  <c r="J3940" i="1" s="1"/>
  <c r="K3940" i="1" s="1"/>
  <c r="O3940" i="1" s="1"/>
  <c r="J1268" i="1"/>
  <c r="G99" i="2" s="1"/>
  <c r="K1286" i="1"/>
  <c r="O1286" i="1" s="1"/>
  <c r="J1505" i="1"/>
  <c r="N923" i="1"/>
  <c r="O923" i="1" s="1"/>
  <c r="L920" i="1"/>
  <c r="L918" i="1" s="1"/>
  <c r="H1887" i="1"/>
  <c r="F1880" i="1"/>
  <c r="C139" i="2" s="1"/>
  <c r="F1369" i="1"/>
  <c r="H1369" i="1" s="1"/>
  <c r="E106" i="2" s="1"/>
  <c r="H1371" i="1"/>
  <c r="J759" i="1"/>
  <c r="K759" i="1" s="1"/>
  <c r="H64" i="2" s="1"/>
  <c r="O2585" i="1"/>
  <c r="L1411" i="1"/>
  <c r="N1411" i="1" s="1"/>
  <c r="O1411" i="1" s="1"/>
  <c r="N1441" i="1"/>
  <c r="O1441" i="1" s="1"/>
  <c r="C3428" i="1"/>
  <c r="K1388" i="1"/>
  <c r="O1388" i="1" s="1"/>
  <c r="F223" i="5"/>
  <c r="O223" i="5" s="1"/>
  <c r="P223" i="5" s="1"/>
  <c r="C3640" i="1"/>
  <c r="K342" i="1"/>
  <c r="O342" i="1" s="1"/>
  <c r="C76" i="2"/>
  <c r="O2600" i="1"/>
  <c r="I1567" i="1"/>
  <c r="K1569" i="1"/>
  <c r="K487" i="1"/>
  <c r="O487" i="1" s="1"/>
  <c r="J466" i="1"/>
  <c r="K466" i="1" s="1"/>
  <c r="O466" i="1" s="1"/>
  <c r="K455" i="1"/>
  <c r="O455" i="1" s="1"/>
  <c r="J453" i="1"/>
  <c r="K126" i="1"/>
  <c r="O126" i="1" s="1"/>
  <c r="I106" i="1"/>
  <c r="F19" i="2" s="1"/>
  <c r="N108" i="1"/>
  <c r="O108" i="1" s="1"/>
  <c r="M106" i="1"/>
  <c r="J19" i="2" s="1"/>
  <c r="K52" i="1"/>
  <c r="O52" i="1" s="1"/>
  <c r="J33" i="1"/>
  <c r="J11" i="1" s="1"/>
  <c r="O3137" i="1"/>
  <c r="O4705" i="1"/>
  <c r="O3226" i="1"/>
  <c r="C3459" i="1"/>
  <c r="J3459" i="1" s="1"/>
  <c r="K3459" i="1" s="1"/>
  <c r="O3459" i="1" s="1"/>
  <c r="G1800" i="1"/>
  <c r="H1800" i="1" s="1"/>
  <c r="E135" i="2" s="1"/>
  <c r="H1700" i="1"/>
  <c r="O1096" i="1"/>
  <c r="F149" i="7"/>
  <c r="F142" i="7"/>
  <c r="F36" i="7"/>
  <c r="F371" i="7"/>
  <c r="F308" i="7"/>
  <c r="F299" i="7"/>
  <c r="F217" i="7"/>
  <c r="F208" i="7"/>
  <c r="F199" i="7"/>
  <c r="F161" i="7"/>
  <c r="O4598" i="1"/>
  <c r="F374" i="7"/>
  <c r="F332" i="7"/>
  <c r="F325" i="7"/>
  <c r="F185" i="7"/>
  <c r="F168" i="7"/>
  <c r="F166" i="7"/>
  <c r="F146" i="7"/>
  <c r="F137" i="7"/>
  <c r="F259" i="7"/>
  <c r="F263" i="5"/>
  <c r="O3597" i="1"/>
  <c r="C3593" i="1" s="1"/>
  <c r="F55" i="5"/>
  <c r="C4643" i="1"/>
  <c r="I4643" i="1" s="1"/>
  <c r="K4643" i="1" s="1"/>
  <c r="F152" i="5"/>
  <c r="F118" i="5"/>
  <c r="F261" i="5"/>
  <c r="O3764" i="1"/>
  <c r="O4109" i="1"/>
  <c r="O4136" i="1"/>
  <c r="O4352" i="1"/>
  <c r="O4118" i="1"/>
  <c r="O4348" i="1"/>
  <c r="O4160" i="1"/>
  <c r="O3793" i="1"/>
  <c r="O3961" i="1"/>
  <c r="O4332" i="1"/>
  <c r="O3821" i="1"/>
  <c r="O4028" i="1"/>
  <c r="C4024" i="1" s="1"/>
  <c r="O4120" i="1"/>
  <c r="O4356" i="1"/>
  <c r="O4374" i="1"/>
  <c r="O3945" i="1"/>
  <c r="O4144" i="1"/>
  <c r="O4155" i="1"/>
  <c r="O3788" i="1"/>
  <c r="O3868" i="1"/>
  <c r="C3865" i="1" s="1"/>
  <c r="O3900" i="1"/>
  <c r="C3893" i="1" s="1"/>
  <c r="J3893" i="1" s="1"/>
  <c r="K3893" i="1" s="1"/>
  <c r="O3893" i="1" s="1"/>
  <c r="O4134" i="1"/>
  <c r="O4210" i="1"/>
  <c r="O4345" i="1"/>
  <c r="K2682" i="1"/>
  <c r="O2682" i="1" s="1"/>
  <c r="I2563" i="1"/>
  <c r="F145" i="2" s="1"/>
  <c r="O2610" i="1"/>
  <c r="O2573" i="1"/>
  <c r="N2527" i="1"/>
  <c r="O2527" i="1"/>
  <c r="L2326" i="1"/>
  <c r="I144" i="2" s="1"/>
  <c r="N2320" i="1"/>
  <c r="O2320" i="1" s="1"/>
  <c r="L2133" i="1"/>
  <c r="I143" i="2" s="1"/>
  <c r="K2215" i="1"/>
  <c r="O2215" i="1" s="1"/>
  <c r="J2133" i="1"/>
  <c r="O18" i="38"/>
  <c r="K2818" i="1"/>
  <c r="O2818" i="1" s="1"/>
  <c r="J2811" i="1"/>
  <c r="K2811" i="1" s="1"/>
  <c r="O2648" i="1"/>
  <c r="O2569" i="1"/>
  <c r="C2329" i="1"/>
  <c r="J2329" i="1" s="1"/>
  <c r="K2220" i="1"/>
  <c r="O2220" i="1" s="1"/>
  <c r="I2133" i="1"/>
  <c r="F143" i="2" s="1"/>
  <c r="C3288" i="1"/>
  <c r="C3981" i="1"/>
  <c r="J3981" i="1" s="1"/>
  <c r="K3981" i="1" s="1"/>
  <c r="O3981" i="1" s="1"/>
  <c r="C3418" i="1"/>
  <c r="J3418" i="1" s="1"/>
  <c r="K3418" i="1" s="1"/>
  <c r="O3418" i="1" s="1"/>
  <c r="C3451" i="1"/>
  <c r="N3057" i="1"/>
  <c r="K150" i="2" s="1"/>
  <c r="I150" i="2"/>
  <c r="C3371" i="1"/>
  <c r="F357" i="7"/>
  <c r="C223" i="5"/>
  <c r="O3776" i="1"/>
  <c r="O3798" i="1"/>
  <c r="O4334" i="1"/>
  <c r="O4347" i="1"/>
  <c r="O3949" i="1"/>
  <c r="O4052" i="1"/>
  <c r="O4338" i="1"/>
  <c r="O4376" i="1"/>
  <c r="O4389" i="1"/>
  <c r="O4102" i="1"/>
  <c r="C4100" i="1" s="1"/>
  <c r="J4100" i="1" s="1"/>
  <c r="K4100" i="1" s="1"/>
  <c r="O4100" i="1" s="1"/>
  <c r="O4363" i="1"/>
  <c r="O3966" i="1"/>
  <c r="C3963" i="1" s="1"/>
  <c r="J3963" i="1" s="1"/>
  <c r="K3963" i="1" s="1"/>
  <c r="O3963" i="1" s="1"/>
  <c r="C4013" i="1"/>
  <c r="J4013" i="1" s="1"/>
  <c r="K4013" i="1" s="1"/>
  <c r="O4013" i="1" s="1"/>
  <c r="K453" i="1"/>
  <c r="O453" i="1" s="1"/>
  <c r="G114" i="2"/>
  <c r="H1880" i="1"/>
  <c r="E139" i="2" s="1"/>
  <c r="G64" i="2"/>
  <c r="F118" i="2"/>
  <c r="K1268" i="1"/>
  <c r="H99" i="2" s="1"/>
  <c r="N607" i="1"/>
  <c r="K52" i="2" s="1"/>
  <c r="O4679" i="1"/>
  <c r="O4620" i="1"/>
  <c r="O4528" i="1"/>
  <c r="F163" i="7"/>
  <c r="F156" i="7"/>
  <c r="F417" i="7"/>
  <c r="F410" i="7"/>
  <c r="F396" i="7"/>
  <c r="F373" i="7"/>
  <c r="F359" i="7"/>
  <c r="F352" i="7"/>
  <c r="F344" i="7"/>
  <c r="F336" i="7"/>
  <c r="F334" i="7"/>
  <c r="F264" i="7"/>
  <c r="F348" i="7"/>
  <c r="F341" i="7"/>
  <c r="F148" i="7"/>
  <c r="F139" i="7"/>
  <c r="F106" i="7"/>
  <c r="F104" i="7" s="1"/>
  <c r="F89" i="7"/>
  <c r="F76" i="7" s="1"/>
  <c r="F69" i="7"/>
  <c r="F46" i="7"/>
  <c r="F44" i="7" s="1"/>
  <c r="F25" i="7"/>
  <c r="F183" i="7"/>
  <c r="F224" i="7"/>
  <c r="F337" i="7"/>
  <c r="F218" i="7"/>
  <c r="F209" i="7"/>
  <c r="F202" i="7"/>
  <c r="F333" i="7"/>
  <c r="F329" i="7"/>
  <c r="F326" i="7"/>
  <c r="F322" i="7"/>
  <c r="F317" i="7"/>
  <c r="F309" i="7"/>
  <c r="F293" i="7"/>
  <c r="F285" i="7"/>
  <c r="F278" i="7"/>
  <c r="F274" i="7"/>
  <c r="F270" i="7"/>
  <c r="F266" i="7"/>
  <c r="F263" i="7"/>
  <c r="F261" i="7"/>
  <c r="F258" i="7"/>
  <c r="F254" i="7"/>
  <c r="F242" i="7"/>
  <c r="F235" i="7"/>
  <c r="F232" i="7"/>
  <c r="F223" i="7"/>
  <c r="F347" i="7"/>
  <c r="F340" i="7"/>
  <c r="F203" i="7"/>
  <c r="F364" i="7"/>
  <c r="F342" i="7"/>
  <c r="F170" i="7"/>
  <c r="F159" i="7"/>
  <c r="F152" i="7"/>
  <c r="F144" i="7"/>
  <c r="F135" i="7"/>
  <c r="F262" i="7"/>
  <c r="F119" i="7"/>
  <c r="F117" i="7" s="1"/>
  <c r="F416" i="7"/>
  <c r="F409" i="7"/>
  <c r="F402" i="7"/>
  <c r="F386" i="7"/>
  <c r="F379" i="7"/>
  <c r="F372" i="7"/>
  <c r="F365" i="7"/>
  <c r="F102" i="7"/>
  <c r="F91" i="7" s="1"/>
  <c r="F73" i="7"/>
  <c r="F70" i="7"/>
  <c r="F42" i="7"/>
  <c r="F12" i="7"/>
  <c r="F404" i="7"/>
  <c r="F367" i="7"/>
  <c r="F196" i="7"/>
  <c r="F189" i="7"/>
  <c r="F154" i="7"/>
  <c r="F128" i="7"/>
  <c r="F127" i="7" s="1"/>
  <c r="F296" i="7"/>
  <c r="F292" i="7"/>
  <c r="F289" i="7"/>
  <c r="F247" i="7"/>
  <c r="F228" i="7"/>
  <c r="F221" i="7"/>
  <c r="F345" i="7"/>
  <c r="F406" i="7"/>
  <c r="F369" i="7"/>
  <c r="F415" i="7"/>
  <c r="F408" i="7"/>
  <c r="F11" i="7"/>
  <c r="F353" i="7"/>
  <c r="F312" i="7"/>
  <c r="F305" i="7"/>
  <c r="F381" i="7"/>
  <c r="F323" i="7"/>
  <c r="F192" i="7"/>
  <c r="F257" i="7"/>
  <c r="F24" i="7"/>
  <c r="F179" i="7"/>
  <c r="F157" i="7"/>
  <c r="K110" i="2"/>
  <c r="I110" i="2"/>
  <c r="O445" i="1" l="1"/>
  <c r="J1369" i="1"/>
  <c r="G106" i="2" s="1"/>
  <c r="O1535" i="1"/>
  <c r="E293" i="5"/>
  <c r="F293" i="5" s="1"/>
  <c r="L1576" i="1"/>
  <c r="N1576" i="1" s="1"/>
  <c r="O1576" i="1" s="1"/>
  <c r="G607" i="1"/>
  <c r="H1338" i="1"/>
  <c r="O1338" i="1" s="1"/>
  <c r="F1318" i="1"/>
  <c r="K687" i="1"/>
  <c r="O687" i="1" s="1"/>
  <c r="J685" i="1"/>
  <c r="K685" i="1" s="1"/>
  <c r="J679" i="1"/>
  <c r="K680" i="1"/>
  <c r="O680" i="1" s="1"/>
  <c r="H445" i="1"/>
  <c r="F443" i="1"/>
  <c r="I390" i="1"/>
  <c r="O685" i="1"/>
  <c r="O1276" i="1"/>
  <c r="K289" i="1"/>
  <c r="O289" i="1" s="1"/>
  <c r="J280" i="1"/>
  <c r="K280" i="1" s="1"/>
  <c r="O1755" i="1"/>
  <c r="O736" i="1"/>
  <c r="L839" i="1"/>
  <c r="N839" i="1" s="1"/>
  <c r="N867" i="1"/>
  <c r="O867" i="1" s="1"/>
  <c r="N833" i="1"/>
  <c r="O833" i="1" s="1"/>
  <c r="L832" i="1"/>
  <c r="M335" i="1"/>
  <c r="N360" i="1"/>
  <c r="O360" i="1" s="1"/>
  <c r="O3267" i="1"/>
  <c r="F35" i="19"/>
  <c r="F31" i="5"/>
  <c r="E265" i="5"/>
  <c r="F265" i="5" s="1"/>
  <c r="O4082" i="1"/>
  <c r="O4084" i="1"/>
  <c r="O4240" i="1"/>
  <c r="O4278" i="1"/>
  <c r="O4336" i="1"/>
  <c r="O4360" i="1"/>
  <c r="I3785" i="1"/>
  <c r="K3785" i="1" s="1"/>
  <c r="O3625" i="1"/>
  <c r="O3831" i="1"/>
  <c r="O3933" i="1"/>
  <c r="C3926" i="1" s="1"/>
  <c r="O4162" i="1"/>
  <c r="O4396" i="1"/>
  <c r="H1631" i="1"/>
  <c r="O1631" i="1" s="1"/>
  <c r="I3771" i="1"/>
  <c r="K3771" i="1" s="1"/>
  <c r="O3771" i="1" s="1"/>
  <c r="C3765" i="1" s="1"/>
  <c r="I3765" i="1" s="1"/>
  <c r="O3872" i="1"/>
  <c r="O3890" i="1"/>
  <c r="O4380" i="1"/>
  <c r="C4374" i="1" s="1"/>
  <c r="O4382" i="1"/>
  <c r="O4595" i="1"/>
  <c r="G110" i="2"/>
  <c r="K1443" i="1"/>
  <c r="C106" i="2"/>
  <c r="L1268" i="1"/>
  <c r="N1268" i="1" s="1"/>
  <c r="K99" i="2" s="1"/>
  <c r="F286" i="5"/>
  <c r="O286" i="5" s="1"/>
  <c r="P286" i="5" s="1"/>
  <c r="F166" i="5"/>
  <c r="O166" i="5" s="1"/>
  <c r="P166" i="5" s="1"/>
  <c r="O1772" i="1"/>
  <c r="O1385" i="1"/>
  <c r="O1689" i="1"/>
  <c r="O1887" i="1"/>
  <c r="C307" i="5"/>
  <c r="H1640" i="1"/>
  <c r="O1640" i="1" s="1"/>
  <c r="I1629" i="1"/>
  <c r="F122" i="2" s="1"/>
  <c r="O3076" i="1"/>
  <c r="I3786" i="1"/>
  <c r="K3786" i="1" s="1"/>
  <c r="O3581" i="1"/>
  <c r="P3579" i="1" s="1"/>
  <c r="O4239" i="1"/>
  <c r="F32" i="19"/>
  <c r="C12" i="19"/>
  <c r="F195" i="7"/>
  <c r="F252" i="7"/>
  <c r="F282" i="7"/>
  <c r="I3780" i="1"/>
  <c r="K3780" i="1" s="1"/>
  <c r="O3732" i="1"/>
  <c r="C3730" i="1" s="1"/>
  <c r="O3971" i="1"/>
  <c r="C3969" i="1" s="1"/>
  <c r="J3969" i="1" s="1"/>
  <c r="K3969" i="1" s="1"/>
  <c r="O3969" i="1" s="1"/>
  <c r="O4064" i="1"/>
  <c r="C4054" i="1" s="1"/>
  <c r="J4054" i="1" s="1"/>
  <c r="K4054" i="1" s="1"/>
  <c r="O4054" i="1" s="1"/>
  <c r="O4351" i="1"/>
  <c r="C10" i="19"/>
  <c r="C52" i="19"/>
  <c r="F15" i="19"/>
  <c r="F12" i="19" s="1"/>
  <c r="F52" i="19"/>
  <c r="F390" i="7"/>
  <c r="F160" i="7"/>
  <c r="F8" i="6"/>
  <c r="K227" i="1"/>
  <c r="H26" i="2" s="1"/>
  <c r="G26" i="2"/>
  <c r="I102" i="2"/>
  <c r="N1318" i="1"/>
  <c r="K626" i="1"/>
  <c r="O626" i="1" s="1"/>
  <c r="J607" i="1"/>
  <c r="K293" i="1"/>
  <c r="O293" i="1" s="1"/>
  <c r="J278" i="1"/>
  <c r="C2360" i="1"/>
  <c r="C2353" i="1"/>
  <c r="J2353" i="1" s="1"/>
  <c r="K2353" i="1" s="1"/>
  <c r="O2353" i="1" s="1"/>
  <c r="K335" i="1"/>
  <c r="H34" i="2" s="1"/>
  <c r="G34" i="2"/>
  <c r="K1091" i="1"/>
  <c r="O1091" i="1" s="1"/>
  <c r="J1071" i="1"/>
  <c r="D135" i="2"/>
  <c r="K33" i="1"/>
  <c r="O33" i="1" s="1"/>
  <c r="C3791" i="1"/>
  <c r="I3791" i="1" s="1"/>
  <c r="K3791" i="1" s="1"/>
  <c r="O3791" i="1" s="1"/>
  <c r="F135" i="5"/>
  <c r="O135" i="5" s="1"/>
  <c r="P135" i="5" s="1"/>
  <c r="F232" i="5"/>
  <c r="O232" i="5" s="1"/>
  <c r="P232" i="5" s="1"/>
  <c r="K1386" i="1"/>
  <c r="O1386" i="1" s="1"/>
  <c r="G72" i="2"/>
  <c r="H1687" i="1"/>
  <c r="E126" i="2" s="1"/>
  <c r="C3651" i="1"/>
  <c r="D114" i="2"/>
  <c r="O676" i="1"/>
  <c r="N1700" i="1"/>
  <c r="O1700" i="1" s="1"/>
  <c r="I99" i="2"/>
  <c r="H1856" i="1"/>
  <c r="I148" i="2"/>
  <c r="L1071" i="1"/>
  <c r="K3168" i="1"/>
  <c r="O3168" i="1" s="1"/>
  <c r="J830" i="1"/>
  <c r="G68" i="2" s="1"/>
  <c r="O1269" i="1"/>
  <c r="J1687" i="1"/>
  <c r="L390" i="1"/>
  <c r="N390" i="1" s="1"/>
  <c r="N1320" i="1"/>
  <c r="O1320" i="1" s="1"/>
  <c r="O69" i="1"/>
  <c r="O790" i="1"/>
  <c r="K1882" i="1"/>
  <c r="O1882" i="1" s="1"/>
  <c r="N1753" i="1"/>
  <c r="F275" i="7"/>
  <c r="F188" i="7"/>
  <c r="F153" i="7"/>
  <c r="F151" i="7"/>
  <c r="F138" i="7"/>
  <c r="F136" i="7"/>
  <c r="F134" i="7"/>
  <c r="F14" i="10"/>
  <c r="F10" i="10" s="1"/>
  <c r="O3956" i="1"/>
  <c r="C3953" i="1" s="1"/>
  <c r="J3953" i="1" s="1"/>
  <c r="K3953" i="1" s="1"/>
  <c r="O3953" i="1" s="1"/>
  <c r="O4201" i="1"/>
  <c r="O4394" i="1"/>
  <c r="C4384" i="1" s="1"/>
  <c r="J4384" i="1" s="1"/>
  <c r="K4384" i="1" s="1"/>
  <c r="O4384" i="1" s="1"/>
  <c r="F16" i="38"/>
  <c r="F44" i="19"/>
  <c r="F38" i="19" s="1"/>
  <c r="F376" i="7"/>
  <c r="F294" i="7"/>
  <c r="F290" i="7"/>
  <c r="F288" i="7"/>
  <c r="F283" i="7"/>
  <c r="F249" i="7"/>
  <c r="F227" i="7"/>
  <c r="O3951" i="1"/>
  <c r="O4189" i="1"/>
  <c r="O4265" i="1"/>
  <c r="F221" i="5"/>
  <c r="F41" i="3"/>
  <c r="O3827" i="1"/>
  <c r="O4249" i="1"/>
  <c r="O4365" i="1"/>
  <c r="F219" i="7"/>
  <c r="F229" i="7"/>
  <c r="O4328" i="1"/>
  <c r="F411" i="7"/>
  <c r="F407" i="7"/>
  <c r="F399" i="7"/>
  <c r="F395" i="7"/>
  <c r="F391" i="7"/>
  <c r="F77" i="5"/>
  <c r="K11" i="1"/>
  <c r="G11" i="2"/>
  <c r="C3821" i="1"/>
  <c r="I4399" i="1"/>
  <c r="K4399" i="1" s="1"/>
  <c r="H159" i="2" s="1"/>
  <c r="K106" i="1"/>
  <c r="H19" i="2" s="1"/>
  <c r="L443" i="1"/>
  <c r="I41" i="2" s="1"/>
  <c r="N1016" i="1"/>
  <c r="K82" i="2" s="1"/>
  <c r="N1018" i="1"/>
  <c r="O1018" i="1" s="1"/>
  <c r="O1718" i="1"/>
  <c r="J443" i="1"/>
  <c r="L1687" i="1"/>
  <c r="O2680" i="1"/>
  <c r="N2133" i="1"/>
  <c r="K143" i="2" s="1"/>
  <c r="N4402" i="1"/>
  <c r="C3995" i="1"/>
  <c r="J3995" i="1" s="1"/>
  <c r="K3995" i="1" s="1"/>
  <c r="O3995" i="1" s="1"/>
  <c r="C3391" i="1"/>
  <c r="J3391" i="1" s="1"/>
  <c r="K3391" i="1" s="1"/>
  <c r="O839" i="1"/>
  <c r="C2618" i="1"/>
  <c r="I142" i="2"/>
  <c r="O2690" i="1"/>
  <c r="O2594" i="1"/>
  <c r="O2602" i="1"/>
  <c r="N1813" i="1"/>
  <c r="O1813" i="1" s="1"/>
  <c r="O1587" i="1"/>
  <c r="O635" i="1"/>
  <c r="M1505" i="1"/>
  <c r="G1268" i="1"/>
  <c r="F236" i="7"/>
  <c r="F234" i="7"/>
  <c r="F120" i="5"/>
  <c r="F151" i="5"/>
  <c r="F257" i="5"/>
  <c r="F255" i="5"/>
  <c r="O3075" i="1"/>
  <c r="I1505" i="1"/>
  <c r="F363" i="7"/>
  <c r="F346" i="7"/>
  <c r="F205" i="7"/>
  <c r="F197" i="7"/>
  <c r="F185" i="5"/>
  <c r="F58" i="5"/>
  <c r="F212" i="5"/>
  <c r="F90" i="5"/>
  <c r="F345" i="5"/>
  <c r="F269" i="5"/>
  <c r="F267" i="5" s="1"/>
  <c r="O267" i="5" s="1"/>
  <c r="P267" i="5" s="1"/>
  <c r="F306" i="7"/>
  <c r="F233" i="7"/>
  <c r="F360" i="7"/>
  <c r="F356" i="7"/>
  <c r="F248" i="7"/>
  <c r="F216" i="7"/>
  <c r="F206" i="7"/>
  <c r="F150" i="5"/>
  <c r="F158" i="5"/>
  <c r="F189" i="5"/>
  <c r="F176" i="5"/>
  <c r="O4685" i="1"/>
  <c r="C248" i="5"/>
  <c r="O3809" i="1"/>
  <c r="O3866" i="1"/>
  <c r="O4183" i="1"/>
  <c r="F297" i="7"/>
  <c r="F71" i="7"/>
  <c r="O4206" i="1"/>
  <c r="O4219" i="1"/>
  <c r="O4317" i="1"/>
  <c r="O4386" i="1"/>
  <c r="O4127" i="1"/>
  <c r="C4116" i="1" s="1"/>
  <c r="J4116" i="1" s="1"/>
  <c r="K4116" i="1" s="1"/>
  <c r="O4116" i="1" s="1"/>
  <c r="O4188" i="1"/>
  <c r="O3915" i="1"/>
  <c r="F279" i="7"/>
  <c r="O4095" i="1"/>
  <c r="O4327" i="1"/>
  <c r="O4139" i="1"/>
  <c r="C4131" i="1" s="1"/>
  <c r="J4131" i="1" s="1"/>
  <c r="K4131" i="1" s="1"/>
  <c r="O4131" i="1" s="1"/>
  <c r="O4169" i="1"/>
  <c r="C4166" i="1" s="1"/>
  <c r="J4166" i="1" s="1"/>
  <c r="K4166" i="1" s="1"/>
  <c r="O4166" i="1" s="1"/>
  <c r="O4073" i="1"/>
  <c r="O4163" i="1"/>
  <c r="C4157" i="1" s="1"/>
  <c r="J4157" i="1" s="1"/>
  <c r="K4157" i="1" s="1"/>
  <c r="O4157" i="1" s="1"/>
  <c r="O4280" i="1"/>
  <c r="C8" i="38"/>
  <c r="I37" i="2"/>
  <c r="K830" i="1"/>
  <c r="H68" i="2" s="1"/>
  <c r="O179" i="1"/>
  <c r="O2571" i="1"/>
  <c r="O2677" i="1"/>
  <c r="F86" i="5"/>
  <c r="O2684" i="1"/>
  <c r="O2780" i="1"/>
  <c r="C8" i="19"/>
  <c r="N555" i="1"/>
  <c r="O555" i="1" s="1"/>
  <c r="L553" i="1"/>
  <c r="O2767" i="1"/>
  <c r="O3079" i="1"/>
  <c r="K2133" i="1"/>
  <c r="H143" i="2" s="1"/>
  <c r="F34" i="7"/>
  <c r="N392" i="1"/>
  <c r="O392" i="1" s="1"/>
  <c r="O2632" i="1"/>
  <c r="O2582" i="1"/>
  <c r="N1807" i="1"/>
  <c r="O1807" i="1" s="1"/>
  <c r="L1802" i="1"/>
  <c r="K1684" i="1"/>
  <c r="O1684" i="1" s="1"/>
  <c r="J1656" i="1"/>
  <c r="F355" i="7"/>
  <c r="O2631" i="1"/>
  <c r="K1863" i="1"/>
  <c r="O1863" i="1" s="1"/>
  <c r="J1856" i="1"/>
  <c r="N1379" i="1"/>
  <c r="O1379" i="1" s="1"/>
  <c r="L1371" i="1"/>
  <c r="N1371" i="1" s="1"/>
  <c r="C85" i="5"/>
  <c r="O3072" i="1"/>
  <c r="O3090" i="1"/>
  <c r="L759" i="1"/>
  <c r="O2570" i="1"/>
  <c r="O2784" i="1"/>
  <c r="F237" i="7"/>
  <c r="F277" i="5"/>
  <c r="O277" i="5" s="1"/>
  <c r="P277" i="5" s="1"/>
  <c r="F298" i="5"/>
  <c r="O298" i="5" s="1"/>
  <c r="P298" i="5" s="1"/>
  <c r="J1940" i="1"/>
  <c r="L667" i="1"/>
  <c r="O2681" i="1"/>
  <c r="O2654" i="1"/>
  <c r="K2456" i="1"/>
  <c r="O2456" i="1" s="1"/>
  <c r="I2326" i="1"/>
  <c r="F144" i="2" s="1"/>
  <c r="N1211" i="1"/>
  <c r="O1211" i="1" s="1"/>
  <c r="L1207" i="1"/>
  <c r="O3162" i="1"/>
  <c r="F195" i="5"/>
  <c r="O195" i="5" s="1"/>
  <c r="P195" i="5" s="1"/>
  <c r="O2653" i="1"/>
  <c r="O3092" i="1"/>
  <c r="O3107" i="1"/>
  <c r="O2575" i="1"/>
  <c r="K1605" i="1"/>
  <c r="O1605" i="1" s="1"/>
  <c r="J1602" i="1"/>
  <c r="K1602" i="1" s="1"/>
  <c r="O1602" i="1" s="1"/>
  <c r="O2753" i="1"/>
  <c r="O3093" i="1"/>
  <c r="O3108" i="1"/>
  <c r="F177" i="5"/>
  <c r="F243" i="5"/>
  <c r="F242" i="5" s="1"/>
  <c r="O242" i="5" s="1"/>
  <c r="P242" i="5" s="1"/>
  <c r="F181" i="7"/>
  <c r="F176" i="7" s="1"/>
  <c r="F193" i="7"/>
  <c r="F133" i="5"/>
  <c r="C10" i="10"/>
  <c r="F277" i="7"/>
  <c r="I1940" i="1"/>
  <c r="F142" i="2" s="1"/>
  <c r="F317" i="5"/>
  <c r="F315" i="5" s="1"/>
  <c r="O315" i="5" s="1"/>
  <c r="P315" i="5" s="1"/>
  <c r="F172" i="7"/>
  <c r="O2771" i="1"/>
  <c r="F167" i="7"/>
  <c r="F32" i="3"/>
  <c r="F398" i="7"/>
  <c r="F215" i="7"/>
  <c r="F162" i="7"/>
  <c r="F145" i="5"/>
  <c r="F342" i="5"/>
  <c r="F255" i="7"/>
  <c r="L495" i="1"/>
  <c r="N495" i="1" s="1"/>
  <c r="O495" i="1" s="1"/>
  <c r="O2783" i="1"/>
  <c r="O2803" i="1"/>
  <c r="J3057" i="1"/>
  <c r="O2603" i="1"/>
  <c r="F256" i="5"/>
  <c r="L2563" i="1"/>
  <c r="F389" i="7"/>
  <c r="F383" i="7"/>
  <c r="F214" i="7"/>
  <c r="F210" i="7"/>
  <c r="F155" i="7"/>
  <c r="F53" i="5"/>
  <c r="F218" i="5"/>
  <c r="F208" i="5"/>
  <c r="F124" i="5"/>
  <c r="F115" i="5" s="1"/>
  <c r="O115" i="5" s="1"/>
  <c r="P115" i="5" s="1"/>
  <c r="I149" i="2"/>
  <c r="K142" i="2"/>
  <c r="F66" i="7"/>
  <c r="F133" i="7"/>
  <c r="N2326" i="1"/>
  <c r="K144" i="2" s="1"/>
  <c r="K59" i="1"/>
  <c r="H15" i="2" s="1"/>
  <c r="F20" i="19"/>
  <c r="F60" i="5"/>
  <c r="F318" i="7"/>
  <c r="O2683" i="1"/>
  <c r="F260" i="7"/>
  <c r="G143" i="2"/>
  <c r="O1371" i="1"/>
  <c r="F307" i="5"/>
  <c r="O307" i="5" s="1"/>
  <c r="P307" i="5" s="1"/>
  <c r="C23" i="3"/>
  <c r="C15" i="3" s="1"/>
  <c r="C8" i="3" s="1"/>
  <c r="F26" i="3"/>
  <c r="O2805" i="1"/>
  <c r="F321" i="7"/>
  <c r="F254" i="5"/>
  <c r="O254" i="5" s="1"/>
  <c r="P254" i="5" s="1"/>
  <c r="O175" i="1"/>
  <c r="F101" i="5"/>
  <c r="O101" i="5" s="1"/>
  <c r="P101" i="5" s="1"/>
  <c r="O2775" i="1"/>
  <c r="F338" i="7"/>
  <c r="F37" i="5"/>
  <c r="O37" i="5" s="1"/>
  <c r="P37" i="5" s="1"/>
  <c r="F301" i="7"/>
  <c r="O2734" i="1"/>
  <c r="F128" i="5"/>
  <c r="F126" i="5" s="1"/>
  <c r="O126" i="5" s="1"/>
  <c r="P126" i="5" s="1"/>
  <c r="C37" i="5"/>
  <c r="F387" i="7"/>
  <c r="C166" i="5"/>
  <c r="F48" i="3"/>
  <c r="F44" i="3"/>
  <c r="F286" i="7"/>
  <c r="F175" i="5"/>
  <c r="F147" i="7"/>
  <c r="F141" i="7" s="1"/>
  <c r="F14" i="5"/>
  <c r="F12" i="5" s="1"/>
  <c r="F405" i="7"/>
  <c r="F403" i="7"/>
  <c r="F209" i="5"/>
  <c r="F413" i="7"/>
  <c r="F368" i="7"/>
  <c r="F173" i="7"/>
  <c r="F216" i="5"/>
  <c r="I76" i="2"/>
  <c r="N918" i="1"/>
  <c r="O4399" i="1"/>
  <c r="K4402" i="1"/>
  <c r="K3765" i="1"/>
  <c r="O3765" i="1" s="1"/>
  <c r="I3282" i="1"/>
  <c r="F148" i="2" s="1"/>
  <c r="I19" i="2"/>
  <c r="N106" i="1"/>
  <c r="K2329" i="1"/>
  <c r="O2329" i="1" s="1"/>
  <c r="J2326" i="1"/>
  <c r="H149" i="2"/>
  <c r="O2811" i="1"/>
  <c r="P18" i="38"/>
  <c r="C4335" i="1"/>
  <c r="C2586" i="1"/>
  <c r="J2586" i="1" s="1"/>
  <c r="K2586" i="1" s="1"/>
  <c r="H151" i="2"/>
  <c r="N1687" i="1"/>
  <c r="I126" i="2"/>
  <c r="C3873" i="1"/>
  <c r="K1071" i="1"/>
  <c r="H86" i="2" s="1"/>
  <c r="G86" i="2"/>
  <c r="C4350" i="1"/>
  <c r="L1369" i="1"/>
  <c r="O2133" i="1"/>
  <c r="G149" i="2"/>
  <c r="N920" i="1"/>
  <c r="O920" i="1" s="1"/>
  <c r="C3410" i="1"/>
  <c r="J3410" i="1" s="1"/>
  <c r="K3410" i="1" s="1"/>
  <c r="O3410" i="1" s="1"/>
  <c r="I4402" i="1"/>
  <c r="O182" i="1"/>
  <c r="I122" i="2"/>
  <c r="L173" i="1"/>
  <c r="F93" i="5"/>
  <c r="O93" i="5" s="1"/>
  <c r="P93" i="5" s="1"/>
  <c r="G23" i="2"/>
  <c r="J1880" i="1"/>
  <c r="J551" i="1"/>
  <c r="J493" i="1"/>
  <c r="L869" i="1"/>
  <c r="O794" i="1"/>
  <c r="F74" i="5"/>
  <c r="O74" i="5" s="1"/>
  <c r="P74" i="5" s="1"/>
  <c r="H1629" i="1"/>
  <c r="F52" i="5"/>
  <c r="O623" i="1"/>
  <c r="P23" i="38" s="1"/>
  <c r="O2688" i="1"/>
  <c r="L59" i="1"/>
  <c r="O2667" i="1"/>
  <c r="I139" i="2"/>
  <c r="F28" i="5"/>
  <c r="O28" i="5" s="1"/>
  <c r="P28" i="5" s="1"/>
  <c r="L1148" i="1"/>
  <c r="K1329" i="1"/>
  <c r="O1329" i="1" s="1"/>
  <c r="J1582" i="1"/>
  <c r="C3025" i="1"/>
  <c r="O3027" i="1"/>
  <c r="L725" i="1"/>
  <c r="L280" i="1"/>
  <c r="L229" i="1"/>
  <c r="O4220" i="1"/>
  <c r="O4258" i="1"/>
  <c r="O4285" i="1"/>
  <c r="O4217" i="1"/>
  <c r="O4247" i="1"/>
  <c r="O4254" i="1"/>
  <c r="O4267" i="1"/>
  <c r="O4324" i="1"/>
  <c r="C4322" i="1" s="1"/>
  <c r="J4322" i="1" s="1"/>
  <c r="O4203" i="1"/>
  <c r="O4209" i="1"/>
  <c r="O4221" i="1"/>
  <c r="O4241" i="1"/>
  <c r="C4236" i="1" s="1"/>
  <c r="J4236" i="1" s="1"/>
  <c r="O4263" i="1"/>
  <c r="O4288" i="1"/>
  <c r="O4318" i="1"/>
  <c r="O4215" i="1"/>
  <c r="O4228" i="1"/>
  <c r="O4245" i="1"/>
  <c r="O4257" i="1"/>
  <c r="O4190" i="1"/>
  <c r="C4182" i="1" s="1"/>
  <c r="O4208" i="1"/>
  <c r="O4227" i="1"/>
  <c r="O4250" i="1"/>
  <c r="O4256" i="1"/>
  <c r="O4279" i="1"/>
  <c r="O4289" i="1"/>
  <c r="O4314" i="1"/>
  <c r="O4319" i="1"/>
  <c r="O4204" i="1"/>
  <c r="O4248" i="1"/>
  <c r="C4292" i="1"/>
  <c r="J4292" i="1" s="1"/>
  <c r="K148" i="2"/>
  <c r="O1016" i="1" l="1"/>
  <c r="F159" i="2"/>
  <c r="F173" i="5"/>
  <c r="O173" i="5" s="1"/>
  <c r="P173" i="5" s="1"/>
  <c r="L1569" i="1"/>
  <c r="K1369" i="1"/>
  <c r="H106" i="2" s="1"/>
  <c r="J34" i="2"/>
  <c r="N335" i="1"/>
  <c r="C41" i="2"/>
  <c r="C161" i="2" s="1"/>
  <c r="H443" i="1"/>
  <c r="E41" i="2" s="1"/>
  <c r="O173" i="1"/>
  <c r="N832" i="1"/>
  <c r="O832" i="1" s="1"/>
  <c r="L830" i="1"/>
  <c r="C102" i="2"/>
  <c r="H1318" i="1"/>
  <c r="E102" i="2" s="1"/>
  <c r="D52" i="2"/>
  <c r="H607" i="1"/>
  <c r="E52" i="2" s="1"/>
  <c r="F37" i="2"/>
  <c r="K390" i="1"/>
  <c r="H37" i="2" s="1"/>
  <c r="J665" i="1"/>
  <c r="K679" i="1"/>
  <c r="O679" i="1" s="1"/>
  <c r="C3555" i="1"/>
  <c r="H110" i="2"/>
  <c r="O1443" i="1"/>
  <c r="L110" i="2" s="1"/>
  <c r="F226" i="7"/>
  <c r="F187" i="7"/>
  <c r="F287" i="7"/>
  <c r="F150" i="7"/>
  <c r="F8" i="10"/>
  <c r="F165" i="7"/>
  <c r="F246" i="7"/>
  <c r="G30" i="2"/>
  <c r="K278" i="1"/>
  <c r="H30" i="2" s="1"/>
  <c r="F85" i="5"/>
  <c r="O85" i="5" s="1"/>
  <c r="P85" i="5" s="1"/>
  <c r="F180" i="5"/>
  <c r="O180" i="5" s="1"/>
  <c r="P180" i="5" s="1"/>
  <c r="F143" i="5"/>
  <c r="O143" i="5" s="1"/>
  <c r="P143" i="5" s="1"/>
  <c r="K1687" i="1"/>
  <c r="H126" i="2" s="1"/>
  <c r="G126" i="2"/>
  <c r="G52" i="2"/>
  <c r="K607" i="1"/>
  <c r="F23" i="3"/>
  <c r="F15" i="3" s="1"/>
  <c r="F8" i="3" s="1"/>
  <c r="L493" i="1"/>
  <c r="F303" i="7"/>
  <c r="K131" i="2"/>
  <c r="O1753" i="1"/>
  <c r="L131" i="2" s="1"/>
  <c r="O1318" i="1"/>
  <c r="L102" i="2" s="1"/>
  <c r="K102" i="2"/>
  <c r="F213" i="7"/>
  <c r="N443" i="1"/>
  <c r="K41" i="2" s="1"/>
  <c r="F12" i="38"/>
  <c r="F10" i="38" s="1"/>
  <c r="F8" i="38" s="1"/>
  <c r="O16" i="38"/>
  <c r="N1071" i="1"/>
  <c r="K86" i="2" s="1"/>
  <c r="I86" i="2"/>
  <c r="C4089" i="1"/>
  <c r="J4089" i="1" s="1"/>
  <c r="K4089" i="1" s="1"/>
  <c r="O4089" i="1" s="1"/>
  <c r="O11" i="1"/>
  <c r="L11" i="2" s="1"/>
  <c r="H11" i="2"/>
  <c r="F350" i="7"/>
  <c r="F114" i="2"/>
  <c r="K1505" i="1"/>
  <c r="H114" i="2" s="1"/>
  <c r="D99" i="2"/>
  <c r="D161" i="2" s="1"/>
  <c r="H1268" i="1"/>
  <c r="F201" i="7"/>
  <c r="C3911" i="1"/>
  <c r="J3911" i="1" s="1"/>
  <c r="K3911" i="1" s="1"/>
  <c r="O3911" i="1" s="1"/>
  <c r="J114" i="2"/>
  <c r="J161" i="2" s="1"/>
  <c r="N1505" i="1"/>
  <c r="K443" i="1"/>
  <c r="H41" i="2" s="1"/>
  <c r="G41" i="2"/>
  <c r="C4214" i="1"/>
  <c r="J4214" i="1" s="1"/>
  <c r="C10" i="5"/>
  <c r="C8" i="5" s="1"/>
  <c r="F10" i="19"/>
  <c r="F8" i="19" s="1"/>
  <c r="F207" i="5"/>
  <c r="O207" i="5" s="1"/>
  <c r="P207" i="5" s="1"/>
  <c r="F272" i="7"/>
  <c r="G150" i="2"/>
  <c r="K3057" i="1"/>
  <c r="I64" i="2"/>
  <c r="N759" i="1"/>
  <c r="K1656" i="1"/>
  <c r="O1656" i="1" s="1"/>
  <c r="J1629" i="1"/>
  <c r="L1567" i="1"/>
  <c r="N1569" i="1"/>
  <c r="O1569" i="1" s="1"/>
  <c r="O390" i="1"/>
  <c r="K37" i="2"/>
  <c r="F394" i="7"/>
  <c r="N1802" i="1"/>
  <c r="O1802" i="1" s="1"/>
  <c r="L1800" i="1"/>
  <c r="L1205" i="1"/>
  <c r="N1207" i="1"/>
  <c r="O1207" i="1" s="1"/>
  <c r="N667" i="1"/>
  <c r="O667" i="1" s="1"/>
  <c r="L665" i="1"/>
  <c r="I145" i="2"/>
  <c r="N2563" i="1"/>
  <c r="K145" i="2" s="1"/>
  <c r="G142" i="2"/>
  <c r="K1940" i="1"/>
  <c r="L551" i="1"/>
  <c r="N553" i="1"/>
  <c r="O553" i="1" s="1"/>
  <c r="K1856" i="1"/>
  <c r="O1856" i="1" s="1"/>
  <c r="J1800" i="1"/>
  <c r="C8" i="10"/>
  <c r="F339" i="5"/>
  <c r="F337" i="5" s="1"/>
  <c r="O337" i="5"/>
  <c r="C2565" i="1"/>
  <c r="J2565" i="1" s="1"/>
  <c r="K2565" i="1" s="1"/>
  <c r="O2565" i="1" s="1"/>
  <c r="N493" i="1"/>
  <c r="K45" i="2" s="1"/>
  <c r="I45" i="2"/>
  <c r="G60" i="5"/>
  <c r="O60" i="5"/>
  <c r="P60" i="5" s="1"/>
  <c r="N280" i="1"/>
  <c r="O280" i="1" s="1"/>
  <c r="L278" i="1"/>
  <c r="N725" i="1"/>
  <c r="O725" i="1" s="1"/>
  <c r="L723" i="1"/>
  <c r="C4284" i="1"/>
  <c r="J4284" i="1" s="1"/>
  <c r="L1146" i="1"/>
  <c r="N1148" i="1"/>
  <c r="O1148" i="1" s="1"/>
  <c r="C4312" i="1"/>
  <c r="C4200" i="1"/>
  <c r="K1582" i="1"/>
  <c r="O1582" i="1" s="1"/>
  <c r="J1567" i="1"/>
  <c r="I15" i="2"/>
  <c r="N59" i="1"/>
  <c r="L82" i="2"/>
  <c r="I106" i="2"/>
  <c r="N1369" i="1"/>
  <c r="Q18" i="38"/>
  <c r="P8" i="38"/>
  <c r="K493" i="1"/>
  <c r="G45" i="2"/>
  <c r="K551" i="1"/>
  <c r="G49" i="2"/>
  <c r="L227" i="1"/>
  <c r="N229" i="1"/>
  <c r="O229" i="1" s="1"/>
  <c r="L171" i="1"/>
  <c r="N173" i="1"/>
  <c r="O8" i="38"/>
  <c r="L149" i="2"/>
  <c r="N869" i="1"/>
  <c r="I72" i="2"/>
  <c r="O2586" i="1"/>
  <c r="F161" i="2"/>
  <c r="L143" i="2"/>
  <c r="G144" i="2"/>
  <c r="K2326" i="1"/>
  <c r="K76" i="2"/>
  <c r="O918" i="1"/>
  <c r="L76" i="2" s="1"/>
  <c r="L159" i="2"/>
  <c r="E122" i="2"/>
  <c r="K1880" i="1"/>
  <c r="G139" i="2"/>
  <c r="P175" i="1"/>
  <c r="O52" i="5"/>
  <c r="P52" i="5" s="1"/>
  <c r="G52" i="5"/>
  <c r="K126" i="2"/>
  <c r="L151" i="2"/>
  <c r="C4244" i="1"/>
  <c r="J4244" i="1" s="1"/>
  <c r="O12" i="5"/>
  <c r="O106" i="1"/>
  <c r="L19" i="2" s="1"/>
  <c r="K19" i="2"/>
  <c r="N830" i="1" l="1"/>
  <c r="I68" i="2"/>
  <c r="G56" i="2"/>
  <c r="K665" i="1"/>
  <c r="H56" i="2" s="1"/>
  <c r="O335" i="1"/>
  <c r="L34" i="2" s="1"/>
  <c r="K34" i="2"/>
  <c r="O1071" i="1"/>
  <c r="O1687" i="1"/>
  <c r="L126" i="2" s="1"/>
  <c r="H52" i="2"/>
  <c r="O607" i="1"/>
  <c r="L52" i="2" s="1"/>
  <c r="J3282" i="1"/>
  <c r="K3282" i="1" s="1"/>
  <c r="O443" i="1"/>
  <c r="L41" i="2" s="1"/>
  <c r="F8" i="7"/>
  <c r="E99" i="2"/>
  <c r="E161" i="2" s="1"/>
  <c r="O1268" i="1"/>
  <c r="L99" i="2" s="1"/>
  <c r="K114" i="2"/>
  <c r="O1505" i="1"/>
  <c r="L114" i="2" s="1"/>
  <c r="F10" i="5"/>
  <c r="O10" i="5" s="1"/>
  <c r="I94" i="2"/>
  <c r="N1205" i="1"/>
  <c r="I135" i="2"/>
  <c r="N1800" i="1"/>
  <c r="I118" i="2"/>
  <c r="N1567" i="1"/>
  <c r="K118" i="2" s="1"/>
  <c r="N551" i="1"/>
  <c r="K49" i="2" s="1"/>
  <c r="I49" i="2"/>
  <c r="L37" i="2"/>
  <c r="K1629" i="1"/>
  <c r="G122" i="2"/>
  <c r="G135" i="2"/>
  <c r="K1800" i="1"/>
  <c r="H135" i="2" s="1"/>
  <c r="H142" i="2"/>
  <c r="O1940" i="1"/>
  <c r="O759" i="1"/>
  <c r="L64" i="2" s="1"/>
  <c r="K64" i="2"/>
  <c r="J2563" i="1"/>
  <c r="G145" i="2" s="1"/>
  <c r="P10" i="5"/>
  <c r="I56" i="2"/>
  <c r="N665" i="1"/>
  <c r="H150" i="2"/>
  <c r="O3057" i="1"/>
  <c r="P337" i="5"/>
  <c r="Q8" i="38"/>
  <c r="N171" i="1"/>
  <c r="I23" i="2"/>
  <c r="H45" i="2"/>
  <c r="O493" i="1"/>
  <c r="L45" i="2" s="1"/>
  <c r="K15" i="2"/>
  <c r="O59" i="1"/>
  <c r="L15" i="2" s="1"/>
  <c r="I90" i="2"/>
  <c r="N1146" i="1"/>
  <c r="K72" i="2"/>
  <c r="O869" i="1"/>
  <c r="L72" i="2" s="1"/>
  <c r="I26" i="2"/>
  <c r="N227" i="1"/>
  <c r="P12" i="5"/>
  <c r="O346" i="5"/>
  <c r="G118" i="2"/>
  <c r="K1567" i="1"/>
  <c r="H139" i="2"/>
  <c r="O1880" i="1"/>
  <c r="L139" i="2" s="1"/>
  <c r="L86" i="2"/>
  <c r="O2326" i="1"/>
  <c r="H144" i="2"/>
  <c r="N723" i="1"/>
  <c r="I60" i="2"/>
  <c r="N278" i="1"/>
  <c r="I30" i="2"/>
  <c r="K106" i="2"/>
  <c r="O1369" i="1"/>
  <c r="L106" i="2" s="1"/>
  <c r="H49" i="2"/>
  <c r="O551" i="1"/>
  <c r="L49" i="2" s="1"/>
  <c r="K68" i="2" l="1"/>
  <c r="O830" i="1"/>
  <c r="L68" i="2" s="1"/>
  <c r="O3282" i="1"/>
  <c r="H148" i="2"/>
  <c r="G148" i="2"/>
  <c r="Q10" i="5"/>
  <c r="K2563" i="1"/>
  <c r="O2563" i="1" s="1"/>
  <c r="L150" i="2"/>
  <c r="L142" i="2"/>
  <c r="K56" i="2"/>
  <c r="O665" i="1"/>
  <c r="L56" i="2" s="1"/>
  <c r="K135" i="2"/>
  <c r="O1800" i="1"/>
  <c r="L135" i="2" s="1"/>
  <c r="F8" i="5"/>
  <c r="H122" i="2"/>
  <c r="O1629" i="1"/>
  <c r="L122" i="2" s="1"/>
  <c r="O1205" i="1"/>
  <c r="K94" i="2"/>
  <c r="I161" i="2"/>
  <c r="O171" i="1"/>
  <c r="L23" i="2" s="1"/>
  <c r="K23" i="2"/>
  <c r="O723" i="1"/>
  <c r="K60" i="2"/>
  <c r="O278" i="1"/>
  <c r="L30" i="2" s="1"/>
  <c r="K30" i="2"/>
  <c r="L144" i="2"/>
  <c r="O1146" i="1"/>
  <c r="L90" i="2" s="1"/>
  <c r="K90" i="2"/>
  <c r="G161" i="2"/>
  <c r="O227" i="1"/>
  <c r="L26" i="2" s="1"/>
  <c r="K26" i="2"/>
  <c r="H118" i="2"/>
  <c r="O1567" i="1"/>
  <c r="L118" i="2" s="1"/>
  <c r="L148" i="2"/>
  <c r="H145" i="2" l="1"/>
  <c r="H161" i="2" s="1"/>
  <c r="L94" i="2"/>
  <c r="P1205" i="1"/>
  <c r="K161" i="2"/>
  <c r="L60" i="2"/>
  <c r="L145" i="2"/>
  <c r="L161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Hp Dm6</author>
    <author>d'jeamys</author>
    <author>bimasakti</author>
  </authors>
  <commentList>
    <comment ref="E10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Total Kebutuhan?????</t>
        </r>
      </text>
    </comment>
    <comment ref="B29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Terminal Perlu diadakan rapat</t>
        </r>
      </text>
    </comment>
    <comment ref="B794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Hp Dm6: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6" authorId="0" shapeId="0" xr:uid="{00000000-0006-0000-0000-000004000000}">
      <text>
        <r>
          <rPr>
            <sz val="12"/>
            <color indexed="81"/>
            <rFont val="Tahoma"/>
            <family val="2"/>
          </rPr>
          <t>user:
Tambah 200 Jt
Kembali Ke Pagu Anggaran</t>
        </r>
      </text>
    </comment>
    <comment ref="B137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jadi 2 M</t>
        </r>
      </text>
    </comment>
    <comment ref="B1377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jadi 10 milyar</t>
        </r>
      </text>
    </comment>
    <comment ref="B1954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d'jeamys:</t>
        </r>
        <r>
          <rPr>
            <sz val="9"/>
            <color indexed="81"/>
            <rFont val="Tahoma"/>
            <family val="2"/>
          </rPr>
          <t xml:space="preserve">
32 Kota 109 Kab</t>
        </r>
      </text>
    </comment>
    <comment ref="B1955" authorId="2" shapeId="0" xr:uid="{00000000-0006-0000-0000-000008000000}">
      <text>
        <r>
          <rPr>
            <b/>
            <sz val="9"/>
            <color indexed="81"/>
            <rFont val="Tahoma"/>
            <family val="2"/>
          </rPr>
          <t>d'jeamys:</t>
        </r>
        <r>
          <rPr>
            <sz val="9"/>
            <color indexed="81"/>
            <rFont val="Tahoma"/>
            <family val="2"/>
          </rPr>
          <t xml:space="preserve">
Tindak Lanjut Kegiatan Monitoring 2014</t>
        </r>
      </text>
    </comment>
    <comment ref="B1957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d'jeamys:</t>
        </r>
        <r>
          <rPr>
            <sz val="9"/>
            <color indexed="81"/>
            <rFont val="Tahoma"/>
            <family val="2"/>
          </rPr>
          <t xml:space="preserve">
Atat Tulis Kantor, Kertas, Pena</t>
        </r>
      </text>
    </comment>
    <comment ref="B1989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d'jeamys:</t>
        </r>
        <r>
          <rPr>
            <sz val="9"/>
            <color indexed="81"/>
            <rFont val="Tahoma"/>
            <family val="2"/>
          </rPr>
          <t xml:space="preserve">
Sesditjen</t>
        </r>
      </text>
    </comment>
    <comment ref="B1993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d'jeamys:</t>
        </r>
        <r>
          <rPr>
            <sz val="9"/>
            <color indexed="81"/>
            <rFont val="Tahoma"/>
            <family val="2"/>
          </rPr>
          <t xml:space="preserve">
anggota BLLAJSDP (Seluruh PNS) dan Dit. KTD</t>
        </r>
      </text>
    </comment>
    <comment ref="B1995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d'jeamys:</t>
        </r>
        <r>
          <rPr>
            <sz val="9"/>
            <color indexed="81"/>
            <rFont val="Tahoma"/>
            <family val="2"/>
          </rPr>
          <t xml:space="preserve">
32 Kota 109 Kab</t>
        </r>
      </text>
    </comment>
    <comment ref="B1996" authorId="2" shapeId="0" xr:uid="{00000000-0006-0000-0000-00000D000000}">
      <text>
        <r>
          <rPr>
            <b/>
            <sz val="9"/>
            <color indexed="81"/>
            <rFont val="Tahoma"/>
            <family val="2"/>
          </rPr>
          <t>d'jeamys:</t>
        </r>
        <r>
          <rPr>
            <sz val="9"/>
            <color indexed="81"/>
            <rFont val="Tahoma"/>
            <family val="2"/>
          </rPr>
          <t xml:space="preserve">
Tindak Lanjut Kegiatan Monitoring 2014</t>
        </r>
      </text>
    </comment>
    <comment ref="B1998" authorId="2" shapeId="0" xr:uid="{00000000-0006-0000-0000-00000E000000}">
      <text>
        <r>
          <rPr>
            <b/>
            <sz val="9"/>
            <color indexed="81"/>
            <rFont val="Tahoma"/>
            <family val="2"/>
          </rPr>
          <t>d'jeamys:</t>
        </r>
        <r>
          <rPr>
            <sz val="9"/>
            <color indexed="81"/>
            <rFont val="Tahoma"/>
            <family val="2"/>
          </rPr>
          <t xml:space="preserve">
Atat Tulis Kantor, Kertas, Pena</t>
        </r>
      </text>
    </comment>
    <comment ref="B2887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prioritas dit.llaj</t>
        </r>
      </text>
    </comment>
    <comment ref="B2888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1. alat uji marka 2, alat uji rambu 1
2. penjuru martin
</t>
        </r>
      </text>
    </comment>
    <comment ref="B2896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kalimantan</t>
        </r>
      </text>
    </comment>
    <comment ref="B2898" authorId="0" shapeId="0" xr:uid="{00000000-0006-0000-0000-000012000000}">
      <text>
        <r>
          <rPr>
            <sz val="9"/>
            <color indexed="81"/>
            <rFont val="Tahoma"/>
            <family val="2"/>
          </rPr>
          <t>Output:
- spesifikasi teknis
- pedoman praktis pemeliharaan</t>
        </r>
      </text>
    </comment>
    <comment ref="B2905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1. TIDAK ADA PEMBELIAN ALAT</t>
        </r>
      </text>
    </comment>
    <comment ref="B3622" authorId="3" shapeId="0" xr:uid="{00000000-0006-0000-0000-000014000000}">
      <text>
        <r>
          <rPr>
            <b/>
            <sz val="8"/>
            <color indexed="81"/>
            <rFont val="Tahoma"/>
            <family val="2"/>
          </rPr>
          <t>bimasakti:</t>
        </r>
        <r>
          <rPr>
            <sz val="8"/>
            <color indexed="81"/>
            <rFont val="Tahoma"/>
            <family val="2"/>
          </rPr>
          <t xml:space="preserve">
di kurangi 150 juta untuk kegiatan anti narkoba
</t>
        </r>
      </text>
    </comment>
  </commentList>
</comments>
</file>

<file path=xl/sharedStrings.xml><?xml version="1.0" encoding="utf-8"?>
<sst xmlns="http://schemas.openxmlformats.org/spreadsheetml/2006/main" count="7199" uniqueCount="2339">
  <si>
    <t>DIREKTORAT JENDERAL  PERHUBUNGAN DARAT</t>
  </si>
  <si>
    <t>NO</t>
  </si>
  <si>
    <t>VOLUME</t>
  </si>
  <si>
    <t>HARGA SATUAN</t>
  </si>
  <si>
    <t>BELANJA PEGAWAI</t>
  </si>
  <si>
    <t>BELANJA BARANG</t>
  </si>
  <si>
    <t>BELANJA MODAL</t>
  </si>
  <si>
    <t>JUMLAH RAYA</t>
  </si>
  <si>
    <t>KEGIATAN/SUB KEGIATAN/JENIS BELANJA / RINCIAN BELANJA</t>
  </si>
  <si>
    <t>MENGIKAT</t>
  </si>
  <si>
    <t>TIDAK MENGIKAT</t>
  </si>
  <si>
    <t>JUMLAH</t>
  </si>
  <si>
    <t>Rp. MURNI</t>
  </si>
  <si>
    <t>PHLN+PNBP</t>
  </si>
  <si>
    <t>SATKER PENGEMBANGAN LLAJ ACEH</t>
  </si>
  <si>
    <t>1951.02</t>
  </si>
  <si>
    <t>PKT</t>
  </si>
  <si>
    <t>1951.02.002</t>
  </si>
  <si>
    <t xml:space="preserve">PKT </t>
  </si>
  <si>
    <t>Belanja Uang Honor Tidak Tetap</t>
  </si>
  <si>
    <t>OB</t>
  </si>
  <si>
    <t>Belanja Barang Operasional Lainnya</t>
  </si>
  <si>
    <t>1951.12</t>
  </si>
  <si>
    <t>SUBSIDI OPERASIONAL ANGKUTAN JALAN</t>
  </si>
  <si>
    <t xml:space="preserve">Subsidi Operasi Bus Perintis </t>
  </si>
  <si>
    <t>TH</t>
  </si>
  <si>
    <t>- Pengawasan Subsidi Operasi Bus Perintis</t>
  </si>
  <si>
    <t>Belanja Bahan</t>
  </si>
  <si>
    <t>1951.01</t>
  </si>
  <si>
    <t>LAYANAN PERKANTORAN BIDANG LLAJ</t>
  </si>
  <si>
    <t>- Honor Kuasa Pengguna Anggaran</t>
  </si>
  <si>
    <t>- Honor Penguji SPM</t>
  </si>
  <si>
    <t>- Honor Bendahara</t>
  </si>
  <si>
    <t>- Honor Staf</t>
  </si>
  <si>
    <t>- Honor SAI</t>
  </si>
  <si>
    <t>Ketua</t>
  </si>
  <si>
    <t>Anggota</t>
  </si>
  <si>
    <t>Pejabat Pengadaan</t>
  </si>
  <si>
    <t>- Honor Panitia Lelang</t>
  </si>
  <si>
    <t>-. Honor Panitia Pemeriksa Barang</t>
  </si>
  <si>
    <t>Belanja Barang Non Operasional Lainnya</t>
  </si>
  <si>
    <t>- Biaya lelang, pencetakan, penggandaan, operasional, dll</t>
  </si>
  <si>
    <t>- Biaya pengadaan ATK</t>
  </si>
  <si>
    <t>Belanja Sewa</t>
  </si>
  <si>
    <t>- Sewa kendaraan roda 4</t>
  </si>
  <si>
    <t>BLN</t>
  </si>
  <si>
    <t>Pengiriman Surat Dinas Pos</t>
  </si>
  <si>
    <t>THN</t>
  </si>
  <si>
    <t>Belanja Perjalanan Lainnya</t>
  </si>
  <si>
    <t xml:space="preserve"> </t>
  </si>
  <si>
    <t>- Tiket PP</t>
  </si>
  <si>
    <t>OT</t>
  </si>
  <si>
    <t>- Penginapan</t>
  </si>
  <si>
    <t>HR</t>
  </si>
  <si>
    <t>- Uang Harian</t>
  </si>
  <si>
    <t>OH</t>
  </si>
  <si>
    <t>- Perjalanan ke lokasi</t>
  </si>
  <si>
    <t>Belanja Modal Peralatan dan Mesin</t>
  </si>
  <si>
    <t>- Pengadan Notebook dan printer</t>
  </si>
  <si>
    <t>SATKER PENGEMBANGAN LLAJ SUMATERA UTARA</t>
  </si>
  <si>
    <t>Pkt</t>
  </si>
  <si>
    <t>PEMBANGUNAN AREA TRAFFIC CONTROLL SYSTEM (ATCS)</t>
  </si>
  <si>
    <t>1951.07</t>
  </si>
  <si>
    <t>SATKER PENGEMBANGAN LLAJ SUMBAR</t>
  </si>
  <si>
    <t>1951.03</t>
  </si>
  <si>
    <t>Jalan Nasional Padang - Bukittinggi</t>
  </si>
  <si>
    <t>OP</t>
  </si>
  <si>
    <t>Honor Panitia Lelang ATCS</t>
  </si>
  <si>
    <t>Honor Panitia Lelang Rehab Faskes</t>
  </si>
  <si>
    <t>Honor Panitia Lelang Subsidi Perintis</t>
  </si>
  <si>
    <t>Honor Panitia Lelang Sosialisasi Keselamatan</t>
  </si>
  <si>
    <t>Pengadaan Laptop dan Printer</t>
  </si>
  <si>
    <t>SATKER PENGEMBANGAN LLAJ RIAU</t>
  </si>
  <si>
    <t>PEMBANGUNAN JEMBATAN TIMBANG</t>
  </si>
  <si>
    <t>PEMBANGUNAN ATCS</t>
  </si>
  <si>
    <t>- Honor PPK</t>
  </si>
  <si>
    <t>Unit</t>
  </si>
  <si>
    <t>SATKER PENGEMBANGAN LLAJ KEPRI</t>
  </si>
  <si>
    <t>Ruas Jalan Nasional Kota Tanjungpinang (Termasuk Supervisi)</t>
  </si>
  <si>
    <t>PROGRAM PENINGKATAN AKSESBILITAS PELAYANAN ANGKUTAN LLAJ</t>
  </si>
  <si>
    <t>Subsidi Operasional Bus Perintis (Trayek Lama)</t>
  </si>
  <si>
    <t>Belanja Honor Tidak Tetap</t>
  </si>
  <si>
    <t>- Pengawasan Subsidi Bus Perintis</t>
  </si>
  <si>
    <t>- Honor Pejabat Pembuat Komitmen</t>
  </si>
  <si>
    <t>- Honor Pejabat Pengadaan Barang / Jasa</t>
  </si>
  <si>
    <t>-. Honor Pengadaan Barang / Jasa</t>
  </si>
  <si>
    <t>-. Honor Panitia Pemeriksa Barang / Pekerjaan</t>
  </si>
  <si>
    <t>6)</t>
  </si>
  <si>
    <t>SATKER PENGEMBANGAN LLAJ JAMBI</t>
  </si>
  <si>
    <t>1951.09</t>
  </si>
  <si>
    <t>7)</t>
  </si>
  <si>
    <t>SATKER PENGEMBANGAN LLAJ SUMATERA SELATAN</t>
  </si>
  <si>
    <t>Honor PPK</t>
  </si>
  <si>
    <t>SATKER PENGEMBANGAN LLAJ BABEL</t>
  </si>
  <si>
    <t>9)</t>
  </si>
  <si>
    <t>SATKER PENGEMBANGAN LLAJ BENGKULU</t>
  </si>
  <si>
    <t>04.08.04</t>
  </si>
  <si>
    <t>PENINGKATAN AKSESIBILITAS PELAYANAN ANGKUTAN LLAJ</t>
  </si>
  <si>
    <t>Subsidi Operasi Bus Perintis (Trayek Lama)</t>
  </si>
  <si>
    <t>- Betungan - Muara Aman</t>
  </si>
  <si>
    <t>- Bengkulu - Manna-Kedurang</t>
  </si>
  <si>
    <t>- Bengkulu-Bengko</t>
  </si>
  <si>
    <t>Pengawasan Subsidi Operasi Bus Perintis</t>
  </si>
  <si>
    <t>10)</t>
  </si>
  <si>
    <t>SATKER PENGEMBANGAN LLAJ LAMPUNG</t>
  </si>
  <si>
    <t>PENGADAAN DAN PEMASANGAN ATCS</t>
  </si>
  <si>
    <t>11)</t>
  </si>
  <si>
    <t>SATKER PENGEMBANGAN LLAJ BANTEN</t>
  </si>
  <si>
    <t>Subsidi Operasi Bus Perintis (4 trayek)</t>
  </si>
  <si>
    <t>12)</t>
  </si>
  <si>
    <t>SATKER PENGEMBANGAN LLAJ JABAR</t>
  </si>
  <si>
    <t>13)</t>
  </si>
  <si>
    <t>SATKER PENGEMBANGAN LLAJ JAWA TENGAH</t>
  </si>
  <si>
    <t xml:space="preserve">PENINGKATAN/REHAB TERMINAL </t>
  </si>
  <si>
    <t>Paket</t>
  </si>
  <si>
    <t xml:space="preserve"> - Honor Kuasa Pengguna Anggaran</t>
  </si>
  <si>
    <t>Honor</t>
  </si>
  <si>
    <t>14)</t>
  </si>
  <si>
    <t>SATKER PENGEMBANGAN LLAJ DIY</t>
  </si>
  <si>
    <t>UNIT</t>
  </si>
  <si>
    <t>15)</t>
  </si>
  <si>
    <t>SATKER PENGEMBANGAN LLAJ JAWA TIMUR</t>
  </si>
  <si>
    <t xml:space="preserve"> PEMBANGUNAN JEMBATAN TIMBANG </t>
  </si>
  <si>
    <t xml:space="preserve">PEMBANGUNAN TERMINAL </t>
  </si>
  <si>
    <t>1951.04</t>
  </si>
  <si>
    <t>1951.06</t>
  </si>
  <si>
    <t>SATKER PENGEMBANGAN LLAJ BALI</t>
  </si>
  <si>
    <t xml:space="preserve">PENINGKATAN KINERJA LALU LINTAS </t>
  </si>
  <si>
    <t>Peningkatan Kinerja Lalu Lintas Jalan Nasional Wilayah Perkotaan Provinsi Bali (termasuk desain dan supervisi)</t>
  </si>
  <si>
    <t>ot</t>
  </si>
  <si>
    <t>hr</t>
  </si>
  <si>
    <t>oh</t>
  </si>
  <si>
    <t>SATKER PENGEMBANGAN LLAJ NTB</t>
  </si>
  <si>
    <t>SATKER PENGEMBANGAN LLAJ NTT</t>
  </si>
  <si>
    <t>Subsidi Operasi Bus Perintis (4 stasiun, 31 trayek)</t>
  </si>
  <si>
    <t>Biaya Pengiriman Surat Dinas Pos</t>
  </si>
  <si>
    <t>SATKER PENGEMBANGAN LLAJ KALBAR</t>
  </si>
  <si>
    <t>Subsidi Operasi Bus Perintis</t>
  </si>
  <si>
    <t>Tayan-Ketapang</t>
  </si>
  <si>
    <t>Sambas-Aruk</t>
  </si>
  <si>
    <t>Bengkayang-Jagoi Babang</t>
  </si>
  <si>
    <t>Putusibau-Puring Kencana</t>
  </si>
  <si>
    <t>- Honor Kuasa Pengguna Anggaran Merangkap PPK</t>
  </si>
  <si>
    <t>- Pengadaan Nootebook dan Printer</t>
  </si>
  <si>
    <t>20)</t>
  </si>
  <si>
    <t>SATKER PENGEMBANGAN LLAJ KALTENG</t>
  </si>
  <si>
    <t>PEMBANGUAN TERMINAL</t>
  </si>
  <si>
    <t>REHABILITASI JEMBATAN TIMBANG</t>
  </si>
  <si>
    <t>04.90.19</t>
  </si>
  <si>
    <t>PROGRAM PENERAPAN KEPEMERINTAHAN YANG BAIK</t>
  </si>
  <si>
    <t>SATKER PENGEMBANGAN LLAJ KALSEL</t>
  </si>
  <si>
    <t>22)</t>
  </si>
  <si>
    <t>SATKER PENGEMBANGAN LLAJ KALTIM</t>
  </si>
  <si>
    <t>Pengadaan dan Pemasangan ATCS Kota Balikpapan Tahap II (termasuk supervisi)</t>
  </si>
  <si>
    <t>PEMBANGUNAN TERMINAL</t>
  </si>
  <si>
    <t>23)</t>
  </si>
  <si>
    <t>SATKER PENGEMBANGAN LLAJ SULSEL</t>
  </si>
  <si>
    <t>Subsidi Operasi Bus Perintis (4 trayek lama)</t>
  </si>
  <si>
    <t>Belanja modal peralatan dan mesin</t>
  </si>
  <si>
    <t>SET</t>
  </si>
  <si>
    <t>SATKER PENGEMBANGAN LLAJ SULBAR</t>
  </si>
  <si>
    <t xml:space="preserve">Notebook dan Printer </t>
  </si>
  <si>
    <t>SATKER PENGEMBANGAN LLAJ SULTENG</t>
  </si>
  <si>
    <t>SATKER PENGEMBANGAN LLAJ GORONTALO</t>
  </si>
  <si>
    <t>Rehabilitasi Terminal Tipe A Isimu</t>
  </si>
  <si>
    <t>SATKER PENGEMBANGAN LLAJ SULUT</t>
  </si>
  <si>
    <t>PENIGKATAN/REHAB/PEMBANGUNAN TERMINAL (termasuk supervisi)</t>
  </si>
  <si>
    <t>Renovasi Terminal AKAP Tangkoko Kota Bitung</t>
  </si>
  <si>
    <t>Pengadaan Notebook dan Printer</t>
  </si>
  <si>
    <t>SATKER PENGEMBANGAN LLAJ SULTRA</t>
  </si>
  <si>
    <t>Kendari - Mawasangka</t>
  </si>
  <si>
    <t>Kendari - Bungku</t>
  </si>
  <si>
    <t>Teomokole - Dongkala</t>
  </si>
  <si>
    <t>SATKER PENGEMBANGAN LLAJ MALUKU</t>
  </si>
  <si>
    <t>Subsidi Operasi Bus Perintis Kota Ambon</t>
  </si>
  <si>
    <t>Honor Panitia Pengadaan Barang/Jasa Fisik</t>
  </si>
  <si>
    <t>Honor Panitia Pengadaan Barang/Jasa Supervisi</t>
  </si>
  <si>
    <t>Pengadaan Komputer PC + Printer</t>
  </si>
  <si>
    <t>SATKER PENGEMBANGAN LLAJ MALUKU UTARA</t>
  </si>
  <si>
    <t>Subsidi Operasi Bus Perintis (3 trayek lama, 2 trayek baru)</t>
  </si>
  <si>
    <t>Honor Panitia Lelang</t>
  </si>
  <si>
    <t>Honor Pemeriksa Barang</t>
  </si>
  <si>
    <t>SATKER PENGEMBANGAN LLAJ PAPUA</t>
  </si>
  <si>
    <t>Subsidi Operasi Bus Perintis (6 lokasi) 29 trayek</t>
  </si>
  <si>
    <t>- Tiket Jakarta-PP</t>
  </si>
  <si>
    <t>SATKER PENGEMBANGAN LLAJ PAPUA BARAT</t>
  </si>
  <si>
    <t>BLLAJSDP JAMBI</t>
  </si>
  <si>
    <t>Uang Harian</t>
  </si>
  <si>
    <t>KGT</t>
  </si>
  <si>
    <t>LAP</t>
  </si>
  <si>
    <t>LS</t>
  </si>
  <si>
    <t>Perjalanan Dinas</t>
  </si>
  <si>
    <t>Tiket</t>
  </si>
  <si>
    <t>Penginapan</t>
  </si>
  <si>
    <t>Langganan Daya dan Jasa</t>
  </si>
  <si>
    <t>Sewa Jaringan Internet</t>
  </si>
  <si>
    <t>unit</t>
  </si>
  <si>
    <t>Perawatan Gedung Kantor</t>
  </si>
  <si>
    <t>BLLAJSDP PALANGKARAYA</t>
  </si>
  <si>
    <t>BLLAJSDP DENPASAR</t>
  </si>
  <si>
    <t>BLLAJSDP PALU</t>
  </si>
  <si>
    <t>SATKER DIREKTORAT LLAJ</t>
  </si>
  <si>
    <t>Pembangunan Terminal Transportasi Jalan</t>
  </si>
  <si>
    <t>Pengadaan Peralatan Kontingensi Penanganan Bencana Alam</t>
  </si>
  <si>
    <t xml:space="preserve">Pengembangan Jaringan Alat Komunikasi </t>
  </si>
  <si>
    <t>ls</t>
  </si>
  <si>
    <t>Honor Output Kegiatan</t>
  </si>
  <si>
    <t>OK</t>
  </si>
  <si>
    <t>-Belanja Barang</t>
  </si>
  <si>
    <t>Rakernis Bidang Angkutan Jalan</t>
  </si>
  <si>
    <t>OJ</t>
  </si>
  <si>
    <t xml:space="preserve">Semiloka Perlengkapan Jalan </t>
  </si>
  <si>
    <t>Belanja sewa</t>
  </si>
  <si>
    <t>- ATK</t>
  </si>
  <si>
    <t>pkt</t>
  </si>
  <si>
    <t>- Belanja Barang</t>
  </si>
  <si>
    <t>Sosialisasi Sistem Informasi Manajemen Lalu Lintas</t>
  </si>
  <si>
    <t>Belanja Perjalanan Lainnya (DN)</t>
  </si>
  <si>
    <t>Pengadaan Notebook</t>
  </si>
  <si>
    <t>DIREKTORAT BINA SISTEM TRANSPORTASI PERKOTAAN</t>
  </si>
  <si>
    <t>Bimbingan Teknis Bidang Transportasi Perkotaan</t>
  </si>
  <si>
    <t>Set</t>
  </si>
  <si>
    <t>Buah</t>
  </si>
  <si>
    <t>Belanja Barang Non Operasional</t>
  </si>
  <si>
    <t>Belanja Jasa Profesi</t>
  </si>
  <si>
    <t>DIREKTORAT KESELAMATAN TRANSPORTASI DARAT</t>
  </si>
  <si>
    <t>Pemilihan Awak Kendaraan Umum Teladan</t>
  </si>
  <si>
    <t>Peningkatan Kapasitas Pengemudi Awak Kendaraan Umum Teladan</t>
  </si>
  <si>
    <t>Program Aksi Peningkatan Kualitas Mental dan Disiplin Pengemudi Angkutan Pariwisata</t>
  </si>
  <si>
    <t>Pembuatan dan Penyusunan Bahan Sosialisasi Keselamatan</t>
  </si>
  <si>
    <t>Pengadaan Helm</t>
  </si>
  <si>
    <t>Pengadaan Peralatan Sosialisasi</t>
  </si>
  <si>
    <t>Pembuatan dan Penayangan Reality Show</t>
  </si>
  <si>
    <t>Sosialisasi Keselamatan Melalui Radio</t>
  </si>
  <si>
    <t>Workshop Manajemen Kampanye Keselamatan</t>
  </si>
  <si>
    <t>Workshop Modul Keselamatan</t>
  </si>
  <si>
    <t>Honor KPA</t>
  </si>
  <si>
    <t>- Ketua</t>
  </si>
  <si>
    <t>- Anggota</t>
  </si>
  <si>
    <t>Honor Panitia Pemeriksa Barang</t>
  </si>
  <si>
    <t>SEKRETARIAT DITJEN PERHUBUNGAN DARAT</t>
  </si>
  <si>
    <t>LAYANAN PERKANTORAN DITJEN HUBDAT</t>
  </si>
  <si>
    <t>001</t>
  </si>
  <si>
    <t>PEMBAYARAN GAJI DAN TUNJANGAN</t>
  </si>
  <si>
    <t xml:space="preserve">Belanja Gaji Pokok PNS </t>
  </si>
  <si>
    <t>Belanja Gaji Pokok PNS (Gaji ke 13)</t>
  </si>
  <si>
    <t>Kenaikan Gaji PNS</t>
  </si>
  <si>
    <t xml:space="preserve">Belanja Pembulatan Gaji PNS </t>
  </si>
  <si>
    <t>Belanja Pembulatan Gaji PNS (Gaji ke 13)</t>
  </si>
  <si>
    <t>Belanja Tunjangan Suami/Isteri PNS</t>
  </si>
  <si>
    <t>Belanja Tunjangan Suami/Isteri PNS (Gaji ke 13)</t>
  </si>
  <si>
    <t xml:space="preserve">Belanja Tunjangan Anak PNS </t>
  </si>
  <si>
    <t>Belanja Tunjangan Anak PNS  (Gaji ke 13)</t>
  </si>
  <si>
    <t>Kenaikan Tunjangan Anak PNS</t>
  </si>
  <si>
    <t>Belanja Tunjangan Struktural PNS</t>
  </si>
  <si>
    <t>Belanja Tunjangan Struktural PNS (Gaji ke 13)</t>
  </si>
  <si>
    <t>Belanja Tunjangan Fungsional PNS</t>
  </si>
  <si>
    <t>Belanja Tunjangan Fungsional PNS  (Gaji ke 13)</t>
  </si>
  <si>
    <t xml:space="preserve">Belanja Tunjangan PPh PNS </t>
  </si>
  <si>
    <t>Belanja Tunjangan PPh PNS (Gaji ke 13)</t>
  </si>
  <si>
    <t xml:space="preserve">Belanja Beras PNS </t>
  </si>
  <si>
    <t>Belanja Uang Makan PNS Golongan I  (1 orang X 22 Hari X 12 Bln X Rp. 25.000)</t>
  </si>
  <si>
    <t>Uang Duka Golongan I</t>
  </si>
  <si>
    <t>Org</t>
  </si>
  <si>
    <t>Uang Duka Golongan II</t>
  </si>
  <si>
    <t>Uang Duka Golongan III</t>
  </si>
  <si>
    <t>Uang Duka Golongan IV</t>
  </si>
  <si>
    <t>Tunjangan Umum PNS</t>
  </si>
  <si>
    <t>Tunjangan Umum PNS (Gaji ke 13)</t>
  </si>
  <si>
    <t>oj</t>
  </si>
  <si>
    <t>002</t>
  </si>
  <si>
    <t>PENYELENGGARAAN OPERASIONAL DAN PEMELIHARAAN PERKANTORAN</t>
  </si>
  <si>
    <t>a</t>
  </si>
  <si>
    <t>POLIKLINIK/OBAT-2AN (TERMASUK HONOR DOKTER DAN PERAWAT)</t>
  </si>
  <si>
    <t>Belanja Jasa Lainnya</t>
  </si>
  <si>
    <t>Pengelolaan Limbah Poliklinik</t>
  </si>
  <si>
    <t>b</t>
  </si>
  <si>
    <t>PENGADAAN PAKAIAN DINAS PEGAWAI</t>
  </si>
  <si>
    <t>Belanja Barang Operasional Lainya</t>
  </si>
  <si>
    <t>Pengadaan Pakaian Dinas Pegawai Kantor Pusat</t>
  </si>
  <si>
    <t>c</t>
  </si>
  <si>
    <t>PENGADAAN TOGA/ PAKAIAN KERJA SOPIR/PESURUH/PERAWAT/DOKTER/SATPAM/TENAGA TEKNIS LAINNYA</t>
  </si>
  <si>
    <t>Pakaian kerja satpam</t>
  </si>
  <si>
    <t>STEL</t>
  </si>
  <si>
    <t>Pakaian kerja satpam Untuk Gedung Arsip</t>
  </si>
  <si>
    <t xml:space="preserve">Pakaian kerja Pramubakti </t>
  </si>
  <si>
    <t>d</t>
  </si>
  <si>
    <t>PERAWATAN GEDUNG KANTOR</t>
  </si>
  <si>
    <t>Pemeliharaan Gedung Kantor Ditjen Hubdat</t>
  </si>
  <si>
    <t>Belanja Biaya Pemeliharaan Gedung dan Bangunan</t>
  </si>
  <si>
    <t>e</t>
  </si>
  <si>
    <t>PEMELIHARAAN PERALATAN DAN MESIN</t>
  </si>
  <si>
    <t>Belanja Biaya Pemeliharaan Peralatan dan Mesin</t>
  </si>
  <si>
    <t>Perawatan Barang Inventaris</t>
  </si>
  <si>
    <t>Thn</t>
  </si>
  <si>
    <t>Perawatan Laptop</t>
  </si>
  <si>
    <t>Perawatan audio confference</t>
  </si>
  <si>
    <t>Perawatan Printer</t>
  </si>
  <si>
    <t>Perawatan Personal Komputer</t>
  </si>
  <si>
    <t>Perawatan alat pemadam kebakaran uk 6 kg</t>
  </si>
  <si>
    <t>Perawatan / Service Pesawat Telephone</t>
  </si>
  <si>
    <t>Pemeliharaan installasi / penggantian bola lampu</t>
  </si>
  <si>
    <t>f</t>
  </si>
  <si>
    <t>PEMELIHARAAN KENDARAAN R2, R4, R6</t>
  </si>
  <si>
    <t>Perawatan Kendaraan Operasional R-4</t>
  </si>
  <si>
    <t>Perawatan Kendaraan Operasional R-6</t>
  </si>
  <si>
    <t>Perawatan Kendaraan Operasional R-2</t>
  </si>
  <si>
    <t>g</t>
  </si>
  <si>
    <t>LANGGANAN DAYA DAN JASA</t>
  </si>
  <si>
    <t>- Langganan Listrik Gedung Arsip</t>
  </si>
  <si>
    <t>- Jasa Sewa Jaringan Internet untuk Website Ditjen Hubdat</t>
  </si>
  <si>
    <t>- Langganan SMS Center</t>
  </si>
  <si>
    <t>h</t>
  </si>
  <si>
    <t>OPERASIONAL PERKANTORAN DAN PIMPINAN</t>
  </si>
  <si>
    <t>Belanja Keperluan Perkantoran</t>
  </si>
  <si>
    <t>Honor Operasional Satuan Kerja</t>
  </si>
  <si>
    <t xml:space="preserve">Belanja perjalanan biasa  (DN)  </t>
  </si>
  <si>
    <t>- Pindah Mutasi</t>
  </si>
  <si>
    <t>- Pensiun</t>
  </si>
  <si>
    <t>i</t>
  </si>
  <si>
    <t>BIAYA KOMUNIKASI PERHUBUNGAN</t>
  </si>
  <si>
    <t>- Pengiriman Surat Klasifikasi Khusus</t>
  </si>
  <si>
    <t>j</t>
  </si>
  <si>
    <t>PENCETAKAN / PENERBITAN/ PENGGANDAAN/ LAMINASI</t>
  </si>
  <si>
    <t>- Pencetakan / Penerbitan/ Penggandaan/ Laminasi/ Plakat</t>
  </si>
  <si>
    <t>011</t>
  </si>
  <si>
    <t>PENGADAAN PERALATAN KANTOR (INVENTARIS KANTOR)</t>
  </si>
  <si>
    <t>Pengadaan Komputer</t>
  </si>
  <si>
    <t>Pengadaan Scanner</t>
  </si>
  <si>
    <t>Pengadaan Printer</t>
  </si>
  <si>
    <t>Pengadaan Hardisk Eksternal</t>
  </si>
  <si>
    <t>Pengadaan LCD Projector</t>
  </si>
  <si>
    <t>Pengadaan Mesin Fax</t>
  </si>
  <si>
    <t>Pengadaan Mesin Pesawat Telephone</t>
  </si>
  <si>
    <t>Pengadaan Alat Penghancur Kertas</t>
  </si>
  <si>
    <t>Pengadaan Camera DSLR</t>
  </si>
  <si>
    <t>Pengadaan Kendaraan Operasional Roda 4</t>
  </si>
  <si>
    <t>Pengadaan Peralatan Pada Gedung Arsip Ditjen Hubdat</t>
  </si>
  <si>
    <t>1953.023</t>
  </si>
  <si>
    <t>PENYELENGGARAAN ADMINISTRASI KEPEGAWAIAN</t>
  </si>
  <si>
    <t>Belanja barang operasional lainnya :</t>
  </si>
  <si>
    <t>Honorarium output kegiatan :</t>
  </si>
  <si>
    <t>Oj</t>
  </si>
  <si>
    <t>Belanja Perjalanan Biasa (DN) :</t>
  </si>
  <si>
    <t xml:space="preserve">- Transport </t>
  </si>
  <si>
    <t>1953.024</t>
  </si>
  <si>
    <t>Updating Data Kepegawaian Ditjen Hubdat :</t>
  </si>
  <si>
    <t>Tata Usaha Pimpinan dan Keprotokolan</t>
  </si>
  <si>
    <t>Koordinasi Kegiatan Kelembagaan Kepegawaian</t>
  </si>
  <si>
    <t>Belanja Perjalanan Biasa (DN)</t>
  </si>
  <si>
    <t>- Tiket</t>
  </si>
  <si>
    <t>Pelaksanaan Kenaikan Pangkat Terpadu</t>
  </si>
  <si>
    <t>Belanja Barang Operasional Lainnya:</t>
  </si>
  <si>
    <t>Th</t>
  </si>
  <si>
    <t>Pelaksanaan Pelantikan Pejabat Dilingkungan Ditjen Hubdat</t>
  </si>
  <si>
    <t>Sosialisasi Bidang Kepegawaian</t>
  </si>
  <si>
    <t>Belanja Barang operasional Lainnya</t>
  </si>
  <si>
    <t xml:space="preserve">- Belanja Barang </t>
  </si>
  <si>
    <t>Belanja Perjalanan Biasa</t>
  </si>
  <si>
    <t>- Transport</t>
  </si>
  <si>
    <t>Penataan Administrasi Untuk Pengusulan Penghapusan BMN Kantor Pusat Ditjen Hubdat</t>
  </si>
  <si>
    <t>1953.025</t>
  </si>
  <si>
    <t>PENGEMBANGAN SDM</t>
  </si>
  <si>
    <t>Peningkatan Kemampuan Pelaksanaan Tugas PNS Ditjen Hubdat</t>
  </si>
  <si>
    <t>- Paket Fullboard Meeting</t>
  </si>
  <si>
    <t>- Belanja barang</t>
  </si>
  <si>
    <t>Belanja Jasa Profesi :</t>
  </si>
  <si>
    <t>- Honor Narasumber</t>
  </si>
  <si>
    <t>- Honor Moderator</t>
  </si>
  <si>
    <t>Honor Output Kegiatan:</t>
  </si>
  <si>
    <t>Belanja perjalanan lainnya (DN) :</t>
  </si>
  <si>
    <t>Penyertaan Peserta Penyesuaian Ijazah</t>
  </si>
  <si>
    <t>Pemetaan Profile Potensi PNS Ditjen Hubdat</t>
  </si>
  <si>
    <t>Pengembangan Karakter Pegawai</t>
  </si>
  <si>
    <t>- Narasumber</t>
  </si>
  <si>
    <t>1953.026</t>
  </si>
  <si>
    <t>PENYELENGGARAAN KEARSIPAN</t>
  </si>
  <si>
    <t>Sosialisasi Ketatausahaan Kepegawaian</t>
  </si>
  <si>
    <t xml:space="preserve">Pengalihan Arsip Kertas ke Media Penyimpanan Elektronik (Digitalisasi Arsip)              </t>
  </si>
  <si>
    <t>Penyusutan dan Pemusnahan Arsip</t>
  </si>
  <si>
    <t>Penataan Kearsipan</t>
  </si>
  <si>
    <t>1953.027</t>
  </si>
  <si>
    <t>PENYERTAAN PENDIDIKAN DAN PELATIHAN</t>
  </si>
  <si>
    <t>Pendidikan dan Pelatihan Struktural</t>
  </si>
  <si>
    <t>Pendidikan dan Pelatihan Teknis</t>
  </si>
  <si>
    <t>1953.029</t>
  </si>
  <si>
    <t>PEMBINAAN ORGANISASI DAN TATA LAKSANA</t>
  </si>
  <si>
    <t>Belanja Barang Operasional Lainya :</t>
  </si>
  <si>
    <t>- Belanja Bahan ATK</t>
  </si>
  <si>
    <t>Monitoring dan Evaluasi Pelaksanaan Jabatan Fungsional PKB</t>
  </si>
  <si>
    <t>Monitoring dan Evaluasi Pelaksanaan Reformasi Birokrasi Di lingkungan Ditjen Perhubungan Darat</t>
  </si>
  <si>
    <t>Monitoring dan Evaluasi Kepegawaian di lingkungan Sub Sektor Perhubungan Darat</t>
  </si>
  <si>
    <t>PENYUSUNAN PROGRAM DAN RENCANA KERJA</t>
  </si>
  <si>
    <t>Pembinaan Program</t>
  </si>
  <si>
    <t>- Honor Pelaksana Kegiatan</t>
  </si>
  <si>
    <t>-. Transport</t>
  </si>
  <si>
    <t>-. Uang Harian</t>
  </si>
  <si>
    <t>-. Penginapan</t>
  </si>
  <si>
    <t>Pembinaan Program dan Rencana Kerja</t>
  </si>
  <si>
    <t>-. Airport Tax</t>
  </si>
  <si>
    <t>-. Taxi</t>
  </si>
  <si>
    <t>Pembekalan Teknis Satker Seluruh Indonesia di Bidang Perhubungan Darat</t>
  </si>
  <si>
    <t>Belanja barang Non operasional lainnya :</t>
  </si>
  <si>
    <t>- Paket Fullday Meeting</t>
  </si>
  <si>
    <t>- Barang Distribusi</t>
  </si>
  <si>
    <t>-. Narasumber</t>
  </si>
  <si>
    <t>-. Honor Panitia</t>
  </si>
  <si>
    <t>MONITORING DAN EVALUASI BIDANG PERENCANAAN TRANSPORTASI DARAT</t>
  </si>
  <si>
    <t>Monitoring dan Evaluasi Bidang Perencanaan Transportasi Darat</t>
  </si>
  <si>
    <t>Belanja Barang Non Operasional Lainya</t>
  </si>
  <si>
    <t>-Paket Fullday Meeting</t>
  </si>
  <si>
    <t>Peningkatan Kapasitas Penyusunan SAKIP</t>
  </si>
  <si>
    <t>PENGEMBANGAN SISTEM INFORMASI DITJEN HUBDAT</t>
  </si>
  <si>
    <t>1953.035.001</t>
  </si>
  <si>
    <t>Pembangunan Sistem Informasi</t>
  </si>
  <si>
    <t>Pengendalian Operasional Sistem Informasi</t>
  </si>
  <si>
    <t>- Peningkatan Kapasitas Jaringan Komputer</t>
  </si>
  <si>
    <t>Dukungan Penyelenggaraan Sistem Informasi</t>
  </si>
  <si>
    <t>Pembangunan System Informasi</t>
  </si>
  <si>
    <t>Belanja Modal Lainnya</t>
  </si>
  <si>
    <t>1953.035.002</t>
  </si>
  <si>
    <t>PENGEMBANGAN DATA PERHUBUNGAN DARAT</t>
  </si>
  <si>
    <t>Pengembangan Data Perhubungan Darat</t>
  </si>
  <si>
    <t>PEMBINAAN ADMINISTRASI, DAN PENGELOLAAN KEUANGAN BMN DAN ASET</t>
  </si>
  <si>
    <t>1953.036.001</t>
  </si>
  <si>
    <t>Pembinaan Administrasi dan Pengelolaan Keuangan</t>
  </si>
  <si>
    <t>Pembinaan Penerimaan Negara Bukan Pajak (PNBP)</t>
  </si>
  <si>
    <t>- Penanggungjawab</t>
  </si>
  <si>
    <t>- Wakil Ketua</t>
  </si>
  <si>
    <t>Perjalanan Dinas Biasa (DN)</t>
  </si>
  <si>
    <t xml:space="preserve"> - Transport</t>
  </si>
  <si>
    <t>Pengelolaan Sistem Akuntansi Instansi (SAI)</t>
  </si>
  <si>
    <t>- Honor</t>
  </si>
  <si>
    <t>BAGIAN  HUKUM</t>
  </si>
  <si>
    <t>PENYUSUNAN, DOKUMENTASI, DAN SOSIALISASI PERATURAN PERUNDANG-UNDANGAN</t>
  </si>
  <si>
    <t>1953.037.001</t>
  </si>
  <si>
    <t>Koordinasi Penyusunan Peraturan Perundang-Undangan dan Bantuan Hukum</t>
  </si>
  <si>
    <t>Penyuluhan Peraturan Perundang-undangan</t>
  </si>
  <si>
    <t>Keg</t>
  </si>
  <si>
    <t>Jasa Profesi</t>
  </si>
  <si>
    <t>Pertimbangan Bantuan Hukum</t>
  </si>
  <si>
    <t>Koordinasi Penyus Per-UUan dan Asistensi Penyusunan Raperda</t>
  </si>
  <si>
    <t>Koordinasi Institusional</t>
  </si>
  <si>
    <t>Belanja Perjalanan Biasa  (LN)</t>
  </si>
  <si>
    <t>- Perjalanan Dinas Luar Negeri (LN)</t>
  </si>
  <si>
    <t>- Perjalanan Dinas Dalam Negeri (DN)</t>
  </si>
  <si>
    <t>PENYELENGGARAAN KEHUMASAN</t>
  </si>
  <si>
    <t>1953.041.001</t>
  </si>
  <si>
    <t>Penyelenggaraan / Humas/ Protokol/ Pemberitaan</t>
  </si>
  <si>
    <t>Dokumentasi</t>
  </si>
  <si>
    <t>Jumpa Pers/Siaran Pers</t>
  </si>
  <si>
    <t>Liputan Pers</t>
  </si>
  <si>
    <t>Pameran/Visualisasi</t>
  </si>
  <si>
    <t>Langganan Koran</t>
  </si>
  <si>
    <t>Penerbitan News Letter Info Hubdat</t>
  </si>
  <si>
    <t xml:space="preserve">- Honor  </t>
  </si>
  <si>
    <t>Publikasi Kebijakan Transportasi Darat Melalui Media Cetak Tahun 2013</t>
  </si>
  <si>
    <t>PENYUSUNAN STUDI / KAJIAN/ MASTERPLAN DI LINGKUNGAN DITJEN PERHUBUNGAN DARAT</t>
  </si>
  <si>
    <t>Pembinaan dan Peningkatan Transportasi Darat</t>
  </si>
  <si>
    <t>Penyusunan Studi</t>
  </si>
  <si>
    <t>- Honor Pejabat Pengadan Jasa Konsultansi Pagu 500 juta sd 1 M</t>
  </si>
  <si>
    <t>- Honor Pejabat Pengadaan Jasa Konsultansi Pagu 2,5 M sd 5 M</t>
  </si>
  <si>
    <t>- Honor Pejabat Pengadan Jasa Konsultansi Pagu 5 M sd 10 M</t>
  </si>
  <si>
    <t>- Penerbitan/ Pencetakan/ Penggandaan &amp; Operasional Lainnya</t>
  </si>
  <si>
    <t>- Perjalanan Dinas</t>
  </si>
  <si>
    <t>Belanja Modal Lainnnya</t>
  </si>
  <si>
    <t>Monitoring Pelaksanaan Kegiatan di Lingkungan Sub Sektor Perhubungan Darat</t>
  </si>
  <si>
    <t>- Biaya Penggandaan, Dokumentasi dan Operasional Lainnya</t>
  </si>
  <si>
    <t>RAPAT/RAKOR/RAKORNIS/ RADIN/ RAKER</t>
  </si>
  <si>
    <t>1953.053.002</t>
  </si>
  <si>
    <t>Rakornis Ditjen Hubdat dan Rapat Kerja Lainnya</t>
  </si>
  <si>
    <t>- Honor Pembicara/ Nara Sumber</t>
  </si>
  <si>
    <t>Perjalanan Dinas:</t>
  </si>
  <si>
    <t xml:space="preserve">- Uang Harian </t>
  </si>
  <si>
    <t>BPLJSKB BEKASI</t>
  </si>
  <si>
    <t>LAYANAN PERKANTORAN BPLJSKB</t>
  </si>
  <si>
    <t>Pembayaran Gaji dan Tunjangan</t>
  </si>
  <si>
    <t>Belanja Gaji Pokok PNS</t>
  </si>
  <si>
    <t xml:space="preserve"> -  Belanja Gaji Pokok PNS</t>
  </si>
  <si>
    <t xml:space="preserve"> -  Belanja Gaji Pokok PNS (Gaji 13)</t>
  </si>
  <si>
    <t xml:space="preserve"> -  Kenaikan Gaji 10%</t>
  </si>
  <si>
    <t>Belanja Pembulatan Gaji PNS</t>
  </si>
  <si>
    <t xml:space="preserve"> - Belanja Pembulatan Gaji PNS</t>
  </si>
  <si>
    <t xml:space="preserve"> - Belanja Pembulatan Gaji PNS (Gaji 13)</t>
  </si>
  <si>
    <t>Belanja Tunj. Suami/Istri PNS</t>
  </si>
  <si>
    <t xml:space="preserve"> - Belanja Tunj. Suami/Istri PNS</t>
  </si>
  <si>
    <t xml:space="preserve"> - Belanja Tunj. Suami/Istri PNS (Gaji 13)</t>
  </si>
  <si>
    <t>Belanja Tunj. Anak PNS</t>
  </si>
  <si>
    <t xml:space="preserve"> - Belanja Tunj. Anak PNS</t>
  </si>
  <si>
    <t xml:space="preserve"> - Belanja Tunj. Anak PNS (Gaji 13)</t>
  </si>
  <si>
    <t>Belanja Tunj. Struktural PNS</t>
  </si>
  <si>
    <t xml:space="preserve"> - Belanja Tunj. Struktural PNS</t>
  </si>
  <si>
    <t xml:space="preserve"> - Belanja Tunj. Struktural PNS (Gaji 13)</t>
  </si>
  <si>
    <t>Belanja Tunj. Fungsional PNS</t>
  </si>
  <si>
    <t xml:space="preserve"> - Belanja Tunj. Fungsional PNS</t>
  </si>
  <si>
    <t xml:space="preserve"> - Belanja Tunj. Fungsional PNS (Gaji 13)</t>
  </si>
  <si>
    <t>Belanja Tunjangan PPh PNS</t>
  </si>
  <si>
    <t>- Belanja Tunj. PPh PNS</t>
  </si>
  <si>
    <t>- Belanja Tunj. PPh PNS (Gaji 13)</t>
  </si>
  <si>
    <t>Belanja Tunj. Beras PNS</t>
  </si>
  <si>
    <t xml:space="preserve"> - Belanja Tunj. Beras PNS</t>
  </si>
  <si>
    <t>Belanja Uang Makan PNS</t>
  </si>
  <si>
    <t>Belanja Tunjangan Umum PNS</t>
  </si>
  <si>
    <t xml:space="preserve"> - Belanja Tunj. Umum PNS</t>
  </si>
  <si>
    <t xml:space="preserve">Belanja Uang Duka </t>
  </si>
  <si>
    <t xml:space="preserve"> - Belanja Uang Duka</t>
  </si>
  <si>
    <t>Belanja Uang  Lembur</t>
  </si>
  <si>
    <t>JAM</t>
  </si>
  <si>
    <t>Belanja Pegawai Transito</t>
  </si>
  <si>
    <t>- Belanja Transito</t>
  </si>
  <si>
    <t>Penyelenggaraan Operasional dan Pemeliharaan Perkantoran</t>
  </si>
  <si>
    <t>Operasional Perkantoran dan Pimpinan</t>
  </si>
  <si>
    <t>Belanja Bahan Operasional Lainnya</t>
  </si>
  <si>
    <t>- Obat-obatan, penyediaan dan pelayanan kesehatan</t>
  </si>
  <si>
    <t>- Pengadaan Pakaian Dinas Pegawai</t>
  </si>
  <si>
    <t>- Pakaian Penguji</t>
  </si>
  <si>
    <t>- Pakaian Teknis dan Lainnya</t>
  </si>
  <si>
    <t>Honor Yang Terkait Output Kegiatan</t>
  </si>
  <si>
    <t>- Honor kegiatan operasional</t>
  </si>
  <si>
    <t>Pemeliharaan Kendaraan</t>
  </si>
  <si>
    <t>-  Pemeliharaan Kendaraan Bermotor Roda 4</t>
  </si>
  <si>
    <t>-  Pemeliharaan Kendaraan Bermotor Roda 6</t>
  </si>
  <si>
    <t>-  Pemeliharaan Kendaraan Bermotor Roda 2</t>
  </si>
  <si>
    <t>Penyelenggaraan Humas, Protokol dan Pemberitaan</t>
  </si>
  <si>
    <t>-  Penyelenggaraan Humas/Protokol/Publikasi</t>
  </si>
  <si>
    <t>Pencetakan, Penerbitan, Penggandaan dan Laminasi</t>
  </si>
  <si>
    <t>-  Pencetakan bahan dan lain-lain</t>
  </si>
  <si>
    <t>Monitoring dan Evaluasi</t>
  </si>
  <si>
    <t>-  Rapat Diskusi Rutin</t>
  </si>
  <si>
    <t>-  Pengadaan Jasa Satuan Pengamanan</t>
  </si>
  <si>
    <t>-  Keperluan Sehari-hari Perkantoran</t>
  </si>
  <si>
    <t>-  Perjalanan Dinas Dalam Negeri</t>
  </si>
  <si>
    <t>Belanja Perjalanan Biasa (LN)</t>
  </si>
  <si>
    <t>-  Perjalanan Dinas Luar Negeri</t>
  </si>
  <si>
    <t>-  Sewa Jaringan Internet</t>
  </si>
  <si>
    <t>-  Listrik</t>
  </si>
  <si>
    <t>-  Telephone</t>
  </si>
  <si>
    <t>Pemeliharaan Gedung dan Bangunan</t>
  </si>
  <si>
    <t>Belanja Pemeliharaan Gedung dan Bangunan</t>
  </si>
  <si>
    <t>-  Pemeliharaan rutin gedung kantor</t>
  </si>
  <si>
    <t>11</t>
  </si>
  <si>
    <t>Honor yang Terkait Operasional Satuan Kerja</t>
  </si>
  <si>
    <t>-  Honor KPA</t>
  </si>
  <si>
    <t>-  Honor PPK</t>
  </si>
  <si>
    <t>-  Honor Pejabat Penandatangan SPM</t>
  </si>
  <si>
    <t>-  Honor Bendahara</t>
  </si>
  <si>
    <t>-  Honor Staf</t>
  </si>
  <si>
    <t>-  Honor Panitia Lelang</t>
  </si>
  <si>
    <t>-  Honor Panitia Penerima Hasil Pekerjaan</t>
  </si>
  <si>
    <t>Penyertaan Pendidikan dan Pelatihan Teknis</t>
  </si>
  <si>
    <t xml:space="preserve">- Penyertaan Pendidikan dan Pelatihan Teknis </t>
  </si>
  <si>
    <t>14</t>
  </si>
  <si>
    <t>Perawatan Alat Besar/ Alat Bantu</t>
  </si>
  <si>
    <t xml:space="preserve">- Pemeliharaan Genset Listrik 428 KVA </t>
  </si>
  <si>
    <t xml:space="preserve">- Pemeliharaan Genset Listrik 250 KVA </t>
  </si>
  <si>
    <t>- Pemeliharaan Alat Uji Passenger Car merk saxon</t>
  </si>
  <si>
    <t>- Pemeliharaan Alat Uji Passenger Car merk Banzai</t>
  </si>
  <si>
    <t>- Pemeliharaan Alat Uji Sepeda Motor</t>
  </si>
  <si>
    <t>- Pemeliharaan Alat Uji  Bus/truck</t>
  </si>
  <si>
    <t>- Pemeliharaan cubicle</t>
  </si>
  <si>
    <t>Belanja Biaya Pemeliharaan Peralatan dan Mesin Lainnya</t>
  </si>
  <si>
    <t>- Pemeliharaan CCTV</t>
  </si>
  <si>
    <t>- Pemelihaan Peralatan Komputer,laptop, printer</t>
  </si>
  <si>
    <t>- Pemeliharaan Alat Pemadam / refill ulang tabung pemadam kebakaran</t>
  </si>
  <si>
    <t>- Pemeliharaan Trafo I Union dan Trafo II Centrando)</t>
  </si>
  <si>
    <t>- Pemeliharaan barang-barang inventaris kantor lainnya</t>
  </si>
  <si>
    <t>- pemeliharaan panel kontrol genset</t>
  </si>
  <si>
    <t>Penerimaan Negara Bukan Pajak (PNBP)</t>
  </si>
  <si>
    <t>Belanja Modal Gedung dan Bangunan</t>
  </si>
  <si>
    <t>- Honor Atasan Langsung</t>
  </si>
  <si>
    <t>Pembangunan Sarana dan Prasarana Penunjang Uji Kelayakan Kendaraan Bermotor</t>
  </si>
  <si>
    <t>Belanja Modal Jalan dan Jembatan</t>
  </si>
  <si>
    <t>Lintas Ujong Drien-Sp Peut (Kab. Nagan Raya)</t>
  </si>
  <si>
    <t>Sp3 Lhok Pawoh-Labuhan Haji</t>
  </si>
  <si>
    <t>Km.0 -Kota Sabang</t>
  </si>
  <si>
    <t>A</t>
  </si>
  <si>
    <t>1949.010</t>
  </si>
  <si>
    <t>1951.002</t>
  </si>
  <si>
    <t>Jalan Nasional Bukittinggi - Batas Riau</t>
  </si>
  <si>
    <t>Jalan Nasional Bukittinggi - Batas Sumut</t>
  </si>
  <si>
    <t>Jalan Nasional Padang - Solok</t>
  </si>
  <si>
    <t>Jalan Nasional Solok - Kiliran Jao</t>
  </si>
  <si>
    <t>Jalan Nasional Kiliran Jao - Batas Jambi</t>
  </si>
  <si>
    <t>Jalan Nasional Lubuk Selasih - Batas Jambi (Kerinci)</t>
  </si>
  <si>
    <t>1951.012</t>
  </si>
  <si>
    <t>- Letter W - Padang Aro (35 Km)</t>
  </si>
  <si>
    <t>1951.001</t>
  </si>
  <si>
    <t xml:space="preserve">  * Ketua</t>
  </si>
  <si>
    <t xml:space="preserve">  * Anggota </t>
  </si>
  <si>
    <t>Honor Panitia Lelang Fasilitas Keselamatan</t>
  </si>
  <si>
    <t>- Honor Panitia Pemeriksa Barang</t>
  </si>
  <si>
    <t>- Biaya Pengadaan ATK</t>
  </si>
  <si>
    <t>- Biaya Lelang, Pencetakan, Penggandaan, Operasional, dll</t>
  </si>
  <si>
    <t xml:space="preserve">- Sewa Kendaraan roda 4 </t>
  </si>
  <si>
    <t>- Tiket (PP)</t>
  </si>
  <si>
    <t xml:space="preserve">- Penginapan </t>
  </si>
  <si>
    <t xml:space="preserve">- Perjalanan ke lokasi </t>
  </si>
  <si>
    <t xml:space="preserve">Ruas Jalan Air Sebakul - Simpang Kembang Seri (termasuk desain dan supervisi) </t>
  </si>
  <si>
    <t xml:space="preserve">Ruas Jalan Manna - Sulau (termasuk desain dan supervisi) </t>
  </si>
  <si>
    <t>Ruas Jalan Lais - Ketahun (termasuk desain dan supervisi) Lanjutan</t>
  </si>
  <si>
    <t>Ruas Jalan Kepahiang-Curup (termasuk desain dan supervisi) Lanjutan</t>
  </si>
  <si>
    <t>Ruas Jalan Tugu Hiu - Simpang Nakau (termasuk desain dan supervisi) Lanjutan</t>
  </si>
  <si>
    <t>Ruas Jalan Nasional Kota Batam (Termasuk Supervisi)</t>
  </si>
  <si>
    <t>Ruas Jalan Nasional Kabupaten Karimun (Termasuk Supervisi)</t>
  </si>
  <si>
    <t>-. Peningkatan Perangkat ATCS di Kota Batam Thp II</t>
  </si>
  <si>
    <t>Kuala Cinaku-Rumbai Jaya-Bagan Jaya</t>
  </si>
  <si>
    <t>Simpang Balam-Simpang Batang-Bts Kota Dumai</t>
  </si>
  <si>
    <t>Simpang Batang-Simpang Kulin</t>
  </si>
  <si>
    <t>Duri-Kandis</t>
  </si>
  <si>
    <t xml:space="preserve">Honor Panitia Lelang </t>
  </si>
  <si>
    <t>Ruas Jalan Bakauheni - Sukadana/Way Jepara (2 Link)</t>
  </si>
  <si>
    <t>Ruas Jalan Sukadana/Way Jepara - Menggala (2 Link)</t>
  </si>
  <si>
    <t>Ruas Jalan Menggala - Batas Sumsel (2 Link)</t>
  </si>
  <si>
    <t>Ruas Jalan Kota Agung - Bengkunat (3 Link)</t>
  </si>
  <si>
    <t>Ruas Jalan Bengkunat - Krui (3 Link)</t>
  </si>
  <si>
    <t>Ruas Jalan Krui - Batas Bengkulu (2 Link)</t>
  </si>
  <si>
    <t>FASILITAS PENDUKUNG LLAJ</t>
  </si>
  <si>
    <t>Pengadan Notebook dan Printer</t>
  </si>
  <si>
    <t>E</t>
  </si>
  <si>
    <t>H.</t>
  </si>
  <si>
    <t>- Honor  Kuasa Pengguna Anggaran</t>
  </si>
  <si>
    <t>- Honor  Pejabat Pembuat Komitmen</t>
  </si>
  <si>
    <t>- Pengadaan Komputer Tablet</t>
  </si>
  <si>
    <t>Tanjung Pandan-Tanjung Tinggi-Sijuk (Termasuk Supervisi)</t>
  </si>
  <si>
    <t>Ruas Jalan Tanjung Kalian-Ibul (Termasuk Supervisi)</t>
  </si>
  <si>
    <t>Karangasem - Tembok (termasuk supervisi)</t>
  </si>
  <si>
    <t>Tembok - Kubutambahan  (termasuk supervisi)</t>
  </si>
  <si>
    <t>- Sewa Gedung</t>
  </si>
  <si>
    <t>Jalan Parangtritis - Saptosari - Baron (Termasuk Supervisi)</t>
  </si>
  <si>
    <t>Jalan Yogja - Wonosari - Pracimantoro (Termasuk Supervisi)</t>
  </si>
  <si>
    <t>Jalan Ring - Road DIY (Termasuk Supervisi)</t>
  </si>
  <si>
    <t>Jalan Parangtritis - Srandakan - Congot (Termasuk Supervisi)</t>
  </si>
  <si>
    <t>Jalan Yogyakarta - Wates - Perbatasan Purworejo (Termasuk Supervisi)</t>
  </si>
  <si>
    <t>Pemasangan Pembangkit Listrik Tenaga Surya Untuk Halte Trans Jogja (Termasuk Supervisi)</t>
  </si>
  <si>
    <t xml:space="preserve">Jalan Nasional Batas Kota Tegal - Batas Kota Slawi </t>
  </si>
  <si>
    <t>Jalan Nasional Batas Kota Slawi - Prupuk</t>
  </si>
  <si>
    <t>Jalan Nasional Batas Jawa Barat - Karangpucung</t>
  </si>
  <si>
    <t>Jalan Nasional Karangpucung - Wangon</t>
  </si>
  <si>
    <t>Jalan Nasional Batas Kota Sragen - Mantingan (Batas Prov Jatim)</t>
  </si>
  <si>
    <t>PENGADAAN &amp; PEMASANGAN PERLENGKAPAN JALAN (Termasuk Supervisi)</t>
  </si>
  <si>
    <t>PEMANGUNAN TERMINAL PENUMPANG</t>
  </si>
  <si>
    <t>Pembangunan Terminal Klaten Tahap 3 (selesai)</t>
  </si>
  <si>
    <t>Palu-Ogoamas-Tolitoli-Buol-Batas Gorontalo (Termasuk Supervisi)</t>
  </si>
  <si>
    <t>Palu-Donggala-Batas Sulawesi Barat (Termasuk Supervisi)</t>
  </si>
  <si>
    <t>Tawaeli-Toboli-Kotaraya-Moutong-Batas Gorontalo (Termasuk Supervisi)</t>
  </si>
  <si>
    <t>Poso-Ampana-Luwuk-Toili-Baturube(Termasuk Supervisi)</t>
  </si>
  <si>
    <t>Toboli-Parigi-Poso-Tentena-Pendolo-Batas Sulawesi Selatan  (Termasuk Supervisi)</t>
  </si>
  <si>
    <t>REHABILITASI TERMINAL PENUMPANG ANGKUTAN UMUM</t>
  </si>
  <si>
    <t>Rehabilitasi Terminal Penumpang Tipe A Siwagilembah Poso</t>
  </si>
  <si>
    <t>- Kisaran - Aek Kanopan</t>
  </si>
  <si>
    <t>- Aek Kanopan - R. Parapat</t>
  </si>
  <si>
    <t>- R.Parapat - Kota Pinang</t>
  </si>
  <si>
    <t>PEMBANGUNAN PRASARANA ANGKUTAN PENUMPANG</t>
  </si>
  <si>
    <t xml:space="preserve">Pembangunan Jembatan Timbang Cipeuyeum Cianjur Tahap I </t>
  </si>
  <si>
    <t>SUBSIDI ANGKUTAN PERINTIS</t>
  </si>
  <si>
    <t>Subsidi Angkutan Keperintisan</t>
  </si>
  <si>
    <t>- Sewa kantor</t>
  </si>
  <si>
    <t>- Biaya Pengadaan Laptop</t>
  </si>
  <si>
    <t>- Biaya Pengadaan Komputer</t>
  </si>
  <si>
    <t xml:space="preserve">- Biaya Pengadaan Printer </t>
  </si>
  <si>
    <t>buah</t>
  </si>
  <si>
    <t>Ruas Cakra Negara - Mantang (termasuk supervisi)</t>
  </si>
  <si>
    <t>Ruas Kopang - Masbagik (termasuk supervisi)</t>
  </si>
  <si>
    <t>Ruas Rempung - Labuhan Lombok (termasuk supervisi)</t>
  </si>
  <si>
    <t>Simpang Negara - Batas kota Sumbawa Besar (termasuk supervisi)</t>
  </si>
  <si>
    <t>Batas Kota Dompu - Sila (termasuk supervisi)</t>
  </si>
  <si>
    <t>JL. BHAYANGKARA (SUKABUMI) (termasuk supervisi)</t>
  </si>
  <si>
    <t>JL. KOSASIH (SUKABUMI) (termasuk supervisi)</t>
  </si>
  <si>
    <t>JL. K.H. SANUSI(termasuk supervisi)</t>
  </si>
  <si>
    <t>JL. RAYA BATULAWANG (BANJAR) (termasuk supervisi)</t>
  </si>
  <si>
    <t>JL. RAYA BANJARSARI (BANJARSARI) (termasuk supervisi)</t>
  </si>
  <si>
    <t>JL. KHP HASAN MUSTAFA/SUCI (BANDUNG) (termasuk supervisi)</t>
  </si>
  <si>
    <t>JL. RAYA SINDANG LAYA (BANDUNG) (termasuk supervisi)</t>
  </si>
  <si>
    <t>JL. SURAPATI (BANDUNG) (termasuk supervisi)</t>
  </si>
  <si>
    <t>Rehabilitasi Jembatan Timbang Anjir Serapat Kab. Kapuas Thp II (termasuk supervisi)</t>
  </si>
  <si>
    <t>Palangkaraya - Kasongan (termasuk  supervisi)</t>
  </si>
  <si>
    <t>PENATAAN SARANA TRANSPORTASI DIKAWASAN PERKOTAAN</t>
  </si>
  <si>
    <t>Peningkatan Kinerja Lalu Lintas di kawasan perkotaan (Rambu, Marka, APILL Solar Cell) di Kota Palangka Raya.</t>
  </si>
  <si>
    <t>Ruas Jalan Samboja - Loa Janan (Tahap 3) (termasuk supervisi)</t>
  </si>
  <si>
    <t>Ruas Jalan Loa Janan - Tenggarong (Tahap 2) (termasuk supervisi)</t>
  </si>
  <si>
    <t>Ruas Jalan Tenggarong - Kota Bangun (Tahap 1) (termasuk supervisi)</t>
  </si>
  <si>
    <t>Ruas Jalan Soekarno Hatta Bpp - KM 38 Samboja (Tahap 2) (termasuk supervisi)</t>
  </si>
  <si>
    <t>- GPS</t>
  </si>
  <si>
    <t>Merlung-Bts Kab Tanjab (termasuk supervisi)</t>
  </si>
  <si>
    <t>Bts Riau-Merlung (termasuk supervisi)</t>
  </si>
  <si>
    <t>Bts Kota Jambi-Tempino-Bts Prov Sumsel segmen II (termasuk supervisi)</t>
  </si>
  <si>
    <t>Bts Prov Sumbar-Bts Kota Muara Bungo segmen II (termasuk supervisi)</t>
  </si>
  <si>
    <t xml:space="preserve">- Honor Panitia Lelang </t>
  </si>
  <si>
    <t xml:space="preserve"> Terminal  Ponorogo Thp II</t>
  </si>
  <si>
    <t>Pembangunan Jembatan Timbang Widodaren,Ngawi Thp IV</t>
  </si>
  <si>
    <t>Subsidi Operasi Bus Perintis (3 trayek)</t>
  </si>
  <si>
    <t>Subsidi Operasi Bus Perintis (2 trayek)</t>
  </si>
  <si>
    <t>Terminal Seloaji-Sarangan</t>
  </si>
  <si>
    <t>Jajag-Sarongan</t>
  </si>
  <si>
    <t>Banyuwangi-Bondowoso</t>
  </si>
  <si>
    <t>- Maros - Moncong Loe - Barombong - Takalar</t>
  </si>
  <si>
    <t>BARAS - KAROSSA</t>
  </si>
  <si>
    <t>KAROSSA - TOPOYO</t>
  </si>
  <si>
    <t xml:space="preserve">PASANGKAYU - BARAS </t>
  </si>
  <si>
    <t>TOPOYO - BARAKANG</t>
  </si>
  <si>
    <t>BARAKKANG - KALUKKU</t>
  </si>
  <si>
    <t>KALUKKU - MAMUJU</t>
  </si>
  <si>
    <t>Ruas Jalan Nasional Marisa - Lemito</t>
  </si>
  <si>
    <t xml:space="preserve">Pengadaan Notebook </t>
  </si>
  <si>
    <t>Pengadaan PC dan Printer</t>
  </si>
  <si>
    <t>Ruas Jalan Kab. SBT (Guardrail pada ruas Kobisonta - Banggoi - Bula, 550 m) (termasuk supervisi)</t>
  </si>
  <si>
    <t>Ruas Jalan Kab. Buru Selatan (Guard Rail pada ruas Mako - Modaumohe - Namrole, 1.700 m ) (termasuk supervisi)</t>
  </si>
  <si>
    <t>Ruas Jalan Kab. Buru (Guard Rail pada ruas Teluk Bara - Air Buaya - Samalagi, 1.550 meter) (termasuk supervisi)</t>
  </si>
  <si>
    <t xml:space="preserve"> - Pengawasan Subsidi Operasi Bus Perintis</t>
  </si>
  <si>
    <t>Ruas Jalan Manokwari - Warmare - Prafi Segmen I</t>
  </si>
  <si>
    <t>Ruas Jalan Batas Kab. Sorong - Teminabuan - Kambuaya -Susumuk - Kumurkek</t>
  </si>
  <si>
    <t xml:space="preserve">Ruas Jalan Yosudarso - Jl. Ahmad Yani - Jl. Basuki Rahmad </t>
  </si>
  <si>
    <t>Jalan Dalam Kota Manado</t>
  </si>
  <si>
    <t>Jalan Dalam Kota Tomohon</t>
  </si>
  <si>
    <t>Jalan Dalam Kota Tondano</t>
  </si>
  <si>
    <t>Jalan Wori - Likupang</t>
  </si>
  <si>
    <t>Jalan Manado - Tomohon</t>
  </si>
  <si>
    <t>Jalan Manado - Tumpaan</t>
  </si>
  <si>
    <t>Jalan Molibagu - Pinolosian</t>
  </si>
  <si>
    <t xml:space="preserve">Jalan Poopo - Sinisir </t>
  </si>
  <si>
    <t>Jalan Meloguane - Beo</t>
  </si>
  <si>
    <t xml:space="preserve"> - Honor PPK</t>
  </si>
  <si>
    <t xml:space="preserve"> - Honor Pejabat Penguji SPM</t>
  </si>
  <si>
    <t xml:space="preserve"> - Honor Bendahara</t>
  </si>
  <si>
    <t xml:space="preserve"> - Honor Staf Satker</t>
  </si>
  <si>
    <t xml:space="preserve"> - Honor SAI</t>
  </si>
  <si>
    <t xml:space="preserve">    Ketua</t>
  </si>
  <si>
    <t xml:space="preserve">    Anggota</t>
  </si>
  <si>
    <t xml:space="preserve"> - Honor Panitia Lelang</t>
  </si>
  <si>
    <t xml:space="preserve"> - Honor Panitia Pemeriksa Barang</t>
  </si>
  <si>
    <t xml:space="preserve"> - Biaya Lelang, pencetakan, penggandaan, operasional, dll</t>
  </si>
  <si>
    <t xml:space="preserve"> - Biaya pengadaan ATK</t>
  </si>
  <si>
    <t>- Biaya Pengadaan Note Book dan Printer</t>
  </si>
  <si>
    <t>- Kamera DSLR Geotagging</t>
  </si>
  <si>
    <t xml:space="preserve"> - Sewa kendaraan roda 4</t>
  </si>
  <si>
    <t xml:space="preserve"> - Tiket Manado - Jakarta (PP)</t>
  </si>
  <si>
    <t xml:space="preserve"> - Penginapan/Uang harian</t>
  </si>
  <si>
    <t>- Manado - Lokasi Kegiatan di Daerah</t>
  </si>
  <si>
    <t>- Manado - Lokasi di Kepulauan Sangihe</t>
  </si>
  <si>
    <t xml:space="preserve">Bln </t>
  </si>
  <si>
    <t>SATKER PENGEMBANGAN LLAJ KALTARA</t>
  </si>
  <si>
    <t>Tanjung Selor - Berau</t>
  </si>
  <si>
    <t>Tanjung Selor - Malinau</t>
  </si>
  <si>
    <t>DIREKTORAT JENDERAL PERHUBUNGAN DARAT</t>
  </si>
  <si>
    <t>(Rp. 1000)</t>
  </si>
  <si>
    <t>PROPINSI/ SATKER/ UPT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</si>
  <si>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</si>
  <si>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</si>
  <si>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</si>
  <si>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</si>
  <si>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</si>
  <si>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</si>
  <si>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</si>
  <si>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</si>
  <si>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</si>
  <si>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</si>
  <si>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</si>
  <si>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</si>
  <si>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ACEH</t>
  </si>
  <si>
    <t>SATKER PENGEMBANGAN LLASDP NAD</t>
  </si>
  <si>
    <t>SUMATERA UTARA</t>
  </si>
  <si>
    <t>SATKER PENGEMBANGAN LLAJ SUMUT</t>
  </si>
  <si>
    <t>SATKER PENGEMBANGAN LLASDP SUMUT</t>
  </si>
  <si>
    <t>SUMATERA BARAT</t>
  </si>
  <si>
    <t>SATKER PENGEMBANGAN LLASDP SUMBAR</t>
  </si>
  <si>
    <t>RIAU</t>
  </si>
  <si>
    <t>RIAU KEPULAUAN</t>
  </si>
  <si>
    <t>SATKER PENGEMBANGAN LLAJ RIAU KEPULAUAN</t>
  </si>
  <si>
    <t>SATKER PENGEMBANGAN LLASDP RIAU KEPULAUAN</t>
  </si>
  <si>
    <t>JAMBI</t>
  </si>
  <si>
    <t>SATKER PENGEMBANGAN LLASDP JAMBI</t>
  </si>
  <si>
    <t>SUMSEL</t>
  </si>
  <si>
    <t>SATKER PENGEMBANGAN LLAJ SUMSEL</t>
  </si>
  <si>
    <t>BANGKA BELITUNG</t>
  </si>
  <si>
    <t>SATKER PENGEMBANGAN LLAJ BANGKA BELITUNG</t>
  </si>
  <si>
    <t>SATKER PENGEMBANGAN LLASDP BENGKULU</t>
  </si>
  <si>
    <t>BENGKULU</t>
  </si>
  <si>
    <t>SATKER PENGEMBANGAN LLASDP SUMSEL</t>
  </si>
  <si>
    <t>LAMPUNG</t>
  </si>
  <si>
    <t>SATKER PENGEMBANGAN LLASDP LAMPUNG</t>
  </si>
  <si>
    <t>BANTEN</t>
  </si>
  <si>
    <t>JABAR</t>
  </si>
  <si>
    <t>SATKER PENGEMBANGAN LLASDP JABAR</t>
  </si>
  <si>
    <t>JATENG</t>
  </si>
  <si>
    <t>SATKER PENGEMBANGAN LLAJ JATENG</t>
  </si>
  <si>
    <t>SATKER PENGEMBANGAN LLASDP JATENG</t>
  </si>
  <si>
    <t>DIY</t>
  </si>
  <si>
    <t>SATKER PENGEMBANGAN LLASDP DIY</t>
  </si>
  <si>
    <t>JATIM</t>
  </si>
  <si>
    <t>SATKER PENGEMBANGAN LLAJ JATIM</t>
  </si>
  <si>
    <t>SATKER PENGEMBANGAN LLASDP JATIM</t>
  </si>
  <si>
    <t>BALI</t>
  </si>
  <si>
    <t>SATKER PENGEMBANGAN LLASDP BALI</t>
  </si>
  <si>
    <t>NTB</t>
  </si>
  <si>
    <t>SATKER PENGEMBANGAN LLASDP NTB</t>
  </si>
  <si>
    <t>NTT</t>
  </si>
  <si>
    <t>SATKER PENGEMBANGAN LLASDP NTT</t>
  </si>
  <si>
    <t>SATKER PENGEMBANGAN LLASDP WAIKELO</t>
  </si>
  <si>
    <t>UPT PELABUHAN PENYEBERANGAN KALABAHI</t>
  </si>
  <si>
    <t>KALBAR</t>
  </si>
  <si>
    <t>SATKER PENGEMBANGAN LLASDP KALBAR</t>
  </si>
  <si>
    <t>KALTENG</t>
  </si>
  <si>
    <t>SATKER PENGEMBANGAN LLASDP KALSEL</t>
  </si>
  <si>
    <t>KALSEL</t>
  </si>
  <si>
    <t>SATKER PENGEMBANGAN LLASDP KALTENG</t>
  </si>
  <si>
    <t>SATKER PENGEMBANGAN LLASDP KALTIM</t>
  </si>
  <si>
    <t>UPT PELABUHAN PENYEBERANGAN KARIANGAU</t>
  </si>
  <si>
    <t>SULSEL</t>
  </si>
  <si>
    <t>SATKER PENGEMBANGAN LLASDP SULTENG</t>
  </si>
  <si>
    <t>SULBAR</t>
  </si>
  <si>
    <t>SATKER PENGEMBANGAN LLASDP SULSEL</t>
  </si>
  <si>
    <t>SULTENG</t>
  </si>
  <si>
    <t>UPT PENYEBERANGAN GORONTALO</t>
  </si>
  <si>
    <t>GORONTALO</t>
  </si>
  <si>
    <t>SATKER PENGEMBANGAN LLASDP SULBAR</t>
  </si>
  <si>
    <t>SATKER PENGEMBANGAN LLASDP SULUT</t>
  </si>
  <si>
    <t>SULTRA</t>
  </si>
  <si>
    <t>SATKER PENGEMBANGAN LLASDP SULTRA</t>
  </si>
  <si>
    <t>MALUKU</t>
  </si>
  <si>
    <t>SATKER PENGEMBANGAN LLASDP MALUKU</t>
  </si>
  <si>
    <t>SATKER PENGEMBANGAN SARANA LLASDP MALUKU</t>
  </si>
  <si>
    <t>MALUT</t>
  </si>
  <si>
    <t>SATKER PENGEMBANGAN LLAJ MALUT</t>
  </si>
  <si>
    <t>SATKER PENGEMBANGAN LLASDP MALUT</t>
  </si>
  <si>
    <t xml:space="preserve">PAPUA </t>
  </si>
  <si>
    <t xml:space="preserve">SATKER PENGEMBANGAN LLAJ PAPUA </t>
  </si>
  <si>
    <t>SATKER PENGEMBANGAN LLASDP PAPUA BARAT</t>
  </si>
  <si>
    <t>PAPUA BARAT</t>
  </si>
  <si>
    <t>SATKER PENGEMBANGAN LLASDP PAPUA</t>
  </si>
  <si>
    <t>KANTOR PUSAT DITJEN HUBDAT</t>
  </si>
  <si>
    <t>SETDITJEN HUBDAT</t>
  </si>
  <si>
    <t>SATKER DIREKTORAT BSTP</t>
  </si>
  <si>
    <t>SATKER DIREKTORAT KTD</t>
  </si>
  <si>
    <t>SATKER PENGEMBANGAN TRANSPORTASI SDP</t>
  </si>
  <si>
    <t>k</t>
  </si>
  <si>
    <t>SATKER PENINGK. KESELAMATAN DAN PELAYANAN TRANSPORTASI SDP</t>
  </si>
  <si>
    <t>l</t>
  </si>
  <si>
    <t>SATKER PERENCANAAN TEKNIS DAN PENGAWASAN TRANSPORTASI SDP</t>
  </si>
  <si>
    <t>m</t>
  </si>
  <si>
    <t>SATKER PENGEMBANGAN KEPERINTISAN</t>
  </si>
  <si>
    <t>n</t>
  </si>
  <si>
    <t>SATKER PENGEMBANGAN SARANA TRANSPORTASI SDP</t>
  </si>
  <si>
    <t>o</t>
  </si>
  <si>
    <t>SATKER PENUNJANG KEPERINTISAN</t>
  </si>
  <si>
    <t xml:space="preserve">TOTAL BIDANG LLAJ </t>
  </si>
  <si>
    <t>KALTIM</t>
  </si>
  <si>
    <t>8)</t>
  </si>
  <si>
    <t>21)</t>
  </si>
  <si>
    <t>KALTARA</t>
  </si>
  <si>
    <t>SULUT</t>
  </si>
  <si>
    <t>KEGIATAN/SUB KEGIATAN</t>
  </si>
  <si>
    <t>HARSAT</t>
  </si>
  <si>
    <t>( x Rp. 1000)</t>
  </si>
  <si>
    <t>BIAYA</t>
  </si>
  <si>
    <t>Terminal Penumpang Tipe A Kota Samarinda</t>
  </si>
  <si>
    <t>BABEL</t>
  </si>
  <si>
    <t>JAWA BARAT</t>
  </si>
  <si>
    <t>JAWA TENGAH</t>
  </si>
  <si>
    <t>JAWA TIMUR</t>
  </si>
  <si>
    <t>FASILITAS KESELAMATAN JALAN</t>
  </si>
  <si>
    <t>PAKET</t>
  </si>
  <si>
    <t>SUMUT</t>
  </si>
  <si>
    <t>SUMBAR</t>
  </si>
  <si>
    <t>KEPRI</t>
  </si>
  <si>
    <t>KANTOR PUSAT</t>
  </si>
  <si>
    <t>MALUKU UTARA</t>
  </si>
  <si>
    <t>Dukungan Manajemen &amp; Dukungan Teknis Lainnya Ditjen Perhubungan Darat</t>
  </si>
  <si>
    <t>laporan</t>
  </si>
  <si>
    <t>Pemantauan dan Pengawasan Transportasi Darat</t>
  </si>
  <si>
    <t>Monitoring &amp; Pengawasan Bidang Prasarana LLAJ &amp;SDP</t>
  </si>
  <si>
    <t xml:space="preserve">Honorarium Tim Daerah : </t>
  </si>
  <si>
    <t>0B</t>
  </si>
  <si>
    <t>Atk, dll</t>
  </si>
  <si>
    <t>Pencetakan, penggandaan, dll</t>
  </si>
  <si>
    <t>kgt</t>
  </si>
  <si>
    <t>Belanja perjalanan Lainnya</t>
  </si>
  <si>
    <t>Monitoring &amp; Pengawasan Bidang sarana LLAJ &amp;SDP</t>
  </si>
  <si>
    <t>Honorarium Tim Daerah :</t>
  </si>
  <si>
    <t>- Uang Harian Petugas Pemeriksa (7 orang X 9 Prov X  5 keg X 3 hari)</t>
  </si>
  <si>
    <t>- Uang Harian Hakim  (2 orang X 9 Prov X  5 keg X 3 hari)</t>
  </si>
  <si>
    <t>- Uang Harian Petugas Kepolisian  (4 orang X 9 Prov X 5 keg X 3 hari)</t>
  </si>
  <si>
    <t>- Uang Harian Petugas Kejaksaan  (2 orang X 9 Prov X 5 keg X 3 hari)</t>
  </si>
  <si>
    <t>Monitoring &amp; Pengawasan Keselamatan Transportasi Darat</t>
  </si>
  <si>
    <t>Biaya rapat</t>
  </si>
  <si>
    <t>Pelaksanaan Kalibrasi Alat Uji Kendaraan bermotor pada  32 kab/kota di 9 Provinsi</t>
  </si>
  <si>
    <t>Pemeliharaan Prasarana LLAJ</t>
  </si>
  <si>
    <t>Penyusunan LAKIP, LAPTAH, Penetapan Kinerja</t>
  </si>
  <si>
    <t xml:space="preserve">Belanja Barang  </t>
  </si>
  <si>
    <t>tiket</t>
  </si>
  <si>
    <t>uang harian</t>
  </si>
  <si>
    <t>penginapan</t>
  </si>
  <si>
    <t>airpot tax</t>
  </si>
  <si>
    <t>air port tax</t>
  </si>
  <si>
    <t>perjalanan ke lokasi</t>
  </si>
  <si>
    <t>Rapat teknis dan konsolidasi BLLAJSDP</t>
  </si>
  <si>
    <t>TAHUN</t>
  </si>
  <si>
    <t>Layanan Perkantoran</t>
  </si>
  <si>
    <t>OPERASIONAL SATKER</t>
  </si>
  <si>
    <t>Honor Penguji SPM</t>
  </si>
  <si>
    <t>Honor Bendahara</t>
  </si>
  <si>
    <t>Honor staf</t>
  </si>
  <si>
    <t>Biaya lelang, pencetakan, penggandaan</t>
  </si>
  <si>
    <t>biaya rapat, pertemuan</t>
  </si>
  <si>
    <t>pakaian dinas pegawai</t>
  </si>
  <si>
    <t>pakaian olahraga</t>
  </si>
  <si>
    <t>pakaian dinas satpam</t>
  </si>
  <si>
    <t>pakaian dinas pesuruh</t>
  </si>
  <si>
    <t>obat-obatan</t>
  </si>
  <si>
    <t>Belanja ATK</t>
  </si>
  <si>
    <t>honor panitia lelang</t>
  </si>
  <si>
    <t>honor pemeriksa barang</t>
  </si>
  <si>
    <t>honor ketua SAI</t>
  </si>
  <si>
    <t>honor anggota SAI</t>
  </si>
  <si>
    <t>Belanja langganan listrik</t>
  </si>
  <si>
    <t>langganan listrik</t>
  </si>
  <si>
    <t>Belanja langganan telepon</t>
  </si>
  <si>
    <t>langganan telepon</t>
  </si>
  <si>
    <t>Belanja langganan air</t>
  </si>
  <si>
    <t>langganan PAM</t>
  </si>
  <si>
    <t>Belanja langganan daya dan jasa lainnya</t>
  </si>
  <si>
    <t>langganan surat kabar</t>
  </si>
  <si>
    <t>sewa gedung kantor</t>
  </si>
  <si>
    <t>sewa rumah dinas</t>
  </si>
  <si>
    <t>- Rumah Dinas Eselon III</t>
  </si>
  <si>
    <t>- Rumah Dinas Eselon IV (3 orang x 12 Bulan)</t>
  </si>
  <si>
    <t>- Mess Pegawai Balai</t>
  </si>
  <si>
    <t>sewa jaringan internet</t>
  </si>
  <si>
    <t>sewa mesin foto kopi</t>
  </si>
  <si>
    <t>Belanja jasa profesi</t>
  </si>
  <si>
    <t>jasa keamanan</t>
  </si>
  <si>
    <t>jasa cleaning service</t>
  </si>
  <si>
    <t>jasa pramubakti</t>
  </si>
  <si>
    <t>Belanja biaya pemeliharaan gedung dan bangunan</t>
  </si>
  <si>
    <t>perawatan gedung kantor</t>
  </si>
  <si>
    <t>Belanja biaya pemeliharaan Peralatan dan Mesin</t>
  </si>
  <si>
    <t>kendaraan roda 2</t>
  </si>
  <si>
    <t>kendaraan roda 4</t>
  </si>
  <si>
    <t>instalasi listrik</t>
  </si>
  <si>
    <t>AC split</t>
  </si>
  <si>
    <t>Biaya pemeliharaan inventaris kantor</t>
  </si>
  <si>
    <t xml:space="preserve">pengadaan notebook </t>
  </si>
  <si>
    <t>pengadaan printer</t>
  </si>
  <si>
    <t>Komputer Desktop</t>
  </si>
  <si>
    <t>Mesin Absensi Fringer Print</t>
  </si>
  <si>
    <t>Meja kursi Staf</t>
  </si>
  <si>
    <t xml:space="preserve">kursi </t>
  </si>
  <si>
    <t>kulkas</t>
  </si>
  <si>
    <t>Televisi</t>
  </si>
  <si>
    <t>microwave</t>
  </si>
  <si>
    <t>dispencer</t>
  </si>
  <si>
    <t>AC</t>
  </si>
  <si>
    <t>projector LCD</t>
  </si>
  <si>
    <t>Alat Komunikasi</t>
  </si>
  <si>
    <t>- Desktop (termasuk instalasi)</t>
  </si>
  <si>
    <t>- HT</t>
  </si>
  <si>
    <t>genset</t>
  </si>
  <si>
    <t>Peralatan Survai dan Kalibrasi Kendaraan Bermotor</t>
  </si>
  <si>
    <t>- KAMERA DSRL</t>
  </si>
  <si>
    <t>- HANDYCAM</t>
  </si>
  <si>
    <t xml:space="preserve">- Laser Measure </t>
  </si>
  <si>
    <t>- I Tracker Trax 500</t>
  </si>
  <si>
    <t>- Pengukur kekerasan Beton</t>
  </si>
  <si>
    <t>- Walking Measure</t>
  </si>
  <si>
    <t>- Timbangan Portable</t>
  </si>
  <si>
    <t>- Rotary Lamp</t>
  </si>
  <si>
    <t>- Traffic Cone</t>
  </si>
  <si>
    <t>- Rambu Portable</t>
  </si>
  <si>
    <t xml:space="preserve">- Senter </t>
  </si>
  <si>
    <t>- Rompi Lalu lintas</t>
  </si>
  <si>
    <t>- Jas Hujan</t>
  </si>
  <si>
    <t>huah</t>
  </si>
  <si>
    <t>- Automatic traffic counting</t>
  </si>
  <si>
    <t>- Reflectometer (traffic sign)</t>
  </si>
  <si>
    <t>- Reflectometer (Road Marking)</t>
  </si>
  <si>
    <t>- Peralatan Kalibarasi Alat Uji Kend Bermotor</t>
  </si>
  <si>
    <t>Pajak kendaraan roda 2</t>
  </si>
  <si>
    <t>Pajak kendaraan roda 4</t>
  </si>
  <si>
    <t>pp</t>
  </si>
  <si>
    <t>paket</t>
  </si>
  <si>
    <t>Pembangunan Terminal Sukabumi Tahap III (selesai)</t>
  </si>
  <si>
    <t>Rehabilitasi Terminal Purabaya Tahap VII (selesai)</t>
  </si>
  <si>
    <t>Rehabilitasi Terminal Solo Tahap VII (selesai)</t>
  </si>
  <si>
    <t>Rehabilitasi Terminal Bawen Tahap IV (selesai)</t>
  </si>
  <si>
    <t>Rehabilitasi Terminal Cilacap Tahap II (selesai)</t>
  </si>
  <si>
    <t>PENGADAAN BARANG</t>
  </si>
  <si>
    <t>Pemeliharaan dan Operasional Sistem RTTMC</t>
  </si>
  <si>
    <t>Pemeliharaan dan Operasional CCTV</t>
  </si>
  <si>
    <t>Pengadaan dan Pemasangan CCTV Penunjang Angkutan Lebaran Tahun 2015</t>
  </si>
  <si>
    <t>Pengembangan dan Operasional VMS Penunjang Kinerja Jaringan Transportasi Jalan</t>
  </si>
  <si>
    <t>Pengembangan Sistem Informasi Jaringan Jalan Berbasis Webgis Tahap II</t>
  </si>
  <si>
    <t>Sewa Jaringan Komunikasi CCTV</t>
  </si>
  <si>
    <t xml:space="preserve">Sewa Display Integrasi CCTV Posko Pusat Angkutan Lebaran Tahun 2015 </t>
  </si>
  <si>
    <t>Pengembangan Sistem Monitoring Prasarana Teknologi Informasi dan Komunikasi Jaringan Transportasi Jalan</t>
  </si>
  <si>
    <t>Pemeliharaan LPJU Penunjang Kinerja CCTV Angkutan Lebaran</t>
  </si>
  <si>
    <t>Pengembangan Sistem Dokumentasi Perencanaan Jaringan Transportasi Jalan</t>
  </si>
  <si>
    <t>JASA KONSULTANSI</t>
  </si>
  <si>
    <t>Penyusunan SIM Database Terminal Penumpang Tipe A di Kalimantan dan Sulawesi</t>
  </si>
  <si>
    <t>Perumusan Rancangan Peraturan Menhub bidang LLAJ Tahap III (In House Consultant)</t>
  </si>
  <si>
    <t>Perencanaan Pedoman DED dan Spesifikasi Teknis Pembangunan Terminal Penumpang Tipe A</t>
  </si>
  <si>
    <t>SWAKELOLA</t>
  </si>
  <si>
    <t>Penyusunan LAKIP, LAPTAH, PK, PDDA dan Renstra</t>
  </si>
  <si>
    <t>Rakernis Terminal Penumpang Angkutan Jalan</t>
  </si>
  <si>
    <t>Wahana Tata Laksana Terminal Penumpang Angkutan Jalan</t>
  </si>
  <si>
    <t>Monitoring Perencanaan dan Pembangunan Terminal Penumpang</t>
  </si>
  <si>
    <t>Monitoring Sistem Informasi LLAJ</t>
  </si>
  <si>
    <t>SUBDIT PENGENDALIAN OPERASIONAL</t>
  </si>
  <si>
    <t>Pengadaan Buku Pedoman PPNS LLAJ</t>
  </si>
  <si>
    <t xml:space="preserve">Rehabilitasi dan Pemeliharaan Alat Komunikasi </t>
  </si>
  <si>
    <t>Kajian Teknis Kebutuhan Penyidik Pegawai Negeri Sipil Bidang Lalu lintas dan Angkutan Jalan di Pulau Sumatera</t>
  </si>
  <si>
    <t>SUBDIT LALU LINTAS JALAN</t>
  </si>
  <si>
    <t>Pembangunan LPJU Solar Cell di Jalur Pansela</t>
  </si>
  <si>
    <t>Pembangunan LPJU Solar Cell di Jalur Pantura</t>
  </si>
  <si>
    <t>Pembangunan LPJU Solar Cell di Jalur Lintas Timur P. Sumatera</t>
  </si>
  <si>
    <t xml:space="preserve">Pembangunan Fasilitas Perlengkapan Jalan untuk ASIA dan ASEAN HIGHWAY </t>
  </si>
  <si>
    <t>Pengadaan Alat uji fasilitas perlengkapan jalan</t>
  </si>
  <si>
    <t xml:space="preserve">Pemeliharaan Alat Uji fasilitas perlengkapan jalan </t>
  </si>
  <si>
    <t>Pengembangan Sistem Informasi E-Enforcement Penanganan Angkutan Barang di PKB dan JT di P. Jawa</t>
  </si>
  <si>
    <t xml:space="preserve">Pemeliharaan Lampu Penerangan Jalan Solar Cell di Jalur Pantura </t>
  </si>
  <si>
    <t xml:space="preserve">Pemeliharaan Lampu Penerangan Jalan Solar Cell di Jalur Pansela </t>
  </si>
  <si>
    <t xml:space="preserve">Pemeliharaan Lampu Penerangan Jalan Solar Cell di Jalur Lintas Timur P. Sumatera </t>
  </si>
  <si>
    <t>Rehabilitasi APILL di Jalan Nasional di Pulau Jawa Berbasis Solar Cell</t>
  </si>
  <si>
    <t>Pembangunan Sistem Informasi Kinerja Lalu Lintas</t>
  </si>
  <si>
    <t>Pembangunan Laboratorium Fasilitas Perlengkapan Jalan Tahap VI</t>
  </si>
  <si>
    <t xml:space="preserve">Pengadaan Peralatan Penunjang Sistem Informasi Lalin di Jalan Nasional </t>
  </si>
  <si>
    <t>Pengadaan Fasilitas Perlengkapan Jalan Pada masa Angkutan Lebaran</t>
  </si>
  <si>
    <t>Perumusan Penetapan No. Rute Jalan Nasional di Papua</t>
  </si>
  <si>
    <t>Penetapan Operasional Jembatan Timbang</t>
  </si>
  <si>
    <t>Pemeliharaan Sistem Informasi Lalin di Jalan Nasional</t>
  </si>
  <si>
    <t>Pembinaan dan Sosialisasi penimbangan kendaraan bermotor</t>
  </si>
  <si>
    <t xml:space="preserve">Bimbingan Teknis Manajemen dan Rekayasa Lalu Lintas </t>
  </si>
  <si>
    <t>Penetapan Rambu Petunjuk, Peringatan, Perintah atau Larangan pada Ruas Jalan Nasional</t>
  </si>
  <si>
    <t xml:space="preserve">Penetapan Rambu Petunjuk, Peringatan, Perintah atau Larangan pada Ruas Jalan Tol </t>
  </si>
  <si>
    <t>Monitoring dan Evaluasi Pembangunan Fasilitas LLAJ Di Daerah</t>
  </si>
  <si>
    <t>Koordinasi Penyelenggaraan MRLL</t>
  </si>
  <si>
    <t>Rakornis Jembatan Timbang</t>
  </si>
  <si>
    <t>Monitoring Aset Fasilitas LLAJ Di Daerah</t>
  </si>
  <si>
    <t>SUBDIT ANGKUTAN JALAN</t>
  </si>
  <si>
    <t>Pengadaan Dokumen Perizinan Angkutan Umum Dalam Bentuk Elektronik</t>
  </si>
  <si>
    <t>Pengadaan Stikerisasi Pelayanan Angkutan Jalan</t>
  </si>
  <si>
    <t>Rehabilitasi, Pemeliharaan Dan Pengoperasian Tracking System Angkutan AKAP</t>
  </si>
  <si>
    <t>Kegiatan Dukungan Sail Nasional</t>
  </si>
  <si>
    <t xml:space="preserve">Pencetakan Blanko Dokumen Perizinan Angkutan Jalan </t>
  </si>
  <si>
    <t xml:space="preserve">Pemeliharaan SIM Data Base Angkutan Jalan </t>
  </si>
  <si>
    <t>Pengembangan Sistem Informasi Basis Data Perizinan Angkutan Penumpang Umum</t>
  </si>
  <si>
    <t>Pedoman Teknis Penyusunan Penyelenggaraan Angkutan Barang di Jalan</t>
  </si>
  <si>
    <t>Herregistrasi, Klasifikasi, Dan  Pembinaan Perusahaan Angkutan Jalan</t>
  </si>
  <si>
    <t>Evaluasi Pelatihan Dan Pemeliharaan Mutu Pelayanan Perizinan Angkutan Jalan</t>
  </si>
  <si>
    <t>Pelaksanaan Pemilihan Perusahaan Angkutan Jalan Terbaik</t>
  </si>
  <si>
    <t>Monitoring Dan Evaluasi Pelaksanaan Keperintisan Angkutan Jalan</t>
  </si>
  <si>
    <t>Survey Usulan Trayek Baru Keperintisan Angkutan Jalan</t>
  </si>
  <si>
    <t>Evaluasi Jaringan Trayek Dan Tarif Angkutan Umum Tahun 2015</t>
  </si>
  <si>
    <t>Evaluasi Kinerja Pemenuhan Standar Pelayanan Minimal Dan Persaingan Usaha Perusahaan Angkutan Jalan</t>
  </si>
  <si>
    <t>Evaluasi Kinerja Angkutan Umum Di Bandara Soekarno Hatta dan Halim Perdana Kusuma Tahun 2015</t>
  </si>
  <si>
    <t>SUBDIT SARANA ANGKUTAN JALAN</t>
  </si>
  <si>
    <t>Surveilance ISO Uji Tipe dan Rancang Bangun</t>
  </si>
  <si>
    <t>Perawatan dan Pengkalibrasian Alat Kalibrasi</t>
  </si>
  <si>
    <t>Pengembangan dan Pemeliharaan Link System</t>
  </si>
  <si>
    <t>Pengembangan dan Pemeliharaan Digitalisasi Tahap 3</t>
  </si>
  <si>
    <t>JASA KONSULTASI</t>
  </si>
  <si>
    <t>Pertemuan Penguji</t>
  </si>
  <si>
    <t>Sosialisasi Pemenuhan Persyaratan Teknis dan Laik Jalan</t>
  </si>
  <si>
    <t>Kalibrasi Alat uji</t>
  </si>
  <si>
    <t>Pengecekan Fisik Kendaraan Bermotor</t>
  </si>
  <si>
    <t>Bimbingan Teknis Karoseri Kendaraan Bermotor</t>
  </si>
  <si>
    <t>SUBBAG TATA USAHA</t>
  </si>
  <si>
    <t>Penyelenggaraan Angkutan Lebaran dan Natal Tahun 2015 serta Tahun Baru 2016</t>
  </si>
  <si>
    <t>Koordinasi dan Kelembagaan Peningkatan LLAJ</t>
  </si>
  <si>
    <t>Pengembangan dan Peningkatan Kapasitas SDM Direktorat LLAJ</t>
  </si>
  <si>
    <t>Peningkatan Kapasitas SDM</t>
  </si>
  <si>
    <t>Konsolidasi Penanganan Transportasi Perkotaan</t>
  </si>
  <si>
    <t>Evaluasi Kinerja Jaringan Transportsi Jalan di Wilayah Perkotaan</t>
  </si>
  <si>
    <t>Monitoring dan Evaluasi Perencanaan dan Pelaksanaan Rencana Induk Transportasi Perkotaan</t>
  </si>
  <si>
    <t>Forum ATCS</t>
  </si>
  <si>
    <t>Konsolidasi Penataan Angkutan Perkotaan</t>
  </si>
  <si>
    <t>Koordinasi dan persetujuan rencana jaringan trayek perkotaan</t>
  </si>
  <si>
    <t>Pengadaan Bus Ukuran Sedang BRT</t>
  </si>
  <si>
    <t>REKAPITULASI RENCANA KERJA DAN ANGGARAN TAHUN 2015</t>
  </si>
  <si>
    <t>Pengadaan Pakaian Olahraga Pegawai Kantor Pusat</t>
  </si>
  <si>
    <t xml:space="preserve">Perawatan AC </t>
  </si>
  <si>
    <t>Pengadaan Alat Perekam Suara</t>
  </si>
  <si>
    <t>Perjalanan</t>
  </si>
  <si>
    <t xml:space="preserve">Diklat PIM </t>
  </si>
  <si>
    <t xml:space="preserve"> Bimbingan Teknis Jabatan Fungsional PKB</t>
  </si>
  <si>
    <t>Pengelolaan Administrasi Penggajian</t>
  </si>
  <si>
    <t>Pengelolaan Absensi Elektronik Pegawai</t>
  </si>
  <si>
    <t>Pengelolaan Tata Persuratan Adminsitrasi Perkantoran</t>
  </si>
  <si>
    <t>Penyusunan RKAKL 2015</t>
  </si>
  <si>
    <t xml:space="preserve">Pembinaan Adminstrasi dan Pengelolaan Keuangan </t>
  </si>
  <si>
    <t>Pembinaan Administrasi Perbendaharaan</t>
  </si>
  <si>
    <t>Serah Terima Operasional BMN</t>
  </si>
  <si>
    <t>Penetapan Status dan Hibah BMN</t>
  </si>
  <si>
    <t>Inventarisasi BMN</t>
  </si>
  <si>
    <t>Penghapusan BMN</t>
  </si>
  <si>
    <t>SIMAK BMN</t>
  </si>
  <si>
    <t>Pembinaan Evaluasi dan Laporan Kegiatan</t>
  </si>
  <si>
    <t>Pembinaan dan Evaluasi Hasil Audit</t>
  </si>
  <si>
    <t>Loan ADB (Integrated Vehicle Overloading Control Strategy)</t>
  </si>
  <si>
    <t xml:space="preserve">    - Lokasi Jayapura (7 Trayek)</t>
  </si>
  <si>
    <t xml:space="preserve">     a. Jayapura-Nimbokrang</t>
  </si>
  <si>
    <t xml:space="preserve">     b. Jayapura-Skouw/Perbatasan (Jayapura)</t>
  </si>
  <si>
    <t xml:space="preserve">     d. Jayapura-Arso-Waris (Jayapura)</t>
  </si>
  <si>
    <t xml:space="preserve">     f. Jayapura-Bonggo (Jayapura)</t>
  </si>
  <si>
    <t xml:space="preserve">    - Lokasi Merauke (6 Trayek)</t>
  </si>
  <si>
    <t xml:space="preserve">      a. Terminal- Merauke-Kokab (Merauke)</t>
  </si>
  <si>
    <t xml:space="preserve">      b. Terminal-Merauke-Kumbe (Merauke)</t>
  </si>
  <si>
    <t xml:space="preserve">      c. Merauke- Sota (Merauke)</t>
  </si>
  <si>
    <t xml:space="preserve">      d. Kuprik -Jagebob 2 (Merauke)</t>
  </si>
  <si>
    <t xml:space="preserve">      e. Kuprik -Pasar Kurik (Merauke)</t>
  </si>
  <si>
    <t xml:space="preserve">      f. Terminal Merauke - Erambo, Toray (Merauke)</t>
  </si>
  <si>
    <t xml:space="preserve">    - Lokasi Biak (4 Trayek)</t>
  </si>
  <si>
    <t xml:space="preserve">      a. Biak-Wardo/Kanaan (Biak)</t>
  </si>
  <si>
    <t xml:space="preserve">      b. Biak-Korem-Rumbin (Biak)</t>
  </si>
  <si>
    <t xml:space="preserve">      c. Biak-Korido (Biak)</t>
  </si>
  <si>
    <t xml:space="preserve">      d. Biak-Makmakerbo (Biak)</t>
  </si>
  <si>
    <t xml:space="preserve">    - Lokasi Serui (4 Trayek)</t>
  </si>
  <si>
    <t xml:space="preserve">      a. Serui-Ariepi-Kamanap (Serui)</t>
  </si>
  <si>
    <t xml:space="preserve">      b. Serui-Wadapi (Serui)</t>
  </si>
  <si>
    <t xml:space="preserve">      c. Serui-Mariarotu (Serui)</t>
  </si>
  <si>
    <t xml:space="preserve">      d.  Serui-Randawaya (Serui)</t>
  </si>
  <si>
    <t xml:space="preserve">    - Lokasi Nabire (4 Trayek)</t>
  </si>
  <si>
    <t xml:space="preserve">     a. Nabire- Legare SP IV (Nabire)</t>
  </si>
  <si>
    <t xml:space="preserve">       b. Nabire-Kaladiri (Nabire)</t>
  </si>
  <si>
    <t xml:space="preserve">       c. Nabire-Toppo (Nabire)</t>
  </si>
  <si>
    <t xml:space="preserve">       d. Nabire-Wammi (Nabire)</t>
  </si>
  <si>
    <t xml:space="preserve">    - Lokasi Timika (5 Trayek)</t>
  </si>
  <si>
    <t xml:space="preserve">      a. Timika - Pigapu (Mimika)</t>
  </si>
  <si>
    <t xml:space="preserve">      b. Timika -Muari (Mimika)</t>
  </si>
  <si>
    <t xml:space="preserve">      c. Timika - Mioko (Mimika)</t>
  </si>
  <si>
    <t xml:space="preserve">      d. Timika - Tipuka (Mimika)</t>
  </si>
  <si>
    <t xml:space="preserve">      e. Timika - Ayuka (Mimika)</t>
  </si>
  <si>
    <t>Belanja Uang Honor Tidak tetap</t>
  </si>
  <si>
    <t xml:space="preserve">    - Pengawasan Subsidi Operasi Bus Perintis</t>
  </si>
  <si>
    <t xml:space="preserve">   - Honor Kuasa Pengguna Anggaran</t>
  </si>
  <si>
    <t xml:space="preserve">   - Honor Penguji SPM</t>
  </si>
  <si>
    <t xml:space="preserve">   - Honor Bendahara</t>
  </si>
  <si>
    <t xml:space="preserve">   - Honor Staf</t>
  </si>
  <si>
    <t xml:space="preserve">   - Honor SAI</t>
  </si>
  <si>
    <t xml:space="preserve">     - Ketua</t>
  </si>
  <si>
    <t xml:space="preserve">     - Anggota</t>
  </si>
  <si>
    <t xml:space="preserve">   - Honor Panitia Lelang</t>
  </si>
  <si>
    <t xml:space="preserve">   - Honor Panitia Pemeriksa Barang</t>
  </si>
  <si>
    <t xml:space="preserve">   - Biaya Pengadaan ATK</t>
  </si>
  <si>
    <t>Belanja Barang Non Operasional lainnya</t>
  </si>
  <si>
    <t xml:space="preserve">   - Biaya lelang, Pencetakan, Penggandaan, Operasional dll</t>
  </si>
  <si>
    <t xml:space="preserve">   - Sewa kendaraan roda 4</t>
  </si>
  <si>
    <t xml:space="preserve">   - Tiket Jayapura-Jakarta (PP)</t>
  </si>
  <si>
    <t xml:space="preserve">   - Penginapan</t>
  </si>
  <si>
    <t xml:space="preserve">   - Uang Harian</t>
  </si>
  <si>
    <t xml:space="preserve">   - Perjalanan ke Lokasi</t>
  </si>
  <si>
    <t>Pembangunan Terminal Penumpang di Kab. Lamandau Tahap 1</t>
  </si>
  <si>
    <t>SUBSIDI OPERASIONAL KEPERINTISAN ANGKUTAN JALAN</t>
  </si>
  <si>
    <t>Rehabilitasi Terminal Solo Tahap VI (Termasuk Supervisi) selesai</t>
  </si>
  <si>
    <t>Rehabilitasi Terminal Purabaya Tahap VI (Termasuk Supervisi) selesai</t>
  </si>
  <si>
    <t xml:space="preserve">PENGADAAN BUS </t>
  </si>
  <si>
    <t>PENGADAAN BUS BRT</t>
  </si>
  <si>
    <t>PENGADAAN BUS PERINTIS</t>
  </si>
  <si>
    <t>PENGADAAN &amp; PEMASANGAN PERLENGKAPAN JALAN (termasuk supervisi)</t>
  </si>
  <si>
    <t>PENGADAAN &amp; PEMASANGAN PERLENGKAPAN JALAN  (termasuk supervisi)</t>
  </si>
  <si>
    <t>Program Aksi Peningkatan Kualitas Mental dan Disiplin Pengemudi Angkutan Umum AKAP/AKDP (2 angkatan)</t>
  </si>
  <si>
    <t>Program Aksi Peningkatan Kualitas Mental dan Disiplin Pengemudi Taksi (2 angkatan)</t>
  </si>
  <si>
    <t>Program Aksi Peningkatan Kualitas Mental dan Disiplin Pengemudi Barang Berbahaya (2 angkatan)</t>
  </si>
  <si>
    <t>Studi Penyusunan Tata Cara Penilaian Sistem Manajemen Keselamatan bagi Perusahaan Angkutan Umum</t>
  </si>
  <si>
    <t>Monitoring, Evaluasi dan Pembekalan Pelaksanaan Pekan Keselamatan</t>
  </si>
  <si>
    <t xml:space="preserve">Workshop Pembentukan Kelompok Masyarakat Sadar Keselamatan </t>
  </si>
  <si>
    <t xml:space="preserve">Pemberdayaan Kelompok Masyarakat Sadar Keselamatan </t>
  </si>
  <si>
    <t>Sosialisasi Keselamatan Melalui Media Digital</t>
  </si>
  <si>
    <t>sosialisasi Keselamatan Melalui Televisi</t>
  </si>
  <si>
    <t>Sosialisasi Keselamatan Melalui  Media Cetak</t>
  </si>
  <si>
    <t>Pelaksanaan Pekan Nasional Keselamatan Jalan 2015</t>
  </si>
  <si>
    <t>Sosialisasi Keselamatan Melalui Media Luar Ruang</t>
  </si>
  <si>
    <t xml:space="preserve">Media Visit </t>
  </si>
  <si>
    <t>Kegiatan Off Air Sosialisasi Keselamatan Transportasi Darat</t>
  </si>
  <si>
    <t>Sosialisasi Keselamatan Melalui Media Online</t>
  </si>
  <si>
    <t>Peningkatan Kapasitas Manajemen Keselamatan Transportasi Darat</t>
  </si>
  <si>
    <t>Pemilihan Pelajar Pelopor Keselamatan Jalan Tingkat Nasional</t>
  </si>
  <si>
    <t>Peningkatan Kapasitas Pelajar Peduli Keselamatan</t>
  </si>
  <si>
    <t>Pemberdayaan Masyarakat Peduli Keselamatan Jalan</t>
  </si>
  <si>
    <t>Inventarisasi Kinerja Manajemen Keselamatan Transportasi Darat</t>
  </si>
  <si>
    <t>Analisis Keselamatan Transportasi Darat Melalui Media Cetak</t>
  </si>
  <si>
    <t>Evaluasi Kinerja Keselamatan Transportasi Darat</t>
  </si>
  <si>
    <t>Penyusunan Potret Direktorat Keselamatan Transportasi Darat</t>
  </si>
  <si>
    <t>Koordinasi Pelaksanaan Pelajar Pelopor Di Daerah</t>
  </si>
  <si>
    <t>Workshop Manajemen Keselamatan Transportasi Darat</t>
  </si>
  <si>
    <t>Sosialisasi Manajemen Kecepatan</t>
  </si>
  <si>
    <t xml:space="preserve">Monitoring Kecelakaan Lalu Lintas dan Angkutan Jalan menonjol </t>
  </si>
  <si>
    <t>Peningkatan koordinasi Manajemen Keselamatan Transportasi Darat</t>
  </si>
  <si>
    <t>Pemantauan Kegiatan Sosialisasi Keselamatan Trasnportasi di Daerah</t>
  </si>
  <si>
    <t>Peningkatan Kualitas Sumber Daya Manusia (SDM) dengan Membangun Komitmen dan Semangat Kebersamaan</t>
  </si>
  <si>
    <t>SUBDIT BINA KESELAMATAN ANGKUTAN UMUM</t>
  </si>
  <si>
    <t>SUBDIT AUDIT DAN INSPEKSI KESELAMATAN</t>
  </si>
  <si>
    <t>SUBDIT PROMOSI DAN KEMITRAAN</t>
  </si>
  <si>
    <t>SUBDIT MANAJEMEN KESELAMATAN</t>
  </si>
  <si>
    <t>SUB BAGIAN TATA USAHA KTD</t>
  </si>
  <si>
    <t>Bts.Kab.Tanjab-Sp.Tuan   ( termasuk supervisi )</t>
  </si>
  <si>
    <t>Belanja Uang Makan PNS Golongan II (93orang X 22 Hari X 12 Bln X Rp. 25.000)</t>
  </si>
  <si>
    <t>Belanja Uang Makan PNS Golongan III  (393 orang X 22 Hari X 12 Bln X Rp. 27.000)</t>
  </si>
  <si>
    <t>Belanja Uang Makan PNS Golongan IV  (59 orang X 22 Hari X 12 Bln X Rp. 29.000)</t>
  </si>
  <si>
    <t xml:space="preserve">Belanja Lembur Golongan I </t>
  </si>
  <si>
    <t xml:space="preserve">Belanja Lembur Golongan II </t>
  </si>
  <si>
    <t xml:space="preserve">Belanja Lembur Golongan III </t>
  </si>
  <si>
    <t xml:space="preserve">Belanja Lembur Golongan IV </t>
  </si>
  <si>
    <t xml:space="preserve">Uang Makan Lembur Golongan I  </t>
  </si>
  <si>
    <t xml:space="preserve">Uang Makan Lembur Golongan II  </t>
  </si>
  <si>
    <t xml:space="preserve">Uang Makan Lembur Golongan III </t>
  </si>
  <si>
    <t xml:space="preserve">Uang Makan Lembur Golongan IV  </t>
  </si>
  <si>
    <t>Belanja Transito (Transito Murni dan Tunjangan Kinerja)</t>
  </si>
  <si>
    <t>- Sewa Mesin Fotocopy Digital ( 2 unit )</t>
  </si>
  <si>
    <t>- Langganan Telepon</t>
  </si>
  <si>
    <t>- Belanja Barang Gedung Arsip</t>
  </si>
  <si>
    <t>- Pengadaan Kursi</t>
  </si>
  <si>
    <t>- Pengadaan Kursi Sofa</t>
  </si>
  <si>
    <t>- Pengadaan Papan Tulis</t>
  </si>
  <si>
    <t>- Pengadaan Infocus</t>
  </si>
  <si>
    <t>- Pengadaan TV</t>
  </si>
  <si>
    <t>- Pengadaan Filling Cabinet 3 Laci</t>
  </si>
  <si>
    <t>- Pengadaan Lemari kayu</t>
  </si>
  <si>
    <t>m2</t>
  </si>
  <si>
    <t>- Pengadaan Komputer</t>
  </si>
  <si>
    <t>- Pengadaan Notebook</t>
  </si>
  <si>
    <t>- Pengadaan Scaner</t>
  </si>
  <si>
    <t>- Pengadaan Printer</t>
  </si>
  <si>
    <t>- Pengadaan Meja Rapat</t>
  </si>
  <si>
    <t>- Pengadaan Meja Komputer</t>
  </si>
  <si>
    <t>- Penghancur Kertas</t>
  </si>
  <si>
    <t>- Pengadaan Troli Barang</t>
  </si>
  <si>
    <t xml:space="preserve">- Pengadaan Software Kearsipan </t>
  </si>
  <si>
    <t>- Belanja Keperluan Pokok Perkantoran</t>
  </si>
  <si>
    <t>PENYELENGGARAAN KEARSIPAN GEDUNG ARSIP</t>
  </si>
  <si>
    <t>- Jasa Layanan Penataan Arsip Setditjen</t>
  </si>
  <si>
    <t>- Jasa Layanan Penataan Arsip Dit. LLAJ</t>
  </si>
  <si>
    <t>- Jasa Layanan Penataan Arsip Dit. LLASDP</t>
  </si>
  <si>
    <t>- Jasa Layanan Penataan Arsip Dit. BSTP</t>
  </si>
  <si>
    <t>- Jasa Layanan Penataan Arsip Dit. KTD</t>
  </si>
  <si>
    <t>-Belanja Peralatan dan Mesin</t>
  </si>
  <si>
    <t>- Belanja barang persiapan sosialisasi</t>
  </si>
  <si>
    <t>- Transportasi Bus</t>
  </si>
  <si>
    <t>- Documentasi</t>
  </si>
  <si>
    <t>- Belanja Barang Pelaksanaan Sosialisasi</t>
  </si>
  <si>
    <t>Belanja Perjadin Paket Meeting Luar Kota</t>
  </si>
  <si>
    <t>-Paket Fullboard Meeting</t>
  </si>
  <si>
    <t>-Uang Saku Fullboard di Luar Kota</t>
  </si>
  <si>
    <t>-Honor Pelaksanan Kegiatan</t>
  </si>
  <si>
    <t>- Moderator</t>
  </si>
  <si>
    <t>-Digitalisasi Documen</t>
  </si>
  <si>
    <t>Lbr</t>
  </si>
  <si>
    <t>-Belanja Barang Non Operasional</t>
  </si>
  <si>
    <t>-Belanja Barang Non Operasional Lain</t>
  </si>
  <si>
    <t>-Transport</t>
  </si>
  <si>
    <t>-Uang Harian</t>
  </si>
  <si>
    <t>-Penginapan</t>
  </si>
  <si>
    <t>Monitoring dan Pengembangan Tata Kelola Arsip</t>
  </si>
  <si>
    <t>- Transport Local (Taxi)</t>
  </si>
  <si>
    <t>Koordinasi Ketatausahaam</t>
  </si>
  <si>
    <t>Sistem Managemen Digitalisasi Arsip Data Pegawai</t>
  </si>
  <si>
    <t>- Pengadaan Lemari CD/DVD</t>
  </si>
  <si>
    <t>Penyelenggaraan Pengadaan CPNS Formasi Tahun 2015</t>
  </si>
  <si>
    <t>Penyusunan Formasi CPNS Tahun 2016</t>
  </si>
  <si>
    <t>Transport</t>
  </si>
  <si>
    <t xml:space="preserve">Uang Harian </t>
  </si>
  <si>
    <t>Koordinasi Kelembagaan UPT Ditjen Hubdat</t>
  </si>
  <si>
    <t>Rapat Koordinasi Bidang Kepegawaian</t>
  </si>
  <si>
    <t xml:space="preserve">Transport  </t>
  </si>
  <si>
    <t>Uang harian</t>
  </si>
  <si>
    <t>Koordinasi Administrasi kepegawaian</t>
  </si>
  <si>
    <t>- Honor Rohaniawan</t>
  </si>
  <si>
    <t>Belanja barang non operasional lainnya :</t>
  </si>
  <si>
    <t>Pelaksanaan Uji Kompetensi SDM</t>
  </si>
  <si>
    <t>- Honor Ketua Tim Uji</t>
  </si>
  <si>
    <t>- Honor Wakil Ketua Tim Uji</t>
  </si>
  <si>
    <t>- Honor Anggota Tim Uji</t>
  </si>
  <si>
    <t>Penyertaan Pembekalan Keterampilan Calon Purnabhakti di Lingkungan Ditjen Hubdat</t>
  </si>
  <si>
    <t>- transport lokal</t>
  </si>
  <si>
    <t>- uang harian</t>
  </si>
  <si>
    <t>- Paket Fuulday Meeting</t>
  </si>
  <si>
    <t>- uang saku paket fullday meeting</t>
  </si>
  <si>
    <t>Belanja honor output kegiatan</t>
  </si>
  <si>
    <t>- penanggung jawab</t>
  </si>
  <si>
    <t xml:space="preserve">Diklat Prajabatan </t>
  </si>
  <si>
    <t>- biaya seminar</t>
  </si>
  <si>
    <t>Penataan Organisasi Ditjen Perhubungan Darat</t>
  </si>
  <si>
    <t>Belanja jasa Profesi</t>
  </si>
  <si>
    <t xml:space="preserve">- Moderator </t>
  </si>
  <si>
    <t>-Honor Penanggungjawab</t>
  </si>
  <si>
    <t xml:space="preserve">-Honor Ketua </t>
  </si>
  <si>
    <t xml:space="preserve">-Honor Sekretaris </t>
  </si>
  <si>
    <t xml:space="preserve">-Honor Anggota Tim </t>
  </si>
  <si>
    <t>Belanja Perjalanan Dinas Paket Meeting Luar Kota</t>
  </si>
  <si>
    <t xml:space="preserve"> - Paket Fullday</t>
  </si>
  <si>
    <t xml:space="preserve"> - Uang Saku Peserta</t>
  </si>
  <si>
    <t xml:space="preserve">Pengembangan Jabatan Fungsional </t>
  </si>
  <si>
    <t xml:space="preserve">               </t>
  </si>
  <si>
    <t>Poliklinik/ Obat-obatan/ Honorarium Dokter dan Perawat</t>
  </si>
  <si>
    <t>ATK Untuk Poliklinik</t>
  </si>
  <si>
    <t>Belanja barang Operasional Lainnya</t>
  </si>
  <si>
    <t>Medical chekup Pegawai Ditjen Perhubungan Darat</t>
  </si>
  <si>
    <t>Orang</t>
  </si>
  <si>
    <t>Pakaian kerja Pramubakti Gedung Arsip</t>
  </si>
  <si>
    <t>Pakaian kerja Petugas Kebersihan Gedung Arsip</t>
  </si>
  <si>
    <t>Perawatan Gedung Karsa Lantai 3</t>
  </si>
  <si>
    <t>Perawatan Ruang Direktorat LLAJ</t>
  </si>
  <si>
    <t>Perawatan Ruang Direktorat LLASDP</t>
  </si>
  <si>
    <t>Perawatan Ruang Direktorat BSTP</t>
  </si>
  <si>
    <t>Perawatan Ruang Direktorat KTD</t>
  </si>
  <si>
    <t>Perawatan Ruang Direktorat Setditjen</t>
  </si>
  <si>
    <t>Perawatan Ruang Rapat</t>
  </si>
  <si>
    <t>Unit/Thn</t>
  </si>
  <si>
    <t>Perawatan Kendaraan Pejabat Eselon I</t>
  </si>
  <si>
    <t>Unit/thn</t>
  </si>
  <si>
    <t>Perawatan Kendaraan Pejabat Eselon II</t>
  </si>
  <si>
    <t>Pajak kendaraan Eselon I</t>
  </si>
  <si>
    <t>Pajak kendaraan Eselon II</t>
  </si>
  <si>
    <t>Pajak kendaran Operasional R-4</t>
  </si>
  <si>
    <t>Pajak kendaraan Operasional R-6</t>
  </si>
  <si>
    <t>Pajak kendaraan Operasional R-2</t>
  </si>
  <si>
    <t>Honorarium Pengemudi (5 orang)</t>
  </si>
  <si>
    <t>Penyediaan Jasa Outsourching Tenaga Keamanan</t>
  </si>
  <si>
    <t>Penyediaan Jasa Outsourching Tenaga Keamanan Untuk Gedung Arsip</t>
  </si>
  <si>
    <t>Penyediaan Jasa Outsourcing Tenaga Pramubakti</t>
  </si>
  <si>
    <t>Penyediaan Jasa Outsourcing Tenaga Pramubakti Untuk Gedung Arsip</t>
  </si>
  <si>
    <t>Penyediaan Jasa Outsourcing Tenaga Petugas Kebersihan Untuk Gedung Arsip</t>
  </si>
  <si>
    <t>Belanja keperluan pokok perkantoran</t>
  </si>
  <si>
    <t>Belanja komputer supplies</t>
  </si>
  <si>
    <t xml:space="preserve">Penyediaan jasa Pest/ Rodent Control </t>
  </si>
  <si>
    <t xml:space="preserve">Pengadaan Printer Warna </t>
  </si>
  <si>
    <t>Pengadaan Printer desain grafis</t>
  </si>
  <si>
    <t xml:space="preserve">Pengadaan Lemari Kayu </t>
  </si>
  <si>
    <t>Pengadaan Kendaraan Operasional Roda 2</t>
  </si>
  <si>
    <t>Pengadaan lensa kamera</t>
  </si>
  <si>
    <t>Pengadaan Blitz camera</t>
  </si>
  <si>
    <t>Pengadaan baterai camera</t>
  </si>
  <si>
    <t>Pengadaan Memory card camera</t>
  </si>
  <si>
    <t xml:space="preserve">Pengadaan tas camera </t>
  </si>
  <si>
    <t>Pengadaan handycam</t>
  </si>
  <si>
    <t>Pengadaan Lemari Arsip</t>
  </si>
  <si>
    <t>Pengadaan Filling Cabinet 3 laci</t>
  </si>
  <si>
    <t>Pengadaan Filling Cabinet 2 laci</t>
  </si>
  <si>
    <t>Pengadaan kursi kerja</t>
  </si>
  <si>
    <t>Pengadaan kursi kerja Eselon III</t>
  </si>
  <si>
    <t>Pengadaan kursi kerja Eselon IV</t>
  </si>
  <si>
    <t>Pengadaan Meja kerja</t>
  </si>
  <si>
    <t xml:space="preserve">Belanja Barang </t>
  </si>
  <si>
    <t>Updating Data BMN Satker Sekretariat Ditjen Perhubungan Darat</t>
  </si>
  <si>
    <t>Sosialisasi P4GN</t>
  </si>
  <si>
    <t>Belanja Barang</t>
  </si>
  <si>
    <t>- Transports</t>
  </si>
  <si>
    <t>Perjalanan Paket Rapat Luar Kota</t>
  </si>
  <si>
    <t>Paket Fullboard</t>
  </si>
  <si>
    <t>- Uang Harian Panitia</t>
  </si>
  <si>
    <t>- Akomodasi</t>
  </si>
  <si>
    <t>Jaringan dan Dokumentasi Peraturan Perundang-undangan Bidang Darat</t>
  </si>
  <si>
    <t>Terjemahan buku peraturan perundang-undangan ke dalam Bahasa Inggris</t>
  </si>
  <si>
    <t>Belanja Perjalanan Dinas Paket Meeting Dalam Kota</t>
  </si>
  <si>
    <t>- Paket Full Day</t>
  </si>
  <si>
    <t>Belanja Barang Non  Operasional Lainnya</t>
  </si>
  <si>
    <t>Rekam Jejak Ditjen Hubdat</t>
  </si>
  <si>
    <t>Oter</t>
  </si>
  <si>
    <t>Publikasi Kebijakan Ditjen Hubdat melalui Radio</t>
  </si>
  <si>
    <t>Publikasi Kebijakan Transportasi Darat Melalui Media Luar Ruang</t>
  </si>
  <si>
    <t>Publikasi Melalui Televisi</t>
  </si>
  <si>
    <t>Honor Output Kegiatan (521213)</t>
  </si>
  <si>
    <t>Sosialisasi Pelayanan Publik dan Pengaduan Masyarakat</t>
  </si>
  <si>
    <t>Penyelenggaraan Pelayanan ULP</t>
  </si>
  <si>
    <t>Belanja Barang Operasional Lainnya (521119)</t>
  </si>
  <si>
    <t>Belanja Perjalanan Biasa (DN) (524119)</t>
  </si>
  <si>
    <t xml:space="preserve">Belanja Jasa Profesi </t>
  </si>
  <si>
    <t>Pemantauan dan Evaluasi Kinerja Perhubungan Darat</t>
  </si>
  <si>
    <t>Fullboard Meeting</t>
  </si>
  <si>
    <t>Sosialisasi dan Monitoring DAK</t>
  </si>
  <si>
    <t>Honor Narasumber</t>
  </si>
  <si>
    <t>Pendampingan Kunjungan Kerja Komisi V</t>
  </si>
  <si>
    <t>Pengadaan Teknologi Informasi</t>
  </si>
  <si>
    <t>Sosialisasi TIK Balai dan OPP</t>
  </si>
  <si>
    <t>- Taksi</t>
  </si>
  <si>
    <t>- Notebook</t>
  </si>
  <si>
    <t>- Penanggung Jawab</t>
  </si>
  <si>
    <t>- Koordinator</t>
  </si>
  <si>
    <t>- Belanja barang (521119)</t>
  </si>
  <si>
    <t>Fullday Meeting Dalam Kota (+ Uang Saku)</t>
  </si>
  <si>
    <t>Paket Meeting Luar Kota</t>
  </si>
  <si>
    <t xml:space="preserve">Belanja Sewa </t>
  </si>
  <si>
    <t>Monitoring dan Evaluasi Kinerja Lalu Lintas Perkotaan</t>
  </si>
  <si>
    <t>Monitoring Pemanfaatan Bus Sekolah/Kampus/Umum dan BRT</t>
  </si>
  <si>
    <t>Penyusunan Pedoman Teknis Pengendalian Persimpangan dan U-Turn</t>
  </si>
  <si>
    <t>Perencanaan Teknis Penyelenggaraan Pemaduan Moda pada Simpul-Simpul Transportasi</t>
  </si>
  <si>
    <t>Bantuan Teknis Penyelenggaraan Transportasi Perkotaan (In House Consultant)</t>
  </si>
  <si>
    <t>- Narasumber Eselon II/disetarakan</t>
  </si>
  <si>
    <t>- Narasumber Eselon III/disetarakan</t>
  </si>
  <si>
    <t>- Paket Meeting Fullboard</t>
  </si>
  <si>
    <t>- Uang Harian Fullboard</t>
  </si>
  <si>
    <t xml:space="preserve">Paket Meeting Luar Kota </t>
  </si>
  <si>
    <t>- Paket Fuulboard</t>
  </si>
  <si>
    <t>Rakor Aset Ditjen Hubdat 2015</t>
  </si>
  <si>
    <t>- Narasumber Eselon I/disetarakan</t>
  </si>
  <si>
    <t>- Biaya Rapat</t>
  </si>
  <si>
    <t>Belanja Barang  Non Operasional Lainnya</t>
  </si>
  <si>
    <t xml:space="preserve"> - Belanja Uang Makan PNS Gol II  (22harix12blnx17org)</t>
  </si>
  <si>
    <t xml:space="preserve"> - Belanja Uang Makan PNS Gol III  (22harix12blnx35org)</t>
  </si>
  <si>
    <t xml:space="preserve"> - Belanja Uang Makan PNS Gol IV  (22harix12blnx2org)</t>
  </si>
  <si>
    <t xml:space="preserve"> - Uang  Lembur  Gol. II (3jam/OHx15Hr/Blnx12Blnx10org)</t>
  </si>
  <si>
    <t xml:space="preserve"> - Uang  Lembur  Gol. III (3jam/OHx15Hr/Blnx12Blnx15org)</t>
  </si>
  <si>
    <t xml:space="preserve"> - Uang  Lembur  Gol. IV (3jam/OHx15Hr/Blnx12Blnx1org)</t>
  </si>
  <si>
    <t xml:space="preserve"> - Uang Makan Lembur  Gol II (15Hr/Blnx12Blnx10org)</t>
  </si>
  <si>
    <t xml:space="preserve"> - Uang Makan Lembur Gol III (15Hr/Blnx12Blnx15org)</t>
  </si>
  <si>
    <t xml:space="preserve"> - Uang Makan Lembur IV (15Hr/Blnx12Blnx1org)</t>
  </si>
  <si>
    <t>Belanja Uang  Tunjangan Kinerja</t>
  </si>
  <si>
    <t xml:space="preserve"> - Uang  Tunjangan Kinerja Grade 13</t>
  </si>
  <si>
    <t xml:space="preserve"> - Uang  Tunjangan Kinerja Grade 9</t>
  </si>
  <si>
    <t xml:space="preserve"> - Uang  Tunjangan Kinerja Grade 8</t>
  </si>
  <si>
    <t xml:space="preserve"> - Uang  Tunjangan Kinerja Grade 7</t>
  </si>
  <si>
    <t xml:space="preserve"> - Uang  Tunjangan Kinerja Grade 6</t>
  </si>
  <si>
    <t xml:space="preserve"> - Uang  Tunjangan Kinerja Grade 5</t>
  </si>
  <si>
    <t>- Pakaian Sopir dan Pramubakti</t>
  </si>
  <si>
    <t xml:space="preserve">- Honor pengemudi </t>
  </si>
  <si>
    <t>- Honor pramubakti</t>
  </si>
  <si>
    <t>Belanja Pemeliharaan Peralatan dan Mesin</t>
  </si>
  <si>
    <t xml:space="preserve">Sewa Jaringan Telekomunikasi (Internet Dedicated) </t>
  </si>
  <si>
    <t>Belanja Langganan Daya dan Jasa</t>
  </si>
  <si>
    <t>-  Pemeliharaan Kebersihan  Gedung dan halaman</t>
  </si>
  <si>
    <t>-  Honor Pengelola  SAI</t>
  </si>
  <si>
    <t>Honor yang terkait dengan out put kegiatan</t>
  </si>
  <si>
    <t>- Pemeliharaan Alat Uji Sepeda Motor (Standard UN Regulation)</t>
  </si>
  <si>
    <t>- Penggantian gas kalibrasi Alat Uji Emisi (Standard UN Regulation)</t>
  </si>
  <si>
    <t>- Reassesment ISO 17025 laboratorium pengujian sepeda motor</t>
  </si>
  <si>
    <t>- Survailance ISO 9001 : 2008 untuk pelayanan pengujian tipe KB</t>
  </si>
  <si>
    <t>- Perbaikan panel listrik gedung-gedung Balai PLJSKB</t>
  </si>
  <si>
    <t xml:space="preserve">- Pemeliharaan AC </t>
  </si>
  <si>
    <t>- Pemeliharaan Aplikasi Website</t>
  </si>
  <si>
    <t>- Pemeliharaan Instalasi  listrik, lampu penerangan jalan, air dan telepon</t>
  </si>
  <si>
    <t>- Pemeliharaan Firewall jaringan LAN</t>
  </si>
  <si>
    <t>- Pengadaan Kendaraan Blind Van untuk Alat Uji Noise</t>
  </si>
  <si>
    <t xml:space="preserve">- Pengadaan kendaraan operasional roda 4 </t>
  </si>
  <si>
    <t>- Insentif Pegawai gol III (36x400x12)</t>
  </si>
  <si>
    <t>Kegiatan Monitoring Rancang Bangun dan Rekayasa Kendaraan Bermotor</t>
  </si>
  <si>
    <t>-  Monitoring Rancang Bangun dan Rekayasa Kendaraan Bermotor</t>
  </si>
  <si>
    <t>-  ATK</t>
  </si>
  <si>
    <t>-  Konsumsi Rapat</t>
  </si>
  <si>
    <t>ok</t>
  </si>
  <si>
    <t xml:space="preserve">- Pencetakan dan penggadaan </t>
  </si>
  <si>
    <t>exp</t>
  </si>
  <si>
    <t>- Kamera digital</t>
  </si>
  <si>
    <t>- Laptop</t>
  </si>
  <si>
    <t>- Printer</t>
  </si>
  <si>
    <t>- Hard disk external</t>
  </si>
  <si>
    <t>-  Supervisi Jalan Inspeksi  Balai PLJSKB Ruas Utara</t>
  </si>
  <si>
    <t>- Pembuatan Jalan Setapak Akses Perumahan Ditjen Hubdat ke Balai PLJSKB</t>
  </si>
  <si>
    <t xml:space="preserve">Pembangunan sarana dan prasarana </t>
  </si>
  <si>
    <t xml:space="preserve">- Pembangunan Gedung Uji truck dan bus </t>
  </si>
  <si>
    <t xml:space="preserve">- Supervisi Pembangunan Gedung Uji truck dan bus </t>
  </si>
  <si>
    <t xml:space="preserve">Kegiatan monitoring dan evaluasi terhadap ambang batas, standarisasi </t>
  </si>
  <si>
    <t>dan perkembangan tehnologi pengujian kendaraan bermotor (UN R 51)</t>
  </si>
  <si>
    <t>Jakarta-Bogor</t>
  </si>
  <si>
    <t>Jakarta-Malaysia</t>
  </si>
  <si>
    <t>- Pencetakan, penjilidan dan penggandaan laporan</t>
  </si>
  <si>
    <t>- Perlengkapan penunjang (jaket kerja)</t>
  </si>
  <si>
    <t>- Perlengkapan penunjang (laptop/printer/harddisk)</t>
  </si>
  <si>
    <t>- Konsumsi</t>
  </si>
  <si>
    <t>- Snack</t>
  </si>
  <si>
    <t>PENINGKATAN JEMBATAN TIMBANG</t>
  </si>
  <si>
    <t>- Ruas Jalan Pagar Alam - Tanjung Sakti - Bts Prov. Bengkulu</t>
  </si>
  <si>
    <t>- Ruas Jalan Simpang Air Dingin - Pagar Alam</t>
  </si>
  <si>
    <t>- Ruas Jalan Batas Kota Lahat - Simpang Air Dingin</t>
  </si>
  <si>
    <t>- Ruas Jalan Batas Kota Muara Enim - Simpang Sugih Waras</t>
  </si>
  <si>
    <t>- Ruas Jalan Kikim Besar Km 256 - Bts Kota lahat</t>
  </si>
  <si>
    <t>- Jasa Sewa Jaringan Internet untuk ULP Ditjen Hubdat</t>
  </si>
  <si>
    <t>PENGADAAN BUS PEMADU MODA</t>
  </si>
  <si>
    <t>PENGADAAN BUS MAHASISWA/UMUM/KAMPUS</t>
  </si>
  <si>
    <t>Program Aksi Peningkatan Kualitas Mental dan Disiplin Pengemudi Angkutan Penumpang Kelas Pelayanan Eksekutif</t>
  </si>
  <si>
    <t>Penyusunan Peningkatan Sistem Penjadwalan Perjalanan yang Berkeselamatan Angkutan Penumpang AKAP/AKDP</t>
  </si>
  <si>
    <t>Penyusunan Standarisasi Peralatan Keselamatan Bagi Angkutan Barang Berbahaya</t>
  </si>
  <si>
    <t>Studi Persepsi Masyarakat tentang Kendaraan Angkutan Umum yang Berkeselamatan</t>
  </si>
  <si>
    <t>Penyusunan Pedoman Teknis Survey Perilaku Penumpang dan Awak Angkutan Sungai dan Danau</t>
  </si>
  <si>
    <t>Penyusunan Pedoman Teknis Partisipasi Kelompok Masyarakat Sadar Keselamatan</t>
  </si>
  <si>
    <t>Survey Kinerja Keselamatan pada masa Angkutan Lebaran 2015</t>
  </si>
  <si>
    <t>Rapat Kerja dan Teknis Bidang Keselamatan Transportasi Darat</t>
  </si>
  <si>
    <t>SETELAH EXERCISE</t>
  </si>
  <si>
    <t>Peningkatan Terminal AKAP Tangkoko Kota Bitung</t>
  </si>
  <si>
    <t>Sosialisasi Dampak Transportasi Perkotaan</t>
  </si>
  <si>
    <t>Monev Dampak Pelaksanaan Bantuan Teknis di Bidang Transportasi Perkotaan</t>
  </si>
  <si>
    <t>- Honor Operasional Satker</t>
  </si>
  <si>
    <t>- Belanja Barang Operasional Lainnya</t>
  </si>
  <si>
    <t>- Honor Output Kegiatan</t>
  </si>
  <si>
    <t>- Belanja Barang Non Operasional lainnya</t>
  </si>
  <si>
    <t>- Belanja Modal (Pengadaan Notebook)</t>
  </si>
  <si>
    <t>- Belanja Perjalanan Dinas</t>
  </si>
  <si>
    <t>Durian Rampak-Keude Siblah</t>
  </si>
  <si>
    <t xml:space="preserve"> - Pusat Kota - Darussalam (10 Km)</t>
  </si>
  <si>
    <t xml:space="preserve"> - Meulaboh - Alue Penyaring (35 Km)</t>
  </si>
  <si>
    <t xml:space="preserve"> - Kuala Simapang - Tenggulun (42 KM)</t>
  </si>
  <si>
    <t xml:space="preserve"> - Banda Aceh - Sinabang (425 Km)</t>
  </si>
  <si>
    <t xml:space="preserve"> - Meulaboh - Layung (25 Km)</t>
  </si>
  <si>
    <t>ATCS Kota Medan Thp IV (Selesai)</t>
  </si>
  <si>
    <t>- Honor Anggota SAI</t>
  </si>
  <si>
    <t>- Honor Anggota Lelang</t>
  </si>
  <si>
    <t>Pembangunan ATCS Kota Padang Tahap III (selesai)</t>
  </si>
  <si>
    <t xml:space="preserve">- Padang Aro - Sungai Kunyit - Sungai Rumbai (102 Km) </t>
  </si>
  <si>
    <t>- Padang Aro - Abai (39 Km)</t>
  </si>
  <si>
    <t xml:space="preserve">- Honor Bendahara </t>
  </si>
  <si>
    <t xml:space="preserve">- Honor Staf </t>
  </si>
  <si>
    <t>- Pengadaan Notebook dan Printer</t>
  </si>
  <si>
    <t xml:space="preserve">- Personal Komputer </t>
  </si>
  <si>
    <t>-. Honor Staff Teknis</t>
  </si>
  <si>
    <t>- Biaya Pengadaan Printer</t>
  </si>
  <si>
    <t>Terminal Tipe A Sarolangun Thp IV selesai</t>
  </si>
  <si>
    <t>Subsidi Operasi Bus Perintis (8 lintasan)</t>
  </si>
  <si>
    <t>Perlengkapan Jalan Perkotaan di Kota Palembang</t>
  </si>
  <si>
    <t>- Plaju - Muara Sugihan (Trayek 2014)</t>
  </si>
  <si>
    <t>- Terminal Lubuk Lancang - Pulau Rimau - Selat Kuningan (Trayek 2014)</t>
  </si>
  <si>
    <t>- Betungan - Mukomuko - lubuk Pinang</t>
  </si>
  <si>
    <t>- Bengkulu - Pulau Enggano  (Trayek Baru)</t>
  </si>
  <si>
    <t>Jl. A. Yani (Serang)</t>
  </si>
  <si>
    <t>Jl. Kolonel Tb. Suwandi (Serang)</t>
  </si>
  <si>
    <t>Jl. Maulana Yusuf (Serang)</t>
  </si>
  <si>
    <t>Jl. Raya Cilegon (Serang)</t>
  </si>
  <si>
    <t>Jl. Raya Pandeglang (Rangkasbitung)</t>
  </si>
  <si>
    <t>Jl. Sudirman (Serang)</t>
  </si>
  <si>
    <t>Jl. Tirtayasa (Serang)</t>
  </si>
  <si>
    <t>Jl. Yusuf Martadilaga (Serang)</t>
  </si>
  <si>
    <t>Bts. Kota Serang - Bts. Kota Tangerang</t>
  </si>
  <si>
    <t>Jl. Daan Mogot (Tangerang - Bts DKI)</t>
  </si>
  <si>
    <t>Bts. Cilegon - Bts. Kota Serang</t>
  </si>
  <si>
    <t>Jl. Mayor Syafei (Serang)</t>
  </si>
  <si>
    <t>Subsidi Operasi Bus Perintis (5 trayek)</t>
  </si>
  <si>
    <t>Penanggung Jawab SAI</t>
  </si>
  <si>
    <t>Pembangunan ATCS Sp 4 Kota Bandung Tahap IV selesai</t>
  </si>
  <si>
    <t>Renovasi Terminal Harjamukti Cirebon Tahap IV (selesai)</t>
  </si>
  <si>
    <t>Terminal Surade - Tegal Buleud - Sagaranten</t>
  </si>
  <si>
    <t>Pembangunan ATCS Pekalongan Tahap II (selesai)</t>
  </si>
  <si>
    <t>JT Sarang Kab. Rembang  (selesai)</t>
  </si>
  <si>
    <t>BTS KOTA ENDE - AEGELA-ARAH BAJAWA (ENDE)-JL. PERWIRA-JALAN SOEKARNO-KATEDRAL  DETUSOKO - BTS KOTA ENDE LANJUTAN-JL A YANI-GATOT SUBROTO-DETUSOKO - WOLOGAI</t>
  </si>
  <si>
    <t>WOLOGAI - JUNCTION-JUNCTION - WOLOWARU-LIANUNU-HEPANG-NITA-WOLOARA-BTS KOTA MAUMERE-JL. GAJAH MADA-JL. NONGMEAK-JL. SUGIYOPRANOTO-JL. KONTERCIUS-JL. BTS KOTA MAUMERE-WAIPARE- JL. A. YANI-JL. SUDIRMAN-JALAN WAIPARE-KM 180   (KAB. SIKKA)</t>
  </si>
  <si>
    <t>JALAN KM 180-WAERUNU-JALAN WAERUNU-BTS KOTA LARANTUKA-JALAN BASUKI RAHMAT-JALAN- HERMAN FERNANDES-JALAN DE ROSARI-JL. RENHA ROSARI   (KAB. FLOTIM)</t>
  </si>
  <si>
    <t>JALAN BOLOK-TENAU-JALAN TUA BATA-JALAN PAHLAWAN-JALAN SUKARNO-JALAN AHMAD YANI  JALAN SILIWANGI-JALAN SUMBA-SUMATERA-JALAN TIMOR TIMUR-SIMPANG OESAPA-LAP TERBANG ELTARI-JALAN ELTARI 2   9   (KOTA KUPANG)</t>
  </si>
  <si>
    <t>OESAPA-OESAO - BOKONG-BATU PUTIH   (KAB. KUPANG)</t>
  </si>
  <si>
    <t>BATU PUTIH-BATAS KOTA SOE-JL. GAJAH MADA-JL. SUDIRMAN-BATAS KOTA SOE-NIKI NIKI-JL. DIPONEGORO-JL. AHMAD YANI-JL. NIKI NIKI-NOELMUTI-BATAS KOTA KEFAMENANU   (KAB. TTS)</t>
  </si>
  <si>
    <t xml:space="preserve">JALAN PATIMURA (KEFAMENANU)-JALAN KARTINI-JL. ELTARI-JL. BASUKI RAHMAT-BTS KOTA  KEFAMENANU-MAUBESI-JL. A YANI-JL. MAUBESI-NESAM (KAIUPUKAN)   (KAB. TTU) </t>
  </si>
  <si>
    <t>-. Stasiun Kupang (7) (Total 10)</t>
  </si>
  <si>
    <t>-. Stasiun Waingapu (6) (Total 7)</t>
  </si>
  <si>
    <t>Ruas Jalan Sui. Pinyuh - Sebadu Segmen I (termasuk supervisi)</t>
  </si>
  <si>
    <t>Ruas Jalan Sui. Pinyuh - Sebadu Segmen II (termasuk supervisi)</t>
  </si>
  <si>
    <t>Ruas Jalan Sui. Pinyuh - Sebadu Segmen III (termasuk supervisi)</t>
  </si>
  <si>
    <t>Ruas Jalan Sebadu - Sidas Segmen I (termasuk supervisi)</t>
  </si>
  <si>
    <t>Ruas Jalan Sebadu - Sidas Segmen II (termasuk supervisi)</t>
  </si>
  <si>
    <t>Ruas Jalan Sebadu - Sidas Segmen III (termasuk supervisi)</t>
  </si>
  <si>
    <t>Ruas Jalan Sidas - Tanjung Segmen II (termasuk supervisi)</t>
  </si>
  <si>
    <t>Kapuas - PulangPisau (termasuk  supervisi)</t>
  </si>
  <si>
    <t>Sampit - Sp Bangkal (termasuk supervisi)</t>
  </si>
  <si>
    <t>Palangkaraya - Pulang Pisau (termasuk supervisi)</t>
  </si>
  <si>
    <t>Pembangunan Terminal AKAP di Kota Palangkaraya Tahap IX (termasuk supervisi) (selesai)</t>
  </si>
  <si>
    <t>Ruas Jalan SP Handil Bhakti - Marabahan (termasuk supervisi)</t>
  </si>
  <si>
    <t>Ruas Banjarmasin - Pelaihari (termasuk supervisi)</t>
  </si>
  <si>
    <t>Ruas Jalan Pelaihari - Batu Licin (termasuk supervisi)</t>
  </si>
  <si>
    <t>Ruas Jalan Batu Licin - Bts Kaltim (Tanah Grogot) (termasuk supervisi)</t>
  </si>
  <si>
    <t>Ruas Liang Anggeng - Rantau (termasuk supervisi)</t>
  </si>
  <si>
    <t>Batas Bulungan - Tanjung Selor</t>
  </si>
  <si>
    <t>Dalam Kota - Tanjung Selor</t>
  </si>
  <si>
    <t>Simpang Tiga Tanjung Palas - Sekatak Buji</t>
  </si>
  <si>
    <t>Sekatak Buji - Malinau</t>
  </si>
  <si>
    <t>RUAS JALAN  KOTA MAKASSAR (termasuk supervisi)</t>
  </si>
  <si>
    <t>RUAS JALAN  BATAS KOTA SUNGGUMINASA - BATAS KOTA TAKALAR (termasuk supervisi)</t>
  </si>
  <si>
    <t>RUAS JALAN BATAS KOTA TAKALAR - BATAS KOTA JENEPONTO (termasuk supervisi)</t>
  </si>
  <si>
    <t>PEMBANGUNAN FASILITAS PENDUKUNG LLAJ</t>
  </si>
  <si>
    <t>ATCS Kota Palu Tahap I</t>
  </si>
  <si>
    <t>Ruas Jalan Nasional Lemito - Molosipat</t>
  </si>
  <si>
    <t>Ruas Jalan Nasional Kwandang - Atinggola</t>
  </si>
  <si>
    <t>Ruas Jalan Nasional Molingkapoto - Tolango</t>
  </si>
  <si>
    <t>Pembangunan Terminal Buroko Tahap III (selesai)</t>
  </si>
  <si>
    <t>Subsidi Operasi Bus Perintis (10 trayek)</t>
  </si>
  <si>
    <t>Ruas Jalan Nasional Boso - Sidangoli</t>
  </si>
  <si>
    <t>Ruas Jalan Nasional Boso - Kao</t>
  </si>
  <si>
    <t>Pengadaan GPS</t>
  </si>
  <si>
    <t>Jl. Bts Kab. Merauke - Boven Digoel - Muting (Kab.Boven Digoel)</t>
  </si>
  <si>
    <t>Jl. Bonggo - Betaf - Sarmi (Kab. Sarmi)</t>
  </si>
  <si>
    <t>Jl. Sentani - Batas Kota Jayapura (Kab.Jayapura)</t>
  </si>
  <si>
    <t>Jl. Holtekam-Koya-Skow/Bts PNG (Kota Jayapura)</t>
  </si>
  <si>
    <t>Jl. Abepura - Arso (Kota Jayapura)</t>
  </si>
  <si>
    <t>Jl. Tanah Merah - Gententiri ( Kab. Merauke )</t>
  </si>
  <si>
    <t xml:space="preserve">Subsidi Operasi Bus Perintis (6 lokasi) 30 trayek </t>
  </si>
  <si>
    <t xml:space="preserve">     c. Jayapura-Taja (Jayapura)</t>
  </si>
  <si>
    <t xml:space="preserve">     e. Jayapura-Demta (Jayapura)</t>
  </si>
  <si>
    <t xml:space="preserve">     g. Jayapura-Sarmi (Jayapura)</t>
  </si>
  <si>
    <t>Pendampingan kegiatan WTN, Akut, Pelajar Pelopor, Penguji Teladan, dll</t>
  </si>
  <si>
    <t>Pembangunan Terminal Depok Tahap V</t>
  </si>
  <si>
    <t>Pengembangan Tenaga Listrik Terminal Penumpang AKAP Tahap II</t>
  </si>
  <si>
    <t>Perumusan dan Penetapan Simpul Terminal Penumpang Tipe A di Kalimantan, Sulawesi, Bali, Nusa Tenggara, dan Papua</t>
  </si>
  <si>
    <t>Perumusan dan Penetapan Rencana Induk Jaringan LLAJ Nasional Tahap IV (Sulawesi, Bali, Nusa Tenggara, dan Papua)</t>
  </si>
  <si>
    <t>Perumusan dan Penetapan Jaringan Lintas Angkutan Peti Kemas dan Alat Berat di Kalimantan dan Sulawesi</t>
  </si>
  <si>
    <t>Pengadaan Peralatan Penunjang Pengendalian Operasional LLAJ</t>
  </si>
  <si>
    <t>Pengadaan Peralatan Pengatur Lalu Lintas pada Kondisi Darurat dan Puncak Arus Lalu Lintas</t>
  </si>
  <si>
    <t>Penyusunan dan Pengembangan Data Base PPNS Berbasis Web</t>
  </si>
  <si>
    <t>Revitalisasi Kendaraan Pengendalian Operasional</t>
  </si>
  <si>
    <t>Pengadaan Stiker Penegakan Hukum</t>
  </si>
  <si>
    <t>Bimbingan Teknis Penegakan Hukum Proses Cepat</t>
  </si>
  <si>
    <t>Bimbingan Teknis Penegakan Hukum Biasa (P21)</t>
  </si>
  <si>
    <t xml:space="preserve">Rapat Kerja Teknis (Rakernis) Penyidik Pegawai Negeri Sipil Bidang LLAJ </t>
  </si>
  <si>
    <t>Peningkatan Ketrampilan (refresing) Petugas LLAJ</t>
  </si>
  <si>
    <t>Penyuluhan Penegakan Hukum Bidang LLAJ</t>
  </si>
  <si>
    <t>Pengawasan Pelaksanaan Pengujian Berkala Kendaraan Bermotor</t>
  </si>
  <si>
    <t>Pengawasan Pelaksanaan Penyelenggaraan Terminal Penumpang dan Barang</t>
  </si>
  <si>
    <t>Pengawasan Persyaratan Teknis Laik Jalan Kendaraan Bermotor</t>
  </si>
  <si>
    <t>Kontingensi Penanganan Bencana Alam, Gangguan, Kecelakaan, Jalan dan/atau Dukungan Kerja Pimpinan</t>
  </si>
  <si>
    <t>Pengawasan Komperehensif Angkutan Barang dan Angkutan Penumpang di Pulau Jawa</t>
  </si>
  <si>
    <t xml:space="preserve">Penegakan Hukum Produksi Kendaraan Bermotor pada Perusahaan Karoseri </t>
  </si>
  <si>
    <t>Penegakan Hukum Periijinan Angkutan dan Dimensi Secara Nasional</t>
  </si>
  <si>
    <t>Penegakan Hukum Isindentil Bidang LLAJ</t>
  </si>
  <si>
    <t>Penyusunan RKM Buku Tilang</t>
  </si>
  <si>
    <t>Penyusunan RKM SOP Penegakan Hukum Bidang LLAJ</t>
  </si>
  <si>
    <t>Pembinaan dan Sosialisasi kepada Perusahaan Perlengkapan Jalan</t>
  </si>
  <si>
    <t xml:space="preserve">Pengadaan Bus Perintis </t>
  </si>
  <si>
    <t>Mudik Gratis Pengguna Sepeda Motor Angkutan Lebaran Tahun 2015/1436 H</t>
  </si>
  <si>
    <t>Pengadaan Dan Pemasangan Penggunaan Tracking System Pengoperasian Angkutan Jalan</t>
  </si>
  <si>
    <t>Pengembangan Web base SIM Angkutan Jalan Perintis</t>
  </si>
  <si>
    <t>Pengembangan Sistem Informasi Arsip Elektronik Dokumen Perizinan Angkutan Jalan</t>
  </si>
  <si>
    <t>Pengembangan Sistem Informasi Pelaporan Data Penumpang AKAP di Terminal Tipe A</t>
  </si>
  <si>
    <t>Pengadaan Sertifikat Uji Tipe dan Sertifikat Registrasi Uji Tipe</t>
  </si>
  <si>
    <t>Pencetakan Sertifikat dan Tanda Kompetensi Penguji Kendaraan Bermotor serta Sertifikasi dan Stiker Kalibrasi</t>
  </si>
  <si>
    <t>Pengadaan Peralatan Kalibrasi Alat Uji</t>
  </si>
  <si>
    <t>Perencanaan Teknis Konsep Desain Unit PKB</t>
  </si>
  <si>
    <t>Perencanaan Teknis SPM Uji Berkala</t>
  </si>
  <si>
    <t>Penilaian Kinerja Terbaik Unit PKB Berkala Tingkat Nasional</t>
  </si>
  <si>
    <t>LAYANAN PERKANTORAN</t>
  </si>
  <si>
    <t xml:space="preserve">Belanja Honor Operasional Satuan Kerja </t>
  </si>
  <si>
    <t xml:space="preserve"> - Honor KPA</t>
  </si>
  <si>
    <t xml:space="preserve"> - Honorarium PPK</t>
  </si>
  <si>
    <t xml:space="preserve"> - Honorarium PPSPM</t>
  </si>
  <si>
    <t xml:space="preserve"> - Honorarium Bendahara Pengeluaran</t>
  </si>
  <si>
    <t xml:space="preserve"> - Honorarium Staf Pengelola Kegiatan</t>
  </si>
  <si>
    <t xml:space="preserve"> - Honorarium SAI</t>
  </si>
  <si>
    <t xml:space="preserve">     a. Penanggung jawab</t>
  </si>
  <si>
    <t xml:space="preserve">     b. Koordinator</t>
  </si>
  <si>
    <t xml:space="preserve">     c. Ketua</t>
  </si>
  <si>
    <t xml:space="preserve">     d. Anggota</t>
  </si>
  <si>
    <t xml:space="preserve">Belanja Honor Output Kegiatan </t>
  </si>
  <si>
    <t>- Honor Panitia Lelang Pengadaan Barang</t>
  </si>
  <si>
    <t>- Honor Panitia Lelang Pengadaan Jasa Konsultasi</t>
  </si>
  <si>
    <t>- Honor Panitia Lelang Pengadaan Jasa Pemborongan</t>
  </si>
  <si>
    <t>- Honor Tim Pemeriksa/Penerima Barang</t>
  </si>
  <si>
    <t>- Honor Pengemudi</t>
  </si>
  <si>
    <t>- Honor Pramubakti</t>
  </si>
  <si>
    <t xml:space="preserve">Belanja Keperluan Perkantoran </t>
  </si>
  <si>
    <t>- Pengadaan koran, majalah, air minum dll</t>
  </si>
  <si>
    <t xml:space="preserve">Belanja Bahan </t>
  </si>
  <si>
    <t>- ATK, Computer Supplies, dll</t>
  </si>
  <si>
    <t>- Penggandaan, Pencetakan, Dll</t>
  </si>
  <si>
    <t xml:space="preserve">- Pengadaan Peralatan Fasilitas Satker </t>
  </si>
  <si>
    <t>- Biaya Taxi PP</t>
  </si>
  <si>
    <t xml:space="preserve">Unit </t>
  </si>
  <si>
    <t>- Belanja Sewa (Kendaraan roda 4 )</t>
  </si>
  <si>
    <t>- Belanja ATK</t>
  </si>
  <si>
    <t>- Sewa Gedung untuk Barang Sosialisasi</t>
  </si>
  <si>
    <t>- Belanja Modal (Pengadaan Komputer 15 unit)</t>
  </si>
  <si>
    <t>- Belanja Modal (Pengadaan Kendaraan Roda dua 3 unit)</t>
  </si>
  <si>
    <t>Penyusunan Pedoman Teknis Penghitungan Biaya Kecelakaan Lalu Lintas</t>
  </si>
  <si>
    <t>Pelaksanaan Inspeksi Keselamatan Prasarana Jalan</t>
  </si>
  <si>
    <t>Pelaksanaan Inspeksi Keselamatan Alur Pelayaran Sungai</t>
  </si>
  <si>
    <t>Pengadaan Alat Penunjang Test Lab Darah</t>
  </si>
  <si>
    <t>Rapat Koordinasi Teknis (Rakornis Bidang Perhubungan Darat Tahun 2015)</t>
  </si>
  <si>
    <t>- Paket Full Board</t>
  </si>
  <si>
    <t>- Uang Saku Dalam Kota</t>
  </si>
  <si>
    <t>Pengarah (1 org x 12 bln)</t>
  </si>
  <si>
    <t>Ketua (1 org x 12 bln)</t>
  </si>
  <si>
    <t>Wakil Ketua (1 org x 12 bln)</t>
  </si>
  <si>
    <t>Sekretaris (1 org x 12 bln)</t>
  </si>
  <si>
    <t>Anggota (4 org x 12 bln)</t>
  </si>
  <si>
    <t>- Uang Harian Petugas Pemeriksa (7 orang X 10 Prov X  5 keg X 3 hari)</t>
  </si>
  <si>
    <t>- Uang Harian Hakim  (2 orang X 10 Prov X  5 keg X 3 hari)</t>
  </si>
  <si>
    <t>- Uang Harian Petugas Kepolisian  (4 orang X 10 Prov X 5 keg X 3 hari)</t>
  </si>
  <si>
    <t>- Uang Harian Petugas Kejaksaan  (2 orang X 10 Prov X 5 keg X 3 hari)</t>
  </si>
  <si>
    <t>SELISIH</t>
  </si>
  <si>
    <t>SATKER</t>
  </si>
  <si>
    <t>- Kota Pinang - Bts Riau</t>
  </si>
  <si>
    <t>Perbaikan DRK (Jl Raya Pekanbaru-Minas, Jl.Simpang Japura-Pematang Reba, Jl Kota Pangkalan Kerinci-Sorek I, Jl Sikijang-Sp Lago, Jl Soetta-Bukit Kapur))</t>
  </si>
  <si>
    <t>Jalan Nasional di Wilayah Perkotaan Pekanbaru</t>
  </si>
  <si>
    <t>PENINGKATAN KINERJA JALAN NASIONAL DI WILAYAH PERKOTAAN</t>
  </si>
  <si>
    <t>PENINGKATAN KINERJA JALAN NASIONAL PERKOTAAN</t>
  </si>
  <si>
    <t>Jalan Nasional Perkotaan Dalam Kota Jambi</t>
  </si>
  <si>
    <t>Pembangunan ATCS Provinsi Bangka Belitung Thp 1</t>
  </si>
  <si>
    <t>Ruas Jalan Sulau - Bintuhan - Batas Lampung (termasuk desain dan supervisi) Lanjutan</t>
  </si>
  <si>
    <t xml:space="preserve">Pengadaan dan Pemasangan Area Traffic Control System (ATCS) Bandar Lampung Tahap II </t>
  </si>
  <si>
    <t>Pengadaan dan Pemasangan ATCS  DIY Thp IV (termasuk supervisi) selesai</t>
  </si>
  <si>
    <t>Kota Sidoarjo Tahap I</t>
  </si>
  <si>
    <t xml:space="preserve"> Terminal Malang Tahap V selesai</t>
  </si>
  <si>
    <t>Pembangunan Terminal Tipe A Bangkalan Thp IV selesai</t>
  </si>
  <si>
    <t>Rehabilitasi Fasilitas Unit Jembatan Timbang di Pasar Panas Tahap IV selesai</t>
  </si>
  <si>
    <t>Jalan Nasional Perkotaan (KTLA Tabalong)</t>
  </si>
  <si>
    <t>Pembangunan Fasilitas Pendukung KTM (halte kawasan transmigrasi)</t>
  </si>
  <si>
    <t>Jalan Nasional Kota Palu</t>
  </si>
  <si>
    <t>Ruas Jalan Nasional Bulontio - Tolinggula</t>
  </si>
  <si>
    <t xml:space="preserve">Peningkatan Kinerja Lalu Lintas di Jalan Nasional Wilayah Perkotaan </t>
  </si>
  <si>
    <t>Jalan Nasional Perkotaan Ambon</t>
  </si>
  <si>
    <t>PENINGKATAN JALAN NASIONAL PERKOTAAN</t>
  </si>
  <si>
    <t xml:space="preserve"> Jalan Nasional di Kota Wamena (Jl. Trikora, Jl. Hom-Hom, Jl. Pike, Jl. Piramida, Jl. Yusudarso) (Kab.Wamena) ( K )</t>
  </si>
  <si>
    <t>Monitoring dan Pengawasan Angkutan Lebaran, Natal dan Tahun Baru</t>
  </si>
  <si>
    <t>Kontingensi Bencana dan Tanggap Darurat</t>
  </si>
  <si>
    <t>Monitoring dan Sosialisasi DAK</t>
  </si>
  <si>
    <t>Sosialisasi Keselamatan Transportasi Darat (9 Propinsi)</t>
  </si>
  <si>
    <t>- Pengadaan dan Pemasangan VMS</t>
  </si>
  <si>
    <t>Pemeliharaan Fasilitas Perlengkapan Jalan di Jalan Nasional (9 Propinsi)</t>
  </si>
  <si>
    <t>honor PPK</t>
  </si>
  <si>
    <t>Biaya Operasional ULP BLLAJSDP Jambi</t>
  </si>
  <si>
    <t>Penyusunan Data Kinerja di Wilayah Kerja BLLAJSDP</t>
  </si>
  <si>
    <t>- Uang Harian Petugas Pemeriksa (7 orang X 4 Prov X  5 keg X 3 hari)</t>
  </si>
  <si>
    <t>- Uang Harian Hakim  (2 orang X 4 Prov X  5 keg X 3 hari)</t>
  </si>
  <si>
    <t>- Uang Harian Petugas Kepolisian  (4 orang X 4 Prov X 5 keg X 3 hari)</t>
  </si>
  <si>
    <t>- Uang Harian Petugas Kejaksaan  (2 orang X 4 Prov X 5 keg X 3 hari)</t>
  </si>
  <si>
    <t>Petugas Monitoring Kab/kota (1 orang x 59 kab/kota x 12 bulan)</t>
  </si>
  <si>
    <t>Petugas Monitoring Provinsi (2 orang x 5 Provinsi x 12 bulan)</t>
  </si>
  <si>
    <t>Sosialisasi Keselamatan Transportasi Darat (4 Propinsi)</t>
  </si>
  <si>
    <t>Pemeliharaan Fasilitas Perlengkapan Jalan di Jalan Nasional (4 Propinsi)</t>
  </si>
  <si>
    <t>Biaya Operasional ULP BLLAJSDP Palangkaraya</t>
  </si>
  <si>
    <t xml:space="preserve">Honorarium Tim Pelaksana : </t>
  </si>
  <si>
    <t>Pengarah (1 org x 12 bln )</t>
  </si>
  <si>
    <t>Ketua ( 1 org x 12 bln)</t>
  </si>
  <si>
    <t>Anggota (4 org x 12bln)</t>
  </si>
  <si>
    <t>Petugas Monitoring Kab/kota (168 orang  x 12 bulan)</t>
  </si>
  <si>
    <t>Petugas Monitoring Provinsi (20 orang  x 12 bulan)</t>
  </si>
  <si>
    <t>Biaya Rapat</t>
  </si>
  <si>
    <t>belanja sewa</t>
  </si>
  <si>
    <t>sewa kendaraan</t>
  </si>
  <si>
    <t>Petugas Monitoring Kab/kota (1 orang x 168 kab/kota x 12 bulan)</t>
  </si>
  <si>
    <t>Petugas Monitoring Provinsi (1 orang x 10 Provinsi x 12 bulan)</t>
  </si>
  <si>
    <t>Sosialisasi Keselamatan Transportasi Darat (10 Propinsi)</t>
  </si>
  <si>
    <t>Biaya Operasional ULP BLLAJSDP Denpasar</t>
  </si>
  <si>
    <t xml:space="preserve">THN </t>
  </si>
  <si>
    <t>REHABILITASI TERMINAL</t>
  </si>
  <si>
    <t>REKAPITULASI RENCANA KERJA DAN ANGGARAN  T.A 2015 (PAGU INDIKATIF)</t>
  </si>
  <si>
    <t>Pengadaan dan Pemasangan ATCS  Makasar Thp I</t>
  </si>
  <si>
    <t>B</t>
  </si>
  <si>
    <t>PENGADAAN DAN PEMASANGAN PERLENGKAPAN JALAN (PROPINSI)</t>
  </si>
  <si>
    <t>PENGADAAN DAN PEMASANGAN PERLENGKAPAN JALAN (PUSAT)</t>
  </si>
  <si>
    <t>C</t>
  </si>
  <si>
    <t>PENGADAAN DAN PEMASANGAN PERLENGKAPAN JALAN (PROPINSI + PUSAT) (B+C)</t>
  </si>
  <si>
    <t>KANTOR PUSAT (DIT. LLAJ)</t>
  </si>
  <si>
    <t>D</t>
  </si>
  <si>
    <t>TOTAL PENGADAAN ATCS (A + B)</t>
  </si>
  <si>
    <t>FASILITAS INTEGRASI MODA (PUSAT)</t>
  </si>
  <si>
    <t>KALIMANTAN TENGAH</t>
  </si>
  <si>
    <t>PEMBANGUNAN  TERMINAL ANGKUTAN PENUMPANG</t>
  </si>
  <si>
    <t>Rehabilitasi Terminal Penumpang Tipe A Mamboro Lanjutan</t>
  </si>
  <si>
    <t>PENINGKATAN/REHABILITASI TERMINAL PENUMPANG BARU (DAERAH)</t>
  </si>
  <si>
    <t>PENINGKATAN / REHABILITASI JEMBATAN TIMBANG</t>
  </si>
  <si>
    <t>TOTAL SUBSIDI OPERASIONAL PERINTIS</t>
  </si>
  <si>
    <t>TRAYEK</t>
  </si>
  <si>
    <t>Pembangunan Terminal AKAP Liwas Kota Manado Thp IV (Selesai)</t>
  </si>
  <si>
    <t>ATCS DAN FASILITAS INTEGRASI MODA</t>
  </si>
  <si>
    <t>Jalan Nasional  Duwet-Giriwoyo-Glonggong</t>
  </si>
  <si>
    <t>KONTROL</t>
  </si>
  <si>
    <t>F</t>
  </si>
  <si>
    <t>G</t>
  </si>
  <si>
    <t>PROPINSI</t>
  </si>
  <si>
    <t>BERLANJUT</t>
  </si>
  <si>
    <t>SELESAI</t>
  </si>
  <si>
    <t>PENINGKATAN/REHABILITASI TERMINAL</t>
  </si>
  <si>
    <t xml:space="preserve">PENINGKATAN/REHABILITASI TERMINAL PENUMPANG LANJUTAN </t>
  </si>
  <si>
    <t>TOTAL PENINGKATAN TERMINAL (DAERAH + PUSAT) ( B + C )</t>
  </si>
  <si>
    <t xml:space="preserve"> TOTAL PENGADAAN BUS (BRT, SEKOLAH, PEMADU MODA, KEPERINTISAN)</t>
  </si>
  <si>
    <t>PEMBANGUNAN JEMBATAN TIMBANG BARU</t>
  </si>
  <si>
    <t>PEMBANGUNAN JEMBATAN TIMBANG LANJUTAN</t>
  </si>
  <si>
    <t xml:space="preserve"> TOTAL PEMBANGUNAN JEMBATAN TIMBANG </t>
  </si>
  <si>
    <t xml:space="preserve"> TOTAL PENINGKATAN /REHABILITASI JEMBATAN TIMBANG </t>
  </si>
  <si>
    <t xml:space="preserve">PENINGKATAN / REHABILITASI JEMBATAN TIMBANG BARU </t>
  </si>
  <si>
    <t xml:space="preserve">PENINGKATAN / REHABILITASI JEMBATAN TIMBANG LANJUTAN </t>
  </si>
  <si>
    <t xml:space="preserve">ATCS LANJUTAN </t>
  </si>
  <si>
    <t xml:space="preserve">ATCS BARU </t>
  </si>
  <si>
    <t xml:space="preserve">TOTAL PEMBANGUNAN TERMINAL </t>
  </si>
  <si>
    <t>PEMBANGUNAN TERMINAL LANJUTAN</t>
  </si>
  <si>
    <t>Jalan Nasional Kartosura - Batas Kota Klaten ( Kab. Sukoharjo)</t>
  </si>
  <si>
    <t>Ruas Jalan Sidas - Tanjung Segmen I (termasuk supervisi)</t>
  </si>
  <si>
    <t>Ruas Jalan Sidas - Tanjung Segmen III (termasuk supervisi)</t>
  </si>
  <si>
    <t>Ruas Jalan Pontianak - Tayan Segmen I (termasuk supervisi)</t>
  </si>
  <si>
    <t>Ruas Jalan Syarifuddin Yoes Balikpapan (Tahap 2) (termasuk supervisi)</t>
  </si>
  <si>
    <t>Ruas Jalan Samarinda - Bontang (Tahap 3) (termasuk supervisi)</t>
  </si>
  <si>
    <t>Ruas Jalan Bontang - Sangatta (Tahap 2) (termasuk supervisi)</t>
  </si>
  <si>
    <t>Ruas Jalan Kuaro - Penajam (Tahap 2) (termasuk supervisi)</t>
  </si>
  <si>
    <t>Temangkar - Bts. Kab. Lamongan</t>
  </si>
  <si>
    <t>Widang/Bedahan - Bts. Kota Lamongan</t>
  </si>
  <si>
    <t>Bts. Kota Probolinggo - Paiton (Bts. Kab. Situbondo/Binor)</t>
  </si>
  <si>
    <t>Paiton (Bts. Kab. Probolinggo/Binor) - Buduan</t>
  </si>
  <si>
    <t>Buduan - Panarukan</t>
  </si>
  <si>
    <t>Bts. Kota Situbondo - Bajulmati (Bts. Kab. Banyuwangi)</t>
  </si>
  <si>
    <t>Bajulmati (Bts.Kab. Situbondo) - Ketapang</t>
  </si>
  <si>
    <t>Mantingan (Bts. Prov. Jateng) - Bts. Kota Ngawi</t>
  </si>
  <si>
    <t>Jln. Gubernur Suryo (Ngawi)</t>
  </si>
  <si>
    <t>Jln. P.B. Sudirman (Ngawi)</t>
  </si>
  <si>
    <t>Bts. Kota Ngawi - Bts. Kab. Madiun</t>
  </si>
  <si>
    <t>Berandeh Alue, Kab Pidie Jaya</t>
  </si>
  <si>
    <t>- Ruas Jalan Tebing Tinggi - Kikim Besar Km 256</t>
  </si>
  <si>
    <t>Pembangunan Terminal ALBN Kefa Kab TTU (Lanjutan)</t>
  </si>
  <si>
    <t>Pelantaran - Sampit</t>
  </si>
  <si>
    <t>Sp Bangkal - Asam Baru</t>
  </si>
  <si>
    <t xml:space="preserve">Sp Runtu - Lamandau </t>
  </si>
  <si>
    <t xml:space="preserve">Ampah - Muara Teweh </t>
  </si>
  <si>
    <t>Muara Teweh - Puruk Cahu</t>
  </si>
  <si>
    <t>Lamandau - Bts Kalbar</t>
  </si>
  <si>
    <t xml:space="preserve">Sp. Talaken - Tumbang Kalaken </t>
  </si>
  <si>
    <t xml:space="preserve">Asam baru - Pk. Bun </t>
  </si>
  <si>
    <t>Ampah - Bts Kalsel</t>
  </si>
  <si>
    <t>PENINGKATAN TERMINAL</t>
  </si>
  <si>
    <t>Peningkatan  Terminal Type A Kab Mamuju</t>
  </si>
  <si>
    <t>Pemeliharaan Fasilitas Perlengkapan Jalan di Jalan Nasional  (9 Propinsi)</t>
  </si>
  <si>
    <t>Pengadaan Tanah Balai LLAJSDP</t>
  </si>
  <si>
    <t>Pengadaan Tanah Balai LLAJSDP Palangkaraya</t>
  </si>
  <si>
    <t>Pengadaan Tanah Balai LLAJSDP Denpasar</t>
  </si>
  <si>
    <t>Perumusan Pedoman Pola KPS dalam Pembangunan dan Pengelolaan Terminal</t>
  </si>
  <si>
    <t>Penyusunan SOP Pembangunan dan Konektivitas Sistem Informasi LLAJ</t>
  </si>
  <si>
    <t xml:space="preserve">Penyusunan Validasi Data Produksi Terminal Penumpang Tipe A </t>
  </si>
  <si>
    <t xml:space="preserve">Perumusan dan Penetapan Rencana Umum LLAJ (Tahap II) </t>
  </si>
  <si>
    <t xml:space="preserve">Rumusan Rancangan Peraturan Menteri Bidang Perlengkapan Jalan </t>
  </si>
  <si>
    <t>Monitoring Sistem Informasi E-enforcement Penanganan Angkutan Barang  di JT dan PKB di Pulau Jawa</t>
  </si>
  <si>
    <t>Perumusan Petunjuk Teknis Peralatan dan Fasilitas Pendukung Unit Pelaksana Penimbangan Kendaraan Bermotor</t>
  </si>
  <si>
    <t>Kajian Teknis Petunjuk Fasilitas Perlengkapan Jalan (Rambu, Marka dan Paku Jalan)</t>
  </si>
  <si>
    <t>Kajian Teknis Petunjuk Fasilitas Perlengkapan Jalan (APILL, Warning Light dan LPJU)</t>
  </si>
  <si>
    <t>Pedoman Teknis Penyusunan Penyelenggaraan Angkutan Orang di Jalan</t>
  </si>
  <si>
    <t xml:space="preserve">Kajian Teknis Tata Cara Pemberian Subsidi pada Angkutan Jalan </t>
  </si>
  <si>
    <t xml:space="preserve">Semiloka Peningkatan Pelayanan Angkutan Jalan dan Pengembangan Keahlian Manajemen Perusahaan Angkutan Jalan </t>
  </si>
  <si>
    <t xml:space="preserve">Kegiatan Penunjang Posko Pusat Angkutan Lebaran 2015 </t>
  </si>
  <si>
    <t>Sistem Administrasi Tata Persuratan Dit.LLAJ</t>
  </si>
  <si>
    <t>SUBDIT JARINGAN TRANSPORTASI JALAN</t>
  </si>
  <si>
    <t>Pengadaan Tanah Balai LLAJSDP Palu</t>
  </si>
  <si>
    <t>Kajian Teknis Petunjuk Fasilitas Perlengkapan Jalan (Fasilitas Pendukung Kegiatan Lalu Lintas dan Angkutan Jalan yang berada di jalan maupun luar badan jalan dan fasilitas pendukung penyelenggaraan llaj</t>
  </si>
  <si>
    <t>Pengembangan Pengelolaan Faximile Berbasis Online</t>
  </si>
  <si>
    <t>Studi Dampak Mobilitas Perkotaan (Urban Mobility) di Kota Besar</t>
  </si>
  <si>
    <t>Bimbingan Teknis di Bidang Laik Fungsi Jalan</t>
  </si>
  <si>
    <t>Bimbingan Teknis di Bidang Inspeksi Bidang Keselamatan LLAJ</t>
  </si>
  <si>
    <t xml:space="preserve">Bimbingan Teknis di Bidang Manajemen Penanganan Daerah Rawan Kecelakaan  </t>
  </si>
  <si>
    <t>Workshop Bidang Keselamatan ASD</t>
  </si>
  <si>
    <t>Pemberdayaan di Bidang Manajemen Penanganan DRK</t>
  </si>
  <si>
    <t xml:space="preserve">Pemberdayaan di Bidang Inspeksi Keselamatan Jalan </t>
  </si>
  <si>
    <t>Swakelola</t>
  </si>
  <si>
    <t>Kontraktual</t>
  </si>
  <si>
    <t>Kajian Penanganan Bahaya Sisi Jalan (Road Side Hazardous)</t>
  </si>
  <si>
    <t>Peningkatan Kapasitas Inspektur Bidang Keselamatan LLAJ</t>
  </si>
  <si>
    <t>Pengadaan Life jacket Angkutan Sungai dan Danau</t>
  </si>
  <si>
    <t>Pedoman Teknis Penyusunan Penyelenggaraan Angkutan Perintis di Jalan</t>
  </si>
  <si>
    <t xml:space="preserve">Penyusunan Sistem Informasi Kinerja Keselamatan </t>
  </si>
  <si>
    <t>Pengembangan Sistem Informasi Manajemen Keselamatan Transportasi Darat</t>
  </si>
  <si>
    <t>Pembayaran MTQ Nasional Batam Tahun 2014</t>
  </si>
  <si>
    <t>Peningkatan Kinerja Jaringan Transportasi Jalan Pendukung Angkutan Lebaran di Prop. Jawa Barat (Tahap II)</t>
  </si>
  <si>
    <t>Penetapan Tingkat Pelayanan Jalan Nasional di Pulau Jawa</t>
  </si>
  <si>
    <t>Kajian Kontrol Akses Jalan Nasional</t>
  </si>
  <si>
    <t>Kajian Teknis Pembangunan Jembatan Timbang di Wilayah Pulau Jawa</t>
  </si>
  <si>
    <t>Monitoring dan Evaluasi Perusahaan Perlengkapan Jalan</t>
  </si>
  <si>
    <t>Sosialisasi Peraturan Menteri Perhubungan Bidang Perlengkapan Jalan</t>
  </si>
  <si>
    <t>Penyusunan Rancang Bangun Peningkatan  Terminal Jombor Sleman</t>
  </si>
  <si>
    <t>sit</t>
  </si>
  <si>
    <t>Subsidi Operasi Bus Perintis (7 trayek)</t>
  </si>
  <si>
    <t xml:space="preserve"> Penyusunan Masterplan Fasilitas Integrasi Moda Transportasi Darat Di Pulau Kalimantan       </t>
  </si>
  <si>
    <t>Penyusunan Masterplan Fasilitas Integrasi Moda Transportasi Darat Di Pulau Bali Dan Nusa Tenggara</t>
  </si>
  <si>
    <t xml:space="preserve">Penyusunan Indikator Kinerja Utama Dan Indikator Kinerja Kegiatan Di Lingkungan Ditjen Perhubungan Darat             </t>
  </si>
  <si>
    <t xml:space="preserve"> Analisa Peran Dan Potensi Sektor Transportasi Darat Dalam Mendukung Pengembangan Pariwisata Di Pulau Papua    </t>
  </si>
  <si>
    <t xml:space="preserve"> Analisa Peran Dan Potensi Sektor Transportasi Darat Dalam Mendukung Pengembangan Pariwisata Di Pulau Sulawesi        </t>
  </si>
  <si>
    <t xml:space="preserve">Penyusunan Model Aplikasi Dokumen Elektronik Di Lingkungan Ditjen Perhubungan Darat                             </t>
  </si>
  <si>
    <t xml:space="preserve">Penyusunan Pedoman Penyelenggaraan Kalibrasi Alat Pengujian Berkala Kendaraan Bermotor    </t>
  </si>
  <si>
    <t xml:space="preserve">Review Standar Pelayanan Minimum (SPM) Bidang Perhubungan Darat           </t>
  </si>
  <si>
    <t xml:space="preserve">Penyusunan Pedoman Penyelenggaraan Akreditasi Bengkel Umum Untuk Uji Berkala Kendaraan Bermotor    </t>
  </si>
  <si>
    <t xml:space="preserve">Pengembangan Aplikasi SIK Balai Lalu Lintas Angkutan Jalan, Sungai Danau Penyeberangan (BLLAJSDP) Tahap III    </t>
  </si>
  <si>
    <t xml:space="preserve"> Pengembangan Aplikasi SIK Otoritas Pelabuhan Penyeberangan (OPP) Tahap III   </t>
  </si>
  <si>
    <t xml:space="preserve">Restrukturisasi Dan Optimalisasi Kinerja Jaringan Komputer Ditjen Perhubungan Darat    </t>
  </si>
  <si>
    <t xml:space="preserve">Penyusunan Kualifikasi Jabatan Pegawai Pemerintah Dengan Perjanjian Kerja Dilingkungan Ditjen Hubdat   </t>
  </si>
  <si>
    <t xml:space="preserve">Kajian Penerapan Kontrak Berbasis Kinerja Pada Subsidi Angkutan Penyeberangan Di Indonesia        </t>
  </si>
  <si>
    <t xml:space="preserve">Analisis Permintaan Transportasi Darat Di Wilayah Sumatera  </t>
  </si>
  <si>
    <t>Paket Meeting</t>
  </si>
  <si>
    <t>Padang sidempuan - Penyambungan</t>
  </si>
  <si>
    <t>Penyambungan - Bts. Sumbar</t>
  </si>
  <si>
    <t>Peningkatan Jalanan Nasional Perkotaan</t>
  </si>
  <si>
    <t>No</t>
  </si>
  <si>
    <t>SATKER PLLAJ PROPINSI RIAU</t>
  </si>
  <si>
    <t>SATKER PLLAJ PROPINSI KEPRI</t>
  </si>
  <si>
    <t>SATKER PLLAJ PROPINSI JAMBI</t>
  </si>
  <si>
    <t>SATKER PLLAJ PROPINSI SUMSEL</t>
  </si>
  <si>
    <t>SATKER PLLAJ PROPINSI BALI</t>
  </si>
  <si>
    <t>SATKER PLLAJ PROPINSI KALTENG</t>
  </si>
  <si>
    <t>SATKER PLLAJ PROPINSI KALSEL</t>
  </si>
  <si>
    <t>SATKER PLLAJ PROPINSI SULTENG</t>
  </si>
  <si>
    <t>SATKER PLLAJ PROPINSI MALUKU</t>
  </si>
  <si>
    <t>SATKER PLLAJ PROPINSI PAPUA</t>
  </si>
  <si>
    <t>KET</t>
  </si>
  <si>
    <t>Ada</t>
  </si>
  <si>
    <t>Tidak Teridentifikasi</t>
  </si>
  <si>
    <t>Jln. Tuban Bulu  Bulu KM. 28 - 44, Barat tuban, Kec. Bancar  Kab. Tuban</t>
  </si>
  <si>
    <t xml:space="preserve">Intersection, KM 121.5, Timur Surabaya, Kec. Kraksaan, Kab. Probolinggo </t>
  </si>
  <si>
    <t>KM 120-131, Timur Surabaya, Kec. Kraksaan, Kab. Probolinggo</t>
  </si>
  <si>
    <t>Km 131-141, Timur Surabaya, Kec. Paiton, Kab. Probolinggo, Bts. Kota Prob. – Paiton</t>
  </si>
  <si>
    <t>Jalan Pantura, Km 112.5, Desa Beji, Bulu (Bts. Prov. Jateng) – Bts. Kota Tuban</t>
  </si>
  <si>
    <t>Jalan Pantura, KM 27.7 Desa Widang (Pertigaan dekat Kantor Desa Widang)</t>
  </si>
  <si>
    <t>Jalan Pantura KM 30.2 Desa Banjar (Pertigaan ke arah proyek Waduk Rawa Jabung)</t>
  </si>
  <si>
    <t>Jalan Pantura KM 44 Tlogo Sadang - Sidokelar</t>
  </si>
  <si>
    <t>Jalan Pantura KM 56 - 58 Desa Kranji - Paciran</t>
  </si>
  <si>
    <t>Balong Bendo Blacklength, Gemekan – Jampiprogo (Mojokerto)</t>
  </si>
  <si>
    <t>NESAM (KIUPUKAN) - HALILULIK-HALILULIK-BTS KOTA ATAMBUA-JL.SUPRAPTO-JL. SUPOMO-JALAN -  MUH YAMIN-JALAN BASUKI RAHMAN-BTS KOTA ATAMBUA-MOTAIN-JALAN RE MARTADINATA-JALAN YOS SUDARSO-BTS KOTA KEFAMENANU - OLEFAUBJALAN YOS SUDARSO-BTS KOTA KEFAMENANU - OLEFAUB (KAB. BELU)</t>
  </si>
  <si>
    <t>WAITABULA-WAIKELO-JALAN BTS KOTA WAIKABUBAK - WAITABULA-JL. SUDIRMAN (WAIKABUBAK)- BTS KAB SUMBA TIMUR-BTS KAB WAIKABUBAK-JALAN SUDIRMAN-KM 35 - BTS KAB SUMBA TIMUR-JALAN BTS KOTA WAINGAPU-KM 35-JALAN SUPRAPTO (WAINGAPU)-JALAN DI PANJAITAN-JALAN- MT HARYONO-AHMAD YANI-JALAN DIPONEGORO-GAJAH MADA-ADAM MALIK-JALAN MATAWAI AMAHU-JALAN NANSA MESI (WAINGAPU)</t>
  </si>
  <si>
    <t xml:space="preserve"> BTS KOTA KALABAHI - TARAMANA-JL. KARTINI-JL. DEWI SARTIKA-JL. SUDIRMAN-JL. PANGLIMA POLIM-JL. GATOT SUBROTO-JL. SAM RATULANGI-JL. PATTIMURA-TARAMANA - LANTOKA - MARITAING-JUNCTION - LAP. TERBANG MALI   (KAB. ALOR) </t>
  </si>
  <si>
    <t>LABUHAN BAJO - MALWATAR - BTS KOTA RUTENG - MALWATAR   (KAB. MABAR)</t>
  </si>
  <si>
    <t>JALAN KOMODO RUTENG-JALAN KM 210 BTS KOTA RUTENG-JALAN AHMAD YANI RUTENG-JALAN RANAKA BTS KAB MANGGARAI-KM 210-BTS KOTA RUTENG - REO - KEDINDI- JALAN MUTANG RUA-JL. WAE CEES    JL. SATOR WACIK   (KAB. MANGGARAI)</t>
  </si>
  <si>
    <t>BTS KAB. MANGGARAI - SP. BAJAWA-MALANUZA - BTS KOTA BAJAWA LANJUTAN-GATOT SUBROTO- JALAN A YANI-SOEKARNO HATTA-MALANUZA - GAKO-AEGELA GAKO</t>
  </si>
  <si>
    <t>NESAM (KIUPUKAN) - HALILULIK-HALILULIK-BTS KOTA ATAMBUA-JL.SUPRAPTO-JL. SUPOMO-JALAN</t>
  </si>
  <si>
    <t>WAITABULA-WAIKELO-JALAN BTS KOTA WAIKABUBAK - WAITABULA-JL. SUDIRMAN (WAIKABUBAK)</t>
  </si>
  <si>
    <t>BIDANG LALU LINTAS ANGKUTAN JALAN</t>
  </si>
  <si>
    <t>DRAFT RINCIAN RENCANA KEGIATAN DAN ANGGARAN  TAHUN 2015</t>
  </si>
  <si>
    <t>- Kota Kuala Simpang - Seruway</t>
  </si>
  <si>
    <t>- Pematang Raya - Nagari Dolog</t>
  </si>
  <si>
    <t>- Pematang raya - Raya Rosi</t>
  </si>
  <si>
    <t>- Pematang Raya - Buah Balon</t>
  </si>
  <si>
    <t>- Simanindo - Penguguran - Onan Rungu - nainggolan -Tomok - Simanindo</t>
  </si>
  <si>
    <t>Sei Jodoh (Batam) - Telaga Punggur - Tanjung Uban -Trikora - Tanjung Pinang</t>
  </si>
  <si>
    <t>Terminal Alam Barajo - Sungai Bahar - PT. Asiatik</t>
  </si>
  <si>
    <t>Bangko - Pamenang - Jelatan - TTKDA</t>
  </si>
  <si>
    <t>Jambi - Petaling</t>
  </si>
  <si>
    <t>Bangko - Tanah Garau</t>
  </si>
  <si>
    <t>Bangko - Air Jernih</t>
  </si>
  <si>
    <t>Sarolangun - Bukit Tuban</t>
  </si>
  <si>
    <t>Sarolangun - Sepintun</t>
  </si>
  <si>
    <t>Sarolangun - Petiduran Baru</t>
  </si>
  <si>
    <t>Pangkal Pinang - Tanjung Tedung</t>
  </si>
  <si>
    <t>Pangkal Pinang - Batu Betumpang</t>
  </si>
  <si>
    <t>Tanjung Pandan - Tanjung RU</t>
  </si>
  <si>
    <t>Tanjung Pandan - Manggar (via Gantung)</t>
  </si>
  <si>
    <t>Pangkal Pinang - Tepus</t>
  </si>
  <si>
    <t>Pangkal Pinang - Trans Rias</t>
  </si>
  <si>
    <t>Pangkal Pinang - Pulau Besar</t>
  </si>
  <si>
    <t>Pangkal Pinang - Tanjung Nyiur</t>
  </si>
  <si>
    <t>- Bengkulu - Tais - Penago</t>
  </si>
  <si>
    <t>Term.Rajabasa - Tj.Seneng - Jatimulyo - Metro Kibang - Metro</t>
  </si>
  <si>
    <t xml:space="preserve">Rajabasa - Kemiling - THR Bumi Kedaton - Lempasing - Hanura </t>
  </si>
  <si>
    <t>Metro - Wates - Bekri - Kalirejo</t>
  </si>
  <si>
    <t xml:space="preserve">Hanura - Piabung - Padang Cermin </t>
  </si>
  <si>
    <t>Rajabasa - Tj. Seneng - Simpang Jatimulyo - Karang Anyar - Margodadi - Margo mulyo</t>
  </si>
  <si>
    <t>Term.Rajabasa - Beranti - Gedong Tataan</t>
  </si>
  <si>
    <t>Serang-Gn. Kencana-Malingping</t>
  </si>
  <si>
    <t>Serang - Tanjung Lesung - Kelapa Koneng</t>
  </si>
  <si>
    <t>Panimbang - Citeureup - Cikeusik</t>
  </si>
  <si>
    <t>Pelabuhan Ratu - Cibadak</t>
  </si>
  <si>
    <t xml:space="preserve">Kawunganten - Gandrungmangu </t>
  </si>
  <si>
    <t>Sidareja - Cinangsi</t>
  </si>
  <si>
    <t>Mataram - Orongtelu</t>
  </si>
  <si>
    <t xml:space="preserve">Mataram - Teluk Awang </t>
  </si>
  <si>
    <t>Mataram - Moyo Hilir</t>
  </si>
  <si>
    <t xml:space="preserve">Mataram - Sumbawa Besar - Ropang </t>
  </si>
  <si>
    <t>Mataram - Sumbawa - Matta</t>
  </si>
  <si>
    <t xml:space="preserve">Mataram - Sumbawa - Sampar Goal </t>
  </si>
  <si>
    <t>Sumbawa - Teloi</t>
  </si>
  <si>
    <t>Ende - Maurole</t>
  </si>
  <si>
    <t>Ende - Riung</t>
  </si>
  <si>
    <t>Ende - Nggela/Potabaru</t>
  </si>
  <si>
    <t>Terminal Nggorang - Pacar</t>
  </si>
  <si>
    <t>Terminal Nggorang - Terang</t>
  </si>
  <si>
    <t xml:space="preserve">Terminal Nggorang - Werang </t>
  </si>
  <si>
    <t>Kupang - Oesapa - Kampus</t>
  </si>
  <si>
    <t>Kupang - Oemofa</t>
  </si>
  <si>
    <t>Kupang - Lelogama</t>
  </si>
  <si>
    <t>Kupang - Naikleu</t>
  </si>
  <si>
    <t>Seba - Liae</t>
  </si>
  <si>
    <t>Kupang - Kuanfatu</t>
  </si>
  <si>
    <t>Kupang - Kolbano</t>
  </si>
  <si>
    <t>Kupang - Buraen</t>
  </si>
  <si>
    <t xml:space="preserve">Kupang - Baun - Batuna </t>
  </si>
  <si>
    <t xml:space="preserve">Terminal  Kupang -  Pasir Panjang -  Inaboi -  Bundaran PU -  Oebutu- </t>
  </si>
  <si>
    <t>Jalur BTN  Kolhua- Ring Road - Fatokoa -Naloni - Oepura - JL. Frans Seda</t>
  </si>
  <si>
    <t xml:space="preserve">Pasar Oebobo - Pasir Panjang - Terminal Kupang  </t>
  </si>
  <si>
    <t>Waingapu - Waikelo</t>
  </si>
  <si>
    <t>Waingapu - Mauramba</t>
  </si>
  <si>
    <t>Waingapu - Tanaraing</t>
  </si>
  <si>
    <t>Waingapu - Lenang</t>
  </si>
  <si>
    <t>Waingapu - Tanarara - Kenanggar</t>
  </si>
  <si>
    <t>Waingapu - Kodi</t>
  </si>
  <si>
    <t>Waingapu - Lulun dilu</t>
  </si>
  <si>
    <t xml:space="preserve">-. Stasiun Kefamenanu </t>
  </si>
  <si>
    <t>- Stasiun Kefamenanu</t>
  </si>
  <si>
    <t>Kefamenanu - Noelelo</t>
  </si>
  <si>
    <t>Kefamenanu - Winiponu</t>
  </si>
  <si>
    <t>Kefamenanu - Noelmuti - Naob</t>
  </si>
  <si>
    <t>Kefamenanu - Moresu</t>
  </si>
  <si>
    <t>Kefamenanu - Inbate</t>
  </si>
  <si>
    <t>Kefamenanu - Oekolo</t>
  </si>
  <si>
    <t>Kefamenanu - Slipi - Bokis</t>
  </si>
  <si>
    <t>Kefamenanu - Oepoli</t>
  </si>
  <si>
    <t>Jalan Baru - Terminal AKAP W.A Gara</t>
  </si>
  <si>
    <t>Sampit - Asam Baru - Hanau</t>
  </si>
  <si>
    <t>Palangkaraya - Bahaur</t>
  </si>
  <si>
    <t>Buntok - Palu Rejo</t>
  </si>
  <si>
    <t>Palangkaraya - Tumbang Telaken</t>
  </si>
  <si>
    <t>Pangkalan bun - hanau (belum disurvey)</t>
  </si>
  <si>
    <t>Pelabuhan Trisakti  - Cempaka  (via lingkar selatan)</t>
  </si>
  <si>
    <t>Paringin - Halong</t>
  </si>
  <si>
    <t>Tanjung - Muara Uya</t>
  </si>
  <si>
    <t>Tanjung - Banua Lawas</t>
  </si>
  <si>
    <t>Tanjung - Tanta - Murung Pudak</t>
  </si>
  <si>
    <t>Banjarmasin-Gambut-Melintang-Kurau-Tabaneo</t>
  </si>
  <si>
    <t>Samarinda - Bongan</t>
  </si>
  <si>
    <t>Samarinda - Muara Muntai</t>
  </si>
  <si>
    <t xml:space="preserve">Samarinda - Muara Aloh </t>
  </si>
  <si>
    <t>Sanggata - Pengadaan</t>
  </si>
  <si>
    <t>Samarinda - Bantian Besar</t>
  </si>
  <si>
    <t>Tanah grogot - Tanjung Aru</t>
  </si>
  <si>
    <t>Malinau - Mensalong - Sarang</t>
  </si>
  <si>
    <t>Mamuju - Mamasa</t>
  </si>
  <si>
    <t>Mamuju - Tobadak</t>
  </si>
  <si>
    <t>Mamuju - Tommo</t>
  </si>
  <si>
    <t>Mamuju - Kalumpang</t>
  </si>
  <si>
    <t>Mamuju - Aralle - Tabulahan - Mambi</t>
  </si>
  <si>
    <t>Mamuju - Baras</t>
  </si>
  <si>
    <t>Poso - Napu - Doda</t>
  </si>
  <si>
    <t>Buol - Paleleh - Umu</t>
  </si>
  <si>
    <t>Toili - Baturube</t>
  </si>
  <si>
    <t>Lawangke - Matano</t>
  </si>
  <si>
    <t>Poso - Malino</t>
  </si>
  <si>
    <t>Gorontalo - Tolinggula Ulu - Papualangi</t>
  </si>
  <si>
    <t>Gorontalo - Marisa - Malango</t>
  </si>
  <si>
    <t>Gorontalo - Biluhu Tengah - Ilomata</t>
  </si>
  <si>
    <t>Gorontalo - Malibagu</t>
  </si>
  <si>
    <t>Gorontalo - Parungi - Lakeya - Mohiyolo</t>
  </si>
  <si>
    <t>Gorontalo - Monano - Omu</t>
  </si>
  <si>
    <t>Gorontalo - Bubaa</t>
  </si>
  <si>
    <t>Kendari - Lamonae (langsung)</t>
  </si>
  <si>
    <t>Kendari - Tondasi (langsung)</t>
  </si>
  <si>
    <t>Kendari - Pinanggo via tianenggea</t>
  </si>
  <si>
    <t>Bau-Bau - Erreke</t>
  </si>
  <si>
    <t>Bau-Bau - Mawasangka</t>
  </si>
  <si>
    <t>Bau-Bau - Kamaru</t>
  </si>
  <si>
    <t>Manado - Ratatotok - Molobog</t>
  </si>
  <si>
    <t>Manado - Molibagu - Pinolosian</t>
  </si>
  <si>
    <t>Manado - Ratahan - Tobabo - Bentenan</t>
  </si>
  <si>
    <t>Tuminting - Palaes - Maliambaong - Munte - Likupang - Pinenek - Tangkoko</t>
  </si>
  <si>
    <t>Manado - Tondano - Kema - Bitung</t>
  </si>
  <si>
    <t>Manado - Tungoi - Matalibaru</t>
  </si>
  <si>
    <t>Manado - Lolak - Labuan Uki</t>
  </si>
  <si>
    <t>Manado - Pangkusa - Bintauna</t>
  </si>
  <si>
    <t>MANADO-BOJONEGORO-PURWOREJO-LANUD-NUANGAN</t>
  </si>
  <si>
    <t>Sidangoli - Kao - Toliwang</t>
  </si>
  <si>
    <t>Tobelo - Trans - Togoliua</t>
  </si>
  <si>
    <t>Tobelo - Jailolo - Trans Goal</t>
  </si>
  <si>
    <t>Tobelo - Galela - Saluta</t>
  </si>
  <si>
    <t>Tobelo - Loleba</t>
  </si>
  <si>
    <t>Ambon - Werinama</t>
  </si>
  <si>
    <t>Ambon - Masiwang</t>
  </si>
  <si>
    <t>Ambon - Aliune</t>
  </si>
  <si>
    <t>Ambon - Warsiwa (Maiteng)</t>
  </si>
  <si>
    <t>Ambon - Laimu</t>
  </si>
  <si>
    <t>Ambon - Ketapang</t>
  </si>
  <si>
    <t>Namlea - Namrole</t>
  </si>
  <si>
    <t>Namlea - Ilath</t>
  </si>
  <si>
    <t>Namlea - Biloro</t>
  </si>
  <si>
    <t>Ambon - Saka -Pasanea</t>
  </si>
  <si>
    <t>Sorong - Aimas II Sp.IV</t>
  </si>
  <si>
    <t>Sorong - Ketapop</t>
  </si>
  <si>
    <t>Sorong - Seget</t>
  </si>
  <si>
    <t>Terminabuan - Seremuk</t>
  </si>
  <si>
    <t xml:space="preserve">Terminl Kota -  Saluk </t>
  </si>
  <si>
    <t>Terminabuan - Moswaren</t>
  </si>
  <si>
    <t>Terminabuan- Konda</t>
  </si>
  <si>
    <t>Sorong - Klasari</t>
  </si>
  <si>
    <t>Sorong - Modan 1&amp;2</t>
  </si>
  <si>
    <t>TerminalKota - Batu Payung</t>
  </si>
  <si>
    <t>Manokwari - Warmare</t>
  </si>
  <si>
    <t>Manokwari - Prafi SP.IX</t>
  </si>
  <si>
    <t>Manokwari - Prafi SP.IV</t>
  </si>
  <si>
    <t>Manokwari - Masni</t>
  </si>
  <si>
    <t>Manokwari - Momiwaren</t>
  </si>
  <si>
    <t>Manokwari - Arpu</t>
  </si>
  <si>
    <t>Manokwari - Isim</t>
  </si>
  <si>
    <t>Manokwari - Tahota</t>
  </si>
  <si>
    <t>Ransiki - Momi Waren</t>
  </si>
  <si>
    <t>Manokwari</t>
  </si>
  <si>
    <t>Sorong</t>
  </si>
  <si>
    <t>Kota Kediri Tahap I</t>
  </si>
  <si>
    <t>Pembangunan ATCS Palembang Thp 1</t>
  </si>
  <si>
    <t>Monitoring Pelaksanaan Perbaikan DRK di daerah</t>
  </si>
  <si>
    <t>Penyusunan Pedoman Teknis Bidang Audit dan Inspeksi Keselamatan LLAJ</t>
  </si>
  <si>
    <t>Impelemntasi Rute Selamat Sekolah</t>
  </si>
  <si>
    <t>Pembangunan Fasilitas Penyeberangan Pejalan Kaki</t>
  </si>
  <si>
    <t>Sosialisasi Keselamatan Melalui Cinema</t>
  </si>
  <si>
    <t>Survei inventarisasi Taman edukasi Keselamatan Transportasi Darat</t>
  </si>
  <si>
    <t>Pemberdayaan SDM di Bidang Keselamatan Transportasi Darat</t>
  </si>
  <si>
    <t>Uji coba Penerapan Sistem  Manajemen Keselamatan (SMK) di beberapa perusahaan AU</t>
  </si>
  <si>
    <t xml:space="preserve">Monitoring Pembinaan Keselamatan Angkutan Umum </t>
  </si>
  <si>
    <t xml:space="preserve">Penyusunan Kebutuhan Fasilitas Istirahat Awak Kendaraan di Terminal </t>
  </si>
  <si>
    <t>Monitoring Komperehensif Pimpinan Ditjen Hubdat di Pulau Papua</t>
  </si>
  <si>
    <t>Pengawasan Pelaksanaan Penimbangan Kendaraan Bermotor</t>
  </si>
  <si>
    <t>Sewa Video Wall Platform Perhitungan Arus Lalu Lintas Terklasifikasi pada Masa Angkutan Lebaran</t>
  </si>
  <si>
    <t xml:space="preserve">Survey Load Faktor Angkutan Penumpang Umum Akap Di Pulau Sulawesi </t>
  </si>
  <si>
    <t xml:space="preserve">Kajian Teknis Formulasi Perhitungan Tarif Angkutan Jalan </t>
  </si>
  <si>
    <t>Kajian Teknis Standar Pelayanan Minimal Angkutan Orang di Bandara</t>
  </si>
  <si>
    <t>Pengadaan Penunjang Kegiatan Sarana dalam Rangka Mempertahankan Sertifikat ISO</t>
  </si>
  <si>
    <t>Akreditasi Unit Pengujian Kendaraan Bermotor Tahap I</t>
  </si>
  <si>
    <t>Perencanaan Teknis Konsep Desain Kendaraan Bermotor Angkutan Umum Yang Berkeselamatan</t>
  </si>
  <si>
    <t>Evaluasi Kompetensi Penguji Kendaraan Bermotor</t>
  </si>
  <si>
    <t>Harmonisasi dan Standarisasi Regulasi Bidang Otomotif</t>
  </si>
  <si>
    <t>Pembinaan Penerbitan Surat Registrasi Uji Tipe</t>
  </si>
  <si>
    <t>Pembinaan dan Monitoring Pencetak dan Distributor Tanda  Uji serta Kartu Uji</t>
  </si>
  <si>
    <t>B.</t>
  </si>
  <si>
    <t>C.</t>
  </si>
  <si>
    <t>D.</t>
  </si>
  <si>
    <t>E.</t>
  </si>
  <si>
    <t>F.</t>
  </si>
  <si>
    <t>G.</t>
  </si>
  <si>
    <t>I.</t>
  </si>
  <si>
    <t>jasa pengemudi</t>
  </si>
  <si>
    <t>Pengadaan Memory card Handycam</t>
  </si>
  <si>
    <t>Pengadaan Tas Handycam</t>
  </si>
  <si>
    <t>Pengadaan Tripod</t>
  </si>
  <si>
    <t>Pengadaan ultra Light</t>
  </si>
  <si>
    <t>Pengadaan Compact Table Top Centrifuge</t>
  </si>
  <si>
    <t>Pengadaan Digital Rotator</t>
  </si>
  <si>
    <t>Pengadaan Microscope Binoculer</t>
  </si>
  <si>
    <t>Pengadaan Micropipete</t>
  </si>
  <si>
    <t>Pengadaan Waterbath</t>
  </si>
  <si>
    <t>Anggota (22 org x 12 bln)</t>
  </si>
  <si>
    <t>Petugas Monitoring Kab/kota (2 orang x 139 kab/kota x 8 bulan)</t>
  </si>
  <si>
    <t>Petugas Monitoring Provinsi (2 orang x 9 Provinsi x 8 bulan)</t>
  </si>
  <si>
    <t>Anggota (21 org x 12 bln)</t>
  </si>
  <si>
    <t>Uang Harian Petugas Pemeriksa (18 OH X 9 Prov )</t>
  </si>
  <si>
    <t>Uang Harian Petugas Kepolisian  (9 OH X 9 Prov)</t>
  </si>
  <si>
    <t>Kontingensi  dan Tanggap Darurat</t>
  </si>
  <si>
    <t>Pengadaan Bahan Sosialisasi Keselamatan Transportasi</t>
  </si>
  <si>
    <t>Anggota (19 org x 12 bln)</t>
  </si>
  <si>
    <t>Petugas Monitoring Kab/kota (1 orang x 139 kab/kota x 8 bulan)</t>
  </si>
  <si>
    <t>Petugas Monitoring Provinsi (1 orang x 9 Provinsi x 8 bulan)</t>
  </si>
  <si>
    <t>Airpot tax</t>
  </si>
  <si>
    <t>Rumah Dinas eselon 3</t>
  </si>
  <si>
    <t>Rumah Dinas eselon 4</t>
  </si>
  <si>
    <t>Mess Pegawai</t>
  </si>
  <si>
    <t>Operasional kendaraan roda 2</t>
  </si>
  <si>
    <t>Operasional kendaraan roda 4</t>
  </si>
  <si>
    <t>Operasional kendaraan roda 4 Double Gardan</t>
  </si>
  <si>
    <t>Operasional kendaraan roda 6</t>
  </si>
  <si>
    <t>Pajak kendaraan roda 4 Double Gardan</t>
  </si>
  <si>
    <t>Pajak kendaraan roda 6</t>
  </si>
  <si>
    <t>PC/Notebook</t>
  </si>
  <si>
    <t>Printer</t>
  </si>
  <si>
    <t>Genset</t>
  </si>
  <si>
    <t>Taksi</t>
  </si>
  <si>
    <t>Jasa Apresial</t>
  </si>
  <si>
    <t>Honor Tim Tanah</t>
  </si>
  <si>
    <t>Biaya Operasional Pengadaan Tanah</t>
  </si>
  <si>
    <t>Komputer Desktop Suport GIS + Software GIS</t>
  </si>
  <si>
    <t>Meja dan Kursi Staf</t>
  </si>
  <si>
    <t>- Peralatan Survai Kendaraan VMS</t>
  </si>
  <si>
    <t>- Handycame</t>
  </si>
  <si>
    <t>- Speedgun</t>
  </si>
  <si>
    <t>- Echo Sounder</t>
  </si>
  <si>
    <t>H</t>
  </si>
  <si>
    <t>I</t>
  </si>
  <si>
    <t>J</t>
  </si>
  <si>
    <t>K</t>
  </si>
  <si>
    <t>L</t>
  </si>
  <si>
    <t>M</t>
  </si>
  <si>
    <t>N</t>
  </si>
  <si>
    <t>UT</t>
  </si>
  <si>
    <t>O</t>
  </si>
  <si>
    <t>honorarium operasional Satuan kerja</t>
  </si>
  <si>
    <t>ketua</t>
  </si>
  <si>
    <t>sekretaris</t>
  </si>
  <si>
    <t>staf pendukung</t>
  </si>
  <si>
    <t>pakaian satpam</t>
  </si>
  <si>
    <t>pakaian dinas cleaning service</t>
  </si>
  <si>
    <t>pakaian dinas pramubakti</t>
  </si>
  <si>
    <t>pakaian dinas pengemudi</t>
  </si>
  <si>
    <t>Barang Keperluan Sehari-hari perkantoran</t>
  </si>
  <si>
    <t>honor tim teknis/pendukung</t>
  </si>
  <si>
    <t>kendaraan roda 2 (4 kendaraan)</t>
  </si>
  <si>
    <t>kendaraan roda 4 (6  kendaraan)</t>
  </si>
  <si>
    <t>kursi tamu</t>
  </si>
  <si>
    <t>lemari</t>
  </si>
  <si>
    <t>Pemotong Kertas</t>
  </si>
  <si>
    <t>Mesin jilid spiral</t>
  </si>
  <si>
    <t>Mesin Laminating</t>
  </si>
  <si>
    <t>Mesin pemotong Rumput</t>
  </si>
  <si>
    <t>- antena radio komunikasi</t>
  </si>
  <si>
    <t>Perkakas Kerja/Tool Kit</t>
  </si>
  <si>
    <t>- Pengadaan kendaraan roda 2 untuk operasional</t>
  </si>
  <si>
    <t>pengiriman surat dinas</t>
  </si>
  <si>
    <t>Fasilitasi Bintek dan Diklat Teknis</t>
  </si>
  <si>
    <t>belanja Barang non Operasional Lainnya</t>
  </si>
  <si>
    <t>ATK</t>
  </si>
  <si>
    <t>Belanja Kontribusi</t>
  </si>
  <si>
    <t>Belanja Perjalanan Dinas Biasa</t>
  </si>
  <si>
    <t>perjalanan dinas</t>
  </si>
  <si>
    <t>Koordinasi Kelembagaan BLLAJSDP</t>
  </si>
  <si>
    <t>Layanan Perkantoran Bidang Perkotaan</t>
  </si>
  <si>
    <t>Belanja Keperluan Sehari-hari Direktorat</t>
  </si>
  <si>
    <t>Belanja Sewa (mesin fotocopy)</t>
  </si>
  <si>
    <t>Belanja Biaya Pemeliharaan, Peralatan dan Mesin</t>
  </si>
  <si>
    <t>- Biaya perawatan kendaraan</t>
  </si>
  <si>
    <t>- Biaya pemeliharaan sarana kantor</t>
  </si>
  <si>
    <t>Belanja Modal, Peralatan dan Mesin</t>
  </si>
  <si>
    <t>- Pengadaan Komputer Desktop</t>
  </si>
  <si>
    <t>- Pengadaan Laptop</t>
  </si>
  <si>
    <t xml:space="preserve">- Pengadaan Printer Hitam Putih </t>
  </si>
  <si>
    <t>- Pengadaan Printer Warna</t>
  </si>
  <si>
    <t>- Pengadaan Scanner</t>
  </si>
  <si>
    <t>- Pengadaan Kamera</t>
  </si>
  <si>
    <t>- Pengadaan Kendaraan Roda 4</t>
  </si>
  <si>
    <t>- Pengadaan Kendaraan Roda 2</t>
  </si>
  <si>
    <t>- Pengadaan Peralatan Penanganan Kontingensi Bencana Alam</t>
  </si>
  <si>
    <t>- Pengadaan Perangkat Komputer dan Perangkat Lunak Transportasi Perkotaan Termasuk Pelatihan</t>
  </si>
  <si>
    <t>- Pengembangan Sistem Informasi Transportasi Perkotaan (UTIC)</t>
  </si>
  <si>
    <t>Penyusunan Laporan Kinerja Program Transportasi Perkotaan</t>
  </si>
  <si>
    <t>Inventaris Aset Transportasi Perkotaan</t>
  </si>
  <si>
    <t>Koordinasi Kelembagaan Dalam Negeri</t>
  </si>
  <si>
    <t>Koordinasi Kelembagaan Luar Negeri</t>
  </si>
  <si>
    <t>Wahana Tata Nugraha</t>
  </si>
  <si>
    <t>Survey Monitoring Penyelenggaraan Angkutan Lebaran Pada Masa Angkutan Lebaran 2015</t>
  </si>
  <si>
    <t>Bantuan Transport Dalam Kota</t>
  </si>
  <si>
    <t>Monev Pelaksanaan Pembangunan Transportasi Perkotaan</t>
  </si>
  <si>
    <t xml:space="preserve">Kontingensi Penanganan Bencana Alam, Gangguan, Kecelakaan Jalan dan Dukungan Kunjungan Pimpinan </t>
  </si>
  <si>
    <t>Sosialisasi dan Publikasi Transportasi Perkotaan</t>
  </si>
  <si>
    <t>Sosialisasi dan Diseminasi NSPK di Bidang Transportasi Perkotaan</t>
  </si>
  <si>
    <t>Penyusunan Peraturan Perundang-Undangan di bidang Dampak Transportasi Perkotaan</t>
  </si>
  <si>
    <t>Monev Pelaksanaan Persetujuan ANDALALIN di Jalan Nasional</t>
  </si>
  <si>
    <t>Monitoring dan Evaluasi RAN/D GRK</t>
  </si>
  <si>
    <t>Koordinasi Dan Penilaian Andalalin Perkotaan Pada Jalan Nasional</t>
  </si>
  <si>
    <t>Penyusunan Peraturan Perundang-undangan di Bidang Lalu Lintas Transportasi Perkotaan</t>
  </si>
  <si>
    <t>Bimbingan Teknis Bidang Lalu Lintas  Perkotaan</t>
  </si>
  <si>
    <t>Penyusunan Pengaturan Arus Lalu Lintas Perkotaan Pada Jalan Nasional</t>
  </si>
  <si>
    <t>Koordinasi Pelaksana Pemberian Rekomendasi Fasilitas Parkir di Luar Ruang Milik Jalan</t>
  </si>
  <si>
    <t>Koordinasi Pelaksana Pemberian Rekomendasi Fasilitas Parkir di Dalam Ruang Milik Jalan</t>
  </si>
  <si>
    <t>Analisis Kinerja Pelayanan Angkutan Barang, Angkutan Pemadu Moda dan Angkutan Tidak Dalam Trayek di Wilayah Perkotaan</t>
  </si>
  <si>
    <t>Penyusunan  Perundangan-Undangan di Bidang Pemaduan Moda Transportasi Perkotaan</t>
  </si>
  <si>
    <t>Identifikasi, Inventarisasi dan Monitoring Fasilitas Pemaduan Moda Transportasi Perkotaan</t>
  </si>
  <si>
    <t>Survey Pola Pelayanan Angkutan Pemaduan Moda Bandar Udara</t>
  </si>
  <si>
    <t>Penyusunan  Perundangan-Undangan di Bidang Angkutan Transportasi Perkotaan</t>
  </si>
  <si>
    <t>Penyelenggaraan Pertemuan Forum Sistem Transit</t>
  </si>
  <si>
    <t>KEGIATAN STUDI KONTRAKTUAL</t>
  </si>
  <si>
    <t xml:space="preserve">Bantuan Teknis Penyusunan Rencana Induk Transportasi Perkotaan Pada Kawasan  Pangkal Pinang dan sekitarnya </t>
  </si>
  <si>
    <t>LAPORAN</t>
  </si>
  <si>
    <t xml:space="preserve">Bantuan Teknis Penyusunan Rencana Induk Transportasi Perkotaan Pada Kawasan  Kendari dan Sekitarnya </t>
  </si>
  <si>
    <t xml:space="preserve">Bantuan Teknis Penyusunan Rencana Induk Transportasi Perkotaan Pada Kawasan  Kupang dan sekitarnya </t>
  </si>
  <si>
    <t xml:space="preserve">Bantuan Teknis Penyusunan Rencana Induk Transportasi Perkotaan Pada Kawasan  Ternate dan sekitarnya </t>
  </si>
  <si>
    <t xml:space="preserve">Bantuan Teknis Penyusunan Rencana Induk Transportasi Perkotaan Pada Kawasan  Gorontalo dan sekitarnya </t>
  </si>
  <si>
    <t>Pedoman Teknis Penetapan Jaringan Trayek Angkutan Umum Massal di Wilayah Perkotaan Aglomerasi</t>
  </si>
  <si>
    <t>Penyusunan DED Angkutan Umum Massal Berbasis Jalan di Kawasan Perkotaan Jabodetabek</t>
  </si>
  <si>
    <t>Penyusunan DED Angkutan Umum Massal Berbasis Jalan di Kawasan Perkotaan Bandung Raya</t>
  </si>
  <si>
    <t>Kajian Teknis Pola Subsidi Untuk Pengembangan Angkutan Umum Massal Berbasis Jalan di Wilayah Perkotaan</t>
  </si>
  <si>
    <t>Penyusunan Pedoman Tentang Metode Berkendaraan Cerdas (Smart Riding)</t>
  </si>
  <si>
    <t>Penyusunan Sistem Informasi Manajemen ANDALALIN</t>
  </si>
  <si>
    <t>Penyusunan DED Penataan Lalu Lintas Pada Jalan Nasional Koridor Utama Jabodetabek</t>
  </si>
  <si>
    <t>Penyusunan DED Penataan Lalu Lintas Pada Jalan Nasional Koridor Utama Mebidangro</t>
  </si>
  <si>
    <t>Penyusunan DED Penataan Lalu Lintas Pada Jalan Nasional Koridor Utama Mamminasata</t>
  </si>
  <si>
    <t>Penyusunan Data Lalu Lintas Perkotaan di Indonesia</t>
  </si>
  <si>
    <t>DED Fasilitas Pemaduan Moda di Jabodetabek (Jakarta, Bogor, Depok, Tangerang, Bekasi)</t>
  </si>
  <si>
    <t>Penyusunan Petunjuk Teknis Tata Cara Penentuan Kebutuhan dan Wilayah Operasi Angkutan Taksi di Wilayah Perkotaan</t>
  </si>
  <si>
    <t>Penyusunan Petunjuk Teknis Tata Cara Penentuan Kebutuhan dan Wilayah Operasi Angkutan Pada Kawasan Tertentu</t>
  </si>
  <si>
    <t>KEGIATAN KONTRAKTUAL (FISIK)</t>
  </si>
  <si>
    <t>Pengadaan Bus Besar BRT Euro II Engine Model 2 (dua) Pintu (termasuk supervisi)</t>
  </si>
  <si>
    <t xml:space="preserve">Pengadaan Bus Sekolah/Umum/Pelajar/Kampus (termasuk supervisi) </t>
  </si>
  <si>
    <t>Pengadaan Bus Ukuran Sedang AC Engine &gt;= 120 PS (Sarana Pemadu Moda) termasuk supervisi)</t>
  </si>
  <si>
    <t>Pembangunan Fasilitas Pemaduan Moda di Kota Tangerang (termasuk supervisi)</t>
  </si>
  <si>
    <t>Pembangunan Fasilitas Pemaduan Moda di Kota Palembang (termasuk supervisi)</t>
  </si>
  <si>
    <t>( KPPN.171-BEKASI/ Kota Bekasi )</t>
  </si>
  <si>
    <t>- Pengadaan Personal Computer</t>
  </si>
  <si>
    <t>- Insentif Pegawai gol IV (1x500x12)</t>
  </si>
  <si>
    <t>- Insentif Pegawai gol II (15x300x12)</t>
  </si>
  <si>
    <t>Belanja Modal Peralatan Dan Mesin</t>
  </si>
  <si>
    <t xml:space="preserve">-  Perencanaan Jalan Inspeksi Balai PLJSKB Ruas Utara  </t>
  </si>
  <si>
    <t xml:space="preserve">-  Pembangunan Jalan Inspeksi Balai PLJSKB Ruas Utara  </t>
  </si>
  <si>
    <t>- Perencanaan Pagar Pengaman Balai Ruas Utara-Barat</t>
  </si>
  <si>
    <t>- Pembangunan Pagar Pengaman Balai Ruas Utara-Barat</t>
  </si>
  <si>
    <t>- Supervisi Pagar Pengaman Balai Ruas Utara-Barat</t>
  </si>
  <si>
    <t>- pengadaan alat uji truck dan bus Tahap 1</t>
  </si>
  <si>
    <t>Belanja Modal  Lainnya</t>
  </si>
  <si>
    <t>- Penyusunan Masterplan Sarana Prasarana, Organisasi  Dan SDM Balai PLJSKB</t>
  </si>
  <si>
    <t>Anggota (6 org x 12bln)</t>
  </si>
  <si>
    <t>Perjalanan Dinas Dalam Kota</t>
  </si>
  <si>
    <t>Jasa Pengemudi</t>
  </si>
  <si>
    <t>Belanja Keperluan Kantor</t>
  </si>
  <si>
    <t>thn</t>
  </si>
  <si>
    <t>Studi Analisis Kinerja Lalu Lintas Pada Ruas Jalan Nasional di Wilayah Prov Bali</t>
  </si>
  <si>
    <t>Studi Analisis Kinerja Lalu Lintas Pada Ruas Jalan Nasional di Wilayah Prov NTT</t>
  </si>
  <si>
    <t>Studi Analisis Kinerja Lalu Lintas Pada Ruas Jalan Nasional di Wilayah Prov NTB</t>
  </si>
  <si>
    <t>'Pemeliharaan Database Sarana dan Prasarana Di Wilayah BLLAJSDP Denpasar</t>
  </si>
  <si>
    <t>Pajak kendaraan operasional</t>
  </si>
  <si>
    <t>ATK ULP</t>
  </si>
  <si>
    <t>Repiter</t>
  </si>
  <si>
    <t>Koordinasi Kelembagaan</t>
  </si>
  <si>
    <t>Televisi (TV 75 inc)</t>
  </si>
  <si>
    <t>Water Barrier</t>
  </si>
  <si>
    <t xml:space="preserve">Jalan Kawasan Strategis Pulau Lembeh Kota Bitung </t>
  </si>
  <si>
    <t>Studi Analisa Kinerja Lalu Lintas Ruas Jalan Nasional Propinsi Kalteng</t>
  </si>
  <si>
    <t>Studi Analisa Kinerja Lalu Lintas Ruas Jalan Nasional Propinsi Kaltim</t>
  </si>
  <si>
    <t>Studi Analisa Kinerja Lalu Lintas Ruas Jalan Nasional Propinsi Jambi</t>
  </si>
  <si>
    <t>Studi Analisa Kinerja Lalu Lintas Ruas Jalan Nasional Propinsi Sumsel</t>
  </si>
  <si>
    <t>Studi Analisis Kinerja Lalu Lintas Pada Ruas Jalan Nasional di Wilayah Prov Jawa Timur</t>
  </si>
  <si>
    <t>Studi Analisa Kinerja Lalu Lintas Ruas Jalan Nasional Propinsi Sulsel</t>
  </si>
  <si>
    <t>Studi Analisa Kinerja Lalu Lintas Ruas Jalan Nasional Propinsi Sulteng</t>
  </si>
  <si>
    <t>=- Maros - Moncong Loe - Patalasang - Gowa</t>
  </si>
  <si>
    <t>Ruas Jalan Nasional Telaga - Limboto</t>
  </si>
  <si>
    <t>Terminal Tipe A Kota Padang Tahap 1</t>
  </si>
  <si>
    <t>SUMBAR (Pusat, Satker Dit. LLAJ)</t>
  </si>
  <si>
    <t>Terminal Tipe A Passo Ambon (selesai)</t>
  </si>
  <si>
    <t>REKAPITULASI RENCANA KERJA DAN ANGGARAN  T.A 2015 (PAGU DEFINITIF)</t>
  </si>
  <si>
    <t>BIDANG LLAJ (PAGU DEFINITIF)</t>
  </si>
  <si>
    <t>Ruas Jalan Nasional Akses Ke Bandara</t>
  </si>
  <si>
    <t>Ruas Jalan Nasional Limboto - Isimu</t>
  </si>
  <si>
    <t>Ruas Jalan Samarinda - Loa Janan (Tahap 2) (termasuk supervisi)</t>
  </si>
  <si>
    <t>Jalan Manado Bitung</t>
  </si>
  <si>
    <t>BELANJA SEWA KANTOR</t>
  </si>
  <si>
    <t>Sewa Kantor</t>
  </si>
  <si>
    <t>Operasional Kantor</t>
  </si>
  <si>
    <t>Peralatan Kantor</t>
  </si>
  <si>
    <t>-  Honor PPK I</t>
  </si>
  <si>
    <t>-  Honor PPK II</t>
  </si>
  <si>
    <t>- Penandatanganan SPM</t>
  </si>
  <si>
    <t>- Staff Pengelola Anggaran</t>
  </si>
  <si>
    <t>-  Honor Pejabat Pengadaan</t>
  </si>
  <si>
    <t>-  Honor Panitia Pengadaan</t>
  </si>
  <si>
    <t>-  Honor Panitia Serah Terima</t>
  </si>
  <si>
    <t>Pengadaan Kendaraan Operasional Roda 4 Eselon I</t>
  </si>
  <si>
    <t>Analisa Peran dan Potensi Sektor Transportasi Darat dalam Mendukung Pengembangan Ekonomi di Pulau Jawa</t>
  </si>
  <si>
    <t xml:space="preserve">Analisa Peran dan Potensi Sektor Transportasi Darat dalam Mendukung Pengembangan Ekonomi di Wilayah Maluku </t>
  </si>
  <si>
    <t>Pengembangan Aplikasi E-Office Ditjen Perhubungan Darat</t>
  </si>
  <si>
    <t>Kajian Penerapan Cloud Computing dalam Pengelolaan Sistem Informasi Ditjen Perhubungan Darat</t>
  </si>
  <si>
    <t xml:space="preserve">Pembangunan Aplikasi Pengukuran Kinerja (E-Perormance) Sub Sektor Perhubungan Darat </t>
  </si>
  <si>
    <t xml:space="preserve">BTS KOTA MAMUJU - TAMERODDO </t>
  </si>
  <si>
    <t>TAMERODDO - BTS KOTA MAJENE</t>
  </si>
  <si>
    <t>BTS KOTA MAJENE - BTS KOTA POLEWALI</t>
  </si>
  <si>
    <t>BTS POLEWALI - BTS SULSEL</t>
  </si>
  <si>
    <t>KALUKKU-SALUBATU</t>
  </si>
  <si>
    <t>Listrik</t>
  </si>
  <si>
    <t>Bts Kota Pekanbaru-Minas-Kandis</t>
  </si>
  <si>
    <t>Bts Kota Pekanbaru-Lipat Kain</t>
  </si>
  <si>
    <t>Lipat Kain-Teluk Kuantan</t>
  </si>
  <si>
    <t>Bts Kota Pekanbaru-Sp Lago-Pangkalan Kerinci</t>
  </si>
  <si>
    <t>Teluk Kuantan-Lubuk Jambi-Bts Sumbar</t>
  </si>
  <si>
    <t>Kajian Kendaraan yang Berkeselamatan bagi penyandang difabel</t>
  </si>
  <si>
    <t>Kajian Rute yang Berkeselamatan bagi penyandang difabel</t>
  </si>
  <si>
    <t>Perbaikan lokasi Potensi/Resiko Kecelakaan pada perlintasan sebidang di Provinsi Jabar,Jateng dan Jatim</t>
  </si>
  <si>
    <t>Kajian Metode Evaluasi Hasil Sosialisasi Keselamatan (pilot project)</t>
  </si>
  <si>
    <t>Kajian Evaluasi Penilaian Kinerja KMSK</t>
  </si>
  <si>
    <t xml:space="preserve">Kajian Penyusunan Konsep Sistem Sosialisasi Keselamatan Melalui Media Sosial </t>
  </si>
  <si>
    <t>Studi Penyusunan Kampanye Keselamatan Transportasi Darat (ASDP)</t>
  </si>
  <si>
    <t>Jalan Nasional Padang - Tapan - Batas Bengkulu</t>
  </si>
  <si>
    <t>Pematang-Rebah-Rengat-Kuala Cinaku</t>
  </si>
  <si>
    <t>Dukungan Administrasi Forum LLAJ</t>
  </si>
  <si>
    <t>sosialisasi Keselamatan Melalui Media Bergerak</t>
  </si>
  <si>
    <t xml:space="preserve"> Pemeliharaan cubicle (PNBP)</t>
  </si>
  <si>
    <t>- Penyusunan DED Pembangunan Gedung Uji Lampu</t>
  </si>
  <si>
    <t>PEMBANGUNAN TERMINAL BARU</t>
  </si>
  <si>
    <t>Pengadaan Bus Besar BRT Euro II Engine Model 2 (dua) Pintu (termasuk supervisi) (APBNP)</t>
  </si>
  <si>
    <t>PAGU DEFINITIF (APBNP)</t>
  </si>
  <si>
    <t>Loan ADB (Road Safety Awareness Campaign and Training)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</si>
</sst>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(* #,##0_);_(* \(#,##0\);_(* \-??_);_(@_)"/>
    <numFmt numFmtId="168" formatCode="_(* #,##0_);_(* \(#,##0\);_(* &quot;-&quot;??_);_(@_)"/>
    <numFmt numFmtId="169" formatCode="_(* #,##0.000_);_(* \(#,##0.000\);_(* &quot;-&quot;_);_(@_)"/>
    <numFmt numFmtId="170" formatCode="0.000"/>
  </numFmts>
  <fonts count="7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i/>
      <sz val="8"/>
      <name val="Arial"/>
      <family val="2"/>
    </font>
    <font>
      <b/>
      <i/>
      <sz val="12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12"/>
      <color indexed="81"/>
      <name val="Tahoma"/>
      <family val="2"/>
    </font>
    <font>
      <b/>
      <sz val="12"/>
      <name val="Tahoma"/>
      <family val="2"/>
    </font>
    <font>
      <b/>
      <sz val="12"/>
      <color indexed="8"/>
      <name val="Tahoma"/>
      <family val="2"/>
    </font>
    <font>
      <b/>
      <sz val="10"/>
      <name val="Tahoma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b/>
      <sz val="11"/>
      <name val="Tahoma"/>
      <family val="2"/>
    </font>
    <font>
      <sz val="10"/>
      <name val="Tahoma"/>
      <family val="2"/>
    </font>
    <font>
      <b/>
      <sz val="11"/>
      <color indexed="8"/>
      <name val="Tahoma"/>
      <family val="2"/>
    </font>
    <font>
      <sz val="11"/>
      <name val="Tahoma"/>
      <family val="2"/>
    </font>
    <font>
      <sz val="11"/>
      <color indexed="8"/>
      <name val="Tahoma"/>
      <family val="2"/>
    </font>
    <font>
      <b/>
      <sz val="10"/>
      <color indexed="10"/>
      <name val="Tahoma"/>
      <family val="2"/>
    </font>
    <font>
      <b/>
      <i/>
      <sz val="10"/>
      <name val="Tahoma"/>
      <family val="2"/>
    </font>
    <font>
      <b/>
      <i/>
      <sz val="10"/>
      <color indexed="8"/>
      <name val="Tahoma"/>
      <family val="2"/>
    </font>
    <font>
      <sz val="12"/>
      <color indexed="8"/>
      <name val="Tahoma"/>
      <family val="2"/>
    </font>
    <font>
      <sz val="12"/>
      <name val="Tahoma"/>
      <family val="2"/>
    </font>
    <font>
      <b/>
      <u/>
      <sz val="16"/>
      <name val="Arial"/>
      <family val="2"/>
    </font>
    <font>
      <b/>
      <u val="singleAccounting"/>
      <sz val="16"/>
      <name val="Arial"/>
      <family val="2"/>
    </font>
    <font>
      <sz val="14"/>
      <name val="Arial"/>
      <family val="2"/>
    </font>
    <font>
      <sz val="13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7.7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Arial"/>
      <family val="2"/>
    </font>
    <font>
      <sz val="11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2"/>
      <color theme="1"/>
      <name val="Tahoma"/>
      <family val="2"/>
    </font>
    <font>
      <b/>
      <i/>
      <sz val="10"/>
      <color theme="1"/>
      <name val="Tahoma"/>
      <family val="2"/>
    </font>
    <font>
      <i/>
      <sz val="10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4"/>
      <color theme="1"/>
      <name val="Tahoma"/>
      <family val="2"/>
    </font>
    <font>
      <b/>
      <sz val="16"/>
      <color theme="1"/>
      <name val="Tahoma"/>
      <family val="2"/>
    </font>
    <font>
      <i/>
      <sz val="12"/>
      <color theme="1"/>
      <name val="Tahoma"/>
      <family val="2"/>
    </font>
    <font>
      <b/>
      <i/>
      <sz val="12"/>
      <color theme="1"/>
      <name val="Tahoma"/>
      <family val="2"/>
    </font>
    <font>
      <b/>
      <i/>
      <sz val="14"/>
      <color theme="1"/>
      <name val="Tahoma"/>
      <family val="2"/>
    </font>
    <font>
      <b/>
      <sz val="12"/>
      <color rgb="FFFF0000"/>
      <name val="Tahoma"/>
      <family val="2"/>
    </font>
    <font>
      <b/>
      <u val="singleAccounting"/>
      <sz val="12"/>
      <color theme="1"/>
      <name val="Tahoma"/>
      <family val="2"/>
    </font>
    <font>
      <sz val="12"/>
      <color theme="1"/>
      <name val="Arial"/>
      <family val="2"/>
    </font>
    <font>
      <b/>
      <u/>
      <sz val="12"/>
      <color rgb="FFFF0000"/>
      <name val="Tahoma"/>
      <family val="2"/>
    </font>
    <font>
      <b/>
      <u/>
      <sz val="12"/>
      <color theme="1"/>
      <name val="Tahoma"/>
      <family val="2"/>
    </font>
    <font>
      <sz val="14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Tahoma"/>
      <family val="2"/>
    </font>
    <font>
      <sz val="14"/>
      <color rgb="FFFF0000"/>
      <name val="Tahoma"/>
      <family val="2"/>
    </font>
    <font>
      <b/>
      <sz val="24"/>
      <color theme="1"/>
      <name val="Tahoma"/>
      <family val="2"/>
    </font>
    <font>
      <sz val="13"/>
      <color theme="1"/>
      <name val="Tahoma"/>
      <family val="2"/>
    </font>
    <font>
      <b/>
      <sz val="13"/>
      <color theme="1"/>
      <name val="Tahoma"/>
      <family val="2"/>
    </font>
    <font>
      <sz val="14"/>
      <color theme="1"/>
      <name val="Arial"/>
      <family val="2"/>
    </font>
    <font>
      <b/>
      <sz val="12"/>
      <color theme="1"/>
      <name val="Arial"/>
      <family val="2"/>
    </font>
    <font>
      <b/>
      <u val="singleAccounting"/>
      <sz val="12"/>
      <color theme="1"/>
      <name val="Arial"/>
      <family val="2"/>
    </font>
    <font>
      <b/>
      <u val="singleAccounting"/>
      <sz val="12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53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64"/>
      </top>
      <bottom/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8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thin">
        <color indexed="8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/>
      <right style="thin">
        <color indexed="64"/>
      </right>
      <top style="hair">
        <color indexed="8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9">
    <xf numFmtId="0" fontId="0" fillId="0" borderId="0"/>
    <xf numFmtId="165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ill="0" applyBorder="0" applyAlignment="0" applyProtection="0"/>
    <xf numFmtId="0" fontId="5" fillId="0" borderId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ill="0" applyBorder="0" applyAlignment="0" applyProtection="0"/>
    <xf numFmtId="0" fontId="5" fillId="0" borderId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ill="0" applyBorder="0" applyAlignment="0" applyProtection="0"/>
    <xf numFmtId="0" fontId="5" fillId="0" borderId="0" applyFill="0" applyBorder="0" applyAlignment="0" applyProtection="0"/>
    <xf numFmtId="0" fontId="5" fillId="0" borderId="0" applyFill="0" applyBorder="0" applyAlignment="0" applyProtection="0"/>
    <xf numFmtId="0" fontId="5" fillId="0" borderId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ill="0" applyBorder="0" applyAlignment="0" applyProtection="0"/>
    <xf numFmtId="170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7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37" fontId="2" fillId="0" borderId="0">
      <alignment vertical="top" wrapText="1"/>
    </xf>
    <xf numFmtId="0" fontId="5" fillId="0" borderId="0"/>
    <xf numFmtId="0" fontId="36" fillId="0" borderId="0"/>
    <xf numFmtId="0" fontId="36" fillId="0" borderId="0"/>
    <xf numFmtId="0" fontId="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ill="0" applyBorder="0" applyAlignment="0" applyProtection="0"/>
    <xf numFmtId="0" fontId="5" fillId="0" borderId="0"/>
  </cellStyleXfs>
  <cellXfs count="2133">
    <xf numFmtId="0" fontId="0" fillId="0" borderId="0" xfId="0"/>
    <xf numFmtId="0" fontId="0" fillId="0" borderId="0" xfId="0" applyFill="1" applyAlignment="1">
      <alignment vertical="center"/>
    </xf>
    <xf numFmtId="0" fontId="10" fillId="0" borderId="0" xfId="75" applyNumberFormat="1" applyFont="1" applyFill="1" applyBorder="1" applyAlignment="1" applyProtection="1">
      <alignment vertical="center" wrapText="1"/>
    </xf>
    <xf numFmtId="167" fontId="10" fillId="0" borderId="0" xfId="41" applyNumberFormat="1" applyFont="1" applyFill="1" applyBorder="1" applyAlignment="1" applyProtection="1">
      <alignment vertical="center"/>
    </xf>
    <xf numFmtId="167" fontId="11" fillId="0" borderId="0" xfId="41" applyNumberFormat="1" applyFont="1" applyFill="1" applyBorder="1" applyAlignment="1" applyProtection="1">
      <alignment horizontal="right" vertical="center"/>
    </xf>
    <xf numFmtId="0" fontId="40" fillId="0" borderId="0" xfId="0" applyFont="1" applyFill="1" applyAlignment="1">
      <alignment vertical="center"/>
    </xf>
    <xf numFmtId="0" fontId="3" fillId="0" borderId="1" xfId="75" applyNumberFormat="1" applyFont="1" applyFill="1" applyBorder="1" applyAlignment="1" applyProtection="1">
      <alignment horizontal="center" vertical="center"/>
    </xf>
    <xf numFmtId="0" fontId="3" fillId="0" borderId="2" xfId="75" applyNumberFormat="1" applyFont="1" applyFill="1" applyBorder="1" applyAlignment="1" applyProtection="1">
      <alignment horizontal="center" vertical="center" wrapText="1"/>
    </xf>
    <xf numFmtId="167" fontId="3" fillId="0" borderId="3" xfId="41" applyNumberFormat="1" applyFont="1" applyFill="1" applyBorder="1" applyAlignment="1" applyProtection="1">
      <alignment vertical="center"/>
    </xf>
    <xf numFmtId="0" fontId="0" fillId="0" borderId="0" xfId="0" applyFill="1" applyAlignment="1">
      <alignment vertical="center" wrapText="1"/>
    </xf>
    <xf numFmtId="0" fontId="14" fillId="0" borderId="0" xfId="75" applyNumberFormat="1" applyFont="1" applyFill="1" applyBorder="1" applyAlignment="1" applyProtection="1">
      <alignment vertical="center"/>
    </xf>
    <xf numFmtId="0" fontId="3" fillId="0" borderId="1" xfId="75" applyNumberFormat="1" applyFont="1" applyFill="1" applyBorder="1" applyAlignment="1" applyProtection="1">
      <alignment horizontal="right" vertical="center"/>
    </xf>
    <xf numFmtId="0" fontId="3" fillId="0" borderId="4" xfId="75" applyNumberFormat="1" applyFont="1" applyFill="1" applyBorder="1" applyAlignment="1" applyProtection="1">
      <alignment horizontal="left" vertical="center"/>
    </xf>
    <xf numFmtId="0" fontId="39" fillId="0" borderId="0" xfId="0" applyFont="1" applyFill="1" applyAlignment="1">
      <alignment vertical="center"/>
    </xf>
    <xf numFmtId="167" fontId="3" fillId="0" borderId="2" xfId="41" applyNumberFormat="1" applyFont="1" applyFill="1" applyBorder="1" applyAlignment="1" applyProtection="1">
      <alignment vertical="center"/>
    </xf>
    <xf numFmtId="167" fontId="3" fillId="0" borderId="5" xfId="41" applyNumberFormat="1" applyFont="1" applyFill="1" applyBorder="1" applyAlignment="1" applyProtection="1">
      <alignment vertical="center"/>
    </xf>
    <xf numFmtId="167" fontId="2" fillId="0" borderId="6" xfId="41" applyNumberFormat="1" applyFont="1" applyFill="1" applyBorder="1" applyAlignment="1" applyProtection="1">
      <alignment vertical="center"/>
    </xf>
    <xf numFmtId="0" fontId="3" fillId="0" borderId="7" xfId="75" applyNumberFormat="1" applyFont="1" applyFill="1" applyBorder="1" applyAlignment="1" applyProtection="1">
      <alignment horizontal="center" vertical="center"/>
    </xf>
    <xf numFmtId="0" fontId="3" fillId="0" borderId="8" xfId="75" applyNumberFormat="1" applyFont="1" applyFill="1" applyBorder="1" applyAlignment="1" applyProtection="1">
      <alignment vertical="center" wrapText="1"/>
    </xf>
    <xf numFmtId="167" fontId="3" fillId="0" borderId="9" xfId="41" applyNumberFormat="1" applyFont="1" applyFill="1" applyBorder="1" applyAlignment="1" applyProtection="1">
      <alignment vertical="center"/>
    </xf>
    <xf numFmtId="167" fontId="3" fillId="0" borderId="8" xfId="41" applyNumberFormat="1" applyFont="1" applyFill="1" applyBorder="1" applyAlignment="1" applyProtection="1">
      <alignment vertical="center"/>
    </xf>
    <xf numFmtId="0" fontId="12" fillId="0" borderId="6" xfId="75" applyNumberFormat="1" applyFont="1" applyFill="1" applyBorder="1" applyAlignment="1" applyProtection="1">
      <alignment horizontal="center" vertical="center" wrapText="1"/>
    </xf>
    <xf numFmtId="167" fontId="12" fillId="0" borderId="6" xfId="41" applyNumberFormat="1" applyFont="1" applyFill="1" applyBorder="1" applyAlignment="1" applyProtection="1">
      <alignment horizontal="center" vertical="center"/>
    </xf>
    <xf numFmtId="0" fontId="3" fillId="0" borderId="6" xfId="75" applyNumberFormat="1" applyFont="1" applyFill="1" applyBorder="1" applyAlignment="1" applyProtection="1">
      <alignment horizontal="center" vertical="center" wrapText="1"/>
    </xf>
    <xf numFmtId="0" fontId="12" fillId="0" borderId="10" xfId="75" applyNumberFormat="1" applyFont="1" applyFill="1" applyBorder="1" applyAlignment="1" applyProtection="1">
      <alignment horizontal="center" vertical="center"/>
    </xf>
    <xf numFmtId="0" fontId="3" fillId="0" borderId="10" xfId="75" applyNumberFormat="1" applyFont="1" applyFill="1" applyBorder="1" applyAlignment="1" applyProtection="1">
      <alignment horizontal="center" vertical="center"/>
    </xf>
    <xf numFmtId="0" fontId="2" fillId="0" borderId="11" xfId="75" applyNumberFormat="1" applyFont="1" applyFill="1" applyBorder="1" applyAlignment="1" applyProtection="1">
      <alignment vertical="center" wrapText="1"/>
    </xf>
    <xf numFmtId="167" fontId="2" fillId="0" borderId="12" xfId="41" applyNumberFormat="1" applyFont="1" applyFill="1" applyBorder="1" applyAlignment="1" applyProtection="1">
      <alignment vertical="center"/>
    </xf>
    <xf numFmtId="167" fontId="2" fillId="0" borderId="13" xfId="41" applyNumberFormat="1" applyFont="1" applyFill="1" applyBorder="1" applyAlignment="1" applyProtection="1">
      <alignment vertical="center"/>
    </xf>
    <xf numFmtId="167" fontId="2" fillId="0" borderId="11" xfId="41" applyNumberFormat="1" applyFont="1" applyFill="1" applyBorder="1" applyAlignment="1" applyProtection="1">
      <alignment vertical="center"/>
    </xf>
    <xf numFmtId="0" fontId="3" fillId="0" borderId="11" xfId="75" applyNumberFormat="1" applyFont="1" applyFill="1" applyBorder="1" applyAlignment="1" applyProtection="1">
      <alignment vertical="center" wrapText="1"/>
    </xf>
    <xf numFmtId="167" fontId="3" fillId="0" borderId="12" xfId="41" applyNumberFormat="1" applyFont="1" applyFill="1" applyBorder="1" applyAlignment="1" applyProtection="1">
      <alignment vertical="center"/>
    </xf>
    <xf numFmtId="167" fontId="3" fillId="0" borderId="11" xfId="41" applyNumberFormat="1" applyFont="1" applyFill="1" applyBorder="1" applyAlignment="1" applyProtection="1">
      <alignment vertical="center"/>
    </xf>
    <xf numFmtId="167" fontId="3" fillId="0" borderId="13" xfId="41" applyNumberFormat="1" applyFont="1" applyFill="1" applyBorder="1" applyAlignment="1" applyProtection="1">
      <alignment vertical="center"/>
    </xf>
    <xf numFmtId="0" fontId="40" fillId="0" borderId="12" xfId="0" applyFont="1" applyFill="1" applyBorder="1" applyAlignment="1">
      <alignment vertical="center"/>
    </xf>
    <xf numFmtId="0" fontId="2" fillId="0" borderId="11" xfId="75" applyNumberFormat="1" applyFont="1" applyFill="1" applyBorder="1" applyAlignment="1" applyProtection="1">
      <alignment horizontal="right" vertical="center" wrapText="1"/>
    </xf>
    <xf numFmtId="0" fontId="2" fillId="4" borderId="11" xfId="75" applyNumberFormat="1" applyFont="1" applyFill="1" applyBorder="1" applyAlignment="1" applyProtection="1">
      <alignment vertical="center" wrapText="1"/>
    </xf>
    <xf numFmtId="167" fontId="2" fillId="4" borderId="12" xfId="41" applyNumberFormat="1" applyFont="1" applyFill="1" applyBorder="1" applyAlignment="1" applyProtection="1">
      <alignment vertical="center"/>
    </xf>
    <xf numFmtId="167" fontId="2" fillId="4" borderId="11" xfId="41" applyNumberFormat="1" applyFont="1" applyFill="1" applyBorder="1" applyAlignment="1" applyProtection="1">
      <alignment vertical="center"/>
    </xf>
    <xf numFmtId="0" fontId="2" fillId="0" borderId="11" xfId="75" applyNumberFormat="1" applyFont="1" applyFill="1" applyBorder="1" applyAlignment="1" applyProtection="1">
      <alignment horizontal="left" vertical="center" wrapText="1"/>
    </xf>
    <xf numFmtId="0" fontId="3" fillId="0" borderId="11" xfId="75" applyNumberFormat="1" applyFont="1" applyFill="1" applyBorder="1" applyAlignment="1" applyProtection="1">
      <alignment horizontal="left" vertical="center" wrapText="1"/>
    </xf>
    <xf numFmtId="0" fontId="2" fillId="4" borderId="11" xfId="75" applyNumberFormat="1" applyFont="1" applyFill="1" applyBorder="1" applyAlignment="1" applyProtection="1">
      <alignment horizontal="left" vertical="center" wrapText="1"/>
    </xf>
    <xf numFmtId="167" fontId="13" fillId="4" borderId="14" xfId="41" applyNumberFormat="1" applyFont="1" applyFill="1" applyBorder="1" applyAlignment="1" applyProtection="1">
      <alignment vertical="center"/>
    </xf>
    <xf numFmtId="167" fontId="13" fillId="4" borderId="15" xfId="41" applyNumberFormat="1" applyFont="1" applyFill="1" applyBorder="1" applyAlignment="1" applyProtection="1">
      <alignment vertical="center"/>
    </xf>
    <xf numFmtId="164" fontId="2" fillId="0" borderId="11" xfId="2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167" fontId="13" fillId="0" borderId="14" xfId="41" applyNumberFormat="1" applyFont="1" applyFill="1" applyBorder="1" applyAlignment="1" applyProtection="1">
      <alignment vertical="center"/>
    </xf>
    <xf numFmtId="167" fontId="13" fillId="0" borderId="15" xfId="41" applyNumberFormat="1" applyFont="1" applyFill="1" applyBorder="1" applyAlignment="1" applyProtection="1">
      <alignment vertical="center"/>
    </xf>
    <xf numFmtId="0" fontId="3" fillId="0" borderId="16" xfId="75" applyNumberFormat="1" applyFont="1" applyFill="1" applyBorder="1" applyAlignment="1" applyProtection="1">
      <alignment horizontal="center" vertical="center"/>
    </xf>
    <xf numFmtId="0" fontId="2" fillId="0" borderId="17" xfId="75" applyNumberFormat="1" applyFont="1" applyFill="1" applyBorder="1" applyAlignment="1" applyProtection="1">
      <alignment horizontal="left" vertical="center" wrapText="1"/>
    </xf>
    <xf numFmtId="167" fontId="2" fillId="0" borderId="18" xfId="41" applyNumberFormat="1" applyFont="1" applyFill="1" applyBorder="1" applyAlignment="1" applyProtection="1">
      <alignment vertical="center"/>
    </xf>
    <xf numFmtId="167" fontId="2" fillId="0" borderId="17" xfId="41" applyNumberFormat="1" applyFont="1" applyFill="1" applyBorder="1" applyAlignment="1" applyProtection="1">
      <alignment vertical="center"/>
    </xf>
    <xf numFmtId="167" fontId="3" fillId="0" borderId="19" xfId="41" applyNumberFormat="1" applyFont="1" applyFill="1" applyBorder="1" applyAlignment="1" applyProtection="1">
      <alignment vertical="center"/>
    </xf>
    <xf numFmtId="167" fontId="3" fillId="0" borderId="22" xfId="41" applyNumberFormat="1" applyFont="1" applyFill="1" applyBorder="1" applyAlignment="1" applyProtection="1">
      <alignment vertical="center"/>
    </xf>
    <xf numFmtId="167" fontId="2" fillId="0" borderId="14" xfId="41" applyNumberFormat="1" applyFont="1" applyFill="1" applyBorder="1" applyAlignment="1" applyProtection="1">
      <alignment vertical="center"/>
    </xf>
    <xf numFmtId="167" fontId="3" fillId="0" borderId="14" xfId="41" applyNumberFormat="1" applyFont="1" applyFill="1" applyBorder="1" applyAlignment="1" applyProtection="1">
      <alignment vertical="center"/>
    </xf>
    <xf numFmtId="167" fontId="2" fillId="4" borderId="14" xfId="41" applyNumberFormat="1" applyFont="1" applyFill="1" applyBorder="1" applyAlignment="1" applyProtection="1">
      <alignment vertical="center"/>
    </xf>
    <xf numFmtId="167" fontId="2" fillId="4" borderId="23" xfId="41" applyNumberFormat="1" applyFont="1" applyFill="1" applyBorder="1" applyAlignment="1" applyProtection="1">
      <alignment vertical="center"/>
    </xf>
    <xf numFmtId="167" fontId="41" fillId="0" borderId="6" xfId="41" applyNumberFormat="1" applyFont="1" applyFill="1" applyBorder="1" applyAlignment="1" applyProtection="1">
      <alignment vertical="center"/>
    </xf>
    <xf numFmtId="0" fontId="18" fillId="2" borderId="25" xfId="68" applyNumberFormat="1" applyFont="1" applyFill="1" applyBorder="1" applyAlignment="1">
      <alignment horizontal="center" vertical="center"/>
    </xf>
    <xf numFmtId="164" fontId="21" fillId="6" borderId="6" xfId="2" applyFont="1" applyFill="1" applyBorder="1" applyAlignment="1" applyProtection="1">
      <alignment vertical="center"/>
    </xf>
    <xf numFmtId="0" fontId="20" fillId="0" borderId="0" xfId="0" applyFont="1"/>
    <xf numFmtId="164" fontId="20" fillId="0" borderId="0" xfId="2" applyFont="1"/>
    <xf numFmtId="0" fontId="20" fillId="0" borderId="0" xfId="0" applyFont="1" applyAlignment="1">
      <alignment horizontal="center"/>
    </xf>
    <xf numFmtId="0" fontId="20" fillId="0" borderId="0" xfId="0" applyFont="1" applyBorder="1"/>
    <xf numFmtId="0" fontId="20" fillId="0" borderId="27" xfId="0" applyFont="1" applyBorder="1"/>
    <xf numFmtId="0" fontId="18" fillId="0" borderId="0" xfId="68" applyFont="1" applyBorder="1" applyAlignment="1"/>
    <xf numFmtId="0" fontId="18" fillId="0" borderId="0" xfId="68" applyFont="1" applyBorder="1" applyAlignment="1">
      <alignment horizontal="center"/>
    </xf>
    <xf numFmtId="164" fontId="18" fillId="0" borderId="0" xfId="2" applyFont="1" applyBorder="1" applyAlignment="1">
      <alignment horizontal="center"/>
    </xf>
    <xf numFmtId="167" fontId="22" fillId="6" borderId="28" xfId="41" applyNumberFormat="1" applyFont="1" applyFill="1" applyBorder="1" applyAlignment="1">
      <alignment horizontal="center" vertical="center"/>
    </xf>
    <xf numFmtId="0" fontId="20" fillId="0" borderId="25" xfId="0" applyFont="1" applyBorder="1"/>
    <xf numFmtId="164" fontId="20" fillId="0" borderId="25" xfId="2" applyFont="1" applyBorder="1"/>
    <xf numFmtId="0" fontId="20" fillId="0" borderId="6" xfId="0" applyFont="1" applyBorder="1"/>
    <xf numFmtId="0" fontId="20" fillId="0" borderId="6" xfId="0" applyFont="1" applyBorder="1" applyAlignment="1">
      <alignment horizontal="center"/>
    </xf>
    <xf numFmtId="167" fontId="22" fillId="6" borderId="29" xfId="41" applyNumberFormat="1" applyFont="1" applyFill="1" applyBorder="1" applyAlignment="1">
      <alignment horizontal="center" vertical="center"/>
    </xf>
    <xf numFmtId="0" fontId="22" fillId="0" borderId="30" xfId="68" applyFont="1" applyBorder="1" applyAlignment="1">
      <alignment vertical="center"/>
    </xf>
    <xf numFmtId="0" fontId="22" fillId="2" borderId="31" xfId="68" applyNumberFormat="1" applyFont="1" applyFill="1" applyBorder="1" applyAlignment="1">
      <alignment vertical="center"/>
    </xf>
    <xf numFmtId="167" fontId="22" fillId="2" borderId="31" xfId="41" applyNumberFormat="1" applyFont="1" applyFill="1" applyBorder="1" applyAlignment="1">
      <alignment vertical="center"/>
    </xf>
    <xf numFmtId="168" fontId="22" fillId="2" borderId="31" xfId="34" applyNumberFormat="1" applyFont="1" applyFill="1" applyBorder="1" applyAlignment="1">
      <alignment vertical="center"/>
    </xf>
    <xf numFmtId="167" fontId="22" fillId="0" borderId="28" xfId="41" applyNumberFormat="1" applyFont="1" applyBorder="1" applyAlignment="1">
      <alignment vertical="center"/>
    </xf>
    <xf numFmtId="0" fontId="20" fillId="0" borderId="0" xfId="0" applyFont="1" applyAlignment="1">
      <alignment vertical="center"/>
    </xf>
    <xf numFmtId="164" fontId="20" fillId="0" borderId="0" xfId="2" applyFont="1" applyAlignment="1">
      <alignment vertical="center"/>
    </xf>
    <xf numFmtId="0" fontId="20" fillId="0" borderId="0" xfId="0" applyFont="1" applyBorder="1" applyAlignment="1">
      <alignment vertical="center"/>
    </xf>
    <xf numFmtId="0" fontId="18" fillId="6" borderId="10" xfId="68" applyFont="1" applyFill="1" applyBorder="1" applyAlignment="1">
      <alignment horizontal="center" vertical="center"/>
    </xf>
    <xf numFmtId="0" fontId="18" fillId="6" borderId="6" xfId="68" applyNumberFormat="1" applyFont="1" applyFill="1" applyBorder="1" applyAlignment="1">
      <alignment horizontal="left" vertical="center"/>
    </xf>
    <xf numFmtId="164" fontId="19" fillId="6" borderId="6" xfId="0" applyNumberFormat="1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164" fontId="18" fillId="6" borderId="6" xfId="2" applyFont="1" applyFill="1" applyBorder="1" applyAlignment="1">
      <alignment horizontal="center" vertical="center"/>
    </xf>
    <xf numFmtId="0" fontId="19" fillId="6" borderId="0" xfId="0" applyFont="1" applyFill="1"/>
    <xf numFmtId="0" fontId="19" fillId="6" borderId="25" xfId="0" applyFont="1" applyFill="1" applyBorder="1"/>
    <xf numFmtId="164" fontId="19" fillId="6" borderId="25" xfId="2" applyFont="1" applyFill="1" applyBorder="1"/>
    <xf numFmtId="164" fontId="19" fillId="6" borderId="0" xfId="2" applyFont="1" applyFill="1"/>
    <xf numFmtId="0" fontId="19" fillId="6" borderId="27" xfId="0" applyFont="1" applyFill="1" applyBorder="1"/>
    <xf numFmtId="0" fontId="19" fillId="6" borderId="0" xfId="0" applyFont="1" applyFill="1" applyBorder="1"/>
    <xf numFmtId="0" fontId="22" fillId="0" borderId="10" xfId="68" applyFont="1" applyBorder="1" applyAlignment="1">
      <alignment vertical="center"/>
    </xf>
    <xf numFmtId="0" fontId="22" fillId="2" borderId="6" xfId="68" applyNumberFormat="1" applyFont="1" applyFill="1" applyBorder="1" applyAlignment="1">
      <alignment vertical="center"/>
    </xf>
    <xf numFmtId="167" fontId="22" fillId="2" borderId="6" xfId="41" applyNumberFormat="1" applyFont="1" applyFill="1" applyBorder="1" applyAlignment="1">
      <alignment vertical="center"/>
    </xf>
    <xf numFmtId="168" fontId="22" fillId="2" borderId="6" xfId="34" applyNumberFormat="1" applyFont="1" applyFill="1" applyBorder="1" applyAlignment="1">
      <alignment vertical="center"/>
    </xf>
    <xf numFmtId="164" fontId="22" fillId="4" borderId="6" xfId="2" applyFont="1" applyFill="1" applyBorder="1" applyAlignment="1">
      <alignment horizontal="center" vertical="center"/>
    </xf>
    <xf numFmtId="167" fontId="22" fillId="0" borderId="32" xfId="41" applyNumberFormat="1" applyFont="1" applyBorder="1" applyAlignment="1">
      <alignment vertical="center"/>
    </xf>
    <xf numFmtId="164" fontId="21" fillId="6" borderId="10" xfId="2" applyFont="1" applyFill="1" applyBorder="1" applyAlignment="1">
      <alignment horizontal="center" vertical="center"/>
    </xf>
    <xf numFmtId="164" fontId="21" fillId="6" borderId="6" xfId="2" applyFont="1" applyFill="1" applyBorder="1" applyAlignment="1">
      <alignment vertical="center"/>
    </xf>
    <xf numFmtId="164" fontId="21" fillId="6" borderId="6" xfId="2" applyFont="1" applyFill="1" applyBorder="1" applyAlignment="1">
      <alignment horizontal="center" vertical="center"/>
    </xf>
    <xf numFmtId="164" fontId="21" fillId="6" borderId="32" xfId="2" applyFont="1" applyFill="1" applyBorder="1" applyAlignment="1">
      <alignment vertical="center"/>
    </xf>
    <xf numFmtId="0" fontId="23" fillId="6" borderId="33" xfId="0" applyFont="1" applyFill="1" applyBorder="1" applyAlignment="1">
      <alignment vertical="center"/>
    </xf>
    <xf numFmtId="164" fontId="21" fillId="6" borderId="34" xfId="21" applyFont="1" applyFill="1" applyBorder="1" applyAlignment="1">
      <alignment vertical="center"/>
    </xf>
    <xf numFmtId="164" fontId="21" fillId="6" borderId="34" xfId="2" applyFont="1" applyFill="1" applyBorder="1" applyAlignment="1">
      <alignment vertical="center"/>
    </xf>
    <xf numFmtId="164" fontId="23" fillId="6" borderId="0" xfId="2" applyFont="1" applyFill="1" applyAlignment="1">
      <alignment vertical="center"/>
    </xf>
    <xf numFmtId="164" fontId="23" fillId="6" borderId="27" xfId="0" applyNumberFormat="1" applyFont="1" applyFill="1" applyBorder="1" applyAlignment="1">
      <alignment vertical="center"/>
    </xf>
    <xf numFmtId="0" fontId="23" fillId="0" borderId="6" xfId="0" applyFont="1" applyBorder="1"/>
    <xf numFmtId="0" fontId="23" fillId="0" borderId="6" xfId="0" applyFont="1" applyBorder="1" applyAlignment="1">
      <alignment horizontal="center"/>
    </xf>
    <xf numFmtId="164" fontId="23" fillId="6" borderId="0" xfId="0" applyNumberFormat="1" applyFont="1" applyFill="1" applyBorder="1" applyAlignment="1">
      <alignment vertical="center"/>
    </xf>
    <xf numFmtId="0" fontId="23" fillId="6" borderId="0" xfId="0" applyFont="1" applyFill="1" applyBorder="1" applyAlignment="1">
      <alignment vertical="center"/>
    </xf>
    <xf numFmtId="0" fontId="23" fillId="6" borderId="0" xfId="0" applyFont="1" applyFill="1" applyAlignment="1">
      <alignment vertical="center"/>
    </xf>
    <xf numFmtId="164" fontId="22" fillId="0" borderId="10" xfId="2" applyFont="1" applyFill="1" applyBorder="1" applyAlignment="1">
      <alignment horizontal="center" vertical="center"/>
    </xf>
    <xf numFmtId="164" fontId="22" fillId="0" borderId="6" xfId="2" applyFont="1" applyFill="1" applyBorder="1" applyAlignment="1" applyProtection="1">
      <alignment vertical="center"/>
    </xf>
    <xf numFmtId="164" fontId="22" fillId="0" borderId="6" xfId="2" applyFont="1" applyFill="1" applyBorder="1" applyAlignment="1">
      <alignment vertical="center"/>
    </xf>
    <xf numFmtId="164" fontId="22" fillId="0" borderId="6" xfId="2" applyFont="1" applyFill="1" applyBorder="1" applyAlignment="1">
      <alignment horizontal="center" vertical="center"/>
    </xf>
    <xf numFmtId="164" fontId="22" fillId="0" borderId="32" xfId="2" applyFont="1" applyFill="1" applyBorder="1" applyAlignment="1">
      <alignment vertical="center"/>
    </xf>
    <xf numFmtId="0" fontId="20" fillId="0" borderId="35" xfId="0" applyFont="1" applyFill="1" applyBorder="1" applyAlignment="1">
      <alignment vertical="center"/>
    </xf>
    <xf numFmtId="164" fontId="22" fillId="0" borderId="6" xfId="21" applyFont="1" applyFill="1" applyBorder="1" applyAlignment="1">
      <alignment vertical="center"/>
    </xf>
    <xf numFmtId="164" fontId="20" fillId="0" borderId="6" xfId="2" applyFont="1" applyFill="1" applyBorder="1" applyAlignment="1">
      <alignment vertical="center"/>
    </xf>
    <xf numFmtId="164" fontId="20" fillId="0" borderId="36" xfId="0" applyNumberFormat="1" applyFont="1" applyFill="1" applyBorder="1" applyAlignment="1">
      <alignment vertical="center"/>
    </xf>
    <xf numFmtId="164" fontId="20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0" fillId="0" borderId="6" xfId="0" applyFont="1" applyFill="1" applyBorder="1" applyAlignment="1">
      <alignment vertical="center"/>
    </xf>
    <xf numFmtId="164" fontId="18" fillId="6" borderId="10" xfId="2" applyFont="1" applyFill="1" applyBorder="1" applyAlignment="1">
      <alignment horizontal="center" vertical="center"/>
    </xf>
    <xf numFmtId="164" fontId="18" fillId="6" borderId="6" xfId="2" applyFont="1" applyFill="1" applyBorder="1" applyAlignment="1" applyProtection="1">
      <alignment vertical="center"/>
    </xf>
    <xf numFmtId="164" fontId="18" fillId="6" borderId="6" xfId="2" applyFont="1" applyFill="1" applyBorder="1" applyAlignment="1">
      <alignment vertical="center"/>
    </xf>
    <xf numFmtId="0" fontId="19" fillId="0" borderId="35" xfId="0" applyFont="1" applyFill="1" applyBorder="1" applyAlignment="1">
      <alignment vertical="center"/>
    </xf>
    <xf numFmtId="164" fontId="18" fillId="0" borderId="6" xfId="21" applyFont="1" applyFill="1" applyBorder="1" applyAlignment="1">
      <alignment vertical="center"/>
    </xf>
    <xf numFmtId="164" fontId="18" fillId="0" borderId="6" xfId="2" applyFont="1" applyFill="1" applyBorder="1" applyAlignment="1">
      <alignment vertical="center"/>
    </xf>
    <xf numFmtId="164" fontId="19" fillId="0" borderId="6" xfId="2" applyFont="1" applyFill="1" applyBorder="1" applyAlignment="1">
      <alignment vertical="center"/>
    </xf>
    <xf numFmtId="164" fontId="19" fillId="0" borderId="36" xfId="0" applyNumberFormat="1" applyFont="1" applyFill="1" applyBorder="1" applyAlignment="1">
      <alignment vertical="center"/>
    </xf>
    <xf numFmtId="0" fontId="19" fillId="0" borderId="6" xfId="0" applyFont="1" applyBorder="1"/>
    <xf numFmtId="0" fontId="19" fillId="0" borderId="6" xfId="0" applyFont="1" applyBorder="1" applyAlignment="1">
      <alignment horizontal="center"/>
    </xf>
    <xf numFmtId="164" fontId="19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164" fontId="18" fillId="0" borderId="10" xfId="2" applyFont="1" applyFill="1" applyBorder="1" applyAlignment="1">
      <alignment horizontal="center" vertical="center"/>
    </xf>
    <xf numFmtId="164" fontId="18" fillId="0" borderId="6" xfId="2" applyFont="1" applyFill="1" applyBorder="1" applyAlignment="1" applyProtection="1">
      <alignment vertical="center"/>
    </xf>
    <xf numFmtId="164" fontId="18" fillId="0" borderId="32" xfId="2" applyFont="1" applyFill="1" applyBorder="1" applyAlignment="1">
      <alignment vertical="center"/>
    </xf>
    <xf numFmtId="0" fontId="19" fillId="0" borderId="33" xfId="0" applyFont="1" applyFill="1" applyBorder="1" applyAlignment="1">
      <alignment vertical="center"/>
    </xf>
    <xf numFmtId="164" fontId="18" fillId="0" borderId="37" xfId="21" applyFont="1" applyFill="1" applyBorder="1" applyAlignment="1">
      <alignment vertical="center"/>
    </xf>
    <xf numFmtId="164" fontId="18" fillId="0" borderId="37" xfId="2" applyFont="1" applyFill="1" applyBorder="1" applyAlignment="1">
      <alignment vertical="center"/>
    </xf>
    <xf numFmtId="164" fontId="19" fillId="0" borderId="0" xfId="2" applyFont="1" applyFill="1" applyBorder="1" applyAlignment="1">
      <alignment vertical="center"/>
    </xf>
    <xf numFmtId="164" fontId="19" fillId="0" borderId="27" xfId="0" applyNumberFormat="1" applyFont="1" applyFill="1" applyBorder="1" applyAlignment="1">
      <alignment vertical="center"/>
    </xf>
    <xf numFmtId="0" fontId="20" fillId="0" borderId="33" xfId="0" applyFont="1" applyFill="1" applyBorder="1" applyAlignment="1">
      <alignment vertical="center"/>
    </xf>
    <xf numFmtId="164" fontId="22" fillId="0" borderId="37" xfId="21" applyFont="1" applyFill="1" applyBorder="1" applyAlignment="1">
      <alignment vertical="center"/>
    </xf>
    <xf numFmtId="164" fontId="22" fillId="0" borderId="37" xfId="2" applyFont="1" applyFill="1" applyBorder="1" applyAlignment="1">
      <alignment vertical="center"/>
    </xf>
    <xf numFmtId="164" fontId="20" fillId="0" borderId="0" xfId="2" applyFont="1" applyFill="1" applyBorder="1" applyAlignment="1">
      <alignment vertical="center"/>
    </xf>
    <xf numFmtId="164" fontId="20" fillId="0" borderId="27" xfId="0" applyNumberFormat="1" applyFont="1" applyFill="1" applyBorder="1" applyAlignment="1">
      <alignment vertical="center"/>
    </xf>
    <xf numFmtId="164" fontId="18" fillId="0" borderId="10" xfId="2" applyFont="1" applyFill="1" applyBorder="1" applyAlignment="1">
      <alignment vertical="center"/>
    </xf>
    <xf numFmtId="0" fontId="19" fillId="0" borderId="33" xfId="0" applyFont="1" applyBorder="1" applyAlignment="1">
      <alignment vertical="center"/>
    </xf>
    <xf numFmtId="164" fontId="18" fillId="0" borderId="35" xfId="2" applyFont="1" applyFill="1" applyBorder="1" applyAlignment="1">
      <alignment vertical="center"/>
    </xf>
    <xf numFmtId="164" fontId="19" fillId="0" borderId="0" xfId="2" applyFont="1" applyAlignment="1">
      <alignment vertical="center"/>
    </xf>
    <xf numFmtId="164" fontId="19" fillId="0" borderId="6" xfId="0" applyNumberFormat="1" applyFont="1" applyBorder="1" applyAlignment="1">
      <alignment horizontal="center"/>
    </xf>
    <xf numFmtId="0" fontId="19" fillId="0" borderId="0" xfId="0" applyFont="1" applyAlignment="1">
      <alignment vertical="center"/>
    </xf>
    <xf numFmtId="164" fontId="22" fillId="0" borderId="10" xfId="2" applyFont="1" applyFill="1" applyBorder="1" applyAlignment="1">
      <alignment vertical="center"/>
    </xf>
    <xf numFmtId="164" fontId="44" fillId="4" borderId="32" xfId="2" applyFont="1" applyFill="1" applyBorder="1" applyAlignment="1">
      <alignment vertical="center"/>
    </xf>
    <xf numFmtId="0" fontId="20" fillId="0" borderId="33" xfId="0" applyFont="1" applyBorder="1" applyAlignment="1">
      <alignment vertical="center"/>
    </xf>
    <xf numFmtId="164" fontId="22" fillId="2" borderId="35" xfId="21" applyFont="1" applyFill="1" applyBorder="1" applyAlignment="1">
      <alignment vertical="center"/>
    </xf>
    <xf numFmtId="164" fontId="22" fillId="0" borderId="35" xfId="2" applyFont="1" applyFill="1" applyBorder="1" applyAlignment="1">
      <alignment vertical="center"/>
    </xf>
    <xf numFmtId="164" fontId="20" fillId="0" borderId="27" xfId="0" applyNumberFormat="1" applyFont="1" applyBorder="1" applyAlignment="1">
      <alignment vertical="center"/>
    </xf>
    <xf numFmtId="164" fontId="20" fillId="0" borderId="0" xfId="0" applyNumberFormat="1" applyFont="1" applyBorder="1" applyAlignment="1">
      <alignment vertical="center"/>
    </xf>
    <xf numFmtId="164" fontId="24" fillId="6" borderId="6" xfId="2" applyFont="1" applyFill="1" applyBorder="1" applyAlignment="1">
      <alignment vertical="center"/>
    </xf>
    <xf numFmtId="0" fontId="25" fillId="6" borderId="33" xfId="0" applyFont="1" applyFill="1" applyBorder="1" applyAlignment="1">
      <alignment vertical="center"/>
    </xf>
    <xf numFmtId="164" fontId="24" fillId="6" borderId="35" xfId="21" applyFont="1" applyFill="1" applyBorder="1" applyAlignment="1">
      <alignment vertical="center"/>
    </xf>
    <xf numFmtId="164" fontId="24" fillId="6" borderId="35" xfId="2" applyFont="1" applyFill="1" applyBorder="1" applyAlignment="1">
      <alignment vertical="center"/>
    </xf>
    <xf numFmtId="164" fontId="25" fillId="6" borderId="0" xfId="2" applyFont="1" applyFill="1" applyAlignment="1">
      <alignment vertical="center"/>
    </xf>
    <xf numFmtId="164" fontId="25" fillId="6" borderId="27" xfId="0" applyNumberFormat="1" applyFont="1" applyFill="1" applyBorder="1" applyAlignment="1">
      <alignment vertical="center"/>
    </xf>
    <xf numFmtId="0" fontId="25" fillId="0" borderId="6" xfId="0" applyFont="1" applyBorder="1" applyAlignment="1">
      <alignment horizontal="center"/>
    </xf>
    <xf numFmtId="164" fontId="25" fillId="6" borderId="0" xfId="0" applyNumberFormat="1" applyFont="1" applyFill="1" applyBorder="1" applyAlignment="1">
      <alignment vertical="center"/>
    </xf>
    <xf numFmtId="0" fontId="25" fillId="6" borderId="0" xfId="0" applyFont="1" applyFill="1" applyBorder="1" applyAlignment="1">
      <alignment vertical="center"/>
    </xf>
    <xf numFmtId="0" fontId="25" fillId="6" borderId="0" xfId="0" applyFont="1" applyFill="1" applyAlignment="1">
      <alignment vertical="center"/>
    </xf>
    <xf numFmtId="164" fontId="22" fillId="0" borderId="35" xfId="21" applyFont="1" applyFill="1" applyBorder="1" applyAlignment="1">
      <alignment vertical="center"/>
    </xf>
    <xf numFmtId="164" fontId="20" fillId="0" borderId="0" xfId="2" applyFont="1" applyFill="1" applyAlignment="1">
      <alignment vertical="center"/>
    </xf>
    <xf numFmtId="0" fontId="20" fillId="0" borderId="0" xfId="0" applyFont="1" applyFill="1" applyAlignment="1">
      <alignment vertical="center"/>
    </xf>
    <xf numFmtId="164" fontId="22" fillId="0" borderId="39" xfId="2" applyFont="1" applyFill="1" applyBorder="1" applyAlignment="1" applyProtection="1">
      <alignment vertical="center"/>
    </xf>
    <xf numFmtId="0" fontId="22" fillId="0" borderId="0" xfId="68" applyFont="1" applyBorder="1" applyAlignment="1"/>
    <xf numFmtId="0" fontId="22" fillId="2" borderId="0" xfId="68" applyNumberFormat="1" applyFont="1" applyFill="1" applyBorder="1"/>
    <xf numFmtId="167" fontId="22" fillId="2" borderId="0" xfId="41" applyNumberFormat="1" applyFont="1" applyFill="1" applyBorder="1"/>
    <xf numFmtId="168" fontId="22" fillId="2" borderId="0" xfId="34" applyNumberFormat="1" applyFont="1" applyFill="1" applyBorder="1"/>
    <xf numFmtId="164" fontId="22" fillId="2" borderId="0" xfId="2" applyFont="1" applyFill="1" applyBorder="1" applyAlignment="1">
      <alignment horizontal="center" vertical="center"/>
    </xf>
    <xf numFmtId="167" fontId="22" fillId="0" borderId="0" xfId="41" applyNumberFormat="1" applyFont="1" applyBorder="1"/>
    <xf numFmtId="0" fontId="20" fillId="0" borderId="33" xfId="0" applyFont="1" applyBorder="1"/>
    <xf numFmtId="0" fontId="20" fillId="0" borderId="0" xfId="0" applyFont="1" applyBorder="1" applyAlignment="1">
      <alignment horizontal="center"/>
    </xf>
    <xf numFmtId="164" fontId="20" fillId="0" borderId="0" xfId="2" applyFont="1" applyBorder="1"/>
    <xf numFmtId="0" fontId="22" fillId="0" borderId="25" xfId="68" applyFont="1" applyBorder="1" applyAlignment="1"/>
    <xf numFmtId="167" fontId="22" fillId="2" borderId="25" xfId="41" applyNumberFormat="1" applyFont="1" applyFill="1" applyBorder="1"/>
    <xf numFmtId="164" fontId="22" fillId="2" borderId="25" xfId="2" applyFont="1" applyFill="1" applyBorder="1" applyAlignment="1">
      <alignment horizontal="center" vertical="center"/>
    </xf>
    <xf numFmtId="0" fontId="22" fillId="2" borderId="0" xfId="68" applyNumberFormat="1" applyFont="1" applyFill="1"/>
    <xf numFmtId="168" fontId="22" fillId="2" borderId="33" xfId="34" applyNumberFormat="1" applyFont="1" applyFill="1" applyBorder="1"/>
    <xf numFmtId="167" fontId="22" fillId="0" borderId="41" xfId="41" applyNumberFormat="1" applyFont="1" applyBorder="1"/>
    <xf numFmtId="0" fontId="22" fillId="0" borderId="24" xfId="68" applyFont="1" applyBorder="1" applyAlignment="1"/>
    <xf numFmtId="0" fontId="22" fillId="2" borderId="42" xfId="68" applyNumberFormat="1" applyFont="1" applyFill="1" applyBorder="1"/>
    <xf numFmtId="167" fontId="22" fillId="2" borderId="24" xfId="41" applyNumberFormat="1" applyFont="1" applyFill="1" applyBorder="1"/>
    <xf numFmtId="168" fontId="22" fillId="2" borderId="37" xfId="34" applyNumberFormat="1" applyFont="1" applyFill="1" applyBorder="1"/>
    <xf numFmtId="164" fontId="22" fillId="2" borderId="24" xfId="2" applyFont="1" applyFill="1" applyBorder="1" applyAlignment="1">
      <alignment horizontal="center" vertical="center"/>
    </xf>
    <xf numFmtId="167" fontId="22" fillId="0" borderId="43" xfId="41" applyNumberFormat="1" applyFont="1" applyBorder="1"/>
    <xf numFmtId="0" fontId="20" fillId="0" borderId="24" xfId="0" applyFont="1" applyBorder="1"/>
    <xf numFmtId="0" fontId="20" fillId="0" borderId="42" xfId="0" applyFont="1" applyBorder="1"/>
    <xf numFmtId="164" fontId="20" fillId="0" borderId="24" xfId="2" applyFont="1" applyBorder="1"/>
    <xf numFmtId="164" fontId="20" fillId="0" borderId="42" xfId="2" applyFont="1" applyBorder="1"/>
    <xf numFmtId="0" fontId="20" fillId="0" borderId="44" xfId="0" applyFont="1" applyBorder="1"/>
    <xf numFmtId="0" fontId="22" fillId="0" borderId="0" xfId="68" applyFont="1" applyAlignment="1"/>
    <xf numFmtId="167" fontId="22" fillId="2" borderId="27" xfId="41" applyNumberFormat="1" applyFont="1" applyFill="1" applyBorder="1"/>
    <xf numFmtId="167" fontId="22" fillId="6" borderId="40" xfId="41" applyNumberFormat="1" applyFont="1" applyFill="1" applyBorder="1" applyAlignment="1">
      <alignment horizontal="center" vertical="center"/>
    </xf>
    <xf numFmtId="167" fontId="22" fillId="0" borderId="28" xfId="41" applyNumberFormat="1" applyFont="1" applyBorder="1" applyAlignment="1">
      <alignment horizontal="center" vertical="center"/>
    </xf>
    <xf numFmtId="0" fontId="20" fillId="0" borderId="35" xfId="0" applyFont="1" applyBorder="1" applyAlignment="1">
      <alignment horizontal="center"/>
    </xf>
    <xf numFmtId="164" fontId="19" fillId="6" borderId="35" xfId="0" applyNumberFormat="1" applyFont="1" applyFill="1" applyBorder="1"/>
    <xf numFmtId="164" fontId="19" fillId="6" borderId="6" xfId="2" applyFont="1" applyFill="1" applyBorder="1" applyAlignment="1">
      <alignment horizontal="center"/>
    </xf>
    <xf numFmtId="164" fontId="20" fillId="0" borderId="35" xfId="0" applyNumberFormat="1" applyFont="1" applyFill="1" applyBorder="1"/>
    <xf numFmtId="164" fontId="20" fillId="0" borderId="6" xfId="2" applyFont="1" applyFill="1" applyBorder="1" applyAlignment="1">
      <alignment horizontal="center"/>
    </xf>
    <xf numFmtId="0" fontId="20" fillId="0" borderId="6" xfId="0" applyFont="1" applyFill="1" applyBorder="1" applyAlignment="1">
      <alignment horizontal="center"/>
    </xf>
    <xf numFmtId="164" fontId="19" fillId="0" borderId="35" xfId="0" applyNumberFormat="1" applyFont="1" applyFill="1" applyBorder="1"/>
    <xf numFmtId="164" fontId="19" fillId="0" borderId="6" xfId="2" applyFont="1" applyFill="1" applyBorder="1" applyAlignment="1">
      <alignment horizontal="center"/>
    </xf>
    <xf numFmtId="0" fontId="18" fillId="0" borderId="10" xfId="68" applyFont="1" applyFill="1" applyBorder="1" applyAlignment="1">
      <alignment horizontal="center" vertical="center"/>
    </xf>
    <xf numFmtId="0" fontId="20" fillId="0" borderId="0" xfId="0" applyFont="1" applyFill="1"/>
    <xf numFmtId="0" fontId="20" fillId="0" borderId="33" xfId="0" applyFont="1" applyFill="1" applyBorder="1"/>
    <xf numFmtId="164" fontId="20" fillId="0" borderId="33" xfId="2" applyFont="1" applyFill="1" applyBorder="1"/>
    <xf numFmtId="164" fontId="20" fillId="0" borderId="0" xfId="2" applyFont="1" applyFill="1"/>
    <xf numFmtId="0" fontId="20" fillId="0" borderId="27" xfId="0" applyFont="1" applyFill="1" applyBorder="1"/>
    <xf numFmtId="164" fontId="20" fillId="0" borderId="6" xfId="0" applyNumberFormat="1" applyFont="1" applyFill="1" applyBorder="1" applyAlignment="1">
      <alignment horizontal="center"/>
    </xf>
    <xf numFmtId="0" fontId="20" fillId="0" borderId="0" xfId="0" applyFont="1" applyFill="1" applyBorder="1"/>
    <xf numFmtId="164" fontId="22" fillId="6" borderId="6" xfId="2" applyFont="1" applyFill="1" applyBorder="1" applyAlignment="1">
      <alignment horizontal="center" vertical="center"/>
    </xf>
    <xf numFmtId="0" fontId="19" fillId="0" borderId="0" xfId="0" applyFont="1" applyFill="1" applyBorder="1"/>
    <xf numFmtId="164" fontId="19" fillId="0" borderId="0" xfId="2" applyFont="1" applyFill="1" applyBorder="1"/>
    <xf numFmtId="164" fontId="20" fillId="0" borderId="6" xfId="0" applyNumberFormat="1" applyFont="1" applyFill="1" applyBorder="1"/>
    <xf numFmtId="164" fontId="20" fillId="0" borderId="0" xfId="2" applyFont="1" applyFill="1" applyBorder="1"/>
    <xf numFmtId="164" fontId="22" fillId="0" borderId="32" xfId="2" applyFont="1" applyFill="1" applyBorder="1"/>
    <xf numFmtId="164" fontId="22" fillId="2" borderId="35" xfId="21" applyFont="1" applyFill="1" applyBorder="1"/>
    <xf numFmtId="164" fontId="22" fillId="0" borderId="35" xfId="2" applyFont="1" applyFill="1" applyBorder="1"/>
    <xf numFmtId="164" fontId="20" fillId="0" borderId="27" xfId="0" applyNumberFormat="1" applyFont="1" applyBorder="1"/>
    <xf numFmtId="164" fontId="20" fillId="0" borderId="0" xfId="0" applyNumberFormat="1" applyFont="1" applyBorder="1"/>
    <xf numFmtId="0" fontId="44" fillId="0" borderId="33" xfId="0" applyFont="1" applyBorder="1"/>
    <xf numFmtId="164" fontId="44" fillId="2" borderId="35" xfId="21" applyFont="1" applyFill="1" applyBorder="1"/>
    <xf numFmtId="164" fontId="44" fillId="0" borderId="35" xfId="2" applyFont="1" applyFill="1" applyBorder="1"/>
    <xf numFmtId="164" fontId="44" fillId="0" borderId="0" xfId="2" applyFont="1"/>
    <xf numFmtId="164" fontId="44" fillId="0" borderId="27" xfId="0" applyNumberFormat="1" applyFont="1" applyBorder="1"/>
    <xf numFmtId="0" fontId="44" fillId="0" borderId="0" xfId="0" applyFont="1" applyBorder="1"/>
    <xf numFmtId="0" fontId="44" fillId="0" borderId="0" xfId="0" applyFont="1"/>
    <xf numFmtId="164" fontId="44" fillId="2" borderId="0" xfId="21" applyFont="1" applyFill="1" applyBorder="1"/>
    <xf numFmtId="164" fontId="44" fillId="2" borderId="33" xfId="21" applyFont="1" applyFill="1" applyBorder="1"/>
    <xf numFmtId="164" fontId="44" fillId="0" borderId="33" xfId="2" applyFont="1" applyFill="1" applyBorder="1"/>
    <xf numFmtId="164" fontId="18" fillId="0" borderId="6" xfId="2" applyFont="1" applyFill="1" applyBorder="1" applyAlignment="1">
      <alignment horizontal="center"/>
    </xf>
    <xf numFmtId="164" fontId="18" fillId="0" borderId="32" xfId="2" applyFont="1" applyFill="1" applyBorder="1"/>
    <xf numFmtId="164" fontId="20" fillId="0" borderId="25" xfId="2" applyFont="1" applyFill="1" applyBorder="1"/>
    <xf numFmtId="164" fontId="18" fillId="6" borderId="10" xfId="2" applyFont="1" applyFill="1" applyBorder="1" applyAlignment="1">
      <alignment horizontal="center"/>
    </xf>
    <xf numFmtId="164" fontId="18" fillId="6" borderId="6" xfId="2" applyFont="1" applyFill="1" applyBorder="1"/>
    <xf numFmtId="164" fontId="18" fillId="6" borderId="6" xfId="2" applyFont="1" applyFill="1" applyBorder="1" applyAlignment="1">
      <alignment horizontal="center"/>
    </xf>
    <xf numFmtId="164" fontId="18" fillId="6" borderId="32" xfId="2" applyFont="1" applyFill="1" applyBorder="1"/>
    <xf numFmtId="0" fontId="20" fillId="6" borderId="33" xfId="0" applyFont="1" applyFill="1" applyBorder="1"/>
    <xf numFmtId="0" fontId="20" fillId="6" borderId="0" xfId="0" applyFont="1" applyFill="1"/>
    <xf numFmtId="164" fontId="20" fillId="6" borderId="0" xfId="2" applyFont="1" applyFill="1"/>
    <xf numFmtId="164" fontId="18" fillId="0" borderId="10" xfId="2" applyFont="1" applyFill="1" applyBorder="1" applyAlignment="1">
      <alignment horizontal="center"/>
    </xf>
    <xf numFmtId="164" fontId="22" fillId="0" borderId="0" xfId="2" applyFont="1" applyFill="1" applyBorder="1"/>
    <xf numFmtId="164" fontId="26" fillId="0" borderId="0" xfId="21" applyFont="1" applyFill="1" applyBorder="1" applyAlignment="1" applyProtection="1">
      <alignment vertical="center"/>
    </xf>
    <xf numFmtId="164" fontId="22" fillId="0" borderId="0" xfId="21" applyFont="1" applyFill="1" applyBorder="1"/>
    <xf numFmtId="164" fontId="20" fillId="0" borderId="0" xfId="0" applyNumberFormat="1" applyFont="1" applyFill="1" applyBorder="1"/>
    <xf numFmtId="0" fontId="18" fillId="0" borderId="45" xfId="68" applyFont="1" applyBorder="1" applyAlignment="1">
      <alignment horizontal="center" vertical="center"/>
    </xf>
    <xf numFmtId="0" fontId="18" fillId="2" borderId="24" xfId="68" applyNumberFormat="1" applyFont="1" applyFill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167" fontId="22" fillId="0" borderId="46" xfId="41" applyNumberFormat="1" applyFont="1" applyBorder="1" applyAlignment="1">
      <alignment horizontal="center" vertical="center"/>
    </xf>
    <xf numFmtId="164" fontId="20" fillId="0" borderId="33" xfId="2" applyFont="1" applyBorder="1"/>
    <xf numFmtId="0" fontId="19" fillId="6" borderId="33" xfId="0" applyFont="1" applyFill="1" applyBorder="1"/>
    <xf numFmtId="164" fontId="18" fillId="6" borderId="35" xfId="21" applyFont="1" applyFill="1" applyBorder="1"/>
    <xf numFmtId="164" fontId="18" fillId="6" borderId="35" xfId="2" applyFont="1" applyFill="1" applyBorder="1"/>
    <xf numFmtId="164" fontId="19" fillId="6" borderId="25" xfId="0" applyNumberFormat="1" applyFont="1" applyFill="1" applyBorder="1"/>
    <xf numFmtId="0" fontId="19" fillId="6" borderId="6" xfId="0" applyFont="1" applyFill="1" applyBorder="1" applyAlignment="1">
      <alignment horizontal="center"/>
    </xf>
    <xf numFmtId="164" fontId="22" fillId="0" borderId="10" xfId="2" applyFont="1" applyFill="1" applyBorder="1" applyAlignment="1">
      <alignment horizontal="center"/>
    </xf>
    <xf numFmtId="164" fontId="22" fillId="0" borderId="6" xfId="2" applyFont="1" applyFill="1" applyBorder="1"/>
    <xf numFmtId="164" fontId="22" fillId="0" borderId="35" xfId="21" applyFont="1" applyFill="1" applyBorder="1"/>
    <xf numFmtId="164" fontId="20" fillId="0" borderId="25" xfId="0" applyNumberFormat="1" applyFont="1" applyFill="1" applyBorder="1"/>
    <xf numFmtId="0" fontId="19" fillId="0" borderId="33" xfId="0" applyFont="1" applyFill="1" applyBorder="1"/>
    <xf numFmtId="164" fontId="18" fillId="0" borderId="35" xfId="21" applyFont="1" applyFill="1" applyBorder="1"/>
    <xf numFmtId="164" fontId="18" fillId="0" borderId="35" xfId="2" applyFont="1" applyFill="1" applyBorder="1"/>
    <xf numFmtId="164" fontId="19" fillId="0" borderId="0" xfId="2" applyFont="1" applyFill="1"/>
    <xf numFmtId="164" fontId="19" fillId="0" borderId="25" xfId="0" applyNumberFormat="1" applyFont="1" applyFill="1" applyBorder="1"/>
    <xf numFmtId="0" fontId="19" fillId="0" borderId="0" xfId="0" applyFont="1" applyFill="1"/>
    <xf numFmtId="164" fontId="18" fillId="0" borderId="38" xfId="2" applyFont="1" applyFill="1" applyBorder="1" applyAlignment="1">
      <alignment horizontal="center"/>
    </xf>
    <xf numFmtId="164" fontId="18" fillId="0" borderId="39" xfId="2" applyFont="1" applyFill="1" applyBorder="1" applyAlignment="1" applyProtection="1">
      <alignment vertical="center"/>
    </xf>
    <xf numFmtId="164" fontId="22" fillId="0" borderId="39" xfId="2" applyFont="1" applyFill="1" applyBorder="1"/>
    <xf numFmtId="164" fontId="18" fillId="0" borderId="39" xfId="2" applyFont="1" applyFill="1" applyBorder="1" applyAlignment="1">
      <alignment horizontal="center"/>
    </xf>
    <xf numFmtId="164" fontId="22" fillId="0" borderId="40" xfId="2" applyFont="1" applyFill="1" applyBorder="1"/>
    <xf numFmtId="164" fontId="18" fillId="0" borderId="0" xfId="2" applyFont="1" applyFill="1" applyBorder="1" applyAlignment="1">
      <alignment horizontal="center"/>
    </xf>
    <xf numFmtId="164" fontId="18" fillId="0" borderId="0" xfId="2" applyFont="1" applyFill="1" applyBorder="1" applyAlignment="1" applyProtection="1">
      <alignment vertical="center"/>
    </xf>
    <xf numFmtId="164" fontId="22" fillId="0" borderId="47" xfId="21" applyFont="1" applyFill="1" applyBorder="1"/>
    <xf numFmtId="164" fontId="22" fillId="0" borderId="47" xfId="2" applyFont="1" applyFill="1" applyBorder="1"/>
    <xf numFmtId="164" fontId="22" fillId="0" borderId="37" xfId="21" applyFont="1" applyFill="1" applyBorder="1"/>
    <xf numFmtId="164" fontId="22" fillId="0" borderId="37" xfId="2" applyFont="1" applyFill="1" applyBorder="1"/>
    <xf numFmtId="0" fontId="22" fillId="0" borderId="0" xfId="68" applyFont="1" applyBorder="1" applyAlignment="1">
      <alignment horizontal="center"/>
    </xf>
    <xf numFmtId="0" fontId="22" fillId="0" borderId="25" xfId="68" applyFont="1" applyBorder="1" applyAlignment="1">
      <alignment horizontal="center"/>
    </xf>
    <xf numFmtId="0" fontId="22" fillId="0" borderId="24" xfId="68" applyFont="1" applyBorder="1" applyAlignment="1">
      <alignment horizontal="center"/>
    </xf>
    <xf numFmtId="0" fontId="22" fillId="0" borderId="0" xfId="68" applyFont="1" applyAlignment="1">
      <alignment horizontal="center"/>
    </xf>
    <xf numFmtId="0" fontId="44" fillId="0" borderId="0" xfId="0" applyFont="1" applyAlignment="1">
      <alignment vertical="center"/>
    </xf>
    <xf numFmtId="164" fontId="44" fillId="0" borderId="0" xfId="2" applyFont="1" applyAlignment="1">
      <alignment vertical="center"/>
    </xf>
    <xf numFmtId="0" fontId="44" fillId="0" borderId="25" xfId="0" applyFont="1" applyBorder="1" applyAlignment="1">
      <alignment vertical="center"/>
    </xf>
    <xf numFmtId="0" fontId="43" fillId="0" borderId="0" xfId="68" applyFont="1" applyBorder="1" applyAlignment="1">
      <alignment horizontal="center" vertical="center"/>
    </xf>
    <xf numFmtId="164" fontId="43" fillId="0" borderId="0" xfId="2" applyFont="1" applyBorder="1" applyAlignment="1">
      <alignment horizontal="center" vertical="center"/>
    </xf>
    <xf numFmtId="167" fontId="43" fillId="5" borderId="28" xfId="41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25" xfId="0" applyFont="1" applyBorder="1" applyAlignment="1">
      <alignment horizontal="center" vertical="center"/>
    </xf>
    <xf numFmtId="164" fontId="43" fillId="0" borderId="25" xfId="2" applyFont="1" applyBorder="1" applyAlignment="1">
      <alignment horizontal="center" vertical="center"/>
    </xf>
    <xf numFmtId="164" fontId="43" fillId="0" borderId="0" xfId="2" applyFont="1" applyAlignment="1">
      <alignment horizontal="center" vertical="center"/>
    </xf>
    <xf numFmtId="167" fontId="43" fillId="5" borderId="48" xfId="41" applyNumberFormat="1" applyFont="1" applyFill="1" applyBorder="1" applyAlignment="1">
      <alignment horizontal="center" vertical="center"/>
    </xf>
    <xf numFmtId="164" fontId="43" fillId="0" borderId="49" xfId="2" applyFont="1" applyBorder="1" applyAlignment="1">
      <alignment horizontal="center" vertical="center"/>
    </xf>
    <xf numFmtId="164" fontId="43" fillId="2" borderId="33" xfId="2" applyFont="1" applyFill="1" applyBorder="1" applyAlignment="1" applyProtection="1">
      <alignment vertical="center" wrapText="1"/>
    </xf>
    <xf numFmtId="164" fontId="44" fillId="2" borderId="25" xfId="2" applyFont="1" applyFill="1" applyBorder="1" applyAlignment="1">
      <alignment horizontal="center" vertical="center"/>
    </xf>
    <xf numFmtId="164" fontId="44" fillId="2" borderId="33" xfId="2" applyFont="1" applyFill="1" applyBorder="1" applyAlignment="1">
      <alignment horizontal="center" vertical="center"/>
    </xf>
    <xf numFmtId="167" fontId="44" fillId="0" borderId="50" xfId="41" applyNumberFormat="1" applyFont="1" applyBorder="1" applyAlignment="1">
      <alignment vertical="center"/>
    </xf>
    <xf numFmtId="0" fontId="44" fillId="0" borderId="33" xfId="0" applyFont="1" applyBorder="1" applyAlignment="1">
      <alignment vertical="center"/>
    </xf>
    <xf numFmtId="164" fontId="44" fillId="0" borderId="25" xfId="2" applyFont="1" applyBorder="1" applyAlignment="1">
      <alignment vertical="center"/>
    </xf>
    <xf numFmtId="164" fontId="45" fillId="6" borderId="51" xfId="2" applyFont="1" applyFill="1" applyBorder="1" applyAlignment="1">
      <alignment horizontal="center" vertical="center"/>
    </xf>
    <xf numFmtId="164" fontId="45" fillId="6" borderId="52" xfId="2" applyFont="1" applyFill="1" applyBorder="1" applyAlignment="1">
      <alignment vertical="center"/>
    </xf>
    <xf numFmtId="164" fontId="45" fillId="6" borderId="53" xfId="2" applyFont="1" applyFill="1" applyBorder="1" applyAlignment="1">
      <alignment vertical="center"/>
    </xf>
    <xf numFmtId="164" fontId="45" fillId="6" borderId="52" xfId="2" applyFont="1" applyFill="1" applyBorder="1" applyAlignment="1">
      <alignment horizontal="center" vertical="center"/>
    </xf>
    <xf numFmtId="164" fontId="45" fillId="6" borderId="53" xfId="2" applyFont="1" applyFill="1" applyBorder="1" applyAlignment="1">
      <alignment horizontal="center" vertical="center"/>
    </xf>
    <xf numFmtId="164" fontId="45" fillId="6" borderId="5" xfId="2" applyFont="1" applyFill="1" applyBorder="1" applyAlignment="1">
      <alignment vertical="center"/>
    </xf>
    <xf numFmtId="0" fontId="45" fillId="6" borderId="33" xfId="0" applyFont="1" applyFill="1" applyBorder="1" applyAlignment="1">
      <alignment vertical="center"/>
    </xf>
    <xf numFmtId="164" fontId="45" fillId="6" borderId="25" xfId="0" applyNumberFormat="1" applyFont="1" applyFill="1" applyBorder="1" applyAlignment="1">
      <alignment vertical="center"/>
    </xf>
    <xf numFmtId="0" fontId="45" fillId="6" borderId="0" xfId="0" applyFont="1" applyFill="1" applyAlignment="1">
      <alignment vertical="center"/>
    </xf>
    <xf numFmtId="0" fontId="45" fillId="6" borderId="25" xfId="0" applyFont="1" applyFill="1" applyBorder="1" applyAlignment="1">
      <alignment vertical="center"/>
    </xf>
    <xf numFmtId="164" fontId="45" fillId="6" borderId="25" xfId="2" applyFont="1" applyFill="1" applyBorder="1" applyAlignment="1">
      <alignment vertical="center"/>
    </xf>
    <xf numFmtId="164" fontId="45" fillId="6" borderId="0" xfId="2" applyFont="1" applyFill="1" applyAlignment="1">
      <alignment vertical="center"/>
    </xf>
    <xf numFmtId="164" fontId="43" fillId="6" borderId="51" xfId="2" applyFont="1" applyFill="1" applyBorder="1" applyAlignment="1">
      <alignment horizontal="center" vertical="center"/>
    </xf>
    <xf numFmtId="164" fontId="43" fillId="6" borderId="52" xfId="2" applyFont="1" applyFill="1" applyBorder="1" applyAlignment="1">
      <alignment vertical="center"/>
    </xf>
    <xf numFmtId="164" fontId="43" fillId="6" borderId="53" xfId="2" applyFont="1" applyFill="1" applyBorder="1" applyAlignment="1">
      <alignment vertical="center"/>
    </xf>
    <xf numFmtId="164" fontId="43" fillId="6" borderId="52" xfId="2" applyFont="1" applyFill="1" applyBorder="1" applyAlignment="1">
      <alignment horizontal="center" vertical="center"/>
    </xf>
    <xf numFmtId="164" fontId="43" fillId="6" borderId="53" xfId="2" applyFont="1" applyFill="1" applyBorder="1" applyAlignment="1">
      <alignment horizontal="center" vertical="center"/>
    </xf>
    <xf numFmtId="164" fontId="43" fillId="6" borderId="5" xfId="2" applyFont="1" applyFill="1" applyBorder="1" applyAlignment="1">
      <alignment vertical="center"/>
    </xf>
    <xf numFmtId="0" fontId="43" fillId="6" borderId="33" xfId="0" applyFont="1" applyFill="1" applyBorder="1" applyAlignment="1">
      <alignment vertical="center"/>
    </xf>
    <xf numFmtId="164" fontId="43" fillId="6" borderId="25" xfId="0" applyNumberFormat="1" applyFont="1" applyFill="1" applyBorder="1" applyAlignment="1">
      <alignment vertical="center"/>
    </xf>
    <xf numFmtId="0" fontId="43" fillId="6" borderId="0" xfId="0" applyFont="1" applyFill="1" applyAlignment="1">
      <alignment vertical="center"/>
    </xf>
    <xf numFmtId="0" fontId="43" fillId="6" borderId="25" xfId="0" applyFont="1" applyFill="1" applyBorder="1" applyAlignment="1">
      <alignment vertical="center"/>
    </xf>
    <xf numFmtId="164" fontId="43" fillId="6" borderId="25" xfId="2" applyFont="1" applyFill="1" applyBorder="1" applyAlignment="1">
      <alignment vertical="center"/>
    </xf>
    <xf numFmtId="164" fontId="43" fillId="6" borderId="0" xfId="2" applyFont="1" applyFill="1" applyAlignment="1">
      <alignment vertical="center"/>
    </xf>
    <xf numFmtId="164" fontId="19" fillId="0" borderId="6" xfId="0" applyNumberFormat="1" applyFont="1" applyFill="1" applyBorder="1" applyAlignment="1">
      <alignment horizontal="center"/>
    </xf>
    <xf numFmtId="164" fontId="43" fillId="0" borderId="49" xfId="2" applyFont="1" applyFill="1" applyBorder="1" applyAlignment="1">
      <alignment horizontal="center" vertical="center"/>
    </xf>
    <xf numFmtId="164" fontId="43" fillId="0" borderId="33" xfId="2" applyFont="1" applyFill="1" applyBorder="1" applyAlignment="1">
      <alignment vertical="center"/>
    </xf>
    <xf numFmtId="164" fontId="44" fillId="0" borderId="25" xfId="2" applyFont="1" applyFill="1" applyBorder="1" applyAlignment="1">
      <alignment vertical="center"/>
    </xf>
    <xf numFmtId="164" fontId="43" fillId="0" borderId="33" xfId="2" applyFont="1" applyFill="1" applyBorder="1" applyAlignment="1">
      <alignment horizontal="center" vertical="center"/>
    </xf>
    <xf numFmtId="164" fontId="44" fillId="0" borderId="25" xfId="2" applyFont="1" applyFill="1" applyBorder="1" applyAlignment="1">
      <alignment horizontal="center" vertical="center"/>
    </xf>
    <xf numFmtId="164" fontId="44" fillId="0" borderId="54" xfId="2" applyFont="1" applyFill="1" applyBorder="1" applyAlignment="1">
      <alignment vertical="center"/>
    </xf>
    <xf numFmtId="0" fontId="44" fillId="0" borderId="33" xfId="0" applyFont="1" applyFill="1" applyBorder="1" applyAlignment="1">
      <alignment vertical="center"/>
    </xf>
    <xf numFmtId="164" fontId="44" fillId="0" borderId="25" xfId="0" applyNumberFormat="1" applyFont="1" applyFill="1" applyBorder="1" applyAlignment="1">
      <alignment vertical="center"/>
    </xf>
    <xf numFmtId="0" fontId="44" fillId="0" borderId="0" xfId="0" applyFont="1" applyFill="1" applyAlignment="1">
      <alignment vertical="center"/>
    </xf>
    <xf numFmtId="0" fontId="44" fillId="0" borderId="25" xfId="0" applyFont="1" applyFill="1" applyBorder="1" applyAlignment="1">
      <alignment vertical="center"/>
    </xf>
    <xf numFmtId="164" fontId="44" fillId="0" borderId="0" xfId="2" applyFont="1" applyFill="1" applyAlignment="1">
      <alignment vertical="center"/>
    </xf>
    <xf numFmtId="164" fontId="43" fillId="7" borderId="10" xfId="2" applyFont="1" applyFill="1" applyBorder="1" applyAlignment="1">
      <alignment horizontal="center" vertical="center"/>
    </xf>
    <xf numFmtId="164" fontId="43" fillId="7" borderId="6" xfId="2" applyFont="1" applyFill="1" applyBorder="1" applyAlignment="1">
      <alignment vertical="center"/>
    </xf>
    <xf numFmtId="164" fontId="43" fillId="7" borderId="6" xfId="2" applyFont="1" applyFill="1" applyBorder="1" applyAlignment="1">
      <alignment horizontal="center" vertical="center"/>
    </xf>
    <xf numFmtId="164" fontId="43" fillId="7" borderId="32" xfId="2" applyFont="1" applyFill="1" applyBorder="1" applyAlignment="1">
      <alignment vertical="center"/>
    </xf>
    <xf numFmtId="0" fontId="43" fillId="4" borderId="33" xfId="0" applyFont="1" applyFill="1" applyBorder="1" applyAlignment="1">
      <alignment vertical="center"/>
    </xf>
    <xf numFmtId="0" fontId="43" fillId="2" borderId="25" xfId="0" applyFont="1" applyFill="1" applyBorder="1" applyAlignment="1">
      <alignment vertical="center"/>
    </xf>
    <xf numFmtId="0" fontId="43" fillId="2" borderId="0" xfId="0" applyFont="1" applyFill="1" applyAlignment="1">
      <alignment vertical="center"/>
    </xf>
    <xf numFmtId="164" fontId="43" fillId="2" borderId="25" xfId="2" applyFont="1" applyFill="1" applyBorder="1" applyAlignment="1">
      <alignment vertical="center"/>
    </xf>
    <xf numFmtId="164" fontId="43" fillId="2" borderId="0" xfId="2" applyFont="1" applyFill="1" applyAlignment="1">
      <alignment vertical="center"/>
    </xf>
    <xf numFmtId="164" fontId="43" fillId="2" borderId="10" xfId="2" applyFont="1" applyFill="1" applyBorder="1" applyAlignment="1">
      <alignment horizontal="center" vertical="center"/>
    </xf>
    <xf numFmtId="164" fontId="44" fillId="2" borderId="6" xfId="2" applyFont="1" applyFill="1" applyBorder="1" applyAlignment="1">
      <alignment vertical="center"/>
    </xf>
    <xf numFmtId="164" fontId="44" fillId="2" borderId="32" xfId="2" applyFont="1" applyFill="1" applyBorder="1" applyAlignment="1">
      <alignment vertical="center"/>
    </xf>
    <xf numFmtId="0" fontId="44" fillId="4" borderId="33" xfId="0" applyFont="1" applyFill="1" applyBorder="1" applyAlignment="1">
      <alignment vertical="center"/>
    </xf>
    <xf numFmtId="0" fontId="44" fillId="2" borderId="25" xfId="0" applyFont="1" applyFill="1" applyBorder="1" applyAlignment="1">
      <alignment vertical="center"/>
    </xf>
    <xf numFmtId="0" fontId="44" fillId="2" borderId="0" xfId="0" applyFont="1" applyFill="1" applyAlignment="1">
      <alignment vertical="center"/>
    </xf>
    <xf numFmtId="164" fontId="44" fillId="2" borderId="25" xfId="2" applyFont="1" applyFill="1" applyBorder="1" applyAlignment="1">
      <alignment vertical="center"/>
    </xf>
    <xf numFmtId="164" fontId="44" fillId="2" borderId="0" xfId="2" applyFont="1" applyFill="1" applyAlignment="1">
      <alignment vertical="center"/>
    </xf>
    <xf numFmtId="0" fontId="44" fillId="4" borderId="25" xfId="0" applyFont="1" applyFill="1" applyBorder="1" applyAlignment="1">
      <alignment vertical="center"/>
    </xf>
    <xf numFmtId="164" fontId="44" fillId="2" borderId="6" xfId="2" applyFont="1" applyFill="1" applyBorder="1" applyAlignment="1" applyProtection="1">
      <alignment vertical="center" wrapText="1"/>
    </xf>
    <xf numFmtId="164" fontId="44" fillId="2" borderId="25" xfId="0" applyNumberFormat="1" applyFont="1" applyFill="1" applyBorder="1" applyAlignment="1">
      <alignment vertical="center"/>
    </xf>
    <xf numFmtId="164" fontId="44" fillId="4" borderId="25" xfId="0" applyNumberFormat="1" applyFont="1" applyFill="1" applyBorder="1" applyAlignment="1">
      <alignment vertical="center"/>
    </xf>
    <xf numFmtId="164" fontId="43" fillId="2" borderId="33" xfId="0" applyNumberFormat="1" applyFont="1" applyFill="1" applyBorder="1" applyAlignment="1">
      <alignment vertical="center"/>
    </xf>
    <xf numFmtId="164" fontId="43" fillId="7" borderId="6" xfId="2" applyFont="1" applyFill="1" applyBorder="1" applyAlignment="1" applyProtection="1">
      <alignment vertical="center" wrapText="1"/>
    </xf>
    <xf numFmtId="164" fontId="43" fillId="7" borderId="32" xfId="2" applyFont="1" applyFill="1" applyBorder="1" applyAlignment="1" applyProtection="1">
      <alignment vertical="center" wrapText="1"/>
    </xf>
    <xf numFmtId="164" fontId="44" fillId="2" borderId="6" xfId="0" applyNumberFormat="1" applyFont="1" applyFill="1" applyBorder="1" applyAlignment="1">
      <alignment vertical="center" wrapText="1"/>
    </xf>
    <xf numFmtId="164" fontId="44" fillId="2" borderId="6" xfId="0" applyNumberFormat="1" applyFont="1" applyFill="1" applyBorder="1" applyAlignment="1">
      <alignment vertical="center"/>
    </xf>
    <xf numFmtId="164" fontId="44" fillId="7" borderId="6" xfId="2" applyFont="1" applyFill="1" applyBorder="1" applyAlignment="1">
      <alignment vertical="center"/>
    </xf>
    <xf numFmtId="164" fontId="44" fillId="7" borderId="32" xfId="2" applyFont="1" applyFill="1" applyBorder="1" applyAlignment="1">
      <alignment vertical="center"/>
    </xf>
    <xf numFmtId="0" fontId="43" fillId="4" borderId="25" xfId="0" applyFont="1" applyFill="1" applyBorder="1" applyAlignment="1">
      <alignment vertical="center"/>
    </xf>
    <xf numFmtId="164" fontId="44" fillId="6" borderId="53" xfId="2" applyFont="1" applyFill="1" applyBorder="1" applyAlignment="1">
      <alignment vertical="center"/>
    </xf>
    <xf numFmtId="164" fontId="44" fillId="6" borderId="53" xfId="2" applyFont="1" applyFill="1" applyBorder="1" applyAlignment="1">
      <alignment horizontal="center" vertical="center"/>
    </xf>
    <xf numFmtId="164" fontId="44" fillId="6" borderId="5" xfId="2" applyFont="1" applyFill="1" applyBorder="1" applyAlignment="1">
      <alignment vertical="center"/>
    </xf>
    <xf numFmtId="0" fontId="44" fillId="6" borderId="33" xfId="0" applyFont="1" applyFill="1" applyBorder="1" applyAlignment="1">
      <alignment vertical="center"/>
    </xf>
    <xf numFmtId="164" fontId="44" fillId="6" borderId="25" xfId="0" applyNumberFormat="1" applyFont="1" applyFill="1" applyBorder="1" applyAlignment="1">
      <alignment vertical="center"/>
    </xf>
    <xf numFmtId="0" fontId="44" fillId="6" borderId="0" xfId="0" applyFont="1" applyFill="1" applyAlignment="1">
      <alignment vertical="center"/>
    </xf>
    <xf numFmtId="0" fontId="44" fillId="6" borderId="25" xfId="0" applyFont="1" applyFill="1" applyBorder="1" applyAlignment="1">
      <alignment vertical="center"/>
    </xf>
    <xf numFmtId="164" fontId="44" fillId="6" borderId="25" xfId="2" applyFont="1" applyFill="1" applyBorder="1" applyAlignment="1">
      <alignment vertical="center"/>
    </xf>
    <xf numFmtId="164" fontId="44" fillId="6" borderId="0" xfId="2" applyFont="1" applyFill="1" applyAlignment="1">
      <alignment vertical="center"/>
    </xf>
    <xf numFmtId="164" fontId="20" fillId="0" borderId="6" xfId="0" applyNumberFormat="1" applyFont="1" applyBorder="1"/>
    <xf numFmtId="164" fontId="20" fillId="0" borderId="6" xfId="0" applyNumberFormat="1" applyFont="1" applyBorder="1" applyAlignment="1">
      <alignment horizontal="center"/>
    </xf>
    <xf numFmtId="164" fontId="43" fillId="2" borderId="30" xfId="2" applyFont="1" applyFill="1" applyBorder="1" applyAlignment="1">
      <alignment horizontal="center" vertical="center"/>
    </xf>
    <xf numFmtId="164" fontId="44" fillId="2" borderId="31" xfId="2" applyFont="1" applyFill="1" applyBorder="1" applyAlignment="1" applyProtection="1">
      <alignment vertical="center" wrapText="1"/>
    </xf>
    <xf numFmtId="164" fontId="44" fillId="2" borderId="28" xfId="2" applyFont="1" applyFill="1" applyBorder="1" applyAlignment="1">
      <alignment vertical="center"/>
    </xf>
    <xf numFmtId="164" fontId="44" fillId="7" borderId="6" xfId="2" applyFont="1" applyFill="1" applyBorder="1" applyAlignment="1" applyProtection="1">
      <alignment vertical="center" wrapText="1"/>
    </xf>
    <xf numFmtId="164" fontId="43" fillId="2" borderId="0" xfId="2" applyFont="1" applyFill="1" applyBorder="1" applyAlignment="1">
      <alignment horizontal="center" vertical="center"/>
    </xf>
    <xf numFmtId="164" fontId="44" fillId="2" borderId="0" xfId="2" applyFont="1" applyFill="1" applyBorder="1" applyAlignment="1" applyProtection="1">
      <alignment vertical="center" wrapText="1"/>
    </xf>
    <xf numFmtId="164" fontId="44" fillId="2" borderId="0" xfId="2" applyFont="1" applyFill="1" applyBorder="1" applyAlignment="1">
      <alignment vertical="center"/>
    </xf>
    <xf numFmtId="0" fontId="44" fillId="2" borderId="0" xfId="68" applyNumberFormat="1" applyFont="1" applyFill="1" applyBorder="1" applyAlignment="1">
      <alignment vertical="center"/>
    </xf>
    <xf numFmtId="167" fontId="44" fillId="2" borderId="0" xfId="41" applyNumberFormat="1" applyFont="1" applyFill="1" applyBorder="1" applyAlignment="1">
      <alignment vertical="center"/>
    </xf>
    <xf numFmtId="168" fontId="44" fillId="2" borderId="0" xfId="34" applyNumberFormat="1" applyFont="1" applyFill="1" applyBorder="1" applyAlignment="1">
      <alignment vertical="center"/>
    </xf>
    <xf numFmtId="164" fontId="44" fillId="2" borderId="0" xfId="2" applyFont="1" applyFill="1" applyBorder="1" applyAlignment="1">
      <alignment horizontal="center" vertical="center"/>
    </xf>
    <xf numFmtId="167" fontId="44" fillId="0" borderId="0" xfId="41" applyNumberFormat="1" applyFont="1" applyBorder="1" applyAlignment="1">
      <alignment vertical="center"/>
    </xf>
    <xf numFmtId="0" fontId="44" fillId="0" borderId="0" xfId="0" applyFont="1" applyBorder="1" applyAlignment="1">
      <alignment vertical="center"/>
    </xf>
    <xf numFmtId="164" fontId="44" fillId="0" borderId="0" xfId="2" applyFont="1" applyBorder="1" applyAlignment="1">
      <alignment vertical="center"/>
    </xf>
    <xf numFmtId="0" fontId="43" fillId="0" borderId="25" xfId="68" applyFont="1" applyBorder="1" applyAlignment="1">
      <alignment horizontal="center" vertical="center"/>
    </xf>
    <xf numFmtId="167" fontId="44" fillId="2" borderId="25" xfId="41" applyNumberFormat="1" applyFont="1" applyFill="1" applyBorder="1" applyAlignment="1">
      <alignment vertical="center"/>
    </xf>
    <xf numFmtId="0" fontId="44" fillId="2" borderId="0" xfId="68" applyNumberFormat="1" applyFont="1" applyFill="1" applyAlignment="1">
      <alignment vertical="center"/>
    </xf>
    <xf numFmtId="168" fontId="44" fillId="2" borderId="33" xfId="34" applyNumberFormat="1" applyFont="1" applyFill="1" applyBorder="1" applyAlignment="1">
      <alignment vertical="center"/>
    </xf>
    <xf numFmtId="167" fontId="44" fillId="0" borderId="41" xfId="41" applyNumberFormat="1" applyFont="1" applyBorder="1" applyAlignment="1">
      <alignment vertical="center"/>
    </xf>
    <xf numFmtId="0" fontId="43" fillId="0" borderId="24" xfId="68" applyFont="1" applyBorder="1" applyAlignment="1">
      <alignment horizontal="center" vertical="center"/>
    </xf>
    <xf numFmtId="0" fontId="44" fillId="2" borderId="42" xfId="68" applyNumberFormat="1" applyFont="1" applyFill="1" applyBorder="1" applyAlignment="1">
      <alignment vertical="center"/>
    </xf>
    <xf numFmtId="167" fontId="44" fillId="2" borderId="24" xfId="41" applyNumberFormat="1" applyFont="1" applyFill="1" applyBorder="1" applyAlignment="1">
      <alignment vertical="center"/>
    </xf>
    <xf numFmtId="168" fontId="44" fillId="2" borderId="37" xfId="34" applyNumberFormat="1" applyFont="1" applyFill="1" applyBorder="1" applyAlignment="1">
      <alignment vertical="center"/>
    </xf>
    <xf numFmtId="164" fontId="44" fillId="2" borderId="24" xfId="2" applyFont="1" applyFill="1" applyBorder="1" applyAlignment="1">
      <alignment horizontal="center" vertical="center"/>
    </xf>
    <xf numFmtId="167" fontId="44" fillId="0" borderId="43" xfId="41" applyNumberFormat="1" applyFont="1" applyBorder="1" applyAlignment="1">
      <alignment vertical="center"/>
    </xf>
    <xf numFmtId="0" fontId="44" fillId="0" borderId="24" xfId="0" applyFont="1" applyBorder="1" applyAlignment="1">
      <alignment vertical="center"/>
    </xf>
    <xf numFmtId="0" fontId="44" fillId="0" borderId="42" xfId="0" applyFont="1" applyBorder="1" applyAlignment="1">
      <alignment vertical="center"/>
    </xf>
    <xf numFmtId="164" fontId="44" fillId="0" borderId="24" xfId="2" applyFont="1" applyBorder="1" applyAlignment="1">
      <alignment vertical="center"/>
    </xf>
    <xf numFmtId="164" fontId="44" fillId="0" borderId="42" xfId="2" applyFont="1" applyBorder="1" applyAlignment="1">
      <alignment vertical="center"/>
    </xf>
    <xf numFmtId="0" fontId="43" fillId="0" borderId="0" xfId="68" applyFont="1" applyAlignment="1">
      <alignment horizontal="center" vertical="center"/>
    </xf>
    <xf numFmtId="167" fontId="44" fillId="2" borderId="27" xfId="41" applyNumberFormat="1" applyFont="1" applyFill="1" applyBorder="1" applyAlignment="1">
      <alignment vertical="center"/>
    </xf>
    <xf numFmtId="164" fontId="22" fillId="0" borderId="0" xfId="2" applyFont="1" applyFill="1" applyBorder="1" applyAlignment="1">
      <alignment horizontal="center" vertical="center"/>
    </xf>
    <xf numFmtId="164" fontId="44" fillId="0" borderId="0" xfId="2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6" xfId="0" applyFont="1" applyBorder="1" applyAlignment="1">
      <alignment horizontal="center" vertical="center"/>
    </xf>
    <xf numFmtId="164" fontId="43" fillId="6" borderId="6" xfId="2" applyFont="1" applyFill="1" applyBorder="1" applyAlignment="1">
      <alignment vertical="center"/>
    </xf>
    <xf numFmtId="167" fontId="22" fillId="0" borderId="40" xfId="41" applyNumberFormat="1" applyFont="1" applyBorder="1" applyAlignment="1">
      <alignment horizontal="center" vertical="center"/>
    </xf>
    <xf numFmtId="164" fontId="22" fillId="0" borderId="39" xfId="2" applyFont="1" applyFill="1" applyBorder="1" applyAlignment="1">
      <alignment horizontal="center" vertical="center"/>
    </xf>
    <xf numFmtId="164" fontId="18" fillId="0" borderId="45" xfId="2" applyFont="1" applyFill="1" applyBorder="1" applyAlignment="1">
      <alignment horizontal="center"/>
    </xf>
    <xf numFmtId="164" fontId="18" fillId="0" borderId="24" xfId="2" applyFont="1" applyFill="1" applyBorder="1" applyAlignment="1" applyProtection="1">
      <alignment vertical="center"/>
    </xf>
    <xf numFmtId="164" fontId="22" fillId="0" borderId="24" xfId="2" applyFont="1" applyFill="1" applyBorder="1"/>
    <xf numFmtId="164" fontId="18" fillId="0" borderId="24" xfId="2" applyFont="1" applyFill="1" applyBorder="1" applyAlignment="1">
      <alignment horizontal="center"/>
    </xf>
    <xf numFmtId="164" fontId="22" fillId="0" borderId="24" xfId="2" applyFont="1" applyFill="1" applyBorder="1" applyAlignment="1">
      <alignment horizontal="center" vertical="center"/>
    </xf>
    <xf numFmtId="164" fontId="22" fillId="0" borderId="46" xfId="2" applyFont="1" applyFill="1" applyBorder="1"/>
    <xf numFmtId="164" fontId="22" fillId="6" borderId="6" xfId="2" applyFont="1" applyFill="1" applyBorder="1"/>
    <xf numFmtId="164" fontId="22" fillId="6" borderId="35" xfId="21" applyFont="1" applyFill="1" applyBorder="1"/>
    <xf numFmtId="164" fontId="22" fillId="6" borderId="35" xfId="2" applyFont="1" applyFill="1" applyBorder="1"/>
    <xf numFmtId="164" fontId="20" fillId="6" borderId="25" xfId="0" applyNumberFormat="1" applyFont="1" applyFill="1" applyBorder="1"/>
    <xf numFmtId="164" fontId="22" fillId="0" borderId="38" xfId="2" applyFont="1" applyFill="1" applyBorder="1" applyAlignment="1">
      <alignment horizontal="center"/>
    </xf>
    <xf numFmtId="0" fontId="22" fillId="8" borderId="0" xfId="68" applyNumberFormat="1" applyFont="1" applyFill="1" applyBorder="1"/>
    <xf numFmtId="167" fontId="22" fillId="8" borderId="0" xfId="41" applyNumberFormat="1" applyFont="1" applyFill="1" applyBorder="1"/>
    <xf numFmtId="168" fontId="22" fillId="8" borderId="0" xfId="34" applyNumberFormat="1" applyFont="1" applyFill="1" applyBorder="1"/>
    <xf numFmtId="164" fontId="22" fillId="8" borderId="0" xfId="2" applyFont="1" applyFill="1" applyBorder="1" applyAlignment="1">
      <alignment horizontal="center" vertical="center"/>
    </xf>
    <xf numFmtId="0" fontId="20" fillId="8" borderId="0" xfId="0" applyFont="1" applyFill="1" applyBorder="1"/>
    <xf numFmtId="164" fontId="20" fillId="8" borderId="0" xfId="2" applyFont="1" applyFill="1" applyBorder="1"/>
    <xf numFmtId="164" fontId="44" fillId="0" borderId="49" xfId="2" applyFont="1" applyFill="1" applyBorder="1" applyAlignment="1">
      <alignment horizontal="center" vertical="center"/>
    </xf>
    <xf numFmtId="164" fontId="44" fillId="0" borderId="33" xfId="2" applyFont="1" applyFill="1" applyBorder="1" applyAlignment="1" applyProtection="1">
      <alignment vertical="center" wrapText="1"/>
    </xf>
    <xf numFmtId="164" fontId="44" fillId="0" borderId="25" xfId="2" applyFont="1" applyFill="1" applyBorder="1" applyAlignment="1" applyProtection="1">
      <alignment vertical="center" wrapText="1"/>
    </xf>
    <xf numFmtId="164" fontId="43" fillId="6" borderId="52" xfId="2" applyFont="1" applyFill="1" applyBorder="1" applyAlignment="1" applyProtection="1">
      <alignment vertical="center"/>
    </xf>
    <xf numFmtId="164" fontId="44" fillId="6" borderId="33" xfId="0" applyNumberFormat="1" applyFont="1" applyFill="1" applyBorder="1" applyAlignment="1">
      <alignment vertical="center"/>
    </xf>
    <xf numFmtId="164" fontId="43" fillId="0" borderId="45" xfId="2" applyFont="1" applyFill="1" applyBorder="1" applyAlignment="1">
      <alignment horizontal="right" vertical="center"/>
    </xf>
    <xf numFmtId="164" fontId="43" fillId="0" borderId="37" xfId="2" applyFont="1" applyFill="1" applyBorder="1" applyAlignment="1" applyProtection="1">
      <alignment vertical="center"/>
    </xf>
    <xf numFmtId="164" fontId="44" fillId="0" borderId="24" xfId="2" applyFont="1" applyFill="1" applyBorder="1" applyAlignment="1">
      <alignment vertical="center"/>
    </xf>
    <xf numFmtId="164" fontId="43" fillId="0" borderId="37" xfId="2" applyFont="1" applyFill="1" applyBorder="1" applyAlignment="1">
      <alignment horizontal="center" vertical="center"/>
    </xf>
    <xf numFmtId="164" fontId="44" fillId="0" borderId="24" xfId="2" applyFont="1" applyFill="1" applyBorder="1" applyAlignment="1">
      <alignment horizontal="center" vertical="center"/>
    </xf>
    <xf numFmtId="164" fontId="44" fillId="0" borderId="46" xfId="2" applyFont="1" applyFill="1" applyBorder="1" applyAlignment="1">
      <alignment vertical="center"/>
    </xf>
    <xf numFmtId="164" fontId="44" fillId="0" borderId="33" xfId="0" applyNumberFormat="1" applyFont="1" applyFill="1" applyBorder="1" applyAlignment="1">
      <alignment vertical="center"/>
    </xf>
    <xf numFmtId="164" fontId="43" fillId="6" borderId="45" xfId="2" applyFont="1" applyFill="1" applyBorder="1" applyAlignment="1">
      <alignment horizontal="right" vertical="center"/>
    </xf>
    <xf numFmtId="164" fontId="43" fillId="0" borderId="10" xfId="2" applyFont="1" applyFill="1" applyBorder="1" applyAlignment="1">
      <alignment horizontal="right" vertical="center"/>
    </xf>
    <xf numFmtId="164" fontId="43" fillId="0" borderId="6" xfId="2" applyFont="1" applyFill="1" applyBorder="1" applyAlignment="1" applyProtection="1">
      <alignment vertical="center" wrapText="1"/>
    </xf>
    <xf numFmtId="164" fontId="44" fillId="0" borderId="6" xfId="2" applyFont="1" applyFill="1" applyBorder="1" applyAlignment="1" applyProtection="1">
      <alignment vertical="center" wrapText="1"/>
    </xf>
    <xf numFmtId="164" fontId="44" fillId="0" borderId="32" xfId="2" applyFont="1" applyFill="1" applyBorder="1" applyAlignment="1">
      <alignment vertical="center"/>
    </xf>
    <xf numFmtId="164" fontId="19" fillId="0" borderId="6" xfId="0" applyNumberFormat="1" applyFont="1" applyFill="1" applyBorder="1"/>
    <xf numFmtId="164" fontId="43" fillId="0" borderId="32" xfId="2" applyFont="1" applyFill="1" applyBorder="1" applyAlignment="1">
      <alignment vertical="center"/>
    </xf>
    <xf numFmtId="0" fontId="43" fillId="0" borderId="33" xfId="0" applyFont="1" applyFill="1" applyBorder="1" applyAlignment="1">
      <alignment vertical="center"/>
    </xf>
    <xf numFmtId="0" fontId="43" fillId="0" borderId="25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164" fontId="43" fillId="0" borderId="25" xfId="2" applyFont="1" applyFill="1" applyBorder="1" applyAlignment="1">
      <alignment vertical="center"/>
    </xf>
    <xf numFmtId="164" fontId="43" fillId="0" borderId="0" xfId="2" applyFont="1" applyFill="1" applyAlignment="1">
      <alignment vertical="center"/>
    </xf>
    <xf numFmtId="164" fontId="44" fillId="0" borderId="35" xfId="68" applyNumberFormat="1" applyFont="1" applyFill="1" applyBorder="1" applyAlignment="1">
      <alignment vertical="center"/>
    </xf>
    <xf numFmtId="164" fontId="44" fillId="0" borderId="6" xfId="2" applyFont="1" applyFill="1" applyBorder="1" applyAlignment="1">
      <alignment vertical="center"/>
    </xf>
    <xf numFmtId="164" fontId="43" fillId="0" borderId="6" xfId="2" applyFont="1" applyFill="1" applyBorder="1" applyAlignment="1">
      <alignment horizontal="center" vertical="center"/>
    </xf>
    <xf numFmtId="164" fontId="44" fillId="0" borderId="6" xfId="2" applyFont="1" applyFill="1" applyBorder="1" applyAlignment="1">
      <alignment horizontal="center" vertical="center"/>
    </xf>
    <xf numFmtId="164" fontId="44" fillId="0" borderId="6" xfId="2" applyFont="1" applyFill="1" applyBorder="1" applyAlignment="1" applyProtection="1">
      <alignment vertical="center"/>
    </xf>
    <xf numFmtId="164" fontId="43" fillId="0" borderId="10" xfId="2" applyFont="1" applyFill="1" applyBorder="1" applyAlignment="1">
      <alignment horizontal="center" vertical="center"/>
    </xf>
    <xf numFmtId="164" fontId="43" fillId="0" borderId="6" xfId="2" applyFont="1" applyFill="1" applyBorder="1" applyAlignment="1">
      <alignment vertical="center"/>
    </xf>
    <xf numFmtId="164" fontId="44" fillId="0" borderId="10" xfId="2" applyFont="1" applyFill="1" applyBorder="1" applyAlignment="1">
      <alignment horizontal="center" vertical="center"/>
    </xf>
    <xf numFmtId="0" fontId="44" fillId="0" borderId="63" xfId="68" applyFont="1" applyFill="1" applyBorder="1" applyAlignment="1">
      <alignment horizontal="center" vertical="center"/>
    </xf>
    <xf numFmtId="164" fontId="44" fillId="0" borderId="34" xfId="68" applyNumberFormat="1" applyFont="1" applyFill="1" applyBorder="1" applyAlignment="1">
      <alignment vertical="center"/>
    </xf>
    <xf numFmtId="164" fontId="44" fillId="0" borderId="29" xfId="2" applyFont="1" applyFill="1" applyBorder="1" applyAlignment="1">
      <alignment vertical="center"/>
    </xf>
    <xf numFmtId="164" fontId="43" fillId="0" borderId="30" xfId="2" applyFont="1" applyFill="1" applyBorder="1" applyAlignment="1">
      <alignment horizontal="center" vertical="center"/>
    </xf>
    <xf numFmtId="164" fontId="43" fillId="0" borderId="64" xfId="2" applyFont="1" applyFill="1" applyBorder="1" applyAlignment="1" applyProtection="1">
      <alignment vertical="center"/>
    </xf>
    <xf numFmtId="164" fontId="44" fillId="0" borderId="31" xfId="2" applyFont="1" applyFill="1" applyBorder="1" applyAlignment="1">
      <alignment vertical="center"/>
    </xf>
    <xf numFmtId="164" fontId="43" fillId="0" borderId="64" xfId="2" applyFont="1" applyFill="1" applyBorder="1" applyAlignment="1">
      <alignment horizontal="center" vertical="center"/>
    </xf>
    <xf numFmtId="164" fontId="44" fillId="0" borderId="31" xfId="2" applyFont="1" applyFill="1" applyBorder="1" applyAlignment="1">
      <alignment horizontal="center" vertical="center"/>
    </xf>
    <xf numFmtId="164" fontId="44" fillId="0" borderId="28" xfId="2" applyFont="1" applyFill="1" applyBorder="1" applyAlignment="1">
      <alignment vertical="center"/>
    </xf>
    <xf numFmtId="164" fontId="44" fillId="0" borderId="6" xfId="68" applyNumberFormat="1" applyFont="1" applyFill="1" applyBorder="1" applyAlignment="1">
      <alignment vertical="center"/>
    </xf>
    <xf numFmtId="0" fontId="44" fillId="0" borderId="10" xfId="68" applyFont="1" applyFill="1" applyBorder="1" applyAlignment="1">
      <alignment horizontal="right" vertical="center"/>
    </xf>
    <xf numFmtId="0" fontId="44" fillId="0" borderId="38" xfId="68" applyFont="1" applyFill="1" applyBorder="1" applyAlignment="1">
      <alignment horizontal="center" vertical="center"/>
    </xf>
    <xf numFmtId="0" fontId="44" fillId="0" borderId="65" xfId="68" applyNumberFormat="1" applyFont="1" applyFill="1" applyBorder="1" applyAlignment="1">
      <alignment vertical="center"/>
    </xf>
    <xf numFmtId="167" fontId="44" fillId="0" borderId="39" xfId="41" applyNumberFormat="1" applyFont="1" applyFill="1" applyBorder="1" applyAlignment="1">
      <alignment vertical="center"/>
    </xf>
    <xf numFmtId="168" fontId="44" fillId="0" borderId="65" xfId="34" applyNumberFormat="1" applyFont="1" applyFill="1" applyBorder="1" applyAlignment="1">
      <alignment vertical="center"/>
    </xf>
    <xf numFmtId="164" fontId="44" fillId="0" borderId="39" xfId="2" applyFont="1" applyFill="1" applyBorder="1" applyAlignment="1">
      <alignment horizontal="center" vertical="center"/>
    </xf>
    <xf numFmtId="167" fontId="44" fillId="0" borderId="66" xfId="41" applyNumberFormat="1" applyFont="1" applyFill="1" applyBorder="1" applyAlignment="1">
      <alignment vertical="center"/>
    </xf>
    <xf numFmtId="0" fontId="44" fillId="0" borderId="0" xfId="68" applyNumberFormat="1" applyFont="1" applyFill="1" applyBorder="1" applyAlignment="1">
      <alignment vertical="center"/>
    </xf>
    <xf numFmtId="167" fontId="44" fillId="0" borderId="0" xfId="41" applyNumberFormat="1" applyFont="1" applyFill="1" applyBorder="1" applyAlignment="1">
      <alignment vertical="center"/>
    </xf>
    <xf numFmtId="168" fontId="44" fillId="0" borderId="0" xfId="34" applyNumberFormat="1" applyFont="1" applyFill="1" applyBorder="1" applyAlignment="1">
      <alignment vertical="center"/>
    </xf>
    <xf numFmtId="164" fontId="44" fillId="0" borderId="0" xfId="2" applyFont="1" applyFill="1" applyBorder="1" applyAlignment="1">
      <alignment horizontal="center" vertical="center"/>
    </xf>
    <xf numFmtId="0" fontId="44" fillId="0" borderId="25" xfId="68" applyFont="1" applyBorder="1" applyAlignment="1">
      <alignment horizontal="center" vertical="center"/>
    </xf>
    <xf numFmtId="0" fontId="44" fillId="0" borderId="24" xfId="68" applyFont="1" applyBorder="1" applyAlignment="1">
      <alignment horizontal="center" vertical="center"/>
    </xf>
    <xf numFmtId="0" fontId="44" fillId="0" borderId="0" xfId="68" applyFont="1" applyAlignment="1">
      <alignment horizontal="center" vertical="center"/>
    </xf>
    <xf numFmtId="0" fontId="20" fillId="0" borderId="25" xfId="0" applyFont="1" applyBorder="1" applyAlignment="1">
      <alignment vertical="center"/>
    </xf>
    <xf numFmtId="164" fontId="20" fillId="0" borderId="25" xfId="2" applyFont="1" applyBorder="1" applyAlignment="1">
      <alignment vertical="center"/>
    </xf>
    <xf numFmtId="0" fontId="18" fillId="0" borderId="49" xfId="68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0" fillId="0" borderId="33" xfId="0" applyFont="1" applyBorder="1" applyAlignment="1">
      <alignment horizontal="center" vertical="center"/>
    </xf>
    <xf numFmtId="167" fontId="22" fillId="0" borderId="29" xfId="41" applyNumberFormat="1" applyFont="1" applyBorder="1" applyAlignment="1">
      <alignment horizontal="center" vertical="center"/>
    </xf>
    <xf numFmtId="164" fontId="22" fillId="0" borderId="36" xfId="2" applyFont="1" applyFill="1" applyBorder="1" applyAlignment="1">
      <alignment vertical="center"/>
    </xf>
    <xf numFmtId="164" fontId="18" fillId="0" borderId="35" xfId="2" applyFont="1" applyFill="1" applyBorder="1" applyAlignment="1">
      <alignment horizontal="center" vertical="center"/>
    </xf>
    <xf numFmtId="164" fontId="20" fillId="0" borderId="25" xfId="0" applyNumberFormat="1" applyFont="1" applyFill="1" applyBorder="1" applyAlignment="1">
      <alignment vertical="center"/>
    </xf>
    <xf numFmtId="0" fontId="20" fillId="0" borderId="25" xfId="0" applyFont="1" applyFill="1" applyBorder="1" applyAlignment="1">
      <alignment vertical="center"/>
    </xf>
    <xf numFmtId="164" fontId="20" fillId="0" borderId="25" xfId="2" applyFont="1" applyFill="1" applyBorder="1" applyAlignment="1">
      <alignment vertical="center"/>
    </xf>
    <xf numFmtId="164" fontId="22" fillId="0" borderId="10" xfId="2" applyFont="1" applyFill="1" applyBorder="1" applyAlignment="1">
      <alignment horizontal="right" vertical="center"/>
    </xf>
    <xf numFmtId="0" fontId="20" fillId="0" borderId="27" xfId="0" applyFont="1" applyFill="1" applyBorder="1" applyAlignment="1">
      <alignment vertical="center"/>
    </xf>
    <xf numFmtId="164" fontId="44" fillId="0" borderId="35" xfId="2" applyFont="1" applyFill="1" applyBorder="1" applyAlignment="1">
      <alignment vertical="center"/>
    </xf>
    <xf numFmtId="164" fontId="22" fillId="2" borderId="10" xfId="2" applyFont="1" applyFill="1" applyBorder="1" applyAlignment="1">
      <alignment vertical="center"/>
    </xf>
    <xf numFmtId="164" fontId="18" fillId="2" borderId="6" xfId="2" applyFont="1" applyFill="1" applyBorder="1" applyAlignment="1">
      <alignment vertical="center"/>
    </xf>
    <xf numFmtId="164" fontId="22" fillId="2" borderId="36" xfId="2" applyFont="1" applyFill="1" applyBorder="1" applyAlignment="1">
      <alignment vertical="center"/>
    </xf>
    <xf numFmtId="164" fontId="22" fillId="2" borderId="35" xfId="2" applyFont="1" applyFill="1" applyBorder="1" applyAlignment="1">
      <alignment horizontal="center" vertical="center"/>
    </xf>
    <xf numFmtId="164" fontId="22" fillId="2" borderId="6" xfId="2" applyFont="1" applyFill="1" applyBorder="1" applyAlignment="1">
      <alignment vertical="center"/>
    </xf>
    <xf numFmtId="164" fontId="22" fillId="2" borderId="32" xfId="2" applyFont="1" applyFill="1" applyBorder="1" applyAlignment="1">
      <alignment vertical="center"/>
    </xf>
    <xf numFmtId="0" fontId="20" fillId="4" borderId="33" xfId="0" applyFont="1" applyFill="1" applyBorder="1" applyAlignment="1">
      <alignment vertical="center"/>
    </xf>
    <xf numFmtId="0" fontId="20" fillId="4" borderId="25" xfId="0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164" fontId="20" fillId="2" borderId="25" xfId="2" applyFont="1" applyFill="1" applyBorder="1" applyAlignment="1">
      <alignment vertical="center"/>
    </xf>
    <xf numFmtId="164" fontId="20" fillId="2" borderId="0" xfId="2" applyFont="1" applyFill="1" applyAlignment="1">
      <alignment vertical="center"/>
    </xf>
    <xf numFmtId="164" fontId="22" fillId="2" borderId="6" xfId="68" applyNumberFormat="1" applyFont="1" applyFill="1" applyBorder="1" applyAlignment="1">
      <alignment vertical="center"/>
    </xf>
    <xf numFmtId="164" fontId="22" fillId="2" borderId="36" xfId="68" applyNumberFormat="1" applyFont="1" applyFill="1" applyBorder="1" applyAlignment="1">
      <alignment vertical="center"/>
    </xf>
    <xf numFmtId="167" fontId="22" fillId="0" borderId="35" xfId="41" applyNumberFormat="1" applyFont="1" applyFill="1" applyBorder="1" applyAlignment="1">
      <alignment horizontal="center" vertical="center"/>
    </xf>
    <xf numFmtId="0" fontId="22" fillId="0" borderId="38" xfId="68" applyFont="1" applyBorder="1" applyAlignment="1">
      <alignment vertical="center"/>
    </xf>
    <xf numFmtId="0" fontId="22" fillId="2" borderId="39" xfId="68" applyNumberFormat="1" applyFont="1" applyFill="1" applyBorder="1" applyAlignment="1">
      <alignment vertical="center"/>
    </xf>
    <xf numFmtId="167" fontId="22" fillId="2" borderId="67" xfId="41" applyNumberFormat="1" applyFont="1" applyFill="1" applyBorder="1" applyAlignment="1">
      <alignment vertical="center"/>
    </xf>
    <xf numFmtId="168" fontId="22" fillId="2" borderId="68" xfId="34" applyNumberFormat="1" applyFont="1" applyFill="1" applyBorder="1" applyAlignment="1">
      <alignment vertical="center"/>
    </xf>
    <xf numFmtId="167" fontId="22" fillId="0" borderId="40" xfId="41" applyNumberFormat="1" applyFont="1" applyBorder="1" applyAlignment="1">
      <alignment vertical="center"/>
    </xf>
    <xf numFmtId="164" fontId="18" fillId="6" borderId="36" xfId="2" applyFont="1" applyFill="1" applyBorder="1" applyAlignment="1">
      <alignment vertical="center"/>
    </xf>
    <xf numFmtId="164" fontId="18" fillId="6" borderId="35" xfId="2" applyFont="1" applyFill="1" applyBorder="1" applyAlignment="1">
      <alignment horizontal="center" vertical="center"/>
    </xf>
    <xf numFmtId="0" fontId="19" fillId="6" borderId="33" xfId="0" applyFont="1" applyFill="1" applyBorder="1" applyAlignment="1">
      <alignment vertical="center"/>
    </xf>
    <xf numFmtId="164" fontId="18" fillId="6" borderId="35" xfId="21" applyFont="1" applyFill="1" applyBorder="1" applyAlignment="1">
      <alignment vertical="center"/>
    </xf>
    <xf numFmtId="164" fontId="18" fillId="6" borderId="35" xfId="2" applyFont="1" applyFill="1" applyBorder="1" applyAlignment="1">
      <alignment vertical="center"/>
    </xf>
    <xf numFmtId="164" fontId="19" fillId="6" borderId="0" xfId="2" applyFont="1" applyFill="1" applyAlignment="1">
      <alignment vertical="center"/>
    </xf>
    <xf numFmtId="164" fontId="19" fillId="6" borderId="25" xfId="0" applyNumberFormat="1" applyFont="1" applyFill="1" applyBorder="1" applyAlignment="1">
      <alignment vertical="center"/>
    </xf>
    <xf numFmtId="0" fontId="19" fillId="6" borderId="0" xfId="0" applyFont="1" applyFill="1" applyAlignment="1">
      <alignment vertical="center"/>
    </xf>
    <xf numFmtId="164" fontId="18" fillId="6" borderId="32" xfId="2" applyFont="1" applyFill="1" applyBorder="1" applyAlignment="1">
      <alignment vertical="center"/>
    </xf>
    <xf numFmtId="0" fontId="19" fillId="6" borderId="25" xfId="0" applyFont="1" applyFill="1" applyBorder="1" applyAlignment="1">
      <alignment vertical="center"/>
    </xf>
    <xf numFmtId="164" fontId="19" fillId="6" borderId="25" xfId="2" applyFont="1" applyFill="1" applyBorder="1" applyAlignment="1">
      <alignment vertical="center"/>
    </xf>
    <xf numFmtId="167" fontId="18" fillId="6" borderId="36" xfId="41" applyNumberFormat="1" applyFont="1" applyFill="1" applyBorder="1" applyAlignment="1">
      <alignment vertical="center"/>
    </xf>
    <xf numFmtId="167" fontId="18" fillId="6" borderId="35" xfId="41" applyNumberFormat="1" applyFont="1" applyFill="1" applyBorder="1" applyAlignment="1">
      <alignment horizontal="center" vertical="center"/>
    </xf>
    <xf numFmtId="167" fontId="18" fillId="6" borderId="6" xfId="41" applyNumberFormat="1" applyFont="1" applyFill="1" applyBorder="1" applyAlignment="1">
      <alignment vertical="center"/>
    </xf>
    <xf numFmtId="167" fontId="18" fillId="6" borderId="32" xfId="41" applyNumberFormat="1" applyFont="1" applyFill="1" applyBorder="1" applyAlignment="1">
      <alignment vertical="center"/>
    </xf>
    <xf numFmtId="0" fontId="19" fillId="0" borderId="25" xfId="0" applyFont="1" applyBorder="1" applyAlignment="1">
      <alignment vertical="center"/>
    </xf>
    <xf numFmtId="164" fontId="19" fillId="0" borderId="25" xfId="2" applyFont="1" applyBorder="1" applyAlignment="1">
      <alignment vertical="center"/>
    </xf>
    <xf numFmtId="167" fontId="18" fillId="0" borderId="36" xfId="41" applyNumberFormat="1" applyFont="1" applyFill="1" applyBorder="1" applyAlignment="1">
      <alignment vertical="center"/>
    </xf>
    <xf numFmtId="167" fontId="18" fillId="0" borderId="35" xfId="41" applyNumberFormat="1" applyFont="1" applyFill="1" applyBorder="1" applyAlignment="1">
      <alignment horizontal="center" vertical="center"/>
    </xf>
    <xf numFmtId="167" fontId="18" fillId="0" borderId="6" xfId="41" applyNumberFormat="1" applyFont="1" applyFill="1" applyBorder="1" applyAlignment="1">
      <alignment vertical="center"/>
    </xf>
    <xf numFmtId="167" fontId="18" fillId="0" borderId="32" xfId="41" applyNumberFormat="1" applyFont="1" applyFill="1" applyBorder="1" applyAlignment="1">
      <alignment vertical="center"/>
    </xf>
    <xf numFmtId="0" fontId="19" fillId="0" borderId="25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164" fontId="19" fillId="0" borderId="25" xfId="2" applyFont="1" applyFill="1" applyBorder="1" applyAlignment="1">
      <alignment vertical="center"/>
    </xf>
    <xf numFmtId="164" fontId="19" fillId="0" borderId="0" xfId="2" applyFont="1" applyFill="1" applyAlignment="1">
      <alignment vertical="center"/>
    </xf>
    <xf numFmtId="0" fontId="19" fillId="0" borderId="33" xfId="0" applyFont="1" applyBorder="1"/>
    <xf numFmtId="164" fontId="18" fillId="2" borderId="35" xfId="21" applyFont="1" applyFill="1" applyBorder="1"/>
    <xf numFmtId="164" fontId="19" fillId="0" borderId="0" xfId="2" applyFont="1"/>
    <xf numFmtId="164" fontId="19" fillId="0" borderId="25" xfId="0" applyNumberFormat="1" applyFont="1" applyBorder="1"/>
    <xf numFmtId="0" fontId="19" fillId="0" borderId="0" xfId="0" applyFont="1"/>
    <xf numFmtId="164" fontId="43" fillId="6" borderId="6" xfId="2" applyFont="1" applyFill="1" applyBorder="1" applyAlignment="1">
      <alignment horizontal="center" vertical="center"/>
    </xf>
    <xf numFmtId="164" fontId="44" fillId="0" borderId="40" xfId="2" applyFont="1" applyBorder="1" applyAlignment="1">
      <alignment vertical="center"/>
    </xf>
    <xf numFmtId="167" fontId="43" fillId="5" borderId="40" xfId="41" applyNumberFormat="1" applyFont="1" applyFill="1" applyBorder="1" applyAlignment="1">
      <alignment horizontal="center" vertical="center"/>
    </xf>
    <xf numFmtId="0" fontId="43" fillId="0" borderId="49" xfId="68" applyFont="1" applyBorder="1" applyAlignment="1">
      <alignment horizontal="center" vertical="center"/>
    </xf>
    <xf numFmtId="0" fontId="43" fillId="2" borderId="25" xfId="68" applyNumberFormat="1" applyFont="1" applyFill="1" applyBorder="1" applyAlignment="1">
      <alignment horizontal="center" vertical="center"/>
    </xf>
    <xf numFmtId="0" fontId="43" fillId="0" borderId="27" xfId="0" applyFont="1" applyBorder="1" applyAlignment="1">
      <alignment horizontal="center" vertical="center"/>
    </xf>
    <xf numFmtId="0" fontId="43" fillId="0" borderId="33" xfId="0" applyFont="1" applyBorder="1" applyAlignment="1">
      <alignment horizontal="center" vertical="center"/>
    </xf>
    <xf numFmtId="164" fontId="43" fillId="2" borderId="25" xfId="2" applyFont="1" applyFill="1" applyBorder="1" applyAlignment="1">
      <alignment horizontal="center" vertical="center"/>
    </xf>
    <xf numFmtId="167" fontId="43" fillId="0" borderId="54" xfId="41" applyNumberFormat="1" applyFont="1" applyBorder="1" applyAlignment="1">
      <alignment horizontal="center" vertical="center"/>
    </xf>
    <xf numFmtId="164" fontId="44" fillId="0" borderId="33" xfId="2" applyFont="1" applyBorder="1" applyAlignment="1">
      <alignment vertical="center"/>
    </xf>
    <xf numFmtId="164" fontId="43" fillId="6" borderId="10" xfId="2" applyFont="1" applyFill="1" applyBorder="1" applyAlignment="1">
      <alignment horizontal="center" vertical="center"/>
    </xf>
    <xf numFmtId="164" fontId="44" fillId="6" borderId="6" xfId="2" applyFont="1" applyFill="1" applyBorder="1" applyAlignment="1">
      <alignment horizontal="center" vertical="center"/>
    </xf>
    <xf numFmtId="164" fontId="43" fillId="6" borderId="32" xfId="2" applyFont="1" applyFill="1" applyBorder="1" applyAlignment="1">
      <alignment vertical="center"/>
    </xf>
    <xf numFmtId="164" fontId="43" fillId="6" borderId="35" xfId="21" applyFont="1" applyFill="1" applyBorder="1" applyAlignment="1">
      <alignment vertical="center"/>
    </xf>
    <xf numFmtId="164" fontId="44" fillId="6" borderId="35" xfId="21" applyFont="1" applyFill="1" applyBorder="1" applyAlignment="1">
      <alignment vertical="center"/>
    </xf>
    <xf numFmtId="164" fontId="44" fillId="6" borderId="35" xfId="2" applyFont="1" applyFill="1" applyBorder="1" applyAlignment="1">
      <alignment vertical="center"/>
    </xf>
    <xf numFmtId="164" fontId="43" fillId="0" borderId="35" xfId="21" applyFont="1" applyFill="1" applyBorder="1" applyAlignment="1">
      <alignment vertical="center"/>
    </xf>
    <xf numFmtId="164" fontId="44" fillId="0" borderId="35" xfId="21" applyFont="1" applyFill="1" applyBorder="1" applyAlignment="1">
      <alignment vertical="center"/>
    </xf>
    <xf numFmtId="164" fontId="43" fillId="6" borderId="35" xfId="2" applyFont="1" applyFill="1" applyBorder="1" applyAlignment="1">
      <alignment vertical="center"/>
    </xf>
    <xf numFmtId="164" fontId="44" fillId="2" borderId="10" xfId="2" applyFont="1" applyFill="1" applyBorder="1" applyAlignment="1">
      <alignment horizontal="center" vertical="center"/>
    </xf>
    <xf numFmtId="164" fontId="44" fillId="0" borderId="32" xfId="2" applyFont="1" applyBorder="1" applyAlignment="1">
      <alignment vertical="center"/>
    </xf>
    <xf numFmtId="164" fontId="43" fillId="2" borderId="35" xfId="21" applyFont="1" applyFill="1" applyBorder="1" applyAlignment="1">
      <alignment vertical="center"/>
    </xf>
    <xf numFmtId="164" fontId="44" fillId="2" borderId="35" xfId="21" applyFont="1" applyFill="1" applyBorder="1" applyAlignment="1">
      <alignment vertical="center"/>
    </xf>
    <xf numFmtId="164" fontId="44" fillId="0" borderId="25" xfId="0" applyNumberFormat="1" applyFont="1" applyBorder="1" applyAlignment="1">
      <alignment vertical="center"/>
    </xf>
    <xf numFmtId="164" fontId="43" fillId="3" borderId="6" xfId="2" applyFont="1" applyFill="1" applyBorder="1" applyAlignment="1">
      <alignment vertical="center"/>
    </xf>
    <xf numFmtId="164" fontId="43" fillId="3" borderId="32" xfId="2" applyFont="1" applyFill="1" applyBorder="1" applyAlignment="1">
      <alignment vertical="center"/>
    </xf>
    <xf numFmtId="164" fontId="43" fillId="3" borderId="6" xfId="2" applyFont="1" applyFill="1" applyBorder="1" applyAlignment="1">
      <alignment horizontal="center" vertical="center"/>
    </xf>
    <xf numFmtId="164" fontId="44" fillId="2" borderId="69" xfId="2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vertical="center"/>
    </xf>
    <xf numFmtId="0" fontId="44" fillId="2" borderId="0" xfId="0" applyFont="1" applyFill="1" applyBorder="1" applyAlignment="1">
      <alignment vertical="center"/>
    </xf>
    <xf numFmtId="164" fontId="44" fillId="6" borderId="10" xfId="2" applyFont="1" applyFill="1" applyBorder="1" applyAlignment="1">
      <alignment horizontal="center" vertical="center"/>
    </xf>
    <xf numFmtId="164" fontId="44" fillId="3" borderId="6" xfId="2" applyFont="1" applyFill="1" applyBorder="1" applyAlignment="1">
      <alignment vertical="center"/>
    </xf>
    <xf numFmtId="164" fontId="44" fillId="3" borderId="6" xfId="2" applyFont="1" applyFill="1" applyBorder="1" applyAlignment="1">
      <alignment horizontal="center" vertical="center"/>
    </xf>
    <xf numFmtId="164" fontId="44" fillId="3" borderId="32" xfId="2" applyFont="1" applyFill="1" applyBorder="1" applyAlignment="1">
      <alignment vertical="center"/>
    </xf>
    <xf numFmtId="164" fontId="44" fillId="0" borderId="10" xfId="2" applyFont="1" applyBorder="1" applyAlignment="1">
      <alignment horizontal="center" vertical="center"/>
    </xf>
    <xf numFmtId="164" fontId="44" fillId="0" borderId="38" xfId="2" applyFont="1" applyBorder="1" applyAlignment="1">
      <alignment horizontal="center" vertical="center"/>
    </xf>
    <xf numFmtId="164" fontId="44" fillId="2" borderId="39" xfId="2" applyFont="1" applyFill="1" applyBorder="1" applyAlignment="1">
      <alignment vertical="center"/>
    </xf>
    <xf numFmtId="164" fontId="44" fillId="2" borderId="40" xfId="2" applyFont="1" applyFill="1" applyBorder="1" applyAlignment="1">
      <alignment vertical="center"/>
    </xf>
    <xf numFmtId="0" fontId="20" fillId="0" borderId="6" xfId="0" applyFont="1" applyFill="1" applyBorder="1"/>
    <xf numFmtId="164" fontId="46" fillId="6" borderId="37" xfId="2" applyFont="1" applyFill="1" applyBorder="1" applyAlignment="1" applyProtection="1">
      <alignment vertical="center"/>
    </xf>
    <xf numFmtId="164" fontId="47" fillId="6" borderId="24" xfId="2" applyFont="1" applyFill="1" applyBorder="1" applyAlignment="1">
      <alignment vertical="center"/>
    </xf>
    <xf numFmtId="164" fontId="46" fillId="6" borderId="37" xfId="2" applyFont="1" applyFill="1" applyBorder="1" applyAlignment="1">
      <alignment horizontal="center" vertical="center"/>
    </xf>
    <xf numFmtId="164" fontId="47" fillId="6" borderId="24" xfId="2" applyFont="1" applyFill="1" applyBorder="1" applyAlignment="1">
      <alignment horizontal="center" vertical="center"/>
    </xf>
    <xf numFmtId="164" fontId="46" fillId="6" borderId="24" xfId="2" applyFont="1" applyFill="1" applyBorder="1" applyAlignment="1">
      <alignment vertical="center"/>
    </xf>
    <xf numFmtId="164" fontId="27" fillId="6" borderId="6" xfId="2" applyFont="1" applyFill="1" applyBorder="1" applyAlignment="1" applyProtection="1">
      <alignment vertical="center"/>
    </xf>
    <xf numFmtId="164" fontId="27" fillId="6" borderId="6" xfId="2" applyFont="1" applyFill="1" applyBorder="1"/>
    <xf numFmtId="164" fontId="27" fillId="6" borderId="6" xfId="2" applyFont="1" applyFill="1" applyBorder="1" applyAlignment="1">
      <alignment horizontal="center"/>
    </xf>
    <xf numFmtId="164" fontId="27" fillId="6" borderId="6" xfId="2" applyFont="1" applyFill="1" applyBorder="1" applyAlignment="1">
      <alignment horizontal="center" vertical="center"/>
    </xf>
    <xf numFmtId="164" fontId="27" fillId="6" borderId="32" xfId="2" applyFont="1" applyFill="1" applyBorder="1"/>
    <xf numFmtId="164" fontId="27" fillId="6" borderId="6" xfId="2" applyFont="1" applyFill="1" applyBorder="1" applyAlignment="1">
      <alignment vertical="center"/>
    </xf>
    <xf numFmtId="0" fontId="18" fillId="6" borderId="10" xfId="68" applyFont="1" applyFill="1" applyBorder="1" applyAlignment="1">
      <alignment horizontal="center" vertical="top"/>
    </xf>
    <xf numFmtId="0" fontId="18" fillId="6" borderId="6" xfId="68" applyNumberFormat="1" applyFont="1" applyFill="1" applyBorder="1" applyAlignment="1">
      <alignment horizontal="left" vertical="top"/>
    </xf>
    <xf numFmtId="164" fontId="19" fillId="6" borderId="6" xfId="0" applyNumberFormat="1" applyFont="1" applyFill="1" applyBorder="1" applyAlignment="1">
      <alignment horizontal="center" vertical="top"/>
    </xf>
    <xf numFmtId="0" fontId="19" fillId="6" borderId="6" xfId="0" applyFont="1" applyFill="1" applyBorder="1" applyAlignment="1">
      <alignment horizontal="center" vertical="top"/>
    </xf>
    <xf numFmtId="164" fontId="18" fillId="6" borderId="6" xfId="2" applyFont="1" applyFill="1" applyBorder="1" applyAlignment="1">
      <alignment horizontal="center" vertical="top"/>
    </xf>
    <xf numFmtId="0" fontId="18" fillId="0" borderId="10" xfId="68" applyFont="1" applyBorder="1" applyAlignment="1">
      <alignment horizontal="center" vertical="top"/>
    </xf>
    <xf numFmtId="0" fontId="18" fillId="2" borderId="6" xfId="68" applyNumberFormat="1" applyFont="1" applyFill="1" applyBorder="1" applyAlignment="1">
      <alignment horizontal="left" vertical="top"/>
    </xf>
    <xf numFmtId="0" fontId="20" fillId="0" borderId="6" xfId="0" applyFont="1" applyBorder="1" applyAlignment="1">
      <alignment horizontal="center" vertical="top"/>
    </xf>
    <xf numFmtId="164" fontId="22" fillId="4" borderId="6" xfId="2" applyFont="1" applyFill="1" applyBorder="1" applyAlignment="1">
      <alignment horizontal="center" vertical="top"/>
    </xf>
    <xf numFmtId="167" fontId="22" fillId="0" borderId="32" xfId="41" applyNumberFormat="1" applyFont="1" applyBorder="1" applyAlignment="1">
      <alignment horizontal="center" vertical="top"/>
    </xf>
    <xf numFmtId="164" fontId="19" fillId="6" borderId="6" xfId="2" applyFont="1" applyFill="1" applyBorder="1" applyAlignment="1">
      <alignment horizontal="center" vertical="top"/>
    </xf>
    <xf numFmtId="0" fontId="18" fillId="0" borderId="10" xfId="68" applyFont="1" applyFill="1" applyBorder="1" applyAlignment="1">
      <alignment horizontal="center" vertical="top"/>
    </xf>
    <xf numFmtId="0" fontId="18" fillId="0" borderId="6" xfId="68" applyNumberFormat="1" applyFont="1" applyFill="1" applyBorder="1" applyAlignment="1">
      <alignment horizontal="left" vertical="top"/>
    </xf>
    <xf numFmtId="164" fontId="20" fillId="0" borderId="6" xfId="2" applyFont="1" applyFill="1" applyBorder="1" applyAlignment="1">
      <alignment horizontal="center" vertical="top"/>
    </xf>
    <xf numFmtId="0" fontId="20" fillId="0" borderId="6" xfId="0" applyFont="1" applyFill="1" applyBorder="1" applyAlignment="1">
      <alignment horizontal="center" vertical="top"/>
    </xf>
    <xf numFmtId="164" fontId="22" fillId="0" borderId="6" xfId="2" applyFont="1" applyFill="1" applyBorder="1" applyAlignment="1">
      <alignment horizontal="center" vertical="top"/>
    </xf>
    <xf numFmtId="167" fontId="22" fillId="0" borderId="32" xfId="41" applyNumberFormat="1" applyFont="1" applyFill="1" applyBorder="1" applyAlignment="1">
      <alignment horizontal="center" vertical="top"/>
    </xf>
    <xf numFmtId="0" fontId="27" fillId="6" borderId="6" xfId="68" applyNumberFormat="1" applyFont="1" applyFill="1" applyBorder="1" applyAlignment="1">
      <alignment horizontal="left" vertical="top"/>
    </xf>
    <xf numFmtId="164" fontId="28" fillId="6" borderId="6" xfId="2" applyFont="1" applyFill="1" applyBorder="1" applyAlignment="1">
      <alignment horizontal="center" vertical="top"/>
    </xf>
    <xf numFmtId="0" fontId="28" fillId="6" borderId="6" xfId="0" applyFont="1" applyFill="1" applyBorder="1" applyAlignment="1">
      <alignment horizontal="center" vertical="top"/>
    </xf>
    <xf numFmtId="164" fontId="27" fillId="6" borderId="6" xfId="2" applyFont="1" applyFill="1" applyBorder="1" applyAlignment="1">
      <alignment horizontal="center" vertical="top"/>
    </xf>
    <xf numFmtId="164" fontId="18" fillId="0" borderId="6" xfId="2" applyFont="1" applyFill="1" applyBorder="1" applyAlignment="1">
      <alignment horizontal="center" vertical="top"/>
    </xf>
    <xf numFmtId="164" fontId="18" fillId="4" borderId="10" xfId="2" applyFont="1" applyFill="1" applyBorder="1" applyAlignment="1">
      <alignment vertical="top"/>
    </xf>
    <xf numFmtId="164" fontId="18" fillId="4" borderId="6" xfId="2" applyFont="1" applyFill="1" applyBorder="1" applyAlignment="1" applyProtection="1">
      <alignment vertical="top"/>
    </xf>
    <xf numFmtId="164" fontId="22" fillId="0" borderId="32" xfId="2" applyFont="1" applyFill="1" applyBorder="1" applyAlignment="1">
      <alignment vertical="top"/>
    </xf>
    <xf numFmtId="164" fontId="43" fillId="4" borderId="10" xfId="2" applyFont="1" applyFill="1" applyBorder="1" applyAlignment="1">
      <alignment vertical="top"/>
    </xf>
    <xf numFmtId="164" fontId="44" fillId="4" borderId="6" xfId="2" applyFont="1" applyFill="1" applyBorder="1" applyAlignment="1">
      <alignment vertical="top"/>
    </xf>
    <xf numFmtId="164" fontId="44" fillId="4" borderId="32" xfId="2" applyFont="1" applyFill="1" applyBorder="1" applyAlignment="1">
      <alignment vertical="top"/>
    </xf>
    <xf numFmtId="164" fontId="44" fillId="4" borderId="6" xfId="2" applyFont="1" applyFill="1" applyBorder="1" applyAlignment="1">
      <alignment horizontal="justify" vertical="top"/>
    </xf>
    <xf numFmtId="164" fontId="18" fillId="0" borderId="6" xfId="2" applyFont="1" applyFill="1" applyBorder="1" applyAlignment="1">
      <alignment horizontal="justify" vertical="top"/>
    </xf>
    <xf numFmtId="164" fontId="18" fillId="0" borderId="32" xfId="2" applyFont="1" applyFill="1" applyBorder="1" applyAlignment="1">
      <alignment vertical="top"/>
    </xf>
    <xf numFmtId="164" fontId="22" fillId="4" borderId="10" xfId="2" applyFont="1" applyFill="1" applyBorder="1" applyAlignment="1">
      <alignment vertical="top"/>
    </xf>
    <xf numFmtId="164" fontId="22" fillId="4" borderId="6" xfId="2" applyFont="1" applyFill="1" applyBorder="1" applyAlignment="1" applyProtection="1">
      <alignment vertical="top"/>
    </xf>
    <xf numFmtId="164" fontId="22" fillId="0" borderId="6" xfId="2" applyFont="1" applyFill="1" applyBorder="1" applyAlignment="1" applyProtection="1">
      <alignment horizontal="justify" vertical="top"/>
    </xf>
    <xf numFmtId="164" fontId="22" fillId="0" borderId="6" xfId="2" applyFont="1" applyFill="1" applyBorder="1" applyAlignment="1" applyProtection="1">
      <alignment vertical="top"/>
    </xf>
    <xf numFmtId="0" fontId="18" fillId="0" borderId="38" xfId="68" applyFont="1" applyFill="1" applyBorder="1" applyAlignment="1">
      <alignment horizontal="center" vertical="top"/>
    </xf>
    <xf numFmtId="49" fontId="18" fillId="0" borderId="39" xfId="68" applyNumberFormat="1" applyFont="1" applyFill="1" applyBorder="1" applyAlignment="1">
      <alignment horizontal="left" vertical="top"/>
    </xf>
    <xf numFmtId="0" fontId="19" fillId="0" borderId="39" xfId="0" applyFont="1" applyFill="1" applyBorder="1" applyAlignment="1">
      <alignment horizontal="right" vertical="top"/>
    </xf>
    <xf numFmtId="0" fontId="19" fillId="0" borderId="39" xfId="0" applyFont="1" applyFill="1" applyBorder="1" applyAlignment="1">
      <alignment horizontal="center" vertical="top"/>
    </xf>
    <xf numFmtId="164" fontId="18" fillId="0" borderId="39" xfId="2" applyFont="1" applyFill="1" applyBorder="1" applyAlignment="1">
      <alignment horizontal="center" vertical="top"/>
    </xf>
    <xf numFmtId="168" fontId="19" fillId="0" borderId="40" xfId="1" applyNumberFormat="1" applyFont="1" applyFill="1" applyBorder="1" applyAlignment="1">
      <alignment horizontal="right" vertical="top"/>
    </xf>
    <xf numFmtId="164" fontId="22" fillId="0" borderId="0" xfId="2" applyFont="1" applyFill="1" applyBorder="1" applyAlignment="1">
      <alignment vertical="top"/>
    </xf>
    <xf numFmtId="49" fontId="22" fillId="0" borderId="0" xfId="2" applyNumberFormat="1" applyFont="1" applyFill="1" applyBorder="1" applyAlignment="1" applyProtection="1">
      <alignment vertical="top"/>
    </xf>
    <xf numFmtId="49" fontId="22" fillId="0" borderId="0" xfId="2" applyNumberFormat="1" applyFont="1" applyFill="1" applyBorder="1" applyAlignment="1" applyProtection="1">
      <alignment horizontal="center" vertical="top"/>
    </xf>
    <xf numFmtId="164" fontId="22" fillId="0" borderId="0" xfId="2" applyFont="1" applyFill="1" applyBorder="1" applyAlignment="1" applyProtection="1">
      <alignment vertical="top"/>
    </xf>
    <xf numFmtId="164" fontId="43" fillId="6" borderId="0" xfId="0" applyNumberFormat="1" applyFont="1" applyFill="1" applyAlignment="1">
      <alignment vertical="center"/>
    </xf>
    <xf numFmtId="164" fontId="44" fillId="0" borderId="0" xfId="0" applyNumberFormat="1" applyFont="1" applyFill="1" applyAlignment="1">
      <alignment vertical="center"/>
    </xf>
    <xf numFmtId="164" fontId="25" fillId="0" borderId="6" xfId="0" applyNumberFormat="1" applyFont="1" applyBorder="1"/>
    <xf numFmtId="164" fontId="18" fillId="0" borderId="35" xfId="21" applyFont="1" applyFill="1" applyBorder="1" applyAlignment="1">
      <alignment vertical="center"/>
    </xf>
    <xf numFmtId="0" fontId="43" fillId="0" borderId="0" xfId="68" applyFont="1" applyBorder="1" applyAlignment="1">
      <alignment horizontal="center" vertical="center"/>
    </xf>
    <xf numFmtId="0" fontId="44" fillId="2" borderId="0" xfId="68" applyNumberFormat="1" applyFont="1" applyFill="1" applyBorder="1" applyAlignment="1">
      <alignment horizontal="center" vertical="center"/>
    </xf>
    <xf numFmtId="0" fontId="43" fillId="0" borderId="6" xfId="68" applyFont="1" applyBorder="1" applyAlignment="1">
      <alignment horizontal="center" vertical="center"/>
    </xf>
    <xf numFmtId="0" fontId="44" fillId="2" borderId="6" xfId="68" applyNumberFormat="1" applyFont="1" applyFill="1" applyBorder="1" applyAlignment="1">
      <alignment horizontal="center" vertical="center"/>
    </xf>
    <xf numFmtId="0" fontId="44" fillId="2" borderId="6" xfId="68" applyNumberFormat="1" applyFont="1" applyFill="1" applyBorder="1" applyAlignment="1">
      <alignment vertical="center"/>
    </xf>
    <xf numFmtId="0" fontId="44" fillId="0" borderId="6" xfId="0" applyFont="1" applyBorder="1" applyAlignment="1">
      <alignment horizontal="center" vertical="center" wrapText="1"/>
    </xf>
    <xf numFmtId="164" fontId="46" fillId="6" borderId="46" xfId="2" applyFont="1" applyFill="1" applyBorder="1" applyAlignment="1">
      <alignment vertical="center"/>
    </xf>
    <xf numFmtId="164" fontId="44" fillId="0" borderId="40" xfId="2" applyFont="1" applyFill="1" applyBorder="1" applyAlignment="1">
      <alignment vertical="center"/>
    </xf>
    <xf numFmtId="164" fontId="49" fillId="0" borderId="0" xfId="2" applyFont="1" applyFill="1" applyAlignment="1">
      <alignment vertical="center"/>
    </xf>
    <xf numFmtId="164" fontId="49" fillId="0" borderId="0" xfId="2" applyFont="1" applyFill="1" applyAlignment="1">
      <alignment horizontal="center" vertical="center"/>
    </xf>
    <xf numFmtId="164" fontId="45" fillId="0" borderId="0" xfId="2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49" fillId="0" borderId="14" xfId="0" applyFont="1" applyFill="1" applyBorder="1" applyAlignment="1">
      <alignment vertical="center" wrapText="1"/>
    </xf>
    <xf numFmtId="164" fontId="49" fillId="0" borderId="0" xfId="21" applyFont="1" applyFill="1" applyAlignment="1">
      <alignment vertical="center"/>
    </xf>
    <xf numFmtId="164" fontId="45" fillId="0" borderId="0" xfId="21" applyFont="1" applyFill="1" applyAlignment="1">
      <alignment vertical="center"/>
    </xf>
    <xf numFmtId="0" fontId="49" fillId="0" borderId="14" xfId="0" applyFont="1" applyFill="1" applyBorder="1" applyAlignment="1">
      <alignment horizontal="left" vertical="center" wrapText="1"/>
    </xf>
    <xf numFmtId="0" fontId="49" fillId="0" borderId="0" xfId="0" applyFont="1" applyFill="1"/>
    <xf numFmtId="164" fontId="49" fillId="0" borderId="0" xfId="2" applyFont="1" applyFill="1" applyBorder="1" applyAlignment="1">
      <alignment vertical="center"/>
    </xf>
    <xf numFmtId="164" fontId="45" fillId="0" borderId="80" xfId="21" applyNumberFormat="1" applyFont="1" applyFill="1" applyBorder="1" applyAlignment="1" applyProtection="1">
      <alignment vertical="center"/>
    </xf>
    <xf numFmtId="164" fontId="49" fillId="0" borderId="74" xfId="21" applyFont="1" applyFill="1" applyBorder="1" applyAlignment="1" applyProtection="1">
      <alignment horizontal="center" vertical="center"/>
    </xf>
    <xf numFmtId="164" fontId="49" fillId="0" borderId="81" xfId="2" applyFont="1" applyFill="1" applyBorder="1" applyAlignment="1" applyProtection="1">
      <alignment horizontal="center" vertical="center"/>
    </xf>
    <xf numFmtId="164" fontId="49" fillId="0" borderId="71" xfId="21" applyFont="1" applyFill="1" applyBorder="1" applyAlignment="1" applyProtection="1">
      <alignment horizontal="center" vertical="center"/>
    </xf>
    <xf numFmtId="164" fontId="49" fillId="0" borderId="22" xfId="21" applyNumberFormat="1" applyFont="1" applyFill="1" applyBorder="1" applyAlignment="1">
      <alignment vertical="center"/>
    </xf>
    <xf numFmtId="164" fontId="49" fillId="0" borderId="22" xfId="21" applyNumberFormat="1" applyFont="1" applyFill="1" applyBorder="1" applyAlignment="1" applyProtection="1">
      <alignment vertical="center"/>
    </xf>
    <xf numFmtId="164" fontId="49" fillId="0" borderId="75" xfId="21" applyNumberFormat="1" applyFont="1" applyFill="1" applyBorder="1" applyAlignment="1" applyProtection="1">
      <alignment vertical="center"/>
    </xf>
    <xf numFmtId="164" fontId="49" fillId="0" borderId="0" xfId="21" applyNumberFormat="1" applyFont="1" applyFill="1" applyBorder="1" applyAlignment="1" applyProtection="1">
      <alignment vertical="center"/>
    </xf>
    <xf numFmtId="164" fontId="49" fillId="0" borderId="0" xfId="2" applyFont="1" applyFill="1" applyAlignment="1">
      <alignment horizontal="left" vertical="center"/>
    </xf>
    <xf numFmtId="0" fontId="49" fillId="0" borderId="14" xfId="0" applyFont="1" applyFill="1" applyBorder="1"/>
    <xf numFmtId="0" fontId="49" fillId="0" borderId="14" xfId="0" applyFont="1" applyFill="1" applyBorder="1" applyAlignment="1">
      <alignment wrapText="1"/>
    </xf>
    <xf numFmtId="164" fontId="49" fillId="0" borderId="21" xfId="2" applyFont="1" applyFill="1" applyBorder="1" applyAlignment="1">
      <alignment vertical="center"/>
    </xf>
    <xf numFmtId="164" fontId="49" fillId="0" borderId="76" xfId="21" applyFont="1" applyFill="1" applyBorder="1" applyAlignment="1" applyProtection="1">
      <alignment horizontal="center" vertical="center"/>
    </xf>
    <xf numFmtId="164" fontId="49" fillId="0" borderId="15" xfId="2" applyFont="1" applyFill="1" applyBorder="1" applyAlignment="1" applyProtection="1">
      <alignment horizontal="center" vertical="center"/>
    </xf>
    <xf numFmtId="0" fontId="49" fillId="0" borderId="72" xfId="0" applyFont="1" applyFill="1" applyBorder="1" applyAlignment="1">
      <alignment horizontal="center" vertical="center"/>
    </xf>
    <xf numFmtId="164" fontId="49" fillId="0" borderId="14" xfId="21" applyNumberFormat="1" applyFont="1" applyFill="1" applyBorder="1" applyAlignment="1" applyProtection="1">
      <alignment vertical="center"/>
    </xf>
    <xf numFmtId="164" fontId="49" fillId="0" borderId="13" xfId="21" applyNumberFormat="1" applyFont="1" applyFill="1" applyBorder="1" applyAlignment="1" applyProtection="1">
      <alignment vertical="center"/>
    </xf>
    <xf numFmtId="0" fontId="49" fillId="0" borderId="76" xfId="77" applyNumberFormat="1" applyFont="1" applyFill="1" applyBorder="1" applyAlignment="1" applyProtection="1">
      <alignment horizontal="center" vertical="center"/>
    </xf>
    <xf numFmtId="167" fontId="49" fillId="0" borderId="14" xfId="41" applyNumberFormat="1" applyFont="1" applyFill="1" applyBorder="1" applyAlignment="1">
      <alignment vertical="center" wrapText="1"/>
    </xf>
    <xf numFmtId="164" fontId="49" fillId="0" borderId="15" xfId="2" applyFont="1" applyFill="1" applyBorder="1" applyAlignment="1" applyProtection="1">
      <alignment vertical="center"/>
    </xf>
    <xf numFmtId="164" fontId="49" fillId="0" borderId="14" xfId="41" applyNumberFormat="1" applyFont="1" applyFill="1" applyBorder="1" applyAlignment="1" applyProtection="1">
      <alignment vertical="center"/>
    </xf>
    <xf numFmtId="164" fontId="49" fillId="0" borderId="13" xfId="41" applyNumberFormat="1" applyFont="1" applyFill="1" applyBorder="1" applyAlignment="1" applyProtection="1">
      <alignment vertical="center"/>
    </xf>
    <xf numFmtId="164" fontId="49" fillId="0" borderId="0" xfId="41" applyNumberFormat="1" applyFont="1" applyFill="1" applyBorder="1" applyAlignment="1" applyProtection="1">
      <alignment vertical="center"/>
    </xf>
    <xf numFmtId="167" fontId="45" fillId="0" borderId="14" xfId="41" applyNumberFormat="1" applyFont="1" applyFill="1" applyBorder="1" applyAlignment="1">
      <alignment vertical="center" wrapText="1"/>
    </xf>
    <xf numFmtId="0" fontId="45" fillId="0" borderId="72" xfId="0" applyFont="1" applyFill="1" applyBorder="1" applyAlignment="1">
      <alignment horizontal="center" vertical="center"/>
    </xf>
    <xf numFmtId="164" fontId="45" fillId="0" borderId="14" xfId="21" applyNumberFormat="1" applyFont="1" applyFill="1" applyBorder="1" applyAlignment="1" applyProtection="1">
      <alignment vertical="center"/>
    </xf>
    <xf numFmtId="164" fontId="45" fillId="0" borderId="14" xfId="41" applyNumberFormat="1" applyFont="1" applyFill="1" applyBorder="1" applyAlignment="1" applyProtection="1">
      <alignment vertical="center"/>
    </xf>
    <xf numFmtId="164" fontId="45" fillId="0" borderId="13" xfId="41" applyNumberFormat="1" applyFont="1" applyFill="1" applyBorder="1" applyAlignment="1" applyProtection="1">
      <alignment vertical="center"/>
    </xf>
    <xf numFmtId="164" fontId="45" fillId="0" borderId="0" xfId="41" applyNumberFormat="1" applyFont="1" applyFill="1" applyBorder="1" applyAlignment="1" applyProtection="1">
      <alignment vertical="center"/>
    </xf>
    <xf numFmtId="167" fontId="49" fillId="0" borderId="14" xfId="41" quotePrefix="1" applyNumberFormat="1" applyFont="1" applyFill="1" applyBorder="1" applyAlignment="1">
      <alignment vertical="center" wrapText="1"/>
    </xf>
    <xf numFmtId="0" fontId="49" fillId="0" borderId="76" xfId="0" applyFont="1" applyFill="1" applyBorder="1" applyAlignment="1">
      <alignment horizontal="center" vertical="center"/>
    </xf>
    <xf numFmtId="0" fontId="49" fillId="0" borderId="14" xfId="0" applyFont="1" applyFill="1" applyBorder="1" applyAlignment="1">
      <alignment vertical="center"/>
    </xf>
    <xf numFmtId="164" fontId="49" fillId="0" borderId="14" xfId="0" applyNumberFormat="1" applyFont="1" applyFill="1" applyBorder="1" applyAlignment="1">
      <alignment vertical="center"/>
    </xf>
    <xf numFmtId="164" fontId="49" fillId="0" borderId="15" xfId="2" applyFont="1" applyFill="1" applyBorder="1" applyAlignment="1">
      <alignment vertical="center"/>
    </xf>
    <xf numFmtId="164" fontId="49" fillId="0" borderId="14" xfId="21" applyNumberFormat="1" applyFont="1" applyFill="1" applyBorder="1" applyAlignment="1">
      <alignment vertical="center"/>
    </xf>
    <xf numFmtId="0" fontId="49" fillId="0" borderId="21" xfId="0" applyFont="1" applyFill="1" applyBorder="1" applyAlignment="1">
      <alignment vertical="center"/>
    </xf>
    <xf numFmtId="0" fontId="49" fillId="0" borderId="21" xfId="0" applyFont="1" applyFill="1" applyBorder="1" applyAlignment="1">
      <alignment horizontal="center" vertical="center"/>
    </xf>
    <xf numFmtId="0" fontId="49" fillId="0" borderId="82" xfId="77" applyNumberFormat="1" applyFont="1" applyFill="1" applyBorder="1" applyAlignment="1" applyProtection="1">
      <alignment horizontal="center" vertical="center"/>
    </xf>
    <xf numFmtId="0" fontId="49" fillId="0" borderId="83" xfId="0" applyFont="1" applyFill="1" applyBorder="1" applyAlignment="1">
      <alignment vertical="center"/>
    </xf>
    <xf numFmtId="164" fontId="49" fillId="0" borderId="84" xfId="2" applyFont="1" applyFill="1" applyBorder="1" applyAlignment="1">
      <alignment vertical="center"/>
    </xf>
    <xf numFmtId="0" fontId="49" fillId="0" borderId="83" xfId="0" applyFont="1" applyFill="1" applyBorder="1" applyAlignment="1">
      <alignment horizontal="center" vertical="center"/>
    </xf>
    <xf numFmtId="164" fontId="49" fillId="0" borderId="85" xfId="21" applyNumberFormat="1" applyFont="1" applyFill="1" applyBorder="1" applyAlignment="1">
      <alignment vertical="center"/>
    </xf>
    <xf numFmtId="164" fontId="49" fillId="0" borderId="85" xfId="41" applyNumberFormat="1" applyFont="1" applyFill="1" applyBorder="1" applyAlignment="1" applyProtection="1">
      <alignment vertical="center"/>
    </xf>
    <xf numFmtId="164" fontId="49" fillId="0" borderId="19" xfId="41" applyNumberFormat="1" applyFont="1" applyFill="1" applyBorder="1" applyAlignment="1" applyProtection="1">
      <alignment vertical="center"/>
    </xf>
    <xf numFmtId="0" fontId="49" fillId="0" borderId="14" xfId="0" applyFont="1" applyFill="1" applyBorder="1" applyAlignment="1">
      <alignment horizontal="left" vertical="center"/>
    </xf>
    <xf numFmtId="0" fontId="49" fillId="0" borderId="21" xfId="0" applyFont="1" applyFill="1" applyBorder="1" applyAlignment="1">
      <alignment horizontal="left" vertical="center"/>
    </xf>
    <xf numFmtId="0" fontId="49" fillId="0" borderId="14" xfId="0" quotePrefix="1" applyFont="1" applyFill="1" applyBorder="1" applyAlignment="1">
      <alignment vertical="center"/>
    </xf>
    <xf numFmtId="164" fontId="49" fillId="0" borderId="72" xfId="21" applyFont="1" applyFill="1" applyBorder="1" applyAlignment="1" applyProtection="1">
      <alignment horizontal="center" vertical="center"/>
    </xf>
    <xf numFmtId="164" fontId="45" fillId="0" borderId="80" xfId="21" applyFont="1" applyFill="1" applyBorder="1" applyAlignment="1" applyProtection="1">
      <alignment vertical="top"/>
    </xf>
    <xf numFmtId="164" fontId="49" fillId="0" borderId="0" xfId="2" applyFont="1" applyFill="1"/>
    <xf numFmtId="164" fontId="49" fillId="0" borderId="74" xfId="21" applyFont="1" applyFill="1" applyBorder="1" applyAlignment="1">
      <alignment horizontal="center" vertical="center"/>
    </xf>
    <xf numFmtId="164" fontId="49" fillId="0" borderId="71" xfId="21" applyFont="1" applyFill="1" applyBorder="1"/>
    <xf numFmtId="164" fontId="49" fillId="0" borderId="81" xfId="2" applyFont="1" applyFill="1" applyBorder="1" applyAlignment="1" applyProtection="1">
      <alignment horizontal="center"/>
    </xf>
    <xf numFmtId="164" fontId="49" fillId="0" borderId="22" xfId="21" applyFont="1" applyFill="1" applyBorder="1" applyAlignment="1" applyProtection="1">
      <alignment vertical="center"/>
    </xf>
    <xf numFmtId="164" fontId="49" fillId="0" borderId="22" xfId="21" applyFont="1" applyFill="1" applyBorder="1" applyAlignment="1" applyProtection="1">
      <alignment vertical="top"/>
    </xf>
    <xf numFmtId="164" fontId="49" fillId="0" borderId="75" xfId="21" applyFont="1" applyFill="1" applyBorder="1" applyAlignment="1" applyProtection="1">
      <alignment vertical="top"/>
    </xf>
    <xf numFmtId="164" fontId="49" fillId="0" borderId="0" xfId="21" applyFont="1" applyFill="1" applyBorder="1" applyAlignment="1" applyProtection="1">
      <alignment vertical="top"/>
    </xf>
    <xf numFmtId="164" fontId="45" fillId="0" borderId="76" xfId="21" applyFont="1" applyFill="1" applyBorder="1" applyAlignment="1">
      <alignment horizontal="center" vertical="center"/>
    </xf>
    <xf numFmtId="164" fontId="45" fillId="0" borderId="21" xfId="21" applyFont="1" applyFill="1" applyBorder="1" applyAlignment="1" applyProtection="1">
      <alignment horizontal="center" vertical="center"/>
    </xf>
    <xf numFmtId="164" fontId="49" fillId="0" borderId="21" xfId="21" applyFont="1" applyFill="1" applyBorder="1" applyAlignment="1" applyProtection="1">
      <alignment horizontal="center" vertical="center"/>
    </xf>
    <xf numFmtId="164" fontId="45" fillId="0" borderId="76" xfId="21" applyFont="1" applyFill="1" applyBorder="1" applyAlignment="1" applyProtection="1">
      <alignment horizontal="center" vertical="center"/>
    </xf>
    <xf numFmtId="164" fontId="45" fillId="0" borderId="72" xfId="21" applyFont="1" applyFill="1" applyBorder="1" applyAlignment="1" applyProtection="1">
      <alignment vertical="center" wrapText="1"/>
    </xf>
    <xf numFmtId="164" fontId="49" fillId="0" borderId="76" xfId="21" applyFont="1" applyFill="1" applyBorder="1" applyAlignment="1">
      <alignment horizontal="center" vertical="center"/>
    </xf>
    <xf numFmtId="164" fontId="49" fillId="0" borderId="15" xfId="2" applyFont="1" applyFill="1" applyBorder="1" applyAlignment="1" applyProtection="1"/>
    <xf numFmtId="164" fontId="49" fillId="0" borderId="21" xfId="21" applyFont="1" applyFill="1" applyBorder="1" applyAlignment="1">
      <alignment vertical="center"/>
    </xf>
    <xf numFmtId="164" fontId="50" fillId="0" borderId="14" xfId="21" applyNumberFormat="1" applyFont="1" applyFill="1" applyBorder="1" applyAlignment="1">
      <alignment vertical="center"/>
    </xf>
    <xf numFmtId="164" fontId="50" fillId="0" borderId="0" xfId="21" applyNumberFormat="1" applyFont="1" applyFill="1" applyBorder="1" applyAlignment="1">
      <alignment vertical="center"/>
    </xf>
    <xf numFmtId="164" fontId="48" fillId="0" borderId="14" xfId="21" applyNumberFormat="1" applyFont="1" applyFill="1" applyBorder="1" applyAlignment="1">
      <alignment vertical="center"/>
    </xf>
    <xf numFmtId="164" fontId="48" fillId="0" borderId="13" xfId="21" applyNumberFormat="1" applyFont="1" applyFill="1" applyBorder="1" applyAlignment="1">
      <alignment vertical="center"/>
    </xf>
    <xf numFmtId="164" fontId="48" fillId="0" borderId="0" xfId="21" applyNumberFormat="1" applyFont="1" applyFill="1" applyBorder="1" applyAlignment="1">
      <alignment vertical="center"/>
    </xf>
    <xf numFmtId="164" fontId="48" fillId="0" borderId="85" xfId="21" applyNumberFormat="1" applyFont="1" applyFill="1" applyBorder="1" applyAlignment="1">
      <alignment vertical="center"/>
    </xf>
    <xf numFmtId="164" fontId="48" fillId="0" borderId="19" xfId="21" applyNumberFormat="1" applyFont="1" applyFill="1" applyBorder="1" applyAlignment="1">
      <alignment vertical="center"/>
    </xf>
    <xf numFmtId="164" fontId="45" fillId="0" borderId="72" xfId="21" applyFont="1" applyFill="1" applyBorder="1" applyAlignment="1">
      <alignment vertical="center"/>
    </xf>
    <xf numFmtId="164" fontId="49" fillId="0" borderId="13" xfId="21" applyNumberFormat="1" applyFont="1" applyFill="1" applyBorder="1" applyAlignment="1">
      <alignment vertical="center"/>
    </xf>
    <xf numFmtId="164" fontId="49" fillId="0" borderId="0" xfId="21" applyNumberFormat="1" applyFont="1" applyFill="1" applyBorder="1" applyAlignment="1">
      <alignment vertical="center"/>
    </xf>
    <xf numFmtId="164" fontId="49" fillId="0" borderId="86" xfId="2" applyFont="1" applyFill="1" applyBorder="1" applyAlignment="1">
      <alignment vertical="center"/>
    </xf>
    <xf numFmtId="164" fontId="49" fillId="0" borderId="72" xfId="21" applyFont="1" applyFill="1" applyBorder="1" applyAlignment="1">
      <alignment vertical="center"/>
    </xf>
    <xf numFmtId="0" fontId="49" fillId="0" borderId="72" xfId="0" applyFont="1" applyFill="1" applyBorder="1" applyAlignment="1">
      <alignment vertical="center"/>
    </xf>
    <xf numFmtId="164" fontId="49" fillId="0" borderId="14" xfId="41" applyNumberFormat="1" applyFont="1" applyFill="1" applyBorder="1" applyAlignment="1">
      <alignment vertical="center"/>
    </xf>
    <xf numFmtId="0" fontId="45" fillId="0" borderId="14" xfId="0" applyFont="1" applyFill="1" applyBorder="1" applyAlignment="1">
      <alignment vertical="center"/>
    </xf>
    <xf numFmtId="164" fontId="49" fillId="0" borderId="83" xfId="2" applyFont="1" applyFill="1" applyBorder="1" applyAlignment="1">
      <alignment vertical="center"/>
    </xf>
    <xf numFmtId="167" fontId="45" fillId="0" borderId="14" xfId="41" applyNumberFormat="1" applyFont="1" applyFill="1" applyBorder="1" applyAlignment="1" applyProtection="1">
      <alignment vertical="center" wrapText="1"/>
    </xf>
    <xf numFmtId="0" fontId="49" fillId="0" borderId="72" xfId="0" applyFont="1" applyFill="1" applyBorder="1" applyAlignment="1">
      <alignment horizontal="left" vertical="center"/>
    </xf>
    <xf numFmtId="167" fontId="49" fillId="0" borderId="14" xfId="41" applyNumberFormat="1" applyFont="1" applyFill="1" applyBorder="1" applyAlignment="1" applyProtection="1">
      <alignment vertical="center" wrapText="1"/>
    </xf>
    <xf numFmtId="164" fontId="49" fillId="0" borderId="87" xfId="21" applyFont="1" applyFill="1" applyBorder="1" applyAlignment="1">
      <alignment horizontal="center" vertical="center"/>
    </xf>
    <xf numFmtId="0" fontId="49" fillId="0" borderId="15" xfId="0" applyNumberFormat="1" applyFont="1" applyFill="1" applyBorder="1" applyAlignment="1" applyProtection="1">
      <alignment vertical="center" wrapText="1"/>
    </xf>
    <xf numFmtId="0" fontId="49" fillId="0" borderId="21" xfId="0" applyNumberFormat="1" applyFont="1" applyFill="1" applyBorder="1" applyAlignment="1" applyProtection="1">
      <alignment vertical="center" wrapText="1"/>
    </xf>
    <xf numFmtId="164" fontId="49" fillId="0" borderId="14" xfId="21" applyNumberFormat="1" applyFont="1" applyFill="1" applyBorder="1" applyAlignment="1">
      <alignment vertical="center" wrapText="1"/>
    </xf>
    <xf numFmtId="164" fontId="49" fillId="0" borderId="14" xfId="3" applyNumberFormat="1" applyFont="1" applyFill="1" applyBorder="1" applyAlignment="1">
      <alignment vertical="center"/>
    </xf>
    <xf numFmtId="164" fontId="49" fillId="0" borderId="13" xfId="3" applyNumberFormat="1" applyFont="1" applyFill="1" applyBorder="1" applyAlignment="1">
      <alignment vertical="center"/>
    </xf>
    <xf numFmtId="164" fontId="49" fillId="0" borderId="0" xfId="3" applyNumberFormat="1" applyFont="1" applyFill="1" applyBorder="1" applyAlignment="1">
      <alignment vertical="center"/>
    </xf>
    <xf numFmtId="0" fontId="45" fillId="0" borderId="14" xfId="0" applyFont="1" applyFill="1" applyBorder="1" applyAlignment="1">
      <alignment vertical="center" wrapText="1"/>
    </xf>
    <xf numFmtId="164" fontId="49" fillId="0" borderId="15" xfId="2" applyFont="1" applyFill="1" applyBorder="1" applyAlignment="1" applyProtection="1">
      <alignment vertical="center" wrapText="1"/>
    </xf>
    <xf numFmtId="0" fontId="51" fillId="0" borderId="14" xfId="0" applyFont="1" applyFill="1" applyBorder="1" applyAlignment="1">
      <alignment vertical="center" wrapText="1"/>
    </xf>
    <xf numFmtId="0" fontId="45" fillId="0" borderId="14" xfId="0" applyFont="1" applyFill="1" applyBorder="1" applyAlignment="1">
      <alignment horizontal="left" vertical="center"/>
    </xf>
    <xf numFmtId="164" fontId="45" fillId="0" borderId="13" xfId="21" applyNumberFormat="1" applyFont="1" applyFill="1" applyBorder="1" applyAlignment="1">
      <alignment vertical="center"/>
    </xf>
    <xf numFmtId="164" fontId="45" fillId="0" borderId="0" xfId="21" applyNumberFormat="1" applyFont="1" applyFill="1" applyBorder="1" applyAlignment="1">
      <alignment vertical="center"/>
    </xf>
    <xf numFmtId="164" fontId="49" fillId="0" borderId="6" xfId="21" applyNumberFormat="1" applyFont="1" applyFill="1" applyBorder="1" applyAlignment="1">
      <alignment vertical="center"/>
    </xf>
    <xf numFmtId="0" fontId="49" fillId="0" borderId="72" xfId="0" applyFont="1" applyFill="1" applyBorder="1" applyAlignment="1">
      <alignment horizontal="left"/>
    </xf>
    <xf numFmtId="0" fontId="49" fillId="0" borderId="0" xfId="0" applyFont="1" applyFill="1" applyAlignment="1">
      <alignment horizontal="center" vertical="center"/>
    </xf>
    <xf numFmtId="0" fontId="49" fillId="0" borderId="14" xfId="0" applyFont="1" applyFill="1" applyBorder="1" applyAlignment="1"/>
    <xf numFmtId="164" fontId="42" fillId="0" borderId="21" xfId="2" applyFont="1" applyFill="1" applyBorder="1" applyAlignment="1"/>
    <xf numFmtId="168" fontId="49" fillId="0" borderId="72" xfId="1" applyNumberFormat="1" applyFont="1" applyFill="1" applyBorder="1" applyAlignment="1"/>
    <xf numFmtId="0" fontId="49" fillId="0" borderId="0" xfId="0" applyFont="1" applyFill="1" applyBorder="1" applyAlignment="1">
      <alignment vertical="center"/>
    </xf>
    <xf numFmtId="0" fontId="48" fillId="0" borderId="87" xfId="0" applyFont="1" applyFill="1" applyBorder="1" applyAlignment="1"/>
    <xf numFmtId="0" fontId="49" fillId="0" borderId="0" xfId="0" applyFont="1" applyFill="1" applyAlignment="1"/>
    <xf numFmtId="0" fontId="49" fillId="0" borderId="14" xfId="0" applyFont="1" applyFill="1" applyBorder="1" applyAlignment="1">
      <alignment horizontal="justify" vertical="center"/>
    </xf>
    <xf numFmtId="0" fontId="51" fillId="0" borderId="14" xfId="0" applyFont="1" applyFill="1" applyBorder="1"/>
    <xf numFmtId="0" fontId="49" fillId="0" borderId="76" xfId="0" applyNumberFormat="1" applyFont="1" applyFill="1" applyBorder="1" applyAlignment="1" applyProtection="1">
      <alignment horizontal="center" vertical="center"/>
    </xf>
    <xf numFmtId="164" fontId="49" fillId="0" borderId="15" xfId="2" applyFont="1" applyFill="1" applyBorder="1" applyAlignment="1">
      <alignment horizontal="right" vertical="center"/>
    </xf>
    <xf numFmtId="0" fontId="49" fillId="0" borderId="21" xfId="77" applyNumberFormat="1" applyFont="1" applyFill="1" applyBorder="1" applyAlignment="1" applyProtection="1">
      <alignment horizontal="center" vertical="center"/>
    </xf>
    <xf numFmtId="0" fontId="49" fillId="0" borderId="72" xfId="52" applyFont="1" applyFill="1" applyBorder="1" applyAlignment="1">
      <alignment vertical="center" wrapText="1"/>
    </xf>
    <xf numFmtId="164" fontId="49" fillId="0" borderId="14" xfId="33" applyNumberFormat="1" applyFont="1" applyFill="1" applyBorder="1" applyAlignment="1" applyProtection="1">
      <alignment vertical="center"/>
    </xf>
    <xf numFmtId="0" fontId="42" fillId="0" borderId="87" xfId="0" applyFont="1" applyFill="1" applyBorder="1" applyAlignment="1"/>
    <xf numFmtId="0" fontId="51" fillId="0" borderId="14" xfId="0" applyFont="1" applyFill="1" applyBorder="1" applyAlignment="1">
      <alignment horizontal="left" vertical="center"/>
    </xf>
    <xf numFmtId="164" fontId="45" fillId="0" borderId="21" xfId="21" applyFont="1" applyFill="1" applyBorder="1" applyAlignment="1">
      <alignment vertical="center"/>
    </xf>
    <xf numFmtId="164" fontId="50" fillId="0" borderId="21" xfId="21" applyFont="1" applyFill="1" applyBorder="1" applyAlignment="1">
      <alignment vertical="center"/>
    </xf>
    <xf numFmtId="164" fontId="49" fillId="0" borderId="83" xfId="21" applyFont="1" applyFill="1" applyBorder="1" applyAlignment="1">
      <alignment vertical="center"/>
    </xf>
    <xf numFmtId="164" fontId="45" fillId="0" borderId="6" xfId="21" applyFont="1" applyFill="1" applyBorder="1" applyAlignment="1">
      <alignment vertical="center"/>
    </xf>
    <xf numFmtId="164" fontId="51" fillId="0" borderId="0" xfId="2" applyFont="1" applyFill="1" applyAlignment="1">
      <alignment horizontal="center" vertical="center"/>
    </xf>
    <xf numFmtId="164" fontId="49" fillId="0" borderId="0" xfId="2" applyFont="1" applyFill="1" applyBorder="1" applyAlignment="1">
      <alignment horizontal="center" vertical="center"/>
    </xf>
    <xf numFmtId="164" fontId="49" fillId="0" borderId="0" xfId="2" applyNumberFormat="1" applyFont="1" applyFill="1" applyAlignment="1">
      <alignment vertical="center"/>
    </xf>
    <xf numFmtId="164" fontId="49" fillId="0" borderId="0" xfId="2" applyNumberFormat="1" applyFont="1" applyFill="1" applyAlignment="1">
      <alignment horizontal="right" vertical="center"/>
    </xf>
    <xf numFmtId="164" fontId="45" fillId="0" borderId="0" xfId="0" applyNumberFormat="1" applyFont="1" applyFill="1" applyBorder="1" applyAlignment="1">
      <alignment horizontal="center" vertical="center"/>
    </xf>
    <xf numFmtId="164" fontId="45" fillId="0" borderId="47" xfId="0" applyNumberFormat="1" applyFont="1" applyFill="1" applyBorder="1" applyAlignment="1">
      <alignment horizontal="center" vertical="center"/>
    </xf>
    <xf numFmtId="164" fontId="45" fillId="0" borderId="6" xfId="21" applyNumberFormat="1" applyFont="1" applyFill="1" applyBorder="1" applyAlignment="1" applyProtection="1">
      <alignment horizontal="center" vertical="center"/>
    </xf>
    <xf numFmtId="0" fontId="49" fillId="0" borderId="49" xfId="0" applyFont="1" applyFill="1" applyBorder="1" applyAlignment="1">
      <alignment horizontal="center" vertical="center"/>
    </xf>
    <xf numFmtId="164" fontId="49" fillId="0" borderId="33" xfId="21" applyFont="1" applyFill="1" applyBorder="1" applyAlignment="1" applyProtection="1">
      <alignment horizontal="center" vertical="center"/>
    </xf>
    <xf numFmtId="164" fontId="49" fillId="0" borderId="27" xfId="2" applyFont="1" applyFill="1" applyBorder="1" applyAlignment="1">
      <alignment horizontal="center" vertical="center"/>
    </xf>
    <xf numFmtId="0" fontId="49" fillId="0" borderId="33" xfId="0" applyFont="1" applyFill="1" applyBorder="1" applyAlignment="1">
      <alignment horizontal="center" vertical="center"/>
    </xf>
    <xf numFmtId="164" fontId="49" fillId="0" borderId="27" xfId="21" applyNumberFormat="1" applyFont="1" applyFill="1" applyBorder="1" applyAlignment="1" applyProtection="1">
      <alignment horizontal="center" vertical="center" wrapText="1"/>
    </xf>
    <xf numFmtId="164" fontId="49" fillId="0" borderId="25" xfId="0" applyNumberFormat="1" applyFont="1" applyFill="1" applyBorder="1" applyAlignment="1">
      <alignment horizontal="center" vertical="center"/>
    </xf>
    <xf numFmtId="164" fontId="49" fillId="0" borderId="33" xfId="0" applyNumberFormat="1" applyFont="1" applyFill="1" applyBorder="1" applyAlignment="1">
      <alignment horizontal="center" vertical="center"/>
    </xf>
    <xf numFmtId="164" fontId="49" fillId="0" borderId="54" xfId="0" applyNumberFormat="1" applyFont="1" applyFill="1" applyBorder="1" applyAlignment="1">
      <alignment horizontal="center" vertical="center"/>
    </xf>
    <xf numFmtId="164" fontId="49" fillId="0" borderId="0" xfId="0" applyNumberFormat="1" applyFont="1" applyFill="1" applyBorder="1" applyAlignment="1">
      <alignment horizontal="center" vertical="center"/>
    </xf>
    <xf numFmtId="164" fontId="49" fillId="0" borderId="49" xfId="21" applyFont="1" applyFill="1" applyBorder="1" applyAlignment="1" applyProtection="1">
      <alignment horizontal="center" vertical="center"/>
    </xf>
    <xf numFmtId="164" fontId="49" fillId="0" borderId="0" xfId="21" applyFont="1" applyFill="1" applyBorder="1" applyAlignment="1" applyProtection="1">
      <alignment vertical="center" wrapText="1"/>
    </xf>
    <xf numFmtId="164" fontId="49" fillId="0" borderId="27" xfId="2" applyFont="1" applyFill="1" applyBorder="1" applyAlignment="1" applyProtection="1">
      <alignment horizontal="center" vertical="center"/>
    </xf>
    <xf numFmtId="164" fontId="49" fillId="0" borderId="25" xfId="21" applyNumberFormat="1" applyFont="1" applyFill="1" applyBorder="1" applyAlignment="1" applyProtection="1">
      <alignment vertical="center"/>
    </xf>
    <xf numFmtId="164" fontId="49" fillId="0" borderId="54" xfId="21" applyNumberFormat="1" applyFont="1" applyFill="1" applyBorder="1" applyAlignment="1" applyProtection="1">
      <alignment vertical="center"/>
    </xf>
    <xf numFmtId="164" fontId="49" fillId="0" borderId="82" xfId="21" applyFont="1" applyFill="1" applyBorder="1" applyAlignment="1" applyProtection="1">
      <alignment horizontal="center" vertical="center"/>
    </xf>
    <xf numFmtId="164" fontId="49" fillId="0" borderId="85" xfId="21" applyNumberFormat="1" applyFont="1" applyFill="1" applyBorder="1" applyAlignment="1" applyProtection="1">
      <alignment vertical="center"/>
    </xf>
    <xf numFmtId="164" fontId="49" fillId="0" borderId="19" xfId="21" applyNumberFormat="1" applyFont="1" applyFill="1" applyBorder="1" applyAlignment="1" applyProtection="1">
      <alignment vertical="center"/>
    </xf>
    <xf numFmtId="164" fontId="45" fillId="0" borderId="80" xfId="41" applyNumberFormat="1" applyFont="1" applyFill="1" applyBorder="1" applyAlignment="1" applyProtection="1">
      <alignment vertical="center"/>
    </xf>
    <xf numFmtId="0" fontId="49" fillId="0" borderId="71" xfId="0" applyFont="1" applyFill="1" applyBorder="1" applyAlignment="1">
      <alignment vertical="center"/>
    </xf>
    <xf numFmtId="164" fontId="49" fillId="0" borderId="22" xfId="41" applyNumberFormat="1" applyFont="1" applyFill="1" applyBorder="1" applyAlignment="1" applyProtection="1">
      <alignment vertical="center"/>
    </xf>
    <xf numFmtId="164" fontId="49" fillId="0" borderId="75" xfId="41" applyNumberFormat="1" applyFont="1" applyFill="1" applyBorder="1" applyAlignment="1" applyProtection="1">
      <alignment vertical="center"/>
    </xf>
    <xf numFmtId="164" fontId="49" fillId="0" borderId="21" xfId="2" applyFont="1" applyFill="1" applyBorder="1" applyAlignment="1" applyProtection="1">
      <alignment vertical="center"/>
    </xf>
    <xf numFmtId="164" fontId="45" fillId="0" borderId="15" xfId="2" applyFont="1" applyFill="1" applyBorder="1" applyAlignment="1" applyProtection="1">
      <alignment horizontal="center" vertical="center"/>
    </xf>
    <xf numFmtId="164" fontId="45" fillId="0" borderId="0" xfId="21" applyNumberFormat="1" applyFont="1" applyFill="1" applyBorder="1" applyAlignment="1" applyProtection="1">
      <alignment vertical="center"/>
    </xf>
    <xf numFmtId="164" fontId="49" fillId="0" borderId="84" xfId="2" applyFont="1" applyFill="1" applyBorder="1" applyAlignment="1" applyProtection="1">
      <alignment horizontal="center" vertical="center"/>
    </xf>
    <xf numFmtId="164" fontId="49" fillId="0" borderId="88" xfId="21" applyFont="1" applyFill="1" applyBorder="1" applyAlignment="1" applyProtection="1">
      <alignment horizontal="center" vertical="center"/>
    </xf>
    <xf numFmtId="164" fontId="49" fillId="0" borderId="83" xfId="21" quotePrefix="1" applyFont="1" applyFill="1" applyBorder="1" applyAlignment="1">
      <alignment vertical="center" wrapText="1"/>
    </xf>
    <xf numFmtId="0" fontId="49" fillId="0" borderId="71" xfId="0" applyFont="1" applyFill="1" applyBorder="1" applyAlignment="1">
      <alignment horizontal="left" vertical="center"/>
    </xf>
    <xf numFmtId="164" fontId="49" fillId="0" borderId="84" xfId="2" applyFont="1" applyFill="1" applyBorder="1" applyAlignment="1" applyProtection="1">
      <alignment vertical="center"/>
    </xf>
    <xf numFmtId="164" fontId="49" fillId="0" borderId="81" xfId="2" applyFont="1" applyFill="1" applyBorder="1" applyAlignment="1" applyProtection="1">
      <alignment vertical="center"/>
    </xf>
    <xf numFmtId="167" fontId="49" fillId="0" borderId="72" xfId="41" applyNumberFormat="1" applyFont="1" applyFill="1" applyBorder="1" applyAlignment="1" applyProtection="1">
      <alignment horizontal="center" vertical="center"/>
    </xf>
    <xf numFmtId="0" fontId="49" fillId="0" borderId="82" xfId="0" applyFont="1" applyFill="1" applyBorder="1" applyAlignment="1">
      <alignment horizontal="center" vertical="center"/>
    </xf>
    <xf numFmtId="0" fontId="49" fillId="0" borderId="88" xfId="0" applyFont="1" applyFill="1" applyBorder="1" applyAlignment="1">
      <alignment horizontal="center" vertical="center"/>
    </xf>
    <xf numFmtId="0" fontId="49" fillId="0" borderId="6" xfId="0" applyFont="1" applyFill="1" applyBorder="1"/>
    <xf numFmtId="168" fontId="45" fillId="0" borderId="80" xfId="0" applyNumberFormat="1" applyFont="1" applyFill="1" applyBorder="1"/>
    <xf numFmtId="0" fontId="45" fillId="0" borderId="49" xfId="0" applyFont="1" applyFill="1" applyBorder="1" applyAlignment="1">
      <alignment horizontal="center" vertical="center"/>
    </xf>
    <xf numFmtId="0" fontId="45" fillId="0" borderId="25" xfId="0" applyFont="1" applyFill="1" applyBorder="1"/>
    <xf numFmtId="164" fontId="49" fillId="0" borderId="27" xfId="2" applyFont="1" applyFill="1" applyBorder="1"/>
    <xf numFmtId="0" fontId="49" fillId="0" borderId="33" xfId="0" applyFont="1" applyFill="1" applyBorder="1"/>
    <xf numFmtId="0" fontId="49" fillId="0" borderId="25" xfId="0" applyFont="1" applyFill="1" applyBorder="1"/>
    <xf numFmtId="168" fontId="45" fillId="0" borderId="25" xfId="0" applyNumberFormat="1" applyFont="1" applyFill="1" applyBorder="1"/>
    <xf numFmtId="168" fontId="45" fillId="0" borderId="54" xfId="0" applyNumberFormat="1" applyFont="1" applyFill="1" applyBorder="1"/>
    <xf numFmtId="168" fontId="45" fillId="0" borderId="0" xfId="0" applyNumberFormat="1" applyFont="1" applyFill="1" applyBorder="1"/>
    <xf numFmtId="0" fontId="49" fillId="0" borderId="74" xfId="0" applyFont="1" applyFill="1" applyBorder="1" applyAlignment="1">
      <alignment horizontal="center" vertical="center"/>
    </xf>
    <xf numFmtId="168" fontId="49" fillId="0" borderId="0" xfId="33" applyNumberFormat="1" applyFont="1" applyFill="1" applyBorder="1"/>
    <xf numFmtId="0" fontId="49" fillId="0" borderId="85" xfId="0" quotePrefix="1" applyFont="1" applyFill="1" applyBorder="1"/>
    <xf numFmtId="164" fontId="49" fillId="0" borderId="84" xfId="2" applyFont="1" applyFill="1" applyBorder="1"/>
    <xf numFmtId="0" fontId="49" fillId="0" borderId="88" xfId="0" applyFont="1" applyFill="1" applyBorder="1"/>
    <xf numFmtId="168" fontId="49" fillId="0" borderId="85" xfId="33" applyNumberFormat="1" applyFont="1" applyFill="1" applyBorder="1"/>
    <xf numFmtId="168" fontId="49" fillId="0" borderId="19" xfId="33" applyNumberFormat="1" applyFont="1" applyFill="1" applyBorder="1"/>
    <xf numFmtId="164" fontId="49" fillId="0" borderId="83" xfId="21" applyFont="1" applyFill="1" applyBorder="1" applyAlignment="1" applyProtection="1">
      <alignment vertical="center" wrapText="1"/>
    </xf>
    <xf numFmtId="0" fontId="49" fillId="0" borderId="82" xfId="0" quotePrefix="1" applyFont="1" applyFill="1" applyBorder="1" applyAlignment="1">
      <alignment horizontal="center" vertical="center"/>
    </xf>
    <xf numFmtId="164" fontId="45" fillId="0" borderId="49" xfId="21" applyFont="1" applyFill="1" applyBorder="1" applyAlignment="1" applyProtection="1">
      <alignment horizontal="center" vertical="center"/>
    </xf>
    <xf numFmtId="164" fontId="45" fillId="0" borderId="25" xfId="21" applyFont="1" applyFill="1" applyBorder="1" applyAlignment="1" applyProtection="1">
      <alignment vertical="center" wrapText="1"/>
    </xf>
    <xf numFmtId="164" fontId="49" fillId="0" borderId="0" xfId="2" applyFont="1" applyFill="1" applyBorder="1" applyAlignment="1" applyProtection="1">
      <alignment horizontal="center" vertical="center"/>
    </xf>
    <xf numFmtId="164" fontId="49" fillId="0" borderId="0" xfId="21" applyFont="1" applyFill="1" applyBorder="1" applyAlignment="1" applyProtection="1">
      <alignment horizontal="center" vertical="center"/>
    </xf>
    <xf numFmtId="164" fontId="45" fillId="0" borderId="54" xfId="21" applyNumberFormat="1" applyFont="1" applyFill="1" applyBorder="1" applyAlignment="1" applyProtection="1">
      <alignment vertical="center"/>
    </xf>
    <xf numFmtId="164" fontId="49" fillId="0" borderId="86" xfId="21" applyFont="1" applyFill="1" applyBorder="1" applyAlignment="1" applyProtection="1">
      <alignment horizontal="center" vertical="center"/>
    </xf>
    <xf numFmtId="164" fontId="49" fillId="0" borderId="0" xfId="2" applyFont="1" applyFill="1" applyBorder="1" applyAlignment="1">
      <alignment horizontal="left" vertical="center"/>
    </xf>
    <xf numFmtId="164" fontId="49" fillId="0" borderId="83" xfId="21" applyFont="1" applyFill="1" applyBorder="1" applyAlignment="1" applyProtection="1">
      <alignment horizontal="center" vertical="center"/>
    </xf>
    <xf numFmtId="164" fontId="45" fillId="0" borderId="85" xfId="21" applyNumberFormat="1" applyFont="1" applyFill="1" applyBorder="1" applyAlignment="1" applyProtection="1">
      <alignment vertical="center"/>
    </xf>
    <xf numFmtId="164" fontId="49" fillId="0" borderId="75" xfId="21" applyNumberFormat="1" applyFont="1" applyFill="1" applyBorder="1" applyAlignment="1">
      <alignment vertical="center"/>
    </xf>
    <xf numFmtId="164" fontId="49" fillId="0" borderId="83" xfId="2" applyFont="1" applyFill="1" applyBorder="1" applyAlignment="1" applyProtection="1">
      <alignment horizontal="center" vertical="center"/>
    </xf>
    <xf numFmtId="164" fontId="49" fillId="0" borderId="22" xfId="21" applyFont="1" applyFill="1" applyBorder="1" applyAlignment="1" applyProtection="1">
      <alignment vertical="center" wrapText="1"/>
    </xf>
    <xf numFmtId="164" fontId="49" fillId="0" borderId="85" xfId="21" applyFont="1" applyFill="1" applyBorder="1" applyAlignment="1">
      <alignment vertical="center" wrapText="1"/>
    </xf>
    <xf numFmtId="164" fontId="49" fillId="0" borderId="33" xfId="21" applyFont="1" applyFill="1" applyBorder="1" applyAlignment="1" applyProtection="1">
      <alignment vertical="center" wrapText="1"/>
    </xf>
    <xf numFmtId="164" fontId="49" fillId="0" borderId="81" xfId="2" applyFont="1" applyFill="1" applyBorder="1" applyAlignment="1">
      <alignment vertical="center"/>
    </xf>
    <xf numFmtId="164" fontId="49" fillId="0" borderId="71" xfId="21" applyFont="1" applyFill="1" applyBorder="1" applyAlignment="1">
      <alignment vertical="center"/>
    </xf>
    <xf numFmtId="164" fontId="45" fillId="0" borderId="14" xfId="21" applyNumberFormat="1" applyFont="1" applyFill="1" applyBorder="1" applyAlignment="1">
      <alignment vertical="center"/>
    </xf>
    <xf numFmtId="164" fontId="49" fillId="0" borderId="84" xfId="21" quotePrefix="1" applyFont="1" applyFill="1" applyBorder="1" applyAlignment="1">
      <alignment vertical="center" wrapText="1"/>
    </xf>
    <xf numFmtId="164" fontId="49" fillId="0" borderId="86" xfId="21" applyFont="1" applyFill="1" applyBorder="1" applyAlignment="1" applyProtection="1">
      <alignment vertical="center" wrapText="1"/>
    </xf>
    <xf numFmtId="164" fontId="49" fillId="0" borderId="0" xfId="2" applyNumberFormat="1" applyFont="1" applyFill="1" applyBorder="1" applyAlignment="1">
      <alignment vertical="center"/>
    </xf>
    <xf numFmtId="0" fontId="45" fillId="0" borderId="76" xfId="0" applyFont="1" applyFill="1" applyBorder="1" applyAlignment="1">
      <alignment horizontal="center" vertical="center"/>
    </xf>
    <xf numFmtId="164" fontId="49" fillId="0" borderId="62" xfId="21" applyNumberFormat="1" applyFont="1" applyFill="1" applyBorder="1" applyAlignment="1" applyProtection="1">
      <alignment vertical="center"/>
    </xf>
    <xf numFmtId="164" fontId="49" fillId="0" borderId="21" xfId="21" applyFont="1" applyFill="1" applyBorder="1" applyAlignment="1">
      <alignment horizontal="center" vertical="center"/>
    </xf>
    <xf numFmtId="164" fontId="49" fillId="0" borderId="82" xfId="21" applyFont="1" applyFill="1" applyBorder="1" applyAlignment="1">
      <alignment horizontal="center" vertical="center"/>
    </xf>
    <xf numFmtId="164" fontId="49" fillId="0" borderId="83" xfId="21" quotePrefix="1" applyFont="1" applyFill="1" applyBorder="1" applyAlignment="1">
      <alignment vertical="center"/>
    </xf>
    <xf numFmtId="164" fontId="49" fillId="0" borderId="83" xfId="21" applyFont="1" applyFill="1" applyBorder="1" applyAlignment="1">
      <alignment horizontal="center" vertical="center"/>
    </xf>
    <xf numFmtId="164" fontId="49" fillId="0" borderId="19" xfId="21" applyNumberFormat="1" applyFont="1" applyFill="1" applyBorder="1" applyAlignment="1">
      <alignment vertical="center"/>
    </xf>
    <xf numFmtId="0" fontId="49" fillId="0" borderId="21" xfId="0" applyFont="1" applyFill="1" applyBorder="1" applyAlignment="1">
      <alignment vertical="center" wrapText="1"/>
    </xf>
    <xf numFmtId="164" fontId="45" fillId="0" borderId="15" xfId="2" applyFont="1" applyFill="1" applyBorder="1" applyAlignment="1">
      <alignment vertical="center"/>
    </xf>
    <xf numFmtId="164" fontId="45" fillId="0" borderId="0" xfId="21" applyFont="1" applyFill="1" applyBorder="1" applyAlignment="1" applyProtection="1">
      <alignment vertical="center" wrapText="1"/>
    </xf>
    <xf numFmtId="164" fontId="45" fillId="0" borderId="27" xfId="2" applyFont="1" applyFill="1" applyBorder="1" applyAlignment="1" applyProtection="1">
      <alignment horizontal="center" vertical="center"/>
    </xf>
    <xf numFmtId="164" fontId="45" fillId="0" borderId="33" xfId="21" applyFont="1" applyFill="1" applyBorder="1" applyAlignment="1" applyProtection="1">
      <alignment horizontal="center" vertical="center"/>
    </xf>
    <xf numFmtId="164" fontId="45" fillId="0" borderId="25" xfId="21" applyNumberFormat="1" applyFont="1" applyFill="1" applyBorder="1" applyAlignment="1" applyProtection="1">
      <alignment vertical="center"/>
    </xf>
    <xf numFmtId="0" fontId="45" fillId="0" borderId="72" xfId="0" applyFont="1" applyFill="1" applyBorder="1" applyAlignment="1">
      <alignment vertical="center"/>
    </xf>
    <xf numFmtId="164" fontId="45" fillId="0" borderId="14" xfId="0" applyNumberFormat="1" applyFont="1" applyFill="1" applyBorder="1" applyAlignment="1">
      <alignment vertical="center"/>
    </xf>
    <xf numFmtId="164" fontId="49" fillId="0" borderId="72" xfId="21" quotePrefix="1" applyFont="1" applyFill="1" applyBorder="1" applyAlignment="1">
      <alignment vertical="center"/>
    </xf>
    <xf numFmtId="164" fontId="49" fillId="0" borderId="88" xfId="21" applyFont="1" applyFill="1" applyBorder="1" applyAlignment="1" applyProtection="1">
      <alignment vertical="center" wrapText="1"/>
    </xf>
    <xf numFmtId="164" fontId="49" fillId="0" borderId="14" xfId="0" applyNumberFormat="1" applyFont="1" applyFill="1" applyBorder="1" applyAlignment="1">
      <alignment vertical="center" wrapText="1"/>
    </xf>
    <xf numFmtId="164" fontId="45" fillId="0" borderId="6" xfId="0" applyNumberFormat="1" applyFont="1" applyFill="1" applyBorder="1" applyAlignment="1">
      <alignment vertical="center"/>
    </xf>
    <xf numFmtId="164" fontId="45" fillId="0" borderId="89" xfId="21" applyFont="1" applyFill="1" applyBorder="1" applyAlignment="1" applyProtection="1">
      <alignment horizontal="center" vertical="center"/>
    </xf>
    <xf numFmtId="164" fontId="45" fillId="0" borderId="90" xfId="21" applyFont="1" applyFill="1" applyBorder="1" applyAlignment="1" applyProtection="1">
      <alignment vertical="center" wrapText="1"/>
    </xf>
    <xf numFmtId="164" fontId="45" fillId="0" borderId="91" xfId="2" applyFont="1" applyFill="1" applyBorder="1" applyAlignment="1" applyProtection="1">
      <alignment horizontal="center" vertical="center"/>
    </xf>
    <xf numFmtId="164" fontId="45" fillId="0" borderId="92" xfId="21" applyFont="1" applyFill="1" applyBorder="1" applyAlignment="1" applyProtection="1">
      <alignment horizontal="center" vertical="center"/>
    </xf>
    <xf numFmtId="164" fontId="45" fillId="0" borderId="62" xfId="21" applyNumberFormat="1" applyFont="1" applyFill="1" applyBorder="1" applyAlignment="1" applyProtection="1">
      <alignment vertical="center"/>
    </xf>
    <xf numFmtId="164" fontId="45" fillId="0" borderId="93" xfId="21" applyNumberFormat="1" applyFont="1" applyFill="1" applyBorder="1" applyAlignment="1" applyProtection="1">
      <alignment vertical="center"/>
    </xf>
    <xf numFmtId="164" fontId="45" fillId="0" borderId="47" xfId="21" applyNumberFormat="1" applyFont="1" applyFill="1" applyBorder="1" applyAlignment="1" applyProtection="1">
      <alignment vertical="center"/>
    </xf>
    <xf numFmtId="164" fontId="49" fillId="0" borderId="21" xfId="21" applyFont="1" applyFill="1" applyBorder="1" applyAlignment="1">
      <alignment horizontal="left" vertical="center"/>
    </xf>
    <xf numFmtId="164" fontId="49" fillId="0" borderId="15" xfId="21" applyFont="1" applyFill="1" applyBorder="1" applyAlignment="1">
      <alignment vertical="center"/>
    </xf>
    <xf numFmtId="164" fontId="49" fillId="0" borderId="21" xfId="2" applyFont="1" applyFill="1" applyBorder="1" applyAlignment="1">
      <alignment horizontal="right" vertical="center"/>
    </xf>
    <xf numFmtId="164" fontId="49" fillId="0" borderId="88" xfId="21" applyFont="1" applyFill="1" applyBorder="1" applyAlignment="1">
      <alignment vertical="center"/>
    </xf>
    <xf numFmtId="164" fontId="49" fillId="0" borderId="88" xfId="21" applyFont="1" applyFill="1" applyBorder="1" applyAlignment="1">
      <alignment horizontal="center" vertical="center"/>
    </xf>
    <xf numFmtId="164" fontId="49" fillId="0" borderId="49" xfId="21" applyFont="1" applyFill="1" applyBorder="1" applyAlignment="1">
      <alignment horizontal="center" vertical="center"/>
    </xf>
    <xf numFmtId="164" fontId="49" fillId="0" borderId="33" xfId="21" applyFont="1" applyFill="1" applyBorder="1" applyAlignment="1">
      <alignment vertical="center"/>
    </xf>
    <xf numFmtId="0" fontId="49" fillId="0" borderId="83" xfId="0" applyFont="1" applyFill="1" applyBorder="1"/>
    <xf numFmtId="164" fontId="45" fillId="0" borderId="80" xfId="21" applyNumberFormat="1" applyFont="1" applyFill="1" applyBorder="1" applyAlignment="1">
      <alignment vertical="center"/>
    </xf>
    <xf numFmtId="164" fontId="49" fillId="0" borderId="94" xfId="2" applyFont="1" applyFill="1" applyBorder="1" applyAlignment="1">
      <alignment horizontal="center" vertical="center"/>
    </xf>
    <xf numFmtId="0" fontId="49" fillId="0" borderId="84" xfId="0" applyFont="1" applyFill="1" applyBorder="1"/>
    <xf numFmtId="164" fontId="45" fillId="0" borderId="81" xfId="2" applyFont="1" applyFill="1" applyBorder="1" applyAlignment="1">
      <alignment vertical="center"/>
    </xf>
    <xf numFmtId="164" fontId="49" fillId="0" borderId="26" xfId="21" applyNumberFormat="1" applyFont="1" applyFill="1" applyBorder="1" applyAlignment="1">
      <alignment vertical="center"/>
    </xf>
    <xf numFmtId="164" fontId="49" fillId="0" borderId="95" xfId="21" applyNumberFormat="1" applyFont="1" applyFill="1" applyBorder="1" applyAlignment="1">
      <alignment vertical="center"/>
    </xf>
    <xf numFmtId="164" fontId="49" fillId="0" borderId="83" xfId="21" applyFont="1" applyFill="1" applyBorder="1" applyAlignment="1">
      <alignment horizontal="justify" vertical="center"/>
    </xf>
    <xf numFmtId="164" fontId="45" fillId="0" borderId="25" xfId="21" applyNumberFormat="1" applyFont="1" applyFill="1" applyBorder="1" applyAlignment="1">
      <alignment vertical="center"/>
    </xf>
    <xf numFmtId="164" fontId="45" fillId="0" borderId="14" xfId="21" applyFont="1" applyFill="1" applyBorder="1" applyAlignment="1">
      <alignment vertical="center"/>
    </xf>
    <xf numFmtId="0" fontId="49" fillId="0" borderId="14" xfId="76" applyNumberFormat="1" applyFont="1" applyFill="1" applyBorder="1" applyAlignment="1" applyProtection="1">
      <alignment horizontal="left" vertical="center"/>
    </xf>
    <xf numFmtId="0" fontId="49" fillId="0" borderId="72" xfId="76" applyNumberFormat="1" applyFont="1" applyFill="1" applyBorder="1" applyAlignment="1" applyProtection="1">
      <alignment horizontal="left" vertical="center"/>
    </xf>
    <xf numFmtId="167" fontId="45" fillId="0" borderId="72" xfId="41" applyNumberFormat="1" applyFont="1" applyFill="1" applyBorder="1" applyAlignment="1" applyProtection="1">
      <alignment vertical="center" wrapText="1"/>
    </xf>
    <xf numFmtId="167" fontId="49" fillId="0" borderId="72" xfId="41" applyNumberFormat="1" applyFont="1" applyFill="1" applyBorder="1" applyAlignment="1" applyProtection="1">
      <alignment vertical="center" wrapText="1"/>
    </xf>
    <xf numFmtId="167" fontId="49" fillId="0" borderId="88" xfId="41" applyNumberFormat="1" applyFont="1" applyFill="1" applyBorder="1" applyAlignment="1" applyProtection="1">
      <alignment vertical="center" wrapText="1"/>
    </xf>
    <xf numFmtId="0" fontId="49" fillId="0" borderId="88" xfId="0" applyFont="1" applyFill="1" applyBorder="1" applyAlignment="1">
      <alignment horizontal="left" vertical="center"/>
    </xf>
    <xf numFmtId="167" fontId="49" fillId="0" borderId="71" xfId="41" applyNumberFormat="1" applyFont="1" applyFill="1" applyBorder="1" applyAlignment="1" applyProtection="1">
      <alignment vertical="center" wrapText="1"/>
    </xf>
    <xf numFmtId="167" fontId="49" fillId="0" borderId="72" xfId="41" quotePrefix="1" applyNumberFormat="1" applyFont="1" applyFill="1" applyBorder="1" applyAlignment="1" applyProtection="1">
      <alignment vertical="center" wrapText="1"/>
    </xf>
    <xf numFmtId="0" fontId="45" fillId="0" borderId="33" xfId="0" applyFont="1" applyFill="1" applyBorder="1" applyAlignment="1">
      <alignment vertical="center"/>
    </xf>
    <xf numFmtId="164" fontId="45" fillId="0" borderId="27" xfId="2" applyFont="1" applyFill="1" applyBorder="1" applyAlignment="1">
      <alignment vertical="center"/>
    </xf>
    <xf numFmtId="164" fontId="45" fillId="0" borderId="25" xfId="0" applyNumberFormat="1" applyFont="1" applyFill="1" applyBorder="1" applyAlignment="1">
      <alignment vertical="center"/>
    </xf>
    <xf numFmtId="164" fontId="45" fillId="0" borderId="54" xfId="21" applyNumberFormat="1" applyFont="1" applyFill="1" applyBorder="1" applyAlignment="1">
      <alignment vertical="center"/>
    </xf>
    <xf numFmtId="0" fontId="45" fillId="0" borderId="71" xfId="0" applyFont="1" applyFill="1" applyBorder="1" applyAlignment="1">
      <alignment vertical="center"/>
    </xf>
    <xf numFmtId="0" fontId="49" fillId="0" borderId="71" xfId="0" applyFont="1" applyFill="1" applyBorder="1" applyAlignment="1">
      <alignment horizontal="center" vertical="center"/>
    </xf>
    <xf numFmtId="164" fontId="49" fillId="0" borderId="22" xfId="0" applyNumberFormat="1" applyFont="1" applyFill="1" applyBorder="1" applyAlignment="1">
      <alignment vertical="center"/>
    </xf>
    <xf numFmtId="0" fontId="45" fillId="0" borderId="74" xfId="0" applyNumberFormat="1" applyFont="1" applyFill="1" applyBorder="1" applyAlignment="1" applyProtection="1">
      <alignment horizontal="center" vertical="center"/>
    </xf>
    <xf numFmtId="167" fontId="45" fillId="0" borderId="86" xfId="41" applyNumberFormat="1" applyFont="1" applyFill="1" applyBorder="1" applyAlignment="1" applyProtection="1">
      <alignment vertical="center" wrapText="1"/>
    </xf>
    <xf numFmtId="168" fontId="45" fillId="0" borderId="81" xfId="41" applyNumberFormat="1" applyFont="1" applyFill="1" applyBorder="1" applyAlignment="1" applyProtection="1">
      <alignment vertical="center"/>
    </xf>
    <xf numFmtId="167" fontId="45" fillId="0" borderId="71" xfId="41" applyNumberFormat="1" applyFont="1" applyFill="1" applyBorder="1" applyAlignment="1" applyProtection="1">
      <alignment horizontal="center" vertical="center"/>
    </xf>
    <xf numFmtId="164" fontId="45" fillId="0" borderId="22" xfId="41" applyNumberFormat="1" applyFont="1" applyFill="1" applyBorder="1" applyAlignment="1" applyProtection="1">
      <alignment vertical="center"/>
    </xf>
    <xf numFmtId="164" fontId="45" fillId="0" borderId="75" xfId="41" applyNumberFormat="1" applyFont="1" applyFill="1" applyBorder="1" applyAlignment="1" applyProtection="1">
      <alignment vertical="center"/>
    </xf>
    <xf numFmtId="164" fontId="49" fillId="0" borderId="76" xfId="21" applyNumberFormat="1" applyFont="1" applyFill="1" applyBorder="1" applyAlignment="1">
      <alignment horizontal="center" vertical="center"/>
    </xf>
    <xf numFmtId="164" fontId="49" fillId="0" borderId="72" xfId="41" applyNumberFormat="1" applyFont="1" applyFill="1" applyBorder="1" applyAlignment="1">
      <alignment horizontal="left" vertical="center"/>
    </xf>
    <xf numFmtId="164" fontId="49" fillId="0" borderId="14" xfId="21" applyNumberFormat="1" applyFont="1" applyFill="1" applyBorder="1" applyAlignment="1">
      <alignment horizontal="left" vertical="center"/>
    </xf>
    <xf numFmtId="164" fontId="51" fillId="0" borderId="14" xfId="0" applyNumberFormat="1" applyFont="1" applyFill="1" applyBorder="1" applyAlignment="1">
      <alignment vertical="center" wrapText="1"/>
    </xf>
    <xf numFmtId="164" fontId="45" fillId="0" borderId="82" xfId="21" applyNumberFormat="1" applyFont="1" applyFill="1" applyBorder="1" applyAlignment="1">
      <alignment horizontal="center" vertical="center"/>
    </xf>
    <xf numFmtId="164" fontId="45" fillId="0" borderId="85" xfId="0" applyNumberFormat="1" applyFont="1" applyFill="1" applyBorder="1" applyAlignment="1">
      <alignment vertical="center" wrapText="1"/>
    </xf>
    <xf numFmtId="164" fontId="45" fillId="0" borderId="84" xfId="2" applyFont="1" applyFill="1" applyBorder="1" applyAlignment="1">
      <alignment horizontal="right" vertical="center"/>
    </xf>
    <xf numFmtId="164" fontId="49" fillId="0" borderId="74" xfId="21" applyNumberFormat="1" applyFont="1" applyFill="1" applyBorder="1" applyAlignment="1">
      <alignment horizontal="center" vertical="center"/>
    </xf>
    <xf numFmtId="164" fontId="49" fillId="0" borderId="22" xfId="0" applyNumberFormat="1" applyFont="1" applyFill="1" applyBorder="1" applyAlignment="1">
      <alignment vertical="center" wrapText="1"/>
    </xf>
    <xf numFmtId="164" fontId="49" fillId="0" borderId="81" xfId="2" applyFont="1" applyFill="1" applyBorder="1" applyAlignment="1">
      <alignment horizontal="right" vertical="center"/>
    </xf>
    <xf numFmtId="164" fontId="49" fillId="0" borderId="71" xfId="41" applyNumberFormat="1" applyFont="1" applyFill="1" applyBorder="1" applyAlignment="1">
      <alignment horizontal="left" vertical="center"/>
    </xf>
    <xf numFmtId="164" fontId="49" fillId="0" borderId="22" xfId="21" applyNumberFormat="1" applyFont="1" applyFill="1" applyBorder="1" applyAlignment="1">
      <alignment horizontal="left" vertical="center"/>
    </xf>
    <xf numFmtId="0" fontId="49" fillId="0" borderId="87" xfId="0" applyFont="1" applyFill="1" applyBorder="1" applyAlignment="1">
      <alignment horizontal="center" vertical="center"/>
    </xf>
    <xf numFmtId="164" fontId="49" fillId="0" borderId="72" xfId="41" applyNumberFormat="1" applyFont="1" applyFill="1" applyBorder="1" applyAlignment="1">
      <alignment vertical="center"/>
    </xf>
    <xf numFmtId="164" fontId="49" fillId="0" borderId="0" xfId="26" applyNumberFormat="1" applyFont="1" applyFill="1" applyBorder="1" applyAlignment="1">
      <alignment vertical="center"/>
    </xf>
    <xf numFmtId="0" fontId="45" fillId="0" borderId="0" xfId="0" applyNumberFormat="1" applyFont="1" applyFill="1" applyBorder="1" applyAlignment="1" applyProtection="1">
      <alignment vertical="center"/>
    </xf>
    <xf numFmtId="0" fontId="49" fillId="0" borderId="74" xfId="0" applyNumberFormat="1" applyFont="1" applyFill="1" applyBorder="1" applyAlignment="1" applyProtection="1">
      <alignment horizontal="center" vertical="center"/>
    </xf>
    <xf numFmtId="167" fontId="49" fillId="0" borderId="86" xfId="41" applyNumberFormat="1" applyFont="1" applyFill="1" applyBorder="1" applyAlignment="1">
      <alignment horizontal="center" vertical="center"/>
    </xf>
    <xf numFmtId="164" fontId="49" fillId="0" borderId="22" xfId="41" applyNumberFormat="1" applyFont="1" applyFill="1" applyBorder="1" applyAlignment="1">
      <alignment vertical="center"/>
    </xf>
    <xf numFmtId="167" fontId="49" fillId="0" borderId="21" xfId="41" applyNumberFormat="1" applyFont="1" applyFill="1" applyBorder="1" applyAlignment="1">
      <alignment horizontal="center" vertical="center"/>
    </xf>
    <xf numFmtId="167" fontId="51" fillId="0" borderId="72" xfId="41" applyNumberFormat="1" applyFont="1" applyFill="1" applyBorder="1" applyAlignment="1" applyProtection="1">
      <alignment vertical="center" wrapText="1"/>
    </xf>
    <xf numFmtId="164" fontId="49" fillId="0" borderId="14" xfId="2" applyFont="1" applyFill="1" applyBorder="1" applyAlignment="1">
      <alignment horizontal="center" vertical="center" wrapText="1"/>
    </xf>
    <xf numFmtId="164" fontId="49" fillId="0" borderId="14" xfId="21" applyNumberFormat="1" applyFont="1" applyFill="1" applyBorder="1" applyAlignment="1">
      <alignment horizontal="center" vertical="center"/>
    </xf>
    <xf numFmtId="164" fontId="49" fillId="0" borderId="14" xfId="21" applyNumberFormat="1" applyFont="1" applyFill="1" applyBorder="1" applyAlignment="1" applyProtection="1">
      <alignment horizontal="center" vertical="center"/>
    </xf>
    <xf numFmtId="164" fontId="49" fillId="0" borderId="13" xfId="21" applyNumberFormat="1" applyFont="1" applyFill="1" applyBorder="1" applyAlignment="1">
      <alignment horizontal="center" vertical="center"/>
    </xf>
    <xf numFmtId="164" fontId="49" fillId="0" borderId="0" xfId="21" applyNumberFormat="1" applyFont="1" applyFill="1" applyBorder="1" applyAlignment="1">
      <alignment horizontal="center" vertical="center"/>
    </xf>
    <xf numFmtId="167" fontId="49" fillId="0" borderId="14" xfId="41" applyNumberFormat="1" applyFont="1" applyFill="1" applyBorder="1" applyAlignment="1" applyProtection="1">
      <alignment horizontal="left" vertical="center" wrapText="1"/>
    </xf>
    <xf numFmtId="167" fontId="49" fillId="0" borderId="72" xfId="41" applyNumberFormat="1" applyFont="1" applyFill="1" applyBorder="1" applyAlignment="1">
      <alignment horizontal="center" vertical="center"/>
    </xf>
    <xf numFmtId="164" fontId="49" fillId="0" borderId="72" xfId="41" applyNumberFormat="1" applyFont="1" applyFill="1" applyBorder="1" applyAlignment="1" applyProtection="1">
      <alignment vertical="center"/>
    </xf>
    <xf numFmtId="0" fontId="49" fillId="0" borderId="72" xfId="77" applyNumberFormat="1" applyFont="1" applyFill="1" applyBorder="1" applyAlignment="1" applyProtection="1">
      <alignment horizontal="center" vertical="center"/>
    </xf>
    <xf numFmtId="0" fontId="49" fillId="0" borderId="87" xfId="0" applyNumberFormat="1" applyFont="1" applyFill="1" applyBorder="1" applyAlignment="1" applyProtection="1">
      <alignment horizontal="center" vertical="center"/>
    </xf>
    <xf numFmtId="164" fontId="49" fillId="0" borderId="14" xfId="41" applyNumberFormat="1" applyFont="1" applyFill="1" applyBorder="1" applyAlignment="1">
      <alignment horizontal="right" vertical="center" wrapText="1"/>
    </xf>
    <xf numFmtId="164" fontId="49" fillId="0" borderId="13" xfId="26" applyNumberFormat="1" applyFont="1" applyFill="1" applyBorder="1" applyAlignment="1">
      <alignment vertical="center"/>
    </xf>
    <xf numFmtId="0" fontId="45" fillId="0" borderId="14" xfId="0" applyFont="1" applyFill="1" applyBorder="1" applyAlignment="1"/>
    <xf numFmtId="0" fontId="49" fillId="0" borderId="87" xfId="0" applyNumberFormat="1" applyFont="1" applyFill="1" applyBorder="1" applyAlignment="1" applyProtection="1">
      <alignment horizontal="right" vertical="center"/>
    </xf>
    <xf numFmtId="0" fontId="49" fillId="0" borderId="76" xfId="0" applyNumberFormat="1" applyFont="1" applyFill="1" applyBorder="1" applyAlignment="1" applyProtection="1">
      <alignment horizontal="center"/>
    </xf>
    <xf numFmtId="164" fontId="49" fillId="0" borderId="15" xfId="2" applyFont="1" applyFill="1" applyBorder="1" applyAlignment="1">
      <alignment horizontal="right"/>
    </xf>
    <xf numFmtId="0" fontId="49" fillId="0" borderId="21" xfId="77" applyNumberFormat="1" applyFont="1" applyFill="1" applyBorder="1" applyAlignment="1" applyProtection="1">
      <alignment horizontal="center"/>
    </xf>
    <xf numFmtId="164" fontId="49" fillId="0" borderId="14" xfId="41" applyNumberFormat="1" applyFont="1" applyFill="1" applyBorder="1" applyAlignment="1">
      <alignment horizontal="right" wrapText="1"/>
    </xf>
    <xf numFmtId="164" fontId="49" fillId="0" borderId="14" xfId="41" applyNumberFormat="1" applyFont="1" applyFill="1" applyBorder="1" applyAlignment="1" applyProtection="1"/>
    <xf numFmtId="164" fontId="49" fillId="0" borderId="13" xfId="26" applyNumberFormat="1" applyFont="1" applyFill="1" applyBorder="1" applyAlignment="1"/>
    <xf numFmtId="164" fontId="49" fillId="0" borderId="0" xfId="26" applyNumberFormat="1" applyFont="1" applyFill="1" applyBorder="1" applyAlignment="1"/>
    <xf numFmtId="164" fontId="49" fillId="0" borderId="14" xfId="41" applyNumberFormat="1" applyFont="1" applyFill="1" applyBorder="1" applyAlignment="1"/>
    <xf numFmtId="164" fontId="49" fillId="0" borderId="14" xfId="21" applyNumberFormat="1" applyFont="1" applyFill="1" applyBorder="1" applyAlignment="1"/>
    <xf numFmtId="164" fontId="49" fillId="0" borderId="14" xfId="21" applyNumberFormat="1" applyFont="1" applyFill="1" applyBorder="1" applyAlignment="1" applyProtection="1"/>
    <xf numFmtId="164" fontId="49" fillId="0" borderId="13" xfId="21" applyNumberFormat="1" applyFont="1" applyFill="1" applyBorder="1" applyAlignment="1"/>
    <xf numFmtId="164" fontId="49" fillId="0" borderId="0" xfId="21" applyNumberFormat="1" applyFont="1" applyFill="1" applyBorder="1" applyAlignment="1"/>
    <xf numFmtId="164" fontId="49" fillId="0" borderId="76" xfId="0" applyNumberFormat="1" applyFont="1" applyFill="1" applyBorder="1" applyAlignment="1" applyProtection="1">
      <alignment horizontal="center" vertical="center"/>
    </xf>
    <xf numFmtId="0" fontId="51" fillId="0" borderId="72" xfId="52" applyFont="1" applyFill="1" applyBorder="1" applyAlignment="1">
      <alignment vertical="center" wrapText="1"/>
    </xf>
    <xf numFmtId="167" fontId="45" fillId="0" borderId="96" xfId="41" applyNumberFormat="1" applyFont="1" applyFill="1" applyBorder="1" applyAlignment="1" applyProtection="1">
      <alignment vertical="center" wrapText="1"/>
    </xf>
    <xf numFmtId="164" fontId="45" fillId="0" borderId="8" xfId="2" applyFont="1" applyFill="1" applyBorder="1" applyAlignment="1" applyProtection="1">
      <alignment vertical="center"/>
    </xf>
    <xf numFmtId="167" fontId="45" fillId="0" borderId="96" xfId="41" applyNumberFormat="1" applyFont="1" applyFill="1" applyBorder="1" applyAlignment="1" applyProtection="1">
      <alignment horizontal="center" vertical="center"/>
    </xf>
    <xf numFmtId="164" fontId="45" fillId="0" borderId="97" xfId="41" applyNumberFormat="1" applyFont="1" applyFill="1" applyBorder="1" applyAlignment="1" applyProtection="1">
      <alignment vertical="center"/>
    </xf>
    <xf numFmtId="0" fontId="45" fillId="0" borderId="76" xfId="77" applyNumberFormat="1" applyFont="1" applyFill="1" applyBorder="1" applyAlignment="1" applyProtection="1">
      <alignment horizontal="center" vertical="center" wrapText="1"/>
    </xf>
    <xf numFmtId="167" fontId="45" fillId="0" borderId="20" xfId="41" applyNumberFormat="1" applyFont="1" applyFill="1" applyBorder="1" applyAlignment="1" applyProtection="1">
      <alignment vertical="center" wrapText="1"/>
    </xf>
    <xf numFmtId="164" fontId="45" fillId="0" borderId="11" xfId="2" applyFont="1" applyFill="1" applyBorder="1" applyAlignment="1" applyProtection="1">
      <alignment vertical="center" wrapText="1"/>
    </xf>
    <xf numFmtId="167" fontId="45" fillId="0" borderId="20" xfId="41" applyNumberFormat="1" applyFont="1" applyFill="1" applyBorder="1" applyAlignment="1" applyProtection="1">
      <alignment horizontal="center" vertical="center" wrapText="1"/>
    </xf>
    <xf numFmtId="164" fontId="45" fillId="0" borderId="23" xfId="41" applyNumberFormat="1" applyFont="1" applyFill="1" applyBorder="1" applyAlignment="1" applyProtection="1">
      <alignment vertical="center" wrapText="1"/>
    </xf>
    <xf numFmtId="164" fontId="45" fillId="0" borderId="14" xfId="41" applyNumberFormat="1" applyFont="1" applyFill="1" applyBorder="1" applyAlignment="1" applyProtection="1">
      <alignment vertical="center" wrapText="1"/>
    </xf>
    <xf numFmtId="0" fontId="49" fillId="0" borderId="76" xfId="77" applyNumberFormat="1" applyFont="1" applyFill="1" applyBorder="1" applyAlignment="1" applyProtection="1">
      <alignment horizontal="center" vertical="center" wrapText="1"/>
    </xf>
    <xf numFmtId="167" fontId="49" fillId="0" borderId="20" xfId="41" applyNumberFormat="1" applyFont="1" applyFill="1" applyBorder="1" applyAlignment="1" applyProtection="1">
      <alignment vertical="center" wrapText="1"/>
    </xf>
    <xf numFmtId="49" fontId="45" fillId="0" borderId="76" xfId="77" applyNumberFormat="1" applyFont="1" applyFill="1" applyBorder="1" applyAlignment="1" applyProtection="1">
      <alignment horizontal="center" vertical="center"/>
    </xf>
    <xf numFmtId="164" fontId="45" fillId="0" borderId="11" xfId="2" applyFont="1" applyFill="1" applyBorder="1" applyAlignment="1" applyProtection="1">
      <alignment vertical="center"/>
    </xf>
    <xf numFmtId="167" fontId="49" fillId="0" borderId="20" xfId="41" applyNumberFormat="1" applyFont="1" applyFill="1" applyBorder="1" applyAlignment="1" applyProtection="1">
      <alignment horizontal="center" vertical="center"/>
    </xf>
    <xf numFmtId="164" fontId="49" fillId="0" borderId="23" xfId="41" applyNumberFormat="1" applyFont="1" applyFill="1" applyBorder="1" applyAlignment="1" applyProtection="1">
      <alignment vertical="center"/>
    </xf>
    <xf numFmtId="164" fontId="49" fillId="0" borderId="11" xfId="2" applyFont="1" applyFill="1" applyBorder="1" applyAlignment="1" applyProtection="1">
      <alignment vertical="center"/>
    </xf>
    <xf numFmtId="167" fontId="49" fillId="0" borderId="20" xfId="41" quotePrefix="1" applyNumberFormat="1" applyFont="1" applyFill="1" applyBorder="1" applyAlignment="1" applyProtection="1">
      <alignment vertical="center" wrapText="1"/>
    </xf>
    <xf numFmtId="164" fontId="49" fillId="0" borderId="23" xfId="0" applyNumberFormat="1" applyFont="1" applyFill="1" applyBorder="1" applyAlignment="1">
      <alignment vertical="center"/>
    </xf>
    <xf numFmtId="164" fontId="49" fillId="0" borderId="23" xfId="41" quotePrefix="1" applyNumberFormat="1" applyFont="1" applyFill="1" applyBorder="1" applyAlignment="1" applyProtection="1">
      <alignment vertical="center"/>
    </xf>
    <xf numFmtId="167" fontId="49" fillId="0" borderId="20" xfId="41" quotePrefix="1" applyNumberFormat="1" applyFont="1" applyFill="1" applyBorder="1" applyAlignment="1">
      <alignment vertical="center" wrapText="1"/>
    </xf>
    <xf numFmtId="0" fontId="52" fillId="0" borderId="76" xfId="77" applyNumberFormat="1" applyFont="1" applyFill="1" applyBorder="1" applyAlignment="1" applyProtection="1">
      <alignment horizontal="center" vertical="center"/>
    </xf>
    <xf numFmtId="167" fontId="49" fillId="0" borderId="20" xfId="41" applyNumberFormat="1" applyFont="1" applyFill="1" applyBorder="1" applyAlignment="1">
      <alignment vertical="center" wrapText="1"/>
    </xf>
    <xf numFmtId="167" fontId="49" fillId="0" borderId="20" xfId="41" applyNumberFormat="1" applyFont="1" applyFill="1" applyBorder="1" applyAlignment="1">
      <alignment horizontal="center" vertical="center"/>
    </xf>
    <xf numFmtId="164" fontId="49" fillId="0" borderId="23" xfId="41" applyNumberFormat="1" applyFont="1" applyFill="1" applyBorder="1" applyAlignment="1">
      <alignment vertical="center"/>
    </xf>
    <xf numFmtId="167" fontId="49" fillId="0" borderId="20" xfId="34" quotePrefix="1" applyNumberFormat="1" applyFont="1" applyFill="1" applyBorder="1" applyAlignment="1" applyProtection="1">
      <alignment vertical="center" wrapText="1"/>
    </xf>
    <xf numFmtId="164" fontId="49" fillId="0" borderId="11" xfId="2" applyFont="1" applyFill="1" applyBorder="1" applyAlignment="1" applyProtection="1">
      <alignment vertical="center" wrapText="1"/>
    </xf>
    <xf numFmtId="167" fontId="49" fillId="0" borderId="20" xfId="34" applyNumberFormat="1" applyFont="1" applyFill="1" applyBorder="1" applyAlignment="1" applyProtection="1">
      <alignment horizontal="center" vertical="center" wrapText="1"/>
    </xf>
    <xf numFmtId="164" fontId="49" fillId="0" borderId="23" xfId="34" applyNumberFormat="1" applyFont="1" applyFill="1" applyBorder="1" applyAlignment="1" applyProtection="1">
      <alignment vertical="center" wrapText="1"/>
    </xf>
    <xf numFmtId="164" fontId="49" fillId="0" borderId="14" xfId="34" applyNumberFormat="1" applyFont="1" applyFill="1" applyBorder="1" applyAlignment="1">
      <alignment vertical="center" wrapText="1"/>
    </xf>
    <xf numFmtId="49" fontId="45" fillId="0" borderId="76" xfId="0" applyNumberFormat="1" applyFont="1" applyFill="1" applyBorder="1" applyAlignment="1" applyProtection="1">
      <alignment horizontal="center" vertical="center"/>
    </xf>
    <xf numFmtId="167" fontId="45" fillId="0" borderId="20" xfId="41" applyNumberFormat="1" applyFont="1" applyFill="1" applyBorder="1" applyAlignment="1" applyProtection="1">
      <alignment horizontal="center" vertical="center"/>
    </xf>
    <xf numFmtId="164" fontId="45" fillId="0" borderId="23" xfId="41" applyNumberFormat="1" applyFont="1" applyFill="1" applyBorder="1" applyAlignment="1" applyProtection="1">
      <alignment vertical="center"/>
    </xf>
    <xf numFmtId="167" fontId="45" fillId="0" borderId="20" xfId="34" applyNumberFormat="1" applyFont="1" applyFill="1" applyBorder="1" applyAlignment="1" applyProtection="1">
      <alignment vertical="center" wrapText="1"/>
    </xf>
    <xf numFmtId="164" fontId="49" fillId="0" borderId="72" xfId="34" applyNumberFormat="1" applyFont="1" applyFill="1" applyBorder="1" applyAlignment="1" applyProtection="1">
      <alignment vertical="center" wrapText="1"/>
    </xf>
    <xf numFmtId="49" fontId="45" fillId="0" borderId="76" xfId="41" applyNumberFormat="1" applyFont="1" applyFill="1" applyBorder="1" applyAlignment="1">
      <alignment horizontal="center" vertical="center"/>
    </xf>
    <xf numFmtId="0" fontId="45" fillId="0" borderId="21" xfId="0" applyFont="1" applyFill="1" applyBorder="1" applyAlignment="1">
      <alignment vertical="center" wrapText="1"/>
    </xf>
    <xf numFmtId="164" fontId="49" fillId="0" borderId="72" xfId="41" quotePrefix="1" applyNumberFormat="1" applyFont="1" applyFill="1" applyBorder="1" applyAlignment="1" applyProtection="1">
      <alignment vertical="center"/>
    </xf>
    <xf numFmtId="167" fontId="45" fillId="0" borderId="20" xfId="41" applyNumberFormat="1" applyFont="1" applyFill="1" applyBorder="1" applyAlignment="1">
      <alignment vertical="center" wrapText="1"/>
    </xf>
    <xf numFmtId="167" fontId="45" fillId="0" borderId="20" xfId="41" applyNumberFormat="1" applyFont="1" applyFill="1" applyBorder="1" applyAlignment="1">
      <alignment horizontal="center" vertical="center"/>
    </xf>
    <xf numFmtId="164" fontId="49" fillId="0" borderId="21" xfId="2" applyFont="1" applyFill="1" applyBorder="1" applyAlignment="1" applyProtection="1">
      <alignment vertical="center" wrapText="1"/>
    </xf>
    <xf numFmtId="167" fontId="49" fillId="0" borderId="21" xfId="34" applyNumberFormat="1" applyFont="1" applyFill="1" applyBorder="1" applyAlignment="1" applyProtection="1">
      <alignment horizontal="center" vertical="center" wrapText="1"/>
    </xf>
    <xf numFmtId="0" fontId="52" fillId="0" borderId="87" xfId="77" applyNumberFormat="1" applyFont="1" applyFill="1" applyBorder="1" applyAlignment="1" applyProtection="1">
      <alignment horizontal="center" vertical="center"/>
    </xf>
    <xf numFmtId="167" fontId="49" fillId="0" borderId="14" xfId="34" quotePrefix="1" applyNumberFormat="1" applyFont="1" applyFill="1" applyBorder="1" applyAlignment="1" applyProtection="1">
      <alignment vertical="center" wrapText="1"/>
    </xf>
    <xf numFmtId="167" fontId="49" fillId="0" borderId="14" xfId="34" applyNumberFormat="1" applyFont="1" applyFill="1" applyBorder="1" applyAlignment="1" applyProtection="1">
      <alignment vertical="center" wrapText="1"/>
    </xf>
    <xf numFmtId="164" fontId="49" fillId="0" borderId="14" xfId="34" applyNumberFormat="1" applyFont="1" applyFill="1" applyBorder="1" applyAlignment="1" applyProtection="1">
      <alignment vertical="center" wrapText="1"/>
    </xf>
    <xf numFmtId="0" fontId="53" fillId="0" borderId="87" xfId="77" applyNumberFormat="1" applyFont="1" applyFill="1" applyBorder="1" applyAlignment="1" applyProtection="1">
      <alignment horizontal="center" vertical="center"/>
    </xf>
    <xf numFmtId="167" fontId="50" fillId="0" borderId="14" xfId="41" quotePrefix="1" applyNumberFormat="1" applyFont="1" applyFill="1" applyBorder="1" applyAlignment="1">
      <alignment vertical="center" wrapText="1"/>
    </xf>
    <xf numFmtId="164" fontId="45" fillId="0" borderId="21" xfId="2" applyFont="1" applyFill="1" applyBorder="1" applyAlignment="1" applyProtection="1">
      <alignment vertical="center"/>
    </xf>
    <xf numFmtId="167" fontId="45" fillId="0" borderId="21" xfId="41" applyNumberFormat="1" applyFont="1" applyFill="1" applyBorder="1" applyAlignment="1">
      <alignment horizontal="center" vertical="center"/>
    </xf>
    <xf numFmtId="164" fontId="45" fillId="0" borderId="14" xfId="41" applyNumberFormat="1" applyFont="1" applyFill="1" applyBorder="1" applyAlignment="1">
      <alignment vertical="center"/>
    </xf>
    <xf numFmtId="164" fontId="45" fillId="0" borderId="13" xfId="26" applyNumberFormat="1" applyFont="1" applyFill="1" applyBorder="1" applyAlignment="1">
      <alignment vertical="center"/>
    </xf>
    <xf numFmtId="164" fontId="45" fillId="0" borderId="0" xfId="26" applyNumberFormat="1" applyFont="1" applyFill="1" applyBorder="1" applyAlignment="1">
      <alignment vertical="center"/>
    </xf>
    <xf numFmtId="0" fontId="54" fillId="0" borderId="87" xfId="77" applyNumberFormat="1" applyFont="1" applyFill="1" applyBorder="1" applyAlignment="1" applyProtection="1">
      <alignment horizontal="center" vertical="center"/>
    </xf>
    <xf numFmtId="164" fontId="50" fillId="0" borderId="21" xfId="2" applyFont="1" applyFill="1" applyBorder="1" applyAlignment="1" applyProtection="1">
      <alignment vertical="center"/>
    </xf>
    <xf numFmtId="167" fontId="50" fillId="0" borderId="21" xfId="41" applyNumberFormat="1" applyFont="1" applyFill="1" applyBorder="1" applyAlignment="1">
      <alignment horizontal="center" vertical="center"/>
    </xf>
    <xf numFmtId="164" fontId="50" fillId="0" borderId="14" xfId="41" applyNumberFormat="1" applyFont="1" applyFill="1" applyBorder="1" applyAlignment="1">
      <alignment vertical="center"/>
    </xf>
    <xf numFmtId="164" fontId="50" fillId="0" borderId="14" xfId="41" applyNumberFormat="1" applyFont="1" applyFill="1" applyBorder="1" applyAlignment="1" applyProtection="1">
      <alignment vertical="center"/>
    </xf>
    <xf numFmtId="164" fontId="50" fillId="0" borderId="13" xfId="26" applyNumberFormat="1" applyFont="1" applyFill="1" applyBorder="1" applyAlignment="1">
      <alignment vertical="center"/>
    </xf>
    <xf numFmtId="164" fontId="50" fillId="0" borderId="0" xfId="26" applyNumberFormat="1" applyFont="1" applyFill="1" applyBorder="1" applyAlignment="1">
      <alignment vertical="center"/>
    </xf>
    <xf numFmtId="167" fontId="45" fillId="0" borderId="14" xfId="41" quotePrefix="1" applyNumberFormat="1" applyFont="1" applyFill="1" applyBorder="1" applyAlignment="1">
      <alignment vertical="center" wrapText="1"/>
    </xf>
    <xf numFmtId="0" fontId="45" fillId="0" borderId="82" xfId="77" applyNumberFormat="1" applyFont="1" applyFill="1" applyBorder="1" applyAlignment="1" applyProtection="1">
      <alignment horizontal="center" vertical="center"/>
    </xf>
    <xf numFmtId="167" fontId="45" fillId="0" borderId="83" xfId="41" applyNumberFormat="1" applyFont="1" applyFill="1" applyBorder="1" applyAlignment="1">
      <alignment vertical="center" wrapText="1"/>
    </xf>
    <xf numFmtId="164" fontId="45" fillId="0" borderId="83" xfId="2" applyFont="1" applyFill="1" applyBorder="1" applyAlignment="1" applyProtection="1">
      <alignment vertical="center"/>
    </xf>
    <xf numFmtId="167" fontId="45" fillId="0" borderId="83" xfId="41" applyNumberFormat="1" applyFont="1" applyFill="1" applyBorder="1" applyAlignment="1">
      <alignment horizontal="center" vertical="center"/>
    </xf>
    <xf numFmtId="164" fontId="45" fillId="0" borderId="85" xfId="41" applyNumberFormat="1" applyFont="1" applyFill="1" applyBorder="1" applyAlignment="1">
      <alignment vertical="center"/>
    </xf>
    <xf numFmtId="164" fontId="45" fillId="0" borderId="85" xfId="41" applyNumberFormat="1" applyFont="1" applyFill="1" applyBorder="1" applyAlignment="1" applyProtection="1">
      <alignment vertical="center"/>
    </xf>
    <xf numFmtId="164" fontId="45" fillId="0" borderId="85" xfId="41" applyNumberFormat="1" applyFont="1" applyFill="1" applyBorder="1" applyAlignment="1">
      <alignment vertical="center" wrapText="1"/>
    </xf>
    <xf numFmtId="164" fontId="45" fillId="0" borderId="85" xfId="34" applyNumberFormat="1" applyFont="1" applyFill="1" applyBorder="1" applyAlignment="1">
      <alignment vertical="center" wrapText="1"/>
    </xf>
    <xf numFmtId="164" fontId="45" fillId="0" borderId="19" xfId="26" applyNumberFormat="1" applyFont="1" applyFill="1" applyBorder="1" applyAlignment="1">
      <alignment vertical="center"/>
    </xf>
    <xf numFmtId="167" fontId="49" fillId="0" borderId="22" xfId="41" applyNumberFormat="1" applyFont="1" applyFill="1" applyBorder="1" applyAlignment="1" applyProtection="1">
      <alignment vertical="center" wrapText="1"/>
    </xf>
    <xf numFmtId="167" fontId="49" fillId="0" borderId="86" xfId="41" applyNumberFormat="1" applyFont="1" applyFill="1" applyBorder="1" applyAlignment="1" applyProtection="1">
      <alignment horizontal="center" vertical="center"/>
    </xf>
    <xf numFmtId="164" fontId="49" fillId="0" borderId="77" xfId="2" applyFont="1" applyFill="1" applyBorder="1" applyAlignment="1">
      <alignment horizontal="center" vertical="center"/>
    </xf>
    <xf numFmtId="164" fontId="49" fillId="0" borderId="70" xfId="2" applyFont="1" applyFill="1" applyBorder="1" applyAlignment="1">
      <alignment vertical="center"/>
    </xf>
    <xf numFmtId="164" fontId="49" fillId="0" borderId="79" xfId="2" applyFont="1" applyFill="1" applyBorder="1" applyAlignment="1">
      <alignment vertical="center"/>
    </xf>
    <xf numFmtId="164" fontId="49" fillId="0" borderId="73" xfId="2" applyFont="1" applyFill="1" applyBorder="1" applyAlignment="1">
      <alignment horizontal="center" vertical="center"/>
    </xf>
    <xf numFmtId="164" fontId="49" fillId="0" borderId="70" xfId="2" applyNumberFormat="1" applyFont="1" applyFill="1" applyBorder="1" applyAlignment="1">
      <alignment vertical="center"/>
    </xf>
    <xf numFmtId="164" fontId="49" fillId="0" borderId="78" xfId="2" applyNumberFormat="1" applyFont="1" applyFill="1" applyBorder="1" applyAlignment="1">
      <alignment vertical="center"/>
    </xf>
    <xf numFmtId="164" fontId="19" fillId="6" borderId="32" xfId="0" applyNumberFormat="1" applyFont="1" applyFill="1" applyBorder="1" applyAlignment="1">
      <alignment horizontal="center" vertical="center"/>
    </xf>
    <xf numFmtId="164" fontId="27" fillId="6" borderId="32" xfId="2" applyFont="1" applyFill="1" applyBorder="1" applyAlignment="1">
      <alignment vertical="center"/>
    </xf>
    <xf numFmtId="164" fontId="19" fillId="0" borderId="25" xfId="2" applyFont="1" applyBorder="1"/>
    <xf numFmtId="0" fontId="19" fillId="0" borderId="27" xfId="0" applyFont="1" applyBorder="1"/>
    <xf numFmtId="0" fontId="19" fillId="0" borderId="0" xfId="0" applyFont="1" applyBorder="1"/>
    <xf numFmtId="164" fontId="2" fillId="0" borderId="87" xfId="21" applyFont="1" applyFill="1" applyBorder="1" applyAlignment="1">
      <alignment horizontal="center" vertical="center"/>
    </xf>
    <xf numFmtId="164" fontId="2" fillId="0" borderId="15" xfId="2" applyFont="1" applyFill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164" fontId="2" fillId="0" borderId="14" xfId="21" applyNumberFormat="1" applyFont="1" applyFill="1" applyBorder="1" applyAlignment="1">
      <alignment vertical="center" wrapText="1"/>
    </xf>
    <xf numFmtId="164" fontId="2" fillId="0" borderId="14" xfId="21" applyNumberFormat="1" applyFont="1" applyFill="1" applyBorder="1" applyAlignment="1">
      <alignment vertical="center"/>
    </xf>
    <xf numFmtId="164" fontId="2" fillId="0" borderId="13" xfId="21" applyNumberFormat="1" applyFont="1" applyFill="1" applyBorder="1" applyAlignment="1">
      <alignment vertical="center"/>
    </xf>
    <xf numFmtId="164" fontId="2" fillId="0" borderId="0" xfId="21" applyNumberFormat="1" applyFont="1" applyFill="1" applyBorder="1" applyAlignment="1">
      <alignment vertical="center"/>
    </xf>
    <xf numFmtId="164" fontId="2" fillId="0" borderId="0" xfId="2" applyFont="1" applyFill="1" applyAlignment="1">
      <alignment vertical="center"/>
    </xf>
    <xf numFmtId="0" fontId="2" fillId="0" borderId="14" xfId="0" applyFont="1" applyFill="1" applyBorder="1" applyAlignment="1">
      <alignment vertical="center" wrapText="1"/>
    </xf>
    <xf numFmtId="0" fontId="2" fillId="0" borderId="14" xfId="0" applyFont="1" applyFill="1" applyBorder="1" applyAlignment="1">
      <alignment vertical="center"/>
    </xf>
    <xf numFmtId="0" fontId="2" fillId="0" borderId="14" xfId="0" applyFont="1" applyFill="1" applyBorder="1" applyAlignment="1">
      <alignment horizontal="left" vertical="center" wrapText="1"/>
    </xf>
    <xf numFmtId="164" fontId="2" fillId="0" borderId="14" xfId="0" applyNumberFormat="1" applyFont="1" applyFill="1" applyBorder="1" applyAlignment="1">
      <alignment vertical="center" wrapText="1"/>
    </xf>
    <xf numFmtId="164" fontId="2" fillId="0" borderId="72" xfId="41" applyNumberFormat="1" applyFont="1" applyFill="1" applyBorder="1" applyAlignment="1">
      <alignment horizontal="left" vertical="center"/>
    </xf>
    <xf numFmtId="164" fontId="2" fillId="0" borderId="14" xfId="21" applyNumberFormat="1" applyFont="1" applyFill="1" applyBorder="1" applyAlignment="1">
      <alignment horizontal="left" vertical="center"/>
    </xf>
    <xf numFmtId="164" fontId="2" fillId="0" borderId="76" xfId="21" applyNumberFormat="1" applyFont="1" applyFill="1" applyBorder="1" applyAlignment="1">
      <alignment horizontal="center" vertical="center"/>
    </xf>
    <xf numFmtId="164" fontId="2" fillId="0" borderId="15" xfId="2" applyFont="1" applyFill="1" applyBorder="1" applyAlignment="1">
      <alignment horizontal="right" vertical="center"/>
    </xf>
    <xf numFmtId="164" fontId="2" fillId="0" borderId="0" xfId="2" applyFont="1" applyFill="1" applyAlignment="1">
      <alignment horizontal="left" vertical="center"/>
    </xf>
    <xf numFmtId="164" fontId="3" fillId="0" borderId="14" xfId="0" applyNumberFormat="1" applyFont="1" applyFill="1" applyBorder="1" applyAlignment="1">
      <alignment vertical="center" wrapText="1"/>
    </xf>
    <xf numFmtId="164" fontId="2" fillId="0" borderId="21" xfId="2" applyFont="1" applyFill="1" applyBorder="1" applyAlignment="1">
      <alignment vertical="center"/>
    </xf>
    <xf numFmtId="167" fontId="45" fillId="0" borderId="31" xfId="41" applyNumberFormat="1" applyFont="1" applyFill="1" applyBorder="1" applyAlignment="1" applyProtection="1">
      <alignment vertical="center" wrapText="1"/>
    </xf>
    <xf numFmtId="164" fontId="45" fillId="0" borderId="98" xfId="2" applyFont="1" applyFill="1" applyBorder="1" applyAlignment="1" applyProtection="1">
      <alignment vertical="center"/>
    </xf>
    <xf numFmtId="167" fontId="45" fillId="0" borderId="99" xfId="41" applyNumberFormat="1" applyFont="1" applyFill="1" applyBorder="1" applyAlignment="1" applyProtection="1">
      <alignment horizontal="center" vertical="center"/>
    </xf>
    <xf numFmtId="164" fontId="45" fillId="0" borderId="31" xfId="41" applyNumberFormat="1" applyFont="1" applyFill="1" applyBorder="1" applyAlignment="1" applyProtection="1">
      <alignment vertical="center"/>
    </xf>
    <xf numFmtId="164" fontId="45" fillId="0" borderId="28" xfId="41" applyNumberFormat="1" applyFont="1" applyFill="1" applyBorder="1" applyAlignment="1" applyProtection="1">
      <alignment vertical="center"/>
    </xf>
    <xf numFmtId="164" fontId="49" fillId="0" borderId="74" xfId="21" applyFont="1" applyFill="1" applyBorder="1" applyAlignment="1">
      <alignment horizontal="right" vertical="center"/>
    </xf>
    <xf numFmtId="164" fontId="49" fillId="0" borderId="76" xfId="21" applyFont="1" applyFill="1" applyBorder="1" applyAlignment="1">
      <alignment horizontal="right" vertical="center"/>
    </xf>
    <xf numFmtId="164" fontId="45" fillId="0" borderId="76" xfId="21" applyFont="1" applyFill="1" applyBorder="1" applyAlignment="1" applyProtection="1">
      <alignment horizontal="right" vertical="center"/>
    </xf>
    <xf numFmtId="0" fontId="45" fillId="0" borderId="76" xfId="0" applyFont="1" applyFill="1" applyBorder="1" applyAlignment="1">
      <alignment horizontal="right" vertical="center"/>
    </xf>
    <xf numFmtId="0" fontId="49" fillId="0" borderId="76" xfId="0" applyFont="1" applyFill="1" applyBorder="1" applyAlignment="1">
      <alignment horizontal="right" vertical="center"/>
    </xf>
    <xf numFmtId="164" fontId="49" fillId="0" borderId="82" xfId="21" applyFont="1" applyFill="1" applyBorder="1" applyAlignment="1">
      <alignment horizontal="right" vertical="center"/>
    </xf>
    <xf numFmtId="164" fontId="45" fillId="0" borderId="76" xfId="21" applyFont="1" applyFill="1" applyBorder="1" applyAlignment="1">
      <alignment horizontal="right" vertical="center"/>
    </xf>
    <xf numFmtId="164" fontId="56" fillId="0" borderId="72" xfId="21" applyFont="1" applyFill="1" applyBorder="1" applyAlignment="1">
      <alignment vertical="center"/>
    </xf>
    <xf numFmtId="167" fontId="45" fillId="0" borderId="88" xfId="41" applyNumberFormat="1" applyFont="1" applyFill="1" applyBorder="1" applyAlignment="1" applyProtection="1">
      <alignment vertical="center" wrapText="1"/>
    </xf>
    <xf numFmtId="164" fontId="57" fillId="0" borderId="76" xfId="21" applyFont="1" applyFill="1" applyBorder="1" applyAlignment="1">
      <alignment horizontal="center" vertical="center"/>
    </xf>
    <xf numFmtId="164" fontId="57" fillId="0" borderId="0" xfId="2" applyFont="1" applyFill="1" applyAlignment="1">
      <alignment vertical="center"/>
    </xf>
    <xf numFmtId="164" fontId="49" fillId="0" borderId="100" xfId="21" applyFont="1" applyFill="1" applyBorder="1" applyAlignment="1">
      <alignment horizontal="center" vertical="center"/>
    </xf>
    <xf numFmtId="167" fontId="49" fillId="0" borderId="101" xfId="41" applyNumberFormat="1" applyFont="1" applyFill="1" applyBorder="1" applyAlignment="1" applyProtection="1">
      <alignment vertical="center" wrapText="1"/>
    </xf>
    <xf numFmtId="164" fontId="49" fillId="0" borderId="102" xfId="2" applyFont="1" applyFill="1" applyBorder="1" applyAlignment="1" applyProtection="1">
      <alignment vertical="center"/>
    </xf>
    <xf numFmtId="0" fontId="49" fillId="0" borderId="101" xfId="0" applyFont="1" applyFill="1" applyBorder="1" applyAlignment="1">
      <alignment horizontal="left" vertical="center"/>
    </xf>
    <xf numFmtId="164" fontId="49" fillId="0" borderId="26" xfId="41" applyNumberFormat="1" applyFont="1" applyFill="1" applyBorder="1" applyAlignment="1" applyProtection="1">
      <alignment vertical="center"/>
    </xf>
    <xf numFmtId="0" fontId="58" fillId="0" borderId="14" xfId="76" applyNumberFormat="1" applyFont="1" applyFill="1" applyBorder="1" applyAlignment="1" applyProtection="1">
      <alignment horizontal="left" vertical="center"/>
    </xf>
    <xf numFmtId="0" fontId="58" fillId="0" borderId="14" xfId="0" applyFont="1" applyFill="1" applyBorder="1" applyAlignment="1">
      <alignment vertical="center" wrapText="1"/>
    </xf>
    <xf numFmtId="164" fontId="55" fillId="0" borderId="72" xfId="21" applyFont="1" applyFill="1" applyBorder="1" applyAlignment="1">
      <alignment vertical="center"/>
    </xf>
    <xf numFmtId="0" fontId="45" fillId="0" borderId="74" xfId="0" applyFont="1" applyFill="1" applyBorder="1" applyAlignment="1">
      <alignment horizontal="center" vertical="center"/>
    </xf>
    <xf numFmtId="0" fontId="45" fillId="0" borderId="71" xfId="0" applyFont="1" applyFill="1" applyBorder="1" applyAlignment="1">
      <alignment horizontal="center" vertical="center"/>
    </xf>
    <xf numFmtId="164" fontId="45" fillId="0" borderId="22" xfId="21" applyNumberFormat="1" applyFont="1" applyFill="1" applyBorder="1" applyAlignment="1">
      <alignment vertical="center"/>
    </xf>
    <xf numFmtId="164" fontId="45" fillId="0" borderId="22" xfId="0" applyNumberFormat="1" applyFont="1" applyFill="1" applyBorder="1" applyAlignment="1">
      <alignment vertical="center"/>
    </xf>
    <xf numFmtId="164" fontId="45" fillId="0" borderId="75" xfId="21" applyNumberFormat="1" applyFont="1" applyFill="1" applyBorder="1" applyAlignment="1">
      <alignment vertical="center"/>
    </xf>
    <xf numFmtId="0" fontId="59" fillId="0" borderId="71" xfId="0" applyFont="1" applyFill="1" applyBorder="1" applyAlignment="1">
      <alignment vertical="center"/>
    </xf>
    <xf numFmtId="164" fontId="49" fillId="0" borderId="76" xfId="21" applyFont="1" applyFill="1" applyBorder="1" applyAlignment="1">
      <alignment horizontal="right"/>
    </xf>
    <xf numFmtId="167" fontId="49" fillId="0" borderId="72" xfId="41" applyNumberFormat="1" applyFont="1" applyFill="1" applyBorder="1" applyAlignment="1" applyProtection="1">
      <alignment wrapText="1"/>
    </xf>
    <xf numFmtId="164" fontId="49" fillId="0" borderId="0" xfId="2" applyFont="1" applyFill="1" applyAlignment="1"/>
    <xf numFmtId="164" fontId="33" fillId="0" borderId="14" xfId="21" applyNumberFormat="1" applyFont="1" applyFill="1" applyBorder="1" applyAlignment="1">
      <alignment horizontal="center" vertical="center"/>
    </xf>
    <xf numFmtId="0" fontId="33" fillId="0" borderId="15" xfId="0" applyFont="1" applyFill="1" applyBorder="1"/>
    <xf numFmtId="164" fontId="33" fillId="0" borderId="15" xfId="41" applyNumberFormat="1" applyFont="1" applyFill="1" applyBorder="1" applyAlignment="1" applyProtection="1">
      <alignment vertical="center"/>
    </xf>
    <xf numFmtId="164" fontId="33" fillId="0" borderId="72" xfId="41" applyNumberFormat="1" applyFont="1" applyFill="1" applyBorder="1" applyAlignment="1">
      <alignment horizontal="left" vertical="center"/>
    </xf>
    <xf numFmtId="164" fontId="33" fillId="0" borderId="14" xfId="21" applyNumberFormat="1" applyFont="1" applyFill="1" applyBorder="1" applyAlignment="1">
      <alignment horizontal="left" vertical="center"/>
    </xf>
    <xf numFmtId="164" fontId="34" fillId="0" borderId="14" xfId="21" applyNumberFormat="1" applyFont="1" applyFill="1" applyBorder="1" applyAlignment="1">
      <alignment vertical="center"/>
    </xf>
    <xf numFmtId="164" fontId="34" fillId="0" borderId="72" xfId="21" applyNumberFormat="1" applyFont="1" applyFill="1" applyBorder="1" applyAlignment="1">
      <alignment vertical="center"/>
    </xf>
    <xf numFmtId="164" fontId="34" fillId="0" borderId="15" xfId="21" applyNumberFormat="1" applyFont="1" applyFill="1" applyBorder="1" applyAlignment="1">
      <alignment vertical="center"/>
    </xf>
    <xf numFmtId="164" fontId="34" fillId="0" borderId="0" xfId="2" applyFont="1" applyFill="1" applyAlignment="1">
      <alignment vertical="center"/>
    </xf>
    <xf numFmtId="0" fontId="33" fillId="0" borderId="15" xfId="0" quotePrefix="1" applyFont="1" applyFill="1" applyBorder="1"/>
    <xf numFmtId="164" fontId="33" fillId="0" borderId="15" xfId="41" applyNumberFormat="1" applyFont="1" applyFill="1" applyBorder="1" applyAlignment="1">
      <alignment vertical="center"/>
    </xf>
    <xf numFmtId="164" fontId="33" fillId="0" borderId="15" xfId="41" applyNumberFormat="1" applyFont="1" applyFill="1" applyBorder="1" applyAlignment="1">
      <alignment horizontal="right" vertical="center"/>
    </xf>
    <xf numFmtId="164" fontId="33" fillId="0" borderId="15" xfId="41" applyNumberFormat="1" applyFont="1" applyFill="1" applyBorder="1" applyAlignment="1" applyProtection="1">
      <alignment horizontal="center" vertical="center"/>
    </xf>
    <xf numFmtId="0" fontId="33" fillId="0" borderId="15" xfId="0" quotePrefix="1" applyFont="1" applyFill="1" applyBorder="1" applyAlignment="1">
      <alignment wrapText="1"/>
    </xf>
    <xf numFmtId="0" fontId="60" fillId="0" borderId="15" xfId="0" quotePrefix="1" applyFont="1" applyFill="1" applyBorder="1" applyAlignment="1">
      <alignment wrapText="1"/>
    </xf>
    <xf numFmtId="0" fontId="33" fillId="0" borderId="15" xfId="0" applyFont="1" applyFill="1" applyBorder="1" applyAlignment="1">
      <alignment vertical="center"/>
    </xf>
    <xf numFmtId="164" fontId="33" fillId="0" borderId="15" xfId="0" applyNumberFormat="1" applyFont="1" applyFill="1" applyBorder="1" applyAlignment="1">
      <alignment vertical="center" wrapText="1"/>
    </xf>
    <xf numFmtId="164" fontId="33" fillId="0" borderId="84" xfId="41" applyNumberFormat="1" applyFont="1" applyFill="1" applyBorder="1" applyAlignment="1" applyProtection="1">
      <alignment horizontal="center" vertical="center"/>
    </xf>
    <xf numFmtId="164" fontId="33" fillId="0" borderId="85" xfId="21" applyNumberFormat="1" applyFont="1" applyFill="1" applyBorder="1" applyAlignment="1">
      <alignment horizontal="left" vertical="center"/>
    </xf>
    <xf numFmtId="164" fontId="33" fillId="0" borderId="88" xfId="41" applyNumberFormat="1" applyFont="1" applyFill="1" applyBorder="1" applyAlignment="1">
      <alignment horizontal="left" vertical="center"/>
    </xf>
    <xf numFmtId="164" fontId="60" fillId="0" borderId="15" xfId="0" applyNumberFormat="1" applyFont="1" applyFill="1" applyBorder="1" applyAlignment="1">
      <alignment vertical="center" wrapText="1"/>
    </xf>
    <xf numFmtId="0" fontId="33" fillId="0" borderId="15" xfId="0" applyFont="1" applyFill="1" applyBorder="1" applyAlignment="1">
      <alignment horizontal="left"/>
    </xf>
    <xf numFmtId="164" fontId="33" fillId="0" borderId="15" xfId="0" applyNumberFormat="1" applyFont="1" applyFill="1" applyBorder="1" applyAlignment="1">
      <alignment vertical="center"/>
    </xf>
    <xf numFmtId="164" fontId="33" fillId="0" borderId="14" xfId="0" applyNumberFormat="1" applyFont="1" applyFill="1" applyBorder="1" applyAlignment="1">
      <alignment vertical="center"/>
    </xf>
    <xf numFmtId="164" fontId="34" fillId="0" borderId="14" xfId="0" applyNumberFormat="1" applyFont="1" applyFill="1" applyBorder="1" applyAlignment="1">
      <alignment vertical="center"/>
    </xf>
    <xf numFmtId="164" fontId="34" fillId="0" borderId="14" xfId="26" applyNumberFormat="1" applyFont="1" applyFill="1" applyBorder="1" applyAlignment="1">
      <alignment vertical="center"/>
    </xf>
    <xf numFmtId="164" fontId="34" fillId="0" borderId="14" xfId="34" applyNumberFormat="1" applyFont="1" applyFill="1" applyBorder="1" applyAlignment="1">
      <alignment vertical="center" wrapText="1"/>
    </xf>
    <xf numFmtId="0" fontId="33" fillId="0" borderId="15" xfId="0" applyFont="1" applyFill="1" applyBorder="1" applyAlignment="1">
      <alignment wrapText="1"/>
    </xf>
    <xf numFmtId="164" fontId="33" fillId="0" borderId="15" xfId="21" applyFont="1" applyFill="1" applyBorder="1" applyAlignment="1">
      <alignment vertical="center"/>
    </xf>
    <xf numFmtId="164" fontId="34" fillId="0" borderId="14" xfId="21" applyNumberFormat="1" applyFont="1" applyFill="1" applyBorder="1" applyAlignment="1" applyProtection="1">
      <alignment vertical="center"/>
    </xf>
    <xf numFmtId="0" fontId="60" fillId="0" borderId="15" xfId="0" applyFont="1" applyFill="1" applyBorder="1"/>
    <xf numFmtId="164" fontId="34" fillId="0" borderId="21" xfId="21" applyNumberFormat="1" applyFont="1" applyFill="1" applyBorder="1" applyAlignment="1">
      <alignment vertical="center"/>
    </xf>
    <xf numFmtId="0" fontId="33" fillId="0" borderId="15" xfId="0" applyFont="1" applyFill="1" applyBorder="1" applyAlignment="1">
      <alignment vertical="top" wrapText="1"/>
    </xf>
    <xf numFmtId="164" fontId="33" fillId="0" borderId="27" xfId="2" applyFont="1" applyFill="1" applyBorder="1" applyAlignment="1">
      <alignment vertical="center"/>
    </xf>
    <xf numFmtId="164" fontId="33" fillId="0" borderId="25" xfId="2" applyNumberFormat="1" applyFont="1" applyFill="1" applyBorder="1" applyAlignment="1">
      <alignment vertical="center"/>
    </xf>
    <xf numFmtId="164" fontId="34" fillId="0" borderId="85" xfId="2" applyNumberFormat="1" applyFont="1" applyFill="1" applyBorder="1" applyAlignment="1">
      <alignment vertical="center"/>
    </xf>
    <xf numFmtId="164" fontId="33" fillId="0" borderId="14" xfId="26" applyNumberFormat="1" applyFont="1" applyFill="1" applyBorder="1" applyAlignment="1">
      <alignment vertical="center"/>
    </xf>
    <xf numFmtId="0" fontId="60" fillId="0" borderId="15" xfId="0" applyFont="1" applyFill="1" applyBorder="1" applyAlignment="1">
      <alignment vertical="top" wrapText="1"/>
    </xf>
    <xf numFmtId="0" fontId="33" fillId="0" borderId="84" xfId="0" applyFont="1" applyFill="1" applyBorder="1" applyAlignment="1">
      <alignment vertical="center"/>
    </xf>
    <xf numFmtId="0" fontId="33" fillId="0" borderId="88" xfId="0" applyFont="1" applyFill="1" applyBorder="1" applyAlignment="1">
      <alignment horizontal="center" vertical="center"/>
    </xf>
    <xf numFmtId="164" fontId="33" fillId="0" borderId="85" xfId="26" applyNumberFormat="1" applyFont="1" applyFill="1" applyBorder="1" applyAlignment="1">
      <alignment vertical="center"/>
    </xf>
    <xf numFmtId="164" fontId="34" fillId="0" borderId="0" xfId="21" applyNumberFormat="1" applyFont="1" applyFill="1" applyAlignment="1">
      <alignment vertical="center"/>
    </xf>
    <xf numFmtId="164" fontId="33" fillId="0" borderId="15" xfId="0" applyNumberFormat="1" applyFont="1" applyFill="1" applyBorder="1" applyAlignment="1">
      <alignment vertical="top" wrapText="1"/>
    </xf>
    <xf numFmtId="164" fontId="33" fillId="0" borderId="14" xfId="21" applyNumberFormat="1" applyFont="1" applyFill="1" applyBorder="1" applyAlignment="1">
      <alignment vertical="center"/>
    </xf>
    <xf numFmtId="164" fontId="33" fillId="0" borderId="14" xfId="21" applyNumberFormat="1" applyFont="1" applyFill="1" applyBorder="1" applyAlignment="1" applyProtection="1">
      <alignment vertical="center"/>
    </xf>
    <xf numFmtId="164" fontId="33" fillId="0" borderId="15" xfId="77" applyNumberFormat="1" applyFont="1" applyFill="1" applyBorder="1" applyAlignment="1" applyProtection="1">
      <alignment vertical="top" wrapText="1"/>
    </xf>
    <xf numFmtId="164" fontId="33" fillId="0" borderId="25" xfId="21" applyNumberFormat="1" applyFont="1" applyFill="1" applyBorder="1" applyAlignment="1">
      <alignment horizontal="left" vertical="center"/>
    </xf>
    <xf numFmtId="164" fontId="33" fillId="0" borderId="84" xfId="41" applyNumberFormat="1" applyFont="1" applyFill="1" applyBorder="1" applyAlignment="1">
      <alignment vertical="center"/>
    </xf>
    <xf numFmtId="164" fontId="33" fillId="0" borderId="25" xfId="21" applyNumberFormat="1" applyFont="1" applyFill="1" applyBorder="1" applyAlignment="1" applyProtection="1">
      <alignment vertical="center"/>
    </xf>
    <xf numFmtId="164" fontId="33" fillId="0" borderId="15" xfId="0" applyNumberFormat="1" applyFont="1" applyFill="1" applyBorder="1" applyAlignment="1">
      <alignment horizontal="left" vertical="center"/>
    </xf>
    <xf numFmtId="164" fontId="33" fillId="0" borderId="15" xfId="77" applyNumberFormat="1" applyFont="1" applyFill="1" applyBorder="1" applyAlignment="1" applyProtection="1">
      <alignment vertical="center" wrapText="1"/>
    </xf>
    <xf numFmtId="0" fontId="4" fillId="0" borderId="15" xfId="0" applyFont="1" applyFill="1" applyBorder="1" applyAlignment="1">
      <alignment horizontal="center"/>
    </xf>
    <xf numFmtId="164" fontId="34" fillId="0" borderId="88" xfId="41" applyNumberFormat="1" applyFont="1" applyFill="1" applyBorder="1" applyAlignment="1" applyProtection="1">
      <alignment horizontal="center" vertical="center"/>
    </xf>
    <xf numFmtId="164" fontId="34" fillId="0" borderId="85" xfId="21" applyNumberFormat="1" applyFont="1" applyFill="1" applyBorder="1" applyAlignment="1" applyProtection="1">
      <alignment vertical="center"/>
    </xf>
    <xf numFmtId="0" fontId="61" fillId="0" borderId="21" xfId="0" applyFont="1" applyFill="1" applyBorder="1" applyAlignment="1">
      <alignment horizontal="center"/>
    </xf>
    <xf numFmtId="164" fontId="33" fillId="0" borderId="21" xfId="77" applyNumberFormat="1" applyFont="1" applyFill="1" applyBorder="1" applyAlignment="1" applyProtection="1">
      <alignment vertical="center" wrapText="1"/>
    </xf>
    <xf numFmtId="164" fontId="60" fillId="0" borderId="21" xfId="77" applyNumberFormat="1" applyFont="1" applyFill="1" applyBorder="1" applyAlignment="1" applyProtection="1">
      <alignment vertical="center" wrapText="1"/>
    </xf>
    <xf numFmtId="0" fontId="33" fillId="0" borderId="21" xfId="0" applyFont="1" applyFill="1" applyBorder="1" applyAlignment="1">
      <alignment vertical="center" wrapText="1"/>
    </xf>
    <xf numFmtId="164" fontId="34" fillId="0" borderId="85" xfId="21" applyNumberFormat="1" applyFont="1" applyFill="1" applyBorder="1" applyAlignment="1">
      <alignment vertical="center"/>
    </xf>
    <xf numFmtId="0" fontId="60" fillId="0" borderId="15" xfId="0" applyFont="1" applyFill="1" applyBorder="1" applyAlignment="1">
      <alignment vertical="center" wrapText="1"/>
    </xf>
    <xf numFmtId="0" fontId="33" fillId="0" borderId="72" xfId="0" applyFont="1" applyFill="1" applyBorder="1" applyAlignment="1">
      <alignment horizontal="center" vertical="center"/>
    </xf>
    <xf numFmtId="0" fontId="33" fillId="0" borderId="21" xfId="77" applyNumberFormat="1" applyFont="1" applyFill="1" applyBorder="1" applyAlignment="1" applyProtection="1">
      <alignment vertical="center" wrapText="1"/>
    </xf>
    <xf numFmtId="0" fontId="60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164" fontId="33" fillId="0" borderId="0" xfId="21" applyNumberFormat="1" applyFont="1" applyFill="1" applyBorder="1" applyAlignment="1">
      <alignment vertical="top" wrapText="1"/>
    </xf>
    <xf numFmtId="164" fontId="4" fillId="0" borderId="0" xfId="21" applyNumberFormat="1" applyFont="1" applyFill="1" applyAlignment="1">
      <alignment vertical="center"/>
    </xf>
    <xf numFmtId="164" fontId="33" fillId="0" borderId="14" xfId="77" applyNumberFormat="1" applyFont="1" applyFill="1" applyBorder="1" applyAlignment="1" applyProtection="1">
      <alignment vertical="center" wrapText="1"/>
    </xf>
    <xf numFmtId="164" fontId="33" fillId="0" borderId="14" xfId="21" applyNumberFormat="1" applyFont="1" applyFill="1" applyBorder="1" applyAlignment="1">
      <alignment horizontal="right" vertical="center"/>
    </xf>
    <xf numFmtId="164" fontId="33" fillId="0" borderId="14" xfId="0" applyNumberFormat="1" applyFont="1" applyFill="1" applyBorder="1" applyAlignment="1">
      <alignment vertical="center" wrapText="1"/>
    </xf>
    <xf numFmtId="0" fontId="33" fillId="0" borderId="14" xfId="0" applyFont="1" applyFill="1" applyBorder="1" applyAlignment="1">
      <alignment wrapText="1"/>
    </xf>
    <xf numFmtId="0" fontId="60" fillId="0" borderId="14" xfId="0" applyFont="1" applyFill="1" applyBorder="1" applyAlignment="1">
      <alignment wrapText="1"/>
    </xf>
    <xf numFmtId="0" fontId="4" fillId="0" borderId="14" xfId="0" applyFont="1" applyFill="1" applyBorder="1" applyAlignment="1">
      <alignment horizontal="center" wrapText="1"/>
    </xf>
    <xf numFmtId="164" fontId="34" fillId="0" borderId="25" xfId="21" applyNumberFormat="1" applyFont="1" applyFill="1" applyBorder="1" applyAlignment="1">
      <alignment vertical="center"/>
    </xf>
    <xf numFmtId="164" fontId="33" fillId="0" borderId="14" xfId="0" applyNumberFormat="1" applyFont="1" applyFill="1" applyBorder="1" applyAlignment="1">
      <alignment horizontal="left" vertical="center" wrapText="1"/>
    </xf>
    <xf numFmtId="164" fontId="33" fillId="0" borderId="21" xfId="0" applyNumberFormat="1" applyFont="1" applyFill="1" applyBorder="1" applyAlignment="1">
      <alignment vertical="center" wrapText="1"/>
    </xf>
    <xf numFmtId="164" fontId="45" fillId="0" borderId="42" xfId="41" applyNumberFormat="1" applyFont="1" applyFill="1" applyBorder="1" applyAlignment="1" applyProtection="1">
      <alignment vertical="center"/>
    </xf>
    <xf numFmtId="164" fontId="62" fillId="0" borderId="0" xfId="26" applyNumberFormat="1" applyFont="1" applyFill="1" applyBorder="1" applyAlignment="1">
      <alignment vertical="center"/>
    </xf>
    <xf numFmtId="164" fontId="62" fillId="0" borderId="0" xfId="21" applyFont="1" applyFill="1" applyAlignment="1">
      <alignment vertical="center"/>
    </xf>
    <xf numFmtId="164" fontId="62" fillId="0" borderId="21" xfId="21" applyFont="1" applyFill="1" applyBorder="1" applyAlignment="1">
      <alignment vertical="center"/>
    </xf>
    <xf numFmtId="164" fontId="62" fillId="0" borderId="0" xfId="21" applyNumberFormat="1" applyFont="1" applyFill="1" applyBorder="1" applyAlignment="1">
      <alignment vertical="center"/>
    </xf>
    <xf numFmtId="164" fontId="62" fillId="0" borderId="0" xfId="2" applyFont="1" applyFill="1" applyAlignment="1">
      <alignment vertical="center"/>
    </xf>
    <xf numFmtId="164" fontId="62" fillId="0" borderId="76" xfId="21" applyFont="1" applyFill="1" applyBorder="1" applyAlignment="1">
      <alignment horizontal="center" vertical="center"/>
    </xf>
    <xf numFmtId="164" fontId="63" fillId="0" borderId="13" xfId="21" applyNumberFormat="1" applyFont="1" applyFill="1" applyBorder="1" applyAlignment="1">
      <alignment vertical="center"/>
    </xf>
    <xf numFmtId="164" fontId="63" fillId="0" borderId="0" xfId="21" applyNumberFormat="1" applyFont="1" applyFill="1" applyBorder="1" applyAlignment="1">
      <alignment vertical="center"/>
    </xf>
    <xf numFmtId="164" fontId="45" fillId="0" borderId="10" xfId="21" applyFont="1" applyFill="1" applyBorder="1" applyAlignment="1" applyProtection="1">
      <alignment horizontal="center" vertical="center"/>
    </xf>
    <xf numFmtId="164" fontId="45" fillId="0" borderId="80" xfId="21" applyFont="1" applyFill="1" applyBorder="1" applyAlignment="1" applyProtection="1">
      <alignment vertical="center" wrapText="1"/>
    </xf>
    <xf numFmtId="164" fontId="45" fillId="0" borderId="36" xfId="2" applyFont="1" applyFill="1" applyBorder="1" applyAlignment="1" applyProtection="1">
      <alignment horizontal="center" vertical="center"/>
    </xf>
    <xf numFmtId="164" fontId="45" fillId="0" borderId="35" xfId="21" applyFont="1" applyFill="1" applyBorder="1" applyAlignment="1" applyProtection="1">
      <alignment horizontal="center" vertical="center"/>
    </xf>
    <xf numFmtId="164" fontId="45" fillId="0" borderId="6" xfId="21" applyNumberFormat="1" applyFont="1" applyFill="1" applyBorder="1" applyAlignment="1" applyProtection="1">
      <alignment vertical="center"/>
    </xf>
    <xf numFmtId="164" fontId="45" fillId="0" borderId="32" xfId="21" applyNumberFormat="1" applyFont="1" applyFill="1" applyBorder="1" applyAlignment="1" applyProtection="1">
      <alignment vertical="center"/>
    </xf>
    <xf numFmtId="0" fontId="49" fillId="0" borderId="22" xfId="0" applyFont="1" applyFill="1" applyBorder="1" applyAlignment="1">
      <alignment vertical="justify" wrapText="1"/>
    </xf>
    <xf numFmtId="164" fontId="49" fillId="0" borderId="81" xfId="2" applyFont="1" applyFill="1" applyBorder="1" applyAlignment="1">
      <alignment vertical="justify" wrapText="1"/>
    </xf>
    <xf numFmtId="0" fontId="49" fillId="0" borderId="71" xfId="0" applyFont="1" applyFill="1" applyBorder="1" applyAlignment="1">
      <alignment vertical="justify" wrapText="1"/>
    </xf>
    <xf numFmtId="0" fontId="49" fillId="0" borderId="14" xfId="0" applyFont="1" applyFill="1" applyBorder="1" applyAlignment="1">
      <alignment vertical="top" wrapText="1"/>
    </xf>
    <xf numFmtId="164" fontId="49" fillId="0" borderId="15" xfId="2" applyFont="1" applyFill="1" applyBorder="1" applyAlignment="1">
      <alignment vertical="justify" wrapText="1"/>
    </xf>
    <xf numFmtId="0" fontId="49" fillId="0" borderId="72" xfId="0" applyFont="1" applyFill="1" applyBorder="1" applyAlignment="1">
      <alignment vertical="justify" wrapText="1"/>
    </xf>
    <xf numFmtId="164" fontId="49" fillId="0" borderId="72" xfId="21" applyNumberFormat="1" applyFont="1" applyFill="1" applyBorder="1" applyAlignment="1">
      <alignment vertical="center"/>
    </xf>
    <xf numFmtId="0" fontId="49" fillId="0" borderId="83" xfId="0" applyFont="1" applyFill="1" applyBorder="1" applyAlignment="1">
      <alignment vertical="top" wrapText="1"/>
    </xf>
    <xf numFmtId="164" fontId="49" fillId="0" borderId="84" xfId="2" applyFont="1" applyFill="1" applyBorder="1" applyAlignment="1">
      <alignment vertical="justify" wrapText="1"/>
    </xf>
    <xf numFmtId="0" fontId="49" fillId="0" borderId="88" xfId="0" applyFont="1" applyFill="1" applyBorder="1" applyAlignment="1">
      <alignment vertical="justify" wrapText="1"/>
    </xf>
    <xf numFmtId="164" fontId="49" fillId="0" borderId="88" xfId="21" applyNumberFormat="1" applyFont="1" applyFill="1" applyBorder="1" applyAlignment="1">
      <alignment vertical="center"/>
    </xf>
    <xf numFmtId="0" fontId="45" fillId="0" borderId="10" xfId="77" applyNumberFormat="1" applyFont="1" applyFill="1" applyBorder="1" applyAlignment="1" applyProtection="1">
      <alignment horizontal="center" vertical="center"/>
    </xf>
    <xf numFmtId="0" fontId="45" fillId="0" borderId="35" xfId="0" applyFont="1" applyFill="1" applyBorder="1" applyAlignment="1">
      <alignment vertical="center"/>
    </xf>
    <xf numFmtId="164" fontId="45" fillId="0" borderId="80" xfId="2" applyFont="1" applyFill="1" applyBorder="1" applyAlignment="1" applyProtection="1">
      <alignment vertical="center"/>
    </xf>
    <xf numFmtId="0" fontId="45" fillId="0" borderId="80" xfId="0" applyFont="1" applyFill="1" applyBorder="1" applyAlignment="1">
      <alignment horizontal="center" vertical="center"/>
    </xf>
    <xf numFmtId="164" fontId="45" fillId="0" borderId="6" xfId="41" applyNumberFormat="1" applyFont="1" applyFill="1" applyBorder="1" applyAlignment="1" applyProtection="1">
      <alignment vertical="center"/>
    </xf>
    <xf numFmtId="164" fontId="45" fillId="0" borderId="32" xfId="41" applyNumberFormat="1" applyFont="1" applyFill="1" applyBorder="1" applyAlignment="1" applyProtection="1">
      <alignment vertical="center"/>
    </xf>
    <xf numFmtId="0" fontId="49" fillId="0" borderId="74" xfId="77" applyNumberFormat="1" applyFont="1" applyFill="1" applyBorder="1" applyAlignment="1" applyProtection="1">
      <alignment horizontal="center" vertical="center"/>
    </xf>
    <xf numFmtId="164" fontId="49" fillId="0" borderId="86" xfId="2" applyFont="1" applyFill="1" applyBorder="1" applyAlignment="1" applyProtection="1">
      <alignment vertical="center"/>
    </xf>
    <xf numFmtId="0" fontId="49" fillId="0" borderId="86" xfId="0" applyFont="1" applyFill="1" applyBorder="1" applyAlignment="1">
      <alignment horizontal="center" vertical="center"/>
    </xf>
    <xf numFmtId="164" fontId="49" fillId="0" borderId="21" xfId="21" quotePrefix="1" applyFont="1" applyFill="1" applyBorder="1" applyAlignment="1" applyProtection="1">
      <alignment vertical="center" wrapText="1"/>
    </xf>
    <xf numFmtId="164" fontId="49" fillId="0" borderId="21" xfId="21" applyFont="1" applyFill="1" applyBorder="1" applyAlignment="1">
      <alignment vertical="center" wrapText="1"/>
    </xf>
    <xf numFmtId="164" fontId="49" fillId="0" borderId="83" xfId="21" applyFont="1" applyFill="1" applyBorder="1" applyAlignment="1">
      <alignment vertical="center" wrapText="1"/>
    </xf>
    <xf numFmtId="164" fontId="45" fillId="0" borderId="80" xfId="21" applyFont="1" applyFill="1" applyBorder="1" applyAlignment="1">
      <alignment vertical="center" wrapText="1"/>
    </xf>
    <xf numFmtId="164" fontId="49" fillId="0" borderId="86" xfId="21" applyFont="1" applyFill="1" applyBorder="1" applyAlignment="1">
      <alignment vertical="center" wrapText="1"/>
    </xf>
    <xf numFmtId="164" fontId="49" fillId="0" borderId="21" xfId="21" quotePrefix="1" applyFont="1" applyFill="1" applyBorder="1" applyAlignment="1">
      <alignment vertical="center" wrapText="1"/>
    </xf>
    <xf numFmtId="0" fontId="49" fillId="0" borderId="22" xfId="0" quotePrefix="1" applyFont="1" applyFill="1" applyBorder="1"/>
    <xf numFmtId="164" fontId="49" fillId="0" borderId="81" xfId="2" applyFont="1" applyFill="1" applyBorder="1" applyAlignment="1">
      <alignment horizontal="right" vertical="center" wrapText="1"/>
    </xf>
    <xf numFmtId="168" fontId="49" fillId="0" borderId="22" xfId="33" applyNumberFormat="1" applyFont="1" applyFill="1" applyBorder="1" applyAlignment="1">
      <alignment vertical="center"/>
    </xf>
    <xf numFmtId="0" fontId="49" fillId="0" borderId="14" xfId="0" quotePrefix="1" applyFont="1" applyFill="1" applyBorder="1"/>
    <xf numFmtId="164" fontId="49" fillId="0" borderId="15" xfId="2" applyFont="1" applyFill="1" applyBorder="1" applyAlignment="1">
      <alignment horizontal="right" vertical="center" wrapText="1"/>
    </xf>
    <xf numFmtId="168" fontId="49" fillId="0" borderId="14" xfId="33" applyNumberFormat="1" applyFont="1" applyFill="1" applyBorder="1" applyAlignment="1">
      <alignment vertical="center"/>
    </xf>
    <xf numFmtId="164" fontId="49" fillId="0" borderId="21" xfId="21" applyFont="1" applyFill="1" applyBorder="1" applyAlignment="1" applyProtection="1">
      <alignment vertical="center" wrapText="1"/>
    </xf>
    <xf numFmtId="0" fontId="49" fillId="0" borderId="85" xfId="0" applyFont="1" applyFill="1" applyBorder="1"/>
    <xf numFmtId="0" fontId="45" fillId="0" borderId="6" xfId="0" applyFont="1" applyFill="1" applyBorder="1"/>
    <xf numFmtId="0" fontId="49" fillId="0" borderId="22" xfId="0" applyFont="1" applyFill="1" applyBorder="1"/>
    <xf numFmtId="167" fontId="49" fillId="0" borderId="83" xfId="41" applyNumberFormat="1" applyFont="1" applyFill="1" applyBorder="1" applyAlignment="1">
      <alignment vertical="center" wrapText="1"/>
    </xf>
    <xf numFmtId="167" fontId="49" fillId="0" borderId="88" xfId="41" applyNumberFormat="1" applyFont="1" applyFill="1" applyBorder="1" applyAlignment="1" applyProtection="1">
      <alignment horizontal="center" vertical="center"/>
    </xf>
    <xf numFmtId="167" fontId="45" fillId="0" borderId="80" xfId="41" applyNumberFormat="1" applyFont="1" applyFill="1" applyBorder="1" applyAlignment="1">
      <alignment vertical="center" wrapText="1"/>
    </xf>
    <xf numFmtId="164" fontId="45" fillId="0" borderId="36" xfId="2" applyFont="1" applyFill="1" applyBorder="1" applyAlignment="1" applyProtection="1">
      <alignment vertical="center"/>
    </xf>
    <xf numFmtId="167" fontId="45" fillId="0" borderId="35" xfId="41" applyNumberFormat="1" applyFont="1" applyFill="1" applyBorder="1" applyAlignment="1" applyProtection="1">
      <alignment horizontal="center" vertical="center"/>
    </xf>
    <xf numFmtId="167" fontId="49" fillId="0" borderId="86" xfId="41" applyNumberFormat="1" applyFont="1" applyFill="1" applyBorder="1" applyAlignment="1">
      <alignment vertical="center" wrapText="1"/>
    </xf>
    <xf numFmtId="167" fontId="49" fillId="0" borderId="71" xfId="41" applyNumberFormat="1" applyFont="1" applyFill="1" applyBorder="1" applyAlignment="1" applyProtection="1">
      <alignment horizontal="center" vertical="center"/>
    </xf>
    <xf numFmtId="0" fontId="49" fillId="0" borderId="14" xfId="0" quotePrefix="1" applyFont="1" applyFill="1" applyBorder="1" applyAlignment="1">
      <alignment horizontal="left" vertical="center" wrapText="1"/>
    </xf>
    <xf numFmtId="167" fontId="49" fillId="0" borderId="21" xfId="41" quotePrefix="1" applyNumberFormat="1" applyFont="1" applyFill="1" applyBorder="1" applyAlignment="1">
      <alignment vertical="center" wrapText="1"/>
    </xf>
    <xf numFmtId="167" fontId="49" fillId="0" borderId="21" xfId="41" applyNumberFormat="1" applyFont="1" applyFill="1" applyBorder="1" applyAlignment="1">
      <alignment vertical="center" wrapText="1"/>
    </xf>
    <xf numFmtId="0" fontId="45" fillId="0" borderId="6" xfId="0" applyFont="1" applyFill="1" applyBorder="1" applyAlignment="1">
      <alignment vertical="center"/>
    </xf>
    <xf numFmtId="0" fontId="45" fillId="0" borderId="0" xfId="0" applyFont="1" applyFill="1" applyAlignment="1">
      <alignment vertical="center"/>
    </xf>
    <xf numFmtId="164" fontId="49" fillId="0" borderId="36" xfId="2" applyFont="1" applyFill="1" applyBorder="1"/>
    <xf numFmtId="0" fontId="49" fillId="0" borderId="35" xfId="0" applyFont="1" applyFill="1" applyBorder="1"/>
    <xf numFmtId="168" fontId="49" fillId="0" borderId="6" xfId="0" applyNumberFormat="1" applyFont="1" applyFill="1" applyBorder="1"/>
    <xf numFmtId="168" fontId="45" fillId="0" borderId="6" xfId="0" applyNumberFormat="1" applyFont="1" applyFill="1" applyBorder="1"/>
    <xf numFmtId="168" fontId="45" fillId="0" borderId="32" xfId="0" applyNumberFormat="1" applyFont="1" applyFill="1" applyBorder="1"/>
    <xf numFmtId="0" fontId="45" fillId="0" borderId="10" xfId="0" quotePrefix="1" applyFont="1" applyFill="1" applyBorder="1" applyAlignment="1">
      <alignment horizontal="center" vertical="center"/>
    </xf>
    <xf numFmtId="0" fontId="45" fillId="0" borderId="6" xfId="0" quotePrefix="1" applyFont="1" applyFill="1" applyBorder="1"/>
    <xf numFmtId="164" fontId="45" fillId="0" borderId="36" xfId="2" applyFont="1" applyFill="1" applyBorder="1"/>
    <xf numFmtId="0" fontId="45" fillId="0" borderId="35" xfId="0" applyFont="1" applyFill="1" applyBorder="1"/>
    <xf numFmtId="168" fontId="45" fillId="0" borderId="6" xfId="33" applyNumberFormat="1" applyFont="1" applyFill="1" applyBorder="1"/>
    <xf numFmtId="168" fontId="45" fillId="0" borderId="32" xfId="33" applyNumberFormat="1" applyFont="1" applyFill="1" applyBorder="1"/>
    <xf numFmtId="168" fontId="45" fillId="0" borderId="80" xfId="33" applyNumberFormat="1" applyFont="1" applyFill="1" applyBorder="1"/>
    <xf numFmtId="0" fontId="45" fillId="0" borderId="0" xfId="0" applyFont="1" applyFill="1"/>
    <xf numFmtId="164" fontId="49" fillId="0" borderId="81" xfId="2" applyFont="1" applyFill="1" applyBorder="1"/>
    <xf numFmtId="0" fontId="49" fillId="0" borderId="71" xfId="0" applyFont="1" applyFill="1" applyBorder="1"/>
    <xf numFmtId="168" fontId="49" fillId="0" borderId="22" xfId="33" applyNumberFormat="1" applyFont="1" applyFill="1" applyBorder="1"/>
    <xf numFmtId="168" fontId="49" fillId="0" borderId="75" xfId="33" applyNumberFormat="1" applyFont="1" applyFill="1" applyBorder="1"/>
    <xf numFmtId="0" fontId="45" fillId="0" borderId="22" xfId="0" applyFont="1" applyFill="1" applyBorder="1"/>
    <xf numFmtId="0" fontId="49" fillId="0" borderId="75" xfId="0" applyFont="1" applyFill="1" applyBorder="1"/>
    <xf numFmtId="0" fontId="49" fillId="0" borderId="0" xfId="0" applyFont="1" applyFill="1" applyBorder="1"/>
    <xf numFmtId="164" fontId="49" fillId="0" borderId="15" xfId="2" applyFont="1" applyFill="1" applyBorder="1"/>
    <xf numFmtId="0" fontId="49" fillId="0" borderId="72" xfId="0" applyFont="1" applyFill="1" applyBorder="1"/>
    <xf numFmtId="168" fontId="49" fillId="0" borderId="14" xfId="33" applyNumberFormat="1" applyFont="1" applyFill="1" applyBorder="1"/>
    <xf numFmtId="168" fontId="49" fillId="0" borderId="13" xfId="33" applyNumberFormat="1" applyFont="1" applyFill="1" applyBorder="1"/>
    <xf numFmtId="168" fontId="49" fillId="0" borderId="25" xfId="33" applyNumberFormat="1" applyFont="1" applyFill="1" applyBorder="1"/>
    <xf numFmtId="168" fontId="49" fillId="0" borderId="54" xfId="33" applyNumberFormat="1" applyFont="1" applyFill="1" applyBorder="1"/>
    <xf numFmtId="164" fontId="45" fillId="0" borderId="6" xfId="21" applyNumberFormat="1" applyFont="1" applyFill="1" applyBorder="1" applyAlignment="1">
      <alignment vertical="center"/>
    </xf>
    <xf numFmtId="0" fontId="49" fillId="0" borderId="22" xfId="0" quotePrefix="1" applyFont="1" applyFill="1" applyBorder="1" applyAlignment="1">
      <alignment vertical="center"/>
    </xf>
    <xf numFmtId="0" fontId="49" fillId="0" borderId="100" xfId="0" applyFont="1" applyFill="1" applyBorder="1" applyAlignment="1">
      <alignment horizontal="center" vertical="center"/>
    </xf>
    <xf numFmtId="0" fontId="49" fillId="0" borderId="26" xfId="0" applyFont="1" applyFill="1" applyBorder="1"/>
    <xf numFmtId="164" fontId="49" fillId="0" borderId="102" xfId="2" applyFont="1" applyFill="1" applyBorder="1"/>
    <xf numFmtId="0" fontId="49" fillId="0" borderId="101" xfId="0" applyFont="1" applyFill="1" applyBorder="1"/>
    <xf numFmtId="168" fontId="49" fillId="0" borderId="26" xfId="33" applyNumberFormat="1" applyFont="1" applyFill="1" applyBorder="1"/>
    <xf numFmtId="168" fontId="49" fillId="0" borderId="95" xfId="33" applyNumberFormat="1" applyFont="1" applyFill="1" applyBorder="1"/>
    <xf numFmtId="0" fontId="45" fillId="0" borderId="74" xfId="0" quotePrefix="1" applyFont="1" applyFill="1" applyBorder="1" applyAlignment="1">
      <alignment horizontal="center" vertical="center"/>
    </xf>
    <xf numFmtId="0" fontId="45" fillId="0" borderId="22" xfId="0" quotePrefix="1" applyFont="1" applyFill="1" applyBorder="1"/>
    <xf numFmtId="168" fontId="45" fillId="0" borderId="75" xfId="33" applyNumberFormat="1" applyFont="1" applyFill="1" applyBorder="1"/>
    <xf numFmtId="168" fontId="45" fillId="0" borderId="0" xfId="33" applyNumberFormat="1" applyFont="1" applyFill="1" applyBorder="1"/>
    <xf numFmtId="0" fontId="49" fillId="0" borderId="76" xfId="0" quotePrefix="1" applyFont="1" applyFill="1" applyBorder="1" applyAlignment="1">
      <alignment horizontal="center" vertical="center"/>
    </xf>
    <xf numFmtId="0" fontId="49" fillId="0" borderId="74" xfId="0" quotePrefix="1" applyFont="1" applyFill="1" applyBorder="1" applyAlignment="1">
      <alignment horizontal="center" vertical="center"/>
    </xf>
    <xf numFmtId="164" fontId="45" fillId="0" borderId="32" xfId="3" applyFont="1" applyFill="1" applyBorder="1"/>
    <xf numFmtId="164" fontId="45" fillId="0" borderId="80" xfId="3" applyFont="1" applyFill="1" applyBorder="1"/>
    <xf numFmtId="0" fontId="49" fillId="0" borderId="14" xfId="0" quotePrefix="1" applyFont="1" applyFill="1" applyBorder="1" applyAlignment="1">
      <alignment vertical="top" wrapText="1"/>
    </xf>
    <xf numFmtId="164" fontId="49" fillId="0" borderId="15" xfId="2" applyFont="1" applyFill="1" applyBorder="1" applyAlignment="1">
      <alignment vertical="top"/>
    </xf>
    <xf numFmtId="0" fontId="49" fillId="0" borderId="72" xfId="0" applyFont="1" applyFill="1" applyBorder="1" applyAlignment="1">
      <alignment vertical="top"/>
    </xf>
    <xf numFmtId="168" fontId="49" fillId="0" borderId="14" xfId="33" applyNumberFormat="1" applyFont="1" applyFill="1" applyBorder="1" applyAlignment="1">
      <alignment vertical="top"/>
    </xf>
    <xf numFmtId="168" fontId="49" fillId="0" borderId="13" xfId="33" applyNumberFormat="1" applyFont="1" applyFill="1" applyBorder="1" applyAlignment="1">
      <alignment vertical="top"/>
    </xf>
    <xf numFmtId="168" fontId="49" fillId="0" borderId="0" xfId="33" applyNumberFormat="1" applyFont="1" applyFill="1" applyBorder="1" applyAlignment="1">
      <alignment vertical="top"/>
    </xf>
    <xf numFmtId="0" fontId="45" fillId="0" borderId="14" xfId="0" quotePrefix="1" applyFont="1" applyFill="1" applyBorder="1"/>
    <xf numFmtId="164" fontId="45" fillId="0" borderId="10" xfId="21" applyFont="1" applyFill="1" applyBorder="1" applyAlignment="1" applyProtection="1">
      <alignment horizontal="center" vertical="top"/>
    </xf>
    <xf numFmtId="164" fontId="45" fillId="0" borderId="6" xfId="21" applyFont="1" applyFill="1" applyBorder="1" applyAlignment="1" applyProtection="1">
      <alignment vertical="center" wrapText="1"/>
    </xf>
    <xf numFmtId="164" fontId="45" fillId="0" borderId="80" xfId="2" applyFont="1" applyFill="1" applyBorder="1" applyAlignment="1" applyProtection="1">
      <alignment horizontal="center" vertical="center"/>
    </xf>
    <xf numFmtId="164" fontId="45" fillId="0" borderId="80" xfId="21" applyFont="1" applyFill="1" applyBorder="1" applyAlignment="1" applyProtection="1">
      <alignment horizontal="center" vertical="center"/>
    </xf>
    <xf numFmtId="0" fontId="49" fillId="0" borderId="22" xfId="0" applyNumberFormat="1" applyFont="1" applyFill="1" applyBorder="1" applyAlignment="1" applyProtection="1">
      <alignment horizontal="left" vertical="center"/>
    </xf>
    <xf numFmtId="164" fontId="49" fillId="0" borderId="86" xfId="2" applyFont="1" applyFill="1" applyBorder="1" applyAlignment="1" applyProtection="1">
      <alignment horizontal="right" vertical="center"/>
    </xf>
    <xf numFmtId="0" fontId="49" fillId="0" borderId="14" xfId="0" applyNumberFormat="1" applyFont="1" applyFill="1" applyBorder="1" applyAlignment="1" applyProtection="1">
      <alignment horizontal="left" vertical="center"/>
    </xf>
    <xf numFmtId="164" fontId="49" fillId="0" borderId="21" xfId="2" applyFont="1" applyFill="1" applyBorder="1" applyAlignment="1" applyProtection="1">
      <alignment horizontal="right" vertical="center"/>
    </xf>
    <xf numFmtId="0" fontId="49" fillId="0" borderId="85" xfId="0" applyNumberFormat="1" applyFont="1" applyFill="1" applyBorder="1" applyAlignment="1" applyProtection="1">
      <alignment horizontal="left" vertical="center"/>
    </xf>
    <xf numFmtId="164" fontId="49" fillId="0" borderId="83" xfId="2" applyFont="1" applyFill="1" applyBorder="1" applyAlignment="1" applyProtection="1">
      <alignment horizontal="right" vertical="center"/>
    </xf>
    <xf numFmtId="164" fontId="49" fillId="0" borderId="10" xfId="21" applyFont="1" applyFill="1" applyBorder="1" applyAlignment="1" applyProtection="1">
      <alignment horizontal="center" vertical="center"/>
    </xf>
    <xf numFmtId="164" fontId="49" fillId="0" borderId="6" xfId="21" quotePrefix="1" applyFont="1" applyFill="1" applyBorder="1" applyAlignment="1" applyProtection="1">
      <alignment vertical="center" wrapText="1"/>
    </xf>
    <xf numFmtId="164" fontId="49" fillId="0" borderId="80" xfId="2" applyFont="1" applyFill="1" applyBorder="1" applyAlignment="1" applyProtection="1">
      <alignment horizontal="center" vertical="center"/>
    </xf>
    <xf numFmtId="164" fontId="49" fillId="0" borderId="80" xfId="21" applyFont="1" applyFill="1" applyBorder="1" applyAlignment="1" applyProtection="1">
      <alignment horizontal="center" vertical="center"/>
    </xf>
    <xf numFmtId="164" fontId="49" fillId="0" borderId="6" xfId="21" applyNumberFormat="1" applyFont="1" applyFill="1" applyBorder="1" applyAlignment="1" applyProtection="1">
      <alignment vertical="center"/>
    </xf>
    <xf numFmtId="164" fontId="49" fillId="0" borderId="32" xfId="21" applyNumberFormat="1" applyFont="1" applyFill="1" applyBorder="1" applyAlignment="1" applyProtection="1">
      <alignment vertical="center"/>
    </xf>
    <xf numFmtId="164" fontId="49" fillId="0" borderId="80" xfId="21" applyNumberFormat="1" applyFont="1" applyFill="1" applyBorder="1" applyAlignment="1" applyProtection="1">
      <alignment vertical="center"/>
    </xf>
    <xf numFmtId="164" fontId="49" fillId="0" borderId="22" xfId="21" quotePrefix="1" applyFont="1" applyFill="1" applyBorder="1" applyAlignment="1" applyProtection="1">
      <alignment vertical="center" wrapText="1"/>
    </xf>
    <xf numFmtId="164" fontId="49" fillId="0" borderId="86" xfId="2" applyFont="1" applyFill="1" applyBorder="1" applyAlignment="1" applyProtection="1">
      <alignment horizontal="center" vertical="center"/>
    </xf>
    <xf numFmtId="164" fontId="45" fillId="0" borderId="82" xfId="21" applyFont="1" applyFill="1" applyBorder="1" applyAlignment="1" applyProtection="1">
      <alignment horizontal="center" vertical="center"/>
    </xf>
    <xf numFmtId="164" fontId="45" fillId="0" borderId="85" xfId="21" applyFont="1" applyFill="1" applyBorder="1" applyAlignment="1" applyProtection="1">
      <alignment vertical="center" wrapText="1"/>
    </xf>
    <xf numFmtId="164" fontId="45" fillId="0" borderId="83" xfId="2" applyFont="1" applyFill="1" applyBorder="1" applyAlignment="1" applyProtection="1">
      <alignment horizontal="center" vertical="center"/>
    </xf>
    <xf numFmtId="164" fontId="45" fillId="0" borderId="83" xfId="21" applyFont="1" applyFill="1" applyBorder="1" applyAlignment="1" applyProtection="1">
      <alignment horizontal="center" vertical="center"/>
    </xf>
    <xf numFmtId="164" fontId="45" fillId="0" borderId="19" xfId="21" applyNumberFormat="1" applyFont="1" applyFill="1" applyBorder="1" applyAlignment="1" applyProtection="1">
      <alignment vertical="center"/>
    </xf>
    <xf numFmtId="164" fontId="49" fillId="0" borderId="22" xfId="21" quotePrefix="1" applyFont="1" applyFill="1" applyBorder="1" applyAlignment="1" applyProtection="1">
      <alignment vertical="center"/>
    </xf>
    <xf numFmtId="164" fontId="49" fillId="0" borderId="86" xfId="21" applyFont="1" applyFill="1" applyBorder="1" applyAlignment="1">
      <alignment horizontal="center" vertical="center"/>
    </xf>
    <xf numFmtId="164" fontId="49" fillId="0" borderId="14" xfId="21" quotePrefix="1" applyFont="1" applyFill="1" applyBorder="1" applyAlignment="1" applyProtection="1">
      <alignment vertical="center"/>
    </xf>
    <xf numFmtId="164" fontId="49" fillId="0" borderId="21" xfId="2" applyFont="1" applyFill="1" applyBorder="1" applyAlignment="1" applyProtection="1">
      <alignment horizontal="center" vertical="center"/>
    </xf>
    <xf numFmtId="164" fontId="49" fillId="0" borderId="14" xfId="21" applyFont="1" applyFill="1" applyBorder="1" applyAlignment="1" applyProtection="1">
      <alignment vertical="center" wrapText="1"/>
    </xf>
    <xf numFmtId="164" fontId="49" fillId="0" borderId="14" xfId="21" quotePrefix="1" applyFont="1" applyFill="1" applyBorder="1" applyAlignment="1" applyProtection="1">
      <alignment vertical="center" wrapText="1"/>
    </xf>
    <xf numFmtId="164" fontId="49" fillId="0" borderId="85" xfId="21" quotePrefix="1" applyFont="1" applyFill="1" applyBorder="1" applyAlignment="1" applyProtection="1">
      <alignment vertical="center" wrapText="1"/>
    </xf>
    <xf numFmtId="164" fontId="49" fillId="0" borderId="14" xfId="21" applyFont="1" applyFill="1" applyBorder="1" applyAlignment="1">
      <alignment vertical="center" wrapText="1"/>
    </xf>
    <xf numFmtId="164" fontId="49" fillId="0" borderId="14" xfId="21" quotePrefix="1" applyFont="1" applyFill="1" applyBorder="1" applyAlignment="1">
      <alignment vertical="center" wrapText="1"/>
    </xf>
    <xf numFmtId="0" fontId="42" fillId="0" borderId="86" xfId="0" applyFont="1" applyFill="1" applyBorder="1"/>
    <xf numFmtId="0" fontId="49" fillId="0" borderId="85" xfId="0" quotePrefix="1" applyFont="1" applyFill="1" applyBorder="1" applyAlignment="1">
      <alignment vertical="center"/>
    </xf>
    <xf numFmtId="0" fontId="45" fillId="0" borderId="6" xfId="0" quotePrefix="1" applyFont="1" applyFill="1" applyBorder="1" applyAlignment="1">
      <alignment vertical="center"/>
    </xf>
    <xf numFmtId="0" fontId="30" fillId="0" borderId="47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164" fontId="45" fillId="0" borderId="35" xfId="21" applyFont="1" applyFill="1" applyBorder="1" applyAlignment="1" applyProtection="1">
      <alignment vertical="center" wrapText="1"/>
    </xf>
    <xf numFmtId="164" fontId="45" fillId="0" borderId="10" xfId="21" applyFont="1" applyFill="1" applyBorder="1" applyAlignment="1">
      <alignment horizontal="center" vertical="center"/>
    </xf>
    <xf numFmtId="0" fontId="49" fillId="0" borderId="86" xfId="0" quotePrefix="1" applyFont="1" applyFill="1" applyBorder="1"/>
    <xf numFmtId="164" fontId="49" fillId="0" borderId="71" xfId="33" applyNumberFormat="1" applyFont="1" applyFill="1" applyBorder="1" applyAlignment="1">
      <alignment horizontal="center" vertical="center"/>
    </xf>
    <xf numFmtId="0" fontId="49" fillId="0" borderId="21" xfId="0" quotePrefix="1" applyFont="1" applyFill="1" applyBorder="1"/>
    <xf numFmtId="164" fontId="49" fillId="0" borderId="72" xfId="33" applyNumberFormat="1" applyFont="1" applyFill="1" applyBorder="1" applyAlignment="1">
      <alignment horizontal="center" vertical="center"/>
    </xf>
    <xf numFmtId="0" fontId="49" fillId="0" borderId="83" xfId="0" quotePrefix="1" applyFont="1" applyFill="1" applyBorder="1"/>
    <xf numFmtId="164" fontId="49" fillId="0" borderId="88" xfId="33" applyNumberFormat="1" applyFont="1" applyFill="1" applyBorder="1" applyAlignment="1">
      <alignment horizontal="center" vertical="center"/>
    </xf>
    <xf numFmtId="0" fontId="49" fillId="0" borderId="80" xfId="0" quotePrefix="1" applyFont="1" applyFill="1" applyBorder="1"/>
    <xf numFmtId="164" fontId="49" fillId="0" borderId="36" xfId="2" applyFont="1" applyFill="1" applyBorder="1" applyAlignment="1">
      <alignment vertical="center"/>
    </xf>
    <xf numFmtId="164" fontId="49" fillId="0" borderId="35" xfId="21" applyFont="1" applyFill="1" applyBorder="1" applyAlignment="1" applyProtection="1">
      <alignment horizontal="center" vertical="center"/>
    </xf>
    <xf numFmtId="164" fontId="49" fillId="0" borderId="35" xfId="33" applyNumberFormat="1" applyFont="1" applyFill="1" applyBorder="1" applyAlignment="1">
      <alignment horizontal="center" vertical="center"/>
    </xf>
    <xf numFmtId="0" fontId="49" fillId="0" borderId="81" xfId="0" quotePrefix="1" applyFont="1" applyFill="1" applyBorder="1" applyAlignment="1">
      <alignment vertical="center"/>
    </xf>
    <xf numFmtId="164" fontId="45" fillId="0" borderId="88" xfId="21" applyFont="1" applyFill="1" applyBorder="1" applyAlignment="1">
      <alignment vertical="center"/>
    </xf>
    <xf numFmtId="164" fontId="45" fillId="0" borderId="84" xfId="2" applyFont="1" applyFill="1" applyBorder="1" applyAlignment="1" applyProtection="1">
      <alignment horizontal="center" vertical="center"/>
    </xf>
    <xf numFmtId="164" fontId="45" fillId="0" borderId="88" xfId="21" applyFont="1" applyFill="1" applyBorder="1" applyAlignment="1" applyProtection="1">
      <alignment horizontal="center" vertical="center"/>
    </xf>
    <xf numFmtId="164" fontId="45" fillId="0" borderId="35" xfId="21" applyFont="1" applyFill="1" applyBorder="1" applyAlignment="1">
      <alignment vertical="center"/>
    </xf>
    <xf numFmtId="164" fontId="45" fillId="0" borderId="21" xfId="21" applyFont="1" applyFill="1" applyBorder="1" applyAlignment="1" applyProtection="1">
      <alignment vertical="center" wrapText="1"/>
    </xf>
    <xf numFmtId="164" fontId="45" fillId="0" borderId="72" xfId="21" applyFont="1" applyFill="1" applyBorder="1" applyAlignment="1" applyProtection="1">
      <alignment horizontal="center" vertical="center"/>
    </xf>
    <xf numFmtId="164" fontId="45" fillId="0" borderId="13" xfId="21" applyNumberFormat="1" applyFont="1" applyFill="1" applyBorder="1" applyAlignment="1" applyProtection="1">
      <alignment vertical="center"/>
    </xf>
    <xf numFmtId="164" fontId="49" fillId="0" borderId="72" xfId="21" applyFont="1" applyFill="1" applyBorder="1" applyAlignment="1" applyProtection="1">
      <alignment vertical="center" wrapText="1"/>
    </xf>
    <xf numFmtId="164" fontId="45" fillId="0" borderId="14" xfId="21" applyFont="1" applyFill="1" applyBorder="1" applyAlignment="1" applyProtection="1">
      <alignment vertical="center" wrapText="1"/>
    </xf>
    <xf numFmtId="164" fontId="49" fillId="0" borderId="14" xfId="21" applyFont="1" applyFill="1" applyBorder="1" applyAlignment="1">
      <alignment vertical="center"/>
    </xf>
    <xf numFmtId="164" fontId="45" fillId="0" borderId="14" xfId="21" quotePrefix="1" applyFont="1" applyFill="1" applyBorder="1" applyAlignment="1">
      <alignment vertical="center" wrapText="1"/>
    </xf>
    <xf numFmtId="164" fontId="49" fillId="0" borderId="15" xfId="21" quotePrefix="1" applyFont="1" applyFill="1" applyBorder="1" applyAlignment="1">
      <alignment vertical="center" wrapText="1"/>
    </xf>
    <xf numFmtId="164" fontId="45" fillId="0" borderId="15" xfId="21" quotePrefix="1" applyFont="1" applyFill="1" applyBorder="1" applyAlignment="1">
      <alignment vertical="center" wrapText="1"/>
    </xf>
    <xf numFmtId="164" fontId="45" fillId="0" borderId="15" xfId="2" applyFont="1" applyFill="1" applyBorder="1" applyAlignment="1" applyProtection="1">
      <alignment vertical="center"/>
    </xf>
    <xf numFmtId="164" fontId="49" fillId="0" borderId="76" xfId="21" applyNumberFormat="1" applyFont="1" applyFill="1" applyBorder="1" applyAlignment="1" applyProtection="1">
      <alignment horizontal="center" vertical="center"/>
    </xf>
    <xf numFmtId="164" fontId="49" fillId="0" borderId="14" xfId="0" applyNumberFormat="1" applyFont="1" applyFill="1" applyBorder="1"/>
    <xf numFmtId="164" fontId="49" fillId="0" borderId="76" xfId="21" applyNumberFormat="1" applyFont="1" applyFill="1" applyBorder="1" applyAlignment="1" applyProtection="1">
      <alignment vertical="center"/>
    </xf>
    <xf numFmtId="0" fontId="49" fillId="0" borderId="15" xfId="0" applyFont="1" applyFill="1" applyBorder="1"/>
    <xf numFmtId="164" fontId="49" fillId="0" borderId="72" xfId="0" applyNumberFormat="1" applyFont="1" applyFill="1" applyBorder="1"/>
    <xf numFmtId="164" fontId="49" fillId="0" borderId="6" xfId="21" applyFont="1" applyFill="1" applyBorder="1" applyAlignment="1" applyProtection="1">
      <alignment horizontal="center" vertical="center"/>
    </xf>
    <xf numFmtId="164" fontId="49" fillId="0" borderId="76" xfId="2" applyFont="1" applyFill="1" applyBorder="1" applyAlignment="1">
      <alignment horizontal="center" vertical="center"/>
    </xf>
    <xf numFmtId="164" fontId="49" fillId="0" borderId="14" xfId="2" applyFont="1" applyFill="1" applyBorder="1" applyAlignment="1">
      <alignment vertical="center"/>
    </xf>
    <xf numFmtId="164" fontId="49" fillId="0" borderId="72" xfId="2" applyFont="1" applyFill="1" applyBorder="1" applyAlignment="1">
      <alignment horizontal="center" vertical="center"/>
    </xf>
    <xf numFmtId="164" fontId="49" fillId="0" borderId="14" xfId="2" applyNumberFormat="1" applyFont="1" applyFill="1" applyBorder="1" applyAlignment="1">
      <alignment vertical="center"/>
    </xf>
    <xf numFmtId="164" fontId="49" fillId="0" borderId="13" xfId="2" applyNumberFormat="1" applyFont="1" applyFill="1" applyBorder="1" applyAlignment="1">
      <alignment vertical="center"/>
    </xf>
    <xf numFmtId="0" fontId="45" fillId="0" borderId="21" xfId="0" quotePrefix="1" applyFont="1" applyFill="1" applyBorder="1" applyAlignment="1">
      <alignment vertical="center"/>
    </xf>
    <xf numFmtId="0" fontId="45" fillId="0" borderId="21" xfId="0" applyFont="1" applyFill="1" applyBorder="1" applyAlignment="1">
      <alignment horizontal="center" vertical="center"/>
    </xf>
    <xf numFmtId="0" fontId="49" fillId="0" borderId="21" xfId="0" quotePrefix="1" applyFont="1" applyFill="1" applyBorder="1" applyAlignment="1">
      <alignment vertical="center"/>
    </xf>
    <xf numFmtId="167" fontId="49" fillId="0" borderId="21" xfId="41" applyNumberFormat="1" applyFont="1" applyFill="1" applyBorder="1" applyAlignment="1" applyProtection="1">
      <alignment horizontal="center" vertical="center"/>
    </xf>
    <xf numFmtId="0" fontId="45" fillId="0" borderId="21" xfId="0" applyFont="1" applyFill="1" applyBorder="1" applyAlignment="1">
      <alignment vertical="center"/>
    </xf>
    <xf numFmtId="167" fontId="45" fillId="0" borderId="21" xfId="41" applyNumberFormat="1" applyFont="1" applyFill="1" applyBorder="1" applyAlignment="1" applyProtection="1">
      <alignment horizontal="center" vertical="center"/>
    </xf>
    <xf numFmtId="164" fontId="45" fillId="0" borderId="87" xfId="21" applyFont="1" applyFill="1" applyBorder="1" applyAlignment="1" applyProtection="1">
      <alignment horizontal="center" vertical="center"/>
    </xf>
    <xf numFmtId="164" fontId="45" fillId="0" borderId="21" xfId="2" applyFont="1" applyFill="1" applyBorder="1" applyAlignment="1" applyProtection="1">
      <alignment horizontal="center" vertical="center"/>
    </xf>
    <xf numFmtId="164" fontId="49" fillId="0" borderId="87" xfId="21" applyFont="1" applyFill="1" applyBorder="1" applyAlignment="1" applyProtection="1">
      <alignment horizontal="center" vertical="center"/>
    </xf>
    <xf numFmtId="164" fontId="49" fillId="0" borderId="21" xfId="2" applyFont="1" applyFill="1" applyBorder="1"/>
    <xf numFmtId="0" fontId="49" fillId="0" borderId="14" xfId="0" quotePrefix="1" applyFont="1" applyFill="1" applyBorder="1" applyAlignment="1">
      <alignment vertical="center" wrapText="1"/>
    </xf>
    <xf numFmtId="164" fontId="49" fillId="0" borderId="72" xfId="21" applyNumberFormat="1" applyFont="1" applyFill="1" applyBorder="1" applyAlignment="1" applyProtection="1">
      <alignment vertical="center"/>
    </xf>
    <xf numFmtId="164" fontId="49" fillId="0" borderId="21" xfId="21" quotePrefix="1" applyFont="1" applyFill="1" applyBorder="1" applyAlignment="1">
      <alignment vertical="center"/>
    </xf>
    <xf numFmtId="0" fontId="49" fillId="0" borderId="72" xfId="0" applyFont="1" applyFill="1" applyBorder="1" applyAlignment="1">
      <alignment horizontal="left" vertical="center" wrapText="1"/>
    </xf>
    <xf numFmtId="164" fontId="45" fillId="0" borderId="21" xfId="21" applyFont="1" applyFill="1" applyBorder="1" applyAlignment="1">
      <alignment horizontal="center" vertical="center"/>
    </xf>
    <xf numFmtId="0" fontId="45" fillId="0" borderId="72" xfId="0" applyFont="1" applyFill="1" applyBorder="1" applyAlignment="1">
      <alignment horizontal="left" vertical="center" wrapText="1"/>
    </xf>
    <xf numFmtId="3" fontId="49" fillId="0" borderId="72" xfId="0" applyNumberFormat="1" applyFont="1" applyFill="1" applyBorder="1" applyAlignment="1">
      <alignment vertical="center"/>
    </xf>
    <xf numFmtId="164" fontId="45" fillId="0" borderId="74" xfId="21" applyFont="1" applyFill="1" applyBorder="1" applyAlignment="1" applyProtection="1">
      <alignment horizontal="center" vertical="center"/>
    </xf>
    <xf numFmtId="164" fontId="45" fillId="0" borderId="86" xfId="21" applyFont="1" applyFill="1" applyBorder="1" applyAlignment="1" applyProtection="1">
      <alignment vertical="center" wrapText="1"/>
    </xf>
    <xf numFmtId="164" fontId="45" fillId="0" borderId="81" xfId="2" applyFont="1" applyFill="1" applyBorder="1" applyAlignment="1" applyProtection="1">
      <alignment horizontal="center" vertical="center"/>
    </xf>
    <xf numFmtId="164" fontId="45" fillId="0" borderId="71" xfId="21" applyFont="1" applyFill="1" applyBorder="1" applyAlignment="1" applyProtection="1">
      <alignment horizontal="center" vertical="center"/>
    </xf>
    <xf numFmtId="164" fontId="45" fillId="0" borderId="22" xfId="21" applyNumberFormat="1" applyFont="1" applyFill="1" applyBorder="1" applyAlignment="1" applyProtection="1">
      <alignment vertical="center"/>
    </xf>
    <xf numFmtId="164" fontId="45" fillId="0" borderId="75" xfId="21" applyNumberFormat="1" applyFont="1" applyFill="1" applyBorder="1" applyAlignment="1" applyProtection="1">
      <alignment vertical="center"/>
    </xf>
    <xf numFmtId="0" fontId="49" fillId="0" borderId="21" xfId="0" applyFont="1" applyFill="1" applyBorder="1"/>
    <xf numFmtId="0" fontId="49" fillId="0" borderId="72" xfId="0" applyFont="1" applyFill="1" applyBorder="1" applyAlignment="1">
      <alignment horizontal="center"/>
    </xf>
    <xf numFmtId="164" fontId="49" fillId="0" borderId="14" xfId="21" applyFont="1" applyFill="1" applyBorder="1"/>
    <xf numFmtId="164" fontId="45" fillId="0" borderId="21" xfId="21" quotePrefix="1" applyFont="1" applyFill="1" applyBorder="1" applyAlignment="1" applyProtection="1">
      <alignment vertical="center" wrapText="1"/>
    </xf>
    <xf numFmtId="164" fontId="45" fillId="0" borderId="21" xfId="2" applyFont="1" applyFill="1" applyBorder="1" applyAlignment="1">
      <alignment vertical="center"/>
    </xf>
    <xf numFmtId="164" fontId="45" fillId="0" borderId="13" xfId="0" applyNumberFormat="1" applyFont="1" applyFill="1" applyBorder="1" applyAlignment="1">
      <alignment vertical="center"/>
    </xf>
    <xf numFmtId="164" fontId="45" fillId="0" borderId="0" xfId="0" applyNumberFormat="1" applyFont="1" applyFill="1" applyBorder="1" applyAlignment="1">
      <alignment vertical="center"/>
    </xf>
    <xf numFmtId="164" fontId="49" fillId="0" borderId="15" xfId="21" applyFont="1" applyFill="1" applyBorder="1" applyAlignment="1">
      <alignment vertical="center" wrapText="1"/>
    </xf>
    <xf numFmtId="0" fontId="49" fillId="0" borderId="15" xfId="0" applyFont="1" applyFill="1" applyBorder="1" applyAlignment="1">
      <alignment vertical="center"/>
    </xf>
    <xf numFmtId="164" fontId="49" fillId="0" borderId="14" xfId="21" applyNumberFormat="1" applyFont="1" applyFill="1" applyBorder="1" applyAlignment="1" applyProtection="1">
      <alignment vertical="center" wrapText="1"/>
    </xf>
    <xf numFmtId="164" fontId="49" fillId="0" borderId="13" xfId="21" applyNumberFormat="1" applyFont="1" applyFill="1" applyBorder="1" applyAlignment="1" applyProtection="1">
      <alignment vertical="center" wrapText="1"/>
    </xf>
    <xf numFmtId="164" fontId="49" fillId="0" borderId="0" xfId="21" applyNumberFormat="1" applyFont="1" applyFill="1" applyBorder="1" applyAlignment="1" applyProtection="1">
      <alignment vertical="center" wrapText="1"/>
    </xf>
    <xf numFmtId="164" fontId="49" fillId="0" borderId="72" xfId="21" applyFont="1" applyFill="1" applyBorder="1" applyAlignment="1">
      <alignment horizontal="center" vertical="center"/>
    </xf>
    <xf numFmtId="0" fontId="45" fillId="0" borderId="76" xfId="77" applyNumberFormat="1" applyFont="1" applyFill="1" applyBorder="1" applyAlignment="1" applyProtection="1">
      <alignment horizontal="center" vertical="center"/>
    </xf>
    <xf numFmtId="164" fontId="45" fillId="0" borderId="15" xfId="2" applyFont="1" applyFill="1" applyBorder="1" applyAlignment="1">
      <alignment horizontal="center" vertical="center"/>
    </xf>
    <xf numFmtId="164" fontId="49" fillId="0" borderId="14" xfId="21" applyNumberFormat="1" applyFont="1" applyFill="1" applyBorder="1" applyAlignment="1">
      <alignment horizontal="right" vertical="center"/>
    </xf>
    <xf numFmtId="0" fontId="42" fillId="0" borderId="21" xfId="0" applyFont="1" applyFill="1" applyBorder="1" applyAlignment="1">
      <alignment vertical="center"/>
    </xf>
    <xf numFmtId="164" fontId="45" fillId="0" borderId="15" xfId="21" applyFont="1" applyFill="1" applyBorder="1" applyAlignment="1" applyProtection="1">
      <alignment vertical="center" wrapText="1"/>
    </xf>
    <xf numFmtId="164" fontId="45" fillId="0" borderId="103" xfId="21" applyNumberFormat="1" applyFont="1" applyFill="1" applyBorder="1" applyAlignment="1" applyProtection="1">
      <alignment vertical="center"/>
    </xf>
    <xf numFmtId="168" fontId="49" fillId="0" borderId="14" xfId="1" applyNumberFormat="1" applyFont="1" applyFill="1" applyBorder="1" applyAlignment="1">
      <alignment horizontal="right" vertical="center"/>
    </xf>
    <xf numFmtId="0" fontId="49" fillId="0" borderId="72" xfId="0" quotePrefix="1" applyFont="1" applyFill="1" applyBorder="1" applyAlignment="1">
      <alignment vertical="center"/>
    </xf>
    <xf numFmtId="164" fontId="49" fillId="0" borderId="15" xfId="2" applyFont="1" applyFill="1" applyBorder="1" applyAlignment="1">
      <alignment horizontal="center" vertical="center"/>
    </xf>
    <xf numFmtId="164" fontId="49" fillId="0" borderId="14" xfId="21" quotePrefix="1" applyNumberFormat="1" applyFont="1" applyFill="1" applyBorder="1" applyAlignment="1">
      <alignment horizontal="right" vertical="center"/>
    </xf>
    <xf numFmtId="164" fontId="49" fillId="0" borderId="15" xfId="2" quotePrefix="1" applyFont="1" applyFill="1" applyBorder="1" applyAlignment="1">
      <alignment horizontal="right" vertical="center"/>
    </xf>
    <xf numFmtId="164" fontId="49" fillId="0" borderId="72" xfId="21" applyFont="1" applyFill="1" applyBorder="1" applyAlignment="1">
      <alignment vertical="center" wrapText="1"/>
    </xf>
    <xf numFmtId="164" fontId="49" fillId="0" borderId="15" xfId="2" applyFont="1" applyFill="1" applyBorder="1" applyAlignment="1" applyProtection="1">
      <alignment horizontal="right" vertical="center"/>
    </xf>
    <xf numFmtId="0" fontId="49" fillId="0" borderId="85" xfId="0" applyFont="1" applyFill="1" applyBorder="1" applyAlignment="1">
      <alignment vertical="center"/>
    </xf>
    <xf numFmtId="164" fontId="49" fillId="0" borderId="84" xfId="2" applyFont="1" applyFill="1" applyBorder="1" applyAlignment="1" applyProtection="1">
      <alignment horizontal="right" vertical="center"/>
    </xf>
    <xf numFmtId="0" fontId="42" fillId="0" borderId="14" xfId="0" applyFont="1" applyFill="1" applyBorder="1" applyAlignment="1">
      <alignment vertical="center" wrapText="1"/>
    </xf>
    <xf numFmtId="1" fontId="49" fillId="0" borderId="15" xfId="21" applyNumberFormat="1" applyFont="1" applyFill="1" applyBorder="1" applyAlignment="1" applyProtection="1">
      <alignment horizontal="right" vertical="center"/>
    </xf>
    <xf numFmtId="164" fontId="49" fillId="0" borderId="104" xfId="21" applyNumberFormat="1" applyFont="1" applyFill="1" applyBorder="1" applyAlignment="1" applyProtection="1">
      <alignment vertical="center"/>
    </xf>
    <xf numFmtId="164" fontId="49" fillId="0" borderId="105" xfId="21" applyNumberFormat="1" applyFont="1" applyFill="1" applyBorder="1" applyAlignment="1" applyProtection="1">
      <alignment vertical="center"/>
    </xf>
    <xf numFmtId="164" fontId="49" fillId="0" borderId="106" xfId="21" applyNumberFormat="1" applyFont="1" applyFill="1" applyBorder="1" applyAlignment="1" applyProtection="1">
      <alignment vertical="center"/>
    </xf>
    <xf numFmtId="164" fontId="49" fillId="0" borderId="107" xfId="21" applyNumberFormat="1" applyFont="1" applyFill="1" applyBorder="1" applyAlignment="1" applyProtection="1">
      <alignment vertical="center"/>
    </xf>
    <xf numFmtId="167" fontId="45" fillId="0" borderId="21" xfId="41" quotePrefix="1" applyNumberFormat="1" applyFont="1" applyFill="1" applyBorder="1" applyAlignment="1" applyProtection="1">
      <alignment vertical="center" wrapText="1"/>
    </xf>
    <xf numFmtId="167" fontId="49" fillId="0" borderId="21" xfId="41" quotePrefix="1" applyNumberFormat="1" applyFont="1" applyFill="1" applyBorder="1" applyAlignment="1" applyProtection="1">
      <alignment vertical="center" wrapText="1"/>
    </xf>
    <xf numFmtId="164" fontId="45" fillId="0" borderId="21" xfId="21" applyFont="1" applyFill="1" applyBorder="1" applyAlignment="1">
      <alignment vertical="center" wrapText="1"/>
    </xf>
    <xf numFmtId="1" fontId="49" fillId="0" borderId="21" xfId="21" applyNumberFormat="1" applyFont="1" applyFill="1" applyBorder="1" applyAlignment="1" applyProtection="1">
      <alignment horizontal="right" vertical="center"/>
    </xf>
    <xf numFmtId="164" fontId="49" fillId="0" borderId="21" xfId="21" applyNumberFormat="1" applyFont="1" applyFill="1" applyBorder="1" applyAlignment="1" applyProtection="1">
      <alignment vertical="center"/>
    </xf>
    <xf numFmtId="164" fontId="49" fillId="0" borderId="21" xfId="21" applyFont="1" applyFill="1" applyBorder="1" applyAlignment="1" applyProtection="1">
      <alignment horizontal="left" vertical="center"/>
    </xf>
    <xf numFmtId="0" fontId="49" fillId="0" borderId="14" xfId="0" quotePrefix="1" applyFont="1" applyFill="1" applyBorder="1" applyAlignment="1">
      <alignment horizontal="justify" vertical="center"/>
    </xf>
    <xf numFmtId="164" fontId="49" fillId="0" borderId="72" xfId="21" quotePrefix="1" applyFont="1" applyFill="1" applyBorder="1" applyAlignment="1">
      <alignment vertical="center" wrapText="1"/>
    </xf>
    <xf numFmtId="164" fontId="45" fillId="0" borderId="35" xfId="21" applyFont="1" applyFill="1" applyBorder="1"/>
    <xf numFmtId="164" fontId="45" fillId="0" borderId="36" xfId="2" applyFont="1" applyFill="1" applyBorder="1" applyAlignment="1" applyProtection="1">
      <alignment horizontal="center"/>
    </xf>
    <xf numFmtId="164" fontId="45" fillId="0" borderId="6" xfId="21" applyFont="1" applyFill="1" applyBorder="1" applyAlignment="1" applyProtection="1">
      <alignment vertical="center"/>
    </xf>
    <xf numFmtId="164" fontId="45" fillId="0" borderId="6" xfId="21" applyFont="1" applyFill="1" applyBorder="1"/>
    <xf numFmtId="164" fontId="45" fillId="0" borderId="32" xfId="21" applyFont="1" applyFill="1" applyBorder="1" applyAlignment="1" applyProtection="1">
      <alignment vertical="top"/>
    </xf>
    <xf numFmtId="164" fontId="45" fillId="0" borderId="15" xfId="2" applyFont="1" applyFill="1" applyBorder="1" applyAlignment="1" applyProtection="1">
      <alignment horizontal="center"/>
    </xf>
    <xf numFmtId="164" fontId="45" fillId="0" borderId="14" xfId="21" applyFont="1" applyFill="1" applyBorder="1" applyAlignment="1" applyProtection="1">
      <alignment vertical="center"/>
    </xf>
    <xf numFmtId="164" fontId="45" fillId="0" borderId="14" xfId="21" applyFont="1" applyFill="1" applyBorder="1"/>
    <xf numFmtId="164" fontId="45" fillId="0" borderId="13" xfId="21" applyFont="1" applyFill="1" applyBorder="1" applyAlignment="1" applyProtection="1">
      <alignment vertical="top"/>
    </xf>
    <xf numFmtId="164" fontId="45" fillId="0" borderId="0" xfId="21" applyFont="1" applyFill="1" applyBorder="1" applyAlignment="1" applyProtection="1">
      <alignment vertical="top"/>
    </xf>
    <xf numFmtId="164" fontId="45" fillId="0" borderId="0" xfId="2" applyFont="1" applyFill="1"/>
    <xf numFmtId="164" fontId="49" fillId="0" borderId="14" xfId="21" applyFont="1" applyFill="1" applyBorder="1" applyAlignment="1" applyProtection="1">
      <alignment vertical="center"/>
    </xf>
    <xf numFmtId="164" fontId="49" fillId="0" borderId="14" xfId="21" applyFont="1" applyFill="1" applyBorder="1" applyAlignment="1" applyProtection="1">
      <alignment vertical="top"/>
    </xf>
    <xf numFmtId="164" fontId="49" fillId="0" borderId="13" xfId="21" applyFont="1" applyFill="1" applyBorder="1" applyAlignment="1" applyProtection="1">
      <alignment vertical="top"/>
    </xf>
    <xf numFmtId="168" fontId="49" fillId="0" borderId="14" xfId="1" applyNumberFormat="1" applyFont="1" applyFill="1" applyBorder="1"/>
    <xf numFmtId="164" fontId="49" fillId="0" borderId="14" xfId="21" applyFont="1" applyFill="1" applyBorder="1" applyAlignment="1" applyProtection="1">
      <alignment horizontal="center" vertical="center"/>
    </xf>
    <xf numFmtId="0" fontId="45" fillId="0" borderId="72" xfId="0" applyFont="1" applyFill="1" applyBorder="1"/>
    <xf numFmtId="164" fontId="49" fillId="0" borderId="15" xfId="2" applyFont="1" applyFill="1" applyBorder="1" applyAlignment="1" applyProtection="1">
      <alignment horizontal="center"/>
    </xf>
    <xf numFmtId="164" fontId="45" fillId="0" borderId="72" xfId="21" applyFont="1" applyFill="1" applyBorder="1"/>
    <xf numFmtId="164" fontId="49" fillId="0" borderId="21" xfId="21" applyFont="1" applyFill="1" applyBorder="1" applyAlignment="1">
      <alignment horizontal="center"/>
    </xf>
    <xf numFmtId="164" fontId="49" fillId="0" borderId="13" xfId="21" applyFont="1" applyFill="1" applyBorder="1"/>
    <xf numFmtId="164" fontId="49" fillId="0" borderId="0" xfId="21" applyFont="1" applyFill="1" applyBorder="1"/>
    <xf numFmtId="164" fontId="45" fillId="0" borderId="15" xfId="2" applyFont="1" applyFill="1" applyBorder="1"/>
    <xf numFmtId="164" fontId="45" fillId="0" borderId="21" xfId="21" applyFont="1" applyFill="1" applyBorder="1" applyAlignment="1">
      <alignment horizontal="center"/>
    </xf>
    <xf numFmtId="164" fontId="45" fillId="0" borderId="13" xfId="21" applyFont="1" applyFill="1" applyBorder="1"/>
    <xf numFmtId="164" fontId="45" fillId="0" borderId="0" xfId="21" applyFont="1" applyFill="1" applyBorder="1"/>
    <xf numFmtId="164" fontId="49" fillId="0" borderId="72" xfId="21" applyFont="1" applyFill="1" applyBorder="1"/>
    <xf numFmtId="164" fontId="49" fillId="0" borderId="72" xfId="21" applyFont="1" applyFill="1" applyBorder="1" applyAlignment="1">
      <alignment horizontal="center"/>
    </xf>
    <xf numFmtId="164" fontId="45" fillId="0" borderId="14" xfId="21" applyFont="1" applyFill="1" applyBorder="1" applyAlignment="1" applyProtection="1">
      <alignment vertical="top"/>
    </xf>
    <xf numFmtId="164" fontId="49" fillId="0" borderId="72" xfId="21" quotePrefix="1" applyFont="1" applyFill="1" applyBorder="1"/>
    <xf numFmtId="164" fontId="49" fillId="0" borderId="21" xfId="21" applyFont="1" applyFill="1" applyBorder="1" applyAlignment="1" applyProtection="1">
      <alignment horizontal="center"/>
    </xf>
    <xf numFmtId="164" fontId="49" fillId="0" borderId="14" xfId="21" applyFont="1" applyFill="1" applyBorder="1" applyAlignment="1" applyProtection="1"/>
    <xf numFmtId="164" fontId="49" fillId="0" borderId="14" xfId="51" applyNumberFormat="1" applyFont="1" applyFill="1" applyBorder="1" applyAlignment="1" applyProtection="1"/>
    <xf numFmtId="164" fontId="49" fillId="0" borderId="72" xfId="21" applyFont="1" applyFill="1" applyBorder="1" applyAlignment="1" applyProtection="1">
      <alignment horizontal="center"/>
    </xf>
    <xf numFmtId="164" fontId="49" fillId="0" borderId="21" xfId="21" quotePrefix="1" applyFont="1" applyFill="1" applyBorder="1"/>
    <xf numFmtId="0" fontId="49" fillId="0" borderId="81" xfId="0" applyFont="1" applyFill="1" applyBorder="1"/>
    <xf numFmtId="164" fontId="45" fillId="0" borderId="36" xfId="2" applyFont="1" applyFill="1" applyBorder="1" applyAlignment="1">
      <alignment vertical="center"/>
    </xf>
    <xf numFmtId="164" fontId="45" fillId="0" borderId="80" xfId="21" applyFont="1" applyFill="1" applyBorder="1" applyAlignment="1">
      <alignment horizontal="center" vertical="center"/>
    </xf>
    <xf numFmtId="164" fontId="49" fillId="0" borderId="71" xfId="21" applyFont="1" applyFill="1" applyBorder="1" applyAlignment="1">
      <alignment vertical="center" wrapText="1"/>
    </xf>
    <xf numFmtId="0" fontId="45" fillId="0" borderId="36" xfId="0" quotePrefix="1" applyFont="1" applyFill="1" applyBorder="1"/>
    <xf numFmtId="164" fontId="45" fillId="0" borderId="32" xfId="21" applyNumberFormat="1" applyFont="1" applyFill="1" applyBorder="1" applyAlignment="1">
      <alignment vertical="center"/>
    </xf>
    <xf numFmtId="0" fontId="49" fillId="0" borderId="15" xfId="0" quotePrefix="1" applyFont="1" applyFill="1" applyBorder="1"/>
    <xf numFmtId="0" fontId="45" fillId="0" borderId="36" xfId="0" applyFont="1" applyFill="1" applyBorder="1"/>
    <xf numFmtId="0" fontId="45" fillId="0" borderId="81" xfId="0" applyFont="1" applyFill="1" applyBorder="1"/>
    <xf numFmtId="164" fontId="45" fillId="0" borderId="86" xfId="21" applyFont="1" applyFill="1" applyBorder="1" applyAlignment="1" applyProtection="1">
      <alignment horizontal="center" vertical="center"/>
    </xf>
    <xf numFmtId="0" fontId="45" fillId="0" borderId="21" xfId="0" applyFont="1" applyFill="1" applyBorder="1"/>
    <xf numFmtId="164" fontId="45" fillId="0" borderId="74" xfId="21" applyFont="1" applyFill="1" applyBorder="1" applyAlignment="1">
      <alignment horizontal="center" vertical="center"/>
    </xf>
    <xf numFmtId="164" fontId="49" fillId="0" borderId="21" xfId="21" applyFont="1" applyFill="1" applyBorder="1" applyAlignment="1">
      <alignment horizontal="justify" vertical="center"/>
    </xf>
    <xf numFmtId="164" fontId="49" fillId="0" borderId="15" xfId="2" applyFont="1" applyFill="1" applyBorder="1" applyAlignment="1">
      <alignment horizontal="left" vertical="center"/>
    </xf>
    <xf numFmtId="164" fontId="49" fillId="0" borderId="72" xfId="21" applyFont="1" applyFill="1" applyBorder="1" applyAlignment="1">
      <alignment horizontal="left" vertical="center"/>
    </xf>
    <xf numFmtId="164" fontId="49" fillId="0" borderId="14" xfId="21" applyNumberFormat="1" applyFont="1" applyFill="1" applyBorder="1" applyAlignment="1" applyProtection="1">
      <alignment horizontal="left" vertical="center"/>
    </xf>
    <xf numFmtId="164" fontId="49" fillId="0" borderId="13" xfId="21" applyNumberFormat="1" applyFont="1" applyFill="1" applyBorder="1" applyAlignment="1" applyProtection="1">
      <alignment horizontal="left" vertical="center"/>
    </xf>
    <xf numFmtId="164" fontId="49" fillId="0" borderId="0" xfId="21" applyNumberFormat="1" applyFont="1" applyFill="1" applyBorder="1" applyAlignment="1" applyProtection="1">
      <alignment horizontal="left" vertical="center"/>
    </xf>
    <xf numFmtId="169" fontId="49" fillId="0" borderId="85" xfId="21" applyNumberFormat="1" applyFont="1" applyFill="1" applyBorder="1" applyAlignment="1">
      <alignment vertical="center"/>
    </xf>
    <xf numFmtId="164" fontId="49" fillId="0" borderId="35" xfId="21" applyFont="1" applyFill="1" applyBorder="1" applyAlignment="1">
      <alignment vertical="center"/>
    </xf>
    <xf numFmtId="164" fontId="49" fillId="0" borderId="80" xfId="21" applyFont="1" applyFill="1" applyBorder="1" applyAlignment="1">
      <alignment horizontal="center" vertical="center"/>
    </xf>
    <xf numFmtId="169" fontId="49" fillId="0" borderId="6" xfId="21" applyNumberFormat="1" applyFont="1" applyFill="1" applyBorder="1" applyAlignment="1">
      <alignment vertical="center"/>
    </xf>
    <xf numFmtId="164" fontId="49" fillId="0" borderId="32" xfId="21" applyNumberFormat="1" applyFont="1" applyFill="1" applyBorder="1" applyAlignment="1">
      <alignment vertical="center"/>
    </xf>
    <xf numFmtId="164" fontId="49" fillId="0" borderId="80" xfId="21" applyNumberFormat="1" applyFont="1" applyFill="1" applyBorder="1" applyAlignment="1">
      <alignment vertical="center"/>
    </xf>
    <xf numFmtId="169" fontId="49" fillId="0" borderId="22" xfId="21" applyNumberFormat="1" applyFont="1" applyFill="1" applyBorder="1" applyAlignment="1">
      <alignment vertical="center"/>
    </xf>
    <xf numFmtId="169" fontId="49" fillId="0" borderId="14" xfId="21" applyNumberFormat="1" applyFont="1" applyFill="1" applyBorder="1" applyAlignment="1">
      <alignment vertical="center"/>
    </xf>
    <xf numFmtId="164" fontId="49" fillId="0" borderId="100" xfId="21" applyFont="1" applyFill="1" applyBorder="1" applyAlignment="1" applyProtection="1">
      <alignment horizontal="center" vertical="center"/>
    </xf>
    <xf numFmtId="164" fontId="49" fillId="0" borderId="101" xfId="21" applyFont="1" applyFill="1" applyBorder="1" applyAlignment="1">
      <alignment vertical="center"/>
    </xf>
    <xf numFmtId="164" fontId="49" fillId="0" borderId="102" xfId="2" applyFont="1" applyFill="1" applyBorder="1" applyAlignment="1">
      <alignment vertical="center"/>
    </xf>
    <xf numFmtId="164" fontId="49" fillId="0" borderId="108" xfId="21" applyFont="1" applyFill="1" applyBorder="1" applyAlignment="1">
      <alignment horizontal="center" vertical="center"/>
    </xf>
    <xf numFmtId="169" fontId="49" fillId="0" borderId="26" xfId="21" applyNumberFormat="1" applyFont="1" applyFill="1" applyBorder="1" applyAlignment="1">
      <alignment vertical="center"/>
    </xf>
    <xf numFmtId="164" fontId="49" fillId="0" borderId="42" xfId="21" applyNumberFormat="1" applyFont="1" applyFill="1" applyBorder="1" applyAlignment="1">
      <alignment vertical="center"/>
    </xf>
    <xf numFmtId="164" fontId="45" fillId="0" borderId="109" xfId="2" applyFont="1" applyFill="1" applyBorder="1" applyAlignment="1">
      <alignment vertical="center"/>
    </xf>
    <xf numFmtId="0" fontId="49" fillId="0" borderId="14" xfId="78" applyFont="1" applyFill="1" applyBorder="1" applyAlignment="1">
      <alignment horizontal="justify" vertical="center"/>
    </xf>
    <xf numFmtId="0" fontId="49" fillId="0" borderId="14" xfId="78" applyFont="1" applyFill="1" applyBorder="1" applyAlignment="1">
      <alignment horizontal="justify" vertical="center" wrapText="1"/>
    </xf>
    <xf numFmtId="0" fontId="49" fillId="0" borderId="72" xfId="78" applyFont="1" applyFill="1" applyBorder="1" applyAlignment="1">
      <alignment horizontal="justify" vertical="center"/>
    </xf>
    <xf numFmtId="0" fontId="49" fillId="0" borderId="21" xfId="78" applyFont="1" applyFill="1" applyBorder="1" applyAlignment="1">
      <alignment horizontal="justify" vertical="center"/>
    </xf>
    <xf numFmtId="164" fontId="49" fillId="0" borderId="14" xfId="21" applyFont="1" applyFill="1" applyBorder="1" applyAlignment="1">
      <alignment horizontal="justify" vertical="center"/>
    </xf>
    <xf numFmtId="164" fontId="49" fillId="0" borderId="81" xfId="21" applyNumberFormat="1" applyFont="1" applyFill="1" applyBorder="1" applyAlignment="1" applyProtection="1">
      <alignment vertical="center"/>
    </xf>
    <xf numFmtId="0" fontId="49" fillId="0" borderId="14" xfId="78" quotePrefix="1" applyFont="1" applyFill="1" applyBorder="1"/>
    <xf numFmtId="0" fontId="45" fillId="0" borderId="14" xfId="78" quotePrefix="1" applyFont="1" applyFill="1" applyBorder="1"/>
    <xf numFmtId="164" fontId="45" fillId="0" borderId="49" xfId="21" applyFont="1" applyFill="1" applyBorder="1" applyAlignment="1">
      <alignment horizontal="center" vertical="center"/>
    </xf>
    <xf numFmtId="164" fontId="45" fillId="0" borderId="33" xfId="21" applyFont="1" applyFill="1" applyBorder="1" applyAlignment="1">
      <alignment vertical="center"/>
    </xf>
    <xf numFmtId="164" fontId="45" fillId="0" borderId="110" xfId="21" applyFont="1" applyFill="1" applyBorder="1" applyAlignment="1">
      <alignment horizontal="center" vertical="center"/>
    </xf>
    <xf numFmtId="164" fontId="49" fillId="0" borderId="111" xfId="21" applyFont="1" applyFill="1" applyBorder="1" applyAlignment="1">
      <alignment horizontal="center" vertical="center"/>
    </xf>
    <xf numFmtId="164" fontId="49" fillId="0" borderId="94" xfId="21" applyFont="1" applyFill="1" applyBorder="1" applyAlignment="1" applyProtection="1">
      <alignment horizontal="center" vertical="center"/>
    </xf>
    <xf numFmtId="164" fontId="45" fillId="0" borderId="110" xfId="21" applyFont="1" applyFill="1" applyBorder="1" applyAlignment="1" applyProtection="1">
      <alignment horizontal="center" vertical="center"/>
    </xf>
    <xf numFmtId="164" fontId="49" fillId="0" borderId="69" xfId="21" applyFont="1" applyFill="1" applyBorder="1" applyAlignment="1" applyProtection="1">
      <alignment horizontal="center" vertical="center"/>
    </xf>
    <xf numFmtId="0" fontId="49" fillId="0" borderId="25" xfId="0" applyFont="1" applyFill="1" applyBorder="1" applyAlignment="1">
      <alignment vertical="center"/>
    </xf>
    <xf numFmtId="164" fontId="49" fillId="0" borderId="27" xfId="2" applyFont="1" applyFill="1" applyBorder="1" applyAlignment="1">
      <alignment vertical="center"/>
    </xf>
    <xf numFmtId="164" fontId="49" fillId="0" borderId="0" xfId="21" applyFont="1" applyFill="1" applyBorder="1" applyAlignment="1">
      <alignment horizontal="center" vertical="center"/>
    </xf>
    <xf numFmtId="0" fontId="45" fillId="0" borderId="72" xfId="0" quotePrefix="1" applyFont="1" applyFill="1" applyBorder="1" applyAlignment="1">
      <alignment vertical="center"/>
    </xf>
    <xf numFmtId="164" fontId="45" fillId="0" borderId="71" xfId="21" applyFont="1" applyFill="1" applyBorder="1" applyAlignment="1" applyProtection="1">
      <alignment vertical="center" wrapText="1"/>
    </xf>
    <xf numFmtId="164" fontId="62" fillId="0" borderId="21" xfId="21" applyFont="1" applyFill="1" applyBorder="1" applyAlignment="1">
      <alignment horizontal="justify" vertical="center"/>
    </xf>
    <xf numFmtId="164" fontId="62" fillId="0" borderId="15" xfId="2" applyFont="1" applyFill="1" applyBorder="1" applyAlignment="1">
      <alignment vertical="center"/>
    </xf>
    <xf numFmtId="164" fontId="62" fillId="0" borderId="21" xfId="21" applyFont="1" applyFill="1" applyBorder="1" applyAlignment="1" applyProtection="1">
      <alignment horizontal="center" vertical="center"/>
    </xf>
    <xf numFmtId="164" fontId="62" fillId="0" borderId="14" xfId="21" applyNumberFormat="1" applyFont="1" applyFill="1" applyBorder="1" applyAlignment="1" applyProtection="1">
      <alignment vertical="center"/>
    </xf>
    <xf numFmtId="164" fontId="62" fillId="0" borderId="13" xfId="21" applyNumberFormat="1" applyFont="1" applyFill="1" applyBorder="1" applyAlignment="1" applyProtection="1">
      <alignment vertical="center"/>
    </xf>
    <xf numFmtId="164" fontId="62" fillId="0" borderId="0" xfId="21" applyNumberFormat="1" applyFont="1" applyFill="1" applyBorder="1" applyAlignment="1" applyProtection="1">
      <alignment vertical="center"/>
    </xf>
    <xf numFmtId="0" fontId="45" fillId="0" borderId="14" xfId="0" applyFont="1" applyFill="1" applyBorder="1"/>
    <xf numFmtId="0" fontId="49" fillId="0" borderId="86" xfId="0" applyFont="1" applyFill="1" applyBorder="1" applyAlignment="1">
      <alignment vertical="center"/>
    </xf>
    <xf numFmtId="167" fontId="45" fillId="0" borderId="80" xfId="41" quotePrefix="1" applyNumberFormat="1" applyFont="1" applyFill="1" applyBorder="1" applyAlignment="1" applyProtection="1">
      <alignment vertical="center" wrapText="1"/>
    </xf>
    <xf numFmtId="167" fontId="49" fillId="0" borderId="86" xfId="41" quotePrefix="1" applyNumberFormat="1" applyFont="1" applyFill="1" applyBorder="1" applyAlignment="1" applyProtection="1">
      <alignment vertical="center" wrapText="1"/>
    </xf>
    <xf numFmtId="0" fontId="49" fillId="0" borderId="112" xfId="0" applyFont="1" applyFill="1" applyBorder="1"/>
    <xf numFmtId="164" fontId="49" fillId="0" borderId="113" xfId="21" applyFont="1" applyFill="1" applyBorder="1" applyAlignment="1">
      <alignment vertical="top" wrapText="1"/>
    </xf>
    <xf numFmtId="164" fontId="50" fillId="0" borderId="76" xfId="21" applyFont="1" applyFill="1" applyBorder="1" applyAlignment="1" applyProtection="1">
      <alignment horizontal="center" vertical="center"/>
    </xf>
    <xf numFmtId="164" fontId="50" fillId="0" borderId="14" xfId="21" applyFont="1" applyFill="1" applyBorder="1" applyAlignment="1">
      <alignment vertical="center"/>
    </xf>
    <xf numFmtId="164" fontId="50" fillId="0" borderId="15" xfId="2" applyFont="1" applyFill="1" applyBorder="1" applyAlignment="1">
      <alignment vertical="center"/>
    </xf>
    <xf numFmtId="164" fontId="50" fillId="0" borderId="72" xfId="21" applyFont="1" applyFill="1" applyBorder="1" applyAlignment="1">
      <alignment horizontal="center" vertical="center"/>
    </xf>
    <xf numFmtId="164" fontId="50" fillId="0" borderId="13" xfId="21" applyNumberFormat="1" applyFont="1" applyFill="1" applyBorder="1" applyAlignment="1">
      <alignment vertical="center"/>
    </xf>
    <xf numFmtId="164" fontId="65" fillId="0" borderId="0" xfId="21" applyFont="1" applyFill="1" applyAlignment="1">
      <alignment vertical="center"/>
    </xf>
    <xf numFmtId="164" fontId="45" fillId="0" borderId="112" xfId="21" applyFont="1" applyFill="1" applyBorder="1" applyAlignment="1">
      <alignment vertical="center"/>
    </xf>
    <xf numFmtId="164" fontId="66" fillId="0" borderId="0" xfId="21" applyFont="1" applyFill="1" applyBorder="1" applyAlignment="1">
      <alignment vertical="center"/>
    </xf>
    <xf numFmtId="164" fontId="48" fillId="0" borderId="76" xfId="21" applyFont="1" applyFill="1" applyBorder="1" applyAlignment="1" applyProtection="1">
      <alignment horizontal="center" vertical="center"/>
    </xf>
    <xf numFmtId="164" fontId="49" fillId="0" borderId="112" xfId="21" applyFont="1" applyFill="1" applyBorder="1" applyAlignment="1">
      <alignment vertical="center"/>
    </xf>
    <xf numFmtId="164" fontId="48" fillId="0" borderId="15" xfId="2" applyFont="1" applyFill="1" applyBorder="1" applyAlignment="1">
      <alignment vertical="center"/>
    </xf>
    <xf numFmtId="164" fontId="48" fillId="0" borderId="72" xfId="21" applyFont="1" applyFill="1" applyBorder="1" applyAlignment="1">
      <alignment horizontal="center" vertical="center"/>
    </xf>
    <xf numFmtId="164" fontId="65" fillId="0" borderId="0" xfId="21" applyFont="1" applyFill="1" applyBorder="1" applyAlignment="1">
      <alignment vertical="center"/>
    </xf>
    <xf numFmtId="0" fontId="49" fillId="0" borderId="112" xfId="72" applyFont="1" applyFill="1" applyBorder="1" applyAlignment="1">
      <alignment vertical="center"/>
    </xf>
    <xf numFmtId="0" fontId="45" fillId="0" borderId="112" xfId="72" applyFont="1" applyFill="1" applyBorder="1" applyAlignment="1">
      <alignment vertical="center"/>
    </xf>
    <xf numFmtId="0" fontId="49" fillId="0" borderId="113" xfId="0" applyFont="1" applyFill="1" applyBorder="1"/>
    <xf numFmtId="0" fontId="45" fillId="0" borderId="14" xfId="72" applyFont="1" applyFill="1" applyBorder="1" applyAlignment="1">
      <alignment vertical="center"/>
    </xf>
    <xf numFmtId="164" fontId="48" fillId="0" borderId="21" xfId="2" applyFont="1" applyFill="1" applyBorder="1" applyAlignment="1">
      <alignment vertical="center"/>
    </xf>
    <xf numFmtId="0" fontId="49" fillId="0" borderId="14" xfId="72" applyFont="1" applyFill="1" applyBorder="1" applyAlignment="1">
      <alignment vertical="center"/>
    </xf>
    <xf numFmtId="164" fontId="50" fillId="0" borderId="14" xfId="21" applyFont="1" applyFill="1" applyBorder="1" applyAlignment="1" applyProtection="1">
      <alignment vertical="center" wrapText="1"/>
    </xf>
    <xf numFmtId="164" fontId="50" fillId="0" borderId="21" xfId="2" applyFont="1" applyFill="1" applyBorder="1" applyAlignment="1" applyProtection="1">
      <alignment horizontal="center" vertical="center"/>
    </xf>
    <xf numFmtId="164" fontId="50" fillId="0" borderId="72" xfId="21" applyFont="1" applyFill="1" applyBorder="1" applyAlignment="1" applyProtection="1">
      <alignment horizontal="center" vertical="center"/>
    </xf>
    <xf numFmtId="164" fontId="50" fillId="0" borderId="14" xfId="21" applyNumberFormat="1" applyFont="1" applyFill="1" applyBorder="1" applyAlignment="1" applyProtection="1">
      <alignment vertical="center"/>
    </xf>
    <xf numFmtId="164" fontId="50" fillId="0" borderId="13" xfId="21" applyNumberFormat="1" applyFont="1" applyFill="1" applyBorder="1" applyAlignment="1" applyProtection="1">
      <alignment vertical="center"/>
    </xf>
    <xf numFmtId="164" fontId="50" fillId="0" borderId="0" xfId="21" applyNumberFormat="1" applyFont="1" applyFill="1" applyBorder="1" applyAlignment="1" applyProtection="1">
      <alignment vertical="center"/>
    </xf>
    <xf numFmtId="0" fontId="45" fillId="0" borderId="113" xfId="0" applyFont="1" applyFill="1" applyBorder="1"/>
    <xf numFmtId="0" fontId="49" fillId="0" borderId="72" xfId="0" applyFont="1" applyFill="1" applyBorder="1" applyAlignment="1">
      <alignment vertical="center" wrapText="1"/>
    </xf>
    <xf numFmtId="164" fontId="45" fillId="0" borderId="0" xfId="2" applyFont="1" applyFill="1" applyBorder="1" applyAlignment="1">
      <alignment vertical="center"/>
    </xf>
    <xf numFmtId="0" fontId="59" fillId="0" borderId="72" xfId="0" quotePrefix="1" applyFont="1" applyFill="1" applyBorder="1" applyAlignment="1">
      <alignment vertical="center"/>
    </xf>
    <xf numFmtId="0" fontId="45" fillId="0" borderId="35" xfId="0" applyFont="1" applyFill="1" applyBorder="1" applyAlignment="1">
      <alignment horizontal="center" vertical="center"/>
    </xf>
    <xf numFmtId="0" fontId="45" fillId="0" borderId="72" xfId="76" applyNumberFormat="1" applyFont="1" applyFill="1" applyBorder="1" applyAlignment="1" applyProtection="1">
      <alignment horizontal="left" vertical="center"/>
    </xf>
    <xf numFmtId="0" fontId="57" fillId="0" borderId="14" xfId="76" applyNumberFormat="1" applyFont="1" applyFill="1" applyBorder="1" applyAlignment="1" applyProtection="1">
      <alignment horizontal="left" vertical="center"/>
    </xf>
    <xf numFmtId="164" fontId="57" fillId="0" borderId="15" xfId="2" applyFont="1" applyFill="1" applyBorder="1" applyAlignment="1" applyProtection="1">
      <alignment vertical="center"/>
    </xf>
    <xf numFmtId="164" fontId="57" fillId="0" borderId="72" xfId="21" applyFont="1" applyFill="1" applyBorder="1" applyAlignment="1" applyProtection="1">
      <alignment horizontal="center" vertical="center"/>
    </xf>
    <xf numFmtId="164" fontId="57" fillId="0" borderId="14" xfId="21" applyNumberFormat="1" applyFont="1" applyFill="1" applyBorder="1" applyAlignment="1" applyProtection="1">
      <alignment vertical="center"/>
    </xf>
    <xf numFmtId="164" fontId="57" fillId="0" borderId="14" xfId="21" applyNumberFormat="1" applyFont="1" applyFill="1" applyBorder="1" applyAlignment="1">
      <alignment vertical="center"/>
    </xf>
    <xf numFmtId="164" fontId="67" fillId="0" borderId="14" xfId="21" applyNumberFormat="1" applyFont="1" applyFill="1" applyBorder="1" applyAlignment="1">
      <alignment vertical="center"/>
    </xf>
    <xf numFmtId="164" fontId="67" fillId="0" borderId="13" xfId="21" applyNumberFormat="1" applyFont="1" applyFill="1" applyBorder="1" applyAlignment="1">
      <alignment vertical="center"/>
    </xf>
    <xf numFmtId="164" fontId="67" fillId="0" borderId="0" xfId="21" applyNumberFormat="1" applyFont="1" applyFill="1" applyBorder="1" applyAlignment="1">
      <alignment vertical="center"/>
    </xf>
    <xf numFmtId="164" fontId="57" fillId="0" borderId="14" xfId="21" applyFont="1" applyFill="1" applyBorder="1" applyAlignment="1">
      <alignment vertical="center"/>
    </xf>
    <xf numFmtId="164" fontId="68" fillId="0" borderId="14" xfId="21" applyFont="1" applyFill="1" applyBorder="1" applyAlignment="1">
      <alignment vertical="center"/>
    </xf>
    <xf numFmtId="164" fontId="57" fillId="0" borderId="15" xfId="2" applyFont="1" applyFill="1" applyBorder="1" applyAlignment="1">
      <alignment vertical="center"/>
    </xf>
    <xf numFmtId="164" fontId="68" fillId="0" borderId="76" xfId="21" applyFont="1" applyFill="1" applyBorder="1" applyAlignment="1">
      <alignment horizontal="center" vertical="center"/>
    </xf>
    <xf numFmtId="164" fontId="69" fillId="0" borderId="14" xfId="21" applyFont="1" applyFill="1" applyBorder="1" applyAlignment="1">
      <alignment vertical="center"/>
    </xf>
    <xf numFmtId="164" fontId="70" fillId="0" borderId="14" xfId="21" applyFont="1" applyFill="1" applyBorder="1" applyAlignment="1">
      <alignment vertical="center"/>
    </xf>
    <xf numFmtId="167" fontId="69" fillId="0" borderId="14" xfId="41" applyNumberFormat="1" applyFont="1" applyFill="1" applyBorder="1" applyAlignment="1" applyProtection="1">
      <alignment vertical="center" wrapText="1"/>
    </xf>
    <xf numFmtId="0" fontId="57" fillId="0" borderId="72" xfId="0" applyFont="1" applyFill="1" applyBorder="1" applyAlignment="1">
      <alignment horizontal="left" vertical="center"/>
    </xf>
    <xf numFmtId="164" fontId="57" fillId="0" borderId="14" xfId="41" applyNumberFormat="1" applyFont="1" applyFill="1" applyBorder="1" applyAlignment="1" applyProtection="1">
      <alignment vertical="center"/>
    </xf>
    <xf numFmtId="164" fontId="67" fillId="0" borderId="86" xfId="21" applyNumberFormat="1" applyFont="1" applyFill="1" applyBorder="1" applyAlignment="1">
      <alignment vertical="center"/>
    </xf>
    <xf numFmtId="164" fontId="57" fillId="0" borderId="86" xfId="2" applyFont="1" applyFill="1" applyBorder="1" applyAlignment="1">
      <alignment vertical="center"/>
    </xf>
    <xf numFmtId="164" fontId="67" fillId="0" borderId="21" xfId="21" applyNumberFormat="1" applyFont="1" applyFill="1" applyBorder="1" applyAlignment="1">
      <alignment vertical="center"/>
    </xf>
    <xf numFmtId="164" fontId="57" fillId="0" borderId="21" xfId="2" applyFont="1" applyFill="1" applyBorder="1" applyAlignment="1">
      <alignment vertical="center"/>
    </xf>
    <xf numFmtId="0" fontId="58" fillId="0" borderId="14" xfId="0" applyFont="1" applyFill="1" applyBorder="1" applyAlignment="1">
      <alignment vertical="center"/>
    </xf>
    <xf numFmtId="167" fontId="57" fillId="0" borderId="14" xfId="41" applyNumberFormat="1" applyFont="1" applyFill="1" applyBorder="1" applyAlignment="1" applyProtection="1">
      <alignment vertical="center" wrapText="1"/>
    </xf>
    <xf numFmtId="0" fontId="57" fillId="0" borderId="72" xfId="0" applyFont="1" applyFill="1" applyBorder="1" applyAlignment="1">
      <alignment vertical="center"/>
    </xf>
    <xf numFmtId="164" fontId="57" fillId="0" borderId="14" xfId="41" applyNumberFormat="1" applyFont="1" applyFill="1" applyBorder="1" applyAlignment="1">
      <alignment vertical="center"/>
    </xf>
    <xf numFmtId="167" fontId="55" fillId="0" borderId="72" xfId="41" applyNumberFormat="1" applyFont="1" applyFill="1" applyBorder="1" applyAlignment="1" applyProtection="1">
      <alignment vertical="center" wrapText="1"/>
    </xf>
    <xf numFmtId="167" fontId="70" fillId="0" borderId="14" xfId="41" applyNumberFormat="1" applyFont="1" applyFill="1" applyBorder="1" applyAlignment="1" applyProtection="1">
      <alignment vertical="center" wrapText="1"/>
    </xf>
    <xf numFmtId="0" fontId="68" fillId="0" borderId="76" xfId="0" applyFont="1" applyFill="1" applyBorder="1" applyAlignment="1">
      <alignment horizontal="center" vertical="center"/>
    </xf>
    <xf numFmtId="0" fontId="57" fillId="0" borderId="76" xfId="0" applyFont="1" applyFill="1" applyBorder="1" applyAlignment="1">
      <alignment horizontal="center" vertical="center"/>
    </xf>
    <xf numFmtId="164" fontId="67" fillId="0" borderId="83" xfId="21" applyNumberFormat="1" applyFont="1" applyFill="1" applyBorder="1" applyAlignment="1">
      <alignment vertical="center"/>
    </xf>
    <xf numFmtId="164" fontId="57" fillId="0" borderId="83" xfId="2" applyFont="1" applyFill="1" applyBorder="1" applyAlignment="1">
      <alignment vertical="center"/>
    </xf>
    <xf numFmtId="0" fontId="68" fillId="0" borderId="14" xfId="0" applyFont="1" applyFill="1" applyBorder="1" applyAlignment="1">
      <alignment vertical="center"/>
    </xf>
    <xf numFmtId="164" fontId="68" fillId="0" borderId="15" xfId="2" applyFont="1" applyFill="1" applyBorder="1" applyAlignment="1">
      <alignment vertical="center"/>
    </xf>
    <xf numFmtId="0" fontId="68" fillId="0" borderId="72" xfId="0" applyFont="1" applyFill="1" applyBorder="1" applyAlignment="1">
      <alignment horizontal="center" vertical="center"/>
    </xf>
    <xf numFmtId="164" fontId="68" fillId="0" borderId="14" xfId="21" applyNumberFormat="1" applyFont="1" applyFill="1" applyBorder="1" applyAlignment="1">
      <alignment vertical="center"/>
    </xf>
    <xf numFmtId="164" fontId="68" fillId="0" borderId="14" xfId="0" applyNumberFormat="1" applyFont="1" applyFill="1" applyBorder="1" applyAlignment="1">
      <alignment vertical="center"/>
    </xf>
    <xf numFmtId="0" fontId="57" fillId="0" borderId="72" xfId="0" applyFont="1" applyFill="1" applyBorder="1" applyAlignment="1">
      <alignment horizontal="center" vertical="center"/>
    </xf>
    <xf numFmtId="164" fontId="57" fillId="0" borderId="14" xfId="0" applyNumberFormat="1" applyFont="1" applyFill="1" applyBorder="1" applyAlignment="1">
      <alignment vertical="center"/>
    </xf>
    <xf numFmtId="164" fontId="57" fillId="0" borderId="14" xfId="21" applyFont="1" applyFill="1" applyBorder="1" applyAlignment="1">
      <alignment horizontal="left" vertical="top"/>
    </xf>
    <xf numFmtId="0" fontId="68" fillId="0" borderId="14" xfId="76" applyNumberFormat="1" applyFont="1" applyFill="1" applyBorder="1" applyAlignment="1" applyProtection="1">
      <alignment horizontal="left" vertical="center"/>
    </xf>
    <xf numFmtId="164" fontId="68" fillId="0" borderId="76" xfId="21" applyFont="1" applyFill="1" applyBorder="1" applyAlignment="1" applyProtection="1">
      <alignment horizontal="center" vertical="center"/>
    </xf>
    <xf numFmtId="164" fontId="57" fillId="0" borderId="0" xfId="2" applyFont="1" applyFill="1" applyBorder="1" applyAlignment="1">
      <alignment vertical="center"/>
    </xf>
    <xf numFmtId="164" fontId="57" fillId="0" borderId="13" xfId="21" applyNumberFormat="1" applyFont="1" applyFill="1" applyBorder="1" applyAlignment="1">
      <alignment vertical="center"/>
    </xf>
    <xf numFmtId="164" fontId="57" fillId="0" borderId="0" xfId="21" applyNumberFormat="1" applyFont="1" applyFill="1" applyBorder="1" applyAlignment="1">
      <alignment vertical="center"/>
    </xf>
    <xf numFmtId="0" fontId="68" fillId="0" borderId="14" xfId="0" applyFont="1" applyFill="1" applyBorder="1" applyAlignment="1">
      <alignment vertical="center" wrapText="1"/>
    </xf>
    <xf numFmtId="164" fontId="57" fillId="0" borderId="14" xfId="21" applyFont="1" applyFill="1" applyBorder="1" applyAlignment="1" applyProtection="1">
      <alignment vertical="center" wrapText="1"/>
    </xf>
    <xf numFmtId="164" fontId="57" fillId="0" borderId="14" xfId="21" quotePrefix="1" applyFont="1" applyFill="1" applyBorder="1" applyAlignment="1">
      <alignment vertical="center"/>
    </xf>
    <xf numFmtId="164" fontId="57" fillId="0" borderId="49" xfId="21" applyNumberFormat="1" applyFont="1" applyFill="1" applyBorder="1" applyAlignment="1">
      <alignment vertical="center"/>
    </xf>
    <xf numFmtId="164" fontId="57" fillId="0" borderId="74" xfId="21" applyNumberFormat="1" applyFont="1" applyFill="1" applyBorder="1" applyAlignment="1">
      <alignment vertical="center"/>
    </xf>
    <xf numFmtId="164" fontId="57" fillId="0" borderId="76" xfId="21" applyNumberFormat="1" applyFont="1" applyFill="1" applyBorder="1" applyAlignment="1">
      <alignment vertical="center"/>
    </xf>
    <xf numFmtId="164" fontId="57" fillId="0" borderId="76" xfId="2" applyNumberFormat="1" applyFont="1" applyFill="1" applyBorder="1" applyAlignment="1">
      <alignment vertical="center"/>
    </xf>
    <xf numFmtId="167" fontId="57" fillId="0" borderId="14" xfId="41" quotePrefix="1" applyNumberFormat="1" applyFont="1" applyFill="1" applyBorder="1" applyAlignment="1" applyProtection="1">
      <alignment vertical="center" wrapText="1"/>
    </xf>
    <xf numFmtId="164" fontId="57" fillId="0" borderId="82" xfId="2" applyNumberFormat="1" applyFont="1" applyFill="1" applyBorder="1" applyAlignment="1">
      <alignment vertical="center"/>
    </xf>
    <xf numFmtId="167" fontId="57" fillId="0" borderId="88" xfId="41" quotePrefix="1" applyNumberFormat="1" applyFont="1" applyFill="1" applyBorder="1" applyAlignment="1" applyProtection="1">
      <alignment vertical="center" wrapText="1"/>
    </xf>
    <xf numFmtId="164" fontId="57" fillId="0" borderId="84" xfId="2" applyFont="1" applyFill="1" applyBorder="1" applyAlignment="1" applyProtection="1">
      <alignment vertical="center"/>
    </xf>
    <xf numFmtId="0" fontId="57" fillId="0" borderId="88" xfId="0" applyFont="1" applyFill="1" applyBorder="1" applyAlignment="1">
      <alignment horizontal="left" vertical="center"/>
    </xf>
    <xf numFmtId="164" fontId="57" fillId="0" borderId="85" xfId="41" applyNumberFormat="1" applyFont="1" applyFill="1" applyBorder="1" applyAlignment="1" applyProtection="1">
      <alignment vertical="center"/>
    </xf>
    <xf numFmtId="164" fontId="57" fillId="0" borderId="85" xfId="21" applyNumberFormat="1" applyFont="1" applyFill="1" applyBorder="1" applyAlignment="1">
      <alignment vertical="center"/>
    </xf>
    <xf numFmtId="164" fontId="67" fillId="0" borderId="19" xfId="21" applyNumberFormat="1" applyFont="1" applyFill="1" applyBorder="1" applyAlignment="1">
      <alignment vertical="center"/>
    </xf>
    <xf numFmtId="0" fontId="59" fillId="0" borderId="14" xfId="76" applyNumberFormat="1" applyFont="1" applyFill="1" applyBorder="1" applyAlignment="1" applyProtection="1">
      <alignment horizontal="left" vertical="center"/>
    </xf>
    <xf numFmtId="0" fontId="49" fillId="0" borderId="72" xfId="76" quotePrefix="1" applyNumberFormat="1" applyFont="1" applyFill="1" applyBorder="1" applyAlignment="1" applyProtection="1">
      <alignment horizontal="left" vertical="center"/>
    </xf>
    <xf numFmtId="0" fontId="59" fillId="0" borderId="14" xfId="0" applyFont="1" applyFill="1" applyBorder="1" applyAlignment="1">
      <alignment vertical="center" wrapText="1"/>
    </xf>
    <xf numFmtId="167" fontId="56" fillId="0" borderId="72" xfId="41" applyNumberFormat="1" applyFont="1" applyFill="1" applyBorder="1" applyAlignment="1" applyProtection="1">
      <alignment vertical="center" wrapText="1"/>
    </xf>
    <xf numFmtId="164" fontId="45" fillId="0" borderId="72" xfId="21" applyFont="1" applyFill="1" applyBorder="1" applyAlignment="1">
      <alignment vertical="center" wrapText="1"/>
    </xf>
    <xf numFmtId="164" fontId="62" fillId="0" borderId="75" xfId="21" applyNumberFormat="1" applyFont="1" applyFill="1" applyBorder="1" applyAlignment="1">
      <alignment vertical="center"/>
    </xf>
    <xf numFmtId="0" fontId="62" fillId="0" borderId="74" xfId="0" applyFont="1" applyFill="1" applyBorder="1" applyAlignment="1">
      <alignment horizontal="center" vertical="center"/>
    </xf>
    <xf numFmtId="0" fontId="62" fillId="0" borderId="71" xfId="0" applyFont="1" applyFill="1" applyBorder="1" applyAlignment="1">
      <alignment vertical="center"/>
    </xf>
    <xf numFmtId="164" fontId="62" fillId="0" borderId="81" xfId="2" applyFont="1" applyFill="1" applyBorder="1" applyAlignment="1">
      <alignment vertical="center"/>
    </xf>
    <xf numFmtId="0" fontId="62" fillId="0" borderId="71" xfId="0" applyFont="1" applyFill="1" applyBorder="1" applyAlignment="1">
      <alignment horizontal="center" vertical="center"/>
    </xf>
    <xf numFmtId="164" fontId="62" fillId="0" borderId="22" xfId="21" applyNumberFormat="1" applyFont="1" applyFill="1" applyBorder="1" applyAlignment="1">
      <alignment vertical="center"/>
    </xf>
    <xf numFmtId="164" fontId="62" fillId="0" borderId="22" xfId="0" applyNumberFormat="1" applyFont="1" applyFill="1" applyBorder="1" applyAlignment="1">
      <alignment vertical="center"/>
    </xf>
    <xf numFmtId="164" fontId="62" fillId="0" borderId="13" xfId="21" applyNumberFormat="1" applyFont="1" applyFill="1" applyBorder="1" applyAlignment="1">
      <alignment vertical="center"/>
    </xf>
    <xf numFmtId="164" fontId="49" fillId="0" borderId="76" xfId="21" applyFont="1" applyFill="1" applyBorder="1" applyAlignment="1">
      <alignment horizontal="center" vertical="center" wrapText="1"/>
    </xf>
    <xf numFmtId="0" fontId="49" fillId="0" borderId="72" xfId="76" applyNumberFormat="1" applyFont="1" applyFill="1" applyBorder="1" applyAlignment="1" applyProtection="1">
      <alignment horizontal="left" vertical="center" wrapText="1"/>
    </xf>
    <xf numFmtId="0" fontId="35" fillId="0" borderId="84" xfId="0" quotePrefix="1" applyFont="1" applyFill="1" applyBorder="1" applyAlignment="1">
      <alignment wrapText="1"/>
    </xf>
    <xf numFmtId="0" fontId="35" fillId="0" borderId="27" xfId="0" quotePrefix="1" applyFont="1" applyFill="1" applyBorder="1" applyAlignment="1">
      <alignment wrapText="1"/>
    </xf>
    <xf numFmtId="0" fontId="35" fillId="0" borderId="81" xfId="0" quotePrefix="1" applyFont="1" applyFill="1" applyBorder="1" applyAlignment="1">
      <alignment wrapText="1"/>
    </xf>
    <xf numFmtId="164" fontId="62" fillId="0" borderId="72" xfId="21" quotePrefix="1" applyFont="1" applyFill="1" applyBorder="1" applyAlignment="1">
      <alignment vertical="center"/>
    </xf>
    <xf numFmtId="164" fontId="62" fillId="0" borderId="72" xfId="21" applyFont="1" applyFill="1" applyBorder="1" applyAlignment="1" applyProtection="1">
      <alignment horizontal="center" vertical="center"/>
    </xf>
    <xf numFmtId="164" fontId="63" fillId="0" borderId="14" xfId="21" applyNumberFormat="1" applyFont="1" applyFill="1" applyBorder="1" applyAlignment="1">
      <alignment vertical="center"/>
    </xf>
    <xf numFmtId="164" fontId="30" fillId="0" borderId="14" xfId="41" applyNumberFormat="1" applyFont="1" applyFill="1" applyBorder="1" applyAlignment="1" applyProtection="1"/>
    <xf numFmtId="164" fontId="49" fillId="0" borderId="49" xfId="21" applyFont="1" applyFill="1" applyBorder="1" applyAlignment="1">
      <alignment horizontal="right" vertical="center"/>
    </xf>
    <xf numFmtId="167" fontId="49" fillId="0" borderId="33" xfId="41" applyNumberFormat="1" applyFont="1" applyFill="1" applyBorder="1" applyAlignment="1" applyProtection="1">
      <alignment vertical="center" wrapText="1"/>
    </xf>
    <xf numFmtId="164" fontId="49" fillId="0" borderId="27" xfId="2" applyFont="1" applyFill="1" applyBorder="1" applyAlignment="1" applyProtection="1">
      <alignment vertical="center"/>
    </xf>
    <xf numFmtId="0" fontId="49" fillId="0" borderId="33" xfId="0" applyFont="1" applyFill="1" applyBorder="1" applyAlignment="1">
      <alignment horizontal="left" vertical="center"/>
    </xf>
    <xf numFmtId="164" fontId="49" fillId="0" borderId="25" xfId="41" applyNumberFormat="1" applyFont="1" applyFill="1" applyBorder="1" applyAlignment="1" applyProtection="1">
      <alignment vertical="center"/>
    </xf>
    <xf numFmtId="164" fontId="49" fillId="0" borderId="25" xfId="21" applyNumberFormat="1" applyFont="1" applyFill="1" applyBorder="1" applyAlignment="1">
      <alignment vertical="center"/>
    </xf>
    <xf numFmtId="164" fontId="49" fillId="0" borderId="54" xfId="21" applyNumberFormat="1" applyFont="1" applyFill="1" applyBorder="1" applyAlignment="1">
      <alignment vertical="center"/>
    </xf>
    <xf numFmtId="0" fontId="45" fillId="0" borderId="10" xfId="0" applyNumberFormat="1" applyFont="1" applyFill="1" applyBorder="1" applyAlignment="1" applyProtection="1">
      <alignment horizontal="center" vertical="center"/>
    </xf>
    <xf numFmtId="167" fontId="45" fillId="0" borderId="6" xfId="41" applyNumberFormat="1" applyFont="1" applyFill="1" applyBorder="1" applyAlignment="1" applyProtection="1">
      <alignment vertical="center" wrapText="1"/>
    </xf>
    <xf numFmtId="168" fontId="45" fillId="0" borderId="36" xfId="41" applyNumberFormat="1" applyFont="1" applyFill="1" applyBorder="1" applyAlignment="1" applyProtection="1">
      <alignment vertical="center"/>
    </xf>
    <xf numFmtId="0" fontId="31" fillId="0" borderId="76" xfId="77" applyNumberFormat="1" applyFont="1" applyFill="1" applyBorder="1" applyAlignment="1" applyProtection="1">
      <alignment horizontal="center" vertical="center"/>
    </xf>
    <xf numFmtId="167" fontId="32" fillId="0" borderId="21" xfId="41" applyNumberFormat="1" applyFont="1" applyFill="1" applyBorder="1" applyAlignment="1">
      <alignment vertical="center" wrapText="1"/>
    </xf>
    <xf numFmtId="167" fontId="2" fillId="0" borderId="21" xfId="41" applyNumberFormat="1" applyFont="1" applyFill="1" applyBorder="1" applyAlignment="1" applyProtection="1">
      <alignment horizontal="center" vertical="center"/>
    </xf>
    <xf numFmtId="164" fontId="2" fillId="0" borderId="14" xfId="21" applyNumberFormat="1" applyFont="1" applyFill="1" applyBorder="1" applyAlignment="1" applyProtection="1">
      <alignment vertical="center"/>
    </xf>
    <xf numFmtId="164" fontId="2" fillId="0" borderId="14" xfId="41" applyNumberFormat="1" applyFont="1" applyFill="1" applyBorder="1" applyAlignment="1" applyProtection="1">
      <alignment vertical="center"/>
    </xf>
    <xf numFmtId="164" fontId="32" fillId="0" borderId="13" xfId="21" applyNumberFormat="1" applyFont="1" applyFill="1" applyBorder="1" applyAlignment="1">
      <alignment vertical="center"/>
    </xf>
    <xf numFmtId="164" fontId="32" fillId="0" borderId="0" xfId="21" applyNumberFormat="1" applyFont="1" applyFill="1" applyBorder="1" applyAlignment="1">
      <alignment vertical="center"/>
    </xf>
    <xf numFmtId="0" fontId="45" fillId="0" borderId="15" xfId="0" applyFont="1" applyFill="1" applyBorder="1" applyAlignment="1">
      <alignment vertical="center" wrapText="1"/>
    </xf>
    <xf numFmtId="49" fontId="49" fillId="0" borderId="14" xfId="0" applyNumberFormat="1" applyFont="1" applyFill="1" applyBorder="1" applyAlignment="1">
      <alignment vertical="center"/>
    </xf>
    <xf numFmtId="49" fontId="49" fillId="0" borderId="14" xfId="0" applyNumberFormat="1" applyFont="1" applyFill="1" applyBorder="1" applyAlignment="1">
      <alignment vertical="center" wrapText="1"/>
    </xf>
    <xf numFmtId="164" fontId="62" fillId="0" borderId="14" xfId="21" applyNumberFormat="1" applyFont="1" applyFill="1" applyBorder="1" applyAlignment="1">
      <alignment vertical="center" wrapText="1"/>
    </xf>
    <xf numFmtId="164" fontId="32" fillId="0" borderId="87" xfId="21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horizontal="left" vertical="center" wrapText="1"/>
    </xf>
    <xf numFmtId="0" fontId="2" fillId="0" borderId="15" xfId="0" applyNumberFormat="1" applyFont="1" applyFill="1" applyBorder="1" applyAlignment="1" applyProtection="1">
      <alignment vertical="center" wrapText="1"/>
    </xf>
    <xf numFmtId="0" fontId="3" fillId="0" borderId="14" xfId="0" applyFont="1" applyFill="1" applyBorder="1" applyAlignment="1">
      <alignment vertical="center"/>
    </xf>
    <xf numFmtId="164" fontId="2" fillId="0" borderId="0" xfId="2" applyFont="1" applyFill="1" applyAlignment="1">
      <alignment vertical="center" wrapText="1"/>
    </xf>
    <xf numFmtId="0" fontId="31" fillId="0" borderId="14" xfId="0" applyFont="1" applyFill="1" applyBorder="1" applyAlignment="1">
      <alignment vertical="center"/>
    </xf>
    <xf numFmtId="0" fontId="2" fillId="0" borderId="15" xfId="52" applyFont="1" applyFill="1" applyBorder="1" applyAlignment="1">
      <alignment vertical="center"/>
    </xf>
    <xf numFmtId="0" fontId="2" fillId="0" borderId="14" xfId="0" applyFont="1" applyFill="1" applyBorder="1" applyAlignment="1">
      <alignment vertical="top" wrapText="1"/>
    </xf>
    <xf numFmtId="164" fontId="2" fillId="0" borderId="15" xfId="2" applyFont="1" applyFill="1" applyBorder="1" applyAlignment="1">
      <alignment vertical="center"/>
    </xf>
    <xf numFmtId="0" fontId="2" fillId="0" borderId="14" xfId="0" applyFont="1" applyFill="1" applyBorder="1" applyAlignment="1">
      <alignment horizontal="left" vertical="center"/>
    </xf>
    <xf numFmtId="0" fontId="2" fillId="0" borderId="15" xfId="0" applyFont="1" applyFill="1" applyBorder="1" applyAlignment="1">
      <alignment horizontal="left" vertical="top" wrapText="1"/>
    </xf>
    <xf numFmtId="0" fontId="2" fillId="0" borderId="72" xfId="0" applyNumberFormat="1" applyFont="1" applyFill="1" applyBorder="1" applyAlignment="1" applyProtection="1">
      <alignment vertical="center" wrapText="1"/>
    </xf>
    <xf numFmtId="167" fontId="2" fillId="0" borderId="14" xfId="41" applyNumberFormat="1" applyFont="1" applyFill="1" applyBorder="1" applyAlignment="1" applyProtection="1">
      <alignment vertical="center" wrapText="1"/>
    </xf>
    <xf numFmtId="164" fontId="2" fillId="0" borderId="15" xfId="2" applyFont="1" applyFill="1" applyBorder="1" applyAlignment="1" applyProtection="1">
      <alignment vertical="center"/>
    </xf>
    <xf numFmtId="167" fontId="2" fillId="0" borderId="72" xfId="41" applyNumberFormat="1" applyFont="1" applyFill="1" applyBorder="1" applyAlignment="1" applyProtection="1">
      <alignment horizontal="center" vertical="center"/>
    </xf>
    <xf numFmtId="167" fontId="2" fillId="0" borderId="14" xfId="41" applyNumberFormat="1" applyFont="1" applyFill="1" applyBorder="1" applyAlignment="1">
      <alignment vertical="center" wrapText="1"/>
    </xf>
    <xf numFmtId="164" fontId="3" fillId="0" borderId="0" xfId="2" applyFont="1" applyFill="1" applyAlignment="1">
      <alignment vertical="center"/>
    </xf>
    <xf numFmtId="164" fontId="32" fillId="0" borderId="76" xfId="21" applyNumberFormat="1" applyFont="1" applyFill="1" applyBorder="1" applyAlignment="1">
      <alignment horizontal="center" vertical="center"/>
    </xf>
    <xf numFmtId="164" fontId="32" fillId="0" borderId="14" xfId="0" applyNumberFormat="1" applyFont="1" applyFill="1" applyBorder="1" applyAlignment="1">
      <alignment vertical="center" wrapText="1"/>
    </xf>
    <xf numFmtId="0" fontId="49" fillId="0" borderId="87" xfId="0" applyFont="1" applyFill="1" applyBorder="1" applyAlignment="1">
      <alignment vertical="center"/>
    </xf>
    <xf numFmtId="0" fontId="49" fillId="0" borderId="14" xfId="52" applyFont="1" applyFill="1" applyBorder="1" applyAlignment="1">
      <alignment vertical="center" wrapText="1"/>
    </xf>
    <xf numFmtId="0" fontId="57" fillId="0" borderId="14" xfId="0" applyFont="1" applyFill="1" applyBorder="1"/>
    <xf numFmtId="167" fontId="49" fillId="0" borderId="114" xfId="34" quotePrefix="1" applyNumberFormat="1" applyFont="1" applyFill="1" applyBorder="1" applyAlignment="1" applyProtection="1">
      <alignment vertical="center" wrapText="1"/>
    </xf>
    <xf numFmtId="0" fontId="49" fillId="0" borderId="15" xfId="0" applyFont="1" applyFill="1" applyBorder="1" applyAlignment="1">
      <alignment vertical="center" wrapText="1"/>
    </xf>
    <xf numFmtId="167" fontId="45" fillId="0" borderId="114" xfId="41" applyNumberFormat="1" applyFont="1" applyFill="1" applyBorder="1" applyAlignment="1">
      <alignment vertical="center" wrapText="1"/>
    </xf>
    <xf numFmtId="167" fontId="49" fillId="0" borderId="114" xfId="41" quotePrefix="1" applyNumberFormat="1" applyFont="1" applyFill="1" applyBorder="1" applyAlignment="1">
      <alignment vertical="center" wrapText="1"/>
    </xf>
    <xf numFmtId="167" fontId="49" fillId="0" borderId="114" xfId="41" applyNumberFormat="1" applyFont="1" applyFill="1" applyBorder="1" applyAlignment="1">
      <alignment vertical="center" wrapText="1"/>
    </xf>
    <xf numFmtId="167" fontId="49" fillId="0" borderId="22" xfId="41" quotePrefix="1" applyNumberFormat="1" applyFont="1" applyFill="1" applyBorder="1" applyAlignment="1" applyProtection="1">
      <alignment vertical="center" wrapText="1"/>
    </xf>
    <xf numFmtId="0" fontId="52" fillId="0" borderId="76" xfId="0" applyFont="1" applyFill="1" applyBorder="1" applyAlignment="1">
      <alignment horizontal="center" vertical="center"/>
    </xf>
    <xf numFmtId="0" fontId="45" fillId="0" borderId="45" xfId="0" applyNumberFormat="1" applyFont="1" applyFill="1" applyBorder="1" applyAlignment="1" applyProtection="1">
      <alignment horizontal="center" vertical="center"/>
    </xf>
    <xf numFmtId="164" fontId="45" fillId="0" borderId="24" xfId="41" applyNumberFormat="1" applyFont="1" applyFill="1" applyBorder="1" applyAlignment="1" applyProtection="1">
      <alignment vertical="center"/>
    </xf>
    <xf numFmtId="164" fontId="45" fillId="0" borderId="46" xfId="41" applyNumberFormat="1" applyFont="1" applyFill="1" applyBorder="1" applyAlignment="1" applyProtection="1">
      <alignment vertical="center"/>
    </xf>
    <xf numFmtId="164" fontId="45" fillId="0" borderId="30" xfId="21" applyNumberFormat="1" applyFont="1" applyFill="1" applyBorder="1" applyAlignment="1">
      <alignment horizontal="center" vertical="center"/>
    </xf>
    <xf numFmtId="164" fontId="45" fillId="0" borderId="31" xfId="0" applyNumberFormat="1" applyFont="1" applyFill="1" applyBorder="1" applyAlignment="1">
      <alignment vertical="center" wrapText="1"/>
    </xf>
    <xf numFmtId="164" fontId="45" fillId="0" borderId="98" xfId="2" applyFont="1" applyFill="1" applyBorder="1" applyAlignment="1">
      <alignment horizontal="right" vertical="center"/>
    </xf>
    <xf numFmtId="164" fontId="45" fillId="0" borderId="64" xfId="41" applyNumberFormat="1" applyFont="1" applyFill="1" applyBorder="1" applyAlignment="1">
      <alignment horizontal="left" vertical="center"/>
    </xf>
    <xf numFmtId="164" fontId="45" fillId="0" borderId="31" xfId="21" applyNumberFormat="1" applyFont="1" applyFill="1" applyBorder="1" applyAlignment="1">
      <alignment horizontal="left" vertical="center"/>
    </xf>
    <xf numFmtId="164" fontId="45" fillId="0" borderId="31" xfId="21" applyNumberFormat="1" applyFont="1" applyFill="1" applyBorder="1" applyAlignment="1">
      <alignment vertical="center"/>
    </xf>
    <xf numFmtId="164" fontId="45" fillId="0" borderId="28" xfId="21" applyNumberFormat="1" applyFont="1" applyFill="1" applyBorder="1" applyAlignment="1">
      <alignment vertical="center"/>
    </xf>
    <xf numFmtId="164" fontId="33" fillId="0" borderId="76" xfId="21" applyNumberFormat="1" applyFont="1" applyFill="1" applyBorder="1" applyAlignment="1">
      <alignment horizontal="center" vertical="center"/>
    </xf>
    <xf numFmtId="164" fontId="34" fillId="0" borderId="13" xfId="21" applyNumberFormat="1" applyFont="1" applyFill="1" applyBorder="1" applyAlignment="1">
      <alignment vertical="center"/>
    </xf>
    <xf numFmtId="164" fontId="33" fillId="0" borderId="49" xfId="21" applyNumberFormat="1" applyFont="1" applyFill="1" applyBorder="1" applyAlignment="1">
      <alignment horizontal="center" vertical="center"/>
    </xf>
    <xf numFmtId="164" fontId="34" fillId="0" borderId="13" xfId="26" applyNumberFormat="1" applyFont="1" applyFill="1" applyBorder="1" applyAlignment="1">
      <alignment vertical="center"/>
    </xf>
    <xf numFmtId="164" fontId="33" fillId="0" borderId="76" xfId="0" applyNumberFormat="1" applyFont="1" applyFill="1" applyBorder="1" applyAlignment="1">
      <alignment vertical="center"/>
    </xf>
    <xf numFmtId="164" fontId="34" fillId="0" borderId="19" xfId="2" applyNumberFormat="1" applyFont="1" applyFill="1" applyBorder="1" applyAlignment="1">
      <alignment vertical="center"/>
    </xf>
    <xf numFmtId="0" fontId="33" fillId="0" borderId="76" xfId="0" applyFont="1" applyFill="1" applyBorder="1" applyAlignment="1">
      <alignment vertical="center"/>
    </xf>
    <xf numFmtId="0" fontId="33" fillId="0" borderId="76" xfId="0" applyFont="1" applyFill="1" applyBorder="1" applyAlignment="1">
      <alignment vertical="top" wrapText="1"/>
    </xf>
    <xf numFmtId="164" fontId="33" fillId="0" borderId="13" xfId="21" applyNumberFormat="1" applyFont="1" applyFill="1" applyBorder="1" applyAlignment="1">
      <alignment vertical="center"/>
    </xf>
    <xf numFmtId="164" fontId="33" fillId="0" borderId="115" xfId="77" applyNumberFormat="1" applyFont="1" applyFill="1" applyBorder="1" applyAlignment="1" applyProtection="1">
      <alignment horizontal="right" vertical="center"/>
    </xf>
    <xf numFmtId="164" fontId="34" fillId="0" borderId="13" xfId="21" applyNumberFormat="1" applyFont="1" applyFill="1" applyBorder="1" applyAlignment="1" applyProtection="1">
      <alignment vertical="center"/>
    </xf>
    <xf numFmtId="164" fontId="33" fillId="0" borderId="49" xfId="77" applyNumberFormat="1" applyFont="1" applyFill="1" applyBorder="1" applyAlignment="1" applyProtection="1">
      <alignment horizontal="right" vertical="center"/>
    </xf>
    <xf numFmtId="164" fontId="34" fillId="0" borderId="19" xfId="21" applyNumberFormat="1" applyFont="1" applyFill="1" applyBorder="1" applyAlignment="1">
      <alignment vertical="center"/>
    </xf>
    <xf numFmtId="164" fontId="33" fillId="0" borderId="82" xfId="0" applyNumberFormat="1" applyFont="1" applyFill="1" applyBorder="1" applyAlignment="1">
      <alignment vertical="center"/>
    </xf>
    <xf numFmtId="0" fontId="49" fillId="0" borderId="77" xfId="0" applyNumberFormat="1" applyFont="1" applyFill="1" applyBorder="1" applyAlignment="1" applyProtection="1">
      <alignment horizontal="center" vertical="center"/>
    </xf>
    <xf numFmtId="0" fontId="49" fillId="0" borderId="73" xfId="52" applyFont="1" applyFill="1" applyBorder="1" applyAlignment="1">
      <alignment vertical="center" wrapText="1"/>
    </xf>
    <xf numFmtId="164" fontId="49" fillId="0" borderId="116" xfId="2" applyFont="1" applyFill="1" applyBorder="1" applyAlignment="1">
      <alignment horizontal="right" vertical="center"/>
    </xf>
    <xf numFmtId="0" fontId="49" fillId="0" borderId="116" xfId="77" applyNumberFormat="1" applyFont="1" applyFill="1" applyBorder="1" applyAlignment="1" applyProtection="1">
      <alignment horizontal="center" vertical="center"/>
    </xf>
    <xf numFmtId="164" fontId="49" fillId="0" borderId="70" xfId="41" applyNumberFormat="1" applyFont="1" applyFill="1" applyBorder="1" applyAlignment="1">
      <alignment vertical="center"/>
    </xf>
    <xf numFmtId="164" fontId="49" fillId="0" borderId="70" xfId="21" applyNumberFormat="1" applyFont="1" applyFill="1" applyBorder="1" applyAlignment="1">
      <alignment vertical="center"/>
    </xf>
    <xf numFmtId="164" fontId="49" fillId="0" borderId="70" xfId="21" applyNumberFormat="1" applyFont="1" applyFill="1" applyBorder="1" applyAlignment="1" applyProtection="1">
      <alignment vertical="center"/>
    </xf>
    <xf numFmtId="164" fontId="49" fillId="0" borderId="78" xfId="21" applyNumberFormat="1" applyFont="1" applyFill="1" applyBorder="1" applyAlignment="1">
      <alignment vertical="center"/>
    </xf>
    <xf numFmtId="167" fontId="45" fillId="0" borderId="42" xfId="41" applyNumberFormat="1" applyFont="1" applyFill="1" applyBorder="1" applyAlignment="1" applyProtection="1">
      <alignment vertical="center" wrapText="1"/>
    </xf>
    <xf numFmtId="164" fontId="45" fillId="0" borderId="44" xfId="2" applyFont="1" applyFill="1" applyBorder="1" applyAlignment="1" applyProtection="1">
      <alignment vertical="center"/>
    </xf>
    <xf numFmtId="167" fontId="45" fillId="0" borderId="37" xfId="41" applyNumberFormat="1" applyFont="1" applyFill="1" applyBorder="1" applyAlignment="1" applyProtection="1">
      <alignment horizontal="center" vertical="center"/>
    </xf>
    <xf numFmtId="0" fontId="49" fillId="0" borderId="77" xfId="0" applyFont="1" applyFill="1" applyBorder="1" applyAlignment="1">
      <alignment horizontal="center" vertical="center"/>
    </xf>
    <xf numFmtId="0" fontId="49" fillId="0" borderId="116" xfId="0" applyFont="1" applyFill="1" applyBorder="1" applyAlignment="1">
      <alignment vertical="center" wrapText="1"/>
    </xf>
    <xf numFmtId="0" fontId="49" fillId="0" borderId="73" xfId="0" applyFont="1" applyFill="1" applyBorder="1" applyAlignment="1">
      <alignment horizontal="center" vertical="center"/>
    </xf>
    <xf numFmtId="164" fontId="49" fillId="0" borderId="70" xfId="26" applyNumberFormat="1" applyFont="1" applyFill="1" applyBorder="1" applyAlignment="1">
      <alignment vertical="center"/>
    </xf>
    <xf numFmtId="164" fontId="49" fillId="0" borderId="70" xfId="34" applyNumberFormat="1" applyFont="1" applyFill="1" applyBorder="1" applyAlignment="1">
      <alignment vertical="center" wrapText="1"/>
    </xf>
    <xf numFmtId="164" fontId="49" fillId="0" borderId="78" xfId="26" applyNumberFormat="1" applyFont="1" applyFill="1" applyBorder="1" applyAlignment="1">
      <alignment vertical="center"/>
    </xf>
    <xf numFmtId="0" fontId="49" fillId="0" borderId="25" xfId="0" quotePrefix="1" applyFont="1" applyFill="1" applyBorder="1"/>
    <xf numFmtId="164" fontId="2" fillId="4" borderId="23" xfId="2" applyFont="1" applyFill="1" applyBorder="1" applyAlignment="1" applyProtection="1">
      <alignment horizontal="left" vertical="center" wrapText="1"/>
    </xf>
    <xf numFmtId="167" fontId="13" fillId="4" borderId="13" xfId="41" applyNumberFormat="1" applyFont="1" applyFill="1" applyBorder="1" applyAlignment="1" applyProtection="1">
      <alignment vertical="center"/>
    </xf>
    <xf numFmtId="164" fontId="2" fillId="0" borderId="15" xfId="0" applyNumberFormat="1" applyFont="1" applyFill="1" applyBorder="1" applyAlignment="1">
      <alignment vertical="center"/>
    </xf>
    <xf numFmtId="0" fontId="45" fillId="0" borderId="33" xfId="0" applyFont="1" applyFill="1" applyBorder="1" applyAlignment="1">
      <alignment horizontal="center" vertical="center"/>
    </xf>
    <xf numFmtId="164" fontId="64" fillId="0" borderId="0" xfId="2" applyFont="1" applyFill="1" applyAlignment="1">
      <alignment horizontal="center" vertical="center"/>
    </xf>
    <xf numFmtId="0" fontId="45" fillId="0" borderId="30" xfId="0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18" fillId="0" borderId="30" xfId="68" applyFont="1" applyBorder="1" applyAlignment="1">
      <alignment horizontal="center" vertical="center"/>
    </xf>
    <xf numFmtId="0" fontId="18" fillId="2" borderId="31" xfId="68" applyNumberFormat="1" applyFont="1" applyFill="1" applyBorder="1" applyAlignment="1">
      <alignment horizontal="center" vertical="center"/>
    </xf>
    <xf numFmtId="164" fontId="22" fillId="2" borderId="31" xfId="2" applyFont="1" applyFill="1" applyBorder="1" applyAlignment="1">
      <alignment horizontal="center" vertical="center"/>
    </xf>
    <xf numFmtId="164" fontId="22" fillId="2" borderId="39" xfId="2" applyFont="1" applyFill="1" applyBorder="1" applyAlignment="1">
      <alignment horizontal="center" vertical="center"/>
    </xf>
    <xf numFmtId="164" fontId="45" fillId="0" borderId="79" xfId="2" applyFont="1" applyFill="1" applyBorder="1" applyAlignment="1">
      <alignment horizontal="right" vertical="center"/>
    </xf>
    <xf numFmtId="164" fontId="45" fillId="0" borderId="73" xfId="2" applyFont="1" applyFill="1" applyBorder="1" applyAlignment="1">
      <alignment horizontal="right" vertical="center"/>
    </xf>
    <xf numFmtId="164" fontId="45" fillId="0" borderId="19" xfId="2" applyFont="1" applyFill="1" applyBorder="1" applyAlignment="1">
      <alignment horizontal="right" vertical="center"/>
    </xf>
    <xf numFmtId="168" fontId="49" fillId="0" borderId="13" xfId="33" applyNumberFormat="1" applyFont="1" applyFill="1" applyBorder="1" applyAlignment="1">
      <alignment vertical="center"/>
    </xf>
    <xf numFmtId="164" fontId="62" fillId="0" borderId="0" xfId="41" applyNumberFormat="1" applyFont="1" applyFill="1" applyBorder="1" applyAlignment="1" applyProtection="1">
      <alignment vertical="center"/>
    </xf>
    <xf numFmtId="164" fontId="49" fillId="0" borderId="89" xfId="21" applyFont="1" applyFill="1" applyBorder="1" applyAlignment="1" applyProtection="1">
      <alignment horizontal="center" vertical="center"/>
    </xf>
    <xf numFmtId="164" fontId="49" fillId="0" borderId="92" xfId="21" applyFont="1" applyFill="1" applyBorder="1" applyAlignment="1">
      <alignment vertical="center"/>
    </xf>
    <xf numFmtId="164" fontId="49" fillId="0" borderId="91" xfId="2" applyFont="1" applyFill="1" applyBorder="1" applyAlignment="1" applyProtection="1">
      <alignment horizontal="center" vertical="center"/>
    </xf>
    <xf numFmtId="164" fontId="49" fillId="0" borderId="92" xfId="21" applyFont="1" applyFill="1" applyBorder="1" applyAlignment="1" applyProtection="1">
      <alignment horizontal="center" vertical="center"/>
    </xf>
    <xf numFmtId="164" fontId="49" fillId="0" borderId="93" xfId="21" applyNumberFormat="1" applyFont="1" applyFill="1" applyBorder="1" applyAlignment="1" applyProtection="1">
      <alignment vertical="center"/>
    </xf>
    <xf numFmtId="0" fontId="30" fillId="0" borderId="21" xfId="0" applyFont="1" applyFill="1" applyBorder="1" applyAlignment="1">
      <alignment vertical="center"/>
    </xf>
    <xf numFmtId="0" fontId="30" fillId="0" borderId="21" xfId="0" applyFont="1" applyFill="1" applyBorder="1" applyAlignment="1">
      <alignment horizontal="left" vertical="center"/>
    </xf>
    <xf numFmtId="164" fontId="49" fillId="0" borderId="26" xfId="21" applyFont="1" applyFill="1" applyBorder="1" applyAlignment="1" applyProtection="1">
      <alignment vertical="center" wrapText="1"/>
    </xf>
    <xf numFmtId="164" fontId="49" fillId="0" borderId="102" xfId="2" applyFont="1" applyFill="1" applyBorder="1" applyAlignment="1" applyProtection="1">
      <alignment horizontal="center" vertical="center"/>
    </xf>
    <xf numFmtId="164" fontId="49" fillId="0" borderId="101" xfId="21" applyFont="1" applyFill="1" applyBorder="1" applyAlignment="1" applyProtection="1">
      <alignment horizontal="center" vertical="center"/>
    </xf>
    <xf numFmtId="164" fontId="49" fillId="0" borderId="26" xfId="21" applyNumberFormat="1" applyFont="1" applyFill="1" applyBorder="1" applyAlignment="1" applyProtection="1">
      <alignment vertical="center"/>
    </xf>
    <xf numFmtId="164" fontId="49" fillId="0" borderId="95" xfId="21" applyNumberFormat="1" applyFont="1" applyFill="1" applyBorder="1" applyAlignment="1" applyProtection="1">
      <alignment vertical="center"/>
    </xf>
    <xf numFmtId="0" fontId="49" fillId="0" borderId="80" xfId="0" quotePrefix="1" applyFont="1" applyFill="1" applyBorder="1" applyAlignment="1">
      <alignment vertical="center"/>
    </xf>
    <xf numFmtId="0" fontId="30" fillId="0" borderId="14" xfId="0" applyFont="1" applyFill="1" applyBorder="1" applyAlignment="1">
      <alignment vertical="center"/>
    </xf>
    <xf numFmtId="0" fontId="30" fillId="0" borderId="14" xfId="0" applyFont="1" applyFill="1" applyBorder="1" applyAlignment="1">
      <alignment vertical="center" wrapText="1"/>
    </xf>
    <xf numFmtId="0" fontId="29" fillId="0" borderId="14" xfId="0" applyFont="1" applyFill="1" applyBorder="1" applyAlignment="1">
      <alignment vertical="center"/>
    </xf>
    <xf numFmtId="0" fontId="30" fillId="0" borderId="15" xfId="0" applyFont="1" applyFill="1" applyBorder="1" applyAlignment="1">
      <alignment vertical="center"/>
    </xf>
    <xf numFmtId="0" fontId="30" fillId="0" borderId="21" xfId="0" applyFont="1" applyFill="1" applyBorder="1" applyAlignment="1">
      <alignment vertical="center" wrapText="1"/>
    </xf>
    <xf numFmtId="0" fontId="29" fillId="0" borderId="21" xfId="0" applyFont="1" applyFill="1" applyBorder="1" applyAlignment="1">
      <alignment vertical="center"/>
    </xf>
    <xf numFmtId="0" fontId="62" fillId="0" borderId="21" xfId="0" applyFont="1" applyFill="1" applyBorder="1" applyAlignment="1">
      <alignment vertical="center"/>
    </xf>
    <xf numFmtId="0" fontId="30" fillId="0" borderId="21" xfId="0" applyFont="1" applyFill="1" applyBorder="1"/>
    <xf numFmtId="0" fontId="49" fillId="0" borderId="91" xfId="0" quotePrefix="1" applyFont="1" applyFill="1" applyBorder="1"/>
    <xf numFmtId="164" fontId="49" fillId="0" borderId="91" xfId="2" applyFont="1" applyFill="1" applyBorder="1" applyAlignment="1">
      <alignment vertical="center"/>
    </xf>
    <xf numFmtId="164" fontId="49" fillId="0" borderId="90" xfId="21" applyFont="1" applyFill="1" applyBorder="1" applyAlignment="1">
      <alignment horizontal="center" vertical="center"/>
    </xf>
    <xf numFmtId="164" fontId="49" fillId="0" borderId="62" xfId="21" applyNumberFormat="1" applyFont="1" applyFill="1" applyBorder="1" applyAlignment="1">
      <alignment vertical="center"/>
    </xf>
    <xf numFmtId="164" fontId="49" fillId="0" borderId="93" xfId="21" applyNumberFormat="1" applyFont="1" applyFill="1" applyBorder="1" applyAlignment="1">
      <alignment vertical="center"/>
    </xf>
    <xf numFmtId="164" fontId="49" fillId="0" borderId="108" xfId="21" applyFont="1" applyFill="1" applyBorder="1" applyAlignment="1" applyProtection="1">
      <alignment horizontal="center" vertical="center"/>
    </xf>
    <xf numFmtId="164" fontId="49" fillId="0" borderId="15" xfId="21" applyNumberFormat="1" applyFont="1" applyFill="1" applyBorder="1" applyAlignment="1" applyProtection="1">
      <alignment vertical="center"/>
    </xf>
    <xf numFmtId="164" fontId="49" fillId="0" borderId="140" xfId="21" applyFont="1" applyFill="1" applyBorder="1" applyAlignment="1" applyProtection="1">
      <alignment horizontal="center" vertical="center"/>
    </xf>
    <xf numFmtId="164" fontId="49" fillId="0" borderId="62" xfId="21" applyFont="1" applyFill="1" applyBorder="1" applyAlignment="1">
      <alignment vertical="center"/>
    </xf>
    <xf numFmtId="164" fontId="49" fillId="0" borderId="101" xfId="21" applyFont="1" applyFill="1" applyBorder="1" applyAlignment="1" applyProtection="1">
      <alignment vertical="center" wrapText="1"/>
    </xf>
    <xf numFmtId="0" fontId="30" fillId="0" borderId="21" xfId="0" applyFont="1" applyFill="1" applyBorder="1" applyAlignment="1"/>
    <xf numFmtId="0" fontId="59" fillId="0" borderId="21" xfId="0" quotePrefix="1" applyFont="1" applyFill="1" applyBorder="1" applyAlignment="1">
      <alignment vertical="center"/>
    </xf>
    <xf numFmtId="0" fontId="30" fillId="0" borderId="83" xfId="0" applyFont="1" applyFill="1" applyBorder="1" applyAlignment="1">
      <alignment vertical="center"/>
    </xf>
    <xf numFmtId="0" fontId="45" fillId="0" borderId="51" xfId="0" applyNumberFormat="1" applyFont="1" applyFill="1" applyBorder="1" applyAlignment="1" applyProtection="1">
      <alignment horizontal="center" vertical="center"/>
    </xf>
    <xf numFmtId="167" fontId="45" fillId="0" borderId="141" xfId="41" applyNumberFormat="1" applyFont="1" applyFill="1" applyBorder="1" applyAlignment="1" applyProtection="1">
      <alignment vertical="center" wrapText="1"/>
    </xf>
    <xf numFmtId="164" fontId="45" fillId="0" borderId="2" xfId="2" applyFont="1" applyFill="1" applyBorder="1" applyAlignment="1" applyProtection="1">
      <alignment vertical="center"/>
    </xf>
    <xf numFmtId="167" fontId="45" fillId="0" borderId="141" xfId="41" applyNumberFormat="1" applyFont="1" applyFill="1" applyBorder="1" applyAlignment="1" applyProtection="1">
      <alignment horizontal="center" vertical="center"/>
    </xf>
    <xf numFmtId="164" fontId="45" fillId="0" borderId="142" xfId="41" applyNumberFormat="1" applyFont="1" applyFill="1" applyBorder="1" applyAlignment="1" applyProtection="1">
      <alignment vertical="center"/>
    </xf>
    <xf numFmtId="164" fontId="45" fillId="0" borderId="53" xfId="41" applyNumberFormat="1" applyFont="1" applyFill="1" applyBorder="1" applyAlignment="1" applyProtection="1">
      <alignment vertical="center"/>
    </xf>
    <xf numFmtId="164" fontId="45" fillId="0" borderId="5" xfId="41" applyNumberFormat="1" applyFont="1" applyFill="1" applyBorder="1" applyAlignment="1" applyProtection="1">
      <alignment vertical="center"/>
    </xf>
    <xf numFmtId="164" fontId="34" fillId="0" borderId="27" xfId="21" applyNumberFormat="1" applyFont="1" applyFill="1" applyBorder="1" applyAlignment="1">
      <alignment vertical="center"/>
    </xf>
    <xf numFmtId="164" fontId="34" fillId="0" borderId="27" xfId="26" applyNumberFormat="1" applyFont="1" applyFill="1" applyBorder="1" applyAlignment="1">
      <alignment vertical="center"/>
    </xf>
    <xf numFmtId="164" fontId="34" fillId="0" borderId="27" xfId="2" applyNumberFormat="1" applyFont="1" applyFill="1" applyBorder="1" applyAlignment="1">
      <alignment vertical="center"/>
    </xf>
    <xf numFmtId="164" fontId="33" fillId="0" borderId="27" xfId="21" applyNumberFormat="1" applyFont="1" applyFill="1" applyBorder="1" applyAlignment="1">
      <alignment vertical="center"/>
    </xf>
    <xf numFmtId="164" fontId="34" fillId="0" borderId="27" xfId="21" applyNumberFormat="1" applyFont="1" applyFill="1" applyBorder="1" applyAlignment="1" applyProtection="1">
      <alignment vertical="center"/>
    </xf>
    <xf numFmtId="164" fontId="49" fillId="0" borderId="0" xfId="21" applyFont="1" applyFill="1" applyBorder="1" applyAlignment="1">
      <alignment vertical="center"/>
    </xf>
    <xf numFmtId="164" fontId="45" fillId="0" borderId="0" xfId="2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45" fillId="0" borderId="0" xfId="0" applyFont="1" applyFill="1" applyBorder="1"/>
    <xf numFmtId="164" fontId="49" fillId="0" borderId="0" xfId="2" applyFont="1" applyFill="1" applyBorder="1"/>
    <xf numFmtId="164" fontId="45" fillId="0" borderId="0" xfId="2" applyFont="1" applyFill="1" applyBorder="1"/>
    <xf numFmtId="164" fontId="62" fillId="0" borderId="0" xfId="2" applyFont="1" applyFill="1" applyBorder="1" applyAlignment="1">
      <alignment vertical="center"/>
    </xf>
    <xf numFmtId="164" fontId="49" fillId="0" borderId="0" xfId="2" applyFont="1" applyFill="1" applyBorder="1" applyAlignment="1"/>
    <xf numFmtId="164" fontId="2" fillId="0" borderId="0" xfId="2" applyFont="1" applyFill="1" applyBorder="1" applyAlignment="1">
      <alignment vertical="center"/>
    </xf>
    <xf numFmtId="164" fontId="2" fillId="0" borderId="0" xfId="2" applyFont="1" applyFill="1" applyBorder="1" applyAlignment="1">
      <alignment vertical="center" wrapText="1"/>
    </xf>
    <xf numFmtId="164" fontId="3" fillId="0" borderId="0" xfId="2" applyFont="1" applyFill="1" applyBorder="1" applyAlignment="1">
      <alignment vertical="center"/>
    </xf>
    <xf numFmtId="164" fontId="2" fillId="0" borderId="0" xfId="2" applyFont="1" applyFill="1" applyBorder="1" applyAlignment="1">
      <alignment horizontal="left" vertical="center"/>
    </xf>
    <xf numFmtId="164" fontId="34" fillId="0" borderId="0" xfId="2" applyFont="1" applyFill="1" applyBorder="1" applyAlignment="1">
      <alignment vertical="center"/>
    </xf>
    <xf numFmtId="164" fontId="34" fillId="0" borderId="0" xfId="21" applyNumberFormat="1" applyFont="1" applyFill="1" applyBorder="1" applyAlignment="1">
      <alignment vertical="center"/>
    </xf>
    <xf numFmtId="164" fontId="4" fillId="0" borderId="0" xfId="21" applyNumberFormat="1" applyFont="1" applyFill="1" applyBorder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/>
    <xf numFmtId="164" fontId="62" fillId="0" borderId="0" xfId="21" applyFont="1" applyFill="1" applyBorder="1" applyAlignment="1">
      <alignment vertical="center"/>
    </xf>
    <xf numFmtId="164" fontId="50" fillId="0" borderId="0" xfId="21" applyFont="1" applyFill="1" applyBorder="1" applyAlignment="1">
      <alignment vertical="center"/>
    </xf>
    <xf numFmtId="164" fontId="25" fillId="0" borderId="6" xfId="0" applyNumberFormat="1" applyFont="1" applyFill="1" applyBorder="1" applyAlignment="1">
      <alignment horizontal="center"/>
    </xf>
    <xf numFmtId="164" fontId="44" fillId="7" borderId="32" xfId="2" applyFont="1" applyFill="1" applyBorder="1" applyAlignment="1" applyProtection="1">
      <alignment vertical="center" wrapText="1"/>
    </xf>
    <xf numFmtId="0" fontId="43" fillId="0" borderId="10" xfId="68" applyFont="1" applyBorder="1" applyAlignment="1">
      <alignment horizontal="center" vertical="center"/>
    </xf>
    <xf numFmtId="164" fontId="43" fillId="2" borderId="38" xfId="2" applyFont="1" applyFill="1" applyBorder="1" applyAlignment="1">
      <alignment horizontal="center" vertical="center"/>
    </xf>
    <xf numFmtId="164" fontId="44" fillId="2" borderId="68" xfId="2" applyFont="1" applyFill="1" applyBorder="1" applyAlignment="1" applyProtection="1">
      <alignment vertical="center" wrapText="1"/>
    </xf>
    <xf numFmtId="164" fontId="44" fillId="2" borderId="68" xfId="2" applyFont="1" applyFill="1" applyBorder="1" applyAlignment="1" applyProtection="1">
      <alignment horizontal="right" vertical="center" wrapText="1"/>
    </xf>
    <xf numFmtId="0" fontId="44" fillId="0" borderId="69" xfId="68" applyFont="1" applyFill="1" applyBorder="1" applyAlignment="1">
      <alignment horizontal="center" vertical="center"/>
    </xf>
    <xf numFmtId="167" fontId="44" fillId="0" borderId="50" xfId="41" applyNumberFormat="1" applyFont="1" applyFill="1" applyBorder="1" applyAlignment="1">
      <alignment vertical="center"/>
    </xf>
    <xf numFmtId="0" fontId="44" fillId="0" borderId="69" xfId="68" applyFont="1" applyBorder="1" applyAlignment="1">
      <alignment horizontal="center" vertical="center"/>
    </xf>
    <xf numFmtId="0" fontId="44" fillId="0" borderId="49" xfId="68" applyFont="1" applyBorder="1" applyAlignment="1">
      <alignment horizontal="center" vertical="center"/>
    </xf>
    <xf numFmtId="0" fontId="44" fillId="0" borderId="138" xfId="68" applyFont="1" applyBorder="1" applyAlignment="1">
      <alignment horizontal="center" vertical="center"/>
    </xf>
    <xf numFmtId="0" fontId="44" fillId="2" borderId="58" xfId="68" applyNumberFormat="1" applyFont="1" applyFill="1" applyBorder="1" applyAlignment="1">
      <alignment vertical="center"/>
    </xf>
    <xf numFmtId="167" fontId="44" fillId="2" borderId="59" xfId="41" applyNumberFormat="1" applyFont="1" applyFill="1" applyBorder="1" applyAlignment="1">
      <alignment vertical="center"/>
    </xf>
    <xf numFmtId="168" fontId="44" fillId="2" borderId="139" xfId="34" applyNumberFormat="1" applyFont="1" applyFill="1" applyBorder="1" applyAlignment="1">
      <alignment vertical="center"/>
    </xf>
    <xf numFmtId="164" fontId="44" fillId="2" borderId="59" xfId="2" applyFont="1" applyFill="1" applyBorder="1" applyAlignment="1">
      <alignment horizontal="center" vertical="center"/>
    </xf>
    <xf numFmtId="167" fontId="44" fillId="0" borderId="143" xfId="41" applyNumberFormat="1" applyFont="1" applyBorder="1" applyAlignment="1">
      <alignment vertical="center"/>
    </xf>
    <xf numFmtId="0" fontId="22" fillId="0" borderId="69" xfId="68" applyFont="1" applyBorder="1" applyAlignment="1">
      <alignment horizontal="center"/>
    </xf>
    <xf numFmtId="167" fontId="22" fillId="0" borderId="50" xfId="41" applyNumberFormat="1" applyFont="1" applyBorder="1"/>
    <xf numFmtId="167" fontId="22" fillId="2" borderId="50" xfId="41" applyNumberFormat="1" applyFont="1" applyFill="1" applyBorder="1"/>
    <xf numFmtId="0" fontId="22" fillId="0" borderId="49" xfId="68" applyFont="1" applyBorder="1" applyAlignment="1">
      <alignment horizontal="center"/>
    </xf>
    <xf numFmtId="0" fontId="22" fillId="0" borderId="138" xfId="68" applyFont="1" applyBorder="1" applyAlignment="1">
      <alignment horizontal="center"/>
    </xf>
    <xf numFmtId="0" fontId="22" fillId="2" borderId="58" xfId="68" applyNumberFormat="1" applyFont="1" applyFill="1" applyBorder="1"/>
    <xf numFmtId="167" fontId="22" fillId="2" borderId="59" xfId="41" applyNumberFormat="1" applyFont="1" applyFill="1" applyBorder="1"/>
    <xf numFmtId="168" fontId="22" fillId="2" borderId="58" xfId="34" applyNumberFormat="1" applyFont="1" applyFill="1" applyBorder="1"/>
    <xf numFmtId="164" fontId="22" fillId="2" borderId="59" xfId="2" applyFont="1" applyFill="1" applyBorder="1" applyAlignment="1">
      <alignment horizontal="center" vertical="center"/>
    </xf>
    <xf numFmtId="167" fontId="22" fillId="0" borderId="143" xfId="41" applyNumberFormat="1" applyFont="1" applyBorder="1"/>
    <xf numFmtId="164" fontId="18" fillId="0" borderId="69" xfId="2" applyFont="1" applyFill="1" applyBorder="1" applyAlignment="1">
      <alignment horizontal="center"/>
    </xf>
    <xf numFmtId="164" fontId="22" fillId="0" borderId="50" xfId="2" applyFont="1" applyFill="1" applyBorder="1"/>
    <xf numFmtId="164" fontId="22" fillId="6" borderId="32" xfId="2" applyFont="1" applyFill="1" applyBorder="1"/>
    <xf numFmtId="0" fontId="22" fillId="8" borderId="69" xfId="68" applyFont="1" applyFill="1" applyBorder="1" applyAlignment="1">
      <alignment horizontal="center"/>
    </xf>
    <xf numFmtId="167" fontId="22" fillId="8" borderId="50" xfId="41" applyNumberFormat="1" applyFont="1" applyFill="1" applyBorder="1"/>
    <xf numFmtId="168" fontId="22" fillId="2" borderId="139" xfId="34" applyNumberFormat="1" applyFont="1" applyFill="1" applyBorder="1"/>
    <xf numFmtId="0" fontId="22" fillId="0" borderId="69" xfId="68" applyFont="1" applyBorder="1" applyAlignment="1"/>
    <xf numFmtId="0" fontId="22" fillId="0" borderId="49" xfId="68" applyFont="1" applyBorder="1" applyAlignment="1"/>
    <xf numFmtId="0" fontId="22" fillId="0" borderId="138" xfId="68" applyFont="1" applyBorder="1" applyAlignment="1"/>
    <xf numFmtId="164" fontId="19" fillId="6" borderId="32" xfId="0" applyNumberFormat="1" applyFont="1" applyFill="1" applyBorder="1" applyAlignment="1">
      <alignment horizontal="center" vertical="top"/>
    </xf>
    <xf numFmtId="164" fontId="19" fillId="6" borderId="32" xfId="2" applyFont="1" applyFill="1" applyBorder="1" applyAlignment="1">
      <alignment horizontal="center" vertical="top"/>
    </xf>
    <xf numFmtId="164" fontId="19" fillId="6" borderId="32" xfId="2" applyFont="1" applyFill="1" applyBorder="1" applyAlignment="1">
      <alignment horizontal="right" vertical="top"/>
    </xf>
    <xf numFmtId="164" fontId="28" fillId="6" borderId="32" xfId="2" applyFont="1" applyFill="1" applyBorder="1" applyAlignment="1">
      <alignment horizontal="center" vertical="top"/>
    </xf>
    <xf numFmtId="0" fontId="18" fillId="0" borderId="63" xfId="68" applyFont="1" applyFill="1" applyBorder="1" applyAlignment="1">
      <alignment horizontal="center" vertical="top"/>
    </xf>
    <xf numFmtId="164" fontId="44" fillId="0" borderId="61" xfId="2" applyFont="1" applyFill="1" applyBorder="1" applyAlignment="1" applyProtection="1">
      <alignment vertical="center" wrapText="1"/>
    </xf>
    <xf numFmtId="164" fontId="43" fillId="2" borderId="63" xfId="2" applyFont="1" applyFill="1" applyBorder="1" applyAlignment="1">
      <alignment horizontal="center" vertical="center"/>
    </xf>
    <xf numFmtId="164" fontId="44" fillId="2" borderId="61" xfId="2" applyFont="1" applyFill="1" applyBorder="1" applyAlignment="1" applyProtection="1">
      <alignment vertical="center" wrapText="1"/>
    </xf>
    <xf numFmtId="164" fontId="44" fillId="2" borderId="29" xfId="2" applyFont="1" applyFill="1" applyBorder="1" applyAlignment="1">
      <alignment vertical="center"/>
    </xf>
    <xf numFmtId="164" fontId="22" fillId="0" borderId="61" xfId="2" applyFont="1" applyFill="1" applyBorder="1" applyAlignment="1" applyProtection="1">
      <alignment vertical="center"/>
    </xf>
    <xf numFmtId="164" fontId="44" fillId="2" borderId="45" xfId="2" applyFont="1" applyFill="1" applyBorder="1" applyAlignment="1">
      <alignment horizontal="center" vertical="center"/>
    </xf>
    <xf numFmtId="164" fontId="44" fillId="2" borderId="24" xfId="2" applyFont="1" applyFill="1" applyBorder="1" applyAlignment="1">
      <alignment vertical="center"/>
    </xf>
    <xf numFmtId="164" fontId="44" fillId="0" borderId="46" xfId="2" applyFont="1" applyBorder="1" applyAlignment="1">
      <alignment vertical="center"/>
    </xf>
    <xf numFmtId="164" fontId="43" fillId="2" borderId="45" xfId="2" applyFont="1" applyFill="1" applyBorder="1" applyAlignment="1">
      <alignment horizontal="center" vertical="center"/>
    </xf>
    <xf numFmtId="164" fontId="44" fillId="2" borderId="24" xfId="2" applyFont="1" applyFill="1" applyBorder="1" applyAlignment="1" applyProtection="1">
      <alignment vertical="center" wrapText="1"/>
    </xf>
    <xf numFmtId="164" fontId="44" fillId="2" borderId="46" xfId="2" applyFont="1" applyFill="1" applyBorder="1" applyAlignment="1">
      <alignment vertical="center"/>
    </xf>
    <xf numFmtId="164" fontId="22" fillId="0" borderId="55" xfId="2" applyFont="1" applyFill="1" applyBorder="1" applyAlignment="1">
      <alignment vertical="top"/>
    </xf>
    <xf numFmtId="49" fontId="22" fillId="0" borderId="55" xfId="2" applyNumberFormat="1" applyFont="1" applyFill="1" applyBorder="1" applyAlignment="1" applyProtection="1">
      <alignment vertical="top"/>
    </xf>
    <xf numFmtId="49" fontId="22" fillId="0" borderId="55" xfId="2" applyNumberFormat="1" applyFont="1" applyFill="1" applyBorder="1" applyAlignment="1" applyProtection="1">
      <alignment horizontal="center" vertical="top"/>
    </xf>
    <xf numFmtId="164" fontId="22" fillId="0" borderId="55" xfId="2" applyFont="1" applyFill="1" applyBorder="1" applyAlignment="1" applyProtection="1">
      <alignment vertical="top"/>
    </xf>
    <xf numFmtId="164" fontId="44" fillId="2" borderId="55" xfId="2" applyFont="1" applyFill="1" applyBorder="1" applyAlignment="1">
      <alignment horizontal="center" vertical="center"/>
    </xf>
    <xf numFmtId="164" fontId="44" fillId="2" borderId="55" xfId="2" applyFont="1" applyFill="1" applyBorder="1" applyAlignment="1">
      <alignment vertical="center"/>
    </xf>
    <xf numFmtId="164" fontId="44" fillId="0" borderId="55" xfId="2" applyFont="1" applyBorder="1" applyAlignment="1">
      <alignment vertical="center"/>
    </xf>
    <xf numFmtId="0" fontId="22" fillId="0" borderId="55" xfId="68" applyFont="1" applyBorder="1" applyAlignment="1">
      <alignment horizontal="center"/>
    </xf>
    <xf numFmtId="0" fontId="22" fillId="2" borderId="55" xfId="68" applyNumberFormat="1" applyFont="1" applyFill="1" applyBorder="1"/>
    <xf numFmtId="167" fontId="22" fillId="2" borderId="55" xfId="41" applyNumberFormat="1" applyFont="1" applyFill="1" applyBorder="1"/>
    <xf numFmtId="168" fontId="22" fillId="2" borderId="55" xfId="34" applyNumberFormat="1" applyFont="1" applyFill="1" applyBorder="1"/>
    <xf numFmtId="164" fontId="22" fillId="2" borderId="55" xfId="2" applyFont="1" applyFill="1" applyBorder="1" applyAlignment="1">
      <alignment horizontal="center" vertical="center"/>
    </xf>
    <xf numFmtId="167" fontId="22" fillId="0" borderId="55" xfId="41" applyNumberFormat="1" applyFont="1" applyBorder="1"/>
    <xf numFmtId="164" fontId="43" fillId="7" borderId="55" xfId="2" applyFont="1" applyFill="1" applyBorder="1" applyAlignment="1">
      <alignment horizontal="center" vertical="center"/>
    </xf>
    <xf numFmtId="164" fontId="43" fillId="7" borderId="55" xfId="2" applyFont="1" applyFill="1" applyBorder="1" applyAlignment="1">
      <alignment vertical="center"/>
    </xf>
    <xf numFmtId="164" fontId="18" fillId="0" borderId="55" xfId="2" applyFont="1" applyFill="1" applyBorder="1" applyAlignment="1">
      <alignment horizontal="center"/>
    </xf>
    <xf numFmtId="164" fontId="18" fillId="0" borderId="55" xfId="2" applyFont="1" applyFill="1" applyBorder="1" applyAlignment="1" applyProtection="1">
      <alignment vertical="center"/>
    </xf>
    <xf numFmtId="164" fontId="22" fillId="0" borderId="55" xfId="2" applyFont="1" applyFill="1" applyBorder="1"/>
    <xf numFmtId="164" fontId="22" fillId="0" borderId="55" xfId="2" applyFont="1" applyFill="1" applyBorder="1" applyAlignment="1">
      <alignment horizontal="center" vertical="center"/>
    </xf>
    <xf numFmtId="0" fontId="22" fillId="0" borderId="55" xfId="68" applyFont="1" applyBorder="1" applyAlignment="1"/>
    <xf numFmtId="164" fontId="22" fillId="0" borderId="63" xfId="2" applyFont="1" applyFill="1" applyBorder="1" applyAlignment="1">
      <alignment vertical="center"/>
    </xf>
    <xf numFmtId="164" fontId="44" fillId="4" borderId="29" xfId="2" applyFont="1" applyFill="1" applyBorder="1" applyAlignment="1">
      <alignment vertical="center"/>
    </xf>
    <xf numFmtId="164" fontId="43" fillId="0" borderId="63" xfId="2" applyFont="1" applyFill="1" applyBorder="1" applyAlignment="1">
      <alignment horizontal="right" vertical="center"/>
    </xf>
    <xf numFmtId="164" fontId="44" fillId="2" borderId="63" xfId="2" applyFont="1" applyFill="1" applyBorder="1" applyAlignment="1">
      <alignment horizontal="center" vertical="center"/>
    </xf>
    <xf numFmtId="164" fontId="44" fillId="2" borderId="61" xfId="2" applyFont="1" applyFill="1" applyBorder="1" applyAlignment="1">
      <alignment vertical="center"/>
    </xf>
    <xf numFmtId="164" fontId="44" fillId="0" borderId="29" xfId="2" applyFont="1" applyBorder="1" applyAlignment="1">
      <alignment vertical="center"/>
    </xf>
    <xf numFmtId="0" fontId="18" fillId="0" borderId="61" xfId="68" applyNumberFormat="1" applyFont="1" applyFill="1" applyBorder="1" applyAlignment="1">
      <alignment horizontal="left" vertical="top"/>
    </xf>
    <xf numFmtId="0" fontId="20" fillId="0" borderId="61" xfId="0" applyFont="1" applyFill="1" applyBorder="1" applyAlignment="1">
      <alignment horizontal="center" vertical="top"/>
    </xf>
    <xf numFmtId="164" fontId="22" fillId="0" borderId="61" xfId="2" applyFont="1" applyFill="1" applyBorder="1" applyAlignment="1">
      <alignment horizontal="center" vertical="top"/>
    </xf>
    <xf numFmtId="167" fontId="22" fillId="0" borderId="29" xfId="41" applyNumberFormat="1" applyFont="1" applyFill="1" applyBorder="1" applyAlignment="1">
      <alignment horizontal="center" vertical="top"/>
    </xf>
    <xf numFmtId="164" fontId="44" fillId="0" borderId="24" xfId="2" applyFont="1" applyFill="1" applyBorder="1" applyAlignment="1" applyProtection="1">
      <alignment vertical="center"/>
    </xf>
    <xf numFmtId="164" fontId="43" fillId="4" borderId="45" xfId="2" applyFont="1" applyFill="1" applyBorder="1" applyAlignment="1">
      <alignment vertical="top"/>
    </xf>
    <xf numFmtId="164" fontId="44" fillId="4" borderId="24" xfId="2" applyFont="1" applyFill="1" applyBorder="1" applyAlignment="1">
      <alignment vertical="top"/>
    </xf>
    <xf numFmtId="164" fontId="44" fillId="4" borderId="24" xfId="2" applyFont="1" applyFill="1" applyBorder="1" applyAlignment="1">
      <alignment horizontal="justify" vertical="top"/>
    </xf>
    <xf numFmtId="164" fontId="44" fillId="4" borderId="46" xfId="2" applyFont="1" applyFill="1" applyBorder="1" applyAlignment="1">
      <alignment vertical="top"/>
    </xf>
    <xf numFmtId="164" fontId="43" fillId="6" borderId="38" xfId="2" applyFont="1" applyFill="1" applyBorder="1" applyAlignment="1">
      <alignment horizontal="center" vertical="center"/>
    </xf>
    <xf numFmtId="164" fontId="43" fillId="3" borderId="39" xfId="2" applyFont="1" applyFill="1" applyBorder="1" applyAlignment="1">
      <alignment vertical="center"/>
    </xf>
    <xf numFmtId="164" fontId="43" fillId="3" borderId="39" xfId="2" applyFont="1" applyFill="1" applyBorder="1" applyAlignment="1">
      <alignment horizontal="center" vertical="center"/>
    </xf>
    <xf numFmtId="164" fontId="43" fillId="3" borderId="40" xfId="2" applyFont="1" applyFill="1" applyBorder="1" applyAlignment="1">
      <alignment vertical="center"/>
    </xf>
    <xf numFmtId="0" fontId="22" fillId="0" borderId="144" xfId="68" applyFont="1" applyBorder="1" applyAlignment="1">
      <alignment horizontal="center"/>
    </xf>
    <xf numFmtId="167" fontId="22" fillId="2" borderId="58" xfId="41" applyNumberFormat="1" applyFont="1" applyFill="1" applyBorder="1"/>
    <xf numFmtId="164" fontId="22" fillId="2" borderId="58" xfId="2" applyFont="1" applyFill="1" applyBorder="1" applyAlignment="1">
      <alignment horizontal="center" vertical="center"/>
    </xf>
    <xf numFmtId="164" fontId="44" fillId="2" borderId="39" xfId="2" applyFont="1" applyFill="1" applyBorder="1" applyAlignment="1" applyProtection="1">
      <alignment vertical="center" wrapText="1"/>
    </xf>
    <xf numFmtId="0" fontId="22" fillId="0" borderId="144" xfId="68" applyFont="1" applyBorder="1" applyAlignment="1"/>
    <xf numFmtId="164" fontId="43" fillId="0" borderId="30" xfId="2" applyFont="1" applyFill="1" applyBorder="1" applyAlignment="1">
      <alignment horizontal="right" vertical="center"/>
    </xf>
    <xf numFmtId="164" fontId="43" fillId="0" borderId="31" xfId="2" applyFont="1" applyFill="1" applyBorder="1" applyAlignment="1" applyProtection="1">
      <alignment vertical="center" wrapText="1"/>
    </xf>
    <xf numFmtId="164" fontId="43" fillId="0" borderId="38" xfId="2" applyFont="1" applyFill="1" applyBorder="1" applyAlignment="1">
      <alignment horizontal="right" vertical="center"/>
    </xf>
    <xf numFmtId="164" fontId="44" fillId="0" borderId="39" xfId="2" applyFont="1" applyFill="1" applyBorder="1" applyAlignment="1" applyProtection="1">
      <alignment vertical="center"/>
    </xf>
    <xf numFmtId="164" fontId="44" fillId="2" borderId="30" xfId="2" applyFont="1" applyFill="1" applyBorder="1" applyAlignment="1">
      <alignment horizontal="center" vertical="center"/>
    </xf>
    <xf numFmtId="164" fontId="44" fillId="2" borderId="31" xfId="2" applyFont="1" applyFill="1" applyBorder="1" applyAlignment="1">
      <alignment vertical="center"/>
    </xf>
    <xf numFmtId="164" fontId="44" fillId="0" borderId="28" xfId="2" applyFont="1" applyBorder="1" applyAlignment="1">
      <alignment vertical="center"/>
    </xf>
    <xf numFmtId="164" fontId="44" fillId="2" borderId="38" xfId="2" applyFont="1" applyFill="1" applyBorder="1" applyAlignment="1">
      <alignment horizontal="center" vertical="center"/>
    </xf>
    <xf numFmtId="0" fontId="22" fillId="0" borderId="30" xfId="68" applyFont="1" applyBorder="1" applyAlignment="1">
      <alignment horizontal="center"/>
    </xf>
    <xf numFmtId="0" fontId="22" fillId="2" borderId="31" xfId="68" applyNumberFormat="1" applyFont="1" applyFill="1" applyBorder="1"/>
    <xf numFmtId="167" fontId="22" fillId="2" borderId="31" xfId="41" applyNumberFormat="1" applyFont="1" applyFill="1" applyBorder="1"/>
    <xf numFmtId="168" fontId="22" fillId="2" borderId="31" xfId="34" applyNumberFormat="1" applyFont="1" applyFill="1" applyBorder="1"/>
    <xf numFmtId="167" fontId="22" fillId="0" borderId="28" xfId="41" applyNumberFormat="1" applyFont="1" applyBorder="1"/>
    <xf numFmtId="0" fontId="22" fillId="0" borderId="38" xfId="68" applyFont="1" applyBorder="1" applyAlignment="1">
      <alignment horizontal="center"/>
    </xf>
    <xf numFmtId="0" fontId="22" fillId="2" borderId="39" xfId="68" applyNumberFormat="1" applyFont="1" applyFill="1" applyBorder="1"/>
    <xf numFmtId="167" fontId="22" fillId="2" borderId="39" xfId="41" applyNumberFormat="1" applyFont="1" applyFill="1" applyBorder="1"/>
    <xf numFmtId="168" fontId="22" fillId="2" borderId="39" xfId="34" applyNumberFormat="1" applyFont="1" applyFill="1" applyBorder="1"/>
    <xf numFmtId="167" fontId="22" fillId="0" borderId="40" xfId="41" applyNumberFormat="1" applyFont="1" applyBorder="1"/>
    <xf numFmtId="0" fontId="22" fillId="0" borderId="30" xfId="68" applyFont="1" applyBorder="1" applyAlignment="1"/>
    <xf numFmtId="0" fontId="22" fillId="0" borderId="38" xfId="68" applyFont="1" applyBorder="1" applyAlignment="1"/>
    <xf numFmtId="0" fontId="18" fillId="8" borderId="10" xfId="68" applyFont="1" applyFill="1" applyBorder="1" applyAlignment="1">
      <alignment horizontal="right" vertical="top"/>
    </xf>
    <xf numFmtId="0" fontId="18" fillId="8" borderId="6" xfId="68" applyNumberFormat="1" applyFont="1" applyFill="1" applyBorder="1" applyAlignment="1">
      <alignment horizontal="left" vertical="top"/>
    </xf>
    <xf numFmtId="0" fontId="19" fillId="8" borderId="6" xfId="0" applyFont="1" applyFill="1" applyBorder="1" applyAlignment="1">
      <alignment horizontal="right" vertical="top"/>
    </xf>
    <xf numFmtId="0" fontId="19" fillId="8" borderId="6" xfId="0" applyFont="1" applyFill="1" applyBorder="1" applyAlignment="1">
      <alignment horizontal="center" vertical="top"/>
    </xf>
    <xf numFmtId="164" fontId="18" fillId="8" borderId="6" xfId="2" applyFont="1" applyFill="1" applyBorder="1" applyAlignment="1">
      <alignment horizontal="center" vertical="top"/>
    </xf>
    <xf numFmtId="168" fontId="19" fillId="8" borderId="32" xfId="1" applyNumberFormat="1" applyFont="1" applyFill="1" applyBorder="1" applyAlignment="1">
      <alignment horizontal="right" vertical="top"/>
    </xf>
    <xf numFmtId="0" fontId="22" fillId="8" borderId="10" xfId="68" applyFont="1" applyFill="1" applyBorder="1" applyAlignment="1">
      <alignment horizontal="right" vertical="top"/>
    </xf>
    <xf numFmtId="49" fontId="22" fillId="8" borderId="6" xfId="68" applyNumberFormat="1" applyFont="1" applyFill="1" applyBorder="1" applyAlignment="1">
      <alignment horizontal="left" vertical="top"/>
    </xf>
    <xf numFmtId="49" fontId="22" fillId="8" borderId="6" xfId="68" applyNumberFormat="1" applyFont="1" applyFill="1" applyBorder="1" applyAlignment="1">
      <alignment horizontal="right" vertical="top"/>
    </xf>
    <xf numFmtId="49" fontId="22" fillId="8" borderId="6" xfId="68" applyNumberFormat="1" applyFont="1" applyFill="1" applyBorder="1" applyAlignment="1">
      <alignment horizontal="center" vertical="top"/>
    </xf>
    <xf numFmtId="164" fontId="22" fillId="8" borderId="6" xfId="2" applyFont="1" applyFill="1" applyBorder="1" applyAlignment="1">
      <alignment horizontal="right" vertical="top"/>
    </xf>
    <xf numFmtId="168" fontId="20" fillId="8" borderId="32" xfId="1" applyNumberFormat="1" applyFont="1" applyFill="1" applyBorder="1" applyAlignment="1">
      <alignment horizontal="right" vertical="top"/>
    </xf>
    <xf numFmtId="164" fontId="18" fillId="8" borderId="10" xfId="2" applyFont="1" applyFill="1" applyBorder="1" applyAlignment="1">
      <alignment vertical="top"/>
    </xf>
    <xf numFmtId="164" fontId="18" fillId="8" borderId="6" xfId="2" applyFont="1" applyFill="1" applyBorder="1" applyAlignment="1" applyProtection="1">
      <alignment vertical="top"/>
    </xf>
    <xf numFmtId="164" fontId="18" fillId="8" borderId="32" xfId="2" applyFont="1" applyFill="1" applyBorder="1" applyAlignment="1">
      <alignment vertical="top"/>
    </xf>
    <xf numFmtId="164" fontId="22" fillId="8" borderId="10" xfId="2" applyFont="1" applyFill="1" applyBorder="1" applyAlignment="1">
      <alignment vertical="top"/>
    </xf>
    <xf numFmtId="164" fontId="22" fillId="8" borderId="6" xfId="2" applyFont="1" applyFill="1" applyBorder="1" applyAlignment="1" applyProtection="1">
      <alignment vertical="top"/>
    </xf>
    <xf numFmtId="164" fontId="22" fillId="8" borderId="32" xfId="2" applyFont="1" applyFill="1" applyBorder="1" applyAlignment="1">
      <alignment vertical="top"/>
    </xf>
    <xf numFmtId="164" fontId="18" fillId="8" borderId="6" xfId="2" applyFont="1" applyFill="1" applyBorder="1" applyAlignment="1">
      <alignment horizontal="justify" vertical="top"/>
    </xf>
    <xf numFmtId="164" fontId="22" fillId="8" borderId="6" xfId="2" applyFont="1" applyFill="1" applyBorder="1" applyAlignment="1">
      <alignment horizontal="center" vertical="top"/>
    </xf>
    <xf numFmtId="164" fontId="18" fillId="8" borderId="30" xfId="2" applyFont="1" applyFill="1" applyBorder="1" applyAlignment="1">
      <alignment vertical="top"/>
    </xf>
    <xf numFmtId="164" fontId="18" fillId="8" borderId="31" xfId="2" applyFont="1" applyFill="1" applyBorder="1" applyAlignment="1" applyProtection="1">
      <alignment vertical="top"/>
    </xf>
    <xf numFmtId="164" fontId="22" fillId="8" borderId="31" xfId="2" applyFont="1" applyFill="1" applyBorder="1" applyAlignment="1">
      <alignment horizontal="center" vertical="top"/>
    </xf>
    <xf numFmtId="164" fontId="22" fillId="8" borderId="28" xfId="2" applyFont="1" applyFill="1" applyBorder="1" applyAlignment="1">
      <alignment vertical="top"/>
    </xf>
    <xf numFmtId="164" fontId="43" fillId="8" borderId="38" xfId="2" applyFont="1" applyFill="1" applyBorder="1" applyAlignment="1">
      <alignment vertical="top"/>
    </xf>
    <xf numFmtId="164" fontId="44" fillId="8" borderId="39" xfId="2" applyFont="1" applyFill="1" applyBorder="1" applyAlignment="1">
      <alignment vertical="top"/>
    </xf>
    <xf numFmtId="164" fontId="44" fillId="8" borderId="40" xfId="2" applyFont="1" applyFill="1" applyBorder="1" applyAlignment="1">
      <alignment vertical="top"/>
    </xf>
    <xf numFmtId="164" fontId="43" fillId="8" borderId="10" xfId="2" applyFont="1" applyFill="1" applyBorder="1" applyAlignment="1">
      <alignment vertical="top"/>
    </xf>
    <xf numFmtId="164" fontId="44" fillId="8" borderId="6" xfId="2" applyFont="1" applyFill="1" applyBorder="1" applyAlignment="1">
      <alignment vertical="top"/>
    </xf>
    <xf numFmtId="164" fontId="44" fillId="8" borderId="32" xfId="2" applyFont="1" applyFill="1" applyBorder="1" applyAlignment="1">
      <alignment vertical="top"/>
    </xf>
    <xf numFmtId="164" fontId="19" fillId="8" borderId="6" xfId="2" applyFont="1" applyFill="1" applyBorder="1" applyAlignment="1">
      <alignment horizontal="right" vertical="top"/>
    </xf>
    <xf numFmtId="0" fontId="22" fillId="8" borderId="10" xfId="68" applyFont="1" applyFill="1" applyBorder="1" applyAlignment="1">
      <alignment horizontal="center" vertical="top"/>
    </xf>
    <xf numFmtId="164" fontId="44" fillId="8" borderId="6" xfId="2" applyFont="1" applyFill="1" applyBorder="1" applyAlignment="1">
      <alignment horizontal="justify" vertical="top"/>
    </xf>
    <xf numFmtId="164" fontId="44" fillId="0" borderId="62" xfId="2" applyFont="1" applyFill="1" applyBorder="1" applyAlignment="1" applyProtection="1">
      <alignment vertical="center" wrapText="1"/>
    </xf>
    <xf numFmtId="0" fontId="44" fillId="0" borderId="21" xfId="68" applyFont="1" applyFill="1" applyBorder="1" applyAlignment="1">
      <alignment vertical="center"/>
    </xf>
    <xf numFmtId="167" fontId="44" fillId="0" borderId="21" xfId="41" applyNumberFormat="1" applyFont="1" applyFill="1" applyBorder="1" applyAlignment="1">
      <alignment vertical="center"/>
    </xf>
    <xf numFmtId="168" fontId="44" fillId="0" borderId="21" xfId="34" applyNumberFormat="1" applyFont="1" applyFill="1" applyBorder="1" applyAlignment="1">
      <alignment vertical="center"/>
    </xf>
    <xf numFmtId="164" fontId="44" fillId="0" borderId="21" xfId="2" applyFont="1" applyFill="1" applyBorder="1" applyAlignment="1">
      <alignment vertical="center"/>
    </xf>
    <xf numFmtId="164" fontId="44" fillId="0" borderId="21" xfId="2" applyFont="1" applyFill="1" applyBorder="1" applyAlignment="1" applyProtection="1">
      <alignment vertical="center" wrapText="1"/>
    </xf>
    <xf numFmtId="164" fontId="44" fillId="0" borderId="73" xfId="68" applyNumberFormat="1" applyFont="1" applyFill="1" applyBorder="1" applyAlignment="1">
      <alignment vertical="center"/>
    </xf>
    <xf numFmtId="164" fontId="43" fillId="0" borderId="145" xfId="2" applyFont="1" applyFill="1" applyBorder="1" applyAlignment="1">
      <alignment horizontal="center" vertical="center"/>
    </xf>
    <xf numFmtId="164" fontId="43" fillId="0" borderId="110" xfId="2" applyFont="1" applyFill="1" applyBorder="1" applyAlignment="1">
      <alignment vertical="center"/>
    </xf>
    <xf numFmtId="0" fontId="44" fillId="0" borderId="110" xfId="68" applyFont="1" applyFill="1" applyBorder="1" applyAlignment="1">
      <alignment vertical="center"/>
    </xf>
    <xf numFmtId="0" fontId="44" fillId="0" borderId="140" xfId="68" applyFont="1" applyFill="1" applyBorder="1" applyAlignment="1">
      <alignment vertical="center"/>
    </xf>
    <xf numFmtId="0" fontId="44" fillId="0" borderId="146" xfId="68" applyFont="1" applyFill="1" applyBorder="1" applyAlignment="1">
      <alignment horizontal="center" vertical="center"/>
    </xf>
    <xf numFmtId="164" fontId="44" fillId="0" borderId="64" xfId="2" applyFont="1" applyFill="1" applyBorder="1" applyAlignment="1">
      <alignment vertical="center"/>
    </xf>
    <xf numFmtId="164" fontId="44" fillId="0" borderId="35" xfId="2" applyFont="1" applyFill="1" applyBorder="1" applyAlignment="1" applyProtection="1">
      <alignment vertical="center" wrapText="1"/>
    </xf>
    <xf numFmtId="167" fontId="44" fillId="0" borderId="35" xfId="41" applyNumberFormat="1" applyFont="1" applyFill="1" applyBorder="1" applyAlignment="1">
      <alignment vertical="center"/>
    </xf>
    <xf numFmtId="164" fontId="44" fillId="0" borderId="92" xfId="2" applyFont="1" applyFill="1" applyBorder="1" applyAlignment="1" applyProtection="1">
      <alignment vertical="center" wrapText="1"/>
    </xf>
    <xf numFmtId="164" fontId="43" fillId="6" borderId="118" xfId="2" applyFont="1" applyFill="1" applyBorder="1" applyAlignment="1" applyProtection="1">
      <alignment vertical="center"/>
    </xf>
    <xf numFmtId="164" fontId="43" fillId="6" borderId="139" xfId="2" applyFont="1" applyFill="1" applyBorder="1" applyAlignment="1" applyProtection="1">
      <alignment vertical="center"/>
    </xf>
    <xf numFmtId="164" fontId="43" fillId="0" borderId="6" xfId="2" applyFont="1" applyFill="1" applyBorder="1" applyAlignment="1" applyProtection="1">
      <alignment vertical="center"/>
    </xf>
    <xf numFmtId="164" fontId="43" fillId="0" borderId="14" xfId="2" applyFont="1" applyFill="1" applyBorder="1" applyAlignment="1" applyProtection="1">
      <alignment vertical="center" wrapText="1"/>
    </xf>
    <xf numFmtId="164" fontId="44" fillId="0" borderId="14" xfId="2" applyFont="1" applyFill="1" applyBorder="1" applyAlignment="1" applyProtection="1">
      <alignment vertical="center" wrapText="1"/>
    </xf>
    <xf numFmtId="164" fontId="44" fillId="0" borderId="26" xfId="68" applyNumberFormat="1" applyFont="1" applyFill="1" applyBorder="1" applyAlignment="1">
      <alignment vertical="center"/>
    </xf>
    <xf numFmtId="164" fontId="43" fillId="0" borderId="99" xfId="2" applyFont="1" applyFill="1" applyBorder="1" applyAlignment="1">
      <alignment horizontal="center" vertical="center"/>
    </xf>
    <xf numFmtId="164" fontId="44" fillId="0" borderId="36" xfId="2" applyFont="1" applyFill="1" applyBorder="1" applyAlignment="1" applyProtection="1">
      <alignment vertical="center" wrapText="1"/>
    </xf>
    <xf numFmtId="168" fontId="44" fillId="0" borderId="36" xfId="34" applyNumberFormat="1" applyFont="1" applyFill="1" applyBorder="1" applyAlignment="1">
      <alignment vertical="center"/>
    </xf>
    <xf numFmtId="164" fontId="44" fillId="0" borderId="36" xfId="68" applyNumberFormat="1" applyFont="1" applyFill="1" applyBorder="1" applyAlignment="1">
      <alignment vertical="center"/>
    </xf>
    <xf numFmtId="164" fontId="44" fillId="0" borderId="91" xfId="2" applyFont="1" applyFill="1" applyBorder="1" applyAlignment="1" applyProtection="1">
      <alignment vertical="center" wrapText="1"/>
    </xf>
    <xf numFmtId="164" fontId="44" fillId="0" borderId="116" xfId="68" applyNumberFormat="1" applyFont="1" applyFill="1" applyBorder="1" applyAlignment="1">
      <alignment vertical="center"/>
    </xf>
    <xf numFmtId="164" fontId="44" fillId="0" borderId="147" xfId="2" applyFont="1" applyFill="1" applyBorder="1" applyAlignment="1">
      <alignment vertical="center"/>
    </xf>
    <xf numFmtId="164" fontId="44" fillId="0" borderId="148" xfId="2" applyFont="1" applyFill="1" applyBorder="1" applyAlignment="1">
      <alignment vertical="center"/>
    </xf>
    <xf numFmtId="167" fontId="44" fillId="0" borderId="148" xfId="41" applyNumberFormat="1" applyFont="1" applyFill="1" applyBorder="1" applyAlignment="1">
      <alignment vertical="center"/>
    </xf>
    <xf numFmtId="164" fontId="44" fillId="0" borderId="149" xfId="2" applyFont="1" applyFill="1" applyBorder="1" applyAlignment="1">
      <alignment vertical="center"/>
    </xf>
    <xf numFmtId="164" fontId="44" fillId="0" borderId="150" xfId="2" applyFont="1" applyFill="1" applyBorder="1" applyAlignment="1">
      <alignment vertical="center"/>
    </xf>
    <xf numFmtId="164" fontId="43" fillId="6" borderId="56" xfId="2" applyFont="1" applyFill="1" applyBorder="1" applyAlignment="1">
      <alignment horizontal="center" vertical="center"/>
    </xf>
    <xf numFmtId="164" fontId="43" fillId="6" borderId="59" xfId="2" applyFont="1" applyFill="1" applyBorder="1" applyAlignment="1">
      <alignment horizontal="center" vertical="center"/>
    </xf>
    <xf numFmtId="164" fontId="44" fillId="0" borderId="14" xfId="2" applyFont="1" applyFill="1" applyBorder="1" applyAlignment="1">
      <alignment horizontal="center" vertical="center"/>
    </xf>
    <xf numFmtId="164" fontId="45" fillId="0" borderId="56" xfId="21" applyFont="1" applyFill="1" applyBorder="1" applyAlignment="1" applyProtection="1">
      <alignment horizontal="center" vertical="center" wrapText="1"/>
    </xf>
    <xf numFmtId="164" fontId="45" fillId="0" borderId="25" xfId="21" applyFont="1" applyFill="1" applyBorder="1" applyAlignment="1" applyProtection="1">
      <alignment horizontal="center" vertical="center" wrapText="1"/>
    </xf>
    <xf numFmtId="164" fontId="45" fillId="0" borderId="59" xfId="21" applyFont="1" applyFill="1" applyBorder="1" applyAlignment="1" applyProtection="1">
      <alignment horizontal="center" vertical="center" wrapText="1"/>
    </xf>
    <xf numFmtId="164" fontId="45" fillId="0" borderId="56" xfId="21" applyNumberFormat="1" applyFont="1" applyFill="1" applyBorder="1" applyAlignment="1" applyProtection="1">
      <alignment horizontal="center" vertical="center" wrapText="1"/>
    </xf>
    <xf numFmtId="164" fontId="45" fillId="0" borderId="25" xfId="21" applyNumberFormat="1" applyFont="1" applyFill="1" applyBorder="1" applyAlignment="1" applyProtection="1">
      <alignment horizontal="center" vertical="center" wrapText="1"/>
    </xf>
    <xf numFmtId="164" fontId="45" fillId="0" borderId="59" xfId="21" applyNumberFormat="1" applyFont="1" applyFill="1" applyBorder="1" applyAlignment="1" applyProtection="1">
      <alignment horizontal="center" vertical="center" wrapText="1"/>
    </xf>
    <xf numFmtId="0" fontId="45" fillId="0" borderId="57" xfId="0" applyFont="1" applyFill="1" applyBorder="1" applyAlignment="1">
      <alignment horizontal="center" vertical="center"/>
    </xf>
    <xf numFmtId="0" fontId="45" fillId="0" borderId="118" xfId="0" applyFont="1" applyFill="1" applyBorder="1" applyAlignment="1">
      <alignment horizontal="center" vertical="center"/>
    </xf>
    <xf numFmtId="0" fontId="45" fillId="0" borderId="27" xfId="0" applyFont="1" applyFill="1" applyBorder="1" applyAlignment="1">
      <alignment horizontal="center" vertical="center"/>
    </xf>
    <xf numFmtId="0" fontId="45" fillId="0" borderId="33" xfId="0" applyFont="1" applyFill="1" applyBorder="1" applyAlignment="1">
      <alignment horizontal="center" vertical="center"/>
    </xf>
    <xf numFmtId="0" fontId="45" fillId="0" borderId="60" xfId="0" applyFont="1" applyFill="1" applyBorder="1" applyAlignment="1">
      <alignment horizontal="center" vertical="center"/>
    </xf>
    <xf numFmtId="0" fontId="45" fillId="0" borderId="139" xfId="0" applyFont="1" applyFill="1" applyBorder="1" applyAlignment="1">
      <alignment horizontal="center" vertical="center"/>
    </xf>
    <xf numFmtId="164" fontId="45" fillId="0" borderId="6" xfId="0" applyNumberFormat="1" applyFont="1" applyFill="1" applyBorder="1" applyAlignment="1">
      <alignment horizontal="center" vertical="center"/>
    </xf>
    <xf numFmtId="164" fontId="45" fillId="0" borderId="39" xfId="0" applyNumberFormat="1" applyFont="1" applyFill="1" applyBorder="1" applyAlignment="1">
      <alignment horizontal="center" vertical="center"/>
    </xf>
    <xf numFmtId="164" fontId="64" fillId="0" borderId="0" xfId="2" applyFont="1" applyFill="1" applyAlignment="1">
      <alignment horizontal="center" vertical="center"/>
    </xf>
    <xf numFmtId="0" fontId="45" fillId="0" borderId="30" xfId="0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0" fontId="45" fillId="0" borderId="38" xfId="0" applyFont="1" applyFill="1" applyBorder="1" applyAlignment="1">
      <alignment horizontal="center" vertical="center"/>
    </xf>
    <xf numFmtId="164" fontId="45" fillId="0" borderId="98" xfId="21" applyNumberFormat="1" applyFont="1" applyFill="1" applyBorder="1" applyAlignment="1" applyProtection="1">
      <alignment horizontal="center" vertical="center"/>
    </xf>
    <xf numFmtId="164" fontId="45" fillId="0" borderId="99" xfId="21" applyNumberFormat="1" applyFont="1" applyFill="1" applyBorder="1" applyAlignment="1" applyProtection="1">
      <alignment horizontal="center" vertical="center"/>
    </xf>
    <xf numFmtId="164" fontId="45" fillId="0" borderId="64" xfId="21" applyNumberFormat="1" applyFont="1" applyFill="1" applyBorder="1" applyAlignment="1" applyProtection="1">
      <alignment horizontal="center" vertical="center"/>
    </xf>
    <xf numFmtId="164" fontId="45" fillId="0" borderId="61" xfId="0" applyNumberFormat="1" applyFont="1" applyFill="1" applyBorder="1" applyAlignment="1">
      <alignment horizontal="center" vertical="center" wrapText="1"/>
    </xf>
    <xf numFmtId="164" fontId="45" fillId="0" borderId="59" xfId="0" applyNumberFormat="1" applyFont="1" applyFill="1" applyBorder="1" applyAlignment="1">
      <alignment horizontal="center" vertical="center" wrapText="1"/>
    </xf>
    <xf numFmtId="164" fontId="45" fillId="0" borderId="28" xfId="0" applyNumberFormat="1" applyFont="1" applyFill="1" applyBorder="1" applyAlignment="1">
      <alignment horizontal="center" vertical="center"/>
    </xf>
    <xf numFmtId="164" fontId="45" fillId="0" borderId="32" xfId="0" applyNumberFormat="1" applyFont="1" applyFill="1" applyBorder="1" applyAlignment="1">
      <alignment horizontal="center" vertical="center"/>
    </xf>
    <xf numFmtId="164" fontId="45" fillId="0" borderId="40" xfId="0" applyNumberFormat="1" applyFont="1" applyFill="1" applyBorder="1" applyAlignment="1">
      <alignment horizontal="center" vertical="center"/>
    </xf>
    <xf numFmtId="164" fontId="45" fillId="0" borderId="80" xfId="21" applyNumberFormat="1" applyFont="1" applyFill="1" applyBorder="1" applyAlignment="1" applyProtection="1">
      <alignment horizontal="center" vertical="center" wrapText="1"/>
    </xf>
    <xf numFmtId="164" fontId="45" fillId="0" borderId="65" xfId="21" applyNumberFormat="1" applyFont="1" applyFill="1" applyBorder="1" applyAlignment="1" applyProtection="1">
      <alignment horizontal="center" vertical="center" wrapText="1"/>
    </xf>
    <xf numFmtId="164" fontId="45" fillId="0" borderId="64" xfId="0" applyNumberFormat="1" applyFont="1" applyFill="1" applyBorder="1" applyAlignment="1">
      <alignment horizontal="center" vertical="center"/>
    </xf>
    <xf numFmtId="164" fontId="45" fillId="0" borderId="31" xfId="0" applyNumberFormat="1" applyFont="1" applyFill="1" applyBorder="1" applyAlignment="1">
      <alignment horizontal="center" vertical="center"/>
    </xf>
    <xf numFmtId="164" fontId="45" fillId="0" borderId="35" xfId="0" applyNumberFormat="1" applyFont="1" applyFill="1" applyBorder="1" applyAlignment="1">
      <alignment horizontal="center" vertical="center"/>
    </xf>
    <xf numFmtId="164" fontId="45" fillId="0" borderId="68" xfId="0" applyNumberFormat="1" applyFont="1" applyFill="1" applyBorder="1" applyAlignment="1">
      <alignment horizontal="center" vertical="center"/>
    </xf>
    <xf numFmtId="0" fontId="16" fillId="0" borderId="0" xfId="68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8" fillId="6" borderId="30" xfId="68" applyFont="1" applyFill="1" applyBorder="1" applyAlignment="1">
      <alignment horizontal="center" vertical="center"/>
    </xf>
    <xf numFmtId="0" fontId="18" fillId="6" borderId="38" xfId="68" applyFont="1" applyFill="1" applyBorder="1" applyAlignment="1">
      <alignment horizontal="center" vertical="center"/>
    </xf>
    <xf numFmtId="0" fontId="18" fillId="6" borderId="31" xfId="68" applyNumberFormat="1" applyFont="1" applyFill="1" applyBorder="1" applyAlignment="1">
      <alignment horizontal="center" vertical="center"/>
    </xf>
    <xf numFmtId="0" fontId="18" fillId="6" borderId="39" xfId="68" applyNumberFormat="1" applyFont="1" applyFill="1" applyBorder="1" applyAlignment="1">
      <alignment horizontal="center" vertical="center"/>
    </xf>
    <xf numFmtId="0" fontId="20" fillId="6" borderId="31" xfId="0" applyFont="1" applyFill="1" applyBorder="1" applyAlignment="1">
      <alignment horizontal="center" vertical="center"/>
    </xf>
    <xf numFmtId="0" fontId="20" fillId="6" borderId="39" xfId="0" applyFont="1" applyFill="1" applyBorder="1" applyAlignment="1">
      <alignment horizontal="center" vertical="center"/>
    </xf>
    <xf numFmtId="164" fontId="22" fillId="6" borderId="31" xfId="2" applyFont="1" applyFill="1" applyBorder="1" applyAlignment="1">
      <alignment horizontal="center" vertical="center"/>
    </xf>
    <xf numFmtId="164" fontId="22" fillId="6" borderId="39" xfId="2" applyFont="1" applyFill="1" applyBorder="1" applyAlignment="1">
      <alignment horizontal="center" vertical="center"/>
    </xf>
    <xf numFmtId="0" fontId="18" fillId="6" borderId="63" xfId="68" applyFont="1" applyFill="1" applyBorder="1" applyAlignment="1">
      <alignment horizontal="center" vertical="center"/>
    </xf>
    <xf numFmtId="0" fontId="18" fillId="6" borderId="61" xfId="68" applyNumberFormat="1" applyFont="1" applyFill="1" applyBorder="1" applyAlignment="1">
      <alignment horizontal="center" vertical="center"/>
    </xf>
    <xf numFmtId="0" fontId="20" fillId="6" borderId="61" xfId="0" applyFont="1" applyFill="1" applyBorder="1" applyAlignment="1">
      <alignment horizontal="center" vertical="center"/>
    </xf>
    <xf numFmtId="164" fontId="22" fillId="6" borderId="61" xfId="2" applyFont="1" applyFill="1" applyBorder="1" applyAlignment="1">
      <alignment horizontal="center" vertical="center"/>
    </xf>
    <xf numFmtId="0" fontId="18" fillId="0" borderId="0" xfId="68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8" fillId="0" borderId="30" xfId="68" applyFont="1" applyBorder="1" applyAlignment="1">
      <alignment horizontal="center" vertical="center"/>
    </xf>
    <xf numFmtId="0" fontId="18" fillId="0" borderId="38" xfId="68" applyFont="1" applyBorder="1" applyAlignment="1">
      <alignment horizontal="center" vertical="center"/>
    </xf>
    <xf numFmtId="0" fontId="18" fillId="2" borderId="31" xfId="68" applyNumberFormat="1" applyFont="1" applyFill="1" applyBorder="1" applyAlignment="1">
      <alignment horizontal="center" vertical="center"/>
    </xf>
    <xf numFmtId="0" fontId="18" fillId="2" borderId="39" xfId="68" applyNumberFormat="1" applyFont="1" applyFill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164" fontId="22" fillId="2" borderId="31" xfId="2" applyFont="1" applyFill="1" applyBorder="1" applyAlignment="1">
      <alignment horizontal="center" vertical="center"/>
    </xf>
    <xf numFmtId="164" fontId="22" fillId="2" borderId="39" xfId="2" applyFont="1" applyFill="1" applyBorder="1" applyAlignment="1">
      <alignment horizontal="center" vertical="center"/>
    </xf>
    <xf numFmtId="0" fontId="18" fillId="0" borderId="69" xfId="68" applyFont="1" applyBorder="1" applyAlignment="1">
      <alignment horizontal="center"/>
    </xf>
    <xf numFmtId="0" fontId="18" fillId="0" borderId="50" xfId="68" applyFont="1" applyBorder="1" applyAlignment="1">
      <alignment horizontal="center"/>
    </xf>
    <xf numFmtId="0" fontId="19" fillId="0" borderId="69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50" xfId="0" applyFont="1" applyBorder="1" applyAlignment="1">
      <alignment horizontal="center"/>
    </xf>
    <xf numFmtId="0" fontId="44" fillId="2" borderId="0" xfId="68" applyNumberFormat="1" applyFont="1" applyFill="1" applyBorder="1" applyAlignment="1">
      <alignment horizontal="center" vertical="center"/>
    </xf>
    <xf numFmtId="0" fontId="45" fillId="0" borderId="0" xfId="68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5" borderId="121" xfId="68" applyFont="1" applyFill="1" applyBorder="1" applyAlignment="1">
      <alignment horizontal="center" vertical="center"/>
    </xf>
    <xf numFmtId="0" fontId="43" fillId="5" borderId="122" xfId="68" applyFont="1" applyFill="1" applyBorder="1" applyAlignment="1">
      <alignment horizontal="center" vertical="center"/>
    </xf>
    <xf numFmtId="0" fontId="43" fillId="5" borderId="56" xfId="68" applyNumberFormat="1" applyFont="1" applyFill="1" applyBorder="1" applyAlignment="1">
      <alignment horizontal="center" vertical="center"/>
    </xf>
    <xf numFmtId="0" fontId="43" fillId="5" borderId="117" xfId="68" applyNumberFormat="1" applyFont="1" applyFill="1" applyBorder="1" applyAlignment="1">
      <alignment horizontal="center" vertical="center"/>
    </xf>
    <xf numFmtId="0" fontId="43" fillId="5" borderId="57" xfId="0" applyFont="1" applyFill="1" applyBorder="1" applyAlignment="1">
      <alignment horizontal="center" vertical="center"/>
    </xf>
    <xf numFmtId="0" fontId="43" fillId="5" borderId="118" xfId="0" applyFont="1" applyFill="1" applyBorder="1" applyAlignment="1">
      <alignment horizontal="center" vertical="center"/>
    </xf>
    <xf numFmtId="0" fontId="43" fillId="5" borderId="119" xfId="0" applyFont="1" applyFill="1" applyBorder="1" applyAlignment="1">
      <alignment horizontal="center" vertical="center"/>
    </xf>
    <xf numFmtId="0" fontId="43" fillId="5" borderId="120" xfId="0" applyFont="1" applyFill="1" applyBorder="1" applyAlignment="1">
      <alignment horizontal="center" vertical="center"/>
    </xf>
    <xf numFmtId="164" fontId="43" fillId="5" borderId="56" xfId="2" applyFont="1" applyFill="1" applyBorder="1" applyAlignment="1">
      <alignment horizontal="center" vertical="center"/>
    </xf>
    <xf numFmtId="164" fontId="43" fillId="5" borderId="117" xfId="2" applyFont="1" applyFill="1" applyBorder="1" applyAlignment="1">
      <alignment horizontal="center" vertical="center"/>
    </xf>
    <xf numFmtId="0" fontId="18" fillId="6" borderId="121" xfId="68" applyFont="1" applyFill="1" applyBorder="1" applyAlignment="1">
      <alignment horizontal="center" vertical="center"/>
    </xf>
    <xf numFmtId="0" fontId="18" fillId="6" borderId="138" xfId="68" applyFont="1" applyFill="1" applyBorder="1" applyAlignment="1">
      <alignment horizontal="center" vertical="center"/>
    </xf>
    <xf numFmtId="0" fontId="18" fillId="6" borderId="56" xfId="68" applyNumberFormat="1" applyFont="1" applyFill="1" applyBorder="1" applyAlignment="1">
      <alignment horizontal="center" vertical="center"/>
    </xf>
    <xf numFmtId="0" fontId="18" fillId="6" borderId="59" xfId="68" applyNumberFormat="1" applyFont="1" applyFill="1" applyBorder="1" applyAlignment="1">
      <alignment horizontal="center" vertical="center"/>
    </xf>
    <xf numFmtId="0" fontId="19" fillId="6" borderId="57" xfId="0" applyFont="1" applyFill="1" applyBorder="1" applyAlignment="1">
      <alignment horizontal="center" vertical="center"/>
    </xf>
    <xf numFmtId="0" fontId="19" fillId="6" borderId="118" xfId="0" applyFont="1" applyFill="1" applyBorder="1" applyAlignment="1">
      <alignment horizontal="center" vertical="center"/>
    </xf>
    <xf numFmtId="0" fontId="19" fillId="6" borderId="60" xfId="0" applyFont="1" applyFill="1" applyBorder="1" applyAlignment="1">
      <alignment horizontal="center" vertical="center"/>
    </xf>
    <xf numFmtId="0" fontId="19" fillId="6" borderId="139" xfId="0" applyFont="1" applyFill="1" applyBorder="1" applyAlignment="1">
      <alignment horizontal="center" vertical="center"/>
    </xf>
    <xf numFmtId="164" fontId="18" fillId="6" borderId="56" xfId="2" applyFont="1" applyFill="1" applyBorder="1" applyAlignment="1">
      <alignment horizontal="center" vertical="center"/>
    </xf>
    <xf numFmtId="164" fontId="18" fillId="6" borderId="59" xfId="2" applyFont="1" applyFill="1" applyBorder="1" applyAlignment="1">
      <alignment horizontal="center" vertical="center"/>
    </xf>
    <xf numFmtId="0" fontId="43" fillId="0" borderId="0" xfId="68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5" borderId="138" xfId="68" applyFont="1" applyFill="1" applyBorder="1" applyAlignment="1">
      <alignment horizontal="center" vertical="center"/>
    </xf>
    <xf numFmtId="0" fontId="43" fillId="5" borderId="59" xfId="68" applyNumberFormat="1" applyFont="1" applyFill="1" applyBorder="1" applyAlignment="1">
      <alignment horizontal="center" vertical="center"/>
    </xf>
    <xf numFmtId="0" fontId="43" fillId="5" borderId="60" xfId="0" applyFont="1" applyFill="1" applyBorder="1" applyAlignment="1">
      <alignment horizontal="center" vertical="center"/>
    </xf>
    <xf numFmtId="0" fontId="43" fillId="5" borderId="139" xfId="0" applyFont="1" applyFill="1" applyBorder="1" applyAlignment="1">
      <alignment horizontal="center" vertical="center"/>
    </xf>
    <xf numFmtId="164" fontId="43" fillId="5" borderId="59" xfId="2" applyFont="1" applyFill="1" applyBorder="1" applyAlignment="1">
      <alignment horizontal="center" vertical="center"/>
    </xf>
    <xf numFmtId="167" fontId="3" fillId="0" borderId="135" xfId="41" applyNumberFormat="1" applyFont="1" applyFill="1" applyBorder="1" applyAlignment="1" applyProtection="1">
      <alignment horizontal="center" vertical="center" wrapText="1"/>
    </xf>
    <xf numFmtId="167" fontId="3" fillId="0" borderId="134" xfId="41" applyNumberFormat="1" applyFont="1" applyFill="1" applyBorder="1" applyAlignment="1" applyProtection="1">
      <alignment horizontal="center" vertical="center" wrapText="1"/>
    </xf>
    <xf numFmtId="167" fontId="3" fillId="0" borderId="136" xfId="41" applyNumberFormat="1" applyFont="1" applyFill="1" applyBorder="1" applyAlignment="1" applyProtection="1">
      <alignment horizontal="center" vertical="center" wrapText="1"/>
    </xf>
    <xf numFmtId="167" fontId="3" fillId="0" borderId="137" xfId="41" applyNumberFormat="1" applyFont="1" applyFill="1" applyBorder="1" applyAlignment="1" applyProtection="1">
      <alignment horizontal="center" vertical="center" wrapText="1"/>
    </xf>
    <xf numFmtId="0" fontId="4" fillId="0" borderId="0" xfId="75" applyNumberFormat="1" applyFont="1" applyFill="1" applyBorder="1" applyAlignment="1" applyProtection="1">
      <alignment horizontal="center" vertical="center"/>
    </xf>
    <xf numFmtId="0" fontId="3" fillId="0" borderId="123" xfId="75" applyNumberFormat="1" applyFont="1" applyFill="1" applyBorder="1" applyAlignment="1" applyProtection="1">
      <alignment horizontal="center" vertical="center" wrapText="1"/>
    </xf>
    <xf numFmtId="0" fontId="3" fillId="0" borderId="124" xfId="75" applyNumberFormat="1" applyFont="1" applyFill="1" applyBorder="1" applyAlignment="1" applyProtection="1">
      <alignment horizontal="center" vertical="center" wrapText="1"/>
    </xf>
    <xf numFmtId="0" fontId="3" fillId="0" borderId="125" xfId="75" applyNumberFormat="1" applyFont="1" applyFill="1" applyBorder="1" applyAlignment="1" applyProtection="1">
      <alignment horizontal="center" vertical="center" wrapText="1"/>
    </xf>
    <xf numFmtId="0" fontId="3" fillId="0" borderId="126" xfId="75" applyNumberFormat="1" applyFont="1" applyFill="1" applyBorder="1" applyAlignment="1" applyProtection="1">
      <alignment horizontal="center" vertical="center" wrapText="1"/>
    </xf>
    <xf numFmtId="0" fontId="3" fillId="0" borderId="127" xfId="75" applyNumberFormat="1" applyFont="1" applyFill="1" applyBorder="1" applyAlignment="1" applyProtection="1">
      <alignment horizontal="center" vertical="center" wrapText="1"/>
    </xf>
    <xf numFmtId="167" fontId="3" fillId="0" borderId="128" xfId="41" applyNumberFormat="1" applyFont="1" applyFill="1" applyBorder="1" applyAlignment="1" applyProtection="1">
      <alignment horizontal="center" vertical="center"/>
    </xf>
    <xf numFmtId="167" fontId="3" fillId="0" borderId="129" xfId="41" applyNumberFormat="1" applyFont="1" applyFill="1" applyBorder="1" applyAlignment="1" applyProtection="1">
      <alignment horizontal="center" vertical="center"/>
    </xf>
    <xf numFmtId="167" fontId="3" fillId="0" borderId="130" xfId="41" applyNumberFormat="1" applyFont="1" applyFill="1" applyBorder="1" applyAlignment="1" applyProtection="1">
      <alignment horizontal="center" vertical="center" wrapText="1"/>
    </xf>
    <xf numFmtId="167" fontId="3" fillId="0" borderId="131" xfId="41" applyNumberFormat="1" applyFont="1" applyFill="1" applyBorder="1" applyAlignment="1" applyProtection="1">
      <alignment horizontal="center" vertical="center" wrapText="1"/>
    </xf>
    <xf numFmtId="167" fontId="3" fillId="0" borderId="132" xfId="41" applyNumberFormat="1" applyFont="1" applyFill="1" applyBorder="1" applyAlignment="1" applyProtection="1">
      <alignment horizontal="center" vertical="center" wrapText="1"/>
    </xf>
    <xf numFmtId="167" fontId="3" fillId="0" borderId="133" xfId="41" applyNumberFormat="1" applyFont="1" applyFill="1" applyBorder="1" applyAlignment="1" applyProtection="1">
      <alignment horizontal="center" vertical="center" wrapText="1"/>
    </xf>
    <xf numFmtId="167" fontId="18" fillId="6" borderId="151" xfId="41" applyNumberFormat="1" applyFont="1" applyFill="1" applyBorder="1" applyAlignment="1">
      <alignment horizontal="center" vertical="center"/>
    </xf>
    <xf numFmtId="167" fontId="18" fillId="6" borderId="152" xfId="41" applyNumberFormat="1" applyFont="1" applyFill="1" applyBorder="1" applyAlignment="1">
      <alignment horizontal="center" vertical="center"/>
    </xf>
  </cellXfs>
  <cellStyles count="79">
    <cellStyle name="Comma" xfId="1" builtinId="3"/>
    <cellStyle name="Comma [0]" xfId="2" builtinId="6"/>
    <cellStyle name="Comma [0] 2" xfId="3" xr:uid="{00000000-0005-0000-0000-000002000000}"/>
    <cellStyle name="Comma [0] 2 2" xfId="4" xr:uid="{00000000-0005-0000-0000-000003000000}"/>
    <cellStyle name="Comma [0] 2 2 2" xfId="5" xr:uid="{00000000-0005-0000-0000-000004000000}"/>
    <cellStyle name="Comma [0] 2 2 2 2" xfId="6" xr:uid="{00000000-0005-0000-0000-000005000000}"/>
    <cellStyle name="Comma [0] 2 2 2 2 2" xfId="7" xr:uid="{00000000-0005-0000-0000-000006000000}"/>
    <cellStyle name="Comma [0] 2 2 2 2 2 2" xfId="8" xr:uid="{00000000-0005-0000-0000-000007000000}"/>
    <cellStyle name="Comma [0] 2 2 2 2 2 3" xfId="9" xr:uid="{00000000-0005-0000-0000-000008000000}"/>
    <cellStyle name="Comma [0] 2 2 2 2 3" xfId="10" xr:uid="{00000000-0005-0000-0000-000009000000}"/>
    <cellStyle name="Comma [0] 2 2 2 2 3 2" xfId="11" xr:uid="{00000000-0005-0000-0000-00000A000000}"/>
    <cellStyle name="Comma [0] 2 2 2 3" xfId="12" xr:uid="{00000000-0005-0000-0000-00000B000000}"/>
    <cellStyle name="Comma [0] 2 2 2 3 2" xfId="13" xr:uid="{00000000-0005-0000-0000-00000C000000}"/>
    <cellStyle name="Comma [0] 2 2 2 4" xfId="14" xr:uid="{00000000-0005-0000-0000-00000D000000}"/>
    <cellStyle name="Comma [0] 2 2 3" xfId="15" xr:uid="{00000000-0005-0000-0000-00000E000000}"/>
    <cellStyle name="Comma [0] 2 2 4" xfId="16" xr:uid="{00000000-0005-0000-0000-00000F000000}"/>
    <cellStyle name="Comma [0] 2 2 5" xfId="17" xr:uid="{00000000-0005-0000-0000-000010000000}"/>
    <cellStyle name="Comma [0] 2 2 6" xfId="18" xr:uid="{00000000-0005-0000-0000-000011000000}"/>
    <cellStyle name="Comma [0] 2 2 6 2" xfId="19" xr:uid="{00000000-0005-0000-0000-000012000000}"/>
    <cellStyle name="Comma [0] 2 2 7" xfId="20" xr:uid="{00000000-0005-0000-0000-000013000000}"/>
    <cellStyle name="Comma [0] 2 3" xfId="21" xr:uid="{00000000-0005-0000-0000-000014000000}"/>
    <cellStyle name="Comma [0] 2 3 2" xfId="22" xr:uid="{00000000-0005-0000-0000-000015000000}"/>
    <cellStyle name="Comma [0] 2 4" xfId="23" xr:uid="{00000000-0005-0000-0000-000016000000}"/>
    <cellStyle name="Comma [0] 2 5" xfId="24" xr:uid="{00000000-0005-0000-0000-000017000000}"/>
    <cellStyle name="Comma [0] 2 6" xfId="25" xr:uid="{00000000-0005-0000-0000-000018000000}"/>
    <cellStyle name="Comma [0] 3" xfId="26" xr:uid="{00000000-0005-0000-0000-000019000000}"/>
    <cellStyle name="Comma [0] 4" xfId="27" xr:uid="{00000000-0005-0000-0000-00001A000000}"/>
    <cellStyle name="Comma [0] 5" xfId="28" xr:uid="{00000000-0005-0000-0000-00001B000000}"/>
    <cellStyle name="Comma [0] 6" xfId="29" xr:uid="{00000000-0005-0000-0000-00001C000000}"/>
    <cellStyle name="Comma [0] 7" xfId="30" xr:uid="{00000000-0005-0000-0000-00001D000000}"/>
    <cellStyle name="Comma [0] 8" xfId="31" xr:uid="{00000000-0005-0000-0000-00001E000000}"/>
    <cellStyle name="Comma 10" xfId="32" xr:uid="{00000000-0005-0000-0000-00001F000000}"/>
    <cellStyle name="Comma 2" xfId="33" xr:uid="{00000000-0005-0000-0000-000020000000}"/>
    <cellStyle name="Comma 2 2" xfId="34" xr:uid="{00000000-0005-0000-0000-000021000000}"/>
    <cellStyle name="Comma 2 3" xfId="35" xr:uid="{00000000-0005-0000-0000-000022000000}"/>
    <cellStyle name="Comma 2 4" xfId="36" xr:uid="{00000000-0005-0000-0000-000023000000}"/>
    <cellStyle name="Comma 2 5" xfId="37" xr:uid="{00000000-0005-0000-0000-000024000000}"/>
    <cellStyle name="Comma 2 6" xfId="38" xr:uid="{00000000-0005-0000-0000-000025000000}"/>
    <cellStyle name="Comma 3" xfId="39" xr:uid="{00000000-0005-0000-0000-000026000000}"/>
    <cellStyle name="Comma 4" xfId="40" xr:uid="{00000000-0005-0000-0000-000027000000}"/>
    <cellStyle name="Comma 5" xfId="41" xr:uid="{00000000-0005-0000-0000-000028000000}"/>
    <cellStyle name="Comma 6" xfId="42" xr:uid="{00000000-0005-0000-0000-000029000000}"/>
    <cellStyle name="Comma 7" xfId="43" xr:uid="{00000000-0005-0000-0000-00002A000000}"/>
    <cellStyle name="Comma 8" xfId="44" xr:uid="{00000000-0005-0000-0000-00002B000000}"/>
    <cellStyle name="Comma 9" xfId="45" xr:uid="{00000000-0005-0000-0000-00002C000000}"/>
    <cellStyle name="Currency 2" xfId="46" xr:uid="{00000000-0005-0000-0000-00002D000000}"/>
    <cellStyle name="Currency 2 2" xfId="47" xr:uid="{00000000-0005-0000-0000-00002E000000}"/>
    <cellStyle name="Currency 2 3" xfId="48" xr:uid="{00000000-0005-0000-0000-00002F000000}"/>
    <cellStyle name="Currency 2 4" xfId="49" xr:uid="{00000000-0005-0000-0000-000030000000}"/>
    <cellStyle name="Currency 2 5" xfId="50" xr:uid="{00000000-0005-0000-0000-000031000000}"/>
    <cellStyle name="Hyperlink" xfId="51" builtinId="8"/>
    <cellStyle name="Normal" xfId="0" builtinId="0"/>
    <cellStyle name="Normal 2" xfId="52" xr:uid="{00000000-0005-0000-0000-000034000000}"/>
    <cellStyle name="Normal 2 2" xfId="53" xr:uid="{00000000-0005-0000-0000-000035000000}"/>
    <cellStyle name="Normal 2 2 2" xfId="54" xr:uid="{00000000-0005-0000-0000-000036000000}"/>
    <cellStyle name="Normal 2 2 2 2" xfId="55" xr:uid="{00000000-0005-0000-0000-000037000000}"/>
    <cellStyle name="Normal 2 2 2 2 2" xfId="56" xr:uid="{00000000-0005-0000-0000-000038000000}"/>
    <cellStyle name="Normal 2 2 3" xfId="57" xr:uid="{00000000-0005-0000-0000-000039000000}"/>
    <cellStyle name="Normal 2 2 3 2" xfId="58" xr:uid="{00000000-0005-0000-0000-00003A000000}"/>
    <cellStyle name="Normal 2 2 4" xfId="59" xr:uid="{00000000-0005-0000-0000-00003B000000}"/>
    <cellStyle name="Normal 2 2 4 2" xfId="60" xr:uid="{00000000-0005-0000-0000-00003C000000}"/>
    <cellStyle name="Normal 2 2 5" xfId="61" xr:uid="{00000000-0005-0000-0000-00003D000000}"/>
    <cellStyle name="Normal 2 2 5 2" xfId="62" xr:uid="{00000000-0005-0000-0000-00003E000000}"/>
    <cellStyle name="Normal 2 2 6" xfId="63" xr:uid="{00000000-0005-0000-0000-00003F000000}"/>
    <cellStyle name="Normal 2 3" xfId="64" xr:uid="{00000000-0005-0000-0000-000040000000}"/>
    <cellStyle name="Normal 2 4" xfId="65" xr:uid="{00000000-0005-0000-0000-000041000000}"/>
    <cellStyle name="Normal 2 5" xfId="66" xr:uid="{00000000-0005-0000-0000-000042000000}"/>
    <cellStyle name="Normal 3" xfId="67" xr:uid="{00000000-0005-0000-0000-000043000000}"/>
    <cellStyle name="Normal 3 3" xfId="68" xr:uid="{00000000-0005-0000-0000-000044000000}"/>
    <cellStyle name="Normal 4" xfId="69" xr:uid="{00000000-0005-0000-0000-000045000000}"/>
    <cellStyle name="Normal 4 2" xfId="70" xr:uid="{00000000-0005-0000-0000-000046000000}"/>
    <cellStyle name="Normal 5" xfId="71" xr:uid="{00000000-0005-0000-0000-000047000000}"/>
    <cellStyle name="Normal 6" xfId="72" xr:uid="{00000000-0005-0000-0000-000048000000}"/>
    <cellStyle name="Normal 62" xfId="73" xr:uid="{00000000-0005-0000-0000-000049000000}"/>
    <cellStyle name="Normal 93" xfId="74" xr:uid="{00000000-0005-0000-0000-00004A000000}"/>
    <cellStyle name="Normal_Bahas Darat Rekap 08" xfId="75" xr:uid="{00000000-0005-0000-0000-00004B000000}"/>
    <cellStyle name="Normal_draft rkakl" xfId="76" xr:uid="{00000000-0005-0000-0000-00004C000000}"/>
    <cellStyle name="Normal_Sheet1" xfId="77" xr:uid="{00000000-0005-0000-0000-00004D000000}"/>
    <cellStyle name="Normal_SRT_PSN_BRG" xfId="78" xr:uid="{00000000-0005-0000-0000-00004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EMBAHASAN%202015/PROSES%202015/3.%20PAGU%20ANGGARAN%202015/PEMBAHASAN%202015/PROSES%202015/rkakl-2015/fask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MBAHASAN%202014\LLAJ%202014%20versi%20pagu%20Definitif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upah dan bahan"/>
      <sheetName val="wolo-bts kota kolaka"/>
      <sheetName val="bts kolutkolaka-wolo"/>
      <sheetName val="lasusua-bts kolutkolaka"/>
      <sheetName val="mataompana-sp3 bure"/>
      <sheetName val="lainea-awunio"/>
      <sheetName val="Sp.Kampung baru - Pomalaa"/>
      <sheetName val="Bts Kota Ranomeeto-bandara HO"/>
      <sheetName val="KOTA BAU BAU"/>
      <sheetName val="Pohara bts kota kendari"/>
      <sheetName val="Sheet4"/>
    </sheetNames>
    <sheetDataSet>
      <sheetData sheetId="0" refreshError="1"/>
      <sheetData sheetId="1" refreshError="1"/>
      <sheetData sheetId="2" refreshError="1">
        <row r="11">
          <cell r="D11" t="str">
            <v>Wolo - Batas Kota Kolaka 53,150 Km termasuk Supervisi</v>
          </cell>
        </row>
      </sheetData>
      <sheetData sheetId="3" refreshError="1">
        <row r="11">
          <cell r="D11" t="str">
            <v>Batas Kolaka Utara/Kolaka - Wolo  24,0 Km termasuk Supervisi</v>
          </cell>
        </row>
      </sheetData>
      <sheetData sheetId="4" refreshError="1">
        <row r="11">
          <cell r="D11" t="str">
            <v>Lasusua - Batas Kolaka Utara/Kolaka 54,541 Km termasuk Supervisi</v>
          </cell>
        </row>
      </sheetData>
      <sheetData sheetId="5" refreshError="1">
        <row r="11">
          <cell r="D11" t="str">
            <v>Mataompana - Simpang3 Bure  48,028 Km termasuk Supervisi</v>
          </cell>
        </row>
      </sheetData>
      <sheetData sheetId="6" refreshError="1">
        <row r="11">
          <cell r="D11" t="str">
            <v>Lainea - Awunio  22,803 Km termasuk Supervisi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 Pagu Anggaran"/>
      <sheetName val="REKAP PROP"/>
      <sheetName val="FASKES"/>
      <sheetName val="TERMINAL"/>
      <sheetName val="JEMB.TIMBANG"/>
      <sheetName val="SUBSIDI PERINTIS"/>
      <sheetName val="STUDI LLAJ"/>
      <sheetName val="SOSIALISASI"/>
      <sheetName val="BUS"/>
      <sheetName val="SWKELOLA&amp;OPERASIONAL KANTOR"/>
      <sheetName val="Sheet1"/>
    </sheetNames>
    <sheetDataSet>
      <sheetData sheetId="0">
        <row r="45">
          <cell r="B45" t="str">
            <v>Belanja Uang Honor Tidak Tetap</v>
          </cell>
        </row>
        <row r="2699">
          <cell r="B2699" t="str">
            <v>SATKER DIREKTORAT LLAJ</v>
          </cell>
        </row>
        <row r="5083">
          <cell r="B5083" t="str">
            <v>BPLJSKB BEKASI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K4712"/>
  <sheetViews>
    <sheetView view="pageBreakPreview" zoomScale="60" workbookViewId="0">
      <pane ySplit="2775" topLeftCell="A1339" activePane="bottomLeft"/>
      <selection activeCell="Q1" sqref="Q1:CK1048576"/>
      <selection pane="bottomLeft" activeCell="O1329" sqref="O1329"/>
    </sheetView>
  </sheetViews>
  <sheetFormatPr defaultRowHeight="17.25" customHeight="1" x14ac:dyDescent="0.25"/>
  <cols>
    <col min="1" max="1" width="11.7109375" style="671" customWidth="1"/>
    <col min="2" max="2" width="110.42578125" style="670" customWidth="1"/>
    <col min="3" max="3" width="18.85546875" style="679" customWidth="1"/>
    <col min="4" max="4" width="8.85546875" style="800" customWidth="1"/>
    <col min="5" max="5" width="26.140625" style="801" customWidth="1"/>
    <col min="6" max="6" width="20" style="801" hidden="1" customWidth="1"/>
    <col min="7" max="7" width="16.7109375" style="801" hidden="1" customWidth="1"/>
    <col min="8" max="8" width="23" style="801" hidden="1" customWidth="1"/>
    <col min="9" max="9" width="19.42578125" style="801" hidden="1" customWidth="1"/>
    <col min="10" max="10" width="20.42578125" style="801" hidden="1" customWidth="1"/>
    <col min="11" max="11" width="20.140625" style="801" hidden="1" customWidth="1"/>
    <col min="12" max="12" width="23" style="801" hidden="1" customWidth="1"/>
    <col min="13" max="14" width="22.42578125" style="801" hidden="1" customWidth="1"/>
    <col min="15" max="16" width="27.5703125" style="801" customWidth="1"/>
    <col min="17" max="89" width="9.140625" style="679"/>
    <col min="90" max="16384" width="9.140625" style="670"/>
  </cols>
  <sheetData>
    <row r="1" spans="1:89" ht="30" customHeight="1" x14ac:dyDescent="0.25">
      <c r="A1" s="2038" t="s">
        <v>1897</v>
      </c>
      <c r="B1" s="2038"/>
      <c r="C1" s="2038"/>
      <c r="D1" s="2038"/>
      <c r="E1" s="2038"/>
      <c r="F1" s="2038"/>
      <c r="G1" s="2038"/>
      <c r="H1" s="2038"/>
      <c r="I1" s="2038"/>
      <c r="J1" s="2038"/>
      <c r="K1" s="2038"/>
      <c r="L1" s="2038"/>
      <c r="M1" s="2038"/>
      <c r="N1" s="2038"/>
      <c r="O1" s="2038"/>
      <c r="P1" s="1762"/>
    </row>
    <row r="2" spans="1:89" ht="30" customHeight="1" x14ac:dyDescent="0.25">
      <c r="A2" s="2038" t="s">
        <v>0</v>
      </c>
      <c r="B2" s="2038"/>
      <c r="C2" s="2038"/>
      <c r="D2" s="2038"/>
      <c r="E2" s="2038"/>
      <c r="F2" s="2038"/>
      <c r="G2" s="2038"/>
      <c r="H2" s="2038"/>
      <c r="I2" s="2038"/>
      <c r="J2" s="2038"/>
      <c r="K2" s="2038"/>
      <c r="L2" s="2038"/>
      <c r="M2" s="2038"/>
      <c r="N2" s="2038"/>
      <c r="O2" s="2038"/>
      <c r="P2" s="1762"/>
    </row>
    <row r="3" spans="1:89" ht="30" customHeight="1" x14ac:dyDescent="0.25">
      <c r="A3" s="2038" t="s">
        <v>1896</v>
      </c>
      <c r="B3" s="2038"/>
      <c r="C3" s="2038"/>
      <c r="D3" s="2038"/>
      <c r="E3" s="2038"/>
      <c r="F3" s="2038"/>
      <c r="G3" s="2038"/>
      <c r="H3" s="2038"/>
      <c r="I3" s="2038"/>
      <c r="J3" s="2038"/>
      <c r="K3" s="2038"/>
      <c r="L3" s="2038"/>
      <c r="M3" s="2038"/>
      <c r="N3" s="2038"/>
      <c r="O3" s="2038"/>
      <c r="P3" s="1762"/>
    </row>
    <row r="4" spans="1:89" ht="30" customHeight="1" x14ac:dyDescent="0.25">
      <c r="A4" s="2038" t="s">
        <v>2337</v>
      </c>
      <c r="B4" s="2038"/>
      <c r="C4" s="2038"/>
      <c r="D4" s="2038"/>
      <c r="E4" s="2038"/>
      <c r="F4" s="2038"/>
      <c r="G4" s="2038"/>
      <c r="H4" s="2038"/>
      <c r="I4" s="2038"/>
      <c r="J4" s="2038"/>
      <c r="K4" s="2038"/>
      <c r="L4" s="2038"/>
      <c r="M4" s="2038"/>
      <c r="N4" s="2038"/>
      <c r="O4" s="2038"/>
      <c r="P4" s="1762"/>
    </row>
    <row r="5" spans="1:89" ht="13.5" customHeight="1" x14ac:dyDescent="0.25">
      <c r="A5" s="799"/>
      <c r="B5" s="799"/>
      <c r="C5" s="799"/>
      <c r="D5" s="799"/>
      <c r="E5" s="799"/>
      <c r="F5" s="799"/>
      <c r="G5" s="799"/>
      <c r="H5" s="799"/>
      <c r="I5" s="799"/>
      <c r="J5" s="799"/>
      <c r="K5" s="799"/>
      <c r="L5" s="799"/>
      <c r="M5" s="799"/>
      <c r="N5" s="799"/>
      <c r="O5" s="799"/>
      <c r="P5" s="799"/>
    </row>
    <row r="6" spans="1:89" ht="17.25" customHeight="1" thickBot="1" x14ac:dyDescent="0.3">
      <c r="O6" s="802" t="s">
        <v>744</v>
      </c>
      <c r="P6" s="802"/>
    </row>
    <row r="7" spans="1:89" ht="20.25" customHeight="1" x14ac:dyDescent="0.25">
      <c r="A7" s="2039" t="s">
        <v>1</v>
      </c>
      <c r="B7" s="2024" t="s">
        <v>8</v>
      </c>
      <c r="C7" s="2030" t="s">
        <v>2</v>
      </c>
      <c r="D7" s="2031"/>
      <c r="E7" s="2027" t="s">
        <v>3</v>
      </c>
      <c r="F7" s="2052" t="s">
        <v>4</v>
      </c>
      <c r="G7" s="2053"/>
      <c r="H7" s="2053"/>
      <c r="I7" s="2053" t="s">
        <v>5</v>
      </c>
      <c r="J7" s="2053"/>
      <c r="K7" s="2053"/>
      <c r="L7" s="2042" t="s">
        <v>6</v>
      </c>
      <c r="M7" s="2043"/>
      <c r="N7" s="2044"/>
      <c r="O7" s="2047" t="s">
        <v>7</v>
      </c>
      <c r="P7" s="803"/>
    </row>
    <row r="8" spans="1:89" ht="17.25" customHeight="1" x14ac:dyDescent="0.25">
      <c r="A8" s="2040"/>
      <c r="B8" s="2025"/>
      <c r="C8" s="2032"/>
      <c r="D8" s="2033"/>
      <c r="E8" s="2028"/>
      <c r="F8" s="2054" t="s">
        <v>9</v>
      </c>
      <c r="G8" s="2045" t="s">
        <v>10</v>
      </c>
      <c r="H8" s="2036" t="s">
        <v>11</v>
      </c>
      <c r="I8" s="2036" t="s">
        <v>9</v>
      </c>
      <c r="J8" s="2045" t="s">
        <v>10</v>
      </c>
      <c r="K8" s="2036" t="s">
        <v>11</v>
      </c>
      <c r="L8" s="2054" t="s">
        <v>12</v>
      </c>
      <c r="M8" s="2036" t="s">
        <v>13</v>
      </c>
      <c r="N8" s="2050" t="s">
        <v>11</v>
      </c>
      <c r="O8" s="2048"/>
      <c r="P8" s="803"/>
    </row>
    <row r="9" spans="1:89" ht="36.75" customHeight="1" thickBot="1" x14ac:dyDescent="0.3">
      <c r="A9" s="2041"/>
      <c r="B9" s="2026"/>
      <c r="C9" s="2034"/>
      <c r="D9" s="2035"/>
      <c r="E9" s="2029"/>
      <c r="F9" s="2055"/>
      <c r="G9" s="2046"/>
      <c r="H9" s="2037"/>
      <c r="I9" s="2037"/>
      <c r="J9" s="2046"/>
      <c r="K9" s="2037"/>
      <c r="L9" s="2055"/>
      <c r="M9" s="2037"/>
      <c r="N9" s="2051"/>
      <c r="O9" s="2049"/>
      <c r="P9" s="804"/>
    </row>
    <row r="10" spans="1:89" s="671" customFormat="1" ht="17.25" customHeight="1" x14ac:dyDescent="0.25">
      <c r="A10" s="806"/>
      <c r="B10" s="807"/>
      <c r="C10" s="808"/>
      <c r="D10" s="809"/>
      <c r="E10" s="810"/>
      <c r="F10" s="811"/>
      <c r="G10" s="812"/>
      <c r="H10" s="811"/>
      <c r="I10" s="811"/>
      <c r="J10" s="811"/>
      <c r="K10" s="811"/>
      <c r="L10" s="811"/>
      <c r="M10" s="811"/>
      <c r="N10" s="810"/>
      <c r="O10" s="813"/>
      <c r="P10" s="814"/>
      <c r="Q10" s="800"/>
      <c r="R10" s="800"/>
      <c r="S10" s="800"/>
      <c r="T10" s="800"/>
      <c r="U10" s="800"/>
      <c r="V10" s="800"/>
      <c r="W10" s="800"/>
      <c r="X10" s="800"/>
      <c r="Y10" s="800"/>
      <c r="Z10" s="800"/>
      <c r="AA10" s="800"/>
      <c r="AB10" s="800"/>
      <c r="AC10" s="800"/>
      <c r="AD10" s="800"/>
      <c r="AE10" s="800"/>
      <c r="AF10" s="800"/>
      <c r="AG10" s="800"/>
      <c r="AH10" s="800"/>
      <c r="AI10" s="800"/>
      <c r="AJ10" s="800"/>
      <c r="AK10" s="800"/>
      <c r="AL10" s="800"/>
      <c r="AM10" s="800"/>
      <c r="AN10" s="800"/>
      <c r="AO10" s="800"/>
      <c r="AP10" s="800"/>
      <c r="AQ10" s="800"/>
      <c r="AR10" s="800"/>
      <c r="AS10" s="800"/>
      <c r="AT10" s="800"/>
      <c r="AU10" s="800"/>
      <c r="AV10" s="800"/>
      <c r="AW10" s="800"/>
      <c r="AX10" s="800"/>
      <c r="AY10" s="800"/>
      <c r="AZ10" s="800"/>
      <c r="BA10" s="800"/>
      <c r="BB10" s="800"/>
      <c r="BC10" s="800"/>
      <c r="BD10" s="800"/>
      <c r="BE10" s="800"/>
      <c r="BF10" s="800"/>
      <c r="BG10" s="800"/>
      <c r="BH10" s="800"/>
      <c r="BI10" s="800"/>
      <c r="BJ10" s="800"/>
      <c r="BK10" s="800"/>
      <c r="BL10" s="800"/>
      <c r="BM10" s="800"/>
      <c r="BN10" s="800"/>
      <c r="BO10" s="800"/>
      <c r="BP10" s="800"/>
      <c r="BQ10" s="800"/>
      <c r="BR10" s="800"/>
      <c r="BS10" s="800"/>
      <c r="BT10" s="800"/>
      <c r="BU10" s="800"/>
      <c r="BV10" s="800"/>
      <c r="BW10" s="800"/>
      <c r="BX10" s="800"/>
      <c r="BY10" s="800"/>
      <c r="BZ10" s="800"/>
      <c r="CA10" s="800"/>
      <c r="CB10" s="800"/>
      <c r="CC10" s="800"/>
      <c r="CD10" s="800"/>
      <c r="CE10" s="800"/>
      <c r="CF10" s="800"/>
      <c r="CG10" s="800"/>
      <c r="CH10" s="800"/>
      <c r="CI10" s="800"/>
      <c r="CJ10" s="800"/>
      <c r="CK10" s="800"/>
    </row>
    <row r="11" spans="1:89" s="672" customFormat="1" ht="21" customHeight="1" x14ac:dyDescent="0.25">
      <c r="A11" s="1210">
        <v>1</v>
      </c>
      <c r="B11" s="1211" t="s">
        <v>14</v>
      </c>
      <c r="C11" s="1212"/>
      <c r="D11" s="1213"/>
      <c r="E11" s="1214"/>
      <c r="F11" s="1214">
        <f>F13+F20+F33</f>
        <v>0</v>
      </c>
      <c r="G11" s="1214">
        <f>G13+G20+G33</f>
        <v>0</v>
      </c>
      <c r="H11" s="1214">
        <f>G11+F11</f>
        <v>0</v>
      </c>
      <c r="I11" s="1214">
        <f>I13+I20+I33</f>
        <v>0</v>
      </c>
      <c r="J11" s="1214">
        <f>J13+J20+J33</f>
        <v>2743160</v>
      </c>
      <c r="K11" s="1214">
        <f>J11+I11</f>
        <v>2743160</v>
      </c>
      <c r="L11" s="1214">
        <f>L13+L20+L33</f>
        <v>7493685</v>
      </c>
      <c r="M11" s="1214">
        <f>M13+M20+M33</f>
        <v>0</v>
      </c>
      <c r="N11" s="1214">
        <f>M11+L11</f>
        <v>7493685</v>
      </c>
      <c r="O11" s="1215">
        <f t="shared" ref="O11:O18" si="0">N11+K11+H11</f>
        <v>10236845</v>
      </c>
      <c r="P11" s="680"/>
      <c r="Q11" s="1581"/>
      <c r="R11" s="1581"/>
      <c r="S11" s="1581"/>
      <c r="T11" s="1581"/>
      <c r="U11" s="1581"/>
      <c r="V11" s="1581"/>
      <c r="W11" s="1581"/>
      <c r="X11" s="1581"/>
      <c r="Y11" s="1581"/>
      <c r="Z11" s="1581"/>
      <c r="AA11" s="1581"/>
      <c r="AB11" s="1581"/>
      <c r="AC11" s="1581"/>
      <c r="AD11" s="1581"/>
      <c r="AE11" s="1581"/>
      <c r="AF11" s="1581"/>
      <c r="AG11" s="1581"/>
      <c r="AH11" s="1581"/>
      <c r="AI11" s="1581"/>
      <c r="AJ11" s="1581"/>
      <c r="AK11" s="1581"/>
      <c r="AL11" s="1581"/>
      <c r="AM11" s="1581"/>
      <c r="AN11" s="1581"/>
      <c r="AO11" s="1581"/>
      <c r="AP11" s="1581"/>
      <c r="AQ11" s="1581"/>
      <c r="AR11" s="1581"/>
      <c r="AS11" s="1581"/>
      <c r="AT11" s="1581"/>
      <c r="AU11" s="1581"/>
      <c r="AV11" s="1581"/>
      <c r="AW11" s="1581"/>
      <c r="AX11" s="1581"/>
      <c r="AY11" s="1581"/>
      <c r="AZ11" s="1581"/>
      <c r="BA11" s="1581"/>
      <c r="BB11" s="1581"/>
      <c r="BC11" s="1581"/>
      <c r="BD11" s="1581"/>
      <c r="BE11" s="1581"/>
      <c r="BF11" s="1581"/>
      <c r="BG11" s="1581"/>
      <c r="BH11" s="1581"/>
      <c r="BI11" s="1581"/>
      <c r="BJ11" s="1581"/>
      <c r="BK11" s="1581"/>
      <c r="BL11" s="1581"/>
      <c r="BM11" s="1581"/>
      <c r="BN11" s="1581"/>
      <c r="BO11" s="1581"/>
      <c r="BP11" s="1581"/>
      <c r="BQ11" s="1581"/>
      <c r="BR11" s="1581"/>
      <c r="BS11" s="1581"/>
      <c r="BT11" s="1581"/>
      <c r="BU11" s="1581"/>
      <c r="BV11" s="1581"/>
      <c r="BW11" s="1581"/>
      <c r="BX11" s="1581"/>
      <c r="BY11" s="1581"/>
      <c r="BZ11" s="1581"/>
      <c r="CA11" s="1581"/>
      <c r="CB11" s="1581"/>
      <c r="CC11" s="1581"/>
      <c r="CD11" s="1581"/>
      <c r="CE11" s="1581"/>
      <c r="CF11" s="1581"/>
      <c r="CG11" s="1581"/>
      <c r="CH11" s="1581"/>
      <c r="CI11" s="1581"/>
      <c r="CJ11" s="1581"/>
      <c r="CK11" s="1581"/>
    </row>
    <row r="12" spans="1:89" ht="17.25" customHeight="1" x14ac:dyDescent="0.25">
      <c r="A12" s="815"/>
      <c r="B12" s="816"/>
      <c r="C12" s="817"/>
      <c r="D12" s="807"/>
      <c r="E12" s="818"/>
      <c r="F12" s="818"/>
      <c r="G12" s="818"/>
      <c r="H12" s="818"/>
      <c r="I12" s="818"/>
      <c r="J12" s="818"/>
      <c r="K12" s="818"/>
      <c r="L12" s="818"/>
      <c r="M12" s="818"/>
      <c r="N12" s="818"/>
      <c r="O12" s="819">
        <f t="shared" si="0"/>
        <v>0</v>
      </c>
      <c r="P12" s="687"/>
    </row>
    <row r="13" spans="1:89" s="673" customFormat="1" ht="33.75" customHeight="1" x14ac:dyDescent="0.25">
      <c r="A13" s="1210" t="s">
        <v>15</v>
      </c>
      <c r="B13" s="1211" t="s">
        <v>1156</v>
      </c>
      <c r="C13" s="1212"/>
      <c r="D13" s="1213"/>
      <c r="E13" s="805"/>
      <c r="F13" s="1214">
        <f>SUM(F14:F19)</f>
        <v>0</v>
      </c>
      <c r="G13" s="1214">
        <f>SUM(G14:G19)</f>
        <v>0</v>
      </c>
      <c r="H13" s="1214">
        <f>G13+F13</f>
        <v>0</v>
      </c>
      <c r="I13" s="1214">
        <f>SUM(I14:I19)</f>
        <v>0</v>
      </c>
      <c r="J13" s="1214">
        <f>SUM(J14:J19)</f>
        <v>0</v>
      </c>
      <c r="K13" s="1214">
        <f>J13+I13</f>
        <v>0</v>
      </c>
      <c r="L13" s="1214">
        <f>SUM(L14:L19)</f>
        <v>7478685</v>
      </c>
      <c r="M13" s="1214">
        <f>SUM(M14:M19)</f>
        <v>0</v>
      </c>
      <c r="N13" s="1214">
        <f t="shared" ref="N13:N18" si="1">M13+L13</f>
        <v>7478685</v>
      </c>
      <c r="O13" s="1215">
        <f t="shared" si="0"/>
        <v>7478685</v>
      </c>
      <c r="P13" s="680"/>
      <c r="Q13" s="783"/>
      <c r="R13" s="783"/>
      <c r="S13" s="783"/>
      <c r="T13" s="783"/>
      <c r="U13" s="783"/>
      <c r="V13" s="783"/>
      <c r="W13" s="783"/>
      <c r="X13" s="783"/>
      <c r="Y13" s="783"/>
      <c r="Z13" s="783"/>
      <c r="AA13" s="783"/>
      <c r="AB13" s="783"/>
      <c r="AC13" s="783"/>
      <c r="AD13" s="783"/>
      <c r="AE13" s="783"/>
      <c r="AF13" s="783"/>
      <c r="AG13" s="783"/>
      <c r="AH13" s="783"/>
      <c r="AI13" s="783"/>
      <c r="AJ13" s="783"/>
      <c r="AK13" s="783"/>
      <c r="AL13" s="783"/>
      <c r="AM13" s="783"/>
      <c r="AN13" s="783"/>
      <c r="AO13" s="783"/>
      <c r="AP13" s="783"/>
      <c r="AQ13" s="783"/>
      <c r="AR13" s="783"/>
      <c r="AS13" s="783"/>
      <c r="AT13" s="783"/>
      <c r="AU13" s="783"/>
      <c r="AV13" s="783"/>
      <c r="AW13" s="783"/>
      <c r="AX13" s="783"/>
      <c r="AY13" s="783"/>
      <c r="AZ13" s="783"/>
      <c r="BA13" s="783"/>
      <c r="BB13" s="783"/>
      <c r="BC13" s="783"/>
      <c r="BD13" s="783"/>
      <c r="BE13" s="783"/>
      <c r="BF13" s="783"/>
      <c r="BG13" s="783"/>
      <c r="BH13" s="783"/>
      <c r="BI13" s="783"/>
      <c r="BJ13" s="783"/>
      <c r="BK13" s="783"/>
      <c r="BL13" s="783"/>
      <c r="BM13" s="783"/>
      <c r="BN13" s="783"/>
      <c r="BO13" s="783"/>
      <c r="BP13" s="783"/>
      <c r="BQ13" s="783"/>
      <c r="BR13" s="783"/>
      <c r="BS13" s="783"/>
      <c r="BT13" s="783"/>
      <c r="BU13" s="783"/>
      <c r="BV13" s="783"/>
      <c r="BW13" s="783"/>
      <c r="BX13" s="783"/>
      <c r="BY13" s="783"/>
      <c r="BZ13" s="783"/>
      <c r="CA13" s="783"/>
      <c r="CB13" s="783"/>
      <c r="CC13" s="783"/>
      <c r="CD13" s="783"/>
      <c r="CE13" s="783"/>
      <c r="CF13" s="783"/>
      <c r="CG13" s="783"/>
      <c r="CH13" s="783"/>
      <c r="CI13" s="783"/>
      <c r="CJ13" s="783"/>
      <c r="CK13" s="783"/>
    </row>
    <row r="14" spans="1:89" s="673" customFormat="1" ht="17.25" customHeight="1" x14ac:dyDescent="0.25">
      <c r="A14" s="681">
        <v>1</v>
      </c>
      <c r="B14" s="1216" t="s">
        <v>574</v>
      </c>
      <c r="C14" s="1217">
        <v>1</v>
      </c>
      <c r="D14" s="1218" t="s">
        <v>16</v>
      </c>
      <c r="E14" s="684">
        <v>1114400</v>
      </c>
      <c r="F14" s="685"/>
      <c r="G14" s="685"/>
      <c r="H14" s="685"/>
      <c r="I14" s="685"/>
      <c r="J14" s="685"/>
      <c r="K14" s="685"/>
      <c r="L14" s="685">
        <f>E14*C14</f>
        <v>1114400</v>
      </c>
      <c r="M14" s="685"/>
      <c r="N14" s="685">
        <f t="shared" si="1"/>
        <v>1114400</v>
      </c>
      <c r="O14" s="686">
        <f t="shared" si="0"/>
        <v>1114400</v>
      </c>
      <c r="P14" s="687"/>
      <c r="Q14" s="783"/>
      <c r="R14" s="783"/>
      <c r="S14" s="783"/>
      <c r="T14" s="783"/>
      <c r="U14" s="783"/>
      <c r="V14" s="783"/>
      <c r="W14" s="783"/>
      <c r="X14" s="783"/>
      <c r="Y14" s="783"/>
      <c r="Z14" s="783"/>
      <c r="AA14" s="783"/>
      <c r="AB14" s="783"/>
      <c r="AC14" s="783"/>
      <c r="AD14" s="783"/>
      <c r="AE14" s="783"/>
      <c r="AF14" s="783"/>
      <c r="AG14" s="783"/>
      <c r="AH14" s="783"/>
      <c r="AI14" s="783"/>
      <c r="AJ14" s="783"/>
      <c r="AK14" s="783"/>
      <c r="AL14" s="783"/>
      <c r="AM14" s="783"/>
      <c r="AN14" s="783"/>
      <c r="AO14" s="783"/>
      <c r="AP14" s="783"/>
      <c r="AQ14" s="783"/>
      <c r="AR14" s="783"/>
      <c r="AS14" s="783"/>
      <c r="AT14" s="783"/>
      <c r="AU14" s="783"/>
      <c r="AV14" s="783"/>
      <c r="AW14" s="783"/>
      <c r="AX14" s="783"/>
      <c r="AY14" s="783"/>
      <c r="AZ14" s="783"/>
      <c r="BA14" s="783"/>
      <c r="BB14" s="783"/>
      <c r="BC14" s="783"/>
      <c r="BD14" s="783"/>
      <c r="BE14" s="783"/>
      <c r="BF14" s="783"/>
      <c r="BG14" s="783"/>
      <c r="BH14" s="783"/>
      <c r="BI14" s="783"/>
      <c r="BJ14" s="783"/>
      <c r="BK14" s="783"/>
      <c r="BL14" s="783"/>
      <c r="BM14" s="783"/>
      <c r="BN14" s="783"/>
      <c r="BO14" s="783"/>
      <c r="BP14" s="783"/>
      <c r="BQ14" s="783"/>
      <c r="BR14" s="783"/>
      <c r="BS14" s="783"/>
      <c r="BT14" s="783"/>
      <c r="BU14" s="783"/>
      <c r="BV14" s="783"/>
      <c r="BW14" s="783"/>
      <c r="BX14" s="783"/>
      <c r="BY14" s="783"/>
      <c r="BZ14" s="783"/>
      <c r="CA14" s="783"/>
      <c r="CB14" s="783"/>
      <c r="CC14" s="783"/>
      <c r="CD14" s="783"/>
      <c r="CE14" s="783"/>
      <c r="CF14" s="783"/>
      <c r="CG14" s="783"/>
      <c r="CH14" s="783"/>
      <c r="CI14" s="783"/>
      <c r="CJ14" s="783"/>
      <c r="CK14" s="783"/>
    </row>
    <row r="15" spans="1:89" s="673" customFormat="1" ht="17.25" customHeight="1" x14ac:dyDescent="0.25">
      <c r="A15" s="692">
        <v>2</v>
      </c>
      <c r="B15" s="1219" t="s">
        <v>572</v>
      </c>
      <c r="C15" s="1220">
        <v>1</v>
      </c>
      <c r="D15" s="1221" t="s">
        <v>16</v>
      </c>
      <c r="E15" s="714">
        <v>1678980</v>
      </c>
      <c r="F15" s="695"/>
      <c r="G15" s="695"/>
      <c r="H15" s="695"/>
      <c r="I15" s="695"/>
      <c r="J15" s="695"/>
      <c r="K15" s="695"/>
      <c r="L15" s="695">
        <f>E15*C15</f>
        <v>1678980</v>
      </c>
      <c r="M15" s="695"/>
      <c r="N15" s="695">
        <f t="shared" si="1"/>
        <v>1678980</v>
      </c>
      <c r="O15" s="696">
        <f t="shared" si="0"/>
        <v>1678980</v>
      </c>
      <c r="P15" s="687"/>
      <c r="Q15" s="783"/>
      <c r="R15" s="783"/>
      <c r="S15" s="783"/>
      <c r="T15" s="783"/>
      <c r="U15" s="783"/>
      <c r="V15" s="783"/>
      <c r="W15" s="783"/>
      <c r="X15" s="783"/>
      <c r="Y15" s="783"/>
      <c r="Z15" s="783"/>
      <c r="AA15" s="783"/>
      <c r="AB15" s="783"/>
      <c r="AC15" s="783"/>
      <c r="AD15" s="783"/>
      <c r="AE15" s="783"/>
      <c r="AF15" s="783"/>
      <c r="AG15" s="783"/>
      <c r="AH15" s="783"/>
      <c r="AI15" s="783"/>
      <c r="AJ15" s="783"/>
      <c r="AK15" s="783"/>
      <c r="AL15" s="783"/>
      <c r="AM15" s="783"/>
      <c r="AN15" s="783"/>
      <c r="AO15" s="783"/>
      <c r="AP15" s="783"/>
      <c r="AQ15" s="783"/>
      <c r="AR15" s="783"/>
      <c r="AS15" s="783"/>
      <c r="AT15" s="783"/>
      <c r="AU15" s="783"/>
      <c r="AV15" s="783"/>
      <c r="AW15" s="783"/>
      <c r="AX15" s="783"/>
      <c r="AY15" s="783"/>
      <c r="AZ15" s="783"/>
      <c r="BA15" s="783"/>
      <c r="BB15" s="783"/>
      <c r="BC15" s="783"/>
      <c r="BD15" s="783"/>
      <c r="BE15" s="783"/>
      <c r="BF15" s="783"/>
      <c r="BG15" s="783"/>
      <c r="BH15" s="783"/>
      <c r="BI15" s="783"/>
      <c r="BJ15" s="783"/>
      <c r="BK15" s="783"/>
      <c r="BL15" s="783"/>
      <c r="BM15" s="783"/>
      <c r="BN15" s="783"/>
      <c r="BO15" s="783"/>
      <c r="BP15" s="783"/>
      <c r="BQ15" s="783"/>
      <c r="BR15" s="783"/>
      <c r="BS15" s="783"/>
      <c r="BT15" s="783"/>
      <c r="BU15" s="783"/>
      <c r="BV15" s="783"/>
      <c r="BW15" s="783"/>
      <c r="BX15" s="783"/>
      <c r="BY15" s="783"/>
      <c r="BZ15" s="783"/>
      <c r="CA15" s="783"/>
      <c r="CB15" s="783"/>
      <c r="CC15" s="783"/>
      <c r="CD15" s="783"/>
      <c r="CE15" s="783"/>
      <c r="CF15" s="783"/>
      <c r="CG15" s="783"/>
      <c r="CH15" s="783"/>
      <c r="CI15" s="783"/>
      <c r="CJ15" s="783"/>
      <c r="CK15" s="783"/>
    </row>
    <row r="16" spans="1:89" s="673" customFormat="1" ht="17.25" customHeight="1" x14ac:dyDescent="0.25">
      <c r="A16" s="692">
        <v>3</v>
      </c>
      <c r="B16" s="674" t="s">
        <v>1784</v>
      </c>
      <c r="C16" s="1220">
        <v>1</v>
      </c>
      <c r="D16" s="1221" t="s">
        <v>16</v>
      </c>
      <c r="E16" s="714">
        <f>1296162</f>
        <v>1296162</v>
      </c>
      <c r="F16" s="695"/>
      <c r="G16" s="695"/>
      <c r="H16" s="695"/>
      <c r="I16" s="695"/>
      <c r="J16" s="695"/>
      <c r="K16" s="695"/>
      <c r="L16" s="695">
        <f>E16*C16</f>
        <v>1296162</v>
      </c>
      <c r="M16" s="695"/>
      <c r="N16" s="695">
        <f t="shared" si="1"/>
        <v>1296162</v>
      </c>
      <c r="O16" s="696">
        <f t="shared" si="0"/>
        <v>1296162</v>
      </c>
      <c r="P16" s="687"/>
      <c r="Q16" s="783"/>
      <c r="R16" s="783"/>
      <c r="S16" s="783"/>
      <c r="T16" s="783"/>
      <c r="U16" s="783"/>
      <c r="V16" s="783"/>
      <c r="W16" s="783"/>
      <c r="X16" s="783"/>
      <c r="Y16" s="783"/>
      <c r="Z16" s="783"/>
      <c r="AA16" s="783"/>
      <c r="AB16" s="783"/>
      <c r="AC16" s="783"/>
      <c r="AD16" s="783"/>
      <c r="AE16" s="783"/>
      <c r="AF16" s="783"/>
      <c r="AG16" s="783"/>
      <c r="AH16" s="783"/>
      <c r="AI16" s="783"/>
      <c r="AJ16" s="783"/>
      <c r="AK16" s="783"/>
      <c r="AL16" s="783"/>
      <c r="AM16" s="783"/>
      <c r="AN16" s="783"/>
      <c r="AO16" s="783"/>
      <c r="AP16" s="783"/>
      <c r="AQ16" s="783"/>
      <c r="AR16" s="783"/>
      <c r="AS16" s="783"/>
      <c r="AT16" s="783"/>
      <c r="AU16" s="783"/>
      <c r="AV16" s="783"/>
      <c r="AW16" s="783"/>
      <c r="AX16" s="783"/>
      <c r="AY16" s="783"/>
      <c r="AZ16" s="783"/>
      <c r="BA16" s="783"/>
      <c r="BB16" s="783"/>
      <c r="BC16" s="783"/>
      <c r="BD16" s="783"/>
      <c r="BE16" s="783"/>
      <c r="BF16" s="783"/>
      <c r="BG16" s="783"/>
      <c r="BH16" s="783"/>
      <c r="BI16" s="783"/>
      <c r="BJ16" s="783"/>
      <c r="BK16" s="783"/>
      <c r="BL16" s="783"/>
      <c r="BM16" s="783"/>
      <c r="BN16" s="783"/>
      <c r="BO16" s="783"/>
      <c r="BP16" s="783"/>
      <c r="BQ16" s="783"/>
      <c r="BR16" s="783"/>
      <c r="BS16" s="783"/>
      <c r="BT16" s="783"/>
      <c r="BU16" s="783"/>
      <c r="BV16" s="783"/>
      <c r="BW16" s="783"/>
      <c r="BX16" s="783"/>
      <c r="BY16" s="783"/>
      <c r="BZ16" s="783"/>
      <c r="CA16" s="783"/>
      <c r="CB16" s="783"/>
      <c r="CC16" s="783"/>
      <c r="CD16" s="783"/>
      <c r="CE16" s="783"/>
      <c r="CF16" s="783"/>
      <c r="CG16" s="783"/>
      <c r="CH16" s="783"/>
      <c r="CI16" s="783"/>
      <c r="CJ16" s="783"/>
      <c r="CK16" s="783"/>
    </row>
    <row r="17" spans="1:89" s="673" customFormat="1" ht="17.25" customHeight="1" x14ac:dyDescent="0.25">
      <c r="A17" s="692">
        <v>4</v>
      </c>
      <c r="B17" s="1219" t="s">
        <v>1484</v>
      </c>
      <c r="C17" s="1220">
        <v>1</v>
      </c>
      <c r="D17" s="1221" t="s">
        <v>16</v>
      </c>
      <c r="E17" s="1222">
        <f>1210207+500000</f>
        <v>1710207</v>
      </c>
      <c r="F17" s="695"/>
      <c r="G17" s="695"/>
      <c r="H17" s="695"/>
      <c r="I17" s="695"/>
      <c r="J17" s="695"/>
      <c r="K17" s="695"/>
      <c r="L17" s="695">
        <f>E17*C17</f>
        <v>1710207</v>
      </c>
      <c r="M17" s="695"/>
      <c r="N17" s="695">
        <f t="shared" si="1"/>
        <v>1710207</v>
      </c>
      <c r="O17" s="696">
        <f t="shared" si="0"/>
        <v>1710207</v>
      </c>
      <c r="P17" s="687"/>
      <c r="Q17" s="783"/>
      <c r="R17" s="783"/>
      <c r="S17" s="783"/>
      <c r="T17" s="783"/>
      <c r="U17" s="783"/>
      <c r="V17" s="783"/>
      <c r="W17" s="783"/>
      <c r="X17" s="783"/>
      <c r="Y17" s="783"/>
      <c r="Z17" s="783"/>
      <c r="AA17" s="783"/>
      <c r="AB17" s="783"/>
      <c r="AC17" s="783"/>
      <c r="AD17" s="783"/>
      <c r="AE17" s="783"/>
      <c r="AF17" s="783"/>
      <c r="AG17" s="783"/>
      <c r="AH17" s="783"/>
      <c r="AI17" s="783"/>
      <c r="AJ17" s="783"/>
      <c r="AK17" s="783"/>
      <c r="AL17" s="783"/>
      <c r="AM17" s="783"/>
      <c r="AN17" s="783"/>
      <c r="AO17" s="783"/>
      <c r="AP17" s="783"/>
      <c r="AQ17" s="783"/>
      <c r="AR17" s="783"/>
      <c r="AS17" s="783"/>
      <c r="AT17" s="783"/>
      <c r="AU17" s="783"/>
      <c r="AV17" s="783"/>
      <c r="AW17" s="783"/>
      <c r="AX17" s="783"/>
      <c r="AY17" s="783"/>
      <c r="AZ17" s="783"/>
      <c r="BA17" s="783"/>
      <c r="BB17" s="783"/>
      <c r="BC17" s="783"/>
      <c r="BD17" s="783"/>
      <c r="BE17" s="783"/>
      <c r="BF17" s="783"/>
      <c r="BG17" s="783"/>
      <c r="BH17" s="783"/>
      <c r="BI17" s="783"/>
      <c r="BJ17" s="783"/>
      <c r="BK17" s="783"/>
      <c r="BL17" s="783"/>
      <c r="BM17" s="783"/>
      <c r="BN17" s="783"/>
      <c r="BO17" s="783"/>
      <c r="BP17" s="783"/>
      <c r="BQ17" s="783"/>
      <c r="BR17" s="783"/>
      <c r="BS17" s="783"/>
      <c r="BT17" s="783"/>
      <c r="BU17" s="783"/>
      <c r="BV17" s="783"/>
      <c r="BW17" s="783"/>
      <c r="BX17" s="783"/>
      <c r="BY17" s="783"/>
      <c r="BZ17" s="783"/>
      <c r="CA17" s="783"/>
      <c r="CB17" s="783"/>
      <c r="CC17" s="783"/>
      <c r="CD17" s="783"/>
      <c r="CE17" s="783"/>
      <c r="CF17" s="783"/>
      <c r="CG17" s="783"/>
      <c r="CH17" s="783"/>
      <c r="CI17" s="783"/>
      <c r="CJ17" s="783"/>
      <c r="CK17" s="783"/>
    </row>
    <row r="18" spans="1:89" s="673" customFormat="1" ht="17.25" customHeight="1" x14ac:dyDescent="0.25">
      <c r="A18" s="692">
        <v>5</v>
      </c>
      <c r="B18" s="1219" t="s">
        <v>573</v>
      </c>
      <c r="C18" s="1220">
        <v>1</v>
      </c>
      <c r="D18" s="1221" t="s">
        <v>16</v>
      </c>
      <c r="E18" s="1222">
        <f>1178936+500000</f>
        <v>1678936</v>
      </c>
      <c r="F18" s="695"/>
      <c r="G18" s="695"/>
      <c r="H18" s="695"/>
      <c r="I18" s="695"/>
      <c r="J18" s="695"/>
      <c r="K18" s="695"/>
      <c r="L18" s="695">
        <f>E18*C18</f>
        <v>1678936</v>
      </c>
      <c r="M18" s="695"/>
      <c r="N18" s="695">
        <f t="shared" si="1"/>
        <v>1678936</v>
      </c>
      <c r="O18" s="696">
        <f t="shared" si="0"/>
        <v>1678936</v>
      </c>
      <c r="P18" s="687"/>
      <c r="Q18" s="783"/>
      <c r="R18" s="783"/>
      <c r="S18" s="783"/>
      <c r="T18" s="783"/>
      <c r="U18" s="783"/>
      <c r="V18" s="783"/>
      <c r="W18" s="783"/>
      <c r="X18" s="783"/>
      <c r="Y18" s="783"/>
      <c r="Z18" s="783"/>
      <c r="AA18" s="783"/>
      <c r="AB18" s="783"/>
      <c r="AC18" s="783"/>
      <c r="AD18" s="783"/>
      <c r="AE18" s="783"/>
      <c r="AF18" s="783"/>
      <c r="AG18" s="783"/>
      <c r="AH18" s="783"/>
      <c r="AI18" s="783"/>
      <c r="AJ18" s="783"/>
      <c r="AK18" s="783"/>
      <c r="AL18" s="783"/>
      <c r="AM18" s="783"/>
      <c r="AN18" s="783"/>
      <c r="AO18" s="783"/>
      <c r="AP18" s="783"/>
      <c r="AQ18" s="783"/>
      <c r="AR18" s="783"/>
      <c r="AS18" s="783"/>
      <c r="AT18" s="783"/>
      <c r="AU18" s="783"/>
      <c r="AV18" s="783"/>
      <c r="AW18" s="783"/>
      <c r="AX18" s="783"/>
      <c r="AY18" s="783"/>
      <c r="AZ18" s="783"/>
      <c r="BA18" s="783"/>
      <c r="BB18" s="783"/>
      <c r="BC18" s="783"/>
      <c r="BD18" s="783"/>
      <c r="BE18" s="783"/>
      <c r="BF18" s="783"/>
      <c r="BG18" s="783"/>
      <c r="BH18" s="783"/>
      <c r="BI18" s="783"/>
      <c r="BJ18" s="783"/>
      <c r="BK18" s="783"/>
      <c r="BL18" s="783"/>
      <c r="BM18" s="783"/>
      <c r="BN18" s="783"/>
      <c r="BO18" s="783"/>
      <c r="BP18" s="783"/>
      <c r="BQ18" s="783"/>
      <c r="BR18" s="783"/>
      <c r="BS18" s="783"/>
      <c r="BT18" s="783"/>
      <c r="BU18" s="783"/>
      <c r="BV18" s="783"/>
      <c r="BW18" s="783"/>
      <c r="BX18" s="783"/>
      <c r="BY18" s="783"/>
      <c r="BZ18" s="783"/>
      <c r="CA18" s="783"/>
      <c r="CB18" s="783"/>
      <c r="CC18" s="783"/>
      <c r="CD18" s="783"/>
      <c r="CE18" s="783"/>
      <c r="CF18" s="783"/>
      <c r="CG18" s="783"/>
      <c r="CH18" s="783"/>
      <c r="CI18" s="783"/>
      <c r="CJ18" s="783"/>
      <c r="CK18" s="783"/>
    </row>
    <row r="19" spans="1:89" s="673" customFormat="1" ht="17.25" customHeight="1" x14ac:dyDescent="0.25">
      <c r="A19" s="820"/>
      <c r="B19" s="1223"/>
      <c r="C19" s="1224"/>
      <c r="D19" s="1225"/>
      <c r="E19" s="1226"/>
      <c r="F19" s="821"/>
      <c r="G19" s="821"/>
      <c r="H19" s="821"/>
      <c r="I19" s="821"/>
      <c r="J19" s="821"/>
      <c r="K19" s="821"/>
      <c r="L19" s="821"/>
      <c r="M19" s="821"/>
      <c r="N19" s="821"/>
      <c r="O19" s="822"/>
      <c r="P19" s="687"/>
      <c r="Q19" s="783"/>
      <c r="R19" s="783"/>
      <c r="S19" s="783"/>
      <c r="T19" s="783"/>
      <c r="U19" s="783"/>
      <c r="V19" s="783"/>
      <c r="W19" s="783"/>
      <c r="X19" s="783"/>
      <c r="Y19" s="783"/>
      <c r="Z19" s="783"/>
      <c r="AA19" s="783"/>
      <c r="AB19" s="783"/>
      <c r="AC19" s="783"/>
      <c r="AD19" s="783"/>
      <c r="AE19" s="783"/>
      <c r="AF19" s="783"/>
      <c r="AG19" s="783"/>
      <c r="AH19" s="783"/>
      <c r="AI19" s="783"/>
      <c r="AJ19" s="783"/>
      <c r="AK19" s="783"/>
      <c r="AL19" s="783"/>
      <c r="AM19" s="783"/>
      <c r="AN19" s="783"/>
      <c r="AO19" s="783"/>
      <c r="AP19" s="783"/>
      <c r="AQ19" s="783"/>
      <c r="AR19" s="783"/>
      <c r="AS19" s="783"/>
      <c r="AT19" s="783"/>
      <c r="AU19" s="783"/>
      <c r="AV19" s="783"/>
      <c r="AW19" s="783"/>
      <c r="AX19" s="783"/>
      <c r="AY19" s="783"/>
      <c r="AZ19" s="783"/>
      <c r="BA19" s="783"/>
      <c r="BB19" s="783"/>
      <c r="BC19" s="783"/>
      <c r="BD19" s="783"/>
      <c r="BE19" s="783"/>
      <c r="BF19" s="783"/>
      <c r="BG19" s="783"/>
      <c r="BH19" s="783"/>
      <c r="BI19" s="783"/>
      <c r="BJ19" s="783"/>
      <c r="BK19" s="783"/>
      <c r="BL19" s="783"/>
      <c r="BM19" s="783"/>
      <c r="BN19" s="783"/>
      <c r="BO19" s="783"/>
      <c r="BP19" s="783"/>
      <c r="BQ19" s="783"/>
      <c r="BR19" s="783"/>
      <c r="BS19" s="783"/>
      <c r="BT19" s="783"/>
      <c r="BU19" s="783"/>
      <c r="BV19" s="783"/>
      <c r="BW19" s="783"/>
      <c r="BX19" s="783"/>
      <c r="BY19" s="783"/>
      <c r="BZ19" s="783"/>
      <c r="CA19" s="783"/>
      <c r="CB19" s="783"/>
      <c r="CC19" s="783"/>
      <c r="CD19" s="783"/>
      <c r="CE19" s="783"/>
      <c r="CF19" s="783"/>
      <c r="CG19" s="783"/>
      <c r="CH19" s="783"/>
      <c r="CI19" s="783"/>
      <c r="CJ19" s="783"/>
      <c r="CK19" s="783"/>
    </row>
    <row r="20" spans="1:89" s="672" customFormat="1" ht="17.25" customHeight="1" x14ac:dyDescent="0.25">
      <c r="A20" s="1227" t="s">
        <v>22</v>
      </c>
      <c r="B20" s="1228" t="s">
        <v>23</v>
      </c>
      <c r="C20" s="1229"/>
      <c r="D20" s="1230"/>
      <c r="E20" s="1214"/>
      <c r="F20" s="1231">
        <f>SUM(F21:F31)</f>
        <v>0</v>
      </c>
      <c r="G20" s="1231">
        <f>SUM(G21:G31)</f>
        <v>0</v>
      </c>
      <c r="H20" s="1231">
        <f>F20+G20</f>
        <v>0</v>
      </c>
      <c r="I20" s="1231">
        <f>SUM(I21:I31)</f>
        <v>0</v>
      </c>
      <c r="J20" s="1231">
        <f>SUM(J21:J31)</f>
        <v>2178800</v>
      </c>
      <c r="K20" s="1231">
        <f>I20+J20</f>
        <v>2178800</v>
      </c>
      <c r="L20" s="1231">
        <f>SUM(L21:L31)</f>
        <v>0</v>
      </c>
      <c r="M20" s="1231">
        <f>SUM(M21:M31)</f>
        <v>0</v>
      </c>
      <c r="N20" s="1231">
        <f>L20+M20</f>
        <v>0</v>
      </c>
      <c r="O20" s="1232">
        <f t="shared" ref="O20:O28" si="2">N20+K20+H20</f>
        <v>2178800</v>
      </c>
      <c r="P20" s="823"/>
      <c r="Q20" s="1581"/>
      <c r="R20" s="1581"/>
      <c r="S20" s="1581"/>
      <c r="T20" s="1581"/>
      <c r="U20" s="1581"/>
      <c r="V20" s="1581"/>
      <c r="W20" s="1581"/>
      <c r="X20" s="1581"/>
      <c r="Y20" s="1581"/>
      <c r="Z20" s="1581"/>
      <c r="AA20" s="1581"/>
      <c r="AB20" s="1581"/>
      <c r="AC20" s="1581"/>
      <c r="AD20" s="1581"/>
      <c r="AE20" s="1581"/>
      <c r="AF20" s="1581"/>
      <c r="AG20" s="1581"/>
      <c r="AH20" s="1581"/>
      <c r="AI20" s="1581"/>
      <c r="AJ20" s="1581"/>
      <c r="AK20" s="1581"/>
      <c r="AL20" s="1581"/>
      <c r="AM20" s="1581"/>
      <c r="AN20" s="1581"/>
      <c r="AO20" s="1581"/>
      <c r="AP20" s="1581"/>
      <c r="AQ20" s="1581"/>
      <c r="AR20" s="1581"/>
      <c r="AS20" s="1581"/>
      <c r="AT20" s="1581"/>
      <c r="AU20" s="1581"/>
      <c r="AV20" s="1581"/>
      <c r="AW20" s="1581"/>
      <c r="AX20" s="1581"/>
      <c r="AY20" s="1581"/>
      <c r="AZ20" s="1581"/>
      <c r="BA20" s="1581"/>
      <c r="BB20" s="1581"/>
      <c r="BC20" s="1581"/>
      <c r="BD20" s="1581"/>
      <c r="BE20" s="1581"/>
      <c r="BF20" s="1581"/>
      <c r="BG20" s="1581"/>
      <c r="BH20" s="1581"/>
      <c r="BI20" s="1581"/>
      <c r="BJ20" s="1581"/>
      <c r="BK20" s="1581"/>
      <c r="BL20" s="1581"/>
      <c r="BM20" s="1581"/>
      <c r="BN20" s="1581"/>
      <c r="BO20" s="1581"/>
      <c r="BP20" s="1581"/>
      <c r="BQ20" s="1581"/>
      <c r="BR20" s="1581"/>
      <c r="BS20" s="1581"/>
      <c r="BT20" s="1581"/>
      <c r="BU20" s="1581"/>
      <c r="BV20" s="1581"/>
      <c r="BW20" s="1581"/>
      <c r="BX20" s="1581"/>
      <c r="BY20" s="1581"/>
      <c r="BZ20" s="1581"/>
      <c r="CA20" s="1581"/>
      <c r="CB20" s="1581"/>
      <c r="CC20" s="1581"/>
      <c r="CD20" s="1581"/>
      <c r="CE20" s="1581"/>
      <c r="CF20" s="1581"/>
      <c r="CG20" s="1581"/>
      <c r="CH20" s="1581"/>
      <c r="CI20" s="1581"/>
      <c r="CJ20" s="1581"/>
      <c r="CK20" s="1581"/>
    </row>
    <row r="21" spans="1:89" ht="17.25" customHeight="1" x14ac:dyDescent="0.25">
      <c r="A21" s="1233">
        <v>1</v>
      </c>
      <c r="B21" s="824" t="s">
        <v>21</v>
      </c>
      <c r="C21" s="1234"/>
      <c r="D21" s="1235"/>
      <c r="E21" s="685"/>
      <c r="F21" s="825"/>
      <c r="G21" s="825"/>
      <c r="H21" s="825"/>
      <c r="I21" s="825"/>
      <c r="J21" s="825"/>
      <c r="K21" s="825"/>
      <c r="L21" s="825"/>
      <c r="M21" s="825"/>
      <c r="N21" s="825"/>
      <c r="O21" s="826">
        <f t="shared" si="2"/>
        <v>0</v>
      </c>
      <c r="P21" s="702"/>
    </row>
    <row r="22" spans="1:89" s="672" customFormat="1" ht="17.25" customHeight="1" x14ac:dyDescent="0.25">
      <c r="A22" s="697"/>
      <c r="B22" s="757" t="s">
        <v>24</v>
      </c>
      <c r="C22" s="827">
        <v>1</v>
      </c>
      <c r="D22" s="716" t="s">
        <v>25</v>
      </c>
      <c r="E22" s="695">
        <v>2128800</v>
      </c>
      <c r="F22" s="700"/>
      <c r="G22" s="700"/>
      <c r="H22" s="700"/>
      <c r="I22" s="700"/>
      <c r="J22" s="700">
        <f>E22*C22</f>
        <v>2128800</v>
      </c>
      <c r="K22" s="700">
        <f>I22+J22</f>
        <v>2128800</v>
      </c>
      <c r="L22" s="700"/>
      <c r="M22" s="700"/>
      <c r="N22" s="700"/>
      <c r="O22" s="701">
        <f t="shared" si="2"/>
        <v>2128800</v>
      </c>
      <c r="P22" s="702"/>
      <c r="Q22" s="1581"/>
      <c r="R22" s="1581"/>
      <c r="S22" s="1581"/>
      <c r="T22" s="1581"/>
      <c r="U22" s="1581"/>
      <c r="V22" s="1581"/>
      <c r="W22" s="1581"/>
      <c r="X22" s="1581"/>
      <c r="Y22" s="1581"/>
      <c r="Z22" s="1581"/>
      <c r="AA22" s="1581"/>
      <c r="AB22" s="1581"/>
      <c r="AC22" s="1581"/>
      <c r="AD22" s="1581"/>
      <c r="AE22" s="1581"/>
      <c r="AF22" s="1581"/>
      <c r="AG22" s="1581"/>
      <c r="AH22" s="1581"/>
      <c r="AI22" s="1581"/>
      <c r="AJ22" s="1581"/>
      <c r="AK22" s="1581"/>
      <c r="AL22" s="1581"/>
      <c r="AM22" s="1581"/>
      <c r="AN22" s="1581"/>
      <c r="AO22" s="1581"/>
      <c r="AP22" s="1581"/>
      <c r="AQ22" s="1581"/>
      <c r="AR22" s="1581"/>
      <c r="AS22" s="1581"/>
      <c r="AT22" s="1581"/>
      <c r="AU22" s="1581"/>
      <c r="AV22" s="1581"/>
      <c r="AW22" s="1581"/>
      <c r="AX22" s="1581"/>
      <c r="AY22" s="1581"/>
      <c r="AZ22" s="1581"/>
      <c r="BA22" s="1581"/>
      <c r="BB22" s="1581"/>
      <c r="BC22" s="1581"/>
      <c r="BD22" s="1581"/>
      <c r="BE22" s="1581"/>
      <c r="BF22" s="1581"/>
      <c r="BG22" s="1581"/>
      <c r="BH22" s="1581"/>
      <c r="BI22" s="1581"/>
      <c r="BJ22" s="1581"/>
      <c r="BK22" s="1581"/>
      <c r="BL22" s="1581"/>
      <c r="BM22" s="1581"/>
      <c r="BN22" s="1581"/>
      <c r="BO22" s="1581"/>
      <c r="BP22" s="1581"/>
      <c r="BQ22" s="1581"/>
      <c r="BR22" s="1581"/>
      <c r="BS22" s="1581"/>
      <c r="BT22" s="1581"/>
      <c r="BU22" s="1581"/>
      <c r="BV22" s="1581"/>
      <c r="BW22" s="1581"/>
      <c r="BX22" s="1581"/>
      <c r="BY22" s="1581"/>
      <c r="BZ22" s="1581"/>
      <c r="CA22" s="1581"/>
      <c r="CB22" s="1581"/>
      <c r="CC22" s="1581"/>
      <c r="CD22" s="1581"/>
      <c r="CE22" s="1581"/>
      <c r="CF22" s="1581"/>
      <c r="CG22" s="1581"/>
      <c r="CH22" s="1581"/>
      <c r="CI22" s="1581"/>
      <c r="CJ22" s="1581"/>
      <c r="CK22" s="1581"/>
    </row>
    <row r="23" spans="1:89" ht="17.25" customHeight="1" x14ac:dyDescent="0.25">
      <c r="A23" s="697"/>
      <c r="B23" s="757" t="s">
        <v>1485</v>
      </c>
      <c r="C23" s="827">
        <v>1</v>
      </c>
      <c r="D23" s="716" t="s">
        <v>25</v>
      </c>
      <c r="E23" s="695"/>
      <c r="F23" s="700"/>
      <c r="G23" s="700"/>
      <c r="H23" s="700"/>
      <c r="I23" s="700"/>
      <c r="J23" s="700"/>
      <c r="K23" s="700"/>
      <c r="L23" s="700"/>
      <c r="M23" s="700"/>
      <c r="N23" s="700"/>
      <c r="O23" s="701">
        <f t="shared" si="2"/>
        <v>0</v>
      </c>
      <c r="P23" s="702"/>
    </row>
    <row r="24" spans="1:89" ht="17.25" customHeight="1" x14ac:dyDescent="0.25">
      <c r="A24" s="697"/>
      <c r="B24" s="757" t="s">
        <v>1486</v>
      </c>
      <c r="C24" s="827">
        <v>1</v>
      </c>
      <c r="D24" s="716" t="s">
        <v>25</v>
      </c>
      <c r="E24" s="695"/>
      <c r="F24" s="700"/>
      <c r="G24" s="700"/>
      <c r="H24" s="700"/>
      <c r="I24" s="700"/>
      <c r="J24" s="700"/>
      <c r="K24" s="700"/>
      <c r="L24" s="700"/>
      <c r="M24" s="700"/>
      <c r="N24" s="700"/>
      <c r="O24" s="701">
        <f t="shared" si="2"/>
        <v>0</v>
      </c>
      <c r="P24" s="702"/>
    </row>
    <row r="25" spans="1:89" ht="17.25" customHeight="1" x14ac:dyDescent="0.25">
      <c r="A25" s="697"/>
      <c r="B25" s="757" t="s">
        <v>1487</v>
      </c>
      <c r="C25" s="827">
        <v>1</v>
      </c>
      <c r="D25" s="716" t="s">
        <v>25</v>
      </c>
      <c r="E25" s="695"/>
      <c r="F25" s="700"/>
      <c r="G25" s="700"/>
      <c r="H25" s="700"/>
      <c r="I25" s="700"/>
      <c r="J25" s="700"/>
      <c r="K25" s="700"/>
      <c r="L25" s="700"/>
      <c r="M25" s="700"/>
      <c r="N25" s="700"/>
      <c r="O25" s="701">
        <f t="shared" si="2"/>
        <v>0</v>
      </c>
      <c r="P25" s="702"/>
    </row>
    <row r="26" spans="1:89" ht="17.25" customHeight="1" x14ac:dyDescent="0.25">
      <c r="A26" s="697"/>
      <c r="B26" s="757" t="s">
        <v>1488</v>
      </c>
      <c r="C26" s="827">
        <v>1</v>
      </c>
      <c r="D26" s="716" t="s">
        <v>25</v>
      </c>
      <c r="E26" s="695"/>
      <c r="F26" s="700"/>
      <c r="G26" s="700"/>
      <c r="H26" s="700"/>
      <c r="I26" s="700"/>
      <c r="J26" s="700"/>
      <c r="K26" s="700"/>
      <c r="L26" s="700"/>
      <c r="M26" s="700"/>
      <c r="N26" s="700"/>
      <c r="O26" s="701">
        <f t="shared" si="2"/>
        <v>0</v>
      </c>
      <c r="P26" s="702"/>
    </row>
    <row r="27" spans="1:89" ht="17.25" customHeight="1" x14ac:dyDescent="0.25">
      <c r="A27" s="697"/>
      <c r="B27" s="757" t="s">
        <v>1489</v>
      </c>
      <c r="C27" s="827">
        <v>1</v>
      </c>
      <c r="D27" s="716" t="s">
        <v>25</v>
      </c>
      <c r="E27" s="695"/>
      <c r="F27" s="700"/>
      <c r="G27" s="700"/>
      <c r="H27" s="700"/>
      <c r="I27" s="700"/>
      <c r="J27" s="700"/>
      <c r="K27" s="700"/>
      <c r="L27" s="700"/>
      <c r="M27" s="700"/>
      <c r="N27" s="700"/>
      <c r="O27" s="701">
        <f t="shared" si="2"/>
        <v>0</v>
      </c>
      <c r="P27" s="702"/>
    </row>
    <row r="28" spans="1:89" ht="17.25" customHeight="1" x14ac:dyDescent="0.25">
      <c r="A28" s="692"/>
      <c r="B28" s="1236" t="s">
        <v>1898</v>
      </c>
      <c r="C28" s="693">
        <v>1</v>
      </c>
      <c r="D28" s="727" t="s">
        <v>25</v>
      </c>
      <c r="E28" s="695"/>
      <c r="F28" s="695"/>
      <c r="G28" s="695"/>
      <c r="H28" s="695"/>
      <c r="I28" s="695"/>
      <c r="J28" s="695"/>
      <c r="K28" s="695"/>
      <c r="L28" s="695"/>
      <c r="M28" s="695"/>
      <c r="N28" s="695"/>
      <c r="O28" s="696">
        <f t="shared" si="2"/>
        <v>0</v>
      </c>
      <c r="P28" s="687"/>
    </row>
    <row r="29" spans="1:89" ht="17.25" customHeight="1" x14ac:dyDescent="0.25">
      <c r="A29" s="692"/>
      <c r="B29" s="1237"/>
      <c r="C29" s="693"/>
      <c r="D29" s="727"/>
      <c r="E29" s="695"/>
      <c r="F29" s="695"/>
      <c r="G29" s="695"/>
      <c r="H29" s="695"/>
      <c r="I29" s="695"/>
      <c r="J29" s="695"/>
      <c r="K29" s="695"/>
      <c r="L29" s="695"/>
      <c r="M29" s="695"/>
      <c r="N29" s="695"/>
      <c r="O29" s="696"/>
      <c r="P29" s="687"/>
    </row>
    <row r="30" spans="1:89" ht="17.25" customHeight="1" x14ac:dyDescent="0.25">
      <c r="A30" s="692">
        <v>2</v>
      </c>
      <c r="B30" s="1237" t="s">
        <v>19</v>
      </c>
      <c r="C30" s="693"/>
      <c r="D30" s="727"/>
      <c r="E30" s="695"/>
      <c r="F30" s="695"/>
      <c r="G30" s="695"/>
      <c r="H30" s="695"/>
      <c r="I30" s="695"/>
      <c r="J30" s="695"/>
      <c r="K30" s="695"/>
      <c r="L30" s="695"/>
      <c r="M30" s="695"/>
      <c r="N30" s="695"/>
      <c r="O30" s="696">
        <f>N30+K30+H30</f>
        <v>0</v>
      </c>
      <c r="P30" s="687"/>
    </row>
    <row r="31" spans="1:89" ht="17.25" customHeight="1" x14ac:dyDescent="0.25">
      <c r="A31" s="692"/>
      <c r="B31" s="1237" t="s">
        <v>26</v>
      </c>
      <c r="C31" s="693">
        <v>1</v>
      </c>
      <c r="D31" s="727" t="s">
        <v>25</v>
      </c>
      <c r="E31" s="695">
        <v>50000</v>
      </c>
      <c r="F31" s="695"/>
      <c r="G31" s="695"/>
      <c r="H31" s="695"/>
      <c r="I31" s="695"/>
      <c r="J31" s="695">
        <f>C31*E31</f>
        <v>50000</v>
      </c>
      <c r="K31" s="695">
        <f>I31+J31</f>
        <v>50000</v>
      </c>
      <c r="L31" s="695"/>
      <c r="M31" s="695"/>
      <c r="N31" s="695"/>
      <c r="O31" s="696">
        <f>N31+K31+H31</f>
        <v>50000</v>
      </c>
      <c r="P31" s="687"/>
    </row>
    <row r="32" spans="1:89" ht="17.25" customHeight="1" x14ac:dyDescent="0.25">
      <c r="A32" s="820"/>
      <c r="B32" s="1238"/>
      <c r="C32" s="830"/>
      <c r="D32" s="831"/>
      <c r="E32" s="821"/>
      <c r="F32" s="821"/>
      <c r="G32" s="821"/>
      <c r="H32" s="821"/>
      <c r="I32" s="821"/>
      <c r="J32" s="821"/>
      <c r="K32" s="821"/>
      <c r="L32" s="821"/>
      <c r="M32" s="821"/>
      <c r="N32" s="821"/>
      <c r="O32" s="822"/>
      <c r="P32" s="687"/>
    </row>
    <row r="33" spans="1:89" s="672" customFormat="1" ht="17.25" customHeight="1" x14ac:dyDescent="0.25">
      <c r="A33" s="1210" t="s">
        <v>28</v>
      </c>
      <c r="B33" s="1239" t="s">
        <v>29</v>
      </c>
      <c r="C33" s="1212"/>
      <c r="D33" s="1213"/>
      <c r="E33" s="1214"/>
      <c r="F33" s="1214">
        <f>SUM(F35:F57)</f>
        <v>0</v>
      </c>
      <c r="G33" s="1214">
        <f>SUM(G35:G57)</f>
        <v>0</v>
      </c>
      <c r="H33" s="1214">
        <f>G33+F33</f>
        <v>0</v>
      </c>
      <c r="I33" s="1214">
        <f>SUM(I35:I57)</f>
        <v>0</v>
      </c>
      <c r="J33" s="1214">
        <f>SUM(J35:J57)</f>
        <v>564360</v>
      </c>
      <c r="K33" s="1214">
        <f>J33+I33</f>
        <v>564360</v>
      </c>
      <c r="L33" s="1214">
        <f>SUM(L35:L57)</f>
        <v>15000</v>
      </c>
      <c r="M33" s="1214">
        <f>SUM(M35:M57)</f>
        <v>0</v>
      </c>
      <c r="N33" s="1214">
        <f>M33+L33</f>
        <v>15000</v>
      </c>
      <c r="O33" s="1215">
        <f t="shared" ref="O33:O57" si="3">N33+K33+H33</f>
        <v>579360</v>
      </c>
      <c r="P33" s="680"/>
      <c r="Q33" s="1581"/>
      <c r="R33" s="1581"/>
      <c r="S33" s="1581"/>
      <c r="T33" s="1581"/>
      <c r="U33" s="1581"/>
      <c r="V33" s="1581"/>
      <c r="W33" s="1581"/>
      <c r="X33" s="1581"/>
      <c r="Y33" s="1581"/>
      <c r="Z33" s="1581"/>
      <c r="AA33" s="1581"/>
      <c r="AB33" s="1581"/>
      <c r="AC33" s="1581"/>
      <c r="AD33" s="1581"/>
      <c r="AE33" s="1581"/>
      <c r="AF33" s="1581"/>
      <c r="AG33" s="1581"/>
      <c r="AH33" s="1581"/>
      <c r="AI33" s="1581"/>
      <c r="AJ33" s="1581"/>
      <c r="AK33" s="1581"/>
      <c r="AL33" s="1581"/>
      <c r="AM33" s="1581"/>
      <c r="AN33" s="1581"/>
      <c r="AO33" s="1581"/>
      <c r="AP33" s="1581"/>
      <c r="AQ33" s="1581"/>
      <c r="AR33" s="1581"/>
      <c r="AS33" s="1581"/>
      <c r="AT33" s="1581"/>
      <c r="AU33" s="1581"/>
      <c r="AV33" s="1581"/>
      <c r="AW33" s="1581"/>
      <c r="AX33" s="1581"/>
      <c r="AY33" s="1581"/>
      <c r="AZ33" s="1581"/>
      <c r="BA33" s="1581"/>
      <c r="BB33" s="1581"/>
      <c r="BC33" s="1581"/>
      <c r="BD33" s="1581"/>
      <c r="BE33" s="1581"/>
      <c r="BF33" s="1581"/>
      <c r="BG33" s="1581"/>
      <c r="BH33" s="1581"/>
      <c r="BI33" s="1581"/>
      <c r="BJ33" s="1581"/>
      <c r="BK33" s="1581"/>
      <c r="BL33" s="1581"/>
      <c r="BM33" s="1581"/>
      <c r="BN33" s="1581"/>
      <c r="BO33" s="1581"/>
      <c r="BP33" s="1581"/>
      <c r="BQ33" s="1581"/>
      <c r="BR33" s="1581"/>
      <c r="BS33" s="1581"/>
      <c r="BT33" s="1581"/>
      <c r="BU33" s="1581"/>
      <c r="BV33" s="1581"/>
      <c r="BW33" s="1581"/>
      <c r="BX33" s="1581"/>
      <c r="BY33" s="1581"/>
      <c r="BZ33" s="1581"/>
      <c r="CA33" s="1581"/>
      <c r="CB33" s="1581"/>
      <c r="CC33" s="1581"/>
      <c r="CD33" s="1581"/>
      <c r="CE33" s="1581"/>
      <c r="CF33" s="1581"/>
      <c r="CG33" s="1581"/>
      <c r="CH33" s="1581"/>
      <c r="CI33" s="1581"/>
      <c r="CJ33" s="1581"/>
      <c r="CK33" s="1581"/>
    </row>
    <row r="34" spans="1:89" ht="17.25" customHeight="1" x14ac:dyDescent="0.25">
      <c r="A34" s="681">
        <v>1</v>
      </c>
      <c r="B34" s="1240" t="s">
        <v>19</v>
      </c>
      <c r="C34" s="682"/>
      <c r="D34" s="683"/>
      <c r="E34" s="685"/>
      <c r="F34" s="685"/>
      <c r="G34" s="685"/>
      <c r="H34" s="685"/>
      <c r="I34" s="685"/>
      <c r="J34" s="685"/>
      <c r="K34" s="685"/>
      <c r="L34" s="685"/>
      <c r="M34" s="685"/>
      <c r="N34" s="685"/>
      <c r="O34" s="686">
        <f t="shared" si="3"/>
        <v>0</v>
      </c>
      <c r="P34" s="687"/>
    </row>
    <row r="35" spans="1:89" ht="17.25" customHeight="1" x14ac:dyDescent="0.25">
      <c r="A35" s="692"/>
      <c r="B35" s="1237" t="s">
        <v>30</v>
      </c>
      <c r="C35" s="693">
        <v>12</v>
      </c>
      <c r="D35" s="727" t="s">
        <v>20</v>
      </c>
      <c r="E35" s="695">
        <v>1500</v>
      </c>
      <c r="F35" s="695"/>
      <c r="G35" s="695"/>
      <c r="H35" s="695"/>
      <c r="I35" s="695"/>
      <c r="J35" s="695">
        <f>C35*E35</f>
        <v>18000</v>
      </c>
      <c r="K35" s="695">
        <f>I35+J35</f>
        <v>18000</v>
      </c>
      <c r="L35" s="695"/>
      <c r="M35" s="695"/>
      <c r="N35" s="695"/>
      <c r="O35" s="696">
        <f t="shared" si="3"/>
        <v>18000</v>
      </c>
      <c r="P35" s="687"/>
    </row>
    <row r="36" spans="1:89" ht="17.25" customHeight="1" x14ac:dyDescent="0.25">
      <c r="A36" s="692"/>
      <c r="B36" s="1237" t="s">
        <v>31</v>
      </c>
      <c r="C36" s="693">
        <v>12</v>
      </c>
      <c r="D36" s="727" t="s">
        <v>20</v>
      </c>
      <c r="E36" s="695">
        <v>1200</v>
      </c>
      <c r="F36" s="695"/>
      <c r="G36" s="695"/>
      <c r="H36" s="695"/>
      <c r="I36" s="695"/>
      <c r="J36" s="695">
        <f>C36*E36</f>
        <v>14400</v>
      </c>
      <c r="K36" s="695">
        <f>I36+J36</f>
        <v>14400</v>
      </c>
      <c r="L36" s="695"/>
      <c r="M36" s="695"/>
      <c r="N36" s="695"/>
      <c r="O36" s="696">
        <f t="shared" si="3"/>
        <v>14400</v>
      </c>
      <c r="P36" s="687"/>
    </row>
    <row r="37" spans="1:89" ht="17.25" customHeight="1" x14ac:dyDescent="0.25">
      <c r="A37" s="692"/>
      <c r="B37" s="1241" t="s">
        <v>32</v>
      </c>
      <c r="C37" s="693">
        <v>12</v>
      </c>
      <c r="D37" s="727" t="s">
        <v>20</v>
      </c>
      <c r="E37" s="695">
        <v>1000</v>
      </c>
      <c r="F37" s="695"/>
      <c r="G37" s="695"/>
      <c r="H37" s="695"/>
      <c r="I37" s="695"/>
      <c r="J37" s="695">
        <f>C37*E37</f>
        <v>12000</v>
      </c>
      <c r="K37" s="695">
        <f>I37+J37</f>
        <v>12000</v>
      </c>
      <c r="L37" s="695"/>
      <c r="M37" s="695"/>
      <c r="N37" s="695"/>
      <c r="O37" s="696">
        <f t="shared" si="3"/>
        <v>12000</v>
      </c>
      <c r="P37" s="687"/>
    </row>
    <row r="38" spans="1:89" ht="17.25" customHeight="1" x14ac:dyDescent="0.25">
      <c r="A38" s="692"/>
      <c r="B38" s="1237" t="s">
        <v>33</v>
      </c>
      <c r="C38" s="693">
        <v>60</v>
      </c>
      <c r="D38" s="727" t="s">
        <v>20</v>
      </c>
      <c r="E38" s="695">
        <v>800</v>
      </c>
      <c r="F38" s="695"/>
      <c r="G38" s="695"/>
      <c r="H38" s="695"/>
      <c r="I38" s="695"/>
      <c r="J38" s="695">
        <f>C38*E38</f>
        <v>48000</v>
      </c>
      <c r="K38" s="695">
        <f>I38+J38</f>
        <v>48000</v>
      </c>
      <c r="L38" s="695"/>
      <c r="M38" s="695"/>
      <c r="N38" s="695"/>
      <c r="O38" s="696">
        <f t="shared" si="3"/>
        <v>48000</v>
      </c>
      <c r="P38" s="687"/>
    </row>
    <row r="39" spans="1:89" ht="17.25" customHeight="1" x14ac:dyDescent="0.25">
      <c r="A39" s="692"/>
      <c r="B39" s="1237" t="s">
        <v>34</v>
      </c>
      <c r="C39" s="693"/>
      <c r="D39" s="727"/>
      <c r="E39" s="695"/>
      <c r="F39" s="695"/>
      <c r="G39" s="695"/>
      <c r="H39" s="695"/>
      <c r="I39" s="695"/>
      <c r="J39" s="695"/>
      <c r="K39" s="695"/>
      <c r="L39" s="695"/>
      <c r="M39" s="695"/>
      <c r="N39" s="695"/>
      <c r="O39" s="696">
        <f t="shared" si="3"/>
        <v>0</v>
      </c>
      <c r="P39" s="687"/>
    </row>
    <row r="40" spans="1:89" ht="17.25" customHeight="1" x14ac:dyDescent="0.25">
      <c r="A40" s="692"/>
      <c r="B40" s="1237" t="s">
        <v>35</v>
      </c>
      <c r="C40" s="693">
        <v>12</v>
      </c>
      <c r="D40" s="727" t="s">
        <v>20</v>
      </c>
      <c r="E40" s="695">
        <v>400</v>
      </c>
      <c r="F40" s="695"/>
      <c r="G40" s="695"/>
      <c r="H40" s="695"/>
      <c r="I40" s="695"/>
      <c r="J40" s="695">
        <f>C40*E40</f>
        <v>4800</v>
      </c>
      <c r="K40" s="695">
        <f>I40+J40</f>
        <v>4800</v>
      </c>
      <c r="L40" s="695"/>
      <c r="M40" s="695"/>
      <c r="N40" s="695"/>
      <c r="O40" s="696">
        <f t="shared" si="3"/>
        <v>4800</v>
      </c>
      <c r="P40" s="687"/>
    </row>
    <row r="41" spans="1:89" ht="17.25" customHeight="1" x14ac:dyDescent="0.25">
      <c r="A41" s="692"/>
      <c r="B41" s="1237" t="s">
        <v>36</v>
      </c>
      <c r="C41" s="693">
        <v>36</v>
      </c>
      <c r="D41" s="727" t="s">
        <v>20</v>
      </c>
      <c r="E41" s="695">
        <v>300</v>
      </c>
      <c r="F41" s="695"/>
      <c r="G41" s="695"/>
      <c r="H41" s="695"/>
      <c r="I41" s="695"/>
      <c r="J41" s="695">
        <f>C41*E41</f>
        <v>10800</v>
      </c>
      <c r="K41" s="695">
        <f>I41+J41</f>
        <v>10800</v>
      </c>
      <c r="L41" s="695"/>
      <c r="M41" s="695"/>
      <c r="N41" s="695"/>
      <c r="O41" s="696">
        <f t="shared" si="3"/>
        <v>10800</v>
      </c>
      <c r="P41" s="687"/>
    </row>
    <row r="42" spans="1:89" ht="17.25" customHeight="1" x14ac:dyDescent="0.25">
      <c r="A42" s="692"/>
      <c r="B42" s="1237" t="s">
        <v>37</v>
      </c>
      <c r="C42" s="693">
        <v>12</v>
      </c>
      <c r="D42" s="727" t="s">
        <v>20</v>
      </c>
      <c r="E42" s="695">
        <v>400</v>
      </c>
      <c r="F42" s="714"/>
      <c r="G42" s="714"/>
      <c r="H42" s="714"/>
      <c r="I42" s="714"/>
      <c r="J42" s="695">
        <f>C42*E42</f>
        <v>4800</v>
      </c>
      <c r="K42" s="695">
        <f>I42+J42</f>
        <v>4800</v>
      </c>
      <c r="L42" s="714"/>
      <c r="M42" s="714"/>
      <c r="N42" s="714"/>
      <c r="O42" s="696">
        <f t="shared" si="3"/>
        <v>4800</v>
      </c>
      <c r="P42" s="687"/>
    </row>
    <row r="43" spans="1:89" ht="17.25" customHeight="1" x14ac:dyDescent="0.25">
      <c r="A43" s="692"/>
      <c r="B43" s="1237" t="s">
        <v>38</v>
      </c>
      <c r="C43" s="693">
        <v>1</v>
      </c>
      <c r="D43" s="727" t="s">
        <v>25</v>
      </c>
      <c r="E43" s="695">
        <v>29310</v>
      </c>
      <c r="F43" s="714"/>
      <c r="G43" s="714"/>
      <c r="H43" s="714"/>
      <c r="I43" s="714"/>
      <c r="J43" s="695">
        <f>C43*E43</f>
        <v>29310</v>
      </c>
      <c r="K43" s="695">
        <f>I43+J43</f>
        <v>29310</v>
      </c>
      <c r="L43" s="714"/>
      <c r="M43" s="714"/>
      <c r="N43" s="714"/>
      <c r="O43" s="696">
        <f t="shared" si="3"/>
        <v>29310</v>
      </c>
      <c r="P43" s="687"/>
    </row>
    <row r="44" spans="1:89" ht="17.25" customHeight="1" x14ac:dyDescent="0.25">
      <c r="A44" s="692"/>
      <c r="B44" s="1237" t="s">
        <v>39</v>
      </c>
      <c r="C44" s="693">
        <v>1</v>
      </c>
      <c r="D44" s="727" t="s">
        <v>25</v>
      </c>
      <c r="E44" s="695">
        <v>10930</v>
      </c>
      <c r="F44" s="714"/>
      <c r="G44" s="714"/>
      <c r="H44" s="714"/>
      <c r="I44" s="714"/>
      <c r="J44" s="695">
        <f>C44*E44</f>
        <v>10930</v>
      </c>
      <c r="K44" s="695">
        <f>I44+J44</f>
        <v>10930</v>
      </c>
      <c r="L44" s="714"/>
      <c r="M44" s="714"/>
      <c r="N44" s="714"/>
      <c r="O44" s="696">
        <f t="shared" si="3"/>
        <v>10930</v>
      </c>
      <c r="P44" s="687"/>
    </row>
    <row r="45" spans="1:89" ht="17.25" customHeight="1" x14ac:dyDescent="0.25">
      <c r="A45" s="692">
        <v>2</v>
      </c>
      <c r="B45" s="1237" t="s">
        <v>40</v>
      </c>
      <c r="C45" s="693"/>
      <c r="D45" s="727"/>
      <c r="E45" s="695"/>
      <c r="F45" s="695"/>
      <c r="G45" s="695"/>
      <c r="H45" s="695"/>
      <c r="I45" s="695"/>
      <c r="J45" s="695"/>
      <c r="K45" s="695"/>
      <c r="L45" s="695"/>
      <c r="M45" s="695"/>
      <c r="N45" s="695"/>
      <c r="O45" s="696">
        <f t="shared" si="3"/>
        <v>0</v>
      </c>
      <c r="P45" s="687"/>
    </row>
    <row r="46" spans="1:89" s="672" customFormat="1" ht="17.25" customHeight="1" x14ac:dyDescent="0.25">
      <c r="A46" s="692"/>
      <c r="B46" s="1241" t="s">
        <v>41</v>
      </c>
      <c r="C46" s="693">
        <v>1</v>
      </c>
      <c r="D46" s="727" t="s">
        <v>25</v>
      </c>
      <c r="E46" s="695">
        <v>50000</v>
      </c>
      <c r="F46" s="695"/>
      <c r="G46" s="695"/>
      <c r="H46" s="695"/>
      <c r="I46" s="695"/>
      <c r="J46" s="695">
        <f>C46*E46</f>
        <v>50000</v>
      </c>
      <c r="K46" s="695">
        <f>I46+J46</f>
        <v>50000</v>
      </c>
      <c r="L46" s="695"/>
      <c r="M46" s="695"/>
      <c r="N46" s="695"/>
      <c r="O46" s="696">
        <f t="shared" si="3"/>
        <v>50000</v>
      </c>
      <c r="P46" s="687"/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  <c r="AC46" s="1581"/>
      <c r="AD46" s="1581"/>
      <c r="AE46" s="1581"/>
      <c r="AF46" s="1581"/>
      <c r="AG46" s="1581"/>
      <c r="AH46" s="1581"/>
      <c r="AI46" s="1581"/>
      <c r="AJ46" s="1581"/>
      <c r="AK46" s="1581"/>
      <c r="AL46" s="1581"/>
      <c r="AM46" s="1581"/>
      <c r="AN46" s="1581"/>
      <c r="AO46" s="1581"/>
      <c r="AP46" s="1581"/>
      <c r="AQ46" s="1581"/>
      <c r="AR46" s="1581"/>
      <c r="AS46" s="1581"/>
      <c r="AT46" s="1581"/>
      <c r="AU46" s="1581"/>
      <c r="AV46" s="1581"/>
      <c r="AW46" s="1581"/>
      <c r="AX46" s="1581"/>
      <c r="AY46" s="1581"/>
      <c r="AZ46" s="1581"/>
      <c r="BA46" s="1581"/>
      <c r="BB46" s="1581"/>
      <c r="BC46" s="1581"/>
      <c r="BD46" s="1581"/>
      <c r="BE46" s="1581"/>
      <c r="BF46" s="1581"/>
      <c r="BG46" s="1581"/>
      <c r="BH46" s="1581"/>
      <c r="BI46" s="1581"/>
      <c r="BJ46" s="1581"/>
      <c r="BK46" s="1581"/>
      <c r="BL46" s="1581"/>
      <c r="BM46" s="1581"/>
      <c r="BN46" s="1581"/>
      <c r="BO46" s="1581"/>
      <c r="BP46" s="1581"/>
      <c r="BQ46" s="1581"/>
      <c r="BR46" s="1581"/>
      <c r="BS46" s="1581"/>
      <c r="BT46" s="1581"/>
      <c r="BU46" s="1581"/>
      <c r="BV46" s="1581"/>
      <c r="BW46" s="1581"/>
      <c r="BX46" s="1581"/>
      <c r="BY46" s="1581"/>
      <c r="BZ46" s="1581"/>
      <c r="CA46" s="1581"/>
      <c r="CB46" s="1581"/>
      <c r="CC46" s="1581"/>
      <c r="CD46" s="1581"/>
      <c r="CE46" s="1581"/>
      <c r="CF46" s="1581"/>
      <c r="CG46" s="1581"/>
      <c r="CH46" s="1581"/>
      <c r="CI46" s="1581"/>
      <c r="CJ46" s="1581"/>
      <c r="CK46" s="1581"/>
    </row>
    <row r="47" spans="1:89" ht="17.25" customHeight="1" x14ac:dyDescent="0.25">
      <c r="A47" s="692"/>
      <c r="B47" s="1237" t="s">
        <v>42</v>
      </c>
      <c r="C47" s="693">
        <v>1</v>
      </c>
      <c r="D47" s="727" t="s">
        <v>25</v>
      </c>
      <c r="E47" s="695">
        <v>50000</v>
      </c>
      <c r="F47" s="695"/>
      <c r="G47" s="695"/>
      <c r="H47" s="695"/>
      <c r="I47" s="695"/>
      <c r="J47" s="695">
        <f>C47*E47</f>
        <v>50000</v>
      </c>
      <c r="K47" s="695">
        <f>I47+J47</f>
        <v>50000</v>
      </c>
      <c r="L47" s="695"/>
      <c r="M47" s="695"/>
      <c r="N47" s="695"/>
      <c r="O47" s="696">
        <f t="shared" si="3"/>
        <v>50000</v>
      </c>
      <c r="P47" s="687"/>
    </row>
    <row r="48" spans="1:89" s="672" customFormat="1" ht="17.25" customHeight="1" x14ac:dyDescent="0.25">
      <c r="A48" s="692">
        <v>3</v>
      </c>
      <c r="B48" s="1237" t="s">
        <v>43</v>
      </c>
      <c r="C48" s="693"/>
      <c r="D48" s="727"/>
      <c r="E48" s="695"/>
      <c r="F48" s="695"/>
      <c r="G48" s="695"/>
      <c r="H48" s="695"/>
      <c r="I48" s="695"/>
      <c r="J48" s="695"/>
      <c r="K48" s="695"/>
      <c r="L48" s="695"/>
      <c r="M48" s="695"/>
      <c r="N48" s="695"/>
      <c r="O48" s="696">
        <f t="shared" si="3"/>
        <v>0</v>
      </c>
      <c r="P48" s="687"/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  <c r="AC48" s="1581"/>
      <c r="AD48" s="1581"/>
      <c r="AE48" s="1581"/>
      <c r="AF48" s="1581"/>
      <c r="AG48" s="1581"/>
      <c r="AH48" s="1581"/>
      <c r="AI48" s="1581"/>
      <c r="AJ48" s="1581"/>
      <c r="AK48" s="1581"/>
      <c r="AL48" s="1581"/>
      <c r="AM48" s="1581"/>
      <c r="AN48" s="1581"/>
      <c r="AO48" s="1581"/>
      <c r="AP48" s="1581"/>
      <c r="AQ48" s="1581"/>
      <c r="AR48" s="1581"/>
      <c r="AS48" s="1581"/>
      <c r="AT48" s="1581"/>
      <c r="AU48" s="1581"/>
      <c r="AV48" s="1581"/>
      <c r="AW48" s="1581"/>
      <c r="AX48" s="1581"/>
      <c r="AY48" s="1581"/>
      <c r="AZ48" s="1581"/>
      <c r="BA48" s="1581"/>
      <c r="BB48" s="1581"/>
      <c r="BC48" s="1581"/>
      <c r="BD48" s="1581"/>
      <c r="BE48" s="1581"/>
      <c r="BF48" s="1581"/>
      <c r="BG48" s="1581"/>
      <c r="BH48" s="1581"/>
      <c r="BI48" s="1581"/>
      <c r="BJ48" s="1581"/>
      <c r="BK48" s="1581"/>
      <c r="BL48" s="1581"/>
      <c r="BM48" s="1581"/>
      <c r="BN48" s="1581"/>
      <c r="BO48" s="1581"/>
      <c r="BP48" s="1581"/>
      <c r="BQ48" s="1581"/>
      <c r="BR48" s="1581"/>
      <c r="BS48" s="1581"/>
      <c r="BT48" s="1581"/>
      <c r="BU48" s="1581"/>
      <c r="BV48" s="1581"/>
      <c r="BW48" s="1581"/>
      <c r="BX48" s="1581"/>
      <c r="BY48" s="1581"/>
      <c r="BZ48" s="1581"/>
      <c r="CA48" s="1581"/>
      <c r="CB48" s="1581"/>
      <c r="CC48" s="1581"/>
      <c r="CD48" s="1581"/>
      <c r="CE48" s="1581"/>
      <c r="CF48" s="1581"/>
      <c r="CG48" s="1581"/>
      <c r="CH48" s="1581"/>
      <c r="CI48" s="1581"/>
      <c r="CJ48" s="1581"/>
      <c r="CK48" s="1581"/>
    </row>
    <row r="49" spans="1:89" s="675" customFormat="1" ht="17.25" customHeight="1" x14ac:dyDescent="0.25">
      <c r="A49" s="692"/>
      <c r="B49" s="1241" t="s">
        <v>44</v>
      </c>
      <c r="C49" s="693">
        <v>12</v>
      </c>
      <c r="D49" s="727" t="s">
        <v>45</v>
      </c>
      <c r="E49" s="714">
        <v>6500</v>
      </c>
      <c r="F49" s="695"/>
      <c r="G49" s="695"/>
      <c r="H49" s="695"/>
      <c r="I49" s="695"/>
      <c r="J49" s="695">
        <f>C49*E49</f>
        <v>78000</v>
      </c>
      <c r="K49" s="695">
        <f>I49+J49</f>
        <v>78000</v>
      </c>
      <c r="L49" s="695"/>
      <c r="M49" s="695"/>
      <c r="N49" s="695"/>
      <c r="O49" s="696">
        <f t="shared" si="3"/>
        <v>78000</v>
      </c>
      <c r="P49" s="687"/>
      <c r="Q49" s="1821"/>
      <c r="R49" s="1821"/>
      <c r="S49" s="1821"/>
      <c r="T49" s="1821"/>
      <c r="U49" s="1821"/>
      <c r="V49" s="1821"/>
      <c r="W49" s="1821"/>
      <c r="X49" s="1821"/>
      <c r="Y49" s="1821"/>
      <c r="Z49" s="1821"/>
      <c r="AA49" s="1821"/>
      <c r="AB49" s="1821"/>
      <c r="AC49" s="1821"/>
      <c r="AD49" s="1821"/>
      <c r="AE49" s="1821"/>
      <c r="AF49" s="1821"/>
      <c r="AG49" s="1821"/>
      <c r="AH49" s="1821"/>
      <c r="AI49" s="1821"/>
      <c r="AJ49" s="1821"/>
      <c r="AK49" s="1821"/>
      <c r="AL49" s="1821"/>
      <c r="AM49" s="1821"/>
      <c r="AN49" s="1821"/>
      <c r="AO49" s="1821"/>
      <c r="AP49" s="1821"/>
      <c r="AQ49" s="1821"/>
      <c r="AR49" s="1821"/>
      <c r="AS49" s="1821"/>
      <c r="AT49" s="1821"/>
      <c r="AU49" s="1821"/>
      <c r="AV49" s="1821"/>
      <c r="AW49" s="1821"/>
      <c r="AX49" s="1821"/>
      <c r="AY49" s="1821"/>
      <c r="AZ49" s="1821"/>
      <c r="BA49" s="1821"/>
      <c r="BB49" s="1821"/>
      <c r="BC49" s="1821"/>
      <c r="BD49" s="1821"/>
      <c r="BE49" s="1821"/>
      <c r="BF49" s="1821"/>
      <c r="BG49" s="1821"/>
      <c r="BH49" s="1821"/>
      <c r="BI49" s="1821"/>
      <c r="BJ49" s="1821"/>
      <c r="BK49" s="1821"/>
      <c r="BL49" s="1821"/>
      <c r="BM49" s="1821"/>
      <c r="BN49" s="1821"/>
      <c r="BO49" s="1821"/>
      <c r="BP49" s="1821"/>
      <c r="BQ49" s="1821"/>
      <c r="BR49" s="1821"/>
      <c r="BS49" s="1821"/>
      <c r="BT49" s="1821"/>
      <c r="BU49" s="1821"/>
      <c r="BV49" s="1821"/>
      <c r="BW49" s="1821"/>
      <c r="BX49" s="1821"/>
      <c r="BY49" s="1821"/>
      <c r="BZ49" s="1821"/>
      <c r="CA49" s="1821"/>
      <c r="CB49" s="1821"/>
      <c r="CC49" s="1821"/>
      <c r="CD49" s="1821"/>
      <c r="CE49" s="1821"/>
      <c r="CF49" s="1821"/>
      <c r="CG49" s="1821"/>
      <c r="CH49" s="1821"/>
      <c r="CI49" s="1821"/>
      <c r="CJ49" s="1821"/>
      <c r="CK49" s="1821"/>
    </row>
    <row r="50" spans="1:89" ht="17.25" customHeight="1" x14ac:dyDescent="0.25">
      <c r="A50" s="692"/>
      <c r="B50" s="1237" t="s">
        <v>46</v>
      </c>
      <c r="C50" s="699">
        <v>1</v>
      </c>
      <c r="D50" s="727" t="s">
        <v>47</v>
      </c>
      <c r="E50" s="695">
        <f>1500+160</f>
        <v>1660</v>
      </c>
      <c r="F50" s="695"/>
      <c r="G50" s="695"/>
      <c r="H50" s="695"/>
      <c r="I50" s="695"/>
      <c r="J50" s="695">
        <f>C50*E50</f>
        <v>1660</v>
      </c>
      <c r="K50" s="695">
        <f>I50+J50</f>
        <v>1660</v>
      </c>
      <c r="L50" s="695"/>
      <c r="M50" s="695"/>
      <c r="N50" s="695"/>
      <c r="O50" s="696">
        <f t="shared" si="3"/>
        <v>1660</v>
      </c>
      <c r="P50" s="687"/>
    </row>
    <row r="51" spans="1:89" ht="17.25" customHeight="1" x14ac:dyDescent="0.25">
      <c r="A51" s="692">
        <v>5</v>
      </c>
      <c r="B51" s="1241" t="s">
        <v>48</v>
      </c>
      <c r="C51" s="699"/>
      <c r="D51" s="727"/>
      <c r="E51" s="695" t="s">
        <v>49</v>
      </c>
      <c r="F51" s="714"/>
      <c r="G51" s="714"/>
      <c r="H51" s="714"/>
      <c r="I51" s="714"/>
      <c r="J51" s="695"/>
      <c r="K51" s="695">
        <f>J51+I51</f>
        <v>0</v>
      </c>
      <c r="L51" s="714"/>
      <c r="M51" s="714"/>
      <c r="N51" s="714"/>
      <c r="O51" s="696">
        <f t="shared" si="3"/>
        <v>0</v>
      </c>
      <c r="P51" s="687"/>
    </row>
    <row r="52" spans="1:89" s="675" customFormat="1" ht="17.25" customHeight="1" x14ac:dyDescent="0.25">
      <c r="A52" s="692"/>
      <c r="B52" s="1241" t="s">
        <v>50</v>
      </c>
      <c r="C52" s="693">
        <v>30</v>
      </c>
      <c r="D52" s="727" t="s">
        <v>51</v>
      </c>
      <c r="E52" s="695">
        <v>3772</v>
      </c>
      <c r="F52" s="695"/>
      <c r="G52" s="695"/>
      <c r="H52" s="695"/>
      <c r="I52" s="695"/>
      <c r="J52" s="695">
        <f>C52*E52</f>
        <v>113160</v>
      </c>
      <c r="K52" s="695">
        <f>I52+J52</f>
        <v>113160</v>
      </c>
      <c r="L52" s="695"/>
      <c r="M52" s="695"/>
      <c r="N52" s="695"/>
      <c r="O52" s="696">
        <f t="shared" si="3"/>
        <v>113160</v>
      </c>
      <c r="P52" s="687"/>
      <c r="Q52" s="1821"/>
      <c r="R52" s="1821"/>
      <c r="S52" s="1821"/>
      <c r="T52" s="1821"/>
      <c r="U52" s="1821"/>
      <c r="V52" s="1821"/>
      <c r="W52" s="1821"/>
      <c r="X52" s="1821"/>
      <c r="Y52" s="1821"/>
      <c r="Z52" s="1821"/>
      <c r="AA52" s="1821"/>
      <c r="AB52" s="1821"/>
      <c r="AC52" s="1821"/>
      <c r="AD52" s="1821"/>
      <c r="AE52" s="1821"/>
      <c r="AF52" s="1821"/>
      <c r="AG52" s="1821"/>
      <c r="AH52" s="1821"/>
      <c r="AI52" s="1821"/>
      <c r="AJ52" s="1821"/>
      <c r="AK52" s="1821"/>
      <c r="AL52" s="1821"/>
      <c r="AM52" s="1821"/>
      <c r="AN52" s="1821"/>
      <c r="AO52" s="1821"/>
      <c r="AP52" s="1821"/>
      <c r="AQ52" s="1821"/>
      <c r="AR52" s="1821"/>
      <c r="AS52" s="1821"/>
      <c r="AT52" s="1821"/>
      <c r="AU52" s="1821"/>
      <c r="AV52" s="1821"/>
      <c r="AW52" s="1821"/>
      <c r="AX52" s="1821"/>
      <c r="AY52" s="1821"/>
      <c r="AZ52" s="1821"/>
      <c r="BA52" s="1821"/>
      <c r="BB52" s="1821"/>
      <c r="BC52" s="1821"/>
      <c r="BD52" s="1821"/>
      <c r="BE52" s="1821"/>
      <c r="BF52" s="1821"/>
      <c r="BG52" s="1821"/>
      <c r="BH52" s="1821"/>
      <c r="BI52" s="1821"/>
      <c r="BJ52" s="1821"/>
      <c r="BK52" s="1821"/>
      <c r="BL52" s="1821"/>
      <c r="BM52" s="1821"/>
      <c r="BN52" s="1821"/>
      <c r="BO52" s="1821"/>
      <c r="BP52" s="1821"/>
      <c r="BQ52" s="1821"/>
      <c r="BR52" s="1821"/>
      <c r="BS52" s="1821"/>
      <c r="BT52" s="1821"/>
      <c r="BU52" s="1821"/>
      <c r="BV52" s="1821"/>
      <c r="BW52" s="1821"/>
      <c r="BX52" s="1821"/>
      <c r="BY52" s="1821"/>
      <c r="BZ52" s="1821"/>
      <c r="CA52" s="1821"/>
      <c r="CB52" s="1821"/>
      <c r="CC52" s="1821"/>
      <c r="CD52" s="1821"/>
      <c r="CE52" s="1821"/>
      <c r="CF52" s="1821"/>
      <c r="CG52" s="1821"/>
      <c r="CH52" s="1821"/>
      <c r="CI52" s="1821"/>
      <c r="CJ52" s="1821"/>
      <c r="CK52" s="1821"/>
    </row>
    <row r="53" spans="1:89" s="675" customFormat="1" ht="17.25" customHeight="1" x14ac:dyDescent="0.25">
      <c r="A53" s="692"/>
      <c r="B53" s="1241" t="s">
        <v>52</v>
      </c>
      <c r="C53" s="693">
        <v>80</v>
      </c>
      <c r="D53" s="727" t="s">
        <v>53</v>
      </c>
      <c r="E53" s="695">
        <v>450</v>
      </c>
      <c r="F53" s="695"/>
      <c r="G53" s="695"/>
      <c r="H53" s="695"/>
      <c r="I53" s="695"/>
      <c r="J53" s="695">
        <f>C53*E53</f>
        <v>36000</v>
      </c>
      <c r="K53" s="695">
        <f>I53+J53</f>
        <v>36000</v>
      </c>
      <c r="L53" s="695"/>
      <c r="M53" s="695"/>
      <c r="N53" s="695"/>
      <c r="O53" s="696">
        <f t="shared" si="3"/>
        <v>36000</v>
      </c>
      <c r="P53" s="687"/>
      <c r="Q53" s="1821"/>
      <c r="R53" s="1821"/>
      <c r="S53" s="1821"/>
      <c r="T53" s="1821"/>
      <c r="U53" s="1821"/>
      <c r="V53" s="1821"/>
      <c r="W53" s="1821"/>
      <c r="X53" s="1821"/>
      <c r="Y53" s="1821"/>
      <c r="Z53" s="1821"/>
      <c r="AA53" s="1821"/>
      <c r="AB53" s="1821"/>
      <c r="AC53" s="1821"/>
      <c r="AD53" s="1821"/>
      <c r="AE53" s="1821"/>
      <c r="AF53" s="1821"/>
      <c r="AG53" s="1821"/>
      <c r="AH53" s="1821"/>
      <c r="AI53" s="1821"/>
      <c r="AJ53" s="1821"/>
      <c r="AK53" s="1821"/>
      <c r="AL53" s="1821"/>
      <c r="AM53" s="1821"/>
      <c r="AN53" s="1821"/>
      <c r="AO53" s="1821"/>
      <c r="AP53" s="1821"/>
      <c r="AQ53" s="1821"/>
      <c r="AR53" s="1821"/>
      <c r="AS53" s="1821"/>
      <c r="AT53" s="1821"/>
      <c r="AU53" s="1821"/>
      <c r="AV53" s="1821"/>
      <c r="AW53" s="1821"/>
      <c r="AX53" s="1821"/>
      <c r="AY53" s="1821"/>
      <c r="AZ53" s="1821"/>
      <c r="BA53" s="1821"/>
      <c r="BB53" s="1821"/>
      <c r="BC53" s="1821"/>
      <c r="BD53" s="1821"/>
      <c r="BE53" s="1821"/>
      <c r="BF53" s="1821"/>
      <c r="BG53" s="1821"/>
      <c r="BH53" s="1821"/>
      <c r="BI53" s="1821"/>
      <c r="BJ53" s="1821"/>
      <c r="BK53" s="1821"/>
      <c r="BL53" s="1821"/>
      <c r="BM53" s="1821"/>
      <c r="BN53" s="1821"/>
      <c r="BO53" s="1821"/>
      <c r="BP53" s="1821"/>
      <c r="BQ53" s="1821"/>
      <c r="BR53" s="1821"/>
      <c r="BS53" s="1821"/>
      <c r="BT53" s="1821"/>
      <c r="BU53" s="1821"/>
      <c r="BV53" s="1821"/>
      <c r="BW53" s="1821"/>
      <c r="BX53" s="1821"/>
      <c r="BY53" s="1821"/>
      <c r="BZ53" s="1821"/>
      <c r="CA53" s="1821"/>
      <c r="CB53" s="1821"/>
      <c r="CC53" s="1821"/>
      <c r="CD53" s="1821"/>
      <c r="CE53" s="1821"/>
      <c r="CF53" s="1821"/>
      <c r="CG53" s="1821"/>
      <c r="CH53" s="1821"/>
      <c r="CI53" s="1821"/>
      <c r="CJ53" s="1821"/>
      <c r="CK53" s="1821"/>
    </row>
    <row r="54" spans="1:89" s="675" customFormat="1" ht="17.25" customHeight="1" x14ac:dyDescent="0.25">
      <c r="A54" s="692"/>
      <c r="B54" s="1241" t="s">
        <v>54</v>
      </c>
      <c r="C54" s="693">
        <v>90</v>
      </c>
      <c r="D54" s="727" t="s">
        <v>55</v>
      </c>
      <c r="E54" s="695">
        <v>450</v>
      </c>
      <c r="F54" s="695"/>
      <c r="G54" s="695"/>
      <c r="H54" s="695"/>
      <c r="I54" s="695"/>
      <c r="J54" s="695">
        <f>C54*E54</f>
        <v>40500</v>
      </c>
      <c r="K54" s="695">
        <f>I54+J54</f>
        <v>40500</v>
      </c>
      <c r="L54" s="695"/>
      <c r="M54" s="695"/>
      <c r="N54" s="695"/>
      <c r="O54" s="696">
        <f t="shared" si="3"/>
        <v>40500</v>
      </c>
      <c r="P54" s="687"/>
      <c r="Q54" s="1821"/>
      <c r="R54" s="1821"/>
      <c r="S54" s="1821"/>
      <c r="T54" s="1821"/>
      <c r="U54" s="1821"/>
      <c r="V54" s="1821"/>
      <c r="W54" s="1821"/>
      <c r="X54" s="1821"/>
      <c r="Y54" s="1821"/>
      <c r="Z54" s="1821"/>
      <c r="AA54" s="1821"/>
      <c r="AB54" s="1821"/>
      <c r="AC54" s="1821"/>
      <c r="AD54" s="1821"/>
      <c r="AE54" s="1821"/>
      <c r="AF54" s="1821"/>
      <c r="AG54" s="1821"/>
      <c r="AH54" s="1821"/>
      <c r="AI54" s="1821"/>
      <c r="AJ54" s="1821"/>
      <c r="AK54" s="1821"/>
      <c r="AL54" s="1821"/>
      <c r="AM54" s="1821"/>
      <c r="AN54" s="1821"/>
      <c r="AO54" s="1821"/>
      <c r="AP54" s="1821"/>
      <c r="AQ54" s="1821"/>
      <c r="AR54" s="1821"/>
      <c r="AS54" s="1821"/>
      <c r="AT54" s="1821"/>
      <c r="AU54" s="1821"/>
      <c r="AV54" s="1821"/>
      <c r="AW54" s="1821"/>
      <c r="AX54" s="1821"/>
      <c r="AY54" s="1821"/>
      <c r="AZ54" s="1821"/>
      <c r="BA54" s="1821"/>
      <c r="BB54" s="1821"/>
      <c r="BC54" s="1821"/>
      <c r="BD54" s="1821"/>
      <c r="BE54" s="1821"/>
      <c r="BF54" s="1821"/>
      <c r="BG54" s="1821"/>
      <c r="BH54" s="1821"/>
      <c r="BI54" s="1821"/>
      <c r="BJ54" s="1821"/>
      <c r="BK54" s="1821"/>
      <c r="BL54" s="1821"/>
      <c r="BM54" s="1821"/>
      <c r="BN54" s="1821"/>
      <c r="BO54" s="1821"/>
      <c r="BP54" s="1821"/>
      <c r="BQ54" s="1821"/>
      <c r="BR54" s="1821"/>
      <c r="BS54" s="1821"/>
      <c r="BT54" s="1821"/>
      <c r="BU54" s="1821"/>
      <c r="BV54" s="1821"/>
      <c r="BW54" s="1821"/>
      <c r="BX54" s="1821"/>
      <c r="BY54" s="1821"/>
      <c r="BZ54" s="1821"/>
      <c r="CA54" s="1821"/>
      <c r="CB54" s="1821"/>
      <c r="CC54" s="1821"/>
      <c r="CD54" s="1821"/>
      <c r="CE54" s="1821"/>
      <c r="CF54" s="1821"/>
      <c r="CG54" s="1821"/>
      <c r="CH54" s="1821"/>
      <c r="CI54" s="1821"/>
      <c r="CJ54" s="1821"/>
      <c r="CK54" s="1821"/>
    </row>
    <row r="55" spans="1:89" s="675" customFormat="1" ht="17.25" customHeight="1" x14ac:dyDescent="0.25">
      <c r="A55" s="692"/>
      <c r="B55" s="1241" t="s">
        <v>56</v>
      </c>
      <c r="C55" s="693">
        <v>140</v>
      </c>
      <c r="D55" s="727" t="s">
        <v>55</v>
      </c>
      <c r="E55" s="695">
        <v>300</v>
      </c>
      <c r="F55" s="695"/>
      <c r="G55" s="695"/>
      <c r="H55" s="695"/>
      <c r="I55" s="695"/>
      <c r="J55" s="695">
        <f>C55*E55</f>
        <v>42000</v>
      </c>
      <c r="K55" s="695">
        <f>I55+J55</f>
        <v>42000</v>
      </c>
      <c r="L55" s="695"/>
      <c r="M55" s="695"/>
      <c r="N55" s="695"/>
      <c r="O55" s="696">
        <f t="shared" si="3"/>
        <v>42000</v>
      </c>
      <c r="P55" s="687"/>
      <c r="Q55" s="1821"/>
      <c r="R55" s="1821"/>
      <c r="S55" s="1821"/>
      <c r="T55" s="1821"/>
      <c r="U55" s="1821"/>
      <c r="V55" s="1821"/>
      <c r="W55" s="1821"/>
      <c r="X55" s="1821"/>
      <c r="Y55" s="1821"/>
      <c r="Z55" s="1821"/>
      <c r="AA55" s="1821"/>
      <c r="AB55" s="1821"/>
      <c r="AC55" s="1821"/>
      <c r="AD55" s="1821"/>
      <c r="AE55" s="1821"/>
      <c r="AF55" s="1821"/>
      <c r="AG55" s="1821"/>
      <c r="AH55" s="1821"/>
      <c r="AI55" s="1821"/>
      <c r="AJ55" s="1821"/>
      <c r="AK55" s="1821"/>
      <c r="AL55" s="1821"/>
      <c r="AM55" s="1821"/>
      <c r="AN55" s="1821"/>
      <c r="AO55" s="1821"/>
      <c r="AP55" s="1821"/>
      <c r="AQ55" s="1821"/>
      <c r="AR55" s="1821"/>
      <c r="AS55" s="1821"/>
      <c r="AT55" s="1821"/>
      <c r="AU55" s="1821"/>
      <c r="AV55" s="1821"/>
      <c r="AW55" s="1821"/>
      <c r="AX55" s="1821"/>
      <c r="AY55" s="1821"/>
      <c r="AZ55" s="1821"/>
      <c r="BA55" s="1821"/>
      <c r="BB55" s="1821"/>
      <c r="BC55" s="1821"/>
      <c r="BD55" s="1821"/>
      <c r="BE55" s="1821"/>
      <c r="BF55" s="1821"/>
      <c r="BG55" s="1821"/>
      <c r="BH55" s="1821"/>
      <c r="BI55" s="1821"/>
      <c r="BJ55" s="1821"/>
      <c r="BK55" s="1821"/>
      <c r="BL55" s="1821"/>
      <c r="BM55" s="1821"/>
      <c r="BN55" s="1821"/>
      <c r="BO55" s="1821"/>
      <c r="BP55" s="1821"/>
      <c r="BQ55" s="1821"/>
      <c r="BR55" s="1821"/>
      <c r="BS55" s="1821"/>
      <c r="BT55" s="1821"/>
      <c r="BU55" s="1821"/>
      <c r="BV55" s="1821"/>
      <c r="BW55" s="1821"/>
      <c r="BX55" s="1821"/>
      <c r="BY55" s="1821"/>
      <c r="BZ55" s="1821"/>
      <c r="CA55" s="1821"/>
      <c r="CB55" s="1821"/>
      <c r="CC55" s="1821"/>
      <c r="CD55" s="1821"/>
      <c r="CE55" s="1821"/>
      <c r="CF55" s="1821"/>
      <c r="CG55" s="1821"/>
      <c r="CH55" s="1821"/>
      <c r="CI55" s="1821"/>
      <c r="CJ55" s="1821"/>
      <c r="CK55" s="1821"/>
    </row>
    <row r="56" spans="1:89" s="675" customFormat="1" ht="17.25" customHeight="1" x14ac:dyDescent="0.25">
      <c r="A56" s="692">
        <v>6</v>
      </c>
      <c r="B56" s="1241" t="s">
        <v>57</v>
      </c>
      <c r="C56" s="693"/>
      <c r="D56" s="727"/>
      <c r="E56" s="695"/>
      <c r="F56" s="695"/>
      <c r="G56" s="695"/>
      <c r="H56" s="695"/>
      <c r="I56" s="695"/>
      <c r="J56" s="695"/>
      <c r="K56" s="695"/>
      <c r="L56" s="695"/>
      <c r="M56" s="695"/>
      <c r="N56" s="695"/>
      <c r="O56" s="696">
        <f t="shared" si="3"/>
        <v>0</v>
      </c>
      <c r="P56" s="687"/>
      <c r="Q56" s="1821"/>
      <c r="R56" s="1821"/>
      <c r="S56" s="1821"/>
      <c r="T56" s="1821"/>
      <c r="U56" s="1821"/>
      <c r="V56" s="1821"/>
      <c r="W56" s="1821"/>
      <c r="X56" s="1821"/>
      <c r="Y56" s="1821"/>
      <c r="Z56" s="1821"/>
      <c r="AA56" s="1821"/>
      <c r="AB56" s="1821"/>
      <c r="AC56" s="1821"/>
      <c r="AD56" s="1821"/>
      <c r="AE56" s="1821"/>
      <c r="AF56" s="1821"/>
      <c r="AG56" s="1821"/>
      <c r="AH56" s="1821"/>
      <c r="AI56" s="1821"/>
      <c r="AJ56" s="1821"/>
      <c r="AK56" s="1821"/>
      <c r="AL56" s="1821"/>
      <c r="AM56" s="1821"/>
      <c r="AN56" s="1821"/>
      <c r="AO56" s="1821"/>
      <c r="AP56" s="1821"/>
      <c r="AQ56" s="1821"/>
      <c r="AR56" s="1821"/>
      <c r="AS56" s="1821"/>
      <c r="AT56" s="1821"/>
      <c r="AU56" s="1821"/>
      <c r="AV56" s="1821"/>
      <c r="AW56" s="1821"/>
      <c r="AX56" s="1821"/>
      <c r="AY56" s="1821"/>
      <c r="AZ56" s="1821"/>
      <c r="BA56" s="1821"/>
      <c r="BB56" s="1821"/>
      <c r="BC56" s="1821"/>
      <c r="BD56" s="1821"/>
      <c r="BE56" s="1821"/>
      <c r="BF56" s="1821"/>
      <c r="BG56" s="1821"/>
      <c r="BH56" s="1821"/>
      <c r="BI56" s="1821"/>
      <c r="BJ56" s="1821"/>
      <c r="BK56" s="1821"/>
      <c r="BL56" s="1821"/>
      <c r="BM56" s="1821"/>
      <c r="BN56" s="1821"/>
      <c r="BO56" s="1821"/>
      <c r="BP56" s="1821"/>
      <c r="BQ56" s="1821"/>
      <c r="BR56" s="1821"/>
      <c r="BS56" s="1821"/>
      <c r="BT56" s="1821"/>
      <c r="BU56" s="1821"/>
      <c r="BV56" s="1821"/>
      <c r="BW56" s="1821"/>
      <c r="BX56" s="1821"/>
      <c r="BY56" s="1821"/>
      <c r="BZ56" s="1821"/>
      <c r="CA56" s="1821"/>
      <c r="CB56" s="1821"/>
      <c r="CC56" s="1821"/>
      <c r="CD56" s="1821"/>
      <c r="CE56" s="1821"/>
      <c r="CF56" s="1821"/>
      <c r="CG56" s="1821"/>
      <c r="CH56" s="1821"/>
      <c r="CI56" s="1821"/>
      <c r="CJ56" s="1821"/>
      <c r="CK56" s="1821"/>
    </row>
    <row r="57" spans="1:89" s="675" customFormat="1" ht="17.25" customHeight="1" x14ac:dyDescent="0.25">
      <c r="A57" s="692"/>
      <c r="B57" s="1241" t="s">
        <v>58</v>
      </c>
      <c r="C57" s="693">
        <v>1</v>
      </c>
      <c r="D57" s="727" t="s">
        <v>16</v>
      </c>
      <c r="E57" s="695">
        <v>15000</v>
      </c>
      <c r="F57" s="695"/>
      <c r="G57" s="695"/>
      <c r="H57" s="695"/>
      <c r="I57" s="695"/>
      <c r="J57" s="695"/>
      <c r="K57" s="695"/>
      <c r="L57" s="695">
        <f>C57*E57</f>
        <v>15000</v>
      </c>
      <c r="M57" s="695"/>
      <c r="N57" s="695">
        <f>L57+M57</f>
        <v>15000</v>
      </c>
      <c r="O57" s="696">
        <f t="shared" si="3"/>
        <v>15000</v>
      </c>
      <c r="P57" s="687"/>
      <c r="Q57" s="1821"/>
      <c r="R57" s="1821"/>
      <c r="S57" s="1821"/>
      <c r="T57" s="1821"/>
      <c r="U57" s="1821"/>
      <c r="V57" s="1821"/>
      <c r="W57" s="1821"/>
      <c r="X57" s="1821"/>
      <c r="Y57" s="1821"/>
      <c r="Z57" s="1821"/>
      <c r="AA57" s="1821"/>
      <c r="AB57" s="1821"/>
      <c r="AC57" s="1821"/>
      <c r="AD57" s="1821"/>
      <c r="AE57" s="1821"/>
      <c r="AF57" s="1821"/>
      <c r="AG57" s="1821"/>
      <c r="AH57" s="1821"/>
      <c r="AI57" s="1821"/>
      <c r="AJ57" s="1821"/>
      <c r="AK57" s="1821"/>
      <c r="AL57" s="1821"/>
      <c r="AM57" s="1821"/>
      <c r="AN57" s="1821"/>
      <c r="AO57" s="1821"/>
      <c r="AP57" s="1821"/>
      <c r="AQ57" s="1821"/>
      <c r="AR57" s="1821"/>
      <c r="AS57" s="1821"/>
      <c r="AT57" s="1821"/>
      <c r="AU57" s="1821"/>
      <c r="AV57" s="1821"/>
      <c r="AW57" s="1821"/>
      <c r="AX57" s="1821"/>
      <c r="AY57" s="1821"/>
      <c r="AZ57" s="1821"/>
      <c r="BA57" s="1821"/>
      <c r="BB57" s="1821"/>
      <c r="BC57" s="1821"/>
      <c r="BD57" s="1821"/>
      <c r="BE57" s="1821"/>
      <c r="BF57" s="1821"/>
      <c r="BG57" s="1821"/>
      <c r="BH57" s="1821"/>
      <c r="BI57" s="1821"/>
      <c r="BJ57" s="1821"/>
      <c r="BK57" s="1821"/>
      <c r="BL57" s="1821"/>
      <c r="BM57" s="1821"/>
      <c r="BN57" s="1821"/>
      <c r="BO57" s="1821"/>
      <c r="BP57" s="1821"/>
      <c r="BQ57" s="1821"/>
      <c r="BR57" s="1821"/>
      <c r="BS57" s="1821"/>
      <c r="BT57" s="1821"/>
      <c r="BU57" s="1821"/>
      <c r="BV57" s="1821"/>
      <c r="BW57" s="1821"/>
      <c r="BX57" s="1821"/>
      <c r="BY57" s="1821"/>
      <c r="BZ57" s="1821"/>
      <c r="CA57" s="1821"/>
      <c r="CB57" s="1821"/>
      <c r="CC57" s="1821"/>
      <c r="CD57" s="1821"/>
      <c r="CE57" s="1821"/>
      <c r="CF57" s="1821"/>
      <c r="CG57" s="1821"/>
      <c r="CH57" s="1821"/>
      <c r="CI57" s="1821"/>
      <c r="CJ57" s="1821"/>
      <c r="CK57" s="1821"/>
    </row>
    <row r="58" spans="1:89" s="675" customFormat="1" ht="17.25" customHeight="1" x14ac:dyDescent="0.25">
      <c r="A58" s="820"/>
      <c r="B58" s="832"/>
      <c r="C58" s="830"/>
      <c r="D58" s="831"/>
      <c r="E58" s="821"/>
      <c r="F58" s="821"/>
      <c r="G58" s="821"/>
      <c r="H58" s="821"/>
      <c r="I58" s="821"/>
      <c r="J58" s="821"/>
      <c r="K58" s="821"/>
      <c r="L58" s="821"/>
      <c r="M58" s="821"/>
      <c r="N58" s="821"/>
      <c r="O58" s="822"/>
      <c r="P58" s="687"/>
      <c r="Q58" s="1821"/>
      <c r="R58" s="1821"/>
      <c r="S58" s="1821"/>
      <c r="T58" s="1821"/>
      <c r="U58" s="1821"/>
      <c r="V58" s="1821"/>
      <c r="W58" s="1821"/>
      <c r="X58" s="1821"/>
      <c r="Y58" s="1821"/>
      <c r="Z58" s="1821"/>
      <c r="AA58" s="1821"/>
      <c r="AB58" s="1821"/>
      <c r="AC58" s="1821"/>
      <c r="AD58" s="1821"/>
      <c r="AE58" s="1821"/>
      <c r="AF58" s="1821"/>
      <c r="AG58" s="1821"/>
      <c r="AH58" s="1821"/>
      <c r="AI58" s="1821"/>
      <c r="AJ58" s="1821"/>
      <c r="AK58" s="1821"/>
      <c r="AL58" s="1821"/>
      <c r="AM58" s="1821"/>
      <c r="AN58" s="1821"/>
      <c r="AO58" s="1821"/>
      <c r="AP58" s="1821"/>
      <c r="AQ58" s="1821"/>
      <c r="AR58" s="1821"/>
      <c r="AS58" s="1821"/>
      <c r="AT58" s="1821"/>
      <c r="AU58" s="1821"/>
      <c r="AV58" s="1821"/>
      <c r="AW58" s="1821"/>
      <c r="AX58" s="1821"/>
      <c r="AY58" s="1821"/>
      <c r="AZ58" s="1821"/>
      <c r="BA58" s="1821"/>
      <c r="BB58" s="1821"/>
      <c r="BC58" s="1821"/>
      <c r="BD58" s="1821"/>
      <c r="BE58" s="1821"/>
      <c r="BF58" s="1821"/>
      <c r="BG58" s="1821"/>
      <c r="BH58" s="1821"/>
      <c r="BI58" s="1821"/>
      <c r="BJ58" s="1821"/>
      <c r="BK58" s="1821"/>
      <c r="BL58" s="1821"/>
      <c r="BM58" s="1821"/>
      <c r="BN58" s="1821"/>
      <c r="BO58" s="1821"/>
      <c r="BP58" s="1821"/>
      <c r="BQ58" s="1821"/>
      <c r="BR58" s="1821"/>
      <c r="BS58" s="1821"/>
      <c r="BT58" s="1821"/>
      <c r="BU58" s="1821"/>
      <c r="BV58" s="1821"/>
      <c r="BW58" s="1821"/>
      <c r="BX58" s="1821"/>
      <c r="BY58" s="1821"/>
      <c r="BZ58" s="1821"/>
      <c r="CA58" s="1821"/>
      <c r="CB58" s="1821"/>
      <c r="CC58" s="1821"/>
      <c r="CD58" s="1821"/>
      <c r="CE58" s="1821"/>
      <c r="CF58" s="1821"/>
      <c r="CG58" s="1821"/>
      <c r="CH58" s="1821"/>
      <c r="CI58" s="1821"/>
      <c r="CJ58" s="1821"/>
      <c r="CK58" s="1821"/>
    </row>
    <row r="59" spans="1:89" s="675" customFormat="1" ht="24.75" customHeight="1" x14ac:dyDescent="0.25">
      <c r="A59" s="1210">
        <v>2</v>
      </c>
      <c r="B59" s="1211" t="s">
        <v>59</v>
      </c>
      <c r="C59" s="1212"/>
      <c r="D59" s="1213"/>
      <c r="E59" s="1214"/>
      <c r="F59" s="1214">
        <f>F61+F69+F72+F82</f>
        <v>0</v>
      </c>
      <c r="G59" s="1214">
        <f>G61+G69+G72+G82</f>
        <v>0</v>
      </c>
      <c r="H59" s="1214">
        <f>F59+G59</f>
        <v>0</v>
      </c>
      <c r="I59" s="1214">
        <f>I61+I69+I72+I82</f>
        <v>0</v>
      </c>
      <c r="J59" s="1214">
        <f>J61+J69+J72+J82</f>
        <v>10604800</v>
      </c>
      <c r="K59" s="1214">
        <f>I59+J59</f>
        <v>10604800</v>
      </c>
      <c r="L59" s="1214">
        <f>L61+L69+L72+L82</f>
        <v>10779580</v>
      </c>
      <c r="M59" s="1214">
        <f>M61+M69+M72+M82</f>
        <v>0</v>
      </c>
      <c r="N59" s="1214">
        <f>L59+M59</f>
        <v>10779580</v>
      </c>
      <c r="O59" s="1215">
        <f t="shared" ref="O59:O67" si="4">N59+K59+H59</f>
        <v>21384380</v>
      </c>
      <c r="P59" s="680"/>
      <c r="Q59" s="1821"/>
      <c r="R59" s="1821"/>
      <c r="S59" s="1821"/>
      <c r="T59" s="1821"/>
      <c r="U59" s="1821"/>
      <c r="V59" s="1821"/>
      <c r="W59" s="1821"/>
      <c r="X59" s="1821"/>
      <c r="Y59" s="1821"/>
      <c r="Z59" s="1821"/>
      <c r="AA59" s="1821"/>
      <c r="AB59" s="1821"/>
      <c r="AC59" s="1821"/>
      <c r="AD59" s="1821"/>
      <c r="AE59" s="1821"/>
      <c r="AF59" s="1821"/>
      <c r="AG59" s="1821"/>
      <c r="AH59" s="1821"/>
      <c r="AI59" s="1821"/>
      <c r="AJ59" s="1821"/>
      <c r="AK59" s="1821"/>
      <c r="AL59" s="1821"/>
      <c r="AM59" s="1821"/>
      <c r="AN59" s="1821"/>
      <c r="AO59" s="1821"/>
      <c r="AP59" s="1821"/>
      <c r="AQ59" s="1821"/>
      <c r="AR59" s="1821"/>
      <c r="AS59" s="1821"/>
      <c r="AT59" s="1821"/>
      <c r="AU59" s="1821"/>
      <c r="AV59" s="1821"/>
      <c r="AW59" s="1821"/>
      <c r="AX59" s="1821"/>
      <c r="AY59" s="1821"/>
      <c r="AZ59" s="1821"/>
      <c r="BA59" s="1821"/>
      <c r="BB59" s="1821"/>
      <c r="BC59" s="1821"/>
      <c r="BD59" s="1821"/>
      <c r="BE59" s="1821"/>
      <c r="BF59" s="1821"/>
      <c r="BG59" s="1821"/>
      <c r="BH59" s="1821"/>
      <c r="BI59" s="1821"/>
      <c r="BJ59" s="1821"/>
      <c r="BK59" s="1821"/>
      <c r="BL59" s="1821"/>
      <c r="BM59" s="1821"/>
      <c r="BN59" s="1821"/>
      <c r="BO59" s="1821"/>
      <c r="BP59" s="1821"/>
      <c r="BQ59" s="1821"/>
      <c r="BR59" s="1821"/>
      <c r="BS59" s="1821"/>
      <c r="BT59" s="1821"/>
      <c r="BU59" s="1821"/>
      <c r="BV59" s="1821"/>
      <c r="BW59" s="1821"/>
      <c r="BX59" s="1821"/>
      <c r="BY59" s="1821"/>
      <c r="BZ59" s="1821"/>
      <c r="CA59" s="1821"/>
      <c r="CB59" s="1821"/>
      <c r="CC59" s="1821"/>
      <c r="CD59" s="1821"/>
      <c r="CE59" s="1821"/>
      <c r="CF59" s="1821"/>
      <c r="CG59" s="1821"/>
      <c r="CH59" s="1821"/>
      <c r="CI59" s="1821"/>
      <c r="CJ59" s="1821"/>
      <c r="CK59" s="1821"/>
    </row>
    <row r="60" spans="1:89" s="675" customFormat="1" ht="17.25" customHeight="1" x14ac:dyDescent="0.25">
      <c r="A60" s="815"/>
      <c r="B60" s="816"/>
      <c r="C60" s="817"/>
      <c r="D60" s="807"/>
      <c r="E60" s="818"/>
      <c r="F60" s="818"/>
      <c r="G60" s="818"/>
      <c r="H60" s="818"/>
      <c r="I60" s="818"/>
      <c r="J60" s="818"/>
      <c r="K60" s="818"/>
      <c r="L60" s="818"/>
      <c r="M60" s="818"/>
      <c r="N60" s="818"/>
      <c r="O60" s="819">
        <f t="shared" si="4"/>
        <v>0</v>
      </c>
      <c r="P60" s="687"/>
      <c r="Q60" s="1821"/>
      <c r="R60" s="1821"/>
      <c r="S60" s="1821"/>
      <c r="T60" s="1821"/>
      <c r="U60" s="1821"/>
      <c r="V60" s="1821"/>
      <c r="W60" s="1821"/>
      <c r="X60" s="1821"/>
      <c r="Y60" s="1821"/>
      <c r="Z60" s="1821"/>
      <c r="AA60" s="1821"/>
      <c r="AB60" s="1821"/>
      <c r="AC60" s="1821"/>
      <c r="AD60" s="1821"/>
      <c r="AE60" s="1821"/>
      <c r="AF60" s="1821"/>
      <c r="AG60" s="1821"/>
      <c r="AH60" s="1821"/>
      <c r="AI60" s="1821"/>
      <c r="AJ60" s="1821"/>
      <c r="AK60" s="1821"/>
      <c r="AL60" s="1821"/>
      <c r="AM60" s="1821"/>
      <c r="AN60" s="1821"/>
      <c r="AO60" s="1821"/>
      <c r="AP60" s="1821"/>
      <c r="AQ60" s="1821"/>
      <c r="AR60" s="1821"/>
      <c r="AS60" s="1821"/>
      <c r="AT60" s="1821"/>
      <c r="AU60" s="1821"/>
      <c r="AV60" s="1821"/>
      <c r="AW60" s="1821"/>
      <c r="AX60" s="1821"/>
      <c r="AY60" s="1821"/>
      <c r="AZ60" s="1821"/>
      <c r="BA60" s="1821"/>
      <c r="BB60" s="1821"/>
      <c r="BC60" s="1821"/>
      <c r="BD60" s="1821"/>
      <c r="BE60" s="1821"/>
      <c r="BF60" s="1821"/>
      <c r="BG60" s="1821"/>
      <c r="BH60" s="1821"/>
      <c r="BI60" s="1821"/>
      <c r="BJ60" s="1821"/>
      <c r="BK60" s="1821"/>
      <c r="BL60" s="1821"/>
      <c r="BM60" s="1821"/>
      <c r="BN60" s="1821"/>
      <c r="BO60" s="1821"/>
      <c r="BP60" s="1821"/>
      <c r="BQ60" s="1821"/>
      <c r="BR60" s="1821"/>
      <c r="BS60" s="1821"/>
      <c r="BT60" s="1821"/>
      <c r="BU60" s="1821"/>
      <c r="BV60" s="1821"/>
      <c r="BW60" s="1821"/>
      <c r="BX60" s="1821"/>
      <c r="BY60" s="1821"/>
      <c r="BZ60" s="1821"/>
      <c r="CA60" s="1821"/>
      <c r="CB60" s="1821"/>
      <c r="CC60" s="1821"/>
      <c r="CD60" s="1821"/>
      <c r="CE60" s="1821"/>
      <c r="CF60" s="1821"/>
      <c r="CG60" s="1821"/>
      <c r="CH60" s="1821"/>
      <c r="CI60" s="1821"/>
      <c r="CJ60" s="1821"/>
      <c r="CK60" s="1821"/>
    </row>
    <row r="61" spans="1:89" s="676" customFormat="1" ht="31.5" customHeight="1" x14ac:dyDescent="0.25">
      <c r="A61" s="1210" t="s">
        <v>15</v>
      </c>
      <c r="B61" s="1211" t="s">
        <v>1156</v>
      </c>
      <c r="C61" s="1212"/>
      <c r="D61" s="1213"/>
      <c r="E61" s="1214"/>
      <c r="F61" s="1214">
        <f>SUM(F62:F67)</f>
        <v>0</v>
      </c>
      <c r="G61" s="1214">
        <f>SUM(G62:G67)</f>
        <v>0</v>
      </c>
      <c r="H61" s="1214">
        <f>G61+F61</f>
        <v>0</v>
      </c>
      <c r="I61" s="1214">
        <f>SUM(I62:I67)</f>
        <v>0</v>
      </c>
      <c r="J61" s="1214">
        <f>SUM(J62:J67)</f>
        <v>0</v>
      </c>
      <c r="K61" s="1214">
        <f>J61+I61</f>
        <v>0</v>
      </c>
      <c r="L61" s="1214">
        <f>SUM(L62:L67)</f>
        <v>10779580</v>
      </c>
      <c r="M61" s="1214">
        <f>SUM(M62:M67)</f>
        <v>0</v>
      </c>
      <c r="N61" s="1214">
        <f>M61+L61</f>
        <v>10779580</v>
      </c>
      <c r="O61" s="1215">
        <f t="shared" si="4"/>
        <v>10779580</v>
      </c>
      <c r="P61" s="680"/>
      <c r="Q61" s="1822"/>
      <c r="R61" s="1822"/>
      <c r="S61" s="1822"/>
      <c r="T61" s="1822"/>
      <c r="U61" s="1822"/>
      <c r="V61" s="1822"/>
      <c r="W61" s="1822"/>
      <c r="X61" s="1822"/>
      <c r="Y61" s="1822"/>
      <c r="Z61" s="1822"/>
      <c r="AA61" s="1822"/>
      <c r="AB61" s="1822"/>
      <c r="AC61" s="1822"/>
      <c r="AD61" s="1822"/>
      <c r="AE61" s="1822"/>
      <c r="AF61" s="1822"/>
      <c r="AG61" s="1822"/>
      <c r="AH61" s="1822"/>
      <c r="AI61" s="1822"/>
      <c r="AJ61" s="1822"/>
      <c r="AK61" s="1822"/>
      <c r="AL61" s="1822"/>
      <c r="AM61" s="1822"/>
      <c r="AN61" s="1822"/>
      <c r="AO61" s="1822"/>
      <c r="AP61" s="1822"/>
      <c r="AQ61" s="1822"/>
      <c r="AR61" s="1822"/>
      <c r="AS61" s="1822"/>
      <c r="AT61" s="1822"/>
      <c r="AU61" s="1822"/>
      <c r="AV61" s="1822"/>
      <c r="AW61" s="1822"/>
      <c r="AX61" s="1822"/>
      <c r="AY61" s="1822"/>
      <c r="AZ61" s="1822"/>
      <c r="BA61" s="1822"/>
      <c r="BB61" s="1822"/>
      <c r="BC61" s="1822"/>
      <c r="BD61" s="1822"/>
      <c r="BE61" s="1822"/>
      <c r="BF61" s="1822"/>
      <c r="BG61" s="1822"/>
      <c r="BH61" s="1822"/>
      <c r="BI61" s="1822"/>
      <c r="BJ61" s="1822"/>
      <c r="BK61" s="1822"/>
      <c r="BL61" s="1822"/>
      <c r="BM61" s="1822"/>
      <c r="BN61" s="1822"/>
      <c r="BO61" s="1822"/>
      <c r="BP61" s="1822"/>
      <c r="BQ61" s="1822"/>
      <c r="BR61" s="1822"/>
      <c r="BS61" s="1822"/>
      <c r="BT61" s="1822"/>
      <c r="BU61" s="1822"/>
      <c r="BV61" s="1822"/>
      <c r="BW61" s="1822"/>
      <c r="BX61" s="1822"/>
      <c r="BY61" s="1822"/>
      <c r="BZ61" s="1822"/>
      <c r="CA61" s="1822"/>
      <c r="CB61" s="1822"/>
      <c r="CC61" s="1822"/>
      <c r="CD61" s="1822"/>
      <c r="CE61" s="1822"/>
      <c r="CF61" s="1822"/>
      <c r="CG61" s="1822"/>
      <c r="CH61" s="1822"/>
      <c r="CI61" s="1822"/>
      <c r="CJ61" s="1822"/>
      <c r="CK61" s="1822"/>
    </row>
    <row r="62" spans="1:89" s="675" customFormat="1" ht="17.25" customHeight="1" x14ac:dyDescent="0.2">
      <c r="A62" s="681">
        <v>1</v>
      </c>
      <c r="B62" s="1242" t="s">
        <v>649</v>
      </c>
      <c r="C62" s="1243">
        <v>1</v>
      </c>
      <c r="D62" s="833" t="s">
        <v>60</v>
      </c>
      <c r="E62" s="1244">
        <v>2059025</v>
      </c>
      <c r="F62" s="685"/>
      <c r="G62" s="685"/>
      <c r="H62" s="685"/>
      <c r="I62" s="685"/>
      <c r="J62" s="685"/>
      <c r="K62" s="685"/>
      <c r="L62" s="685">
        <f t="shared" ref="L62:L67" si="5">E62*C62</f>
        <v>2059025</v>
      </c>
      <c r="M62" s="685"/>
      <c r="N62" s="685">
        <f t="shared" ref="N62:N67" si="6">L62+M62</f>
        <v>2059025</v>
      </c>
      <c r="O62" s="686">
        <f t="shared" si="4"/>
        <v>2059025</v>
      </c>
      <c r="P62" s="687"/>
      <c r="Q62" s="1821"/>
      <c r="R62" s="1821"/>
      <c r="S62" s="1821"/>
      <c r="T62" s="1821"/>
      <c r="U62" s="1821"/>
      <c r="V62" s="1821"/>
      <c r="W62" s="1821"/>
      <c r="X62" s="1821"/>
      <c r="Y62" s="1821"/>
      <c r="Z62" s="1821"/>
      <c r="AA62" s="1821"/>
      <c r="AB62" s="1821"/>
      <c r="AC62" s="1821"/>
      <c r="AD62" s="1821"/>
      <c r="AE62" s="1821"/>
      <c r="AF62" s="1821"/>
      <c r="AG62" s="1821"/>
      <c r="AH62" s="1821"/>
      <c r="AI62" s="1821"/>
      <c r="AJ62" s="1821"/>
      <c r="AK62" s="1821"/>
      <c r="AL62" s="1821"/>
      <c r="AM62" s="1821"/>
      <c r="AN62" s="1821"/>
      <c r="AO62" s="1821"/>
      <c r="AP62" s="1821"/>
      <c r="AQ62" s="1821"/>
      <c r="AR62" s="1821"/>
      <c r="AS62" s="1821"/>
      <c r="AT62" s="1821"/>
      <c r="AU62" s="1821"/>
      <c r="AV62" s="1821"/>
      <c r="AW62" s="1821"/>
      <c r="AX62" s="1821"/>
      <c r="AY62" s="1821"/>
      <c r="AZ62" s="1821"/>
      <c r="BA62" s="1821"/>
      <c r="BB62" s="1821"/>
      <c r="BC62" s="1821"/>
      <c r="BD62" s="1821"/>
      <c r="BE62" s="1821"/>
      <c r="BF62" s="1821"/>
      <c r="BG62" s="1821"/>
      <c r="BH62" s="1821"/>
      <c r="BI62" s="1821"/>
      <c r="BJ62" s="1821"/>
      <c r="BK62" s="1821"/>
      <c r="BL62" s="1821"/>
      <c r="BM62" s="1821"/>
      <c r="BN62" s="1821"/>
      <c r="BO62" s="1821"/>
      <c r="BP62" s="1821"/>
      <c r="BQ62" s="1821"/>
      <c r="BR62" s="1821"/>
      <c r="BS62" s="1821"/>
      <c r="BT62" s="1821"/>
      <c r="BU62" s="1821"/>
      <c r="BV62" s="1821"/>
      <c r="BW62" s="1821"/>
      <c r="BX62" s="1821"/>
      <c r="BY62" s="1821"/>
      <c r="BZ62" s="1821"/>
      <c r="CA62" s="1821"/>
      <c r="CB62" s="1821"/>
      <c r="CC62" s="1821"/>
      <c r="CD62" s="1821"/>
      <c r="CE62" s="1821"/>
      <c r="CF62" s="1821"/>
      <c r="CG62" s="1821"/>
      <c r="CH62" s="1821"/>
      <c r="CI62" s="1821"/>
      <c r="CJ62" s="1821"/>
      <c r="CK62" s="1821"/>
    </row>
    <row r="63" spans="1:89" s="675" customFormat="1" ht="17.25" customHeight="1" x14ac:dyDescent="0.2">
      <c r="A63" s="692">
        <v>2</v>
      </c>
      <c r="B63" s="1245" t="s">
        <v>650</v>
      </c>
      <c r="C63" s="1246">
        <v>1</v>
      </c>
      <c r="D63" s="762" t="s">
        <v>60</v>
      </c>
      <c r="E63" s="1247">
        <v>1275274</v>
      </c>
      <c r="F63" s="695"/>
      <c r="G63" s="695"/>
      <c r="H63" s="695"/>
      <c r="I63" s="695"/>
      <c r="J63" s="695"/>
      <c r="K63" s="695"/>
      <c r="L63" s="695">
        <f t="shared" si="5"/>
        <v>1275274</v>
      </c>
      <c r="M63" s="695"/>
      <c r="N63" s="695">
        <f t="shared" si="6"/>
        <v>1275274</v>
      </c>
      <c r="O63" s="696">
        <f t="shared" si="4"/>
        <v>1275274</v>
      </c>
      <c r="P63" s="687"/>
      <c r="Q63" s="1821"/>
      <c r="R63" s="1821"/>
      <c r="S63" s="1821"/>
      <c r="T63" s="1821"/>
      <c r="U63" s="1821"/>
      <c r="V63" s="1821"/>
      <c r="W63" s="1821"/>
      <c r="X63" s="1821"/>
      <c r="Y63" s="1821"/>
      <c r="Z63" s="1821"/>
      <c r="AA63" s="1821"/>
      <c r="AB63" s="1821"/>
      <c r="AC63" s="1821"/>
      <c r="AD63" s="1821"/>
      <c r="AE63" s="1821"/>
      <c r="AF63" s="1821"/>
      <c r="AG63" s="1821"/>
      <c r="AH63" s="1821"/>
      <c r="AI63" s="1821"/>
      <c r="AJ63" s="1821"/>
      <c r="AK63" s="1821"/>
      <c r="AL63" s="1821"/>
      <c r="AM63" s="1821"/>
      <c r="AN63" s="1821"/>
      <c r="AO63" s="1821"/>
      <c r="AP63" s="1821"/>
      <c r="AQ63" s="1821"/>
      <c r="AR63" s="1821"/>
      <c r="AS63" s="1821"/>
      <c r="AT63" s="1821"/>
      <c r="AU63" s="1821"/>
      <c r="AV63" s="1821"/>
      <c r="AW63" s="1821"/>
      <c r="AX63" s="1821"/>
      <c r="AY63" s="1821"/>
      <c r="AZ63" s="1821"/>
      <c r="BA63" s="1821"/>
      <c r="BB63" s="1821"/>
      <c r="BC63" s="1821"/>
      <c r="BD63" s="1821"/>
      <c r="BE63" s="1821"/>
      <c r="BF63" s="1821"/>
      <c r="BG63" s="1821"/>
      <c r="BH63" s="1821"/>
      <c r="BI63" s="1821"/>
      <c r="BJ63" s="1821"/>
      <c r="BK63" s="1821"/>
      <c r="BL63" s="1821"/>
      <c r="BM63" s="1821"/>
      <c r="BN63" s="1821"/>
      <c r="BO63" s="1821"/>
      <c r="BP63" s="1821"/>
      <c r="BQ63" s="1821"/>
      <c r="BR63" s="1821"/>
      <c r="BS63" s="1821"/>
      <c r="BT63" s="1821"/>
      <c r="BU63" s="1821"/>
      <c r="BV63" s="1821"/>
      <c r="BW63" s="1821"/>
      <c r="BX63" s="1821"/>
      <c r="BY63" s="1821"/>
      <c r="BZ63" s="1821"/>
      <c r="CA63" s="1821"/>
      <c r="CB63" s="1821"/>
      <c r="CC63" s="1821"/>
      <c r="CD63" s="1821"/>
      <c r="CE63" s="1821"/>
      <c r="CF63" s="1821"/>
      <c r="CG63" s="1821"/>
      <c r="CH63" s="1821"/>
      <c r="CI63" s="1821"/>
      <c r="CJ63" s="1821"/>
      <c r="CK63" s="1821"/>
    </row>
    <row r="64" spans="1:89" s="675" customFormat="1" ht="17.25" customHeight="1" x14ac:dyDescent="0.2">
      <c r="A64" s="692">
        <v>3</v>
      </c>
      <c r="B64" s="1245" t="s">
        <v>651</v>
      </c>
      <c r="C64" s="1246">
        <v>1</v>
      </c>
      <c r="D64" s="762" t="s">
        <v>60</v>
      </c>
      <c r="E64" s="1247">
        <v>2172703</v>
      </c>
      <c r="F64" s="695"/>
      <c r="G64" s="695"/>
      <c r="H64" s="695"/>
      <c r="I64" s="695"/>
      <c r="J64" s="695"/>
      <c r="K64" s="695"/>
      <c r="L64" s="695">
        <f t="shared" si="5"/>
        <v>2172703</v>
      </c>
      <c r="M64" s="695"/>
      <c r="N64" s="695">
        <f t="shared" si="6"/>
        <v>2172703</v>
      </c>
      <c r="O64" s="696">
        <f t="shared" si="4"/>
        <v>2172703</v>
      </c>
      <c r="P64" s="687"/>
      <c r="Q64" s="1821"/>
      <c r="R64" s="1821"/>
      <c r="S64" s="1821"/>
      <c r="T64" s="1821"/>
      <c r="U64" s="1821"/>
      <c r="V64" s="1821"/>
      <c r="W64" s="1821"/>
      <c r="X64" s="1821"/>
      <c r="Y64" s="1821"/>
      <c r="Z64" s="1821"/>
      <c r="AA64" s="1821"/>
      <c r="AB64" s="1821"/>
      <c r="AC64" s="1821"/>
      <c r="AD64" s="1821"/>
      <c r="AE64" s="1821"/>
      <c r="AF64" s="1821"/>
      <c r="AG64" s="1821"/>
      <c r="AH64" s="1821"/>
      <c r="AI64" s="1821"/>
      <c r="AJ64" s="1821"/>
      <c r="AK64" s="1821"/>
      <c r="AL64" s="1821"/>
      <c r="AM64" s="1821"/>
      <c r="AN64" s="1821"/>
      <c r="AO64" s="1821"/>
      <c r="AP64" s="1821"/>
      <c r="AQ64" s="1821"/>
      <c r="AR64" s="1821"/>
      <c r="AS64" s="1821"/>
      <c r="AT64" s="1821"/>
      <c r="AU64" s="1821"/>
      <c r="AV64" s="1821"/>
      <c r="AW64" s="1821"/>
      <c r="AX64" s="1821"/>
      <c r="AY64" s="1821"/>
      <c r="AZ64" s="1821"/>
      <c r="BA64" s="1821"/>
      <c r="BB64" s="1821"/>
      <c r="BC64" s="1821"/>
      <c r="BD64" s="1821"/>
      <c r="BE64" s="1821"/>
      <c r="BF64" s="1821"/>
      <c r="BG64" s="1821"/>
      <c r="BH64" s="1821"/>
      <c r="BI64" s="1821"/>
      <c r="BJ64" s="1821"/>
      <c r="BK64" s="1821"/>
      <c r="BL64" s="1821"/>
      <c r="BM64" s="1821"/>
      <c r="BN64" s="1821"/>
      <c r="BO64" s="1821"/>
      <c r="BP64" s="1821"/>
      <c r="BQ64" s="1821"/>
      <c r="BR64" s="1821"/>
      <c r="BS64" s="1821"/>
      <c r="BT64" s="1821"/>
      <c r="BU64" s="1821"/>
      <c r="BV64" s="1821"/>
      <c r="BW64" s="1821"/>
      <c r="BX64" s="1821"/>
      <c r="BY64" s="1821"/>
      <c r="BZ64" s="1821"/>
      <c r="CA64" s="1821"/>
      <c r="CB64" s="1821"/>
      <c r="CC64" s="1821"/>
      <c r="CD64" s="1821"/>
      <c r="CE64" s="1821"/>
      <c r="CF64" s="1821"/>
      <c r="CG64" s="1821"/>
      <c r="CH64" s="1821"/>
      <c r="CI64" s="1821"/>
      <c r="CJ64" s="1821"/>
      <c r="CK64" s="1821"/>
    </row>
    <row r="65" spans="1:89" s="675" customFormat="1" ht="17.25" customHeight="1" x14ac:dyDescent="0.2">
      <c r="A65" s="692">
        <v>4</v>
      </c>
      <c r="B65" s="1245" t="s">
        <v>1669</v>
      </c>
      <c r="C65" s="1246">
        <v>1</v>
      </c>
      <c r="D65" s="762" t="s">
        <v>60</v>
      </c>
      <c r="E65" s="1247">
        <v>2030525</v>
      </c>
      <c r="F65" s="695"/>
      <c r="G65" s="695"/>
      <c r="H65" s="695"/>
      <c r="I65" s="695"/>
      <c r="J65" s="695"/>
      <c r="K65" s="695"/>
      <c r="L65" s="695">
        <f t="shared" si="5"/>
        <v>2030525</v>
      </c>
      <c r="M65" s="695"/>
      <c r="N65" s="695">
        <f t="shared" si="6"/>
        <v>2030525</v>
      </c>
      <c r="O65" s="696">
        <f t="shared" si="4"/>
        <v>2030525</v>
      </c>
      <c r="P65" s="687"/>
      <c r="Q65" s="1821"/>
      <c r="R65" s="1821"/>
      <c r="S65" s="1821"/>
      <c r="T65" s="1821"/>
      <c r="U65" s="1821"/>
      <c r="V65" s="1821"/>
      <c r="W65" s="1821"/>
      <c r="X65" s="1821"/>
      <c r="Y65" s="1821"/>
      <c r="Z65" s="1821"/>
      <c r="AA65" s="1821"/>
      <c r="AB65" s="1821"/>
      <c r="AC65" s="1821"/>
      <c r="AD65" s="1821"/>
      <c r="AE65" s="1821"/>
      <c r="AF65" s="1821"/>
      <c r="AG65" s="1821"/>
      <c r="AH65" s="1821"/>
      <c r="AI65" s="1821"/>
      <c r="AJ65" s="1821"/>
      <c r="AK65" s="1821"/>
      <c r="AL65" s="1821"/>
      <c r="AM65" s="1821"/>
      <c r="AN65" s="1821"/>
      <c r="AO65" s="1821"/>
      <c r="AP65" s="1821"/>
      <c r="AQ65" s="1821"/>
      <c r="AR65" s="1821"/>
      <c r="AS65" s="1821"/>
      <c r="AT65" s="1821"/>
      <c r="AU65" s="1821"/>
      <c r="AV65" s="1821"/>
      <c r="AW65" s="1821"/>
      <c r="AX65" s="1821"/>
      <c r="AY65" s="1821"/>
      <c r="AZ65" s="1821"/>
      <c r="BA65" s="1821"/>
      <c r="BB65" s="1821"/>
      <c r="BC65" s="1821"/>
      <c r="BD65" s="1821"/>
      <c r="BE65" s="1821"/>
      <c r="BF65" s="1821"/>
      <c r="BG65" s="1821"/>
      <c r="BH65" s="1821"/>
      <c r="BI65" s="1821"/>
      <c r="BJ65" s="1821"/>
      <c r="BK65" s="1821"/>
      <c r="BL65" s="1821"/>
      <c r="BM65" s="1821"/>
      <c r="BN65" s="1821"/>
      <c r="BO65" s="1821"/>
      <c r="BP65" s="1821"/>
      <c r="BQ65" s="1821"/>
      <c r="BR65" s="1821"/>
      <c r="BS65" s="1821"/>
      <c r="BT65" s="1821"/>
      <c r="BU65" s="1821"/>
      <c r="BV65" s="1821"/>
      <c r="BW65" s="1821"/>
      <c r="BX65" s="1821"/>
      <c r="BY65" s="1821"/>
      <c r="BZ65" s="1821"/>
      <c r="CA65" s="1821"/>
      <c r="CB65" s="1821"/>
      <c r="CC65" s="1821"/>
      <c r="CD65" s="1821"/>
      <c r="CE65" s="1821"/>
      <c r="CF65" s="1821"/>
      <c r="CG65" s="1821"/>
      <c r="CH65" s="1821"/>
      <c r="CI65" s="1821"/>
      <c r="CJ65" s="1821"/>
      <c r="CK65" s="1821"/>
    </row>
    <row r="66" spans="1:89" s="675" customFormat="1" ht="17.25" customHeight="1" x14ac:dyDescent="0.2">
      <c r="A66" s="692">
        <v>5</v>
      </c>
      <c r="B66" s="1245" t="s">
        <v>1861</v>
      </c>
      <c r="C66" s="1246">
        <v>1</v>
      </c>
      <c r="D66" s="762" t="s">
        <v>60</v>
      </c>
      <c r="E66" s="1247">
        <v>2242053</v>
      </c>
      <c r="F66" s="695"/>
      <c r="G66" s="695"/>
      <c r="H66" s="695"/>
      <c r="I66" s="695"/>
      <c r="J66" s="695"/>
      <c r="K66" s="695"/>
      <c r="L66" s="695">
        <f t="shared" si="5"/>
        <v>2242053</v>
      </c>
      <c r="M66" s="695"/>
      <c r="N66" s="695">
        <f t="shared" si="6"/>
        <v>2242053</v>
      </c>
      <c r="O66" s="696">
        <f t="shared" si="4"/>
        <v>2242053</v>
      </c>
      <c r="P66" s="687"/>
      <c r="Q66" s="1821"/>
      <c r="R66" s="1821"/>
      <c r="S66" s="1821"/>
      <c r="T66" s="1821"/>
      <c r="U66" s="1821"/>
      <c r="V66" s="1821"/>
      <c r="W66" s="1821"/>
      <c r="X66" s="1821"/>
      <c r="Y66" s="1821"/>
      <c r="Z66" s="1821"/>
      <c r="AA66" s="1821"/>
      <c r="AB66" s="1821"/>
      <c r="AC66" s="1821"/>
      <c r="AD66" s="1821"/>
      <c r="AE66" s="1821"/>
      <c r="AF66" s="1821"/>
      <c r="AG66" s="1821"/>
      <c r="AH66" s="1821"/>
      <c r="AI66" s="1821"/>
      <c r="AJ66" s="1821"/>
      <c r="AK66" s="1821"/>
      <c r="AL66" s="1821"/>
      <c r="AM66" s="1821"/>
      <c r="AN66" s="1821"/>
      <c r="AO66" s="1821"/>
      <c r="AP66" s="1821"/>
      <c r="AQ66" s="1821"/>
      <c r="AR66" s="1821"/>
      <c r="AS66" s="1821"/>
      <c r="AT66" s="1821"/>
      <c r="AU66" s="1821"/>
      <c r="AV66" s="1821"/>
      <c r="AW66" s="1821"/>
      <c r="AX66" s="1821"/>
      <c r="AY66" s="1821"/>
      <c r="AZ66" s="1821"/>
      <c r="BA66" s="1821"/>
      <c r="BB66" s="1821"/>
      <c r="BC66" s="1821"/>
      <c r="BD66" s="1821"/>
      <c r="BE66" s="1821"/>
      <c r="BF66" s="1821"/>
      <c r="BG66" s="1821"/>
      <c r="BH66" s="1821"/>
      <c r="BI66" s="1821"/>
      <c r="BJ66" s="1821"/>
      <c r="BK66" s="1821"/>
      <c r="BL66" s="1821"/>
      <c r="BM66" s="1821"/>
      <c r="BN66" s="1821"/>
      <c r="BO66" s="1821"/>
      <c r="BP66" s="1821"/>
      <c r="BQ66" s="1821"/>
      <c r="BR66" s="1821"/>
      <c r="BS66" s="1821"/>
      <c r="BT66" s="1821"/>
      <c r="BU66" s="1821"/>
      <c r="BV66" s="1821"/>
      <c r="BW66" s="1821"/>
      <c r="BX66" s="1821"/>
      <c r="BY66" s="1821"/>
      <c r="BZ66" s="1821"/>
      <c r="CA66" s="1821"/>
      <c r="CB66" s="1821"/>
      <c r="CC66" s="1821"/>
      <c r="CD66" s="1821"/>
      <c r="CE66" s="1821"/>
      <c r="CF66" s="1821"/>
      <c r="CG66" s="1821"/>
      <c r="CH66" s="1821"/>
      <c r="CI66" s="1821"/>
      <c r="CJ66" s="1821"/>
      <c r="CK66" s="1821"/>
    </row>
    <row r="67" spans="1:89" ht="17.25" customHeight="1" x14ac:dyDescent="0.25">
      <c r="A67" s="692">
        <v>6</v>
      </c>
      <c r="B67" s="1248" t="s">
        <v>1862</v>
      </c>
      <c r="C67" s="693">
        <v>1</v>
      </c>
      <c r="D67" s="727" t="s">
        <v>16</v>
      </c>
      <c r="E67" s="695">
        <v>1000000</v>
      </c>
      <c r="F67" s="695"/>
      <c r="G67" s="695"/>
      <c r="H67" s="695"/>
      <c r="I67" s="695"/>
      <c r="J67" s="695"/>
      <c r="K67" s="695"/>
      <c r="L67" s="695">
        <f t="shared" si="5"/>
        <v>1000000</v>
      </c>
      <c r="M67" s="695"/>
      <c r="N67" s="695">
        <f t="shared" si="6"/>
        <v>1000000</v>
      </c>
      <c r="O67" s="696">
        <f t="shared" si="4"/>
        <v>1000000</v>
      </c>
      <c r="P67" s="687"/>
    </row>
    <row r="68" spans="1:89" ht="17.25" customHeight="1" x14ac:dyDescent="0.2">
      <c r="A68" s="820"/>
      <c r="B68" s="1249"/>
      <c r="C68" s="830"/>
      <c r="D68" s="831"/>
      <c r="E68" s="821"/>
      <c r="F68" s="821"/>
      <c r="G68" s="821"/>
      <c r="H68" s="821"/>
      <c r="I68" s="821"/>
      <c r="J68" s="821"/>
      <c r="K68" s="821"/>
      <c r="L68" s="821"/>
      <c r="M68" s="821"/>
      <c r="N68" s="821"/>
      <c r="O68" s="822"/>
      <c r="P68" s="687"/>
    </row>
    <row r="69" spans="1:89" s="672" customFormat="1" ht="17.25" customHeight="1" x14ac:dyDescent="0.2">
      <c r="A69" s="1210"/>
      <c r="B69" s="1250" t="s">
        <v>74</v>
      </c>
      <c r="C69" s="1212"/>
      <c r="D69" s="1213"/>
      <c r="E69" s="1214"/>
      <c r="F69" s="1214">
        <f>SUM(F70:F70)</f>
        <v>0</v>
      </c>
      <c r="G69" s="1214">
        <f>SUM(G70:G70)</f>
        <v>0</v>
      </c>
      <c r="H69" s="1214">
        <f>G69+F69</f>
        <v>0</v>
      </c>
      <c r="I69" s="1214">
        <f>SUM(I70:I70)</f>
        <v>0</v>
      </c>
      <c r="J69" s="1214">
        <f>SUM(J70:J70)</f>
        <v>7500000</v>
      </c>
      <c r="K69" s="1214">
        <f>J69+I69</f>
        <v>7500000</v>
      </c>
      <c r="L69" s="1214">
        <f>SUM(L70:L70)</f>
        <v>0</v>
      </c>
      <c r="M69" s="1214">
        <f>SUM(M70:M70)</f>
        <v>0</v>
      </c>
      <c r="N69" s="1214">
        <f>M69+L69</f>
        <v>0</v>
      </c>
      <c r="O69" s="1215">
        <f>N69+K69+H69</f>
        <v>7500000</v>
      </c>
      <c r="P69" s="680"/>
      <c r="Q69" s="1581"/>
      <c r="R69" s="1581"/>
      <c r="S69" s="1581"/>
      <c r="T69" s="1581"/>
      <c r="U69" s="1581"/>
      <c r="V69" s="1581"/>
      <c r="W69" s="1581"/>
      <c r="X69" s="1581"/>
      <c r="Y69" s="1581"/>
      <c r="Z69" s="1581"/>
      <c r="AA69" s="1581"/>
      <c r="AB69" s="1581"/>
      <c r="AC69" s="1581"/>
      <c r="AD69" s="1581"/>
      <c r="AE69" s="1581"/>
      <c r="AF69" s="1581"/>
      <c r="AG69" s="1581"/>
      <c r="AH69" s="1581"/>
      <c r="AI69" s="1581"/>
      <c r="AJ69" s="1581"/>
      <c r="AK69" s="1581"/>
      <c r="AL69" s="1581"/>
      <c r="AM69" s="1581"/>
      <c r="AN69" s="1581"/>
      <c r="AO69" s="1581"/>
      <c r="AP69" s="1581"/>
      <c r="AQ69" s="1581"/>
      <c r="AR69" s="1581"/>
      <c r="AS69" s="1581"/>
      <c r="AT69" s="1581"/>
      <c r="AU69" s="1581"/>
      <c r="AV69" s="1581"/>
      <c r="AW69" s="1581"/>
      <c r="AX69" s="1581"/>
      <c r="AY69" s="1581"/>
      <c r="AZ69" s="1581"/>
      <c r="BA69" s="1581"/>
      <c r="BB69" s="1581"/>
      <c r="BC69" s="1581"/>
      <c r="BD69" s="1581"/>
      <c r="BE69" s="1581"/>
      <c r="BF69" s="1581"/>
      <c r="BG69" s="1581"/>
      <c r="BH69" s="1581"/>
      <c r="BI69" s="1581"/>
      <c r="BJ69" s="1581"/>
      <c r="BK69" s="1581"/>
      <c r="BL69" s="1581"/>
      <c r="BM69" s="1581"/>
      <c r="BN69" s="1581"/>
      <c r="BO69" s="1581"/>
      <c r="BP69" s="1581"/>
      <c r="BQ69" s="1581"/>
      <c r="BR69" s="1581"/>
      <c r="BS69" s="1581"/>
      <c r="BT69" s="1581"/>
      <c r="BU69" s="1581"/>
      <c r="BV69" s="1581"/>
      <c r="BW69" s="1581"/>
      <c r="BX69" s="1581"/>
      <c r="BY69" s="1581"/>
      <c r="BZ69" s="1581"/>
      <c r="CA69" s="1581"/>
      <c r="CB69" s="1581"/>
      <c r="CC69" s="1581"/>
      <c r="CD69" s="1581"/>
      <c r="CE69" s="1581"/>
      <c r="CF69" s="1581"/>
      <c r="CG69" s="1581"/>
      <c r="CH69" s="1581"/>
      <c r="CI69" s="1581"/>
      <c r="CJ69" s="1581"/>
      <c r="CK69" s="1581"/>
    </row>
    <row r="70" spans="1:89" ht="17.25" customHeight="1" x14ac:dyDescent="0.2">
      <c r="A70" s="681">
        <v>1</v>
      </c>
      <c r="B70" s="1251" t="s">
        <v>1490</v>
      </c>
      <c r="C70" s="682">
        <v>1</v>
      </c>
      <c r="D70" s="683" t="s">
        <v>18</v>
      </c>
      <c r="E70" s="685">
        <f>7500000</f>
        <v>7500000</v>
      </c>
      <c r="F70" s="685"/>
      <c r="G70" s="685"/>
      <c r="H70" s="685"/>
      <c r="I70" s="685"/>
      <c r="J70" s="685">
        <f>C70*E70</f>
        <v>7500000</v>
      </c>
      <c r="K70" s="685">
        <f>I70+J70</f>
        <v>7500000</v>
      </c>
      <c r="L70" s="685"/>
      <c r="M70" s="685"/>
      <c r="N70" s="685"/>
      <c r="O70" s="686">
        <f>N70+K70+H70</f>
        <v>7500000</v>
      </c>
      <c r="P70" s="687"/>
    </row>
    <row r="71" spans="1:89" ht="17.25" customHeight="1" x14ac:dyDescent="0.25">
      <c r="A71" s="717"/>
      <c r="B71" s="1252"/>
      <c r="C71" s="834"/>
      <c r="D71" s="1253"/>
      <c r="E71" s="821"/>
      <c r="F71" s="722"/>
      <c r="G71" s="722"/>
      <c r="H71" s="722"/>
      <c r="I71" s="722"/>
      <c r="J71" s="722"/>
      <c r="K71" s="722"/>
      <c r="L71" s="722"/>
      <c r="M71" s="722"/>
      <c r="N71" s="722"/>
      <c r="O71" s="723"/>
      <c r="P71" s="702"/>
    </row>
    <row r="72" spans="1:89" s="672" customFormat="1" ht="17.25" customHeight="1" x14ac:dyDescent="0.25">
      <c r="A72" s="1227" t="s">
        <v>22</v>
      </c>
      <c r="B72" s="1254" t="s">
        <v>23</v>
      </c>
      <c r="C72" s="1255"/>
      <c r="D72" s="1256"/>
      <c r="E72" s="1214"/>
      <c r="F72" s="1231">
        <f>SUM(F73:F80)</f>
        <v>0</v>
      </c>
      <c r="G72" s="1231">
        <f>SUM(G73:G80)</f>
        <v>0</v>
      </c>
      <c r="H72" s="1231">
        <f>F72+G72</f>
        <v>0</v>
      </c>
      <c r="I72" s="1231">
        <f>SUM(I73:I80)</f>
        <v>0</v>
      </c>
      <c r="J72" s="1231">
        <f>SUM(J73:J80)</f>
        <v>2533600</v>
      </c>
      <c r="K72" s="1231">
        <f>I72+J72</f>
        <v>2533600</v>
      </c>
      <c r="L72" s="1231">
        <f>SUM(L73:L80)</f>
        <v>0</v>
      </c>
      <c r="M72" s="1231">
        <f>SUM(M73:M80)</f>
        <v>0</v>
      </c>
      <c r="N72" s="1231">
        <f>L72+M72</f>
        <v>0</v>
      </c>
      <c r="O72" s="1232">
        <f>N72+K72+H72</f>
        <v>2533600</v>
      </c>
      <c r="P72" s="823"/>
      <c r="Q72" s="1581"/>
      <c r="R72" s="1581"/>
      <c r="S72" s="1581"/>
      <c r="T72" s="1581"/>
      <c r="U72" s="1581"/>
      <c r="V72" s="1581"/>
      <c r="W72" s="1581"/>
      <c r="X72" s="1581"/>
      <c r="Y72" s="1581"/>
      <c r="Z72" s="1581"/>
      <c r="AA72" s="1581"/>
      <c r="AB72" s="1581"/>
      <c r="AC72" s="1581"/>
      <c r="AD72" s="1581"/>
      <c r="AE72" s="1581"/>
      <c r="AF72" s="1581"/>
      <c r="AG72" s="1581"/>
      <c r="AH72" s="1581"/>
      <c r="AI72" s="1581"/>
      <c r="AJ72" s="1581"/>
      <c r="AK72" s="1581"/>
      <c r="AL72" s="1581"/>
      <c r="AM72" s="1581"/>
      <c r="AN72" s="1581"/>
      <c r="AO72" s="1581"/>
      <c r="AP72" s="1581"/>
      <c r="AQ72" s="1581"/>
      <c r="AR72" s="1581"/>
      <c r="AS72" s="1581"/>
      <c r="AT72" s="1581"/>
      <c r="AU72" s="1581"/>
      <c r="AV72" s="1581"/>
      <c r="AW72" s="1581"/>
      <c r="AX72" s="1581"/>
      <c r="AY72" s="1581"/>
      <c r="AZ72" s="1581"/>
      <c r="BA72" s="1581"/>
      <c r="BB72" s="1581"/>
      <c r="BC72" s="1581"/>
      <c r="BD72" s="1581"/>
      <c r="BE72" s="1581"/>
      <c r="BF72" s="1581"/>
      <c r="BG72" s="1581"/>
      <c r="BH72" s="1581"/>
      <c r="BI72" s="1581"/>
      <c r="BJ72" s="1581"/>
      <c r="BK72" s="1581"/>
      <c r="BL72" s="1581"/>
      <c r="BM72" s="1581"/>
      <c r="BN72" s="1581"/>
      <c r="BO72" s="1581"/>
      <c r="BP72" s="1581"/>
      <c r="BQ72" s="1581"/>
      <c r="BR72" s="1581"/>
      <c r="BS72" s="1581"/>
      <c r="BT72" s="1581"/>
      <c r="BU72" s="1581"/>
      <c r="BV72" s="1581"/>
      <c r="BW72" s="1581"/>
      <c r="BX72" s="1581"/>
      <c r="BY72" s="1581"/>
      <c r="BZ72" s="1581"/>
      <c r="CA72" s="1581"/>
      <c r="CB72" s="1581"/>
      <c r="CC72" s="1581"/>
      <c r="CD72" s="1581"/>
      <c r="CE72" s="1581"/>
      <c r="CF72" s="1581"/>
      <c r="CG72" s="1581"/>
      <c r="CH72" s="1581"/>
      <c r="CI72" s="1581"/>
      <c r="CJ72" s="1581"/>
      <c r="CK72" s="1581"/>
    </row>
    <row r="73" spans="1:89" s="673" customFormat="1" ht="17.25" customHeight="1" x14ac:dyDescent="0.25">
      <c r="A73" s="1233"/>
      <c r="B73" s="1257" t="s">
        <v>21</v>
      </c>
      <c r="C73" s="835"/>
      <c r="D73" s="1258"/>
      <c r="E73" s="685"/>
      <c r="F73" s="825"/>
      <c r="G73" s="825"/>
      <c r="H73" s="825"/>
      <c r="I73" s="825"/>
      <c r="J73" s="825"/>
      <c r="K73" s="825"/>
      <c r="L73" s="825"/>
      <c r="M73" s="825"/>
      <c r="N73" s="825"/>
      <c r="O73" s="826">
        <f>N73+K73+H73</f>
        <v>0</v>
      </c>
      <c r="P73" s="702"/>
      <c r="Q73" s="783"/>
      <c r="R73" s="783"/>
      <c r="S73" s="783"/>
      <c r="T73" s="783"/>
      <c r="U73" s="783"/>
      <c r="V73" s="783"/>
      <c r="W73" s="783"/>
      <c r="X73" s="783"/>
      <c r="Y73" s="783"/>
      <c r="Z73" s="783"/>
      <c r="AA73" s="783"/>
      <c r="AB73" s="783"/>
      <c r="AC73" s="783"/>
      <c r="AD73" s="783"/>
      <c r="AE73" s="783"/>
      <c r="AF73" s="783"/>
      <c r="AG73" s="783"/>
      <c r="AH73" s="783"/>
      <c r="AI73" s="783"/>
      <c r="AJ73" s="783"/>
      <c r="AK73" s="783"/>
      <c r="AL73" s="783"/>
      <c r="AM73" s="783"/>
      <c r="AN73" s="783"/>
      <c r="AO73" s="783"/>
      <c r="AP73" s="783"/>
      <c r="AQ73" s="783"/>
      <c r="AR73" s="783"/>
      <c r="AS73" s="783"/>
      <c r="AT73" s="783"/>
      <c r="AU73" s="783"/>
      <c r="AV73" s="783"/>
      <c r="AW73" s="783"/>
      <c r="AX73" s="783"/>
      <c r="AY73" s="783"/>
      <c r="AZ73" s="783"/>
      <c r="BA73" s="783"/>
      <c r="BB73" s="783"/>
      <c r="BC73" s="783"/>
      <c r="BD73" s="783"/>
      <c r="BE73" s="783"/>
      <c r="BF73" s="783"/>
      <c r="BG73" s="783"/>
      <c r="BH73" s="783"/>
      <c r="BI73" s="783"/>
      <c r="BJ73" s="783"/>
      <c r="BK73" s="783"/>
      <c r="BL73" s="783"/>
      <c r="BM73" s="783"/>
      <c r="BN73" s="783"/>
      <c r="BO73" s="783"/>
      <c r="BP73" s="783"/>
      <c r="BQ73" s="783"/>
      <c r="BR73" s="783"/>
      <c r="BS73" s="783"/>
      <c r="BT73" s="783"/>
      <c r="BU73" s="783"/>
      <c r="BV73" s="783"/>
      <c r="BW73" s="783"/>
      <c r="BX73" s="783"/>
      <c r="BY73" s="783"/>
      <c r="BZ73" s="783"/>
      <c r="CA73" s="783"/>
      <c r="CB73" s="783"/>
      <c r="CC73" s="783"/>
      <c r="CD73" s="783"/>
      <c r="CE73" s="783"/>
      <c r="CF73" s="783"/>
      <c r="CG73" s="783"/>
      <c r="CH73" s="783"/>
      <c r="CI73" s="783"/>
      <c r="CJ73" s="783"/>
      <c r="CK73" s="783"/>
    </row>
    <row r="74" spans="1:89" s="673" customFormat="1" ht="17.25" customHeight="1" x14ac:dyDescent="0.25">
      <c r="A74" s="697"/>
      <c r="B74" s="1259" t="s">
        <v>1899</v>
      </c>
      <c r="C74" s="699">
        <v>1</v>
      </c>
      <c r="D74" s="836" t="s">
        <v>47</v>
      </c>
      <c r="E74" s="695">
        <v>2500000</v>
      </c>
      <c r="F74" s="700"/>
      <c r="G74" s="700"/>
      <c r="H74" s="700"/>
      <c r="I74" s="700"/>
      <c r="J74" s="700">
        <f>E74*C74</f>
        <v>2500000</v>
      </c>
      <c r="K74" s="700">
        <f>J74+I74</f>
        <v>2500000</v>
      </c>
      <c r="L74" s="700"/>
      <c r="M74" s="700"/>
      <c r="N74" s="700"/>
      <c r="O74" s="701">
        <f>N74+K74+H74</f>
        <v>2500000</v>
      </c>
      <c r="P74" s="702"/>
      <c r="Q74" s="783"/>
      <c r="R74" s="783"/>
      <c r="S74" s="783"/>
      <c r="T74" s="783"/>
      <c r="U74" s="783"/>
      <c r="V74" s="783"/>
      <c r="W74" s="783"/>
      <c r="X74" s="783"/>
      <c r="Y74" s="783"/>
      <c r="Z74" s="783"/>
      <c r="AA74" s="783"/>
      <c r="AB74" s="783"/>
      <c r="AC74" s="783"/>
      <c r="AD74" s="783"/>
      <c r="AE74" s="783"/>
      <c r="AF74" s="783"/>
      <c r="AG74" s="783"/>
      <c r="AH74" s="783"/>
      <c r="AI74" s="783"/>
      <c r="AJ74" s="783"/>
      <c r="AK74" s="783"/>
      <c r="AL74" s="783"/>
      <c r="AM74" s="783"/>
      <c r="AN74" s="783"/>
      <c r="AO74" s="783"/>
      <c r="AP74" s="783"/>
      <c r="AQ74" s="783"/>
      <c r="AR74" s="783"/>
      <c r="AS74" s="783"/>
      <c r="AT74" s="783"/>
      <c r="AU74" s="783"/>
      <c r="AV74" s="783"/>
      <c r="AW74" s="783"/>
      <c r="AX74" s="783"/>
      <c r="AY74" s="783"/>
      <c r="AZ74" s="783"/>
      <c r="BA74" s="783"/>
      <c r="BB74" s="783"/>
      <c r="BC74" s="783"/>
      <c r="BD74" s="783"/>
      <c r="BE74" s="783"/>
      <c r="BF74" s="783"/>
      <c r="BG74" s="783"/>
      <c r="BH74" s="783"/>
      <c r="BI74" s="783"/>
      <c r="BJ74" s="783"/>
      <c r="BK74" s="783"/>
      <c r="BL74" s="783"/>
      <c r="BM74" s="783"/>
      <c r="BN74" s="783"/>
      <c r="BO74" s="783"/>
      <c r="BP74" s="783"/>
      <c r="BQ74" s="783"/>
      <c r="BR74" s="783"/>
      <c r="BS74" s="783"/>
      <c r="BT74" s="783"/>
      <c r="BU74" s="783"/>
      <c r="BV74" s="783"/>
      <c r="BW74" s="783"/>
      <c r="BX74" s="783"/>
      <c r="BY74" s="783"/>
      <c r="BZ74" s="783"/>
      <c r="CA74" s="783"/>
      <c r="CB74" s="783"/>
      <c r="CC74" s="783"/>
      <c r="CD74" s="783"/>
      <c r="CE74" s="783"/>
      <c r="CF74" s="783"/>
      <c r="CG74" s="783"/>
      <c r="CH74" s="783"/>
      <c r="CI74" s="783"/>
      <c r="CJ74" s="783"/>
      <c r="CK74" s="783"/>
    </row>
    <row r="75" spans="1:89" s="673" customFormat="1" ht="17.25" customHeight="1" x14ac:dyDescent="0.25">
      <c r="A75" s="697"/>
      <c r="B75" s="1259" t="s">
        <v>1900</v>
      </c>
      <c r="C75" s="699"/>
      <c r="D75" s="836"/>
      <c r="E75" s="695"/>
      <c r="F75" s="700"/>
      <c r="G75" s="700"/>
      <c r="H75" s="700"/>
      <c r="I75" s="700"/>
      <c r="J75" s="700"/>
      <c r="K75" s="700"/>
      <c r="L75" s="700"/>
      <c r="M75" s="700"/>
      <c r="N75" s="700"/>
      <c r="O75" s="701"/>
      <c r="P75" s="702"/>
      <c r="Q75" s="783"/>
      <c r="R75" s="783"/>
      <c r="S75" s="783"/>
      <c r="T75" s="783"/>
      <c r="U75" s="783"/>
      <c r="V75" s="783"/>
      <c r="W75" s="783"/>
      <c r="X75" s="783"/>
      <c r="Y75" s="783"/>
      <c r="Z75" s="783"/>
      <c r="AA75" s="783"/>
      <c r="AB75" s="783"/>
      <c r="AC75" s="783"/>
      <c r="AD75" s="783"/>
      <c r="AE75" s="783"/>
      <c r="AF75" s="783"/>
      <c r="AG75" s="783"/>
      <c r="AH75" s="783"/>
      <c r="AI75" s="783"/>
      <c r="AJ75" s="783"/>
      <c r="AK75" s="783"/>
      <c r="AL75" s="783"/>
      <c r="AM75" s="783"/>
      <c r="AN75" s="783"/>
      <c r="AO75" s="783"/>
      <c r="AP75" s="783"/>
      <c r="AQ75" s="783"/>
      <c r="AR75" s="783"/>
      <c r="AS75" s="783"/>
      <c r="AT75" s="783"/>
      <c r="AU75" s="783"/>
      <c r="AV75" s="783"/>
      <c r="AW75" s="783"/>
      <c r="AX75" s="783"/>
      <c r="AY75" s="783"/>
      <c r="AZ75" s="783"/>
      <c r="BA75" s="783"/>
      <c r="BB75" s="783"/>
      <c r="BC75" s="783"/>
      <c r="BD75" s="783"/>
      <c r="BE75" s="783"/>
      <c r="BF75" s="783"/>
      <c r="BG75" s="783"/>
      <c r="BH75" s="783"/>
      <c r="BI75" s="783"/>
      <c r="BJ75" s="783"/>
      <c r="BK75" s="783"/>
      <c r="BL75" s="783"/>
      <c r="BM75" s="783"/>
      <c r="BN75" s="783"/>
      <c r="BO75" s="783"/>
      <c r="BP75" s="783"/>
      <c r="BQ75" s="783"/>
      <c r="BR75" s="783"/>
      <c r="BS75" s="783"/>
      <c r="BT75" s="783"/>
      <c r="BU75" s="783"/>
      <c r="BV75" s="783"/>
      <c r="BW75" s="783"/>
      <c r="BX75" s="783"/>
      <c r="BY75" s="783"/>
      <c r="BZ75" s="783"/>
      <c r="CA75" s="783"/>
      <c r="CB75" s="783"/>
      <c r="CC75" s="783"/>
      <c r="CD75" s="783"/>
      <c r="CE75" s="783"/>
      <c r="CF75" s="783"/>
      <c r="CG75" s="783"/>
      <c r="CH75" s="783"/>
      <c r="CI75" s="783"/>
      <c r="CJ75" s="783"/>
      <c r="CK75" s="783"/>
    </row>
    <row r="76" spans="1:89" s="673" customFormat="1" ht="17.25" customHeight="1" x14ac:dyDescent="0.25">
      <c r="A76" s="697"/>
      <c r="B76" s="1259" t="s">
        <v>1901</v>
      </c>
      <c r="C76" s="699"/>
      <c r="D76" s="836"/>
      <c r="E76" s="695"/>
      <c r="F76" s="700"/>
      <c r="G76" s="700"/>
      <c r="H76" s="700"/>
      <c r="I76" s="700"/>
      <c r="J76" s="700"/>
      <c r="K76" s="700"/>
      <c r="L76" s="700"/>
      <c r="M76" s="700"/>
      <c r="N76" s="700"/>
      <c r="O76" s="701"/>
      <c r="P76" s="702"/>
      <c r="Q76" s="783"/>
      <c r="R76" s="783"/>
      <c r="S76" s="783"/>
      <c r="T76" s="783"/>
      <c r="U76" s="783"/>
      <c r="V76" s="783"/>
      <c r="W76" s="783"/>
      <c r="X76" s="783"/>
      <c r="Y76" s="783"/>
      <c r="Z76" s="783"/>
      <c r="AA76" s="783"/>
      <c r="AB76" s="783"/>
      <c r="AC76" s="783"/>
      <c r="AD76" s="783"/>
      <c r="AE76" s="783"/>
      <c r="AF76" s="783"/>
      <c r="AG76" s="783"/>
      <c r="AH76" s="783"/>
      <c r="AI76" s="783"/>
      <c r="AJ76" s="783"/>
      <c r="AK76" s="783"/>
      <c r="AL76" s="783"/>
      <c r="AM76" s="783"/>
      <c r="AN76" s="783"/>
      <c r="AO76" s="783"/>
      <c r="AP76" s="783"/>
      <c r="AQ76" s="783"/>
      <c r="AR76" s="783"/>
      <c r="AS76" s="783"/>
      <c r="AT76" s="783"/>
      <c r="AU76" s="783"/>
      <c r="AV76" s="783"/>
      <c r="AW76" s="783"/>
      <c r="AX76" s="783"/>
      <c r="AY76" s="783"/>
      <c r="AZ76" s="783"/>
      <c r="BA76" s="783"/>
      <c r="BB76" s="783"/>
      <c r="BC76" s="783"/>
      <c r="BD76" s="783"/>
      <c r="BE76" s="783"/>
      <c r="BF76" s="783"/>
      <c r="BG76" s="783"/>
      <c r="BH76" s="783"/>
      <c r="BI76" s="783"/>
      <c r="BJ76" s="783"/>
      <c r="BK76" s="783"/>
      <c r="BL76" s="783"/>
      <c r="BM76" s="783"/>
      <c r="BN76" s="783"/>
      <c r="BO76" s="783"/>
      <c r="BP76" s="783"/>
      <c r="BQ76" s="783"/>
      <c r="BR76" s="783"/>
      <c r="BS76" s="783"/>
      <c r="BT76" s="783"/>
      <c r="BU76" s="783"/>
      <c r="BV76" s="783"/>
      <c r="BW76" s="783"/>
      <c r="BX76" s="783"/>
      <c r="BY76" s="783"/>
      <c r="BZ76" s="783"/>
      <c r="CA76" s="783"/>
      <c r="CB76" s="783"/>
      <c r="CC76" s="783"/>
      <c r="CD76" s="783"/>
      <c r="CE76" s="783"/>
      <c r="CF76" s="783"/>
      <c r="CG76" s="783"/>
      <c r="CH76" s="783"/>
      <c r="CI76" s="783"/>
      <c r="CJ76" s="783"/>
      <c r="CK76" s="783"/>
    </row>
    <row r="77" spans="1:89" s="673" customFormat="1" ht="17.25" customHeight="1" x14ac:dyDescent="0.25">
      <c r="A77" s="697"/>
      <c r="B77" s="1259" t="s">
        <v>1902</v>
      </c>
      <c r="C77" s="699"/>
      <c r="D77" s="836"/>
      <c r="E77" s="695"/>
      <c r="F77" s="700"/>
      <c r="G77" s="700"/>
      <c r="H77" s="700"/>
      <c r="I77" s="700"/>
      <c r="J77" s="700"/>
      <c r="K77" s="700"/>
      <c r="L77" s="700"/>
      <c r="M77" s="700"/>
      <c r="N77" s="700"/>
      <c r="O77" s="701"/>
      <c r="P77" s="702"/>
      <c r="Q77" s="783"/>
      <c r="R77" s="783"/>
      <c r="S77" s="783"/>
      <c r="T77" s="783"/>
      <c r="U77" s="783"/>
      <c r="V77" s="783"/>
      <c r="W77" s="783"/>
      <c r="X77" s="783"/>
      <c r="Y77" s="783"/>
      <c r="Z77" s="783"/>
      <c r="AA77" s="783"/>
      <c r="AB77" s="783"/>
      <c r="AC77" s="783"/>
      <c r="AD77" s="783"/>
      <c r="AE77" s="783"/>
      <c r="AF77" s="783"/>
      <c r="AG77" s="783"/>
      <c r="AH77" s="783"/>
      <c r="AI77" s="783"/>
      <c r="AJ77" s="783"/>
      <c r="AK77" s="783"/>
      <c r="AL77" s="783"/>
      <c r="AM77" s="783"/>
      <c r="AN77" s="783"/>
      <c r="AO77" s="783"/>
      <c r="AP77" s="783"/>
      <c r="AQ77" s="783"/>
      <c r="AR77" s="783"/>
      <c r="AS77" s="783"/>
      <c r="AT77" s="783"/>
      <c r="AU77" s="783"/>
      <c r="AV77" s="783"/>
      <c r="AW77" s="783"/>
      <c r="AX77" s="783"/>
      <c r="AY77" s="783"/>
      <c r="AZ77" s="783"/>
      <c r="BA77" s="783"/>
      <c r="BB77" s="783"/>
      <c r="BC77" s="783"/>
      <c r="BD77" s="783"/>
      <c r="BE77" s="783"/>
      <c r="BF77" s="783"/>
      <c r="BG77" s="783"/>
      <c r="BH77" s="783"/>
      <c r="BI77" s="783"/>
      <c r="BJ77" s="783"/>
      <c r="BK77" s="783"/>
      <c r="BL77" s="783"/>
      <c r="BM77" s="783"/>
      <c r="BN77" s="783"/>
      <c r="BO77" s="783"/>
      <c r="BP77" s="783"/>
      <c r="BQ77" s="783"/>
      <c r="BR77" s="783"/>
      <c r="BS77" s="783"/>
      <c r="BT77" s="783"/>
      <c r="BU77" s="783"/>
      <c r="BV77" s="783"/>
      <c r="BW77" s="783"/>
      <c r="BX77" s="783"/>
      <c r="BY77" s="783"/>
      <c r="BZ77" s="783"/>
      <c r="CA77" s="783"/>
      <c r="CB77" s="783"/>
      <c r="CC77" s="783"/>
      <c r="CD77" s="783"/>
      <c r="CE77" s="783"/>
      <c r="CF77" s="783"/>
      <c r="CG77" s="783"/>
      <c r="CH77" s="783"/>
      <c r="CI77" s="783"/>
      <c r="CJ77" s="783"/>
      <c r="CK77" s="783"/>
    </row>
    <row r="78" spans="1:89" s="673" customFormat="1" ht="17.25" customHeight="1" x14ac:dyDescent="0.25">
      <c r="A78" s="697"/>
      <c r="B78" s="1260"/>
      <c r="C78" s="699"/>
      <c r="D78" s="836"/>
      <c r="E78" s="695"/>
      <c r="F78" s="700"/>
      <c r="G78" s="700"/>
      <c r="H78" s="700"/>
      <c r="I78" s="700"/>
      <c r="J78" s="700"/>
      <c r="K78" s="700"/>
      <c r="L78" s="700"/>
      <c r="M78" s="700"/>
      <c r="N78" s="700"/>
      <c r="O78" s="701"/>
      <c r="P78" s="702"/>
      <c r="Q78" s="783"/>
      <c r="R78" s="783"/>
      <c r="S78" s="783"/>
      <c r="T78" s="783"/>
      <c r="U78" s="783"/>
      <c r="V78" s="783"/>
      <c r="W78" s="783"/>
      <c r="X78" s="783"/>
      <c r="Y78" s="783"/>
      <c r="Z78" s="783"/>
      <c r="AA78" s="783"/>
      <c r="AB78" s="783"/>
      <c r="AC78" s="783"/>
      <c r="AD78" s="783"/>
      <c r="AE78" s="783"/>
      <c r="AF78" s="783"/>
      <c r="AG78" s="783"/>
      <c r="AH78" s="783"/>
      <c r="AI78" s="783"/>
      <c r="AJ78" s="783"/>
      <c r="AK78" s="783"/>
      <c r="AL78" s="783"/>
      <c r="AM78" s="783"/>
      <c r="AN78" s="783"/>
      <c r="AO78" s="783"/>
      <c r="AP78" s="783"/>
      <c r="AQ78" s="783"/>
      <c r="AR78" s="783"/>
      <c r="AS78" s="783"/>
      <c r="AT78" s="783"/>
      <c r="AU78" s="783"/>
      <c r="AV78" s="783"/>
      <c r="AW78" s="783"/>
      <c r="AX78" s="783"/>
      <c r="AY78" s="783"/>
      <c r="AZ78" s="783"/>
      <c r="BA78" s="783"/>
      <c r="BB78" s="783"/>
      <c r="BC78" s="783"/>
      <c r="BD78" s="783"/>
      <c r="BE78" s="783"/>
      <c r="BF78" s="783"/>
      <c r="BG78" s="783"/>
      <c r="BH78" s="783"/>
      <c r="BI78" s="783"/>
      <c r="BJ78" s="783"/>
      <c r="BK78" s="783"/>
      <c r="BL78" s="783"/>
      <c r="BM78" s="783"/>
      <c r="BN78" s="783"/>
      <c r="BO78" s="783"/>
      <c r="BP78" s="783"/>
      <c r="BQ78" s="783"/>
      <c r="BR78" s="783"/>
      <c r="BS78" s="783"/>
      <c r="BT78" s="783"/>
      <c r="BU78" s="783"/>
      <c r="BV78" s="783"/>
      <c r="BW78" s="783"/>
      <c r="BX78" s="783"/>
      <c r="BY78" s="783"/>
      <c r="BZ78" s="783"/>
      <c r="CA78" s="783"/>
      <c r="CB78" s="783"/>
      <c r="CC78" s="783"/>
      <c r="CD78" s="783"/>
      <c r="CE78" s="783"/>
      <c r="CF78" s="783"/>
      <c r="CG78" s="783"/>
      <c r="CH78" s="783"/>
      <c r="CI78" s="783"/>
      <c r="CJ78" s="783"/>
      <c r="CK78" s="783"/>
    </row>
    <row r="79" spans="1:89" s="673" customFormat="1" ht="17.25" customHeight="1" x14ac:dyDescent="0.25">
      <c r="A79" s="697"/>
      <c r="B79" s="1261" t="s">
        <v>19</v>
      </c>
      <c r="C79" s="699"/>
      <c r="D79" s="836"/>
      <c r="E79" s="695"/>
      <c r="F79" s="700"/>
      <c r="G79" s="700"/>
      <c r="H79" s="700"/>
      <c r="I79" s="700"/>
      <c r="J79" s="700"/>
      <c r="K79" s="700"/>
      <c r="L79" s="700"/>
      <c r="M79" s="700"/>
      <c r="N79" s="700"/>
      <c r="O79" s="701">
        <f>N79+K79+H79</f>
        <v>0</v>
      </c>
      <c r="P79" s="702"/>
      <c r="Q79" s="783"/>
      <c r="R79" s="783"/>
      <c r="S79" s="783"/>
      <c r="T79" s="783"/>
      <c r="U79" s="783"/>
      <c r="V79" s="783"/>
      <c r="W79" s="783"/>
      <c r="X79" s="783"/>
      <c r="Y79" s="783"/>
      <c r="Z79" s="783"/>
      <c r="AA79" s="783"/>
      <c r="AB79" s="783"/>
      <c r="AC79" s="783"/>
      <c r="AD79" s="783"/>
      <c r="AE79" s="783"/>
      <c r="AF79" s="783"/>
      <c r="AG79" s="783"/>
      <c r="AH79" s="783"/>
      <c r="AI79" s="783"/>
      <c r="AJ79" s="783"/>
      <c r="AK79" s="783"/>
      <c r="AL79" s="783"/>
      <c r="AM79" s="783"/>
      <c r="AN79" s="783"/>
      <c r="AO79" s="783"/>
      <c r="AP79" s="783"/>
      <c r="AQ79" s="783"/>
      <c r="AR79" s="783"/>
      <c r="AS79" s="783"/>
      <c r="AT79" s="783"/>
      <c r="AU79" s="783"/>
      <c r="AV79" s="783"/>
      <c r="AW79" s="783"/>
      <c r="AX79" s="783"/>
      <c r="AY79" s="783"/>
      <c r="AZ79" s="783"/>
      <c r="BA79" s="783"/>
      <c r="BB79" s="783"/>
      <c r="BC79" s="783"/>
      <c r="BD79" s="783"/>
      <c r="BE79" s="783"/>
      <c r="BF79" s="783"/>
      <c r="BG79" s="783"/>
      <c r="BH79" s="783"/>
      <c r="BI79" s="783"/>
      <c r="BJ79" s="783"/>
      <c r="BK79" s="783"/>
      <c r="BL79" s="783"/>
      <c r="BM79" s="783"/>
      <c r="BN79" s="783"/>
      <c r="BO79" s="783"/>
      <c r="BP79" s="783"/>
      <c r="BQ79" s="783"/>
      <c r="BR79" s="783"/>
      <c r="BS79" s="783"/>
      <c r="BT79" s="783"/>
      <c r="BU79" s="783"/>
      <c r="BV79" s="783"/>
      <c r="BW79" s="783"/>
      <c r="BX79" s="783"/>
      <c r="BY79" s="783"/>
      <c r="BZ79" s="783"/>
      <c r="CA79" s="783"/>
      <c r="CB79" s="783"/>
      <c r="CC79" s="783"/>
      <c r="CD79" s="783"/>
      <c r="CE79" s="783"/>
      <c r="CF79" s="783"/>
      <c r="CG79" s="783"/>
      <c r="CH79" s="783"/>
      <c r="CI79" s="783"/>
      <c r="CJ79" s="783"/>
      <c r="CK79" s="783"/>
    </row>
    <row r="80" spans="1:89" s="673" customFormat="1" ht="17.25" customHeight="1" x14ac:dyDescent="0.25">
      <c r="A80" s="697"/>
      <c r="B80" s="1261" t="s">
        <v>26</v>
      </c>
      <c r="C80" s="699">
        <v>1</v>
      </c>
      <c r="D80" s="836" t="s">
        <v>25</v>
      </c>
      <c r="E80" s="695">
        <v>33600</v>
      </c>
      <c r="F80" s="700"/>
      <c r="G80" s="700"/>
      <c r="H80" s="700"/>
      <c r="I80" s="700"/>
      <c r="J80" s="700">
        <f>C80*E80</f>
        <v>33600</v>
      </c>
      <c r="K80" s="700">
        <f>I80+J80</f>
        <v>33600</v>
      </c>
      <c r="L80" s="700"/>
      <c r="M80" s="700"/>
      <c r="N80" s="700"/>
      <c r="O80" s="701">
        <f>N80+K80+H80</f>
        <v>33600</v>
      </c>
      <c r="P80" s="702"/>
      <c r="Q80" s="783"/>
      <c r="R80" s="783"/>
      <c r="S80" s="783"/>
      <c r="T80" s="783"/>
      <c r="U80" s="783"/>
      <c r="V80" s="783"/>
      <c r="W80" s="783"/>
      <c r="X80" s="783"/>
      <c r="Y80" s="783"/>
      <c r="Z80" s="783"/>
      <c r="AA80" s="783"/>
      <c r="AB80" s="783"/>
      <c r="AC80" s="783"/>
      <c r="AD80" s="783"/>
      <c r="AE80" s="783"/>
      <c r="AF80" s="783"/>
      <c r="AG80" s="783"/>
      <c r="AH80" s="783"/>
      <c r="AI80" s="783"/>
      <c r="AJ80" s="783"/>
      <c r="AK80" s="783"/>
      <c r="AL80" s="783"/>
      <c r="AM80" s="783"/>
      <c r="AN80" s="783"/>
      <c r="AO80" s="783"/>
      <c r="AP80" s="783"/>
      <c r="AQ80" s="783"/>
      <c r="AR80" s="783"/>
      <c r="AS80" s="783"/>
      <c r="AT80" s="783"/>
      <c r="AU80" s="783"/>
      <c r="AV80" s="783"/>
      <c r="AW80" s="783"/>
      <c r="AX80" s="783"/>
      <c r="AY80" s="783"/>
      <c r="AZ80" s="783"/>
      <c r="BA80" s="783"/>
      <c r="BB80" s="783"/>
      <c r="BC80" s="783"/>
      <c r="BD80" s="783"/>
      <c r="BE80" s="783"/>
      <c r="BF80" s="783"/>
      <c r="BG80" s="783"/>
      <c r="BH80" s="783"/>
      <c r="BI80" s="783"/>
      <c r="BJ80" s="783"/>
      <c r="BK80" s="783"/>
      <c r="BL80" s="783"/>
      <c r="BM80" s="783"/>
      <c r="BN80" s="783"/>
      <c r="BO80" s="783"/>
      <c r="BP80" s="783"/>
      <c r="BQ80" s="783"/>
      <c r="BR80" s="783"/>
      <c r="BS80" s="783"/>
      <c r="BT80" s="783"/>
      <c r="BU80" s="783"/>
      <c r="BV80" s="783"/>
      <c r="BW80" s="783"/>
      <c r="BX80" s="783"/>
      <c r="BY80" s="783"/>
      <c r="BZ80" s="783"/>
      <c r="CA80" s="783"/>
      <c r="CB80" s="783"/>
      <c r="CC80" s="783"/>
      <c r="CD80" s="783"/>
      <c r="CE80" s="783"/>
      <c r="CF80" s="783"/>
      <c r="CG80" s="783"/>
      <c r="CH80" s="783"/>
      <c r="CI80" s="783"/>
      <c r="CJ80" s="783"/>
      <c r="CK80" s="783"/>
    </row>
    <row r="81" spans="1:89" s="673" customFormat="1" ht="17.25" customHeight="1" x14ac:dyDescent="0.25">
      <c r="A81" s="717"/>
      <c r="B81" s="1252"/>
      <c r="C81" s="834"/>
      <c r="D81" s="1253"/>
      <c r="E81" s="821"/>
      <c r="F81" s="722"/>
      <c r="G81" s="722"/>
      <c r="H81" s="722"/>
      <c r="I81" s="722"/>
      <c r="J81" s="722"/>
      <c r="K81" s="722"/>
      <c r="L81" s="722"/>
      <c r="M81" s="722"/>
      <c r="N81" s="722"/>
      <c r="O81" s="723">
        <f>N81+K81+H81</f>
        <v>0</v>
      </c>
      <c r="P81" s="702"/>
      <c r="Q81" s="783"/>
      <c r="R81" s="783"/>
      <c r="S81" s="783"/>
      <c r="T81" s="783"/>
      <c r="U81" s="783"/>
      <c r="V81" s="783"/>
      <c r="W81" s="783"/>
      <c r="X81" s="783"/>
      <c r="Y81" s="783"/>
      <c r="Z81" s="783"/>
      <c r="AA81" s="783"/>
      <c r="AB81" s="783"/>
      <c r="AC81" s="783"/>
      <c r="AD81" s="783"/>
      <c r="AE81" s="783"/>
      <c r="AF81" s="783"/>
      <c r="AG81" s="783"/>
      <c r="AH81" s="783"/>
      <c r="AI81" s="783"/>
      <c r="AJ81" s="783"/>
      <c r="AK81" s="783"/>
      <c r="AL81" s="783"/>
      <c r="AM81" s="783"/>
      <c r="AN81" s="783"/>
      <c r="AO81" s="783"/>
      <c r="AP81" s="783"/>
      <c r="AQ81" s="783"/>
      <c r="AR81" s="783"/>
      <c r="AS81" s="783"/>
      <c r="AT81" s="783"/>
      <c r="AU81" s="783"/>
      <c r="AV81" s="783"/>
      <c r="AW81" s="783"/>
      <c r="AX81" s="783"/>
      <c r="AY81" s="783"/>
      <c r="AZ81" s="783"/>
      <c r="BA81" s="783"/>
      <c r="BB81" s="783"/>
      <c r="BC81" s="783"/>
      <c r="BD81" s="783"/>
      <c r="BE81" s="783"/>
      <c r="BF81" s="783"/>
      <c r="BG81" s="783"/>
      <c r="BH81" s="783"/>
      <c r="BI81" s="783"/>
      <c r="BJ81" s="783"/>
      <c r="BK81" s="783"/>
      <c r="BL81" s="783"/>
      <c r="BM81" s="783"/>
      <c r="BN81" s="783"/>
      <c r="BO81" s="783"/>
      <c r="BP81" s="783"/>
      <c r="BQ81" s="783"/>
      <c r="BR81" s="783"/>
      <c r="BS81" s="783"/>
      <c r="BT81" s="783"/>
      <c r="BU81" s="783"/>
      <c r="BV81" s="783"/>
      <c r="BW81" s="783"/>
      <c r="BX81" s="783"/>
      <c r="BY81" s="783"/>
      <c r="BZ81" s="783"/>
      <c r="CA81" s="783"/>
      <c r="CB81" s="783"/>
      <c r="CC81" s="783"/>
      <c r="CD81" s="783"/>
      <c r="CE81" s="783"/>
      <c r="CF81" s="783"/>
      <c r="CG81" s="783"/>
      <c r="CH81" s="783"/>
      <c r="CI81" s="783"/>
      <c r="CJ81" s="783"/>
      <c r="CK81" s="783"/>
    </row>
    <row r="82" spans="1:89" s="1263" customFormat="1" ht="17.25" customHeight="1" x14ac:dyDescent="0.25">
      <c r="A82" s="1227" t="s">
        <v>28</v>
      </c>
      <c r="B82" s="1254" t="s">
        <v>29</v>
      </c>
      <c r="C82" s="1255"/>
      <c r="D82" s="1256"/>
      <c r="E82" s="1214"/>
      <c r="F82" s="1231">
        <f>SUM(F85:F104)</f>
        <v>0</v>
      </c>
      <c r="G82" s="1231">
        <f>SUM(G85:G104)</f>
        <v>0</v>
      </c>
      <c r="H82" s="1231">
        <f>G82+F82</f>
        <v>0</v>
      </c>
      <c r="I82" s="1231">
        <f>SUM(I85:I104)</f>
        <v>0</v>
      </c>
      <c r="J82" s="1231">
        <f>SUM(J84:J104)</f>
        <v>571200</v>
      </c>
      <c r="K82" s="1231">
        <f>SUM(K85:K104)</f>
        <v>571200</v>
      </c>
      <c r="L82" s="1231">
        <f>SUM(L85:L104)</f>
        <v>0</v>
      </c>
      <c r="M82" s="1231">
        <f>SUM(M85:M104)</f>
        <v>0</v>
      </c>
      <c r="N82" s="1231">
        <f>M82+L82</f>
        <v>0</v>
      </c>
      <c r="O82" s="1232">
        <f>N82+K82+H82</f>
        <v>571200</v>
      </c>
      <c r="P82" s="823"/>
      <c r="Q82" s="1823"/>
      <c r="R82" s="1823"/>
      <c r="S82" s="1823"/>
      <c r="T82" s="1823"/>
      <c r="U82" s="1823"/>
      <c r="V82" s="1823"/>
      <c r="W82" s="1823"/>
      <c r="X82" s="1823"/>
      <c r="Y82" s="1823"/>
      <c r="Z82" s="1823"/>
      <c r="AA82" s="1823"/>
      <c r="AB82" s="1823"/>
      <c r="AC82" s="1823"/>
      <c r="AD82" s="1823"/>
      <c r="AE82" s="1823"/>
      <c r="AF82" s="1823"/>
      <c r="AG82" s="1823"/>
      <c r="AH82" s="1823"/>
      <c r="AI82" s="1823"/>
      <c r="AJ82" s="1823"/>
      <c r="AK82" s="1823"/>
      <c r="AL82" s="1823"/>
      <c r="AM82" s="1823"/>
      <c r="AN82" s="1823"/>
      <c r="AO82" s="1823"/>
      <c r="AP82" s="1823"/>
      <c r="AQ82" s="1823"/>
      <c r="AR82" s="1823"/>
      <c r="AS82" s="1823"/>
      <c r="AT82" s="1823"/>
      <c r="AU82" s="1823"/>
      <c r="AV82" s="1823"/>
      <c r="AW82" s="1823"/>
      <c r="AX82" s="1823"/>
      <c r="AY82" s="1823"/>
      <c r="AZ82" s="1823"/>
      <c r="BA82" s="1823"/>
      <c r="BB82" s="1823"/>
      <c r="BC82" s="1823"/>
      <c r="BD82" s="1823"/>
      <c r="BE82" s="1823"/>
      <c r="BF82" s="1823"/>
      <c r="BG82" s="1823"/>
      <c r="BH82" s="1823"/>
      <c r="BI82" s="1823"/>
      <c r="BJ82" s="1823"/>
      <c r="BK82" s="1823"/>
      <c r="BL82" s="1823"/>
      <c r="BM82" s="1823"/>
      <c r="BN82" s="1823"/>
      <c r="BO82" s="1823"/>
      <c r="BP82" s="1823"/>
      <c r="BQ82" s="1823"/>
      <c r="BR82" s="1823"/>
      <c r="BS82" s="1823"/>
      <c r="BT82" s="1823"/>
      <c r="BU82" s="1823"/>
      <c r="BV82" s="1823"/>
      <c r="BW82" s="1823"/>
      <c r="BX82" s="1823"/>
      <c r="BY82" s="1823"/>
      <c r="BZ82" s="1823"/>
      <c r="CA82" s="1823"/>
      <c r="CB82" s="1823"/>
      <c r="CC82" s="1823"/>
      <c r="CD82" s="1823"/>
      <c r="CE82" s="1823"/>
      <c r="CF82" s="1823"/>
      <c r="CG82" s="1823"/>
      <c r="CH82" s="1823"/>
      <c r="CI82" s="1823"/>
      <c r="CJ82" s="1823"/>
      <c r="CK82" s="1823"/>
    </row>
    <row r="83" spans="1:89" s="673" customFormat="1" ht="17.25" customHeight="1" x14ac:dyDescent="0.25">
      <c r="A83" s="1233"/>
      <c r="B83" s="1257"/>
      <c r="C83" s="835"/>
      <c r="D83" s="1258"/>
      <c r="E83" s="685"/>
      <c r="F83" s="825"/>
      <c r="G83" s="825"/>
      <c r="H83" s="825"/>
      <c r="I83" s="825"/>
      <c r="J83" s="825"/>
      <c r="K83" s="825"/>
      <c r="L83" s="825"/>
      <c r="M83" s="825"/>
      <c r="N83" s="825"/>
      <c r="O83" s="826"/>
      <c r="P83" s="702"/>
      <c r="Q83" s="783"/>
      <c r="R83" s="783"/>
      <c r="S83" s="783"/>
      <c r="T83" s="783"/>
      <c r="U83" s="783"/>
      <c r="V83" s="783"/>
      <c r="W83" s="783"/>
      <c r="X83" s="783"/>
      <c r="Y83" s="783"/>
      <c r="Z83" s="783"/>
      <c r="AA83" s="783"/>
      <c r="AB83" s="783"/>
      <c r="AC83" s="783"/>
      <c r="AD83" s="783"/>
      <c r="AE83" s="783"/>
      <c r="AF83" s="783"/>
      <c r="AG83" s="783"/>
      <c r="AH83" s="783"/>
      <c r="AI83" s="783"/>
      <c r="AJ83" s="783"/>
      <c r="AK83" s="783"/>
      <c r="AL83" s="783"/>
      <c r="AM83" s="783"/>
      <c r="AN83" s="783"/>
      <c r="AO83" s="783"/>
      <c r="AP83" s="783"/>
      <c r="AQ83" s="783"/>
      <c r="AR83" s="783"/>
      <c r="AS83" s="783"/>
      <c r="AT83" s="783"/>
      <c r="AU83" s="783"/>
      <c r="AV83" s="783"/>
      <c r="AW83" s="783"/>
      <c r="AX83" s="783"/>
      <c r="AY83" s="783"/>
      <c r="AZ83" s="783"/>
      <c r="BA83" s="783"/>
      <c r="BB83" s="783"/>
      <c r="BC83" s="783"/>
      <c r="BD83" s="783"/>
      <c r="BE83" s="783"/>
      <c r="BF83" s="783"/>
      <c r="BG83" s="783"/>
      <c r="BH83" s="783"/>
      <c r="BI83" s="783"/>
      <c r="BJ83" s="783"/>
      <c r="BK83" s="783"/>
      <c r="BL83" s="783"/>
      <c r="BM83" s="783"/>
      <c r="BN83" s="783"/>
      <c r="BO83" s="783"/>
      <c r="BP83" s="783"/>
      <c r="BQ83" s="783"/>
      <c r="BR83" s="783"/>
      <c r="BS83" s="783"/>
      <c r="BT83" s="783"/>
      <c r="BU83" s="783"/>
      <c r="BV83" s="783"/>
      <c r="BW83" s="783"/>
      <c r="BX83" s="783"/>
      <c r="BY83" s="783"/>
      <c r="BZ83" s="783"/>
      <c r="CA83" s="783"/>
      <c r="CB83" s="783"/>
      <c r="CC83" s="783"/>
      <c r="CD83" s="783"/>
      <c r="CE83" s="783"/>
      <c r="CF83" s="783"/>
      <c r="CG83" s="783"/>
      <c r="CH83" s="783"/>
      <c r="CI83" s="783"/>
      <c r="CJ83" s="783"/>
      <c r="CK83" s="783"/>
    </row>
    <row r="84" spans="1:89" s="673" customFormat="1" ht="17.25" customHeight="1" x14ac:dyDescent="0.25">
      <c r="A84" s="710">
        <v>1</v>
      </c>
      <c r="B84" s="698" t="s">
        <v>19</v>
      </c>
      <c r="C84" s="827"/>
      <c r="D84" s="836"/>
      <c r="E84" s="695"/>
      <c r="F84" s="700"/>
      <c r="G84" s="700"/>
      <c r="H84" s="700"/>
      <c r="I84" s="700"/>
      <c r="J84" s="700"/>
      <c r="K84" s="700"/>
      <c r="L84" s="700"/>
      <c r="M84" s="700"/>
      <c r="N84" s="700"/>
      <c r="O84" s="701">
        <f t="shared" ref="O84:O104" si="7">N84+K84+H84</f>
        <v>0</v>
      </c>
      <c r="P84" s="702"/>
      <c r="Q84" s="783"/>
      <c r="R84" s="783"/>
      <c r="S84" s="783"/>
      <c r="T84" s="783"/>
      <c r="U84" s="783"/>
      <c r="V84" s="783"/>
      <c r="W84" s="783"/>
      <c r="X84" s="783"/>
      <c r="Y84" s="783"/>
      <c r="Z84" s="783"/>
      <c r="AA84" s="783"/>
      <c r="AB84" s="783"/>
      <c r="AC84" s="783"/>
      <c r="AD84" s="783"/>
      <c r="AE84" s="783"/>
      <c r="AF84" s="783"/>
      <c r="AG84" s="783"/>
      <c r="AH84" s="783"/>
      <c r="AI84" s="783"/>
      <c r="AJ84" s="783"/>
      <c r="AK84" s="783"/>
      <c r="AL84" s="783"/>
      <c r="AM84" s="783"/>
      <c r="AN84" s="783"/>
      <c r="AO84" s="783"/>
      <c r="AP84" s="783"/>
      <c r="AQ84" s="783"/>
      <c r="AR84" s="783"/>
      <c r="AS84" s="783"/>
      <c r="AT84" s="783"/>
      <c r="AU84" s="783"/>
      <c r="AV84" s="783"/>
      <c r="AW84" s="783"/>
      <c r="AX84" s="783"/>
      <c r="AY84" s="783"/>
      <c r="AZ84" s="783"/>
      <c r="BA84" s="783"/>
      <c r="BB84" s="783"/>
      <c r="BC84" s="783"/>
      <c r="BD84" s="783"/>
      <c r="BE84" s="783"/>
      <c r="BF84" s="783"/>
      <c r="BG84" s="783"/>
      <c r="BH84" s="783"/>
      <c r="BI84" s="783"/>
      <c r="BJ84" s="783"/>
      <c r="BK84" s="783"/>
      <c r="BL84" s="783"/>
      <c r="BM84" s="783"/>
      <c r="BN84" s="783"/>
      <c r="BO84" s="783"/>
      <c r="BP84" s="783"/>
      <c r="BQ84" s="783"/>
      <c r="BR84" s="783"/>
      <c r="BS84" s="783"/>
      <c r="BT84" s="783"/>
      <c r="BU84" s="783"/>
      <c r="BV84" s="783"/>
      <c r="BW84" s="783"/>
      <c r="BX84" s="783"/>
      <c r="BY84" s="783"/>
      <c r="BZ84" s="783"/>
      <c r="CA84" s="783"/>
      <c r="CB84" s="783"/>
      <c r="CC84" s="783"/>
      <c r="CD84" s="783"/>
      <c r="CE84" s="783"/>
      <c r="CF84" s="783"/>
      <c r="CG84" s="783"/>
      <c r="CH84" s="783"/>
      <c r="CI84" s="783"/>
      <c r="CJ84" s="783"/>
      <c r="CK84" s="783"/>
    </row>
    <row r="85" spans="1:89" s="673" customFormat="1" ht="17.25" customHeight="1" x14ac:dyDescent="0.25">
      <c r="A85" s="697"/>
      <c r="B85" s="698" t="s">
        <v>30</v>
      </c>
      <c r="C85" s="827">
        <v>12</v>
      </c>
      <c r="D85" s="836" t="s">
        <v>20</v>
      </c>
      <c r="E85" s="695">
        <v>1500</v>
      </c>
      <c r="F85" s="758"/>
      <c r="G85" s="758"/>
      <c r="H85" s="758"/>
      <c r="I85" s="758"/>
      <c r="J85" s="700">
        <f t="shared" ref="J85:J93" si="8">C85*E85</f>
        <v>18000</v>
      </c>
      <c r="K85" s="700">
        <f t="shared" ref="K85:K92" si="9">I85+J85</f>
        <v>18000</v>
      </c>
      <c r="L85" s="758"/>
      <c r="M85" s="758"/>
      <c r="N85" s="712"/>
      <c r="O85" s="701">
        <f t="shared" si="7"/>
        <v>18000</v>
      </c>
      <c r="P85" s="702"/>
      <c r="Q85" s="783"/>
      <c r="R85" s="783"/>
      <c r="S85" s="783"/>
      <c r="T85" s="783"/>
      <c r="U85" s="783"/>
      <c r="V85" s="783"/>
      <c r="W85" s="783"/>
      <c r="X85" s="783"/>
      <c r="Y85" s="783"/>
      <c r="Z85" s="783"/>
      <c r="AA85" s="783"/>
      <c r="AB85" s="783"/>
      <c r="AC85" s="783"/>
      <c r="AD85" s="783"/>
      <c r="AE85" s="783"/>
      <c r="AF85" s="783"/>
      <c r="AG85" s="783"/>
      <c r="AH85" s="783"/>
      <c r="AI85" s="783"/>
      <c r="AJ85" s="783"/>
      <c r="AK85" s="783"/>
      <c r="AL85" s="783"/>
      <c r="AM85" s="783"/>
      <c r="AN85" s="783"/>
      <c r="AO85" s="783"/>
      <c r="AP85" s="783"/>
      <c r="AQ85" s="783"/>
      <c r="AR85" s="783"/>
      <c r="AS85" s="783"/>
      <c r="AT85" s="783"/>
      <c r="AU85" s="783"/>
      <c r="AV85" s="783"/>
      <c r="AW85" s="783"/>
      <c r="AX85" s="783"/>
      <c r="AY85" s="783"/>
      <c r="AZ85" s="783"/>
      <c r="BA85" s="783"/>
      <c r="BB85" s="783"/>
      <c r="BC85" s="783"/>
      <c r="BD85" s="783"/>
      <c r="BE85" s="783"/>
      <c r="BF85" s="783"/>
      <c r="BG85" s="783"/>
      <c r="BH85" s="783"/>
      <c r="BI85" s="783"/>
      <c r="BJ85" s="783"/>
      <c r="BK85" s="783"/>
      <c r="BL85" s="783"/>
      <c r="BM85" s="783"/>
      <c r="BN85" s="783"/>
      <c r="BO85" s="783"/>
      <c r="BP85" s="783"/>
      <c r="BQ85" s="783"/>
      <c r="BR85" s="783"/>
      <c r="BS85" s="783"/>
      <c r="BT85" s="783"/>
      <c r="BU85" s="783"/>
      <c r="BV85" s="783"/>
      <c r="BW85" s="783"/>
      <c r="BX85" s="783"/>
      <c r="BY85" s="783"/>
      <c r="BZ85" s="783"/>
      <c r="CA85" s="783"/>
      <c r="CB85" s="783"/>
      <c r="CC85" s="783"/>
      <c r="CD85" s="783"/>
      <c r="CE85" s="783"/>
      <c r="CF85" s="783"/>
      <c r="CG85" s="783"/>
      <c r="CH85" s="783"/>
      <c r="CI85" s="783"/>
      <c r="CJ85" s="783"/>
      <c r="CK85" s="783"/>
    </row>
    <row r="86" spans="1:89" s="673" customFormat="1" ht="17.25" customHeight="1" x14ac:dyDescent="0.25">
      <c r="A86" s="697"/>
      <c r="B86" s="711" t="s">
        <v>31</v>
      </c>
      <c r="C86" s="827">
        <v>12</v>
      </c>
      <c r="D86" s="836" t="s">
        <v>20</v>
      </c>
      <c r="E86" s="695">
        <v>1200</v>
      </c>
      <c r="F86" s="700"/>
      <c r="G86" s="700"/>
      <c r="H86" s="700"/>
      <c r="I86" s="700"/>
      <c r="J86" s="700">
        <f t="shared" si="8"/>
        <v>14400</v>
      </c>
      <c r="K86" s="700">
        <f t="shared" si="9"/>
        <v>14400</v>
      </c>
      <c r="L86" s="700"/>
      <c r="M86" s="700"/>
      <c r="N86" s="700"/>
      <c r="O86" s="701">
        <f t="shared" si="7"/>
        <v>14400</v>
      </c>
      <c r="P86" s="702"/>
      <c r="Q86" s="783"/>
      <c r="R86" s="783"/>
      <c r="S86" s="783"/>
      <c r="T86" s="783"/>
      <c r="U86" s="783"/>
      <c r="V86" s="783"/>
      <c r="W86" s="783"/>
      <c r="X86" s="783"/>
      <c r="Y86" s="783"/>
      <c r="Z86" s="783"/>
      <c r="AA86" s="783"/>
      <c r="AB86" s="783"/>
      <c r="AC86" s="783"/>
      <c r="AD86" s="783"/>
      <c r="AE86" s="783"/>
      <c r="AF86" s="783"/>
      <c r="AG86" s="783"/>
      <c r="AH86" s="783"/>
      <c r="AI86" s="783"/>
      <c r="AJ86" s="783"/>
      <c r="AK86" s="783"/>
      <c r="AL86" s="783"/>
      <c r="AM86" s="783"/>
      <c r="AN86" s="783"/>
      <c r="AO86" s="783"/>
      <c r="AP86" s="783"/>
      <c r="AQ86" s="783"/>
      <c r="AR86" s="783"/>
      <c r="AS86" s="783"/>
      <c r="AT86" s="783"/>
      <c r="AU86" s="783"/>
      <c r="AV86" s="783"/>
      <c r="AW86" s="783"/>
      <c r="AX86" s="783"/>
      <c r="AY86" s="783"/>
      <c r="AZ86" s="783"/>
      <c r="BA86" s="783"/>
      <c r="BB86" s="783"/>
      <c r="BC86" s="783"/>
      <c r="BD86" s="783"/>
      <c r="BE86" s="783"/>
      <c r="BF86" s="783"/>
      <c r="BG86" s="783"/>
      <c r="BH86" s="783"/>
      <c r="BI86" s="783"/>
      <c r="BJ86" s="783"/>
      <c r="BK86" s="783"/>
      <c r="BL86" s="783"/>
      <c r="BM86" s="783"/>
      <c r="BN86" s="783"/>
      <c r="BO86" s="783"/>
      <c r="BP86" s="783"/>
      <c r="BQ86" s="783"/>
      <c r="BR86" s="783"/>
      <c r="BS86" s="783"/>
      <c r="BT86" s="783"/>
      <c r="BU86" s="783"/>
      <c r="BV86" s="783"/>
      <c r="BW86" s="783"/>
      <c r="BX86" s="783"/>
      <c r="BY86" s="783"/>
      <c r="BZ86" s="783"/>
      <c r="CA86" s="783"/>
      <c r="CB86" s="783"/>
      <c r="CC86" s="783"/>
      <c r="CD86" s="783"/>
      <c r="CE86" s="783"/>
      <c r="CF86" s="783"/>
      <c r="CG86" s="783"/>
      <c r="CH86" s="783"/>
      <c r="CI86" s="783"/>
      <c r="CJ86" s="783"/>
      <c r="CK86" s="783"/>
    </row>
    <row r="87" spans="1:89" s="673" customFormat="1" ht="17.25" customHeight="1" x14ac:dyDescent="0.25">
      <c r="A87" s="697"/>
      <c r="B87" s="711" t="s">
        <v>32</v>
      </c>
      <c r="C87" s="827">
        <v>12</v>
      </c>
      <c r="D87" s="836" t="s">
        <v>20</v>
      </c>
      <c r="E87" s="695">
        <v>1000</v>
      </c>
      <c r="F87" s="700"/>
      <c r="G87" s="700"/>
      <c r="H87" s="700"/>
      <c r="I87" s="700"/>
      <c r="J87" s="700">
        <f t="shared" si="8"/>
        <v>12000</v>
      </c>
      <c r="K87" s="700">
        <f t="shared" si="9"/>
        <v>12000</v>
      </c>
      <c r="L87" s="700"/>
      <c r="M87" s="700"/>
      <c r="N87" s="700"/>
      <c r="O87" s="701">
        <f t="shared" si="7"/>
        <v>12000</v>
      </c>
      <c r="P87" s="702"/>
      <c r="Q87" s="783"/>
      <c r="R87" s="783"/>
      <c r="S87" s="783"/>
      <c r="T87" s="783"/>
      <c r="U87" s="783"/>
      <c r="V87" s="783"/>
      <c r="W87" s="783"/>
      <c r="X87" s="783"/>
      <c r="Y87" s="783"/>
      <c r="Z87" s="783"/>
      <c r="AA87" s="783"/>
      <c r="AB87" s="783"/>
      <c r="AC87" s="783"/>
      <c r="AD87" s="783"/>
      <c r="AE87" s="783"/>
      <c r="AF87" s="783"/>
      <c r="AG87" s="783"/>
      <c r="AH87" s="783"/>
      <c r="AI87" s="783"/>
      <c r="AJ87" s="783"/>
      <c r="AK87" s="783"/>
      <c r="AL87" s="783"/>
      <c r="AM87" s="783"/>
      <c r="AN87" s="783"/>
      <c r="AO87" s="783"/>
      <c r="AP87" s="783"/>
      <c r="AQ87" s="783"/>
      <c r="AR87" s="783"/>
      <c r="AS87" s="783"/>
      <c r="AT87" s="783"/>
      <c r="AU87" s="783"/>
      <c r="AV87" s="783"/>
      <c r="AW87" s="783"/>
      <c r="AX87" s="783"/>
      <c r="AY87" s="783"/>
      <c r="AZ87" s="783"/>
      <c r="BA87" s="783"/>
      <c r="BB87" s="783"/>
      <c r="BC87" s="783"/>
      <c r="BD87" s="783"/>
      <c r="BE87" s="783"/>
      <c r="BF87" s="783"/>
      <c r="BG87" s="783"/>
      <c r="BH87" s="783"/>
      <c r="BI87" s="783"/>
      <c r="BJ87" s="783"/>
      <c r="BK87" s="783"/>
      <c r="BL87" s="783"/>
      <c r="BM87" s="783"/>
      <c r="BN87" s="783"/>
      <c r="BO87" s="783"/>
      <c r="BP87" s="783"/>
      <c r="BQ87" s="783"/>
      <c r="BR87" s="783"/>
      <c r="BS87" s="783"/>
      <c r="BT87" s="783"/>
      <c r="BU87" s="783"/>
      <c r="BV87" s="783"/>
      <c r="BW87" s="783"/>
      <c r="BX87" s="783"/>
      <c r="BY87" s="783"/>
      <c r="BZ87" s="783"/>
      <c r="CA87" s="783"/>
      <c r="CB87" s="783"/>
      <c r="CC87" s="783"/>
      <c r="CD87" s="783"/>
      <c r="CE87" s="783"/>
      <c r="CF87" s="783"/>
      <c r="CG87" s="783"/>
      <c r="CH87" s="783"/>
      <c r="CI87" s="783"/>
      <c r="CJ87" s="783"/>
      <c r="CK87" s="783"/>
    </row>
    <row r="88" spans="1:89" s="673" customFormat="1" ht="17.25" customHeight="1" x14ac:dyDescent="0.25">
      <c r="A88" s="697"/>
      <c r="B88" s="711" t="s">
        <v>33</v>
      </c>
      <c r="C88" s="827">
        <v>60</v>
      </c>
      <c r="D88" s="836" t="s">
        <v>20</v>
      </c>
      <c r="E88" s="695">
        <v>800</v>
      </c>
      <c r="F88" s="700"/>
      <c r="G88" s="700"/>
      <c r="H88" s="700"/>
      <c r="I88" s="700"/>
      <c r="J88" s="700">
        <f t="shared" si="8"/>
        <v>48000</v>
      </c>
      <c r="K88" s="700">
        <f t="shared" si="9"/>
        <v>48000</v>
      </c>
      <c r="L88" s="700"/>
      <c r="M88" s="700"/>
      <c r="N88" s="700"/>
      <c r="O88" s="701">
        <f t="shared" si="7"/>
        <v>48000</v>
      </c>
      <c r="P88" s="702"/>
      <c r="Q88" s="783"/>
      <c r="R88" s="783"/>
      <c r="S88" s="783"/>
      <c r="T88" s="783"/>
      <c r="U88" s="783"/>
      <c r="V88" s="783"/>
      <c r="W88" s="783"/>
      <c r="X88" s="783"/>
      <c r="Y88" s="783"/>
      <c r="Z88" s="783"/>
      <c r="AA88" s="783"/>
      <c r="AB88" s="783"/>
      <c r="AC88" s="783"/>
      <c r="AD88" s="783"/>
      <c r="AE88" s="783"/>
      <c r="AF88" s="783"/>
      <c r="AG88" s="783"/>
      <c r="AH88" s="783"/>
      <c r="AI88" s="783"/>
      <c r="AJ88" s="783"/>
      <c r="AK88" s="783"/>
      <c r="AL88" s="783"/>
      <c r="AM88" s="783"/>
      <c r="AN88" s="783"/>
      <c r="AO88" s="783"/>
      <c r="AP88" s="783"/>
      <c r="AQ88" s="783"/>
      <c r="AR88" s="783"/>
      <c r="AS88" s="783"/>
      <c r="AT88" s="783"/>
      <c r="AU88" s="783"/>
      <c r="AV88" s="783"/>
      <c r="AW88" s="783"/>
      <c r="AX88" s="783"/>
      <c r="AY88" s="783"/>
      <c r="AZ88" s="783"/>
      <c r="BA88" s="783"/>
      <c r="BB88" s="783"/>
      <c r="BC88" s="783"/>
      <c r="BD88" s="783"/>
      <c r="BE88" s="783"/>
      <c r="BF88" s="783"/>
      <c r="BG88" s="783"/>
      <c r="BH88" s="783"/>
      <c r="BI88" s="783"/>
      <c r="BJ88" s="783"/>
      <c r="BK88" s="783"/>
      <c r="BL88" s="783"/>
      <c r="BM88" s="783"/>
      <c r="BN88" s="783"/>
      <c r="BO88" s="783"/>
      <c r="BP88" s="783"/>
      <c r="BQ88" s="783"/>
      <c r="BR88" s="783"/>
      <c r="BS88" s="783"/>
      <c r="BT88" s="783"/>
      <c r="BU88" s="783"/>
      <c r="BV88" s="783"/>
      <c r="BW88" s="783"/>
      <c r="BX88" s="783"/>
      <c r="BY88" s="783"/>
      <c r="BZ88" s="783"/>
      <c r="CA88" s="783"/>
      <c r="CB88" s="783"/>
      <c r="CC88" s="783"/>
      <c r="CD88" s="783"/>
      <c r="CE88" s="783"/>
      <c r="CF88" s="783"/>
      <c r="CG88" s="783"/>
      <c r="CH88" s="783"/>
      <c r="CI88" s="783"/>
      <c r="CJ88" s="783"/>
      <c r="CK88" s="783"/>
    </row>
    <row r="89" spans="1:89" s="673" customFormat="1" ht="17.25" customHeight="1" x14ac:dyDescent="0.25">
      <c r="A89" s="697"/>
      <c r="B89" s="711" t="s">
        <v>34</v>
      </c>
      <c r="C89" s="827">
        <v>36</v>
      </c>
      <c r="D89" s="836" t="s">
        <v>20</v>
      </c>
      <c r="E89" s="695">
        <v>400</v>
      </c>
      <c r="F89" s="700"/>
      <c r="G89" s="700"/>
      <c r="H89" s="700"/>
      <c r="I89" s="700"/>
      <c r="J89" s="700">
        <f t="shared" si="8"/>
        <v>14400</v>
      </c>
      <c r="K89" s="700">
        <f t="shared" si="9"/>
        <v>14400</v>
      </c>
      <c r="L89" s="700"/>
      <c r="M89" s="700"/>
      <c r="N89" s="700"/>
      <c r="O89" s="701">
        <f t="shared" si="7"/>
        <v>14400</v>
      </c>
      <c r="P89" s="702"/>
      <c r="Q89" s="783"/>
      <c r="R89" s="783"/>
      <c r="S89" s="783"/>
      <c r="T89" s="783"/>
      <c r="U89" s="783"/>
      <c r="V89" s="783"/>
      <c r="W89" s="783"/>
      <c r="X89" s="783"/>
      <c r="Y89" s="783"/>
      <c r="Z89" s="783"/>
      <c r="AA89" s="783"/>
      <c r="AB89" s="783"/>
      <c r="AC89" s="783"/>
      <c r="AD89" s="783"/>
      <c r="AE89" s="783"/>
      <c r="AF89" s="783"/>
      <c r="AG89" s="783"/>
      <c r="AH89" s="783"/>
      <c r="AI89" s="783"/>
      <c r="AJ89" s="783"/>
      <c r="AK89" s="783"/>
      <c r="AL89" s="783"/>
      <c r="AM89" s="783"/>
      <c r="AN89" s="783"/>
      <c r="AO89" s="783"/>
      <c r="AP89" s="783"/>
      <c r="AQ89" s="783"/>
      <c r="AR89" s="783"/>
      <c r="AS89" s="783"/>
      <c r="AT89" s="783"/>
      <c r="AU89" s="783"/>
      <c r="AV89" s="783"/>
      <c r="AW89" s="783"/>
      <c r="AX89" s="783"/>
      <c r="AY89" s="783"/>
      <c r="AZ89" s="783"/>
      <c r="BA89" s="783"/>
      <c r="BB89" s="783"/>
      <c r="BC89" s="783"/>
      <c r="BD89" s="783"/>
      <c r="BE89" s="783"/>
      <c r="BF89" s="783"/>
      <c r="BG89" s="783"/>
      <c r="BH89" s="783"/>
      <c r="BI89" s="783"/>
      <c r="BJ89" s="783"/>
      <c r="BK89" s="783"/>
      <c r="BL89" s="783"/>
      <c r="BM89" s="783"/>
      <c r="BN89" s="783"/>
      <c r="BO89" s="783"/>
      <c r="BP89" s="783"/>
      <c r="BQ89" s="783"/>
      <c r="BR89" s="783"/>
      <c r="BS89" s="783"/>
      <c r="BT89" s="783"/>
      <c r="BU89" s="783"/>
      <c r="BV89" s="783"/>
      <c r="BW89" s="783"/>
      <c r="BX89" s="783"/>
      <c r="BY89" s="783"/>
      <c r="BZ89" s="783"/>
      <c r="CA89" s="783"/>
      <c r="CB89" s="783"/>
      <c r="CC89" s="783"/>
      <c r="CD89" s="783"/>
      <c r="CE89" s="783"/>
      <c r="CF89" s="783"/>
      <c r="CG89" s="783"/>
      <c r="CH89" s="783"/>
      <c r="CI89" s="783"/>
      <c r="CJ89" s="783"/>
      <c r="CK89" s="783"/>
    </row>
    <row r="90" spans="1:89" s="673" customFormat="1" ht="17.25" customHeight="1" x14ac:dyDescent="0.25">
      <c r="A90" s="710"/>
      <c r="B90" s="711" t="s">
        <v>1491</v>
      </c>
      <c r="C90" s="691">
        <v>36</v>
      </c>
      <c r="D90" s="716" t="s">
        <v>20</v>
      </c>
      <c r="E90" s="695">
        <v>300</v>
      </c>
      <c r="F90" s="712"/>
      <c r="G90" s="712"/>
      <c r="H90" s="712"/>
      <c r="I90" s="712"/>
      <c r="J90" s="758">
        <f t="shared" si="8"/>
        <v>10800</v>
      </c>
      <c r="K90" s="758">
        <f t="shared" si="9"/>
        <v>10800</v>
      </c>
      <c r="L90" s="758"/>
      <c r="M90" s="758"/>
      <c r="N90" s="700"/>
      <c r="O90" s="701">
        <f t="shared" si="7"/>
        <v>10800</v>
      </c>
      <c r="P90" s="702"/>
      <c r="Q90" s="783"/>
      <c r="R90" s="783"/>
      <c r="S90" s="783"/>
      <c r="T90" s="783"/>
      <c r="U90" s="783"/>
      <c r="V90" s="783"/>
      <c r="W90" s="783"/>
      <c r="X90" s="783"/>
      <c r="Y90" s="783"/>
      <c r="Z90" s="783"/>
      <c r="AA90" s="783"/>
      <c r="AB90" s="783"/>
      <c r="AC90" s="783"/>
      <c r="AD90" s="783"/>
      <c r="AE90" s="783"/>
      <c r="AF90" s="783"/>
      <c r="AG90" s="783"/>
      <c r="AH90" s="783"/>
      <c r="AI90" s="783"/>
      <c r="AJ90" s="783"/>
      <c r="AK90" s="783"/>
      <c r="AL90" s="783"/>
      <c r="AM90" s="783"/>
      <c r="AN90" s="783"/>
      <c r="AO90" s="783"/>
      <c r="AP90" s="783"/>
      <c r="AQ90" s="783"/>
      <c r="AR90" s="783"/>
      <c r="AS90" s="783"/>
      <c r="AT90" s="783"/>
      <c r="AU90" s="783"/>
      <c r="AV90" s="783"/>
      <c r="AW90" s="783"/>
      <c r="AX90" s="783"/>
      <c r="AY90" s="783"/>
      <c r="AZ90" s="783"/>
      <c r="BA90" s="783"/>
      <c r="BB90" s="783"/>
      <c r="BC90" s="783"/>
      <c r="BD90" s="783"/>
      <c r="BE90" s="783"/>
      <c r="BF90" s="783"/>
      <c r="BG90" s="783"/>
      <c r="BH90" s="783"/>
      <c r="BI90" s="783"/>
      <c r="BJ90" s="783"/>
      <c r="BK90" s="783"/>
      <c r="BL90" s="783"/>
      <c r="BM90" s="783"/>
      <c r="BN90" s="783"/>
      <c r="BO90" s="783"/>
      <c r="BP90" s="783"/>
      <c r="BQ90" s="783"/>
      <c r="BR90" s="783"/>
      <c r="BS90" s="783"/>
      <c r="BT90" s="783"/>
      <c r="BU90" s="783"/>
      <c r="BV90" s="783"/>
      <c r="BW90" s="783"/>
      <c r="BX90" s="783"/>
      <c r="BY90" s="783"/>
      <c r="BZ90" s="783"/>
      <c r="CA90" s="783"/>
      <c r="CB90" s="783"/>
      <c r="CC90" s="783"/>
      <c r="CD90" s="783"/>
      <c r="CE90" s="783"/>
      <c r="CF90" s="783"/>
      <c r="CG90" s="783"/>
      <c r="CH90" s="783"/>
      <c r="CI90" s="783"/>
      <c r="CJ90" s="783"/>
      <c r="CK90" s="783"/>
    </row>
    <row r="91" spans="1:89" s="673" customFormat="1" ht="17.25" customHeight="1" x14ac:dyDescent="0.25">
      <c r="A91" s="710"/>
      <c r="B91" s="711" t="s">
        <v>1492</v>
      </c>
      <c r="C91" s="691">
        <v>1</v>
      </c>
      <c r="D91" s="716" t="s">
        <v>25</v>
      </c>
      <c r="E91" s="695">
        <v>20000</v>
      </c>
      <c r="F91" s="712"/>
      <c r="G91" s="712"/>
      <c r="H91" s="712"/>
      <c r="I91" s="712"/>
      <c r="J91" s="758">
        <f t="shared" si="8"/>
        <v>20000</v>
      </c>
      <c r="K91" s="758">
        <f t="shared" si="9"/>
        <v>20000</v>
      </c>
      <c r="L91" s="758"/>
      <c r="M91" s="758"/>
      <c r="N91" s="700"/>
      <c r="O91" s="701">
        <f t="shared" si="7"/>
        <v>20000</v>
      </c>
      <c r="P91" s="702"/>
      <c r="Q91" s="783"/>
      <c r="R91" s="783"/>
      <c r="S91" s="783"/>
      <c r="T91" s="783"/>
      <c r="U91" s="783"/>
      <c r="V91" s="783"/>
      <c r="W91" s="783"/>
      <c r="X91" s="783"/>
      <c r="Y91" s="783"/>
      <c r="Z91" s="783"/>
      <c r="AA91" s="783"/>
      <c r="AB91" s="783"/>
      <c r="AC91" s="783"/>
      <c r="AD91" s="783"/>
      <c r="AE91" s="783"/>
      <c r="AF91" s="783"/>
      <c r="AG91" s="783"/>
      <c r="AH91" s="783"/>
      <c r="AI91" s="783"/>
      <c r="AJ91" s="783"/>
      <c r="AK91" s="783"/>
      <c r="AL91" s="783"/>
      <c r="AM91" s="783"/>
      <c r="AN91" s="783"/>
      <c r="AO91" s="783"/>
      <c r="AP91" s="783"/>
      <c r="AQ91" s="783"/>
      <c r="AR91" s="783"/>
      <c r="AS91" s="783"/>
      <c r="AT91" s="783"/>
      <c r="AU91" s="783"/>
      <c r="AV91" s="783"/>
      <c r="AW91" s="783"/>
      <c r="AX91" s="783"/>
      <c r="AY91" s="783"/>
      <c r="AZ91" s="783"/>
      <c r="BA91" s="783"/>
      <c r="BB91" s="783"/>
      <c r="BC91" s="783"/>
      <c r="BD91" s="783"/>
      <c r="BE91" s="783"/>
      <c r="BF91" s="783"/>
      <c r="BG91" s="783"/>
      <c r="BH91" s="783"/>
      <c r="BI91" s="783"/>
      <c r="BJ91" s="783"/>
      <c r="BK91" s="783"/>
      <c r="BL91" s="783"/>
      <c r="BM91" s="783"/>
      <c r="BN91" s="783"/>
      <c r="BO91" s="783"/>
      <c r="BP91" s="783"/>
      <c r="BQ91" s="783"/>
      <c r="BR91" s="783"/>
      <c r="BS91" s="783"/>
      <c r="BT91" s="783"/>
      <c r="BU91" s="783"/>
      <c r="BV91" s="783"/>
      <c r="BW91" s="783"/>
      <c r="BX91" s="783"/>
      <c r="BY91" s="783"/>
      <c r="BZ91" s="783"/>
      <c r="CA91" s="783"/>
      <c r="CB91" s="783"/>
      <c r="CC91" s="783"/>
      <c r="CD91" s="783"/>
      <c r="CE91" s="783"/>
      <c r="CF91" s="783"/>
      <c r="CG91" s="783"/>
      <c r="CH91" s="783"/>
      <c r="CI91" s="783"/>
      <c r="CJ91" s="783"/>
      <c r="CK91" s="783"/>
    </row>
    <row r="92" spans="1:89" s="673" customFormat="1" ht="17.25" customHeight="1" x14ac:dyDescent="0.25">
      <c r="A92" s="710"/>
      <c r="B92" s="711" t="s">
        <v>590</v>
      </c>
      <c r="C92" s="691">
        <v>1</v>
      </c>
      <c r="D92" s="716" t="s">
        <v>25</v>
      </c>
      <c r="E92" s="695">
        <v>4600</v>
      </c>
      <c r="F92" s="712"/>
      <c r="G92" s="712"/>
      <c r="H92" s="712"/>
      <c r="I92" s="712"/>
      <c r="J92" s="758">
        <f t="shared" si="8"/>
        <v>4600</v>
      </c>
      <c r="K92" s="758">
        <f t="shared" si="9"/>
        <v>4600</v>
      </c>
      <c r="L92" s="758"/>
      <c r="M92" s="758"/>
      <c r="N92" s="700"/>
      <c r="O92" s="701">
        <f t="shared" si="7"/>
        <v>4600</v>
      </c>
      <c r="P92" s="702"/>
      <c r="Q92" s="783"/>
      <c r="R92" s="783"/>
      <c r="S92" s="783"/>
      <c r="T92" s="783"/>
      <c r="U92" s="783"/>
      <c r="V92" s="783"/>
      <c r="W92" s="783"/>
      <c r="X92" s="783"/>
      <c r="Y92" s="783"/>
      <c r="Z92" s="783"/>
      <c r="AA92" s="783"/>
      <c r="AB92" s="783"/>
      <c r="AC92" s="783"/>
      <c r="AD92" s="783"/>
      <c r="AE92" s="783"/>
      <c r="AF92" s="783"/>
      <c r="AG92" s="783"/>
      <c r="AH92" s="783"/>
      <c r="AI92" s="783"/>
      <c r="AJ92" s="783"/>
      <c r="AK92" s="783"/>
      <c r="AL92" s="783"/>
      <c r="AM92" s="783"/>
      <c r="AN92" s="783"/>
      <c r="AO92" s="783"/>
      <c r="AP92" s="783"/>
      <c r="AQ92" s="783"/>
      <c r="AR92" s="783"/>
      <c r="AS92" s="783"/>
      <c r="AT92" s="783"/>
      <c r="AU92" s="783"/>
      <c r="AV92" s="783"/>
      <c r="AW92" s="783"/>
      <c r="AX92" s="783"/>
      <c r="AY92" s="783"/>
      <c r="AZ92" s="783"/>
      <c r="BA92" s="783"/>
      <c r="BB92" s="783"/>
      <c r="BC92" s="783"/>
      <c r="BD92" s="783"/>
      <c r="BE92" s="783"/>
      <c r="BF92" s="783"/>
      <c r="BG92" s="783"/>
      <c r="BH92" s="783"/>
      <c r="BI92" s="783"/>
      <c r="BJ92" s="783"/>
      <c r="BK92" s="783"/>
      <c r="BL92" s="783"/>
      <c r="BM92" s="783"/>
      <c r="BN92" s="783"/>
      <c r="BO92" s="783"/>
      <c r="BP92" s="783"/>
      <c r="BQ92" s="783"/>
      <c r="BR92" s="783"/>
      <c r="BS92" s="783"/>
      <c r="BT92" s="783"/>
      <c r="BU92" s="783"/>
      <c r="BV92" s="783"/>
      <c r="BW92" s="783"/>
      <c r="BX92" s="783"/>
      <c r="BY92" s="783"/>
      <c r="BZ92" s="783"/>
      <c r="CA92" s="783"/>
      <c r="CB92" s="783"/>
      <c r="CC92" s="783"/>
      <c r="CD92" s="783"/>
      <c r="CE92" s="783"/>
      <c r="CF92" s="783"/>
      <c r="CG92" s="783"/>
      <c r="CH92" s="783"/>
      <c r="CI92" s="783"/>
      <c r="CJ92" s="783"/>
      <c r="CK92" s="783"/>
    </row>
    <row r="93" spans="1:89" s="673" customFormat="1" ht="17.25" customHeight="1" x14ac:dyDescent="0.25">
      <c r="A93" s="710"/>
      <c r="B93" s="711"/>
      <c r="C93" s="691"/>
      <c r="D93" s="716"/>
      <c r="E93" s="695"/>
      <c r="F93" s="712"/>
      <c r="G93" s="712"/>
      <c r="H93" s="712"/>
      <c r="I93" s="712"/>
      <c r="J93" s="758">
        <f t="shared" si="8"/>
        <v>0</v>
      </c>
      <c r="K93" s="758"/>
      <c r="L93" s="758"/>
      <c r="M93" s="758"/>
      <c r="N93" s="700"/>
      <c r="O93" s="701">
        <f t="shared" si="7"/>
        <v>0</v>
      </c>
      <c r="P93" s="702"/>
      <c r="Q93" s="783"/>
      <c r="R93" s="783"/>
      <c r="S93" s="783"/>
      <c r="T93" s="783"/>
      <c r="U93" s="783"/>
      <c r="V93" s="783"/>
      <c r="W93" s="783"/>
      <c r="X93" s="783"/>
      <c r="Y93" s="783"/>
      <c r="Z93" s="783"/>
      <c r="AA93" s="783"/>
      <c r="AB93" s="783"/>
      <c r="AC93" s="783"/>
      <c r="AD93" s="783"/>
      <c r="AE93" s="783"/>
      <c r="AF93" s="783"/>
      <c r="AG93" s="783"/>
      <c r="AH93" s="783"/>
      <c r="AI93" s="783"/>
      <c r="AJ93" s="783"/>
      <c r="AK93" s="783"/>
      <c r="AL93" s="783"/>
      <c r="AM93" s="783"/>
      <c r="AN93" s="783"/>
      <c r="AO93" s="783"/>
      <c r="AP93" s="783"/>
      <c r="AQ93" s="783"/>
      <c r="AR93" s="783"/>
      <c r="AS93" s="783"/>
      <c r="AT93" s="783"/>
      <c r="AU93" s="783"/>
      <c r="AV93" s="783"/>
      <c r="AW93" s="783"/>
      <c r="AX93" s="783"/>
      <c r="AY93" s="783"/>
      <c r="AZ93" s="783"/>
      <c r="BA93" s="783"/>
      <c r="BB93" s="783"/>
      <c r="BC93" s="783"/>
      <c r="BD93" s="783"/>
      <c r="BE93" s="783"/>
      <c r="BF93" s="783"/>
      <c r="BG93" s="783"/>
      <c r="BH93" s="783"/>
      <c r="BI93" s="783"/>
      <c r="BJ93" s="783"/>
      <c r="BK93" s="783"/>
      <c r="BL93" s="783"/>
      <c r="BM93" s="783"/>
      <c r="BN93" s="783"/>
      <c r="BO93" s="783"/>
      <c r="BP93" s="783"/>
      <c r="BQ93" s="783"/>
      <c r="BR93" s="783"/>
      <c r="BS93" s="783"/>
      <c r="BT93" s="783"/>
      <c r="BU93" s="783"/>
      <c r="BV93" s="783"/>
      <c r="BW93" s="783"/>
      <c r="BX93" s="783"/>
      <c r="BY93" s="783"/>
      <c r="BZ93" s="783"/>
      <c r="CA93" s="783"/>
      <c r="CB93" s="783"/>
      <c r="CC93" s="783"/>
      <c r="CD93" s="783"/>
      <c r="CE93" s="783"/>
      <c r="CF93" s="783"/>
      <c r="CG93" s="783"/>
      <c r="CH93" s="783"/>
      <c r="CI93" s="783"/>
      <c r="CJ93" s="783"/>
      <c r="CK93" s="783"/>
    </row>
    <row r="94" spans="1:89" s="673" customFormat="1" ht="17.25" customHeight="1" x14ac:dyDescent="0.25">
      <c r="A94" s="710">
        <v>2</v>
      </c>
      <c r="B94" s="711" t="s">
        <v>27</v>
      </c>
      <c r="C94" s="691"/>
      <c r="D94" s="716"/>
      <c r="E94" s="695"/>
      <c r="F94" s="712"/>
      <c r="G94" s="712"/>
      <c r="H94" s="712"/>
      <c r="I94" s="712"/>
      <c r="J94" s="758"/>
      <c r="K94" s="758"/>
      <c r="L94" s="758"/>
      <c r="M94" s="758"/>
      <c r="N94" s="700"/>
      <c r="O94" s="701">
        <f t="shared" si="7"/>
        <v>0</v>
      </c>
      <c r="P94" s="702"/>
      <c r="Q94" s="783"/>
      <c r="R94" s="783"/>
      <c r="S94" s="783"/>
      <c r="T94" s="783"/>
      <c r="U94" s="783"/>
      <c r="V94" s="783"/>
      <c r="W94" s="783"/>
      <c r="X94" s="783"/>
      <c r="Y94" s="783"/>
      <c r="Z94" s="783"/>
      <c r="AA94" s="783"/>
      <c r="AB94" s="783"/>
      <c r="AC94" s="783"/>
      <c r="AD94" s="783"/>
      <c r="AE94" s="783"/>
      <c r="AF94" s="783"/>
      <c r="AG94" s="783"/>
      <c r="AH94" s="783"/>
      <c r="AI94" s="783"/>
      <c r="AJ94" s="783"/>
      <c r="AK94" s="783"/>
      <c r="AL94" s="783"/>
      <c r="AM94" s="783"/>
      <c r="AN94" s="783"/>
      <c r="AO94" s="783"/>
      <c r="AP94" s="783"/>
      <c r="AQ94" s="783"/>
      <c r="AR94" s="783"/>
      <c r="AS94" s="783"/>
      <c r="AT94" s="783"/>
      <c r="AU94" s="783"/>
      <c r="AV94" s="783"/>
      <c r="AW94" s="783"/>
      <c r="AX94" s="783"/>
      <c r="AY94" s="783"/>
      <c r="AZ94" s="783"/>
      <c r="BA94" s="783"/>
      <c r="BB94" s="783"/>
      <c r="BC94" s="783"/>
      <c r="BD94" s="783"/>
      <c r="BE94" s="783"/>
      <c r="BF94" s="783"/>
      <c r="BG94" s="783"/>
      <c r="BH94" s="783"/>
      <c r="BI94" s="783"/>
      <c r="BJ94" s="783"/>
      <c r="BK94" s="783"/>
      <c r="BL94" s="783"/>
      <c r="BM94" s="783"/>
      <c r="BN94" s="783"/>
      <c r="BO94" s="783"/>
      <c r="BP94" s="783"/>
      <c r="BQ94" s="783"/>
      <c r="BR94" s="783"/>
      <c r="BS94" s="783"/>
      <c r="BT94" s="783"/>
      <c r="BU94" s="783"/>
      <c r="BV94" s="783"/>
      <c r="BW94" s="783"/>
      <c r="BX94" s="783"/>
      <c r="BY94" s="783"/>
      <c r="BZ94" s="783"/>
      <c r="CA94" s="783"/>
      <c r="CB94" s="783"/>
      <c r="CC94" s="783"/>
      <c r="CD94" s="783"/>
      <c r="CE94" s="783"/>
      <c r="CF94" s="783"/>
      <c r="CG94" s="783"/>
      <c r="CH94" s="783"/>
      <c r="CI94" s="783"/>
      <c r="CJ94" s="783"/>
      <c r="CK94" s="783"/>
    </row>
    <row r="95" spans="1:89" s="673" customFormat="1" ht="17.25" customHeight="1" x14ac:dyDescent="0.25">
      <c r="A95" s="710"/>
      <c r="B95" s="711" t="s">
        <v>42</v>
      </c>
      <c r="C95" s="691">
        <v>1</v>
      </c>
      <c r="D95" s="716" t="s">
        <v>25</v>
      </c>
      <c r="E95" s="695">
        <v>45000</v>
      </c>
      <c r="F95" s="712"/>
      <c r="G95" s="712"/>
      <c r="H95" s="712"/>
      <c r="I95" s="712"/>
      <c r="J95" s="758">
        <f>C95*E95</f>
        <v>45000</v>
      </c>
      <c r="K95" s="758">
        <f>I95+J95</f>
        <v>45000</v>
      </c>
      <c r="L95" s="758"/>
      <c r="M95" s="758"/>
      <c r="N95" s="700"/>
      <c r="O95" s="701">
        <f t="shared" si="7"/>
        <v>45000</v>
      </c>
      <c r="P95" s="702"/>
      <c r="Q95" s="783"/>
      <c r="R95" s="783"/>
      <c r="S95" s="783"/>
      <c r="T95" s="783"/>
      <c r="U95" s="783"/>
      <c r="V95" s="783"/>
      <c r="W95" s="783"/>
      <c r="X95" s="783"/>
      <c r="Y95" s="783"/>
      <c r="Z95" s="783"/>
      <c r="AA95" s="783"/>
      <c r="AB95" s="783"/>
      <c r="AC95" s="783"/>
      <c r="AD95" s="783"/>
      <c r="AE95" s="783"/>
      <c r="AF95" s="783"/>
      <c r="AG95" s="783"/>
      <c r="AH95" s="783"/>
      <c r="AI95" s="783"/>
      <c r="AJ95" s="783"/>
      <c r="AK95" s="783"/>
      <c r="AL95" s="783"/>
      <c r="AM95" s="783"/>
      <c r="AN95" s="783"/>
      <c r="AO95" s="783"/>
      <c r="AP95" s="783"/>
      <c r="AQ95" s="783"/>
      <c r="AR95" s="783"/>
      <c r="AS95" s="783"/>
      <c r="AT95" s="783"/>
      <c r="AU95" s="783"/>
      <c r="AV95" s="783"/>
      <c r="AW95" s="783"/>
      <c r="AX95" s="783"/>
      <c r="AY95" s="783"/>
      <c r="AZ95" s="783"/>
      <c r="BA95" s="783"/>
      <c r="BB95" s="783"/>
      <c r="BC95" s="783"/>
      <c r="BD95" s="783"/>
      <c r="BE95" s="783"/>
      <c r="BF95" s="783"/>
      <c r="BG95" s="783"/>
      <c r="BH95" s="783"/>
      <c r="BI95" s="783"/>
      <c r="BJ95" s="783"/>
      <c r="BK95" s="783"/>
      <c r="BL95" s="783"/>
      <c r="BM95" s="783"/>
      <c r="BN95" s="783"/>
      <c r="BO95" s="783"/>
      <c r="BP95" s="783"/>
      <c r="BQ95" s="783"/>
      <c r="BR95" s="783"/>
      <c r="BS95" s="783"/>
      <c r="BT95" s="783"/>
      <c r="BU95" s="783"/>
      <c r="BV95" s="783"/>
      <c r="BW95" s="783"/>
      <c r="BX95" s="783"/>
      <c r="BY95" s="783"/>
      <c r="BZ95" s="783"/>
      <c r="CA95" s="783"/>
      <c r="CB95" s="783"/>
      <c r="CC95" s="783"/>
      <c r="CD95" s="783"/>
      <c r="CE95" s="783"/>
      <c r="CF95" s="783"/>
      <c r="CG95" s="783"/>
      <c r="CH95" s="783"/>
      <c r="CI95" s="783"/>
      <c r="CJ95" s="783"/>
      <c r="CK95" s="783"/>
    </row>
    <row r="96" spans="1:89" s="673" customFormat="1" ht="17.25" customHeight="1" x14ac:dyDescent="0.25">
      <c r="A96" s="710">
        <v>3</v>
      </c>
      <c r="B96" s="711" t="s">
        <v>40</v>
      </c>
      <c r="C96" s="691"/>
      <c r="D96" s="716"/>
      <c r="E96" s="695"/>
      <c r="F96" s="712"/>
      <c r="G96" s="712"/>
      <c r="H96" s="712"/>
      <c r="I96" s="712"/>
      <c r="J96" s="758"/>
      <c r="K96" s="758"/>
      <c r="L96" s="758"/>
      <c r="M96" s="758"/>
      <c r="N96" s="700"/>
      <c r="O96" s="701">
        <f t="shared" si="7"/>
        <v>0</v>
      </c>
      <c r="P96" s="702"/>
      <c r="Q96" s="783"/>
      <c r="R96" s="783"/>
      <c r="S96" s="783"/>
      <c r="T96" s="783"/>
      <c r="U96" s="783"/>
      <c r="V96" s="783"/>
      <c r="W96" s="783"/>
      <c r="X96" s="783"/>
      <c r="Y96" s="783"/>
      <c r="Z96" s="783"/>
      <c r="AA96" s="783"/>
      <c r="AB96" s="783"/>
      <c r="AC96" s="783"/>
      <c r="AD96" s="783"/>
      <c r="AE96" s="783"/>
      <c r="AF96" s="783"/>
      <c r="AG96" s="783"/>
      <c r="AH96" s="783"/>
      <c r="AI96" s="783"/>
      <c r="AJ96" s="783"/>
      <c r="AK96" s="783"/>
      <c r="AL96" s="783"/>
      <c r="AM96" s="783"/>
      <c r="AN96" s="783"/>
      <c r="AO96" s="783"/>
      <c r="AP96" s="783"/>
      <c r="AQ96" s="783"/>
      <c r="AR96" s="783"/>
      <c r="AS96" s="783"/>
      <c r="AT96" s="783"/>
      <c r="AU96" s="783"/>
      <c r="AV96" s="783"/>
      <c r="AW96" s="783"/>
      <c r="AX96" s="783"/>
      <c r="AY96" s="783"/>
      <c r="AZ96" s="783"/>
      <c r="BA96" s="783"/>
      <c r="BB96" s="783"/>
      <c r="BC96" s="783"/>
      <c r="BD96" s="783"/>
      <c r="BE96" s="783"/>
      <c r="BF96" s="783"/>
      <c r="BG96" s="783"/>
      <c r="BH96" s="783"/>
      <c r="BI96" s="783"/>
      <c r="BJ96" s="783"/>
      <c r="BK96" s="783"/>
      <c r="BL96" s="783"/>
      <c r="BM96" s="783"/>
      <c r="BN96" s="783"/>
      <c r="BO96" s="783"/>
      <c r="BP96" s="783"/>
      <c r="BQ96" s="783"/>
      <c r="BR96" s="783"/>
      <c r="BS96" s="783"/>
      <c r="BT96" s="783"/>
      <c r="BU96" s="783"/>
      <c r="BV96" s="783"/>
      <c r="BW96" s="783"/>
      <c r="BX96" s="783"/>
      <c r="BY96" s="783"/>
      <c r="BZ96" s="783"/>
      <c r="CA96" s="783"/>
      <c r="CB96" s="783"/>
      <c r="CC96" s="783"/>
      <c r="CD96" s="783"/>
      <c r="CE96" s="783"/>
      <c r="CF96" s="783"/>
      <c r="CG96" s="783"/>
      <c r="CH96" s="783"/>
      <c r="CI96" s="783"/>
      <c r="CJ96" s="783"/>
      <c r="CK96" s="783"/>
    </row>
    <row r="97" spans="1:89" s="673" customFormat="1" ht="17.25" customHeight="1" x14ac:dyDescent="0.25">
      <c r="A97" s="710"/>
      <c r="B97" s="711" t="s">
        <v>41</v>
      </c>
      <c r="C97" s="691">
        <v>1</v>
      </c>
      <c r="D97" s="716" t="s">
        <v>25</v>
      </c>
      <c r="E97" s="695">
        <v>45000</v>
      </c>
      <c r="F97" s="712"/>
      <c r="G97" s="712"/>
      <c r="H97" s="712"/>
      <c r="I97" s="712"/>
      <c r="J97" s="758">
        <f>C97*E97</f>
        <v>45000</v>
      </c>
      <c r="K97" s="758">
        <f>I97+J97</f>
        <v>45000</v>
      </c>
      <c r="L97" s="758"/>
      <c r="M97" s="758"/>
      <c r="N97" s="700"/>
      <c r="O97" s="701">
        <f t="shared" si="7"/>
        <v>45000</v>
      </c>
      <c r="P97" s="702"/>
      <c r="Q97" s="783"/>
      <c r="R97" s="783"/>
      <c r="S97" s="783"/>
      <c r="T97" s="783"/>
      <c r="U97" s="783"/>
      <c r="V97" s="783"/>
      <c r="W97" s="783"/>
      <c r="X97" s="783"/>
      <c r="Y97" s="783"/>
      <c r="Z97" s="783"/>
      <c r="AA97" s="783"/>
      <c r="AB97" s="783"/>
      <c r="AC97" s="783"/>
      <c r="AD97" s="783"/>
      <c r="AE97" s="783"/>
      <c r="AF97" s="783"/>
      <c r="AG97" s="783"/>
      <c r="AH97" s="783"/>
      <c r="AI97" s="783"/>
      <c r="AJ97" s="783"/>
      <c r="AK97" s="783"/>
      <c r="AL97" s="783"/>
      <c r="AM97" s="783"/>
      <c r="AN97" s="783"/>
      <c r="AO97" s="783"/>
      <c r="AP97" s="783"/>
      <c r="AQ97" s="783"/>
      <c r="AR97" s="783"/>
      <c r="AS97" s="783"/>
      <c r="AT97" s="783"/>
      <c r="AU97" s="783"/>
      <c r="AV97" s="783"/>
      <c r="AW97" s="783"/>
      <c r="AX97" s="783"/>
      <c r="AY97" s="783"/>
      <c r="AZ97" s="783"/>
      <c r="BA97" s="783"/>
      <c r="BB97" s="783"/>
      <c r="BC97" s="783"/>
      <c r="BD97" s="783"/>
      <c r="BE97" s="783"/>
      <c r="BF97" s="783"/>
      <c r="BG97" s="783"/>
      <c r="BH97" s="783"/>
      <c r="BI97" s="783"/>
      <c r="BJ97" s="783"/>
      <c r="BK97" s="783"/>
      <c r="BL97" s="783"/>
      <c r="BM97" s="783"/>
      <c r="BN97" s="783"/>
      <c r="BO97" s="783"/>
      <c r="BP97" s="783"/>
      <c r="BQ97" s="783"/>
      <c r="BR97" s="783"/>
      <c r="BS97" s="783"/>
      <c r="BT97" s="783"/>
      <c r="BU97" s="783"/>
      <c r="BV97" s="783"/>
      <c r="BW97" s="783"/>
      <c r="BX97" s="783"/>
      <c r="BY97" s="783"/>
      <c r="BZ97" s="783"/>
      <c r="CA97" s="783"/>
      <c r="CB97" s="783"/>
      <c r="CC97" s="783"/>
      <c r="CD97" s="783"/>
      <c r="CE97" s="783"/>
      <c r="CF97" s="783"/>
      <c r="CG97" s="783"/>
      <c r="CH97" s="783"/>
      <c r="CI97" s="783"/>
      <c r="CJ97" s="783"/>
      <c r="CK97" s="783"/>
    </row>
    <row r="98" spans="1:89" s="673" customFormat="1" ht="17.25" customHeight="1" x14ac:dyDescent="0.25">
      <c r="A98" s="710">
        <v>4</v>
      </c>
      <c r="B98" s="711" t="s">
        <v>43</v>
      </c>
      <c r="C98" s="691"/>
      <c r="D98" s="716"/>
      <c r="E98" s="695"/>
      <c r="F98" s="712"/>
      <c r="G98" s="712"/>
      <c r="H98" s="712"/>
      <c r="I98" s="712"/>
      <c r="J98" s="758"/>
      <c r="K98" s="758"/>
      <c r="L98" s="758"/>
      <c r="M98" s="758"/>
      <c r="N98" s="700"/>
      <c r="O98" s="701">
        <f t="shared" si="7"/>
        <v>0</v>
      </c>
      <c r="P98" s="702"/>
      <c r="Q98" s="783"/>
      <c r="R98" s="783"/>
      <c r="S98" s="783"/>
      <c r="T98" s="783"/>
      <c r="U98" s="783"/>
      <c r="V98" s="783"/>
      <c r="W98" s="783"/>
      <c r="X98" s="783"/>
      <c r="Y98" s="783"/>
      <c r="Z98" s="783"/>
      <c r="AA98" s="783"/>
      <c r="AB98" s="783"/>
      <c r="AC98" s="783"/>
      <c r="AD98" s="783"/>
      <c r="AE98" s="783"/>
      <c r="AF98" s="783"/>
      <c r="AG98" s="783"/>
      <c r="AH98" s="783"/>
      <c r="AI98" s="783"/>
      <c r="AJ98" s="783"/>
      <c r="AK98" s="783"/>
      <c r="AL98" s="783"/>
      <c r="AM98" s="783"/>
      <c r="AN98" s="783"/>
      <c r="AO98" s="783"/>
      <c r="AP98" s="783"/>
      <c r="AQ98" s="783"/>
      <c r="AR98" s="783"/>
      <c r="AS98" s="783"/>
      <c r="AT98" s="783"/>
      <c r="AU98" s="783"/>
      <c r="AV98" s="783"/>
      <c r="AW98" s="783"/>
      <c r="AX98" s="783"/>
      <c r="AY98" s="783"/>
      <c r="AZ98" s="783"/>
      <c r="BA98" s="783"/>
      <c r="BB98" s="783"/>
      <c r="BC98" s="783"/>
      <c r="BD98" s="783"/>
      <c r="BE98" s="783"/>
      <c r="BF98" s="783"/>
      <c r="BG98" s="783"/>
      <c r="BH98" s="783"/>
      <c r="BI98" s="783"/>
      <c r="BJ98" s="783"/>
      <c r="BK98" s="783"/>
      <c r="BL98" s="783"/>
      <c r="BM98" s="783"/>
      <c r="BN98" s="783"/>
      <c r="BO98" s="783"/>
      <c r="BP98" s="783"/>
      <c r="BQ98" s="783"/>
      <c r="BR98" s="783"/>
      <c r="BS98" s="783"/>
      <c r="BT98" s="783"/>
      <c r="BU98" s="783"/>
      <c r="BV98" s="783"/>
      <c r="BW98" s="783"/>
      <c r="BX98" s="783"/>
      <c r="BY98" s="783"/>
      <c r="BZ98" s="783"/>
      <c r="CA98" s="783"/>
      <c r="CB98" s="783"/>
      <c r="CC98" s="783"/>
      <c r="CD98" s="783"/>
      <c r="CE98" s="783"/>
      <c r="CF98" s="783"/>
      <c r="CG98" s="783"/>
      <c r="CH98" s="783"/>
      <c r="CI98" s="783"/>
      <c r="CJ98" s="783"/>
      <c r="CK98" s="783"/>
    </row>
    <row r="99" spans="1:89" s="673" customFormat="1" ht="17.25" customHeight="1" x14ac:dyDescent="0.25">
      <c r="A99" s="710"/>
      <c r="B99" s="711" t="s">
        <v>44</v>
      </c>
      <c r="C99" s="691">
        <v>12</v>
      </c>
      <c r="D99" s="716" t="s">
        <v>45</v>
      </c>
      <c r="E99" s="695">
        <v>6000</v>
      </c>
      <c r="F99" s="712"/>
      <c r="G99" s="712"/>
      <c r="H99" s="712"/>
      <c r="I99" s="712"/>
      <c r="J99" s="758">
        <f>C99*E99</f>
        <v>72000</v>
      </c>
      <c r="K99" s="758">
        <f>I99+J99</f>
        <v>72000</v>
      </c>
      <c r="L99" s="758"/>
      <c r="M99" s="758"/>
      <c r="N99" s="700"/>
      <c r="O99" s="701">
        <f t="shared" si="7"/>
        <v>72000</v>
      </c>
      <c r="P99" s="702"/>
      <c r="Q99" s="783"/>
      <c r="R99" s="783"/>
      <c r="S99" s="783"/>
      <c r="T99" s="783"/>
      <c r="U99" s="783"/>
      <c r="V99" s="783"/>
      <c r="W99" s="783"/>
      <c r="X99" s="783"/>
      <c r="Y99" s="783"/>
      <c r="Z99" s="783"/>
      <c r="AA99" s="783"/>
      <c r="AB99" s="783"/>
      <c r="AC99" s="783"/>
      <c r="AD99" s="783"/>
      <c r="AE99" s="783"/>
      <c r="AF99" s="783"/>
      <c r="AG99" s="783"/>
      <c r="AH99" s="783"/>
      <c r="AI99" s="783"/>
      <c r="AJ99" s="783"/>
      <c r="AK99" s="783"/>
      <c r="AL99" s="783"/>
      <c r="AM99" s="783"/>
      <c r="AN99" s="783"/>
      <c r="AO99" s="783"/>
      <c r="AP99" s="783"/>
      <c r="AQ99" s="783"/>
      <c r="AR99" s="783"/>
      <c r="AS99" s="783"/>
      <c r="AT99" s="783"/>
      <c r="AU99" s="783"/>
      <c r="AV99" s="783"/>
      <c r="AW99" s="783"/>
      <c r="AX99" s="783"/>
      <c r="AY99" s="783"/>
      <c r="AZ99" s="783"/>
      <c r="BA99" s="783"/>
      <c r="BB99" s="783"/>
      <c r="BC99" s="783"/>
      <c r="BD99" s="783"/>
      <c r="BE99" s="783"/>
      <c r="BF99" s="783"/>
      <c r="BG99" s="783"/>
      <c r="BH99" s="783"/>
      <c r="BI99" s="783"/>
      <c r="BJ99" s="783"/>
      <c r="BK99" s="783"/>
      <c r="BL99" s="783"/>
      <c r="BM99" s="783"/>
      <c r="BN99" s="783"/>
      <c r="BO99" s="783"/>
      <c r="BP99" s="783"/>
      <c r="BQ99" s="783"/>
      <c r="BR99" s="783"/>
      <c r="BS99" s="783"/>
      <c r="BT99" s="783"/>
      <c r="BU99" s="783"/>
      <c r="BV99" s="783"/>
      <c r="BW99" s="783"/>
      <c r="BX99" s="783"/>
      <c r="BY99" s="783"/>
      <c r="BZ99" s="783"/>
      <c r="CA99" s="783"/>
      <c r="CB99" s="783"/>
      <c r="CC99" s="783"/>
      <c r="CD99" s="783"/>
      <c r="CE99" s="783"/>
      <c r="CF99" s="783"/>
      <c r="CG99" s="783"/>
      <c r="CH99" s="783"/>
      <c r="CI99" s="783"/>
      <c r="CJ99" s="783"/>
      <c r="CK99" s="783"/>
    </row>
    <row r="100" spans="1:89" s="673" customFormat="1" ht="17.25" customHeight="1" x14ac:dyDescent="0.25">
      <c r="A100" s="710">
        <v>5</v>
      </c>
      <c r="B100" s="711" t="s">
        <v>48</v>
      </c>
      <c r="C100" s="691"/>
      <c r="D100" s="716"/>
      <c r="E100" s="695"/>
      <c r="F100" s="712"/>
      <c r="G100" s="712"/>
      <c r="H100" s="712"/>
      <c r="I100" s="712"/>
      <c r="J100" s="758"/>
      <c r="K100" s="758"/>
      <c r="L100" s="758"/>
      <c r="M100" s="758"/>
      <c r="N100" s="700"/>
      <c r="O100" s="701">
        <f t="shared" si="7"/>
        <v>0</v>
      </c>
      <c r="P100" s="702"/>
      <c r="Q100" s="783"/>
      <c r="R100" s="783"/>
      <c r="S100" s="783"/>
      <c r="T100" s="783"/>
      <c r="U100" s="783"/>
      <c r="V100" s="783"/>
      <c r="W100" s="783"/>
      <c r="X100" s="783"/>
      <c r="Y100" s="783"/>
      <c r="Z100" s="783"/>
      <c r="AA100" s="783"/>
      <c r="AB100" s="783"/>
      <c r="AC100" s="783"/>
      <c r="AD100" s="783"/>
      <c r="AE100" s="783"/>
      <c r="AF100" s="783"/>
      <c r="AG100" s="783"/>
      <c r="AH100" s="783"/>
      <c r="AI100" s="783"/>
      <c r="AJ100" s="783"/>
      <c r="AK100" s="783"/>
      <c r="AL100" s="783"/>
      <c r="AM100" s="783"/>
      <c r="AN100" s="783"/>
      <c r="AO100" s="783"/>
      <c r="AP100" s="783"/>
      <c r="AQ100" s="783"/>
      <c r="AR100" s="783"/>
      <c r="AS100" s="783"/>
      <c r="AT100" s="783"/>
      <c r="AU100" s="783"/>
      <c r="AV100" s="783"/>
      <c r="AW100" s="783"/>
      <c r="AX100" s="783"/>
      <c r="AY100" s="783"/>
      <c r="AZ100" s="783"/>
      <c r="BA100" s="783"/>
      <c r="BB100" s="783"/>
      <c r="BC100" s="783"/>
      <c r="BD100" s="783"/>
      <c r="BE100" s="783"/>
      <c r="BF100" s="783"/>
      <c r="BG100" s="783"/>
      <c r="BH100" s="783"/>
      <c r="BI100" s="783"/>
      <c r="BJ100" s="783"/>
      <c r="BK100" s="783"/>
      <c r="BL100" s="783"/>
      <c r="BM100" s="783"/>
      <c r="BN100" s="783"/>
      <c r="BO100" s="783"/>
      <c r="BP100" s="783"/>
      <c r="BQ100" s="783"/>
      <c r="BR100" s="783"/>
      <c r="BS100" s="783"/>
      <c r="BT100" s="783"/>
      <c r="BU100" s="783"/>
      <c r="BV100" s="783"/>
      <c r="BW100" s="783"/>
      <c r="BX100" s="783"/>
      <c r="BY100" s="783"/>
      <c r="BZ100" s="783"/>
      <c r="CA100" s="783"/>
      <c r="CB100" s="783"/>
      <c r="CC100" s="783"/>
      <c r="CD100" s="783"/>
      <c r="CE100" s="783"/>
      <c r="CF100" s="783"/>
      <c r="CG100" s="783"/>
      <c r="CH100" s="783"/>
      <c r="CI100" s="783"/>
      <c r="CJ100" s="783"/>
      <c r="CK100" s="783"/>
    </row>
    <row r="101" spans="1:89" s="673" customFormat="1" ht="17.25" customHeight="1" x14ac:dyDescent="0.25">
      <c r="A101" s="710"/>
      <c r="B101" s="711" t="s">
        <v>50</v>
      </c>
      <c r="C101" s="691">
        <v>50</v>
      </c>
      <c r="D101" s="716" t="s">
        <v>51</v>
      </c>
      <c r="E101" s="695">
        <v>3000</v>
      </c>
      <c r="F101" s="712"/>
      <c r="G101" s="712"/>
      <c r="H101" s="712"/>
      <c r="I101" s="712"/>
      <c r="J101" s="758">
        <f>C101*E101</f>
        <v>150000</v>
      </c>
      <c r="K101" s="758">
        <f>I101+J101</f>
        <v>150000</v>
      </c>
      <c r="L101" s="758"/>
      <c r="M101" s="758"/>
      <c r="N101" s="700"/>
      <c r="O101" s="701">
        <f t="shared" si="7"/>
        <v>150000</v>
      </c>
      <c r="P101" s="702"/>
      <c r="Q101" s="783"/>
      <c r="R101" s="783"/>
      <c r="S101" s="783"/>
      <c r="T101" s="783"/>
      <c r="U101" s="783"/>
      <c r="V101" s="783"/>
      <c r="W101" s="783"/>
      <c r="X101" s="783"/>
      <c r="Y101" s="783"/>
      <c r="Z101" s="783"/>
      <c r="AA101" s="783"/>
      <c r="AB101" s="783"/>
      <c r="AC101" s="783"/>
      <c r="AD101" s="783"/>
      <c r="AE101" s="783"/>
      <c r="AF101" s="783"/>
      <c r="AG101" s="783"/>
      <c r="AH101" s="783"/>
      <c r="AI101" s="783"/>
      <c r="AJ101" s="783"/>
      <c r="AK101" s="783"/>
      <c r="AL101" s="783"/>
      <c r="AM101" s="783"/>
      <c r="AN101" s="783"/>
      <c r="AO101" s="783"/>
      <c r="AP101" s="783"/>
      <c r="AQ101" s="783"/>
      <c r="AR101" s="783"/>
      <c r="AS101" s="783"/>
      <c r="AT101" s="783"/>
      <c r="AU101" s="783"/>
      <c r="AV101" s="783"/>
      <c r="AW101" s="783"/>
      <c r="AX101" s="783"/>
      <c r="AY101" s="783"/>
      <c r="AZ101" s="783"/>
      <c r="BA101" s="783"/>
      <c r="BB101" s="783"/>
      <c r="BC101" s="783"/>
      <c r="BD101" s="783"/>
      <c r="BE101" s="783"/>
      <c r="BF101" s="783"/>
      <c r="BG101" s="783"/>
      <c r="BH101" s="783"/>
      <c r="BI101" s="783"/>
      <c r="BJ101" s="783"/>
      <c r="BK101" s="783"/>
      <c r="BL101" s="783"/>
      <c r="BM101" s="783"/>
      <c r="BN101" s="783"/>
      <c r="BO101" s="783"/>
      <c r="BP101" s="783"/>
      <c r="BQ101" s="783"/>
      <c r="BR101" s="783"/>
      <c r="BS101" s="783"/>
      <c r="BT101" s="783"/>
      <c r="BU101" s="783"/>
      <c r="BV101" s="783"/>
      <c r="BW101" s="783"/>
      <c r="BX101" s="783"/>
      <c r="BY101" s="783"/>
      <c r="BZ101" s="783"/>
      <c r="CA101" s="783"/>
      <c r="CB101" s="783"/>
      <c r="CC101" s="783"/>
      <c r="CD101" s="783"/>
      <c r="CE101" s="783"/>
      <c r="CF101" s="783"/>
      <c r="CG101" s="783"/>
      <c r="CH101" s="783"/>
      <c r="CI101" s="783"/>
      <c r="CJ101" s="783"/>
      <c r="CK101" s="783"/>
    </row>
    <row r="102" spans="1:89" s="673" customFormat="1" ht="17.25" customHeight="1" x14ac:dyDescent="0.25">
      <c r="A102" s="710"/>
      <c r="B102" s="711" t="s">
        <v>52</v>
      </c>
      <c r="C102" s="691">
        <v>90</v>
      </c>
      <c r="D102" s="716" t="s">
        <v>53</v>
      </c>
      <c r="E102" s="695">
        <v>450</v>
      </c>
      <c r="F102" s="712"/>
      <c r="G102" s="712"/>
      <c r="H102" s="712"/>
      <c r="I102" s="712"/>
      <c r="J102" s="758">
        <f>C102*E102</f>
        <v>40500</v>
      </c>
      <c r="K102" s="758">
        <f>I102+J102</f>
        <v>40500</v>
      </c>
      <c r="L102" s="758"/>
      <c r="M102" s="758"/>
      <c r="N102" s="700"/>
      <c r="O102" s="701">
        <f t="shared" si="7"/>
        <v>40500</v>
      </c>
      <c r="P102" s="702"/>
      <c r="Q102" s="783"/>
      <c r="R102" s="783"/>
      <c r="S102" s="783"/>
      <c r="T102" s="783"/>
      <c r="U102" s="783"/>
      <c r="V102" s="783"/>
      <c r="W102" s="783"/>
      <c r="X102" s="783"/>
      <c r="Y102" s="783"/>
      <c r="Z102" s="783"/>
      <c r="AA102" s="783"/>
      <c r="AB102" s="783"/>
      <c r="AC102" s="783"/>
      <c r="AD102" s="783"/>
      <c r="AE102" s="783"/>
      <c r="AF102" s="783"/>
      <c r="AG102" s="783"/>
      <c r="AH102" s="783"/>
      <c r="AI102" s="783"/>
      <c r="AJ102" s="783"/>
      <c r="AK102" s="783"/>
      <c r="AL102" s="783"/>
      <c r="AM102" s="783"/>
      <c r="AN102" s="783"/>
      <c r="AO102" s="783"/>
      <c r="AP102" s="783"/>
      <c r="AQ102" s="783"/>
      <c r="AR102" s="783"/>
      <c r="AS102" s="783"/>
      <c r="AT102" s="783"/>
      <c r="AU102" s="783"/>
      <c r="AV102" s="783"/>
      <c r="AW102" s="783"/>
      <c r="AX102" s="783"/>
      <c r="AY102" s="783"/>
      <c r="AZ102" s="783"/>
      <c r="BA102" s="783"/>
      <c r="BB102" s="783"/>
      <c r="BC102" s="783"/>
      <c r="BD102" s="783"/>
      <c r="BE102" s="783"/>
      <c r="BF102" s="783"/>
      <c r="BG102" s="783"/>
      <c r="BH102" s="783"/>
      <c r="BI102" s="783"/>
      <c r="BJ102" s="783"/>
      <c r="BK102" s="783"/>
      <c r="BL102" s="783"/>
      <c r="BM102" s="783"/>
      <c r="BN102" s="783"/>
      <c r="BO102" s="783"/>
      <c r="BP102" s="783"/>
      <c r="BQ102" s="783"/>
      <c r="BR102" s="783"/>
      <c r="BS102" s="783"/>
      <c r="BT102" s="783"/>
      <c r="BU102" s="783"/>
      <c r="BV102" s="783"/>
      <c r="BW102" s="783"/>
      <c r="BX102" s="783"/>
      <c r="BY102" s="783"/>
      <c r="BZ102" s="783"/>
      <c r="CA102" s="783"/>
      <c r="CB102" s="783"/>
      <c r="CC102" s="783"/>
      <c r="CD102" s="783"/>
      <c r="CE102" s="783"/>
      <c r="CF102" s="783"/>
      <c r="CG102" s="783"/>
      <c r="CH102" s="783"/>
      <c r="CI102" s="783"/>
      <c r="CJ102" s="783"/>
      <c r="CK102" s="783"/>
    </row>
    <row r="103" spans="1:89" s="673" customFormat="1" ht="17.25" customHeight="1" x14ac:dyDescent="0.25">
      <c r="A103" s="710"/>
      <c r="B103" s="711" t="s">
        <v>54</v>
      </c>
      <c r="C103" s="691">
        <v>90</v>
      </c>
      <c r="D103" s="716" t="s">
        <v>55</v>
      </c>
      <c r="E103" s="695">
        <v>450</v>
      </c>
      <c r="F103" s="712"/>
      <c r="G103" s="712"/>
      <c r="H103" s="712"/>
      <c r="I103" s="712"/>
      <c r="J103" s="758">
        <f>C103*E103</f>
        <v>40500</v>
      </c>
      <c r="K103" s="758">
        <f>I103+J103</f>
        <v>40500</v>
      </c>
      <c r="L103" s="758"/>
      <c r="M103" s="758"/>
      <c r="N103" s="700"/>
      <c r="O103" s="701">
        <f t="shared" si="7"/>
        <v>40500</v>
      </c>
      <c r="P103" s="702"/>
      <c r="Q103" s="783"/>
      <c r="R103" s="783"/>
      <c r="S103" s="783"/>
      <c r="T103" s="783"/>
      <c r="U103" s="783"/>
      <c r="V103" s="783"/>
      <c r="W103" s="783"/>
      <c r="X103" s="783"/>
      <c r="Y103" s="783"/>
      <c r="Z103" s="783"/>
      <c r="AA103" s="783"/>
      <c r="AB103" s="783"/>
      <c r="AC103" s="783"/>
      <c r="AD103" s="783"/>
      <c r="AE103" s="783"/>
      <c r="AF103" s="783"/>
      <c r="AG103" s="783"/>
      <c r="AH103" s="783"/>
      <c r="AI103" s="783"/>
      <c r="AJ103" s="783"/>
      <c r="AK103" s="783"/>
      <c r="AL103" s="783"/>
      <c r="AM103" s="783"/>
      <c r="AN103" s="783"/>
      <c r="AO103" s="783"/>
      <c r="AP103" s="783"/>
      <c r="AQ103" s="783"/>
      <c r="AR103" s="783"/>
      <c r="AS103" s="783"/>
      <c r="AT103" s="783"/>
      <c r="AU103" s="783"/>
      <c r="AV103" s="783"/>
      <c r="AW103" s="783"/>
      <c r="AX103" s="783"/>
      <c r="AY103" s="783"/>
      <c r="AZ103" s="783"/>
      <c r="BA103" s="783"/>
      <c r="BB103" s="783"/>
      <c r="BC103" s="783"/>
      <c r="BD103" s="783"/>
      <c r="BE103" s="783"/>
      <c r="BF103" s="783"/>
      <c r="BG103" s="783"/>
      <c r="BH103" s="783"/>
      <c r="BI103" s="783"/>
      <c r="BJ103" s="783"/>
      <c r="BK103" s="783"/>
      <c r="BL103" s="783"/>
      <c r="BM103" s="783"/>
      <c r="BN103" s="783"/>
      <c r="BO103" s="783"/>
      <c r="BP103" s="783"/>
      <c r="BQ103" s="783"/>
      <c r="BR103" s="783"/>
      <c r="BS103" s="783"/>
      <c r="BT103" s="783"/>
      <c r="BU103" s="783"/>
      <c r="BV103" s="783"/>
      <c r="BW103" s="783"/>
      <c r="BX103" s="783"/>
      <c r="BY103" s="783"/>
      <c r="BZ103" s="783"/>
      <c r="CA103" s="783"/>
      <c r="CB103" s="783"/>
      <c r="CC103" s="783"/>
      <c r="CD103" s="783"/>
      <c r="CE103" s="783"/>
      <c r="CF103" s="783"/>
      <c r="CG103" s="783"/>
      <c r="CH103" s="783"/>
      <c r="CI103" s="783"/>
      <c r="CJ103" s="783"/>
      <c r="CK103" s="783"/>
    </row>
    <row r="104" spans="1:89" s="673" customFormat="1" ht="17.25" customHeight="1" x14ac:dyDescent="0.25">
      <c r="A104" s="710"/>
      <c r="B104" s="711" t="s">
        <v>56</v>
      </c>
      <c r="C104" s="691">
        <v>120</v>
      </c>
      <c r="D104" s="716" t="s">
        <v>55</v>
      </c>
      <c r="E104" s="695">
        <v>300</v>
      </c>
      <c r="F104" s="712"/>
      <c r="G104" s="712"/>
      <c r="H104" s="712"/>
      <c r="I104" s="712"/>
      <c r="J104" s="758">
        <f>C104*E104</f>
        <v>36000</v>
      </c>
      <c r="K104" s="758">
        <f>I104+J104</f>
        <v>36000</v>
      </c>
      <c r="L104" s="758"/>
      <c r="M104" s="758"/>
      <c r="N104" s="700"/>
      <c r="O104" s="701">
        <f t="shared" si="7"/>
        <v>36000</v>
      </c>
      <c r="P104" s="702"/>
      <c r="Q104" s="783"/>
      <c r="R104" s="783"/>
      <c r="S104" s="783"/>
      <c r="T104" s="783"/>
      <c r="U104" s="783"/>
      <c r="V104" s="783"/>
      <c r="W104" s="783"/>
      <c r="X104" s="783"/>
      <c r="Y104" s="783"/>
      <c r="Z104" s="783"/>
      <c r="AA104" s="783"/>
      <c r="AB104" s="783"/>
      <c r="AC104" s="783"/>
      <c r="AD104" s="783"/>
      <c r="AE104" s="783"/>
      <c r="AF104" s="783"/>
      <c r="AG104" s="783"/>
      <c r="AH104" s="783"/>
      <c r="AI104" s="783"/>
      <c r="AJ104" s="783"/>
      <c r="AK104" s="783"/>
      <c r="AL104" s="783"/>
      <c r="AM104" s="783"/>
      <c r="AN104" s="783"/>
      <c r="AO104" s="783"/>
      <c r="AP104" s="783"/>
      <c r="AQ104" s="783"/>
      <c r="AR104" s="783"/>
      <c r="AS104" s="783"/>
      <c r="AT104" s="783"/>
      <c r="AU104" s="783"/>
      <c r="AV104" s="783"/>
      <c r="AW104" s="783"/>
      <c r="AX104" s="783"/>
      <c r="AY104" s="783"/>
      <c r="AZ104" s="783"/>
      <c r="BA104" s="783"/>
      <c r="BB104" s="783"/>
      <c r="BC104" s="783"/>
      <c r="BD104" s="783"/>
      <c r="BE104" s="783"/>
      <c r="BF104" s="783"/>
      <c r="BG104" s="783"/>
      <c r="BH104" s="783"/>
      <c r="BI104" s="783"/>
      <c r="BJ104" s="783"/>
      <c r="BK104" s="783"/>
      <c r="BL104" s="783"/>
      <c r="BM104" s="783"/>
      <c r="BN104" s="783"/>
      <c r="BO104" s="783"/>
      <c r="BP104" s="783"/>
      <c r="BQ104" s="783"/>
      <c r="BR104" s="783"/>
      <c r="BS104" s="783"/>
      <c r="BT104" s="783"/>
      <c r="BU104" s="783"/>
      <c r="BV104" s="783"/>
      <c r="BW104" s="783"/>
      <c r="BX104" s="783"/>
      <c r="BY104" s="783"/>
      <c r="BZ104" s="783"/>
      <c r="CA104" s="783"/>
      <c r="CB104" s="783"/>
      <c r="CC104" s="783"/>
      <c r="CD104" s="783"/>
      <c r="CE104" s="783"/>
      <c r="CF104" s="783"/>
      <c r="CG104" s="783"/>
      <c r="CH104" s="783"/>
      <c r="CI104" s="783"/>
      <c r="CJ104" s="783"/>
      <c r="CK104" s="783"/>
    </row>
    <row r="105" spans="1:89" s="673" customFormat="1" ht="17.25" customHeight="1" x14ac:dyDescent="0.25">
      <c r="A105" s="837"/>
      <c r="B105" s="718"/>
      <c r="C105" s="830"/>
      <c r="D105" s="838"/>
      <c r="E105" s="821"/>
      <c r="F105" s="821"/>
      <c r="G105" s="821"/>
      <c r="H105" s="821"/>
      <c r="I105" s="821"/>
      <c r="J105" s="821"/>
      <c r="K105" s="821"/>
      <c r="L105" s="821"/>
      <c r="M105" s="821"/>
      <c r="N105" s="821"/>
      <c r="O105" s="822"/>
      <c r="P105" s="687"/>
      <c r="Q105" s="783"/>
      <c r="R105" s="783"/>
      <c r="S105" s="783"/>
      <c r="T105" s="783"/>
      <c r="U105" s="783"/>
      <c r="V105" s="783"/>
      <c r="W105" s="783"/>
      <c r="X105" s="783"/>
      <c r="Y105" s="783"/>
      <c r="Z105" s="783"/>
      <c r="AA105" s="783"/>
      <c r="AB105" s="783"/>
      <c r="AC105" s="783"/>
      <c r="AD105" s="783"/>
      <c r="AE105" s="783"/>
      <c r="AF105" s="783"/>
      <c r="AG105" s="783"/>
      <c r="AH105" s="783"/>
      <c r="AI105" s="783"/>
      <c r="AJ105" s="783"/>
      <c r="AK105" s="783"/>
      <c r="AL105" s="783"/>
      <c r="AM105" s="783"/>
      <c r="AN105" s="783"/>
      <c r="AO105" s="783"/>
      <c r="AP105" s="783"/>
      <c r="AQ105" s="783"/>
      <c r="AR105" s="783"/>
      <c r="AS105" s="783"/>
      <c r="AT105" s="783"/>
      <c r="AU105" s="783"/>
      <c r="AV105" s="783"/>
      <c r="AW105" s="783"/>
      <c r="AX105" s="783"/>
      <c r="AY105" s="783"/>
      <c r="AZ105" s="783"/>
      <c r="BA105" s="783"/>
      <c r="BB105" s="783"/>
      <c r="BC105" s="783"/>
      <c r="BD105" s="783"/>
      <c r="BE105" s="783"/>
      <c r="BF105" s="783"/>
      <c r="BG105" s="783"/>
      <c r="BH105" s="783"/>
      <c r="BI105" s="783"/>
      <c r="BJ105" s="783"/>
      <c r="BK105" s="783"/>
      <c r="BL105" s="783"/>
      <c r="BM105" s="783"/>
      <c r="BN105" s="783"/>
      <c r="BO105" s="783"/>
      <c r="BP105" s="783"/>
      <c r="BQ105" s="783"/>
      <c r="BR105" s="783"/>
      <c r="BS105" s="783"/>
      <c r="BT105" s="783"/>
      <c r="BU105" s="783"/>
      <c r="BV105" s="783"/>
      <c r="BW105" s="783"/>
      <c r="BX105" s="783"/>
      <c r="BY105" s="783"/>
      <c r="BZ105" s="783"/>
      <c r="CA105" s="783"/>
      <c r="CB105" s="783"/>
      <c r="CC105" s="783"/>
      <c r="CD105" s="783"/>
      <c r="CE105" s="783"/>
      <c r="CF105" s="783"/>
      <c r="CG105" s="783"/>
      <c r="CH105" s="783"/>
      <c r="CI105" s="783"/>
      <c r="CJ105" s="783"/>
      <c r="CK105" s="783"/>
    </row>
    <row r="106" spans="1:89" s="678" customFormat="1" ht="15" x14ac:dyDescent="0.2">
      <c r="A106" s="1764">
        <v>3</v>
      </c>
      <c r="B106" s="1250" t="s">
        <v>63</v>
      </c>
      <c r="C106" s="1264"/>
      <c r="D106" s="1265"/>
      <c r="E106" s="839"/>
      <c r="F106" s="1266">
        <f>F108+F111+F126+F136+F123</f>
        <v>0</v>
      </c>
      <c r="G106" s="1266">
        <f>G108+G111+G126+G136+G123</f>
        <v>0</v>
      </c>
      <c r="H106" s="1267">
        <f>G106+F106</f>
        <v>0</v>
      </c>
      <c r="I106" s="1266">
        <f>I108+I111+I126+I136+I123</f>
        <v>0</v>
      </c>
      <c r="J106" s="1266">
        <f>J108+J111+J126+J136+J123</f>
        <v>10654853</v>
      </c>
      <c r="K106" s="1267">
        <f>J106+I106</f>
        <v>10654853</v>
      </c>
      <c r="L106" s="1266">
        <f>L108+L111+L126+L136+L123</f>
        <v>18915492</v>
      </c>
      <c r="M106" s="1266">
        <f>M108+M111+M126+M136+M123</f>
        <v>0</v>
      </c>
      <c r="N106" s="1267">
        <f>M106+L106</f>
        <v>18915492</v>
      </c>
      <c r="O106" s="1268">
        <f>N106+K106</f>
        <v>29570345</v>
      </c>
      <c r="P106" s="840"/>
      <c r="Q106" s="1283"/>
      <c r="R106" s="1283"/>
      <c r="S106" s="1283"/>
      <c r="T106" s="1283"/>
      <c r="U106" s="1283"/>
      <c r="V106" s="1283"/>
      <c r="W106" s="1283"/>
      <c r="X106" s="1283"/>
      <c r="Y106" s="1283"/>
      <c r="Z106" s="1283"/>
      <c r="AA106" s="1283"/>
      <c r="AB106" s="1283"/>
      <c r="AC106" s="1283"/>
      <c r="AD106" s="1283"/>
      <c r="AE106" s="1283"/>
      <c r="AF106" s="1283"/>
      <c r="AG106" s="1283"/>
      <c r="AH106" s="1283"/>
      <c r="AI106" s="1283"/>
      <c r="AJ106" s="1283"/>
      <c r="AK106" s="1283"/>
      <c r="AL106" s="1283"/>
      <c r="AM106" s="1283"/>
      <c r="AN106" s="1283"/>
      <c r="AO106" s="1283"/>
      <c r="AP106" s="1283"/>
      <c r="AQ106" s="1283"/>
      <c r="AR106" s="1283"/>
      <c r="AS106" s="1283"/>
      <c r="AT106" s="1283"/>
      <c r="AU106" s="1283"/>
      <c r="AV106" s="1283"/>
      <c r="AW106" s="1283"/>
      <c r="AX106" s="1283"/>
      <c r="AY106" s="1283"/>
      <c r="AZ106" s="1283"/>
      <c r="BA106" s="1283"/>
      <c r="BB106" s="1283"/>
      <c r="BC106" s="1283"/>
      <c r="BD106" s="1283"/>
      <c r="BE106" s="1283"/>
      <c r="BF106" s="1283"/>
      <c r="BG106" s="1283"/>
      <c r="BH106" s="1283"/>
      <c r="BI106" s="1283"/>
      <c r="BJ106" s="1283"/>
      <c r="BK106" s="1283"/>
      <c r="BL106" s="1283"/>
      <c r="BM106" s="1283"/>
      <c r="BN106" s="1283"/>
      <c r="BO106" s="1283"/>
      <c r="BP106" s="1283"/>
      <c r="BQ106" s="1283"/>
      <c r="BR106" s="1283"/>
      <c r="BS106" s="1283"/>
      <c r="BT106" s="1283"/>
      <c r="BU106" s="1283"/>
      <c r="BV106" s="1283"/>
      <c r="BW106" s="1283"/>
      <c r="BX106" s="1283"/>
      <c r="BY106" s="1283"/>
      <c r="BZ106" s="1283"/>
      <c r="CA106" s="1283"/>
      <c r="CB106" s="1283"/>
      <c r="CC106" s="1283"/>
      <c r="CD106" s="1283"/>
      <c r="CE106" s="1283"/>
      <c r="CF106" s="1283"/>
      <c r="CG106" s="1283"/>
      <c r="CH106" s="1283"/>
      <c r="CI106" s="1283"/>
      <c r="CJ106" s="1283"/>
      <c r="CK106" s="1283"/>
    </row>
    <row r="107" spans="1:89" s="678" customFormat="1" ht="15" x14ac:dyDescent="0.2">
      <c r="A107" s="841"/>
      <c r="B107" s="842"/>
      <c r="C107" s="843"/>
      <c r="D107" s="844"/>
      <c r="E107" s="845"/>
      <c r="F107" s="845"/>
      <c r="G107" s="846"/>
      <c r="H107" s="846"/>
      <c r="I107" s="846"/>
      <c r="J107" s="846"/>
      <c r="K107" s="846"/>
      <c r="L107" s="846"/>
      <c r="M107" s="845"/>
      <c r="N107" s="846"/>
      <c r="O107" s="847"/>
      <c r="P107" s="848"/>
      <c r="Q107" s="1283"/>
      <c r="R107" s="1283"/>
      <c r="S107" s="1283"/>
      <c r="T107" s="1283"/>
      <c r="U107" s="1283"/>
      <c r="V107" s="1283"/>
      <c r="W107" s="1283"/>
      <c r="X107" s="1283"/>
      <c r="Y107" s="1283"/>
      <c r="Z107" s="1283"/>
      <c r="AA107" s="1283"/>
      <c r="AB107" s="1283"/>
      <c r="AC107" s="1283"/>
      <c r="AD107" s="1283"/>
      <c r="AE107" s="1283"/>
      <c r="AF107" s="1283"/>
      <c r="AG107" s="1283"/>
      <c r="AH107" s="1283"/>
      <c r="AI107" s="1283"/>
      <c r="AJ107" s="1283"/>
      <c r="AK107" s="1283"/>
      <c r="AL107" s="1283"/>
      <c r="AM107" s="1283"/>
      <c r="AN107" s="1283"/>
      <c r="AO107" s="1283"/>
      <c r="AP107" s="1283"/>
      <c r="AQ107" s="1283"/>
      <c r="AR107" s="1283"/>
      <c r="AS107" s="1283"/>
      <c r="AT107" s="1283"/>
      <c r="AU107" s="1283"/>
      <c r="AV107" s="1283"/>
      <c r="AW107" s="1283"/>
      <c r="AX107" s="1283"/>
      <c r="AY107" s="1283"/>
      <c r="AZ107" s="1283"/>
      <c r="BA107" s="1283"/>
      <c r="BB107" s="1283"/>
      <c r="BC107" s="1283"/>
      <c r="BD107" s="1283"/>
      <c r="BE107" s="1283"/>
      <c r="BF107" s="1283"/>
      <c r="BG107" s="1283"/>
      <c r="BH107" s="1283"/>
      <c r="BI107" s="1283"/>
      <c r="BJ107" s="1283"/>
      <c r="BK107" s="1283"/>
      <c r="BL107" s="1283"/>
      <c r="BM107" s="1283"/>
      <c r="BN107" s="1283"/>
      <c r="BO107" s="1283"/>
      <c r="BP107" s="1283"/>
      <c r="BQ107" s="1283"/>
      <c r="BR107" s="1283"/>
      <c r="BS107" s="1283"/>
      <c r="BT107" s="1283"/>
      <c r="BU107" s="1283"/>
      <c r="BV107" s="1283"/>
      <c r="BW107" s="1283"/>
      <c r="BX107" s="1283"/>
      <c r="BY107" s="1283"/>
      <c r="BZ107" s="1283"/>
      <c r="CA107" s="1283"/>
      <c r="CB107" s="1283"/>
      <c r="CC107" s="1283"/>
      <c r="CD107" s="1283"/>
      <c r="CE107" s="1283"/>
      <c r="CF107" s="1283"/>
      <c r="CG107" s="1283"/>
      <c r="CH107" s="1283"/>
      <c r="CI107" s="1283"/>
      <c r="CJ107" s="1283"/>
      <c r="CK107" s="1283"/>
    </row>
    <row r="108" spans="1:89" s="1276" customFormat="1" ht="15" x14ac:dyDescent="0.2">
      <c r="A108" s="1269" t="s">
        <v>576</v>
      </c>
      <c r="B108" s="1270" t="s">
        <v>74</v>
      </c>
      <c r="C108" s="1271"/>
      <c r="D108" s="1272"/>
      <c r="E108" s="1273"/>
      <c r="F108" s="1273">
        <f>SUM(F109)</f>
        <v>0</v>
      </c>
      <c r="G108" s="1273">
        <f>SUM(G109)</f>
        <v>0</v>
      </c>
      <c r="H108" s="1273">
        <f>F108+G108</f>
        <v>0</v>
      </c>
      <c r="I108" s="1273">
        <f>SUM(I109)</f>
        <v>0</v>
      </c>
      <c r="J108" s="1273">
        <f>SUM(J109)</f>
        <v>7500000</v>
      </c>
      <c r="K108" s="1273">
        <f>I108+J108</f>
        <v>7500000</v>
      </c>
      <c r="L108" s="1273">
        <f>SUM(L109)</f>
        <v>0</v>
      </c>
      <c r="M108" s="1273">
        <f>SUM(M109)</f>
        <v>0</v>
      </c>
      <c r="N108" s="1273">
        <f>L108+M108</f>
        <v>0</v>
      </c>
      <c r="O108" s="1274">
        <f>N108+K108+H108</f>
        <v>7500000</v>
      </c>
      <c r="P108" s="1275"/>
      <c r="Q108" s="1824"/>
      <c r="R108" s="1824"/>
      <c r="S108" s="1824"/>
      <c r="T108" s="1824"/>
      <c r="U108" s="1824"/>
      <c r="V108" s="1824"/>
      <c r="W108" s="1824"/>
      <c r="X108" s="1824"/>
      <c r="Y108" s="1824"/>
      <c r="Z108" s="1824"/>
      <c r="AA108" s="1824"/>
      <c r="AB108" s="1824"/>
      <c r="AC108" s="1824"/>
      <c r="AD108" s="1824"/>
      <c r="AE108" s="1824"/>
      <c r="AF108" s="1824"/>
      <c r="AG108" s="1824"/>
      <c r="AH108" s="1824"/>
      <c r="AI108" s="1824"/>
      <c r="AJ108" s="1824"/>
      <c r="AK108" s="1824"/>
      <c r="AL108" s="1824"/>
      <c r="AM108" s="1824"/>
      <c r="AN108" s="1824"/>
      <c r="AO108" s="1824"/>
      <c r="AP108" s="1824"/>
      <c r="AQ108" s="1824"/>
      <c r="AR108" s="1824"/>
      <c r="AS108" s="1824"/>
      <c r="AT108" s="1824"/>
      <c r="AU108" s="1824"/>
      <c r="AV108" s="1824"/>
      <c r="AW108" s="1824"/>
      <c r="AX108" s="1824"/>
      <c r="AY108" s="1824"/>
      <c r="AZ108" s="1824"/>
      <c r="BA108" s="1824"/>
      <c r="BB108" s="1824"/>
      <c r="BC108" s="1824"/>
      <c r="BD108" s="1824"/>
      <c r="BE108" s="1824"/>
      <c r="BF108" s="1824"/>
      <c r="BG108" s="1824"/>
      <c r="BH108" s="1824"/>
      <c r="BI108" s="1824"/>
      <c r="BJ108" s="1824"/>
      <c r="BK108" s="1824"/>
      <c r="BL108" s="1824"/>
      <c r="BM108" s="1824"/>
      <c r="BN108" s="1824"/>
      <c r="BO108" s="1824"/>
      <c r="BP108" s="1824"/>
      <c r="BQ108" s="1824"/>
      <c r="BR108" s="1824"/>
      <c r="BS108" s="1824"/>
      <c r="BT108" s="1824"/>
      <c r="BU108" s="1824"/>
      <c r="BV108" s="1824"/>
      <c r="BW108" s="1824"/>
      <c r="BX108" s="1824"/>
      <c r="BY108" s="1824"/>
      <c r="BZ108" s="1824"/>
      <c r="CA108" s="1824"/>
      <c r="CB108" s="1824"/>
      <c r="CC108" s="1824"/>
      <c r="CD108" s="1824"/>
      <c r="CE108" s="1824"/>
      <c r="CF108" s="1824"/>
      <c r="CG108" s="1824"/>
      <c r="CH108" s="1824"/>
      <c r="CI108" s="1824"/>
      <c r="CJ108" s="1824"/>
      <c r="CK108" s="1824"/>
    </row>
    <row r="109" spans="1:89" s="678" customFormat="1" ht="15" x14ac:dyDescent="0.2">
      <c r="A109" s="849">
        <v>1</v>
      </c>
      <c r="B109" s="1242" t="s">
        <v>1493</v>
      </c>
      <c r="C109" s="1277">
        <v>1</v>
      </c>
      <c r="D109" s="1278" t="s">
        <v>16</v>
      </c>
      <c r="E109" s="1279">
        <v>7500000</v>
      </c>
      <c r="F109" s="1279"/>
      <c r="G109" s="1279"/>
      <c r="H109" s="1279"/>
      <c r="I109" s="1279"/>
      <c r="J109" s="1279">
        <f>E109</f>
        <v>7500000</v>
      </c>
      <c r="K109" s="1279">
        <f>J109</f>
        <v>7500000</v>
      </c>
      <c r="L109" s="1279"/>
      <c r="M109" s="1279"/>
      <c r="N109" s="1279"/>
      <c r="O109" s="1280">
        <f>K109</f>
        <v>7500000</v>
      </c>
      <c r="P109" s="850"/>
      <c r="Q109" s="1283"/>
      <c r="R109" s="1283"/>
      <c r="S109" s="1283"/>
      <c r="T109" s="1283"/>
      <c r="U109" s="1283"/>
      <c r="V109" s="1283"/>
      <c r="W109" s="1283"/>
      <c r="X109" s="1283"/>
      <c r="Y109" s="1283"/>
      <c r="Z109" s="1283"/>
      <c r="AA109" s="1283"/>
      <c r="AB109" s="1283"/>
      <c r="AC109" s="1283"/>
      <c r="AD109" s="1283"/>
      <c r="AE109" s="1283"/>
      <c r="AF109" s="1283"/>
      <c r="AG109" s="1283"/>
      <c r="AH109" s="1283"/>
      <c r="AI109" s="1283"/>
      <c r="AJ109" s="1283"/>
      <c r="AK109" s="1283"/>
      <c r="AL109" s="1283"/>
      <c r="AM109" s="1283"/>
      <c r="AN109" s="1283"/>
      <c r="AO109" s="1283"/>
      <c r="AP109" s="1283"/>
      <c r="AQ109" s="1283"/>
      <c r="AR109" s="1283"/>
      <c r="AS109" s="1283"/>
      <c r="AT109" s="1283"/>
      <c r="AU109" s="1283"/>
      <c r="AV109" s="1283"/>
      <c r="AW109" s="1283"/>
      <c r="AX109" s="1283"/>
      <c r="AY109" s="1283"/>
      <c r="AZ109" s="1283"/>
      <c r="BA109" s="1283"/>
      <c r="BB109" s="1283"/>
      <c r="BC109" s="1283"/>
      <c r="BD109" s="1283"/>
      <c r="BE109" s="1283"/>
      <c r="BF109" s="1283"/>
      <c r="BG109" s="1283"/>
      <c r="BH109" s="1283"/>
      <c r="BI109" s="1283"/>
      <c r="BJ109" s="1283"/>
      <c r="BK109" s="1283"/>
      <c r="BL109" s="1283"/>
      <c r="BM109" s="1283"/>
      <c r="BN109" s="1283"/>
      <c r="BO109" s="1283"/>
      <c r="BP109" s="1283"/>
      <c r="BQ109" s="1283"/>
      <c r="BR109" s="1283"/>
      <c r="BS109" s="1283"/>
      <c r="BT109" s="1283"/>
      <c r="BU109" s="1283"/>
      <c r="BV109" s="1283"/>
      <c r="BW109" s="1283"/>
      <c r="BX109" s="1283"/>
      <c r="BY109" s="1283"/>
      <c r="BZ109" s="1283"/>
      <c r="CA109" s="1283"/>
      <c r="CB109" s="1283"/>
      <c r="CC109" s="1283"/>
      <c r="CD109" s="1283"/>
      <c r="CE109" s="1283"/>
      <c r="CF109" s="1283"/>
      <c r="CG109" s="1283"/>
      <c r="CH109" s="1283"/>
      <c r="CI109" s="1283"/>
      <c r="CJ109" s="1283"/>
      <c r="CK109" s="1283"/>
    </row>
    <row r="110" spans="1:89" s="678" customFormat="1" ht="15" x14ac:dyDescent="0.2">
      <c r="A110" s="837"/>
      <c r="B110" s="851"/>
      <c r="C110" s="852"/>
      <c r="D110" s="853"/>
      <c r="E110" s="854"/>
      <c r="F110" s="854"/>
      <c r="G110" s="854"/>
      <c r="H110" s="854"/>
      <c r="I110" s="854"/>
      <c r="J110" s="854"/>
      <c r="K110" s="854"/>
      <c r="L110" s="854"/>
      <c r="M110" s="854"/>
      <c r="N110" s="854"/>
      <c r="O110" s="855"/>
      <c r="P110" s="850"/>
      <c r="Q110" s="1283"/>
      <c r="R110" s="1283"/>
      <c r="S110" s="1283"/>
      <c r="T110" s="1283"/>
      <c r="U110" s="1283"/>
      <c r="V110" s="1283"/>
      <c r="W110" s="1283"/>
      <c r="X110" s="1283"/>
      <c r="Y110" s="1283"/>
      <c r="Z110" s="1283"/>
      <c r="AA110" s="1283"/>
      <c r="AB110" s="1283"/>
      <c r="AC110" s="1283"/>
      <c r="AD110" s="1283"/>
      <c r="AE110" s="1283"/>
      <c r="AF110" s="1283"/>
      <c r="AG110" s="1283"/>
      <c r="AH110" s="1283"/>
      <c r="AI110" s="1283"/>
      <c r="AJ110" s="1283"/>
      <c r="AK110" s="1283"/>
      <c r="AL110" s="1283"/>
      <c r="AM110" s="1283"/>
      <c r="AN110" s="1283"/>
      <c r="AO110" s="1283"/>
      <c r="AP110" s="1283"/>
      <c r="AQ110" s="1283"/>
      <c r="AR110" s="1283"/>
      <c r="AS110" s="1283"/>
      <c r="AT110" s="1283"/>
      <c r="AU110" s="1283"/>
      <c r="AV110" s="1283"/>
      <c r="AW110" s="1283"/>
      <c r="AX110" s="1283"/>
      <c r="AY110" s="1283"/>
      <c r="AZ110" s="1283"/>
      <c r="BA110" s="1283"/>
      <c r="BB110" s="1283"/>
      <c r="BC110" s="1283"/>
      <c r="BD110" s="1283"/>
      <c r="BE110" s="1283"/>
      <c r="BF110" s="1283"/>
      <c r="BG110" s="1283"/>
      <c r="BH110" s="1283"/>
      <c r="BI110" s="1283"/>
      <c r="BJ110" s="1283"/>
      <c r="BK110" s="1283"/>
      <c r="BL110" s="1283"/>
      <c r="BM110" s="1283"/>
      <c r="BN110" s="1283"/>
      <c r="BO110" s="1283"/>
      <c r="BP110" s="1283"/>
      <c r="BQ110" s="1283"/>
      <c r="BR110" s="1283"/>
      <c r="BS110" s="1283"/>
      <c r="BT110" s="1283"/>
      <c r="BU110" s="1283"/>
      <c r="BV110" s="1283"/>
      <c r="BW110" s="1283"/>
      <c r="BX110" s="1283"/>
      <c r="BY110" s="1283"/>
      <c r="BZ110" s="1283"/>
      <c r="CA110" s="1283"/>
      <c r="CB110" s="1283"/>
      <c r="CC110" s="1283"/>
      <c r="CD110" s="1283"/>
      <c r="CE110" s="1283"/>
      <c r="CF110" s="1283"/>
      <c r="CG110" s="1283"/>
      <c r="CH110" s="1283"/>
      <c r="CI110" s="1283"/>
      <c r="CJ110" s="1283"/>
      <c r="CK110" s="1283"/>
    </row>
    <row r="111" spans="1:89" s="1276" customFormat="1" ht="15" x14ac:dyDescent="0.2">
      <c r="A111" s="1269" t="s">
        <v>577</v>
      </c>
      <c r="B111" s="1250" t="s">
        <v>1156</v>
      </c>
      <c r="C111" s="1271"/>
      <c r="D111" s="1272"/>
      <c r="E111" s="1250"/>
      <c r="F111" s="1273">
        <f>SUM(F112:F120)</f>
        <v>0</v>
      </c>
      <c r="G111" s="1273">
        <f>SUM(G112:G120)</f>
        <v>0</v>
      </c>
      <c r="H111" s="1273">
        <f>F111+G111</f>
        <v>0</v>
      </c>
      <c r="I111" s="1273">
        <f>SUM(I112:I120)</f>
        <v>0</v>
      </c>
      <c r="J111" s="1273">
        <f>SUM(J112:J120)</f>
        <v>0</v>
      </c>
      <c r="K111" s="1273">
        <f>I111+J111</f>
        <v>0</v>
      </c>
      <c r="L111" s="1273">
        <f>SUM(L112:L120)</f>
        <v>18915492</v>
      </c>
      <c r="M111" s="1273">
        <f>SUM(M112:M120)</f>
        <v>0</v>
      </c>
      <c r="N111" s="1273">
        <f>L111+M111</f>
        <v>18915492</v>
      </c>
      <c r="O111" s="1274">
        <f>N111+K111+H111</f>
        <v>18915492</v>
      </c>
      <c r="P111" s="1275"/>
      <c r="Q111" s="1824"/>
      <c r="R111" s="1824"/>
      <c r="S111" s="1824"/>
      <c r="T111" s="1824"/>
      <c r="U111" s="1824"/>
      <c r="V111" s="1824"/>
      <c r="W111" s="1824"/>
      <c r="X111" s="1824"/>
      <c r="Y111" s="1824"/>
      <c r="Z111" s="1824"/>
      <c r="AA111" s="1824"/>
      <c r="AB111" s="1824"/>
      <c r="AC111" s="1824"/>
      <c r="AD111" s="1824"/>
      <c r="AE111" s="1824"/>
      <c r="AF111" s="1824"/>
      <c r="AG111" s="1824"/>
      <c r="AH111" s="1824"/>
      <c r="AI111" s="1824"/>
      <c r="AJ111" s="1824"/>
      <c r="AK111" s="1824"/>
      <c r="AL111" s="1824"/>
      <c r="AM111" s="1824"/>
      <c r="AN111" s="1824"/>
      <c r="AO111" s="1824"/>
      <c r="AP111" s="1824"/>
      <c r="AQ111" s="1824"/>
      <c r="AR111" s="1824"/>
      <c r="AS111" s="1824"/>
      <c r="AT111" s="1824"/>
      <c r="AU111" s="1824"/>
      <c r="AV111" s="1824"/>
      <c r="AW111" s="1824"/>
      <c r="AX111" s="1824"/>
      <c r="AY111" s="1824"/>
      <c r="AZ111" s="1824"/>
      <c r="BA111" s="1824"/>
      <c r="BB111" s="1824"/>
      <c r="BC111" s="1824"/>
      <c r="BD111" s="1824"/>
      <c r="BE111" s="1824"/>
      <c r="BF111" s="1824"/>
      <c r="BG111" s="1824"/>
      <c r="BH111" s="1824"/>
      <c r="BI111" s="1824"/>
      <c r="BJ111" s="1824"/>
      <c r="BK111" s="1824"/>
      <c r="BL111" s="1824"/>
      <c r="BM111" s="1824"/>
      <c r="BN111" s="1824"/>
      <c r="BO111" s="1824"/>
      <c r="BP111" s="1824"/>
      <c r="BQ111" s="1824"/>
      <c r="BR111" s="1824"/>
      <c r="BS111" s="1824"/>
      <c r="BT111" s="1824"/>
      <c r="BU111" s="1824"/>
      <c r="BV111" s="1824"/>
      <c r="BW111" s="1824"/>
      <c r="BX111" s="1824"/>
      <c r="BY111" s="1824"/>
      <c r="BZ111" s="1824"/>
      <c r="CA111" s="1824"/>
      <c r="CB111" s="1824"/>
      <c r="CC111" s="1824"/>
      <c r="CD111" s="1824"/>
      <c r="CE111" s="1824"/>
      <c r="CF111" s="1824"/>
      <c r="CG111" s="1824"/>
      <c r="CH111" s="1824"/>
      <c r="CI111" s="1824"/>
      <c r="CJ111" s="1824"/>
      <c r="CK111" s="1824"/>
    </row>
    <row r="112" spans="1:89" s="678" customFormat="1" ht="15" x14ac:dyDescent="0.2">
      <c r="A112" s="849"/>
      <c r="B112" s="1281"/>
      <c r="C112" s="1277"/>
      <c r="D112" s="1278"/>
      <c r="E112" s="1251"/>
      <c r="F112" s="1251"/>
      <c r="G112" s="1251"/>
      <c r="H112" s="1251"/>
      <c r="I112" s="1251"/>
      <c r="J112" s="1251"/>
      <c r="K112" s="1251"/>
      <c r="L112" s="1251"/>
      <c r="M112" s="1251"/>
      <c r="N112" s="1251"/>
      <c r="O112" s="1282"/>
      <c r="P112" s="1283"/>
      <c r="Q112" s="1283"/>
      <c r="R112" s="1283"/>
      <c r="S112" s="1283"/>
      <c r="T112" s="1283"/>
      <c r="U112" s="1283"/>
      <c r="V112" s="1283"/>
      <c r="W112" s="1283"/>
      <c r="X112" s="1283"/>
      <c r="Y112" s="1283"/>
      <c r="Z112" s="1283"/>
      <c r="AA112" s="1283"/>
      <c r="AB112" s="1283"/>
      <c r="AC112" s="1283"/>
      <c r="AD112" s="1283"/>
      <c r="AE112" s="1283"/>
      <c r="AF112" s="1283"/>
      <c r="AG112" s="1283"/>
      <c r="AH112" s="1283"/>
      <c r="AI112" s="1283"/>
      <c r="AJ112" s="1283"/>
      <c r="AK112" s="1283"/>
      <c r="AL112" s="1283"/>
      <c r="AM112" s="1283"/>
      <c r="AN112" s="1283"/>
      <c r="AO112" s="1283"/>
      <c r="AP112" s="1283"/>
      <c r="AQ112" s="1283"/>
      <c r="AR112" s="1283"/>
      <c r="AS112" s="1283"/>
      <c r="AT112" s="1283"/>
      <c r="AU112" s="1283"/>
      <c r="AV112" s="1283"/>
      <c r="AW112" s="1283"/>
      <c r="AX112" s="1283"/>
      <c r="AY112" s="1283"/>
      <c r="AZ112" s="1283"/>
      <c r="BA112" s="1283"/>
      <c r="BB112" s="1283"/>
      <c r="BC112" s="1283"/>
      <c r="BD112" s="1283"/>
      <c r="BE112" s="1283"/>
      <c r="BF112" s="1283"/>
      <c r="BG112" s="1283"/>
      <c r="BH112" s="1283"/>
      <c r="BI112" s="1283"/>
      <c r="BJ112" s="1283"/>
      <c r="BK112" s="1283"/>
      <c r="BL112" s="1283"/>
      <c r="BM112" s="1283"/>
      <c r="BN112" s="1283"/>
      <c r="BO112" s="1283"/>
      <c r="BP112" s="1283"/>
      <c r="BQ112" s="1283"/>
      <c r="BR112" s="1283"/>
      <c r="BS112" s="1283"/>
      <c r="BT112" s="1283"/>
      <c r="BU112" s="1283"/>
      <c r="BV112" s="1283"/>
      <c r="BW112" s="1283"/>
      <c r="BX112" s="1283"/>
      <c r="BY112" s="1283"/>
      <c r="BZ112" s="1283"/>
      <c r="CA112" s="1283"/>
      <c r="CB112" s="1283"/>
      <c r="CC112" s="1283"/>
      <c r="CD112" s="1283"/>
      <c r="CE112" s="1283"/>
      <c r="CF112" s="1283"/>
      <c r="CG112" s="1283"/>
      <c r="CH112" s="1283"/>
      <c r="CI112" s="1283"/>
      <c r="CJ112" s="1283"/>
      <c r="CK112" s="1283"/>
    </row>
    <row r="113" spans="1:89" s="678" customFormat="1" ht="15" x14ac:dyDescent="0.2">
      <c r="A113" s="710">
        <v>1</v>
      </c>
      <c r="B113" s="1245" t="s">
        <v>578</v>
      </c>
      <c r="C113" s="1284">
        <v>1</v>
      </c>
      <c r="D113" s="1285" t="s">
        <v>16</v>
      </c>
      <c r="E113" s="1286">
        <f>2239012-500000</f>
        <v>1739012</v>
      </c>
      <c r="F113" s="689"/>
      <c r="G113" s="689"/>
      <c r="H113" s="689"/>
      <c r="I113" s="689"/>
      <c r="J113" s="689"/>
      <c r="K113" s="689"/>
      <c r="L113" s="1286">
        <f t="shared" ref="L113:L119" si="10">C113*E113</f>
        <v>1739012</v>
      </c>
      <c r="M113" s="689"/>
      <c r="N113" s="1286">
        <f t="shared" ref="N113:N119" si="11">L113+M113</f>
        <v>1739012</v>
      </c>
      <c r="O113" s="1287">
        <f t="shared" ref="O113:O119" si="12">N113+K113+H113</f>
        <v>1739012</v>
      </c>
      <c r="P113" s="850"/>
      <c r="Q113" s="1283"/>
      <c r="R113" s="1283"/>
      <c r="S113" s="1283"/>
      <c r="T113" s="1283"/>
      <c r="U113" s="1283"/>
      <c r="V113" s="1283"/>
      <c r="W113" s="1283"/>
      <c r="X113" s="1283"/>
      <c r="Y113" s="1283"/>
      <c r="Z113" s="1283"/>
      <c r="AA113" s="1283"/>
      <c r="AB113" s="1283"/>
      <c r="AC113" s="1283"/>
      <c r="AD113" s="1283"/>
      <c r="AE113" s="1283"/>
      <c r="AF113" s="1283"/>
      <c r="AG113" s="1283"/>
      <c r="AH113" s="1283"/>
      <c r="AI113" s="1283"/>
      <c r="AJ113" s="1283"/>
      <c r="AK113" s="1283"/>
      <c r="AL113" s="1283"/>
      <c r="AM113" s="1283"/>
      <c r="AN113" s="1283"/>
      <c r="AO113" s="1283"/>
      <c r="AP113" s="1283"/>
      <c r="AQ113" s="1283"/>
      <c r="AR113" s="1283"/>
      <c r="AS113" s="1283"/>
      <c r="AT113" s="1283"/>
      <c r="AU113" s="1283"/>
      <c r="AV113" s="1283"/>
      <c r="AW113" s="1283"/>
      <c r="AX113" s="1283"/>
      <c r="AY113" s="1283"/>
      <c r="AZ113" s="1283"/>
      <c r="BA113" s="1283"/>
      <c r="BB113" s="1283"/>
      <c r="BC113" s="1283"/>
      <c r="BD113" s="1283"/>
      <c r="BE113" s="1283"/>
      <c r="BF113" s="1283"/>
      <c r="BG113" s="1283"/>
      <c r="BH113" s="1283"/>
      <c r="BI113" s="1283"/>
      <c r="BJ113" s="1283"/>
      <c r="BK113" s="1283"/>
      <c r="BL113" s="1283"/>
      <c r="BM113" s="1283"/>
      <c r="BN113" s="1283"/>
      <c r="BO113" s="1283"/>
      <c r="BP113" s="1283"/>
      <c r="BQ113" s="1283"/>
      <c r="BR113" s="1283"/>
      <c r="BS113" s="1283"/>
      <c r="BT113" s="1283"/>
      <c r="BU113" s="1283"/>
      <c r="BV113" s="1283"/>
      <c r="BW113" s="1283"/>
      <c r="BX113" s="1283"/>
      <c r="BY113" s="1283"/>
      <c r="BZ113" s="1283"/>
      <c r="CA113" s="1283"/>
      <c r="CB113" s="1283"/>
      <c r="CC113" s="1283"/>
      <c r="CD113" s="1283"/>
      <c r="CE113" s="1283"/>
      <c r="CF113" s="1283"/>
      <c r="CG113" s="1283"/>
      <c r="CH113" s="1283"/>
      <c r="CI113" s="1283"/>
      <c r="CJ113" s="1283"/>
      <c r="CK113" s="1283"/>
    </row>
    <row r="114" spans="1:89" s="678" customFormat="1" ht="15" x14ac:dyDescent="0.2">
      <c r="A114" s="710">
        <v>2</v>
      </c>
      <c r="B114" s="1245" t="s">
        <v>579</v>
      </c>
      <c r="C114" s="1284">
        <v>1</v>
      </c>
      <c r="D114" s="1285" t="s">
        <v>16</v>
      </c>
      <c r="E114" s="1286">
        <f>1091472+1000000-1000000</f>
        <v>1091472</v>
      </c>
      <c r="F114" s="1286"/>
      <c r="G114" s="1286"/>
      <c r="H114" s="1286"/>
      <c r="I114" s="1286"/>
      <c r="J114" s="1286"/>
      <c r="K114" s="1286"/>
      <c r="L114" s="1286">
        <f t="shared" si="10"/>
        <v>1091472</v>
      </c>
      <c r="M114" s="1286"/>
      <c r="N114" s="1286">
        <f t="shared" si="11"/>
        <v>1091472</v>
      </c>
      <c r="O114" s="1287">
        <f t="shared" si="12"/>
        <v>1091472</v>
      </c>
      <c r="P114" s="850"/>
      <c r="Q114" s="1283"/>
      <c r="R114" s="1283"/>
      <c r="S114" s="1283"/>
      <c r="T114" s="1283"/>
      <c r="U114" s="1283"/>
      <c r="V114" s="1283"/>
      <c r="W114" s="1283"/>
      <c r="X114" s="1283"/>
      <c r="Y114" s="1283"/>
      <c r="Z114" s="1283"/>
      <c r="AA114" s="1283"/>
      <c r="AB114" s="1283"/>
      <c r="AC114" s="1283"/>
      <c r="AD114" s="1283"/>
      <c r="AE114" s="1283"/>
      <c r="AF114" s="1283"/>
      <c r="AG114" s="1283"/>
      <c r="AH114" s="1283"/>
      <c r="AI114" s="1283"/>
      <c r="AJ114" s="1283"/>
      <c r="AK114" s="1283"/>
      <c r="AL114" s="1283"/>
      <c r="AM114" s="1283"/>
      <c r="AN114" s="1283"/>
      <c r="AO114" s="1283"/>
      <c r="AP114" s="1283"/>
      <c r="AQ114" s="1283"/>
      <c r="AR114" s="1283"/>
      <c r="AS114" s="1283"/>
      <c r="AT114" s="1283"/>
      <c r="AU114" s="1283"/>
      <c r="AV114" s="1283"/>
      <c r="AW114" s="1283"/>
      <c r="AX114" s="1283"/>
      <c r="AY114" s="1283"/>
      <c r="AZ114" s="1283"/>
      <c r="BA114" s="1283"/>
      <c r="BB114" s="1283"/>
      <c r="BC114" s="1283"/>
      <c r="BD114" s="1283"/>
      <c r="BE114" s="1283"/>
      <c r="BF114" s="1283"/>
      <c r="BG114" s="1283"/>
      <c r="BH114" s="1283"/>
      <c r="BI114" s="1283"/>
      <c r="BJ114" s="1283"/>
      <c r="BK114" s="1283"/>
      <c r="BL114" s="1283"/>
      <c r="BM114" s="1283"/>
      <c r="BN114" s="1283"/>
      <c r="BO114" s="1283"/>
      <c r="BP114" s="1283"/>
      <c r="BQ114" s="1283"/>
      <c r="BR114" s="1283"/>
      <c r="BS114" s="1283"/>
      <c r="BT114" s="1283"/>
      <c r="BU114" s="1283"/>
      <c r="BV114" s="1283"/>
      <c r="BW114" s="1283"/>
      <c r="BX114" s="1283"/>
      <c r="BY114" s="1283"/>
      <c r="BZ114" s="1283"/>
      <c r="CA114" s="1283"/>
      <c r="CB114" s="1283"/>
      <c r="CC114" s="1283"/>
      <c r="CD114" s="1283"/>
      <c r="CE114" s="1283"/>
      <c r="CF114" s="1283"/>
      <c r="CG114" s="1283"/>
      <c r="CH114" s="1283"/>
      <c r="CI114" s="1283"/>
      <c r="CJ114" s="1283"/>
      <c r="CK114" s="1283"/>
    </row>
    <row r="115" spans="1:89" s="678" customFormat="1" ht="15" x14ac:dyDescent="0.2">
      <c r="A115" s="710">
        <v>3</v>
      </c>
      <c r="B115" s="1245" t="s">
        <v>65</v>
      </c>
      <c r="C115" s="1284">
        <v>1</v>
      </c>
      <c r="D115" s="1285" t="s">
        <v>16</v>
      </c>
      <c r="E115" s="1286">
        <f>2517786-100000</f>
        <v>2417786</v>
      </c>
      <c r="F115" s="1286"/>
      <c r="G115" s="1286"/>
      <c r="H115" s="1286"/>
      <c r="I115" s="1286"/>
      <c r="J115" s="1286"/>
      <c r="K115" s="1286"/>
      <c r="L115" s="1286">
        <f t="shared" si="10"/>
        <v>2417786</v>
      </c>
      <c r="M115" s="1286"/>
      <c r="N115" s="1286">
        <f t="shared" si="11"/>
        <v>2417786</v>
      </c>
      <c r="O115" s="1287">
        <f t="shared" si="12"/>
        <v>2417786</v>
      </c>
      <c r="P115" s="850"/>
      <c r="Q115" s="1283"/>
      <c r="R115" s="1283"/>
      <c r="S115" s="1283"/>
      <c r="T115" s="1283"/>
      <c r="U115" s="1283"/>
      <c r="V115" s="1283"/>
      <c r="W115" s="1283"/>
      <c r="X115" s="1283"/>
      <c r="Y115" s="1283"/>
      <c r="Z115" s="1283"/>
      <c r="AA115" s="1283"/>
      <c r="AB115" s="1283"/>
      <c r="AC115" s="1283"/>
      <c r="AD115" s="1283"/>
      <c r="AE115" s="1283"/>
      <c r="AF115" s="1283"/>
      <c r="AG115" s="1283"/>
      <c r="AH115" s="1283"/>
      <c r="AI115" s="1283"/>
      <c r="AJ115" s="1283"/>
      <c r="AK115" s="1283"/>
      <c r="AL115" s="1283"/>
      <c r="AM115" s="1283"/>
      <c r="AN115" s="1283"/>
      <c r="AO115" s="1283"/>
      <c r="AP115" s="1283"/>
      <c r="AQ115" s="1283"/>
      <c r="AR115" s="1283"/>
      <c r="AS115" s="1283"/>
      <c r="AT115" s="1283"/>
      <c r="AU115" s="1283"/>
      <c r="AV115" s="1283"/>
      <c r="AW115" s="1283"/>
      <c r="AX115" s="1283"/>
      <c r="AY115" s="1283"/>
      <c r="AZ115" s="1283"/>
      <c r="BA115" s="1283"/>
      <c r="BB115" s="1283"/>
      <c r="BC115" s="1283"/>
      <c r="BD115" s="1283"/>
      <c r="BE115" s="1283"/>
      <c r="BF115" s="1283"/>
      <c r="BG115" s="1283"/>
      <c r="BH115" s="1283"/>
      <c r="BI115" s="1283"/>
      <c r="BJ115" s="1283"/>
      <c r="BK115" s="1283"/>
      <c r="BL115" s="1283"/>
      <c r="BM115" s="1283"/>
      <c r="BN115" s="1283"/>
      <c r="BO115" s="1283"/>
      <c r="BP115" s="1283"/>
      <c r="BQ115" s="1283"/>
      <c r="BR115" s="1283"/>
      <c r="BS115" s="1283"/>
      <c r="BT115" s="1283"/>
      <c r="BU115" s="1283"/>
      <c r="BV115" s="1283"/>
      <c r="BW115" s="1283"/>
      <c r="BX115" s="1283"/>
      <c r="BY115" s="1283"/>
      <c r="BZ115" s="1283"/>
      <c r="CA115" s="1283"/>
      <c r="CB115" s="1283"/>
      <c r="CC115" s="1283"/>
      <c r="CD115" s="1283"/>
      <c r="CE115" s="1283"/>
      <c r="CF115" s="1283"/>
      <c r="CG115" s="1283"/>
      <c r="CH115" s="1283"/>
      <c r="CI115" s="1283"/>
      <c r="CJ115" s="1283"/>
      <c r="CK115" s="1283"/>
    </row>
    <row r="116" spans="1:89" s="678" customFormat="1" ht="15" x14ac:dyDescent="0.2">
      <c r="A116" s="710">
        <v>4</v>
      </c>
      <c r="B116" s="1245" t="s">
        <v>580</v>
      </c>
      <c r="C116" s="1284">
        <v>1</v>
      </c>
      <c r="D116" s="1285" t="s">
        <v>16</v>
      </c>
      <c r="E116" s="1286">
        <f>6657724-2601792-1200000-1000000-1000000</f>
        <v>855932</v>
      </c>
      <c r="F116" s="1286"/>
      <c r="G116" s="1286"/>
      <c r="H116" s="1286"/>
      <c r="I116" s="1286"/>
      <c r="J116" s="1286"/>
      <c r="K116" s="1286"/>
      <c r="L116" s="1286">
        <f t="shared" si="10"/>
        <v>855932</v>
      </c>
      <c r="M116" s="1286"/>
      <c r="N116" s="1286">
        <f t="shared" si="11"/>
        <v>855932</v>
      </c>
      <c r="O116" s="1287">
        <f t="shared" si="12"/>
        <v>855932</v>
      </c>
      <c r="P116" s="850"/>
      <c r="Q116" s="1283"/>
      <c r="R116" s="1283"/>
      <c r="S116" s="1283"/>
      <c r="T116" s="1283"/>
      <c r="U116" s="1283"/>
      <c r="V116" s="1283"/>
      <c r="W116" s="1283"/>
      <c r="X116" s="1283"/>
      <c r="Y116" s="1283"/>
      <c r="Z116" s="1283"/>
      <c r="AA116" s="1283"/>
      <c r="AB116" s="1283"/>
      <c r="AC116" s="1283"/>
      <c r="AD116" s="1283"/>
      <c r="AE116" s="1283"/>
      <c r="AF116" s="1283"/>
      <c r="AG116" s="1283"/>
      <c r="AH116" s="1283"/>
      <c r="AI116" s="1283"/>
      <c r="AJ116" s="1283"/>
      <c r="AK116" s="1283"/>
      <c r="AL116" s="1283"/>
      <c r="AM116" s="1283"/>
      <c r="AN116" s="1283"/>
      <c r="AO116" s="1283"/>
      <c r="AP116" s="1283"/>
      <c r="AQ116" s="1283"/>
      <c r="AR116" s="1283"/>
      <c r="AS116" s="1283"/>
      <c r="AT116" s="1283"/>
      <c r="AU116" s="1283"/>
      <c r="AV116" s="1283"/>
      <c r="AW116" s="1283"/>
      <c r="AX116" s="1283"/>
      <c r="AY116" s="1283"/>
      <c r="AZ116" s="1283"/>
      <c r="BA116" s="1283"/>
      <c r="BB116" s="1283"/>
      <c r="BC116" s="1283"/>
      <c r="BD116" s="1283"/>
      <c r="BE116" s="1283"/>
      <c r="BF116" s="1283"/>
      <c r="BG116" s="1283"/>
      <c r="BH116" s="1283"/>
      <c r="BI116" s="1283"/>
      <c r="BJ116" s="1283"/>
      <c r="BK116" s="1283"/>
      <c r="BL116" s="1283"/>
      <c r="BM116" s="1283"/>
      <c r="BN116" s="1283"/>
      <c r="BO116" s="1283"/>
      <c r="BP116" s="1283"/>
      <c r="BQ116" s="1283"/>
      <c r="BR116" s="1283"/>
      <c r="BS116" s="1283"/>
      <c r="BT116" s="1283"/>
      <c r="BU116" s="1283"/>
      <c r="BV116" s="1283"/>
      <c r="BW116" s="1283"/>
      <c r="BX116" s="1283"/>
      <c r="BY116" s="1283"/>
      <c r="BZ116" s="1283"/>
      <c r="CA116" s="1283"/>
      <c r="CB116" s="1283"/>
      <c r="CC116" s="1283"/>
      <c r="CD116" s="1283"/>
      <c r="CE116" s="1283"/>
      <c r="CF116" s="1283"/>
      <c r="CG116" s="1283"/>
      <c r="CH116" s="1283"/>
      <c r="CI116" s="1283"/>
      <c r="CJ116" s="1283"/>
      <c r="CK116" s="1283"/>
    </row>
    <row r="117" spans="1:89" s="678" customFormat="1" ht="15" x14ac:dyDescent="0.2">
      <c r="A117" s="710">
        <v>5</v>
      </c>
      <c r="B117" s="1245" t="s">
        <v>581</v>
      </c>
      <c r="C117" s="1284">
        <v>1</v>
      </c>
      <c r="D117" s="1285" t="s">
        <v>16</v>
      </c>
      <c r="E117" s="1286">
        <f>4711527-2700000+500000</f>
        <v>2511527</v>
      </c>
      <c r="F117" s="1286"/>
      <c r="G117" s="1286"/>
      <c r="H117" s="1286"/>
      <c r="I117" s="1286"/>
      <c r="J117" s="1286"/>
      <c r="K117" s="1286"/>
      <c r="L117" s="1286">
        <f t="shared" si="10"/>
        <v>2511527</v>
      </c>
      <c r="M117" s="1286"/>
      <c r="N117" s="1286">
        <f t="shared" si="11"/>
        <v>2511527</v>
      </c>
      <c r="O117" s="1287">
        <f t="shared" si="12"/>
        <v>2511527</v>
      </c>
      <c r="P117" s="850"/>
      <c r="Q117" s="1283"/>
      <c r="R117" s="1283"/>
      <c r="S117" s="1283"/>
      <c r="T117" s="1283"/>
      <c r="U117" s="1283"/>
      <c r="V117" s="1283"/>
      <c r="W117" s="1283"/>
      <c r="X117" s="1283"/>
      <c r="Y117" s="1283"/>
      <c r="Z117" s="1283"/>
      <c r="AA117" s="1283"/>
      <c r="AB117" s="1283"/>
      <c r="AC117" s="1283"/>
      <c r="AD117" s="1283"/>
      <c r="AE117" s="1283"/>
      <c r="AF117" s="1283"/>
      <c r="AG117" s="1283"/>
      <c r="AH117" s="1283"/>
      <c r="AI117" s="1283"/>
      <c r="AJ117" s="1283"/>
      <c r="AK117" s="1283"/>
      <c r="AL117" s="1283"/>
      <c r="AM117" s="1283"/>
      <c r="AN117" s="1283"/>
      <c r="AO117" s="1283"/>
      <c r="AP117" s="1283"/>
      <c r="AQ117" s="1283"/>
      <c r="AR117" s="1283"/>
      <c r="AS117" s="1283"/>
      <c r="AT117" s="1283"/>
      <c r="AU117" s="1283"/>
      <c r="AV117" s="1283"/>
      <c r="AW117" s="1283"/>
      <c r="AX117" s="1283"/>
      <c r="AY117" s="1283"/>
      <c r="AZ117" s="1283"/>
      <c r="BA117" s="1283"/>
      <c r="BB117" s="1283"/>
      <c r="BC117" s="1283"/>
      <c r="BD117" s="1283"/>
      <c r="BE117" s="1283"/>
      <c r="BF117" s="1283"/>
      <c r="BG117" s="1283"/>
      <c r="BH117" s="1283"/>
      <c r="BI117" s="1283"/>
      <c r="BJ117" s="1283"/>
      <c r="BK117" s="1283"/>
      <c r="BL117" s="1283"/>
      <c r="BM117" s="1283"/>
      <c r="BN117" s="1283"/>
      <c r="BO117" s="1283"/>
      <c r="BP117" s="1283"/>
      <c r="BQ117" s="1283"/>
      <c r="BR117" s="1283"/>
      <c r="BS117" s="1283"/>
      <c r="BT117" s="1283"/>
      <c r="BU117" s="1283"/>
      <c r="BV117" s="1283"/>
      <c r="BW117" s="1283"/>
      <c r="BX117" s="1283"/>
      <c r="BY117" s="1283"/>
      <c r="BZ117" s="1283"/>
      <c r="CA117" s="1283"/>
      <c r="CB117" s="1283"/>
      <c r="CC117" s="1283"/>
      <c r="CD117" s="1283"/>
      <c r="CE117" s="1283"/>
      <c r="CF117" s="1283"/>
      <c r="CG117" s="1283"/>
      <c r="CH117" s="1283"/>
      <c r="CI117" s="1283"/>
      <c r="CJ117" s="1283"/>
      <c r="CK117" s="1283"/>
    </row>
    <row r="118" spans="1:89" s="678" customFormat="1" ht="15" x14ac:dyDescent="0.2">
      <c r="A118" s="710">
        <v>6</v>
      </c>
      <c r="B118" s="1245" t="s">
        <v>582</v>
      </c>
      <c r="C118" s="1284">
        <v>1</v>
      </c>
      <c r="D118" s="1285" t="s">
        <v>16</v>
      </c>
      <c r="E118" s="1286">
        <f>4836975-2000000</f>
        <v>2836975</v>
      </c>
      <c r="F118" s="1286"/>
      <c r="G118" s="1286"/>
      <c r="H118" s="1286"/>
      <c r="I118" s="1286"/>
      <c r="J118" s="1286"/>
      <c r="K118" s="1286"/>
      <c r="L118" s="1286">
        <f t="shared" si="10"/>
        <v>2836975</v>
      </c>
      <c r="M118" s="1286"/>
      <c r="N118" s="1286">
        <f t="shared" si="11"/>
        <v>2836975</v>
      </c>
      <c r="O118" s="1287">
        <f t="shared" si="12"/>
        <v>2836975</v>
      </c>
      <c r="P118" s="850"/>
      <c r="Q118" s="1283"/>
      <c r="R118" s="1283"/>
      <c r="S118" s="1283"/>
      <c r="T118" s="1283"/>
      <c r="U118" s="1283"/>
      <c r="V118" s="1283"/>
      <c r="W118" s="1283"/>
      <c r="X118" s="1283"/>
      <c r="Y118" s="1283"/>
      <c r="Z118" s="1283"/>
      <c r="AA118" s="1283"/>
      <c r="AB118" s="1283"/>
      <c r="AC118" s="1283"/>
      <c r="AD118" s="1283"/>
      <c r="AE118" s="1283"/>
      <c r="AF118" s="1283"/>
      <c r="AG118" s="1283"/>
      <c r="AH118" s="1283"/>
      <c r="AI118" s="1283"/>
      <c r="AJ118" s="1283"/>
      <c r="AK118" s="1283"/>
      <c r="AL118" s="1283"/>
      <c r="AM118" s="1283"/>
      <c r="AN118" s="1283"/>
      <c r="AO118" s="1283"/>
      <c r="AP118" s="1283"/>
      <c r="AQ118" s="1283"/>
      <c r="AR118" s="1283"/>
      <c r="AS118" s="1283"/>
      <c r="AT118" s="1283"/>
      <c r="AU118" s="1283"/>
      <c r="AV118" s="1283"/>
      <c r="AW118" s="1283"/>
      <c r="AX118" s="1283"/>
      <c r="AY118" s="1283"/>
      <c r="AZ118" s="1283"/>
      <c r="BA118" s="1283"/>
      <c r="BB118" s="1283"/>
      <c r="BC118" s="1283"/>
      <c r="BD118" s="1283"/>
      <c r="BE118" s="1283"/>
      <c r="BF118" s="1283"/>
      <c r="BG118" s="1283"/>
      <c r="BH118" s="1283"/>
      <c r="BI118" s="1283"/>
      <c r="BJ118" s="1283"/>
      <c r="BK118" s="1283"/>
      <c r="BL118" s="1283"/>
      <c r="BM118" s="1283"/>
      <c r="BN118" s="1283"/>
      <c r="BO118" s="1283"/>
      <c r="BP118" s="1283"/>
      <c r="BQ118" s="1283"/>
      <c r="BR118" s="1283"/>
      <c r="BS118" s="1283"/>
      <c r="BT118" s="1283"/>
      <c r="BU118" s="1283"/>
      <c r="BV118" s="1283"/>
      <c r="BW118" s="1283"/>
      <c r="BX118" s="1283"/>
      <c r="BY118" s="1283"/>
      <c r="BZ118" s="1283"/>
      <c r="CA118" s="1283"/>
      <c r="CB118" s="1283"/>
      <c r="CC118" s="1283"/>
      <c r="CD118" s="1283"/>
      <c r="CE118" s="1283"/>
      <c r="CF118" s="1283"/>
      <c r="CG118" s="1283"/>
      <c r="CH118" s="1283"/>
      <c r="CI118" s="1283"/>
      <c r="CJ118" s="1283"/>
      <c r="CK118" s="1283"/>
    </row>
    <row r="119" spans="1:89" s="678" customFormat="1" ht="15" x14ac:dyDescent="0.2">
      <c r="A119" s="710">
        <v>7</v>
      </c>
      <c r="B119" s="1245" t="s">
        <v>583</v>
      </c>
      <c r="C119" s="1284">
        <v>1</v>
      </c>
      <c r="D119" s="1285" t="s">
        <v>16</v>
      </c>
      <c r="E119" s="1286">
        <v>2778458</v>
      </c>
      <c r="F119" s="1286"/>
      <c r="G119" s="1286"/>
      <c r="H119" s="1286"/>
      <c r="I119" s="1286"/>
      <c r="J119" s="1286"/>
      <c r="K119" s="1286"/>
      <c r="L119" s="1286">
        <f t="shared" si="10"/>
        <v>2778458</v>
      </c>
      <c r="M119" s="1286"/>
      <c r="N119" s="1286">
        <f t="shared" si="11"/>
        <v>2778458</v>
      </c>
      <c r="O119" s="1287">
        <f t="shared" si="12"/>
        <v>2778458</v>
      </c>
      <c r="P119" s="850"/>
      <c r="Q119" s="1283"/>
      <c r="R119" s="1283"/>
      <c r="S119" s="1283"/>
      <c r="T119" s="1283"/>
      <c r="U119" s="1283"/>
      <c r="V119" s="1283"/>
      <c r="W119" s="1283"/>
      <c r="X119" s="1283"/>
      <c r="Y119" s="1283"/>
      <c r="Z119" s="1283"/>
      <c r="AA119" s="1283"/>
      <c r="AB119" s="1283"/>
      <c r="AC119" s="1283"/>
      <c r="AD119" s="1283"/>
      <c r="AE119" s="1283"/>
      <c r="AF119" s="1283"/>
      <c r="AG119" s="1283"/>
      <c r="AH119" s="1283"/>
      <c r="AI119" s="1283"/>
      <c r="AJ119" s="1283"/>
      <c r="AK119" s="1283"/>
      <c r="AL119" s="1283"/>
      <c r="AM119" s="1283"/>
      <c r="AN119" s="1283"/>
      <c r="AO119" s="1283"/>
      <c r="AP119" s="1283"/>
      <c r="AQ119" s="1283"/>
      <c r="AR119" s="1283"/>
      <c r="AS119" s="1283"/>
      <c r="AT119" s="1283"/>
      <c r="AU119" s="1283"/>
      <c r="AV119" s="1283"/>
      <c r="AW119" s="1283"/>
      <c r="AX119" s="1283"/>
      <c r="AY119" s="1283"/>
      <c r="AZ119" s="1283"/>
      <c r="BA119" s="1283"/>
      <c r="BB119" s="1283"/>
      <c r="BC119" s="1283"/>
      <c r="BD119" s="1283"/>
      <c r="BE119" s="1283"/>
      <c r="BF119" s="1283"/>
      <c r="BG119" s="1283"/>
      <c r="BH119" s="1283"/>
      <c r="BI119" s="1283"/>
      <c r="BJ119" s="1283"/>
      <c r="BK119" s="1283"/>
      <c r="BL119" s="1283"/>
      <c r="BM119" s="1283"/>
      <c r="BN119" s="1283"/>
      <c r="BO119" s="1283"/>
      <c r="BP119" s="1283"/>
      <c r="BQ119" s="1283"/>
      <c r="BR119" s="1283"/>
      <c r="BS119" s="1283"/>
      <c r="BT119" s="1283"/>
      <c r="BU119" s="1283"/>
      <c r="BV119" s="1283"/>
      <c r="BW119" s="1283"/>
      <c r="BX119" s="1283"/>
      <c r="BY119" s="1283"/>
      <c r="BZ119" s="1283"/>
      <c r="CA119" s="1283"/>
      <c r="CB119" s="1283"/>
      <c r="CC119" s="1283"/>
      <c r="CD119" s="1283"/>
      <c r="CE119" s="1283"/>
      <c r="CF119" s="1283"/>
      <c r="CG119" s="1283"/>
      <c r="CH119" s="1283"/>
      <c r="CI119" s="1283"/>
      <c r="CJ119" s="1283"/>
      <c r="CK119" s="1283"/>
    </row>
    <row r="120" spans="1:89" s="678" customFormat="1" ht="15" x14ac:dyDescent="0.2">
      <c r="A120" s="710">
        <v>8</v>
      </c>
      <c r="B120" s="1245" t="s">
        <v>2329</v>
      </c>
      <c r="C120" s="1284">
        <v>1</v>
      </c>
      <c r="D120" s="1285" t="s">
        <v>16</v>
      </c>
      <c r="E120" s="1286">
        <v>4684330</v>
      </c>
      <c r="F120" s="1286"/>
      <c r="G120" s="1286"/>
      <c r="H120" s="1286"/>
      <c r="I120" s="1286"/>
      <c r="J120" s="1286"/>
      <c r="K120" s="1286"/>
      <c r="L120" s="1286">
        <f>C120*E120</f>
        <v>4684330</v>
      </c>
      <c r="M120" s="1286"/>
      <c r="N120" s="1286">
        <f>L120+M120</f>
        <v>4684330</v>
      </c>
      <c r="O120" s="1287">
        <f>N120+K120+H120</f>
        <v>4684330</v>
      </c>
      <c r="P120" s="850"/>
      <c r="Q120" s="1283"/>
      <c r="R120" s="1283"/>
      <c r="S120" s="1283"/>
      <c r="T120" s="1283"/>
      <c r="U120" s="1283"/>
      <c r="V120" s="1283"/>
      <c r="W120" s="1283"/>
      <c r="X120" s="1283"/>
      <c r="Y120" s="1283"/>
      <c r="Z120" s="1283"/>
      <c r="AA120" s="1283"/>
      <c r="AB120" s="1283"/>
      <c r="AC120" s="1283"/>
      <c r="AD120" s="1283"/>
      <c r="AE120" s="1283"/>
      <c r="AF120" s="1283"/>
      <c r="AG120" s="1283"/>
      <c r="AH120" s="1283"/>
      <c r="AI120" s="1283"/>
      <c r="AJ120" s="1283"/>
      <c r="AK120" s="1283"/>
      <c r="AL120" s="1283"/>
      <c r="AM120" s="1283"/>
      <c r="AN120" s="1283"/>
      <c r="AO120" s="1283"/>
      <c r="AP120" s="1283"/>
      <c r="AQ120" s="1283"/>
      <c r="AR120" s="1283"/>
      <c r="AS120" s="1283"/>
      <c r="AT120" s="1283"/>
      <c r="AU120" s="1283"/>
      <c r="AV120" s="1283"/>
      <c r="AW120" s="1283"/>
      <c r="AX120" s="1283"/>
      <c r="AY120" s="1283"/>
      <c r="AZ120" s="1283"/>
      <c r="BA120" s="1283"/>
      <c r="BB120" s="1283"/>
      <c r="BC120" s="1283"/>
      <c r="BD120" s="1283"/>
      <c r="BE120" s="1283"/>
      <c r="BF120" s="1283"/>
      <c r="BG120" s="1283"/>
      <c r="BH120" s="1283"/>
      <c r="BI120" s="1283"/>
      <c r="BJ120" s="1283"/>
      <c r="BK120" s="1283"/>
      <c r="BL120" s="1283"/>
      <c r="BM120" s="1283"/>
      <c r="BN120" s="1283"/>
      <c r="BO120" s="1283"/>
      <c r="BP120" s="1283"/>
      <c r="BQ120" s="1283"/>
      <c r="BR120" s="1283"/>
      <c r="BS120" s="1283"/>
      <c r="BT120" s="1283"/>
      <c r="BU120" s="1283"/>
      <c r="BV120" s="1283"/>
      <c r="BW120" s="1283"/>
      <c r="BX120" s="1283"/>
      <c r="BY120" s="1283"/>
      <c r="BZ120" s="1283"/>
      <c r="CA120" s="1283"/>
      <c r="CB120" s="1283"/>
      <c r="CC120" s="1283"/>
      <c r="CD120" s="1283"/>
      <c r="CE120" s="1283"/>
      <c r="CF120" s="1283"/>
      <c r="CG120" s="1283"/>
      <c r="CH120" s="1283"/>
      <c r="CI120" s="1283"/>
      <c r="CJ120" s="1283"/>
      <c r="CK120" s="1283"/>
    </row>
    <row r="121" spans="1:89" s="678" customFormat="1" ht="15" x14ac:dyDescent="0.2">
      <c r="A121" s="806"/>
      <c r="B121" s="1757"/>
      <c r="C121" s="843"/>
      <c r="D121" s="844"/>
      <c r="E121" s="1288"/>
      <c r="F121" s="1288"/>
      <c r="G121" s="1288"/>
      <c r="H121" s="1288"/>
      <c r="I121" s="1288"/>
      <c r="J121" s="1288"/>
      <c r="K121" s="1288"/>
      <c r="L121" s="1288"/>
      <c r="M121" s="1288"/>
      <c r="N121" s="1288"/>
      <c r="O121" s="1289"/>
      <c r="P121" s="850"/>
      <c r="Q121" s="1283"/>
      <c r="R121" s="1283"/>
      <c r="S121" s="1283"/>
      <c r="T121" s="1283"/>
      <c r="U121" s="1283"/>
      <c r="V121" s="1283"/>
      <c r="W121" s="1283"/>
      <c r="X121" s="1283"/>
      <c r="Y121" s="1283"/>
      <c r="Z121" s="1283"/>
      <c r="AA121" s="1283"/>
      <c r="AB121" s="1283"/>
      <c r="AC121" s="1283"/>
      <c r="AD121" s="1283"/>
      <c r="AE121" s="1283"/>
      <c r="AF121" s="1283"/>
      <c r="AG121" s="1283"/>
      <c r="AH121" s="1283"/>
      <c r="AI121" s="1283"/>
      <c r="AJ121" s="1283"/>
      <c r="AK121" s="1283"/>
      <c r="AL121" s="1283"/>
      <c r="AM121" s="1283"/>
      <c r="AN121" s="1283"/>
      <c r="AO121" s="1283"/>
      <c r="AP121" s="1283"/>
      <c r="AQ121" s="1283"/>
      <c r="AR121" s="1283"/>
      <c r="AS121" s="1283"/>
      <c r="AT121" s="1283"/>
      <c r="AU121" s="1283"/>
      <c r="AV121" s="1283"/>
      <c r="AW121" s="1283"/>
      <c r="AX121" s="1283"/>
      <c r="AY121" s="1283"/>
      <c r="AZ121" s="1283"/>
      <c r="BA121" s="1283"/>
      <c r="BB121" s="1283"/>
      <c r="BC121" s="1283"/>
      <c r="BD121" s="1283"/>
      <c r="BE121" s="1283"/>
      <c r="BF121" s="1283"/>
      <c r="BG121" s="1283"/>
      <c r="BH121" s="1283"/>
      <c r="BI121" s="1283"/>
      <c r="BJ121" s="1283"/>
      <c r="BK121" s="1283"/>
      <c r="BL121" s="1283"/>
      <c r="BM121" s="1283"/>
      <c r="BN121" s="1283"/>
      <c r="BO121" s="1283"/>
      <c r="BP121" s="1283"/>
      <c r="BQ121" s="1283"/>
      <c r="BR121" s="1283"/>
      <c r="BS121" s="1283"/>
      <c r="BT121" s="1283"/>
      <c r="BU121" s="1283"/>
      <c r="BV121" s="1283"/>
      <c r="BW121" s="1283"/>
      <c r="BX121" s="1283"/>
      <c r="BY121" s="1283"/>
      <c r="BZ121" s="1283"/>
      <c r="CA121" s="1283"/>
      <c r="CB121" s="1283"/>
      <c r="CC121" s="1283"/>
      <c r="CD121" s="1283"/>
      <c r="CE121" s="1283"/>
      <c r="CF121" s="1283"/>
      <c r="CG121" s="1283"/>
      <c r="CH121" s="1283"/>
      <c r="CI121" s="1283"/>
      <c r="CJ121" s="1283"/>
      <c r="CK121" s="1283"/>
    </row>
    <row r="122" spans="1:89" s="678" customFormat="1" ht="15" x14ac:dyDescent="0.2">
      <c r="A122" s="806"/>
      <c r="B122" s="845"/>
      <c r="C122" s="843"/>
      <c r="D122" s="844"/>
      <c r="E122" s="1288"/>
      <c r="F122" s="1288"/>
      <c r="G122" s="1288"/>
      <c r="H122" s="1288"/>
      <c r="I122" s="1288"/>
      <c r="J122" s="1288"/>
      <c r="K122" s="1288"/>
      <c r="L122" s="1288"/>
      <c r="M122" s="1288"/>
      <c r="N122" s="1288"/>
      <c r="O122" s="1289"/>
      <c r="P122" s="850"/>
      <c r="Q122" s="1283"/>
      <c r="R122" s="1283"/>
      <c r="S122" s="1283"/>
      <c r="T122" s="1283"/>
      <c r="U122" s="1283"/>
      <c r="V122" s="1283"/>
      <c r="W122" s="1283"/>
      <c r="X122" s="1283"/>
      <c r="Y122" s="1283"/>
      <c r="Z122" s="1283"/>
      <c r="AA122" s="1283"/>
      <c r="AB122" s="1283"/>
      <c r="AC122" s="1283"/>
      <c r="AD122" s="1283"/>
      <c r="AE122" s="1283"/>
      <c r="AF122" s="1283"/>
      <c r="AG122" s="1283"/>
      <c r="AH122" s="1283"/>
      <c r="AI122" s="1283"/>
      <c r="AJ122" s="1283"/>
      <c r="AK122" s="1283"/>
      <c r="AL122" s="1283"/>
      <c r="AM122" s="1283"/>
      <c r="AN122" s="1283"/>
      <c r="AO122" s="1283"/>
      <c r="AP122" s="1283"/>
      <c r="AQ122" s="1283"/>
      <c r="AR122" s="1283"/>
      <c r="AS122" s="1283"/>
      <c r="AT122" s="1283"/>
      <c r="AU122" s="1283"/>
      <c r="AV122" s="1283"/>
      <c r="AW122" s="1283"/>
      <c r="AX122" s="1283"/>
      <c r="AY122" s="1283"/>
      <c r="AZ122" s="1283"/>
      <c r="BA122" s="1283"/>
      <c r="BB122" s="1283"/>
      <c r="BC122" s="1283"/>
      <c r="BD122" s="1283"/>
      <c r="BE122" s="1283"/>
      <c r="BF122" s="1283"/>
      <c r="BG122" s="1283"/>
      <c r="BH122" s="1283"/>
      <c r="BI122" s="1283"/>
      <c r="BJ122" s="1283"/>
      <c r="BK122" s="1283"/>
      <c r="BL122" s="1283"/>
      <c r="BM122" s="1283"/>
      <c r="BN122" s="1283"/>
      <c r="BO122" s="1283"/>
      <c r="BP122" s="1283"/>
      <c r="BQ122" s="1283"/>
      <c r="BR122" s="1283"/>
      <c r="BS122" s="1283"/>
      <c r="BT122" s="1283"/>
      <c r="BU122" s="1283"/>
      <c r="BV122" s="1283"/>
      <c r="BW122" s="1283"/>
      <c r="BX122" s="1283"/>
      <c r="BY122" s="1283"/>
      <c r="BZ122" s="1283"/>
      <c r="CA122" s="1283"/>
      <c r="CB122" s="1283"/>
      <c r="CC122" s="1283"/>
      <c r="CD122" s="1283"/>
      <c r="CE122" s="1283"/>
      <c r="CF122" s="1283"/>
      <c r="CG122" s="1283"/>
      <c r="CH122" s="1283"/>
      <c r="CI122" s="1283"/>
      <c r="CJ122" s="1283"/>
      <c r="CK122" s="1283"/>
    </row>
    <row r="123" spans="1:89" s="672" customFormat="1" ht="17.25" customHeight="1" x14ac:dyDescent="0.25">
      <c r="A123" s="1210" t="s">
        <v>89</v>
      </c>
      <c r="B123" s="1262" t="s">
        <v>1736</v>
      </c>
      <c r="C123" s="1212"/>
      <c r="D123" s="1213"/>
      <c r="E123" s="1290"/>
      <c r="F123" s="1214">
        <f>F124</f>
        <v>0</v>
      </c>
      <c r="G123" s="1214">
        <f>SUM(G124:G124)</f>
        <v>0</v>
      </c>
      <c r="H123" s="1214">
        <f>G123+F123</f>
        <v>0</v>
      </c>
      <c r="I123" s="1214">
        <f>SUM(I124:I124)</f>
        <v>0</v>
      </c>
      <c r="J123" s="1214">
        <f>SUM(J124:J124)</f>
        <v>0</v>
      </c>
      <c r="K123" s="1214">
        <f>J123+I123</f>
        <v>0</v>
      </c>
      <c r="L123" s="1214">
        <f>SUM(L124:L124)</f>
        <v>0</v>
      </c>
      <c r="M123" s="1214">
        <f>SUM(M124:M124)</f>
        <v>0</v>
      </c>
      <c r="N123" s="1214">
        <f>M123+L123</f>
        <v>0</v>
      </c>
      <c r="O123" s="1215">
        <f>N123+K123+H123</f>
        <v>0</v>
      </c>
      <c r="P123" s="680"/>
      <c r="Q123" s="1581"/>
      <c r="R123" s="1581"/>
      <c r="S123" s="1581"/>
      <c r="T123" s="1581"/>
      <c r="U123" s="1581"/>
      <c r="V123" s="1581"/>
      <c r="W123" s="1581"/>
      <c r="X123" s="1581"/>
      <c r="Y123" s="1581"/>
      <c r="Z123" s="1581"/>
      <c r="AA123" s="1581"/>
      <c r="AB123" s="1581"/>
      <c r="AC123" s="1581"/>
      <c r="AD123" s="1581"/>
      <c r="AE123" s="1581"/>
      <c r="AF123" s="1581"/>
      <c r="AG123" s="1581"/>
      <c r="AH123" s="1581"/>
      <c r="AI123" s="1581"/>
      <c r="AJ123" s="1581"/>
      <c r="AK123" s="1581"/>
      <c r="AL123" s="1581"/>
      <c r="AM123" s="1581"/>
      <c r="AN123" s="1581"/>
      <c r="AO123" s="1581"/>
      <c r="AP123" s="1581"/>
      <c r="AQ123" s="1581"/>
      <c r="AR123" s="1581"/>
      <c r="AS123" s="1581"/>
      <c r="AT123" s="1581"/>
      <c r="AU123" s="1581"/>
      <c r="AV123" s="1581"/>
      <c r="AW123" s="1581"/>
      <c r="AX123" s="1581"/>
      <c r="AY123" s="1581"/>
      <c r="AZ123" s="1581"/>
      <c r="BA123" s="1581"/>
      <c r="BB123" s="1581"/>
      <c r="BC123" s="1581"/>
      <c r="BD123" s="1581"/>
      <c r="BE123" s="1581"/>
      <c r="BF123" s="1581"/>
      <c r="BG123" s="1581"/>
      <c r="BH123" s="1581"/>
      <c r="BI123" s="1581"/>
      <c r="BJ123" s="1581"/>
      <c r="BK123" s="1581"/>
      <c r="BL123" s="1581"/>
      <c r="BM123" s="1581"/>
      <c r="BN123" s="1581"/>
      <c r="BO123" s="1581"/>
      <c r="BP123" s="1581"/>
      <c r="BQ123" s="1581"/>
      <c r="BR123" s="1581"/>
      <c r="BS123" s="1581"/>
      <c r="BT123" s="1581"/>
      <c r="BU123" s="1581"/>
      <c r="BV123" s="1581"/>
      <c r="BW123" s="1581"/>
      <c r="BX123" s="1581"/>
      <c r="BY123" s="1581"/>
      <c r="BZ123" s="1581"/>
      <c r="CA123" s="1581"/>
      <c r="CB123" s="1581"/>
      <c r="CC123" s="1581"/>
      <c r="CD123" s="1581"/>
      <c r="CE123" s="1581"/>
      <c r="CF123" s="1581"/>
      <c r="CG123" s="1581"/>
      <c r="CH123" s="1581"/>
      <c r="CI123" s="1581"/>
      <c r="CJ123" s="1581"/>
      <c r="CK123" s="1581"/>
    </row>
    <row r="124" spans="1:89" ht="17.25" customHeight="1" x14ac:dyDescent="0.25">
      <c r="A124" s="681">
        <v>1</v>
      </c>
      <c r="B124" s="1291" t="s">
        <v>2285</v>
      </c>
      <c r="C124" s="682">
        <v>0</v>
      </c>
      <c r="D124" s="683" t="s">
        <v>16</v>
      </c>
      <c r="E124" s="684">
        <v>2500000</v>
      </c>
      <c r="F124" s="685"/>
      <c r="G124" s="685"/>
      <c r="H124" s="685"/>
      <c r="I124" s="685"/>
      <c r="J124" s="685">
        <f>C124*E124</f>
        <v>0</v>
      </c>
      <c r="K124" s="685">
        <f>I124+J124</f>
        <v>0</v>
      </c>
      <c r="L124" s="685"/>
      <c r="M124" s="685"/>
      <c r="N124" s="685"/>
      <c r="O124" s="686">
        <f>N124+K124+H124</f>
        <v>0</v>
      </c>
      <c r="P124" s="687"/>
    </row>
    <row r="125" spans="1:89" s="678" customFormat="1" ht="15" x14ac:dyDescent="0.2">
      <c r="A125" s="1292"/>
      <c r="B125" s="1293"/>
      <c r="C125" s="1294"/>
      <c r="D125" s="1295"/>
      <c r="E125" s="1296"/>
      <c r="F125" s="1296"/>
      <c r="G125" s="1296"/>
      <c r="H125" s="1296"/>
      <c r="I125" s="1296"/>
      <c r="J125" s="1296"/>
      <c r="K125" s="1296"/>
      <c r="L125" s="1296"/>
      <c r="M125" s="1296"/>
      <c r="N125" s="1296"/>
      <c r="O125" s="1297"/>
      <c r="P125" s="850"/>
      <c r="Q125" s="1283"/>
      <c r="R125" s="1283"/>
      <c r="S125" s="1283"/>
      <c r="T125" s="1283"/>
      <c r="U125" s="1283"/>
      <c r="V125" s="1283"/>
      <c r="W125" s="1283"/>
      <c r="X125" s="1283"/>
      <c r="Y125" s="1283"/>
      <c r="Z125" s="1283"/>
      <c r="AA125" s="1283"/>
      <c r="AB125" s="1283"/>
      <c r="AC125" s="1283"/>
      <c r="AD125" s="1283"/>
      <c r="AE125" s="1283"/>
      <c r="AF125" s="1283"/>
      <c r="AG125" s="1283"/>
      <c r="AH125" s="1283"/>
      <c r="AI125" s="1283"/>
      <c r="AJ125" s="1283"/>
      <c r="AK125" s="1283"/>
      <c r="AL125" s="1283"/>
      <c r="AM125" s="1283"/>
      <c r="AN125" s="1283"/>
      <c r="AO125" s="1283"/>
      <c r="AP125" s="1283"/>
      <c r="AQ125" s="1283"/>
      <c r="AR125" s="1283"/>
      <c r="AS125" s="1283"/>
      <c r="AT125" s="1283"/>
      <c r="AU125" s="1283"/>
      <c r="AV125" s="1283"/>
      <c r="AW125" s="1283"/>
      <c r="AX125" s="1283"/>
      <c r="AY125" s="1283"/>
      <c r="AZ125" s="1283"/>
      <c r="BA125" s="1283"/>
      <c r="BB125" s="1283"/>
      <c r="BC125" s="1283"/>
      <c r="BD125" s="1283"/>
      <c r="BE125" s="1283"/>
      <c r="BF125" s="1283"/>
      <c r="BG125" s="1283"/>
      <c r="BH125" s="1283"/>
      <c r="BI125" s="1283"/>
      <c r="BJ125" s="1283"/>
      <c r="BK125" s="1283"/>
      <c r="BL125" s="1283"/>
      <c r="BM125" s="1283"/>
      <c r="BN125" s="1283"/>
      <c r="BO125" s="1283"/>
      <c r="BP125" s="1283"/>
      <c r="BQ125" s="1283"/>
      <c r="BR125" s="1283"/>
      <c r="BS125" s="1283"/>
      <c r="BT125" s="1283"/>
      <c r="BU125" s="1283"/>
      <c r="BV125" s="1283"/>
      <c r="BW125" s="1283"/>
      <c r="BX125" s="1283"/>
      <c r="BY125" s="1283"/>
      <c r="BZ125" s="1283"/>
      <c r="CA125" s="1283"/>
      <c r="CB125" s="1283"/>
      <c r="CC125" s="1283"/>
      <c r="CD125" s="1283"/>
      <c r="CE125" s="1283"/>
      <c r="CF125" s="1283"/>
      <c r="CG125" s="1283"/>
      <c r="CH125" s="1283"/>
      <c r="CI125" s="1283"/>
      <c r="CJ125" s="1283"/>
      <c r="CK125" s="1283"/>
    </row>
    <row r="126" spans="1:89" s="1276" customFormat="1" ht="15" x14ac:dyDescent="0.2">
      <c r="A126" s="1764" t="s">
        <v>584</v>
      </c>
      <c r="B126" s="1270" t="s">
        <v>23</v>
      </c>
      <c r="C126" s="1271"/>
      <c r="D126" s="1272"/>
      <c r="E126" s="1273"/>
      <c r="F126" s="1273">
        <f>SUM(F127:F135)</f>
        <v>0</v>
      </c>
      <c r="G126" s="1273">
        <f>SUM(G127:G135)</f>
        <v>0</v>
      </c>
      <c r="H126" s="1273">
        <f>F126+G126</f>
        <v>0</v>
      </c>
      <c r="I126" s="1273">
        <f>SUM(I127:I135)</f>
        <v>0</v>
      </c>
      <c r="J126" s="1273">
        <f>SUM(J127:J135)</f>
        <v>2612150</v>
      </c>
      <c r="K126" s="1273">
        <f>I126+J126</f>
        <v>2612150</v>
      </c>
      <c r="L126" s="1273">
        <f>SUM(L127:L135)</f>
        <v>0</v>
      </c>
      <c r="M126" s="1273">
        <f>SUM(M127:M135)</f>
        <v>0</v>
      </c>
      <c r="N126" s="1273">
        <f>L126+M126</f>
        <v>0</v>
      </c>
      <c r="O126" s="1274">
        <f>N126+K126+H126</f>
        <v>2612150</v>
      </c>
      <c r="P126" s="1275"/>
      <c r="Q126" s="1824"/>
      <c r="R126" s="1824"/>
      <c r="S126" s="1824"/>
      <c r="T126" s="1824"/>
      <c r="U126" s="1824"/>
      <c r="V126" s="1824"/>
      <c r="W126" s="1824"/>
      <c r="X126" s="1824"/>
      <c r="Y126" s="1824"/>
      <c r="Z126" s="1824"/>
      <c r="AA126" s="1824"/>
      <c r="AB126" s="1824"/>
      <c r="AC126" s="1824"/>
      <c r="AD126" s="1824"/>
      <c r="AE126" s="1824"/>
      <c r="AF126" s="1824"/>
      <c r="AG126" s="1824"/>
      <c r="AH126" s="1824"/>
      <c r="AI126" s="1824"/>
      <c r="AJ126" s="1824"/>
      <c r="AK126" s="1824"/>
      <c r="AL126" s="1824"/>
      <c r="AM126" s="1824"/>
      <c r="AN126" s="1824"/>
      <c r="AO126" s="1824"/>
      <c r="AP126" s="1824"/>
      <c r="AQ126" s="1824"/>
      <c r="AR126" s="1824"/>
      <c r="AS126" s="1824"/>
      <c r="AT126" s="1824"/>
      <c r="AU126" s="1824"/>
      <c r="AV126" s="1824"/>
      <c r="AW126" s="1824"/>
      <c r="AX126" s="1824"/>
      <c r="AY126" s="1824"/>
      <c r="AZ126" s="1824"/>
      <c r="BA126" s="1824"/>
      <c r="BB126" s="1824"/>
      <c r="BC126" s="1824"/>
      <c r="BD126" s="1824"/>
      <c r="BE126" s="1824"/>
      <c r="BF126" s="1824"/>
      <c r="BG126" s="1824"/>
      <c r="BH126" s="1824"/>
      <c r="BI126" s="1824"/>
      <c r="BJ126" s="1824"/>
      <c r="BK126" s="1824"/>
      <c r="BL126" s="1824"/>
      <c r="BM126" s="1824"/>
      <c r="BN126" s="1824"/>
      <c r="BO126" s="1824"/>
      <c r="BP126" s="1824"/>
      <c r="BQ126" s="1824"/>
      <c r="BR126" s="1824"/>
      <c r="BS126" s="1824"/>
      <c r="BT126" s="1824"/>
      <c r="BU126" s="1824"/>
      <c r="BV126" s="1824"/>
      <c r="BW126" s="1824"/>
      <c r="BX126" s="1824"/>
      <c r="BY126" s="1824"/>
      <c r="BZ126" s="1824"/>
      <c r="CA126" s="1824"/>
      <c r="CB126" s="1824"/>
      <c r="CC126" s="1824"/>
      <c r="CD126" s="1824"/>
      <c r="CE126" s="1824"/>
      <c r="CF126" s="1824"/>
      <c r="CG126" s="1824"/>
      <c r="CH126" s="1824"/>
      <c r="CI126" s="1824"/>
      <c r="CJ126" s="1824"/>
      <c r="CK126" s="1824"/>
    </row>
    <row r="127" spans="1:89" s="678" customFormat="1" ht="15" x14ac:dyDescent="0.2">
      <c r="A127" s="1298">
        <v>1</v>
      </c>
      <c r="B127" s="1299" t="s">
        <v>21</v>
      </c>
      <c r="C127" s="1277"/>
      <c r="D127" s="1278"/>
      <c r="E127" s="1279"/>
      <c r="F127" s="1279"/>
      <c r="G127" s="1279"/>
      <c r="H127" s="1279"/>
      <c r="I127" s="1279"/>
      <c r="J127" s="1279"/>
      <c r="K127" s="1279"/>
      <c r="L127" s="1279"/>
      <c r="M127" s="1279"/>
      <c r="N127" s="1279"/>
      <c r="O127" s="1300"/>
      <c r="P127" s="1301"/>
      <c r="Q127" s="1283"/>
      <c r="R127" s="1283"/>
      <c r="S127" s="1283"/>
      <c r="T127" s="1283"/>
      <c r="U127" s="1283"/>
      <c r="V127" s="1283"/>
      <c r="W127" s="1283"/>
      <c r="X127" s="1283"/>
      <c r="Y127" s="1283"/>
      <c r="Z127" s="1283"/>
      <c r="AA127" s="1283"/>
      <c r="AB127" s="1283"/>
      <c r="AC127" s="1283"/>
      <c r="AD127" s="1283"/>
      <c r="AE127" s="1283"/>
      <c r="AF127" s="1283"/>
      <c r="AG127" s="1283"/>
      <c r="AH127" s="1283"/>
      <c r="AI127" s="1283"/>
      <c r="AJ127" s="1283"/>
      <c r="AK127" s="1283"/>
      <c r="AL127" s="1283"/>
      <c r="AM127" s="1283"/>
      <c r="AN127" s="1283"/>
      <c r="AO127" s="1283"/>
      <c r="AP127" s="1283"/>
      <c r="AQ127" s="1283"/>
      <c r="AR127" s="1283"/>
      <c r="AS127" s="1283"/>
      <c r="AT127" s="1283"/>
      <c r="AU127" s="1283"/>
      <c r="AV127" s="1283"/>
      <c r="AW127" s="1283"/>
      <c r="AX127" s="1283"/>
      <c r="AY127" s="1283"/>
      <c r="AZ127" s="1283"/>
      <c r="BA127" s="1283"/>
      <c r="BB127" s="1283"/>
      <c r="BC127" s="1283"/>
      <c r="BD127" s="1283"/>
      <c r="BE127" s="1283"/>
      <c r="BF127" s="1283"/>
      <c r="BG127" s="1283"/>
      <c r="BH127" s="1283"/>
      <c r="BI127" s="1283"/>
      <c r="BJ127" s="1283"/>
      <c r="BK127" s="1283"/>
      <c r="BL127" s="1283"/>
      <c r="BM127" s="1283"/>
      <c r="BN127" s="1283"/>
      <c r="BO127" s="1283"/>
      <c r="BP127" s="1283"/>
      <c r="BQ127" s="1283"/>
      <c r="BR127" s="1283"/>
      <c r="BS127" s="1283"/>
      <c r="BT127" s="1283"/>
      <c r="BU127" s="1283"/>
      <c r="BV127" s="1283"/>
      <c r="BW127" s="1283"/>
      <c r="BX127" s="1283"/>
      <c r="BY127" s="1283"/>
      <c r="BZ127" s="1283"/>
      <c r="CA127" s="1283"/>
      <c r="CB127" s="1283"/>
      <c r="CC127" s="1283"/>
      <c r="CD127" s="1283"/>
      <c r="CE127" s="1283"/>
      <c r="CF127" s="1283"/>
      <c r="CG127" s="1283"/>
      <c r="CH127" s="1283"/>
      <c r="CI127" s="1283"/>
      <c r="CJ127" s="1283"/>
      <c r="CK127" s="1283"/>
    </row>
    <row r="128" spans="1:89" s="678" customFormat="1" ht="15" x14ac:dyDescent="0.2">
      <c r="A128" s="1302"/>
      <c r="B128" s="1245" t="s">
        <v>24</v>
      </c>
      <c r="C128" s="1284">
        <v>1</v>
      </c>
      <c r="D128" s="1285" t="s">
        <v>25</v>
      </c>
      <c r="E128" s="1286">
        <v>2572150</v>
      </c>
      <c r="F128" s="1286"/>
      <c r="G128" s="1286"/>
      <c r="H128" s="1286"/>
      <c r="I128" s="1286"/>
      <c r="J128" s="1286">
        <f>C128*E128</f>
        <v>2572150</v>
      </c>
      <c r="K128" s="1286">
        <f>J128</f>
        <v>2572150</v>
      </c>
      <c r="L128" s="1286"/>
      <c r="M128" s="1286"/>
      <c r="N128" s="1286"/>
      <c r="O128" s="1287">
        <f>K128</f>
        <v>2572150</v>
      </c>
      <c r="P128" s="850"/>
      <c r="Q128" s="1283"/>
      <c r="R128" s="1283"/>
      <c r="S128" s="1283"/>
      <c r="T128" s="1283"/>
      <c r="U128" s="1283"/>
      <c r="V128" s="1283"/>
      <c r="W128" s="1283"/>
      <c r="X128" s="1283"/>
      <c r="Y128" s="1283"/>
      <c r="Z128" s="1283"/>
      <c r="AA128" s="1283"/>
      <c r="AB128" s="1283"/>
      <c r="AC128" s="1283"/>
      <c r="AD128" s="1283"/>
      <c r="AE128" s="1283"/>
      <c r="AF128" s="1283"/>
      <c r="AG128" s="1283"/>
      <c r="AH128" s="1283"/>
      <c r="AI128" s="1283"/>
      <c r="AJ128" s="1283"/>
      <c r="AK128" s="1283"/>
      <c r="AL128" s="1283"/>
      <c r="AM128" s="1283"/>
      <c r="AN128" s="1283"/>
      <c r="AO128" s="1283"/>
      <c r="AP128" s="1283"/>
      <c r="AQ128" s="1283"/>
      <c r="AR128" s="1283"/>
      <c r="AS128" s="1283"/>
      <c r="AT128" s="1283"/>
      <c r="AU128" s="1283"/>
      <c r="AV128" s="1283"/>
      <c r="AW128" s="1283"/>
      <c r="AX128" s="1283"/>
      <c r="AY128" s="1283"/>
      <c r="AZ128" s="1283"/>
      <c r="BA128" s="1283"/>
      <c r="BB128" s="1283"/>
      <c r="BC128" s="1283"/>
      <c r="BD128" s="1283"/>
      <c r="BE128" s="1283"/>
      <c r="BF128" s="1283"/>
      <c r="BG128" s="1283"/>
      <c r="BH128" s="1283"/>
      <c r="BI128" s="1283"/>
      <c r="BJ128" s="1283"/>
      <c r="BK128" s="1283"/>
      <c r="BL128" s="1283"/>
      <c r="BM128" s="1283"/>
      <c r="BN128" s="1283"/>
      <c r="BO128" s="1283"/>
      <c r="BP128" s="1283"/>
      <c r="BQ128" s="1283"/>
      <c r="BR128" s="1283"/>
      <c r="BS128" s="1283"/>
      <c r="BT128" s="1283"/>
      <c r="BU128" s="1283"/>
      <c r="BV128" s="1283"/>
      <c r="BW128" s="1283"/>
      <c r="BX128" s="1283"/>
      <c r="BY128" s="1283"/>
      <c r="BZ128" s="1283"/>
      <c r="CA128" s="1283"/>
      <c r="CB128" s="1283"/>
      <c r="CC128" s="1283"/>
      <c r="CD128" s="1283"/>
      <c r="CE128" s="1283"/>
      <c r="CF128" s="1283"/>
      <c r="CG128" s="1283"/>
      <c r="CH128" s="1283"/>
      <c r="CI128" s="1283"/>
      <c r="CJ128" s="1283"/>
      <c r="CK128" s="1283"/>
    </row>
    <row r="129" spans="1:89" s="678" customFormat="1" ht="20.25" customHeight="1" x14ac:dyDescent="0.2">
      <c r="A129" s="1302"/>
      <c r="B129" s="689" t="s">
        <v>585</v>
      </c>
      <c r="C129" s="1284"/>
      <c r="D129" s="1285"/>
      <c r="E129" s="1286"/>
      <c r="F129" s="1286"/>
      <c r="G129" s="1286"/>
      <c r="H129" s="1286"/>
      <c r="I129" s="1286"/>
      <c r="J129" s="1286"/>
      <c r="K129" s="1286"/>
      <c r="L129" s="1286"/>
      <c r="M129" s="1286"/>
      <c r="N129" s="1286"/>
      <c r="O129" s="1287"/>
      <c r="P129" s="850"/>
      <c r="Q129" s="1283"/>
      <c r="R129" s="1283"/>
      <c r="S129" s="1283"/>
      <c r="T129" s="1283"/>
      <c r="U129" s="1283"/>
      <c r="V129" s="1283"/>
      <c r="W129" s="1283"/>
      <c r="X129" s="1283"/>
      <c r="Y129" s="1283"/>
      <c r="Z129" s="1283"/>
      <c r="AA129" s="1283"/>
      <c r="AB129" s="1283"/>
      <c r="AC129" s="1283"/>
      <c r="AD129" s="1283"/>
      <c r="AE129" s="1283"/>
      <c r="AF129" s="1283"/>
      <c r="AG129" s="1283"/>
      <c r="AH129" s="1283"/>
      <c r="AI129" s="1283"/>
      <c r="AJ129" s="1283"/>
      <c r="AK129" s="1283"/>
      <c r="AL129" s="1283"/>
      <c r="AM129" s="1283"/>
      <c r="AN129" s="1283"/>
      <c r="AO129" s="1283"/>
      <c r="AP129" s="1283"/>
      <c r="AQ129" s="1283"/>
      <c r="AR129" s="1283"/>
      <c r="AS129" s="1283"/>
      <c r="AT129" s="1283"/>
      <c r="AU129" s="1283"/>
      <c r="AV129" s="1283"/>
      <c r="AW129" s="1283"/>
      <c r="AX129" s="1283"/>
      <c r="AY129" s="1283"/>
      <c r="AZ129" s="1283"/>
      <c r="BA129" s="1283"/>
      <c r="BB129" s="1283"/>
      <c r="BC129" s="1283"/>
      <c r="BD129" s="1283"/>
      <c r="BE129" s="1283"/>
      <c r="BF129" s="1283"/>
      <c r="BG129" s="1283"/>
      <c r="BH129" s="1283"/>
      <c r="BI129" s="1283"/>
      <c r="BJ129" s="1283"/>
      <c r="BK129" s="1283"/>
      <c r="BL129" s="1283"/>
      <c r="BM129" s="1283"/>
      <c r="BN129" s="1283"/>
      <c r="BO129" s="1283"/>
      <c r="BP129" s="1283"/>
      <c r="BQ129" s="1283"/>
      <c r="BR129" s="1283"/>
      <c r="BS129" s="1283"/>
      <c r="BT129" s="1283"/>
      <c r="BU129" s="1283"/>
      <c r="BV129" s="1283"/>
      <c r="BW129" s="1283"/>
      <c r="BX129" s="1283"/>
      <c r="BY129" s="1283"/>
      <c r="BZ129" s="1283"/>
      <c r="CA129" s="1283"/>
      <c r="CB129" s="1283"/>
      <c r="CC129" s="1283"/>
      <c r="CD129" s="1283"/>
      <c r="CE129" s="1283"/>
      <c r="CF129" s="1283"/>
      <c r="CG129" s="1283"/>
      <c r="CH129" s="1283"/>
      <c r="CI129" s="1283"/>
      <c r="CJ129" s="1283"/>
      <c r="CK129" s="1283"/>
    </row>
    <row r="130" spans="1:89" s="678" customFormat="1" ht="20.25" customHeight="1" x14ac:dyDescent="0.2">
      <c r="A130" s="1302"/>
      <c r="B130" s="1245" t="s">
        <v>1494</v>
      </c>
      <c r="C130" s="1284"/>
      <c r="D130" s="1285"/>
      <c r="E130" s="1286"/>
      <c r="F130" s="1286"/>
      <c r="G130" s="1286"/>
      <c r="H130" s="1286"/>
      <c r="I130" s="1286"/>
      <c r="J130" s="1286"/>
      <c r="K130" s="1286"/>
      <c r="L130" s="1286"/>
      <c r="M130" s="1286"/>
      <c r="N130" s="1286"/>
      <c r="O130" s="1287"/>
      <c r="P130" s="850"/>
      <c r="Q130" s="1283"/>
      <c r="R130" s="1283"/>
      <c r="S130" s="1283"/>
      <c r="T130" s="1283"/>
      <c r="U130" s="1283"/>
      <c r="V130" s="1283"/>
      <c r="W130" s="1283"/>
      <c r="X130" s="1283"/>
      <c r="Y130" s="1283"/>
      <c r="Z130" s="1283"/>
      <c r="AA130" s="1283"/>
      <c r="AB130" s="1283"/>
      <c r="AC130" s="1283"/>
      <c r="AD130" s="1283"/>
      <c r="AE130" s="1283"/>
      <c r="AF130" s="1283"/>
      <c r="AG130" s="1283"/>
      <c r="AH130" s="1283"/>
      <c r="AI130" s="1283"/>
      <c r="AJ130" s="1283"/>
      <c r="AK130" s="1283"/>
      <c r="AL130" s="1283"/>
      <c r="AM130" s="1283"/>
      <c r="AN130" s="1283"/>
      <c r="AO130" s="1283"/>
      <c r="AP130" s="1283"/>
      <c r="AQ130" s="1283"/>
      <c r="AR130" s="1283"/>
      <c r="AS130" s="1283"/>
      <c r="AT130" s="1283"/>
      <c r="AU130" s="1283"/>
      <c r="AV130" s="1283"/>
      <c r="AW130" s="1283"/>
      <c r="AX130" s="1283"/>
      <c r="AY130" s="1283"/>
      <c r="AZ130" s="1283"/>
      <c r="BA130" s="1283"/>
      <c r="BB130" s="1283"/>
      <c r="BC130" s="1283"/>
      <c r="BD130" s="1283"/>
      <c r="BE130" s="1283"/>
      <c r="BF130" s="1283"/>
      <c r="BG130" s="1283"/>
      <c r="BH130" s="1283"/>
      <c r="BI130" s="1283"/>
      <c r="BJ130" s="1283"/>
      <c r="BK130" s="1283"/>
      <c r="BL130" s="1283"/>
      <c r="BM130" s="1283"/>
      <c r="BN130" s="1283"/>
      <c r="BO130" s="1283"/>
      <c r="BP130" s="1283"/>
      <c r="BQ130" s="1283"/>
      <c r="BR130" s="1283"/>
      <c r="BS130" s="1283"/>
      <c r="BT130" s="1283"/>
      <c r="BU130" s="1283"/>
      <c r="BV130" s="1283"/>
      <c r="BW130" s="1283"/>
      <c r="BX130" s="1283"/>
      <c r="BY130" s="1283"/>
      <c r="BZ130" s="1283"/>
      <c r="CA130" s="1283"/>
      <c r="CB130" s="1283"/>
      <c r="CC130" s="1283"/>
      <c r="CD130" s="1283"/>
      <c r="CE130" s="1283"/>
      <c r="CF130" s="1283"/>
      <c r="CG130" s="1283"/>
      <c r="CH130" s="1283"/>
      <c r="CI130" s="1283"/>
      <c r="CJ130" s="1283"/>
      <c r="CK130" s="1283"/>
    </row>
    <row r="131" spans="1:89" s="678" customFormat="1" ht="20.25" customHeight="1" x14ac:dyDescent="0.2">
      <c r="A131" s="1302"/>
      <c r="B131" s="1245" t="s">
        <v>1495</v>
      </c>
      <c r="C131" s="1284"/>
      <c r="D131" s="1285"/>
      <c r="E131" s="1286"/>
      <c r="F131" s="1286"/>
      <c r="G131" s="1286"/>
      <c r="H131" s="1286"/>
      <c r="I131" s="1286"/>
      <c r="J131" s="1286"/>
      <c r="K131" s="1286"/>
      <c r="L131" s="1286"/>
      <c r="M131" s="1286"/>
      <c r="N131" s="1286"/>
      <c r="O131" s="1287"/>
      <c r="P131" s="850"/>
      <c r="Q131" s="1283"/>
      <c r="R131" s="1283"/>
      <c r="S131" s="1283"/>
      <c r="T131" s="1283"/>
      <c r="U131" s="1283"/>
      <c r="V131" s="1283"/>
      <c r="W131" s="1283"/>
      <c r="X131" s="1283"/>
      <c r="Y131" s="1283"/>
      <c r="Z131" s="1283"/>
      <c r="AA131" s="1283"/>
      <c r="AB131" s="1283"/>
      <c r="AC131" s="1283"/>
      <c r="AD131" s="1283"/>
      <c r="AE131" s="1283"/>
      <c r="AF131" s="1283"/>
      <c r="AG131" s="1283"/>
      <c r="AH131" s="1283"/>
      <c r="AI131" s="1283"/>
      <c r="AJ131" s="1283"/>
      <c r="AK131" s="1283"/>
      <c r="AL131" s="1283"/>
      <c r="AM131" s="1283"/>
      <c r="AN131" s="1283"/>
      <c r="AO131" s="1283"/>
      <c r="AP131" s="1283"/>
      <c r="AQ131" s="1283"/>
      <c r="AR131" s="1283"/>
      <c r="AS131" s="1283"/>
      <c r="AT131" s="1283"/>
      <c r="AU131" s="1283"/>
      <c r="AV131" s="1283"/>
      <c r="AW131" s="1283"/>
      <c r="AX131" s="1283"/>
      <c r="AY131" s="1283"/>
      <c r="AZ131" s="1283"/>
      <c r="BA131" s="1283"/>
      <c r="BB131" s="1283"/>
      <c r="BC131" s="1283"/>
      <c r="BD131" s="1283"/>
      <c r="BE131" s="1283"/>
      <c r="BF131" s="1283"/>
      <c r="BG131" s="1283"/>
      <c r="BH131" s="1283"/>
      <c r="BI131" s="1283"/>
      <c r="BJ131" s="1283"/>
      <c r="BK131" s="1283"/>
      <c r="BL131" s="1283"/>
      <c r="BM131" s="1283"/>
      <c r="BN131" s="1283"/>
      <c r="BO131" s="1283"/>
      <c r="BP131" s="1283"/>
      <c r="BQ131" s="1283"/>
      <c r="BR131" s="1283"/>
      <c r="BS131" s="1283"/>
      <c r="BT131" s="1283"/>
      <c r="BU131" s="1283"/>
      <c r="BV131" s="1283"/>
      <c r="BW131" s="1283"/>
      <c r="BX131" s="1283"/>
      <c r="BY131" s="1283"/>
      <c r="BZ131" s="1283"/>
      <c r="CA131" s="1283"/>
      <c r="CB131" s="1283"/>
      <c r="CC131" s="1283"/>
      <c r="CD131" s="1283"/>
      <c r="CE131" s="1283"/>
      <c r="CF131" s="1283"/>
      <c r="CG131" s="1283"/>
      <c r="CH131" s="1283"/>
      <c r="CI131" s="1283"/>
      <c r="CJ131" s="1283"/>
      <c r="CK131" s="1283"/>
    </row>
    <row r="132" spans="1:89" s="678" customFormat="1" ht="20.25" customHeight="1" x14ac:dyDescent="0.2">
      <c r="A132" s="1302"/>
      <c r="B132" s="1245"/>
      <c r="C132" s="1284"/>
      <c r="D132" s="1285"/>
      <c r="E132" s="1286"/>
      <c r="F132" s="1286"/>
      <c r="G132" s="1286"/>
      <c r="H132" s="1286"/>
      <c r="I132" s="1286"/>
      <c r="J132" s="1286"/>
      <c r="K132" s="1286"/>
      <c r="L132" s="1286"/>
      <c r="M132" s="1286"/>
      <c r="N132" s="1286"/>
      <c r="O132" s="1287"/>
      <c r="P132" s="850"/>
      <c r="Q132" s="1283"/>
      <c r="R132" s="1283"/>
      <c r="S132" s="1283"/>
      <c r="T132" s="1283"/>
      <c r="U132" s="1283"/>
      <c r="V132" s="1283"/>
      <c r="W132" s="1283"/>
      <c r="X132" s="1283"/>
      <c r="Y132" s="1283"/>
      <c r="Z132" s="1283"/>
      <c r="AA132" s="1283"/>
      <c r="AB132" s="1283"/>
      <c r="AC132" s="1283"/>
      <c r="AD132" s="1283"/>
      <c r="AE132" s="1283"/>
      <c r="AF132" s="1283"/>
      <c r="AG132" s="1283"/>
      <c r="AH132" s="1283"/>
      <c r="AI132" s="1283"/>
      <c r="AJ132" s="1283"/>
      <c r="AK132" s="1283"/>
      <c r="AL132" s="1283"/>
      <c r="AM132" s="1283"/>
      <c r="AN132" s="1283"/>
      <c r="AO132" s="1283"/>
      <c r="AP132" s="1283"/>
      <c r="AQ132" s="1283"/>
      <c r="AR132" s="1283"/>
      <c r="AS132" s="1283"/>
      <c r="AT132" s="1283"/>
      <c r="AU132" s="1283"/>
      <c r="AV132" s="1283"/>
      <c r="AW132" s="1283"/>
      <c r="AX132" s="1283"/>
      <c r="AY132" s="1283"/>
      <c r="AZ132" s="1283"/>
      <c r="BA132" s="1283"/>
      <c r="BB132" s="1283"/>
      <c r="BC132" s="1283"/>
      <c r="BD132" s="1283"/>
      <c r="BE132" s="1283"/>
      <c r="BF132" s="1283"/>
      <c r="BG132" s="1283"/>
      <c r="BH132" s="1283"/>
      <c r="BI132" s="1283"/>
      <c r="BJ132" s="1283"/>
      <c r="BK132" s="1283"/>
      <c r="BL132" s="1283"/>
      <c r="BM132" s="1283"/>
      <c r="BN132" s="1283"/>
      <c r="BO132" s="1283"/>
      <c r="BP132" s="1283"/>
      <c r="BQ132" s="1283"/>
      <c r="BR132" s="1283"/>
      <c r="BS132" s="1283"/>
      <c r="BT132" s="1283"/>
      <c r="BU132" s="1283"/>
      <c r="BV132" s="1283"/>
      <c r="BW132" s="1283"/>
      <c r="BX132" s="1283"/>
      <c r="BY132" s="1283"/>
      <c r="BZ132" s="1283"/>
      <c r="CA132" s="1283"/>
      <c r="CB132" s="1283"/>
      <c r="CC132" s="1283"/>
      <c r="CD132" s="1283"/>
      <c r="CE132" s="1283"/>
      <c r="CF132" s="1283"/>
      <c r="CG132" s="1283"/>
      <c r="CH132" s="1283"/>
      <c r="CI132" s="1283"/>
      <c r="CJ132" s="1283"/>
      <c r="CK132" s="1283"/>
    </row>
    <row r="133" spans="1:89" s="678" customFormat="1" ht="20.25" customHeight="1" x14ac:dyDescent="0.2">
      <c r="A133" s="1302">
        <v>2</v>
      </c>
      <c r="B133" s="1245" t="s">
        <v>19</v>
      </c>
      <c r="C133" s="1284"/>
      <c r="D133" s="1285"/>
      <c r="E133" s="1286"/>
      <c r="F133" s="1286"/>
      <c r="G133" s="1286"/>
      <c r="H133" s="1286"/>
      <c r="I133" s="1286"/>
      <c r="J133" s="1286"/>
      <c r="K133" s="1286"/>
      <c r="L133" s="1286"/>
      <c r="M133" s="1286"/>
      <c r="N133" s="1286"/>
      <c r="O133" s="1287"/>
      <c r="P133" s="850"/>
      <c r="Q133" s="1283"/>
      <c r="R133" s="1283"/>
      <c r="S133" s="1283"/>
      <c r="T133" s="1283"/>
      <c r="U133" s="1283"/>
      <c r="V133" s="1283"/>
      <c r="W133" s="1283"/>
      <c r="X133" s="1283"/>
      <c r="Y133" s="1283"/>
      <c r="Z133" s="1283"/>
      <c r="AA133" s="1283"/>
      <c r="AB133" s="1283"/>
      <c r="AC133" s="1283"/>
      <c r="AD133" s="1283"/>
      <c r="AE133" s="1283"/>
      <c r="AF133" s="1283"/>
      <c r="AG133" s="1283"/>
      <c r="AH133" s="1283"/>
      <c r="AI133" s="1283"/>
      <c r="AJ133" s="1283"/>
      <c r="AK133" s="1283"/>
      <c r="AL133" s="1283"/>
      <c r="AM133" s="1283"/>
      <c r="AN133" s="1283"/>
      <c r="AO133" s="1283"/>
      <c r="AP133" s="1283"/>
      <c r="AQ133" s="1283"/>
      <c r="AR133" s="1283"/>
      <c r="AS133" s="1283"/>
      <c r="AT133" s="1283"/>
      <c r="AU133" s="1283"/>
      <c r="AV133" s="1283"/>
      <c r="AW133" s="1283"/>
      <c r="AX133" s="1283"/>
      <c r="AY133" s="1283"/>
      <c r="AZ133" s="1283"/>
      <c r="BA133" s="1283"/>
      <c r="BB133" s="1283"/>
      <c r="BC133" s="1283"/>
      <c r="BD133" s="1283"/>
      <c r="BE133" s="1283"/>
      <c r="BF133" s="1283"/>
      <c r="BG133" s="1283"/>
      <c r="BH133" s="1283"/>
      <c r="BI133" s="1283"/>
      <c r="BJ133" s="1283"/>
      <c r="BK133" s="1283"/>
      <c r="BL133" s="1283"/>
      <c r="BM133" s="1283"/>
      <c r="BN133" s="1283"/>
      <c r="BO133" s="1283"/>
      <c r="BP133" s="1283"/>
      <c r="BQ133" s="1283"/>
      <c r="BR133" s="1283"/>
      <c r="BS133" s="1283"/>
      <c r="BT133" s="1283"/>
      <c r="BU133" s="1283"/>
      <c r="BV133" s="1283"/>
      <c r="BW133" s="1283"/>
      <c r="BX133" s="1283"/>
      <c r="BY133" s="1283"/>
      <c r="BZ133" s="1283"/>
      <c r="CA133" s="1283"/>
      <c r="CB133" s="1283"/>
      <c r="CC133" s="1283"/>
      <c r="CD133" s="1283"/>
      <c r="CE133" s="1283"/>
      <c r="CF133" s="1283"/>
      <c r="CG133" s="1283"/>
      <c r="CH133" s="1283"/>
      <c r="CI133" s="1283"/>
      <c r="CJ133" s="1283"/>
      <c r="CK133" s="1283"/>
    </row>
    <row r="134" spans="1:89" s="678" customFormat="1" ht="20.25" customHeight="1" x14ac:dyDescent="0.2">
      <c r="A134" s="1302"/>
      <c r="B134" s="1245" t="s">
        <v>26</v>
      </c>
      <c r="C134" s="1284">
        <v>1</v>
      </c>
      <c r="D134" s="1285" t="s">
        <v>25</v>
      </c>
      <c r="E134" s="1286">
        <v>40000</v>
      </c>
      <c r="F134" s="1286"/>
      <c r="G134" s="1286"/>
      <c r="H134" s="1286"/>
      <c r="I134" s="1286"/>
      <c r="J134" s="1286">
        <f>C134*E134</f>
        <v>40000</v>
      </c>
      <c r="K134" s="1286">
        <f>J134</f>
        <v>40000</v>
      </c>
      <c r="L134" s="1286"/>
      <c r="M134" s="1286"/>
      <c r="N134" s="1286"/>
      <c r="O134" s="1287">
        <f>K134</f>
        <v>40000</v>
      </c>
      <c r="P134" s="850"/>
      <c r="Q134" s="1283"/>
      <c r="R134" s="1283"/>
      <c r="S134" s="1283"/>
      <c r="T134" s="1283"/>
      <c r="U134" s="1283"/>
      <c r="V134" s="1283"/>
      <c r="W134" s="1283"/>
      <c r="X134" s="1283"/>
      <c r="Y134" s="1283"/>
      <c r="Z134" s="1283"/>
      <c r="AA134" s="1283"/>
      <c r="AB134" s="1283"/>
      <c r="AC134" s="1283"/>
      <c r="AD134" s="1283"/>
      <c r="AE134" s="1283"/>
      <c r="AF134" s="1283"/>
      <c r="AG134" s="1283"/>
      <c r="AH134" s="1283"/>
      <c r="AI134" s="1283"/>
      <c r="AJ134" s="1283"/>
      <c r="AK134" s="1283"/>
      <c r="AL134" s="1283"/>
      <c r="AM134" s="1283"/>
      <c r="AN134" s="1283"/>
      <c r="AO134" s="1283"/>
      <c r="AP134" s="1283"/>
      <c r="AQ134" s="1283"/>
      <c r="AR134" s="1283"/>
      <c r="AS134" s="1283"/>
      <c r="AT134" s="1283"/>
      <c r="AU134" s="1283"/>
      <c r="AV134" s="1283"/>
      <c r="AW134" s="1283"/>
      <c r="AX134" s="1283"/>
      <c r="AY134" s="1283"/>
      <c r="AZ134" s="1283"/>
      <c r="BA134" s="1283"/>
      <c r="BB134" s="1283"/>
      <c r="BC134" s="1283"/>
      <c r="BD134" s="1283"/>
      <c r="BE134" s="1283"/>
      <c r="BF134" s="1283"/>
      <c r="BG134" s="1283"/>
      <c r="BH134" s="1283"/>
      <c r="BI134" s="1283"/>
      <c r="BJ134" s="1283"/>
      <c r="BK134" s="1283"/>
      <c r="BL134" s="1283"/>
      <c r="BM134" s="1283"/>
      <c r="BN134" s="1283"/>
      <c r="BO134" s="1283"/>
      <c r="BP134" s="1283"/>
      <c r="BQ134" s="1283"/>
      <c r="BR134" s="1283"/>
      <c r="BS134" s="1283"/>
      <c r="BT134" s="1283"/>
      <c r="BU134" s="1283"/>
      <c r="BV134" s="1283"/>
      <c r="BW134" s="1283"/>
      <c r="BX134" s="1283"/>
      <c r="BY134" s="1283"/>
      <c r="BZ134" s="1283"/>
      <c r="CA134" s="1283"/>
      <c r="CB134" s="1283"/>
      <c r="CC134" s="1283"/>
      <c r="CD134" s="1283"/>
      <c r="CE134" s="1283"/>
      <c r="CF134" s="1283"/>
      <c r="CG134" s="1283"/>
      <c r="CH134" s="1283"/>
      <c r="CI134" s="1283"/>
      <c r="CJ134" s="1283"/>
      <c r="CK134" s="1283"/>
    </row>
    <row r="135" spans="1:89" s="678" customFormat="1" ht="20.25" customHeight="1" x14ac:dyDescent="0.2">
      <c r="A135" s="1302"/>
      <c r="B135" s="689"/>
      <c r="C135" s="1284"/>
      <c r="D135" s="1285"/>
      <c r="E135" s="1286"/>
      <c r="F135" s="1286"/>
      <c r="G135" s="1286"/>
      <c r="H135" s="1286"/>
      <c r="I135" s="1286"/>
      <c r="J135" s="1286"/>
      <c r="K135" s="1286"/>
      <c r="L135" s="1286"/>
      <c r="M135" s="1286"/>
      <c r="N135" s="1286"/>
      <c r="O135" s="1287"/>
      <c r="P135" s="850"/>
      <c r="Q135" s="1283"/>
      <c r="R135" s="1283"/>
      <c r="S135" s="1283"/>
      <c r="T135" s="1283"/>
      <c r="U135" s="1283"/>
      <c r="V135" s="1283"/>
      <c r="W135" s="1283"/>
      <c r="X135" s="1283"/>
      <c r="Y135" s="1283"/>
      <c r="Z135" s="1283"/>
      <c r="AA135" s="1283"/>
      <c r="AB135" s="1283"/>
      <c r="AC135" s="1283"/>
      <c r="AD135" s="1283"/>
      <c r="AE135" s="1283"/>
      <c r="AF135" s="1283"/>
      <c r="AG135" s="1283"/>
      <c r="AH135" s="1283"/>
      <c r="AI135" s="1283"/>
      <c r="AJ135" s="1283"/>
      <c r="AK135" s="1283"/>
      <c r="AL135" s="1283"/>
      <c r="AM135" s="1283"/>
      <c r="AN135" s="1283"/>
      <c r="AO135" s="1283"/>
      <c r="AP135" s="1283"/>
      <c r="AQ135" s="1283"/>
      <c r="AR135" s="1283"/>
      <c r="AS135" s="1283"/>
      <c r="AT135" s="1283"/>
      <c r="AU135" s="1283"/>
      <c r="AV135" s="1283"/>
      <c r="AW135" s="1283"/>
      <c r="AX135" s="1283"/>
      <c r="AY135" s="1283"/>
      <c r="AZ135" s="1283"/>
      <c r="BA135" s="1283"/>
      <c r="BB135" s="1283"/>
      <c r="BC135" s="1283"/>
      <c r="BD135" s="1283"/>
      <c r="BE135" s="1283"/>
      <c r="BF135" s="1283"/>
      <c r="BG135" s="1283"/>
      <c r="BH135" s="1283"/>
      <c r="BI135" s="1283"/>
      <c r="BJ135" s="1283"/>
      <c r="BK135" s="1283"/>
      <c r="BL135" s="1283"/>
      <c r="BM135" s="1283"/>
      <c r="BN135" s="1283"/>
      <c r="BO135" s="1283"/>
      <c r="BP135" s="1283"/>
      <c r="BQ135" s="1283"/>
      <c r="BR135" s="1283"/>
      <c r="BS135" s="1283"/>
      <c r="BT135" s="1283"/>
      <c r="BU135" s="1283"/>
      <c r="BV135" s="1283"/>
      <c r="BW135" s="1283"/>
      <c r="BX135" s="1283"/>
      <c r="BY135" s="1283"/>
      <c r="BZ135" s="1283"/>
      <c r="CA135" s="1283"/>
      <c r="CB135" s="1283"/>
      <c r="CC135" s="1283"/>
      <c r="CD135" s="1283"/>
      <c r="CE135" s="1283"/>
      <c r="CF135" s="1283"/>
      <c r="CG135" s="1283"/>
      <c r="CH135" s="1283"/>
      <c r="CI135" s="1283"/>
      <c r="CJ135" s="1283"/>
      <c r="CK135" s="1283"/>
    </row>
    <row r="136" spans="1:89" s="1276" customFormat="1" ht="20.25" customHeight="1" x14ac:dyDescent="0.2">
      <c r="A136" s="1269" t="s">
        <v>586</v>
      </c>
      <c r="B136" s="1270" t="s">
        <v>29</v>
      </c>
      <c r="C136" s="1271"/>
      <c r="D136" s="1272"/>
      <c r="E136" s="1273"/>
      <c r="F136" s="1273">
        <f>SUM(F137:F169)</f>
        <v>0</v>
      </c>
      <c r="G136" s="1273">
        <f>SUM(G137:G169)</f>
        <v>0</v>
      </c>
      <c r="H136" s="1273">
        <f>F136+G136</f>
        <v>0</v>
      </c>
      <c r="I136" s="1273">
        <f>SUM(I137:I169)</f>
        <v>0</v>
      </c>
      <c r="J136" s="1273">
        <f>SUM(J137:J169)</f>
        <v>542703</v>
      </c>
      <c r="K136" s="1273">
        <f>I136+J136</f>
        <v>542703</v>
      </c>
      <c r="L136" s="1273">
        <f>SUM(L137:L169)</f>
        <v>0</v>
      </c>
      <c r="M136" s="1273">
        <f>SUM(M137:M169)</f>
        <v>0</v>
      </c>
      <c r="N136" s="1273">
        <f>L136+M136</f>
        <v>0</v>
      </c>
      <c r="O136" s="1274">
        <f>N136+K136+H136</f>
        <v>542703</v>
      </c>
      <c r="P136" s="1275"/>
      <c r="Q136" s="1824"/>
      <c r="R136" s="1824"/>
      <c r="S136" s="1824"/>
      <c r="T136" s="1824"/>
      <c r="U136" s="1824"/>
      <c r="V136" s="1824"/>
      <c r="W136" s="1824"/>
      <c r="X136" s="1824"/>
      <c r="Y136" s="1824"/>
      <c r="Z136" s="1824"/>
      <c r="AA136" s="1824"/>
      <c r="AB136" s="1824"/>
      <c r="AC136" s="1824"/>
      <c r="AD136" s="1824"/>
      <c r="AE136" s="1824"/>
      <c r="AF136" s="1824"/>
      <c r="AG136" s="1824"/>
      <c r="AH136" s="1824"/>
      <c r="AI136" s="1824"/>
      <c r="AJ136" s="1824"/>
      <c r="AK136" s="1824"/>
      <c r="AL136" s="1824"/>
      <c r="AM136" s="1824"/>
      <c r="AN136" s="1824"/>
      <c r="AO136" s="1824"/>
      <c r="AP136" s="1824"/>
      <c r="AQ136" s="1824"/>
      <c r="AR136" s="1824"/>
      <c r="AS136" s="1824"/>
      <c r="AT136" s="1824"/>
      <c r="AU136" s="1824"/>
      <c r="AV136" s="1824"/>
      <c r="AW136" s="1824"/>
      <c r="AX136" s="1824"/>
      <c r="AY136" s="1824"/>
      <c r="AZ136" s="1824"/>
      <c r="BA136" s="1824"/>
      <c r="BB136" s="1824"/>
      <c r="BC136" s="1824"/>
      <c r="BD136" s="1824"/>
      <c r="BE136" s="1824"/>
      <c r="BF136" s="1824"/>
      <c r="BG136" s="1824"/>
      <c r="BH136" s="1824"/>
      <c r="BI136" s="1824"/>
      <c r="BJ136" s="1824"/>
      <c r="BK136" s="1824"/>
      <c r="BL136" s="1824"/>
      <c r="BM136" s="1824"/>
      <c r="BN136" s="1824"/>
      <c r="BO136" s="1824"/>
      <c r="BP136" s="1824"/>
      <c r="BQ136" s="1824"/>
      <c r="BR136" s="1824"/>
      <c r="BS136" s="1824"/>
      <c r="BT136" s="1824"/>
      <c r="BU136" s="1824"/>
      <c r="BV136" s="1824"/>
      <c r="BW136" s="1824"/>
      <c r="BX136" s="1824"/>
      <c r="BY136" s="1824"/>
      <c r="BZ136" s="1824"/>
      <c r="CA136" s="1824"/>
      <c r="CB136" s="1824"/>
      <c r="CC136" s="1824"/>
      <c r="CD136" s="1824"/>
      <c r="CE136" s="1824"/>
      <c r="CF136" s="1824"/>
      <c r="CG136" s="1824"/>
      <c r="CH136" s="1824"/>
      <c r="CI136" s="1824"/>
      <c r="CJ136" s="1824"/>
      <c r="CK136" s="1824"/>
    </row>
    <row r="137" spans="1:89" s="678" customFormat="1" ht="20.25" customHeight="1" x14ac:dyDescent="0.2">
      <c r="A137" s="1303"/>
      <c r="B137" s="1242"/>
      <c r="C137" s="1277"/>
      <c r="D137" s="1278"/>
      <c r="E137" s="1279"/>
      <c r="F137" s="1279"/>
      <c r="G137" s="1279"/>
      <c r="H137" s="1279"/>
      <c r="I137" s="1279"/>
      <c r="J137" s="1279"/>
      <c r="K137" s="1279"/>
      <c r="L137" s="1279"/>
      <c r="M137" s="1279"/>
      <c r="N137" s="1279"/>
      <c r="O137" s="1280"/>
      <c r="P137" s="850"/>
      <c r="Q137" s="1283"/>
      <c r="R137" s="1283"/>
      <c r="S137" s="1283"/>
      <c r="T137" s="1283"/>
      <c r="U137" s="1283"/>
      <c r="V137" s="1283"/>
      <c r="W137" s="1283"/>
      <c r="X137" s="1283"/>
      <c r="Y137" s="1283"/>
      <c r="Z137" s="1283"/>
      <c r="AA137" s="1283"/>
      <c r="AB137" s="1283"/>
      <c r="AC137" s="1283"/>
      <c r="AD137" s="1283"/>
      <c r="AE137" s="1283"/>
      <c r="AF137" s="1283"/>
      <c r="AG137" s="1283"/>
      <c r="AH137" s="1283"/>
      <c r="AI137" s="1283"/>
      <c r="AJ137" s="1283"/>
      <c r="AK137" s="1283"/>
      <c r="AL137" s="1283"/>
      <c r="AM137" s="1283"/>
      <c r="AN137" s="1283"/>
      <c r="AO137" s="1283"/>
      <c r="AP137" s="1283"/>
      <c r="AQ137" s="1283"/>
      <c r="AR137" s="1283"/>
      <c r="AS137" s="1283"/>
      <c r="AT137" s="1283"/>
      <c r="AU137" s="1283"/>
      <c r="AV137" s="1283"/>
      <c r="AW137" s="1283"/>
      <c r="AX137" s="1283"/>
      <c r="AY137" s="1283"/>
      <c r="AZ137" s="1283"/>
      <c r="BA137" s="1283"/>
      <c r="BB137" s="1283"/>
      <c r="BC137" s="1283"/>
      <c r="BD137" s="1283"/>
      <c r="BE137" s="1283"/>
      <c r="BF137" s="1283"/>
      <c r="BG137" s="1283"/>
      <c r="BH137" s="1283"/>
      <c r="BI137" s="1283"/>
      <c r="BJ137" s="1283"/>
      <c r="BK137" s="1283"/>
      <c r="BL137" s="1283"/>
      <c r="BM137" s="1283"/>
      <c r="BN137" s="1283"/>
      <c r="BO137" s="1283"/>
      <c r="BP137" s="1283"/>
      <c r="BQ137" s="1283"/>
      <c r="BR137" s="1283"/>
      <c r="BS137" s="1283"/>
      <c r="BT137" s="1283"/>
      <c r="BU137" s="1283"/>
      <c r="BV137" s="1283"/>
      <c r="BW137" s="1283"/>
      <c r="BX137" s="1283"/>
      <c r="BY137" s="1283"/>
      <c r="BZ137" s="1283"/>
      <c r="CA137" s="1283"/>
      <c r="CB137" s="1283"/>
      <c r="CC137" s="1283"/>
      <c r="CD137" s="1283"/>
      <c r="CE137" s="1283"/>
      <c r="CF137" s="1283"/>
      <c r="CG137" s="1283"/>
      <c r="CH137" s="1283"/>
      <c r="CI137" s="1283"/>
      <c r="CJ137" s="1283"/>
      <c r="CK137" s="1283"/>
    </row>
    <row r="138" spans="1:89" s="678" customFormat="1" ht="20.25" customHeight="1" x14ac:dyDescent="0.2">
      <c r="A138" s="1302">
        <v>1</v>
      </c>
      <c r="B138" s="1245" t="s">
        <v>19</v>
      </c>
      <c r="C138" s="1284"/>
      <c r="D138" s="1285"/>
      <c r="E138" s="1286"/>
      <c r="F138" s="1286"/>
      <c r="G138" s="1286"/>
      <c r="H138" s="1286"/>
      <c r="I138" s="1286"/>
      <c r="J138" s="1286"/>
      <c r="K138" s="1286"/>
      <c r="L138" s="1286"/>
      <c r="M138" s="1286"/>
      <c r="N138" s="1286"/>
      <c r="O138" s="1287"/>
      <c r="P138" s="850"/>
      <c r="Q138" s="1283"/>
      <c r="R138" s="1283"/>
      <c r="S138" s="1283"/>
      <c r="T138" s="1283"/>
      <c r="U138" s="1283"/>
      <c r="V138" s="1283"/>
      <c r="W138" s="1283"/>
      <c r="X138" s="1283"/>
      <c r="Y138" s="1283"/>
      <c r="Z138" s="1283"/>
      <c r="AA138" s="1283"/>
      <c r="AB138" s="1283"/>
      <c r="AC138" s="1283"/>
      <c r="AD138" s="1283"/>
      <c r="AE138" s="1283"/>
      <c r="AF138" s="1283"/>
      <c r="AG138" s="1283"/>
      <c r="AH138" s="1283"/>
      <c r="AI138" s="1283"/>
      <c r="AJ138" s="1283"/>
      <c r="AK138" s="1283"/>
      <c r="AL138" s="1283"/>
      <c r="AM138" s="1283"/>
      <c r="AN138" s="1283"/>
      <c r="AO138" s="1283"/>
      <c r="AP138" s="1283"/>
      <c r="AQ138" s="1283"/>
      <c r="AR138" s="1283"/>
      <c r="AS138" s="1283"/>
      <c r="AT138" s="1283"/>
      <c r="AU138" s="1283"/>
      <c r="AV138" s="1283"/>
      <c r="AW138" s="1283"/>
      <c r="AX138" s="1283"/>
      <c r="AY138" s="1283"/>
      <c r="AZ138" s="1283"/>
      <c r="BA138" s="1283"/>
      <c r="BB138" s="1283"/>
      <c r="BC138" s="1283"/>
      <c r="BD138" s="1283"/>
      <c r="BE138" s="1283"/>
      <c r="BF138" s="1283"/>
      <c r="BG138" s="1283"/>
      <c r="BH138" s="1283"/>
      <c r="BI138" s="1283"/>
      <c r="BJ138" s="1283"/>
      <c r="BK138" s="1283"/>
      <c r="BL138" s="1283"/>
      <c r="BM138" s="1283"/>
      <c r="BN138" s="1283"/>
      <c r="BO138" s="1283"/>
      <c r="BP138" s="1283"/>
      <c r="BQ138" s="1283"/>
      <c r="BR138" s="1283"/>
      <c r="BS138" s="1283"/>
      <c r="BT138" s="1283"/>
      <c r="BU138" s="1283"/>
      <c r="BV138" s="1283"/>
      <c r="BW138" s="1283"/>
      <c r="BX138" s="1283"/>
      <c r="BY138" s="1283"/>
      <c r="BZ138" s="1283"/>
      <c r="CA138" s="1283"/>
      <c r="CB138" s="1283"/>
      <c r="CC138" s="1283"/>
      <c r="CD138" s="1283"/>
      <c r="CE138" s="1283"/>
      <c r="CF138" s="1283"/>
      <c r="CG138" s="1283"/>
      <c r="CH138" s="1283"/>
      <c r="CI138" s="1283"/>
      <c r="CJ138" s="1283"/>
      <c r="CK138" s="1283"/>
    </row>
    <row r="139" spans="1:89" s="678" customFormat="1" ht="20.25" customHeight="1" x14ac:dyDescent="0.2">
      <c r="A139" s="1302"/>
      <c r="B139" s="1245" t="s">
        <v>30</v>
      </c>
      <c r="C139" s="1284">
        <v>12</v>
      </c>
      <c r="D139" s="1285" t="s">
        <v>20</v>
      </c>
      <c r="E139" s="1286">
        <v>2000</v>
      </c>
      <c r="F139" s="1286"/>
      <c r="G139" s="1286"/>
      <c r="H139" s="1286"/>
      <c r="I139" s="1286"/>
      <c r="J139" s="1286">
        <f>C139*E139</f>
        <v>24000</v>
      </c>
      <c r="K139" s="1286">
        <f>I139+J139</f>
        <v>24000</v>
      </c>
      <c r="L139" s="1286"/>
      <c r="M139" s="1286"/>
      <c r="N139" s="1286"/>
      <c r="O139" s="1287">
        <f>N139+K139+H139</f>
        <v>24000</v>
      </c>
      <c r="P139" s="850"/>
      <c r="Q139" s="1283"/>
      <c r="R139" s="1283"/>
      <c r="S139" s="1283"/>
      <c r="T139" s="1283"/>
      <c r="U139" s="1283"/>
      <c r="V139" s="1283"/>
      <c r="W139" s="1283"/>
      <c r="X139" s="1283"/>
      <c r="Y139" s="1283"/>
      <c r="Z139" s="1283"/>
      <c r="AA139" s="1283"/>
      <c r="AB139" s="1283"/>
      <c r="AC139" s="1283"/>
      <c r="AD139" s="1283"/>
      <c r="AE139" s="1283"/>
      <c r="AF139" s="1283"/>
      <c r="AG139" s="1283"/>
      <c r="AH139" s="1283"/>
      <c r="AI139" s="1283"/>
      <c r="AJ139" s="1283"/>
      <c r="AK139" s="1283"/>
      <c r="AL139" s="1283"/>
      <c r="AM139" s="1283"/>
      <c r="AN139" s="1283"/>
      <c r="AO139" s="1283"/>
      <c r="AP139" s="1283"/>
      <c r="AQ139" s="1283"/>
      <c r="AR139" s="1283"/>
      <c r="AS139" s="1283"/>
      <c r="AT139" s="1283"/>
      <c r="AU139" s="1283"/>
      <c r="AV139" s="1283"/>
      <c r="AW139" s="1283"/>
      <c r="AX139" s="1283"/>
      <c r="AY139" s="1283"/>
      <c r="AZ139" s="1283"/>
      <c r="BA139" s="1283"/>
      <c r="BB139" s="1283"/>
      <c r="BC139" s="1283"/>
      <c r="BD139" s="1283"/>
      <c r="BE139" s="1283"/>
      <c r="BF139" s="1283"/>
      <c r="BG139" s="1283"/>
      <c r="BH139" s="1283"/>
      <c r="BI139" s="1283"/>
      <c r="BJ139" s="1283"/>
      <c r="BK139" s="1283"/>
      <c r="BL139" s="1283"/>
      <c r="BM139" s="1283"/>
      <c r="BN139" s="1283"/>
      <c r="BO139" s="1283"/>
      <c r="BP139" s="1283"/>
      <c r="BQ139" s="1283"/>
      <c r="BR139" s="1283"/>
      <c r="BS139" s="1283"/>
      <c r="BT139" s="1283"/>
      <c r="BU139" s="1283"/>
      <c r="BV139" s="1283"/>
      <c r="BW139" s="1283"/>
      <c r="BX139" s="1283"/>
      <c r="BY139" s="1283"/>
      <c r="BZ139" s="1283"/>
      <c r="CA139" s="1283"/>
      <c r="CB139" s="1283"/>
      <c r="CC139" s="1283"/>
      <c r="CD139" s="1283"/>
      <c r="CE139" s="1283"/>
      <c r="CF139" s="1283"/>
      <c r="CG139" s="1283"/>
      <c r="CH139" s="1283"/>
      <c r="CI139" s="1283"/>
      <c r="CJ139" s="1283"/>
      <c r="CK139" s="1283"/>
    </row>
    <row r="140" spans="1:89" s="678" customFormat="1" ht="20.25" customHeight="1" x14ac:dyDescent="0.2">
      <c r="A140" s="1302"/>
      <c r="B140" s="1245" t="s">
        <v>31</v>
      </c>
      <c r="C140" s="1284">
        <v>12</v>
      </c>
      <c r="D140" s="1285" t="s">
        <v>20</v>
      </c>
      <c r="E140" s="1286">
        <v>1500</v>
      </c>
      <c r="F140" s="1286"/>
      <c r="G140" s="1286"/>
      <c r="H140" s="1286"/>
      <c r="I140" s="1286"/>
      <c r="J140" s="1286">
        <f>C140*E140</f>
        <v>18000</v>
      </c>
      <c r="K140" s="1286">
        <f>I140+J140</f>
        <v>18000</v>
      </c>
      <c r="L140" s="1286"/>
      <c r="M140" s="1286"/>
      <c r="N140" s="1286"/>
      <c r="O140" s="1287">
        <f>N140+K140+H140</f>
        <v>18000</v>
      </c>
      <c r="P140" s="850"/>
      <c r="Q140" s="1283"/>
      <c r="R140" s="1283"/>
      <c r="S140" s="1283"/>
      <c r="T140" s="1283"/>
      <c r="U140" s="1283"/>
      <c r="V140" s="1283"/>
      <c r="W140" s="1283"/>
      <c r="X140" s="1283"/>
      <c r="Y140" s="1283"/>
      <c r="Z140" s="1283"/>
      <c r="AA140" s="1283"/>
      <c r="AB140" s="1283"/>
      <c r="AC140" s="1283"/>
      <c r="AD140" s="1283"/>
      <c r="AE140" s="1283"/>
      <c r="AF140" s="1283"/>
      <c r="AG140" s="1283"/>
      <c r="AH140" s="1283"/>
      <c r="AI140" s="1283"/>
      <c r="AJ140" s="1283"/>
      <c r="AK140" s="1283"/>
      <c r="AL140" s="1283"/>
      <c r="AM140" s="1283"/>
      <c r="AN140" s="1283"/>
      <c r="AO140" s="1283"/>
      <c r="AP140" s="1283"/>
      <c r="AQ140" s="1283"/>
      <c r="AR140" s="1283"/>
      <c r="AS140" s="1283"/>
      <c r="AT140" s="1283"/>
      <c r="AU140" s="1283"/>
      <c r="AV140" s="1283"/>
      <c r="AW140" s="1283"/>
      <c r="AX140" s="1283"/>
      <c r="AY140" s="1283"/>
      <c r="AZ140" s="1283"/>
      <c r="BA140" s="1283"/>
      <c r="BB140" s="1283"/>
      <c r="BC140" s="1283"/>
      <c r="BD140" s="1283"/>
      <c r="BE140" s="1283"/>
      <c r="BF140" s="1283"/>
      <c r="BG140" s="1283"/>
      <c r="BH140" s="1283"/>
      <c r="BI140" s="1283"/>
      <c r="BJ140" s="1283"/>
      <c r="BK140" s="1283"/>
      <c r="BL140" s="1283"/>
      <c r="BM140" s="1283"/>
      <c r="BN140" s="1283"/>
      <c r="BO140" s="1283"/>
      <c r="BP140" s="1283"/>
      <c r="BQ140" s="1283"/>
      <c r="BR140" s="1283"/>
      <c r="BS140" s="1283"/>
      <c r="BT140" s="1283"/>
      <c r="BU140" s="1283"/>
      <c r="BV140" s="1283"/>
      <c r="BW140" s="1283"/>
      <c r="BX140" s="1283"/>
      <c r="BY140" s="1283"/>
      <c r="BZ140" s="1283"/>
      <c r="CA140" s="1283"/>
      <c r="CB140" s="1283"/>
      <c r="CC140" s="1283"/>
      <c r="CD140" s="1283"/>
      <c r="CE140" s="1283"/>
      <c r="CF140" s="1283"/>
      <c r="CG140" s="1283"/>
      <c r="CH140" s="1283"/>
      <c r="CI140" s="1283"/>
      <c r="CJ140" s="1283"/>
      <c r="CK140" s="1283"/>
    </row>
    <row r="141" spans="1:89" s="678" customFormat="1" ht="20.25" customHeight="1" x14ac:dyDescent="0.2">
      <c r="A141" s="1302"/>
      <c r="B141" s="1245" t="s">
        <v>32</v>
      </c>
      <c r="C141" s="1284">
        <v>12</v>
      </c>
      <c r="D141" s="1285" t="s">
        <v>20</v>
      </c>
      <c r="E141" s="1286">
        <v>1500</v>
      </c>
      <c r="F141" s="1286"/>
      <c r="G141" s="1286"/>
      <c r="H141" s="1286"/>
      <c r="I141" s="1286"/>
      <c r="J141" s="1286">
        <f>C141*E141</f>
        <v>18000</v>
      </c>
      <c r="K141" s="1286">
        <f>I141+J141</f>
        <v>18000</v>
      </c>
      <c r="L141" s="1286"/>
      <c r="M141" s="1286"/>
      <c r="N141" s="1286"/>
      <c r="O141" s="1287">
        <f>N141+K141+H141</f>
        <v>18000</v>
      </c>
      <c r="P141" s="850"/>
      <c r="Q141" s="1283"/>
      <c r="R141" s="1283"/>
      <c r="S141" s="1283"/>
      <c r="T141" s="1283"/>
      <c r="U141" s="1283"/>
      <c r="V141" s="1283"/>
      <c r="W141" s="1283"/>
      <c r="X141" s="1283"/>
      <c r="Y141" s="1283"/>
      <c r="Z141" s="1283"/>
      <c r="AA141" s="1283"/>
      <c r="AB141" s="1283"/>
      <c r="AC141" s="1283"/>
      <c r="AD141" s="1283"/>
      <c r="AE141" s="1283"/>
      <c r="AF141" s="1283"/>
      <c r="AG141" s="1283"/>
      <c r="AH141" s="1283"/>
      <c r="AI141" s="1283"/>
      <c r="AJ141" s="1283"/>
      <c r="AK141" s="1283"/>
      <c r="AL141" s="1283"/>
      <c r="AM141" s="1283"/>
      <c r="AN141" s="1283"/>
      <c r="AO141" s="1283"/>
      <c r="AP141" s="1283"/>
      <c r="AQ141" s="1283"/>
      <c r="AR141" s="1283"/>
      <c r="AS141" s="1283"/>
      <c r="AT141" s="1283"/>
      <c r="AU141" s="1283"/>
      <c r="AV141" s="1283"/>
      <c r="AW141" s="1283"/>
      <c r="AX141" s="1283"/>
      <c r="AY141" s="1283"/>
      <c r="AZ141" s="1283"/>
      <c r="BA141" s="1283"/>
      <c r="BB141" s="1283"/>
      <c r="BC141" s="1283"/>
      <c r="BD141" s="1283"/>
      <c r="BE141" s="1283"/>
      <c r="BF141" s="1283"/>
      <c r="BG141" s="1283"/>
      <c r="BH141" s="1283"/>
      <c r="BI141" s="1283"/>
      <c r="BJ141" s="1283"/>
      <c r="BK141" s="1283"/>
      <c r="BL141" s="1283"/>
      <c r="BM141" s="1283"/>
      <c r="BN141" s="1283"/>
      <c r="BO141" s="1283"/>
      <c r="BP141" s="1283"/>
      <c r="BQ141" s="1283"/>
      <c r="BR141" s="1283"/>
      <c r="BS141" s="1283"/>
      <c r="BT141" s="1283"/>
      <c r="BU141" s="1283"/>
      <c r="BV141" s="1283"/>
      <c r="BW141" s="1283"/>
      <c r="BX141" s="1283"/>
      <c r="BY141" s="1283"/>
      <c r="BZ141" s="1283"/>
      <c r="CA141" s="1283"/>
      <c r="CB141" s="1283"/>
      <c r="CC141" s="1283"/>
      <c r="CD141" s="1283"/>
      <c r="CE141" s="1283"/>
      <c r="CF141" s="1283"/>
      <c r="CG141" s="1283"/>
      <c r="CH141" s="1283"/>
      <c r="CI141" s="1283"/>
      <c r="CJ141" s="1283"/>
      <c r="CK141" s="1283"/>
    </row>
    <row r="142" spans="1:89" s="678" customFormat="1" ht="20.25" customHeight="1" x14ac:dyDescent="0.2">
      <c r="A142" s="1302"/>
      <c r="B142" s="1245" t="s">
        <v>33</v>
      </c>
      <c r="C142" s="1284">
        <v>60</v>
      </c>
      <c r="D142" s="1285" t="s">
        <v>20</v>
      </c>
      <c r="E142" s="1286">
        <v>1000</v>
      </c>
      <c r="F142" s="1286"/>
      <c r="G142" s="1286"/>
      <c r="H142" s="1286"/>
      <c r="I142" s="1286"/>
      <c r="J142" s="1286">
        <f>C142*E142</f>
        <v>60000</v>
      </c>
      <c r="K142" s="1286">
        <f>I142+J142</f>
        <v>60000</v>
      </c>
      <c r="L142" s="1286"/>
      <c r="M142" s="1286"/>
      <c r="N142" s="1286"/>
      <c r="O142" s="1287">
        <f>N142+K142+H142</f>
        <v>60000</v>
      </c>
      <c r="P142" s="850"/>
      <c r="Q142" s="1283"/>
      <c r="R142" s="1283"/>
      <c r="S142" s="1283"/>
      <c r="T142" s="1283"/>
      <c r="U142" s="1283"/>
      <c r="V142" s="1283"/>
      <c r="W142" s="1283"/>
      <c r="X142" s="1283"/>
      <c r="Y142" s="1283"/>
      <c r="Z142" s="1283"/>
      <c r="AA142" s="1283"/>
      <c r="AB142" s="1283"/>
      <c r="AC142" s="1283"/>
      <c r="AD142" s="1283"/>
      <c r="AE142" s="1283"/>
      <c r="AF142" s="1283"/>
      <c r="AG142" s="1283"/>
      <c r="AH142" s="1283"/>
      <c r="AI142" s="1283"/>
      <c r="AJ142" s="1283"/>
      <c r="AK142" s="1283"/>
      <c r="AL142" s="1283"/>
      <c r="AM142" s="1283"/>
      <c r="AN142" s="1283"/>
      <c r="AO142" s="1283"/>
      <c r="AP142" s="1283"/>
      <c r="AQ142" s="1283"/>
      <c r="AR142" s="1283"/>
      <c r="AS142" s="1283"/>
      <c r="AT142" s="1283"/>
      <c r="AU142" s="1283"/>
      <c r="AV142" s="1283"/>
      <c r="AW142" s="1283"/>
      <c r="AX142" s="1283"/>
      <c r="AY142" s="1283"/>
      <c r="AZ142" s="1283"/>
      <c r="BA142" s="1283"/>
      <c r="BB142" s="1283"/>
      <c r="BC142" s="1283"/>
      <c r="BD142" s="1283"/>
      <c r="BE142" s="1283"/>
      <c r="BF142" s="1283"/>
      <c r="BG142" s="1283"/>
      <c r="BH142" s="1283"/>
      <c r="BI142" s="1283"/>
      <c r="BJ142" s="1283"/>
      <c r="BK142" s="1283"/>
      <c r="BL142" s="1283"/>
      <c r="BM142" s="1283"/>
      <c r="BN142" s="1283"/>
      <c r="BO142" s="1283"/>
      <c r="BP142" s="1283"/>
      <c r="BQ142" s="1283"/>
      <c r="BR142" s="1283"/>
      <c r="BS142" s="1283"/>
      <c r="BT142" s="1283"/>
      <c r="BU142" s="1283"/>
      <c r="BV142" s="1283"/>
      <c r="BW142" s="1283"/>
      <c r="BX142" s="1283"/>
      <c r="BY142" s="1283"/>
      <c r="BZ142" s="1283"/>
      <c r="CA142" s="1283"/>
      <c r="CB142" s="1283"/>
      <c r="CC142" s="1283"/>
      <c r="CD142" s="1283"/>
      <c r="CE142" s="1283"/>
      <c r="CF142" s="1283"/>
      <c r="CG142" s="1283"/>
      <c r="CH142" s="1283"/>
      <c r="CI142" s="1283"/>
      <c r="CJ142" s="1283"/>
      <c r="CK142" s="1283"/>
    </row>
    <row r="143" spans="1:89" s="678" customFormat="1" ht="20.25" customHeight="1" x14ac:dyDescent="0.2">
      <c r="A143" s="1302"/>
      <c r="B143" s="1245" t="s">
        <v>34</v>
      </c>
      <c r="C143" s="1284"/>
      <c r="D143" s="1285"/>
      <c r="E143" s="1286" t="s">
        <v>49</v>
      </c>
      <c r="F143" s="1286"/>
      <c r="G143" s="1286"/>
      <c r="H143" s="1286"/>
      <c r="I143" s="1286"/>
      <c r="J143" s="1286"/>
      <c r="K143" s="1286" t="s">
        <v>49</v>
      </c>
      <c r="L143" s="1286"/>
      <c r="M143" s="1286"/>
      <c r="N143" s="1286"/>
      <c r="O143" s="1287" t="s">
        <v>49</v>
      </c>
      <c r="P143" s="850"/>
      <c r="Q143" s="1283"/>
      <c r="R143" s="1283"/>
      <c r="S143" s="1283"/>
      <c r="T143" s="1283"/>
      <c r="U143" s="1283"/>
      <c r="V143" s="1283"/>
      <c r="W143" s="1283"/>
      <c r="X143" s="1283"/>
      <c r="Y143" s="1283"/>
      <c r="Z143" s="1283"/>
      <c r="AA143" s="1283"/>
      <c r="AB143" s="1283"/>
      <c r="AC143" s="1283"/>
      <c r="AD143" s="1283"/>
      <c r="AE143" s="1283"/>
      <c r="AF143" s="1283"/>
      <c r="AG143" s="1283"/>
      <c r="AH143" s="1283"/>
      <c r="AI143" s="1283"/>
      <c r="AJ143" s="1283"/>
      <c r="AK143" s="1283"/>
      <c r="AL143" s="1283"/>
      <c r="AM143" s="1283"/>
      <c r="AN143" s="1283"/>
      <c r="AO143" s="1283"/>
      <c r="AP143" s="1283"/>
      <c r="AQ143" s="1283"/>
      <c r="AR143" s="1283"/>
      <c r="AS143" s="1283"/>
      <c r="AT143" s="1283"/>
      <c r="AU143" s="1283"/>
      <c r="AV143" s="1283"/>
      <c r="AW143" s="1283"/>
      <c r="AX143" s="1283"/>
      <c r="AY143" s="1283"/>
      <c r="AZ143" s="1283"/>
      <c r="BA143" s="1283"/>
      <c r="BB143" s="1283"/>
      <c r="BC143" s="1283"/>
      <c r="BD143" s="1283"/>
      <c r="BE143" s="1283"/>
      <c r="BF143" s="1283"/>
      <c r="BG143" s="1283"/>
      <c r="BH143" s="1283"/>
      <c r="BI143" s="1283"/>
      <c r="BJ143" s="1283"/>
      <c r="BK143" s="1283"/>
      <c r="BL143" s="1283"/>
      <c r="BM143" s="1283"/>
      <c r="BN143" s="1283"/>
      <c r="BO143" s="1283"/>
      <c r="BP143" s="1283"/>
      <c r="BQ143" s="1283"/>
      <c r="BR143" s="1283"/>
      <c r="BS143" s="1283"/>
      <c r="BT143" s="1283"/>
      <c r="BU143" s="1283"/>
      <c r="BV143" s="1283"/>
      <c r="BW143" s="1283"/>
      <c r="BX143" s="1283"/>
      <c r="BY143" s="1283"/>
      <c r="BZ143" s="1283"/>
      <c r="CA143" s="1283"/>
      <c r="CB143" s="1283"/>
      <c r="CC143" s="1283"/>
      <c r="CD143" s="1283"/>
      <c r="CE143" s="1283"/>
      <c r="CF143" s="1283"/>
      <c r="CG143" s="1283"/>
      <c r="CH143" s="1283"/>
      <c r="CI143" s="1283"/>
      <c r="CJ143" s="1283"/>
      <c r="CK143" s="1283"/>
    </row>
    <row r="144" spans="1:89" s="678" customFormat="1" ht="20.25" customHeight="1" x14ac:dyDescent="0.2">
      <c r="A144" s="1302"/>
      <c r="B144" s="1245" t="s">
        <v>587</v>
      </c>
      <c r="C144" s="1284">
        <v>12</v>
      </c>
      <c r="D144" s="1285" t="s">
        <v>20</v>
      </c>
      <c r="E144" s="1286">
        <v>400</v>
      </c>
      <c r="F144" s="1286"/>
      <c r="G144" s="1286"/>
      <c r="H144" s="1286"/>
      <c r="I144" s="1286"/>
      <c r="J144" s="1286">
        <f>C144*E144</f>
        <v>4800</v>
      </c>
      <c r="K144" s="1286">
        <f>I144+J144</f>
        <v>4800</v>
      </c>
      <c r="L144" s="1286"/>
      <c r="M144" s="1286"/>
      <c r="N144" s="1286"/>
      <c r="O144" s="1287">
        <f>N144+K144+H144</f>
        <v>4800</v>
      </c>
      <c r="P144" s="850"/>
      <c r="Q144" s="1283"/>
      <c r="R144" s="1283"/>
      <c r="S144" s="1283"/>
      <c r="T144" s="1283"/>
      <c r="U144" s="1283"/>
      <c r="V144" s="1283"/>
      <c r="W144" s="1283"/>
      <c r="X144" s="1283"/>
      <c r="Y144" s="1283"/>
      <c r="Z144" s="1283"/>
      <c r="AA144" s="1283"/>
      <c r="AB144" s="1283"/>
      <c r="AC144" s="1283"/>
      <c r="AD144" s="1283"/>
      <c r="AE144" s="1283"/>
      <c r="AF144" s="1283"/>
      <c r="AG144" s="1283"/>
      <c r="AH144" s="1283"/>
      <c r="AI144" s="1283"/>
      <c r="AJ144" s="1283"/>
      <c r="AK144" s="1283"/>
      <c r="AL144" s="1283"/>
      <c r="AM144" s="1283"/>
      <c r="AN144" s="1283"/>
      <c r="AO144" s="1283"/>
      <c r="AP144" s="1283"/>
      <c r="AQ144" s="1283"/>
      <c r="AR144" s="1283"/>
      <c r="AS144" s="1283"/>
      <c r="AT144" s="1283"/>
      <c r="AU144" s="1283"/>
      <c r="AV144" s="1283"/>
      <c r="AW144" s="1283"/>
      <c r="AX144" s="1283"/>
      <c r="AY144" s="1283"/>
      <c r="AZ144" s="1283"/>
      <c r="BA144" s="1283"/>
      <c r="BB144" s="1283"/>
      <c r="BC144" s="1283"/>
      <c r="BD144" s="1283"/>
      <c r="BE144" s="1283"/>
      <c r="BF144" s="1283"/>
      <c r="BG144" s="1283"/>
      <c r="BH144" s="1283"/>
      <c r="BI144" s="1283"/>
      <c r="BJ144" s="1283"/>
      <c r="BK144" s="1283"/>
      <c r="BL144" s="1283"/>
      <c r="BM144" s="1283"/>
      <c r="BN144" s="1283"/>
      <c r="BO144" s="1283"/>
      <c r="BP144" s="1283"/>
      <c r="BQ144" s="1283"/>
      <c r="BR144" s="1283"/>
      <c r="BS144" s="1283"/>
      <c r="BT144" s="1283"/>
      <c r="BU144" s="1283"/>
      <c r="BV144" s="1283"/>
      <c r="BW144" s="1283"/>
      <c r="BX144" s="1283"/>
      <c r="BY144" s="1283"/>
      <c r="BZ144" s="1283"/>
      <c r="CA144" s="1283"/>
      <c r="CB144" s="1283"/>
      <c r="CC144" s="1283"/>
      <c r="CD144" s="1283"/>
      <c r="CE144" s="1283"/>
      <c r="CF144" s="1283"/>
      <c r="CG144" s="1283"/>
      <c r="CH144" s="1283"/>
      <c r="CI144" s="1283"/>
      <c r="CJ144" s="1283"/>
      <c r="CK144" s="1283"/>
    </row>
    <row r="145" spans="1:89" s="678" customFormat="1" ht="20.25" customHeight="1" x14ac:dyDescent="0.2">
      <c r="A145" s="1302"/>
      <c r="B145" s="1245" t="s">
        <v>588</v>
      </c>
      <c r="C145" s="1284">
        <v>36</v>
      </c>
      <c r="D145" s="1285" t="s">
        <v>20</v>
      </c>
      <c r="E145" s="1286">
        <v>250</v>
      </c>
      <c r="F145" s="1286"/>
      <c r="G145" s="1286"/>
      <c r="H145" s="1286"/>
      <c r="I145" s="1286"/>
      <c r="J145" s="1286">
        <f>C145*E145</f>
        <v>9000</v>
      </c>
      <c r="K145" s="1286">
        <f>I145+J145</f>
        <v>9000</v>
      </c>
      <c r="L145" s="1286"/>
      <c r="M145" s="1286"/>
      <c r="N145" s="1286"/>
      <c r="O145" s="1287">
        <f>N145+K145+H145</f>
        <v>9000</v>
      </c>
      <c r="P145" s="850"/>
      <c r="Q145" s="1283"/>
      <c r="R145" s="1283"/>
      <c r="S145" s="1283"/>
      <c r="T145" s="1283"/>
      <c r="U145" s="1283"/>
      <c r="V145" s="1283"/>
      <c r="W145" s="1283"/>
      <c r="X145" s="1283"/>
      <c r="Y145" s="1283"/>
      <c r="Z145" s="1283"/>
      <c r="AA145" s="1283"/>
      <c r="AB145" s="1283"/>
      <c r="AC145" s="1283"/>
      <c r="AD145" s="1283"/>
      <c r="AE145" s="1283"/>
      <c r="AF145" s="1283"/>
      <c r="AG145" s="1283"/>
      <c r="AH145" s="1283"/>
      <c r="AI145" s="1283"/>
      <c r="AJ145" s="1283"/>
      <c r="AK145" s="1283"/>
      <c r="AL145" s="1283"/>
      <c r="AM145" s="1283"/>
      <c r="AN145" s="1283"/>
      <c r="AO145" s="1283"/>
      <c r="AP145" s="1283"/>
      <c r="AQ145" s="1283"/>
      <c r="AR145" s="1283"/>
      <c r="AS145" s="1283"/>
      <c r="AT145" s="1283"/>
      <c r="AU145" s="1283"/>
      <c r="AV145" s="1283"/>
      <c r="AW145" s="1283"/>
      <c r="AX145" s="1283"/>
      <c r="AY145" s="1283"/>
      <c r="AZ145" s="1283"/>
      <c r="BA145" s="1283"/>
      <c r="BB145" s="1283"/>
      <c r="BC145" s="1283"/>
      <c r="BD145" s="1283"/>
      <c r="BE145" s="1283"/>
      <c r="BF145" s="1283"/>
      <c r="BG145" s="1283"/>
      <c r="BH145" s="1283"/>
      <c r="BI145" s="1283"/>
      <c r="BJ145" s="1283"/>
      <c r="BK145" s="1283"/>
      <c r="BL145" s="1283"/>
      <c r="BM145" s="1283"/>
      <c r="BN145" s="1283"/>
      <c r="BO145" s="1283"/>
      <c r="BP145" s="1283"/>
      <c r="BQ145" s="1283"/>
      <c r="BR145" s="1283"/>
      <c r="BS145" s="1283"/>
      <c r="BT145" s="1283"/>
      <c r="BU145" s="1283"/>
      <c r="BV145" s="1283"/>
      <c r="BW145" s="1283"/>
      <c r="BX145" s="1283"/>
      <c r="BY145" s="1283"/>
      <c r="BZ145" s="1283"/>
      <c r="CA145" s="1283"/>
      <c r="CB145" s="1283"/>
      <c r="CC145" s="1283"/>
      <c r="CD145" s="1283"/>
      <c r="CE145" s="1283"/>
      <c r="CF145" s="1283"/>
      <c r="CG145" s="1283"/>
      <c r="CH145" s="1283"/>
      <c r="CI145" s="1283"/>
      <c r="CJ145" s="1283"/>
      <c r="CK145" s="1283"/>
    </row>
    <row r="146" spans="1:89" s="678" customFormat="1" ht="20.25" customHeight="1" x14ac:dyDescent="0.2">
      <c r="A146" s="1302"/>
      <c r="B146" s="1245"/>
      <c r="C146" s="1284"/>
      <c r="D146" s="1285"/>
      <c r="E146" s="1286"/>
      <c r="F146" s="1286"/>
      <c r="G146" s="1286"/>
      <c r="H146" s="1286"/>
      <c r="I146" s="1286"/>
      <c r="J146" s="1286"/>
      <c r="K146" s="1286"/>
      <c r="L146" s="1286"/>
      <c r="M146" s="1286"/>
      <c r="N146" s="1286"/>
      <c r="O146" s="1287"/>
      <c r="P146" s="850"/>
      <c r="Q146" s="1283"/>
      <c r="R146" s="1283"/>
      <c r="S146" s="1283"/>
      <c r="T146" s="1283"/>
      <c r="U146" s="1283"/>
      <c r="V146" s="1283"/>
      <c r="W146" s="1283"/>
      <c r="X146" s="1283"/>
      <c r="Y146" s="1283"/>
      <c r="Z146" s="1283"/>
      <c r="AA146" s="1283"/>
      <c r="AB146" s="1283"/>
      <c r="AC146" s="1283"/>
      <c r="AD146" s="1283"/>
      <c r="AE146" s="1283"/>
      <c r="AF146" s="1283"/>
      <c r="AG146" s="1283"/>
      <c r="AH146" s="1283"/>
      <c r="AI146" s="1283"/>
      <c r="AJ146" s="1283"/>
      <c r="AK146" s="1283"/>
      <c r="AL146" s="1283"/>
      <c r="AM146" s="1283"/>
      <c r="AN146" s="1283"/>
      <c r="AO146" s="1283"/>
      <c r="AP146" s="1283"/>
      <c r="AQ146" s="1283"/>
      <c r="AR146" s="1283"/>
      <c r="AS146" s="1283"/>
      <c r="AT146" s="1283"/>
      <c r="AU146" s="1283"/>
      <c r="AV146" s="1283"/>
      <c r="AW146" s="1283"/>
      <c r="AX146" s="1283"/>
      <c r="AY146" s="1283"/>
      <c r="AZ146" s="1283"/>
      <c r="BA146" s="1283"/>
      <c r="BB146" s="1283"/>
      <c r="BC146" s="1283"/>
      <c r="BD146" s="1283"/>
      <c r="BE146" s="1283"/>
      <c r="BF146" s="1283"/>
      <c r="BG146" s="1283"/>
      <c r="BH146" s="1283"/>
      <c r="BI146" s="1283"/>
      <c r="BJ146" s="1283"/>
      <c r="BK146" s="1283"/>
      <c r="BL146" s="1283"/>
      <c r="BM146" s="1283"/>
      <c r="BN146" s="1283"/>
      <c r="BO146" s="1283"/>
      <c r="BP146" s="1283"/>
      <c r="BQ146" s="1283"/>
      <c r="BR146" s="1283"/>
      <c r="BS146" s="1283"/>
      <c r="BT146" s="1283"/>
      <c r="BU146" s="1283"/>
      <c r="BV146" s="1283"/>
      <c r="BW146" s="1283"/>
      <c r="BX146" s="1283"/>
      <c r="BY146" s="1283"/>
      <c r="BZ146" s="1283"/>
      <c r="CA146" s="1283"/>
      <c r="CB146" s="1283"/>
      <c r="CC146" s="1283"/>
      <c r="CD146" s="1283"/>
      <c r="CE146" s="1283"/>
      <c r="CF146" s="1283"/>
      <c r="CG146" s="1283"/>
      <c r="CH146" s="1283"/>
      <c r="CI146" s="1283"/>
      <c r="CJ146" s="1283"/>
      <c r="CK146" s="1283"/>
    </row>
    <row r="147" spans="1:89" s="678" customFormat="1" ht="20.25" customHeight="1" x14ac:dyDescent="0.2">
      <c r="A147" s="1302">
        <v>2</v>
      </c>
      <c r="B147" s="1245" t="s">
        <v>589</v>
      </c>
      <c r="C147" s="1284">
        <v>5</v>
      </c>
      <c r="D147" s="1285" t="s">
        <v>66</v>
      </c>
      <c r="E147" s="1286">
        <v>1800</v>
      </c>
      <c r="F147" s="1286"/>
      <c r="G147" s="1286"/>
      <c r="H147" s="1286"/>
      <c r="I147" s="1286"/>
      <c r="J147" s="1286">
        <f>C147*E147</f>
        <v>9000</v>
      </c>
      <c r="K147" s="1286">
        <f>I147+J147</f>
        <v>9000</v>
      </c>
      <c r="L147" s="1286"/>
      <c r="M147" s="1286"/>
      <c r="N147" s="1286"/>
      <c r="O147" s="1287">
        <f>N147+K147+H147</f>
        <v>9000</v>
      </c>
      <c r="P147" s="850"/>
      <c r="Q147" s="1283"/>
      <c r="R147" s="1283"/>
      <c r="S147" s="1283"/>
      <c r="T147" s="1283"/>
      <c r="U147" s="1283"/>
      <c r="V147" s="1283"/>
      <c r="W147" s="1283"/>
      <c r="X147" s="1283"/>
      <c r="Y147" s="1283"/>
      <c r="Z147" s="1283"/>
      <c r="AA147" s="1283"/>
      <c r="AB147" s="1283"/>
      <c r="AC147" s="1283"/>
      <c r="AD147" s="1283"/>
      <c r="AE147" s="1283"/>
      <c r="AF147" s="1283"/>
      <c r="AG147" s="1283"/>
      <c r="AH147" s="1283"/>
      <c r="AI147" s="1283"/>
      <c r="AJ147" s="1283"/>
      <c r="AK147" s="1283"/>
      <c r="AL147" s="1283"/>
      <c r="AM147" s="1283"/>
      <c r="AN147" s="1283"/>
      <c r="AO147" s="1283"/>
      <c r="AP147" s="1283"/>
      <c r="AQ147" s="1283"/>
      <c r="AR147" s="1283"/>
      <c r="AS147" s="1283"/>
      <c r="AT147" s="1283"/>
      <c r="AU147" s="1283"/>
      <c r="AV147" s="1283"/>
      <c r="AW147" s="1283"/>
      <c r="AX147" s="1283"/>
      <c r="AY147" s="1283"/>
      <c r="AZ147" s="1283"/>
      <c r="BA147" s="1283"/>
      <c r="BB147" s="1283"/>
      <c r="BC147" s="1283"/>
      <c r="BD147" s="1283"/>
      <c r="BE147" s="1283"/>
      <c r="BF147" s="1283"/>
      <c r="BG147" s="1283"/>
      <c r="BH147" s="1283"/>
      <c r="BI147" s="1283"/>
      <c r="BJ147" s="1283"/>
      <c r="BK147" s="1283"/>
      <c r="BL147" s="1283"/>
      <c r="BM147" s="1283"/>
      <c r="BN147" s="1283"/>
      <c r="BO147" s="1283"/>
      <c r="BP147" s="1283"/>
      <c r="BQ147" s="1283"/>
      <c r="BR147" s="1283"/>
      <c r="BS147" s="1283"/>
      <c r="BT147" s="1283"/>
      <c r="BU147" s="1283"/>
      <c r="BV147" s="1283"/>
      <c r="BW147" s="1283"/>
      <c r="BX147" s="1283"/>
      <c r="BY147" s="1283"/>
      <c r="BZ147" s="1283"/>
      <c r="CA147" s="1283"/>
      <c r="CB147" s="1283"/>
      <c r="CC147" s="1283"/>
      <c r="CD147" s="1283"/>
      <c r="CE147" s="1283"/>
      <c r="CF147" s="1283"/>
      <c r="CG147" s="1283"/>
      <c r="CH147" s="1283"/>
      <c r="CI147" s="1283"/>
      <c r="CJ147" s="1283"/>
      <c r="CK147" s="1283"/>
    </row>
    <row r="148" spans="1:89" s="678" customFormat="1" ht="20.25" customHeight="1" x14ac:dyDescent="0.2">
      <c r="A148" s="1302"/>
      <c r="B148" s="1245" t="s">
        <v>67</v>
      </c>
      <c r="C148" s="1284">
        <v>5</v>
      </c>
      <c r="D148" s="1285" t="s">
        <v>66</v>
      </c>
      <c r="E148" s="1286">
        <v>1000</v>
      </c>
      <c r="F148" s="1286"/>
      <c r="G148" s="1286"/>
      <c r="H148" s="1286"/>
      <c r="I148" s="1286"/>
      <c r="J148" s="1286">
        <f>C148*E148</f>
        <v>5000</v>
      </c>
      <c r="K148" s="1286">
        <f>I148+J148</f>
        <v>5000</v>
      </c>
      <c r="L148" s="1286"/>
      <c r="M148" s="1286"/>
      <c r="N148" s="1286"/>
      <c r="O148" s="1287">
        <f>N148+K148+H148</f>
        <v>5000</v>
      </c>
      <c r="P148" s="850"/>
      <c r="Q148" s="1283"/>
      <c r="R148" s="1283"/>
      <c r="S148" s="1283"/>
      <c r="T148" s="1283"/>
      <c r="U148" s="1283"/>
      <c r="V148" s="1283"/>
      <c r="W148" s="1283"/>
      <c r="X148" s="1283"/>
      <c r="Y148" s="1283"/>
      <c r="Z148" s="1283"/>
      <c r="AA148" s="1283"/>
      <c r="AB148" s="1283"/>
      <c r="AC148" s="1283"/>
      <c r="AD148" s="1283"/>
      <c r="AE148" s="1283"/>
      <c r="AF148" s="1283"/>
      <c r="AG148" s="1283"/>
      <c r="AH148" s="1283"/>
      <c r="AI148" s="1283"/>
      <c r="AJ148" s="1283"/>
      <c r="AK148" s="1283"/>
      <c r="AL148" s="1283"/>
      <c r="AM148" s="1283"/>
      <c r="AN148" s="1283"/>
      <c r="AO148" s="1283"/>
      <c r="AP148" s="1283"/>
      <c r="AQ148" s="1283"/>
      <c r="AR148" s="1283"/>
      <c r="AS148" s="1283"/>
      <c r="AT148" s="1283"/>
      <c r="AU148" s="1283"/>
      <c r="AV148" s="1283"/>
      <c r="AW148" s="1283"/>
      <c r="AX148" s="1283"/>
      <c r="AY148" s="1283"/>
      <c r="AZ148" s="1283"/>
      <c r="BA148" s="1283"/>
      <c r="BB148" s="1283"/>
      <c r="BC148" s="1283"/>
      <c r="BD148" s="1283"/>
      <c r="BE148" s="1283"/>
      <c r="BF148" s="1283"/>
      <c r="BG148" s="1283"/>
      <c r="BH148" s="1283"/>
      <c r="BI148" s="1283"/>
      <c r="BJ148" s="1283"/>
      <c r="BK148" s="1283"/>
      <c r="BL148" s="1283"/>
      <c r="BM148" s="1283"/>
      <c r="BN148" s="1283"/>
      <c r="BO148" s="1283"/>
      <c r="BP148" s="1283"/>
      <c r="BQ148" s="1283"/>
      <c r="BR148" s="1283"/>
      <c r="BS148" s="1283"/>
      <c r="BT148" s="1283"/>
      <c r="BU148" s="1283"/>
      <c r="BV148" s="1283"/>
      <c r="BW148" s="1283"/>
      <c r="BX148" s="1283"/>
      <c r="BY148" s="1283"/>
      <c r="BZ148" s="1283"/>
      <c r="CA148" s="1283"/>
      <c r="CB148" s="1283"/>
      <c r="CC148" s="1283"/>
      <c r="CD148" s="1283"/>
      <c r="CE148" s="1283"/>
      <c r="CF148" s="1283"/>
      <c r="CG148" s="1283"/>
      <c r="CH148" s="1283"/>
      <c r="CI148" s="1283"/>
      <c r="CJ148" s="1283"/>
      <c r="CK148" s="1283"/>
    </row>
    <row r="149" spans="1:89" s="678" customFormat="1" ht="20.25" customHeight="1" x14ac:dyDescent="0.2">
      <c r="A149" s="1302"/>
      <c r="B149" s="1245" t="s">
        <v>68</v>
      </c>
      <c r="C149" s="1284">
        <v>5</v>
      </c>
      <c r="D149" s="1285" t="s">
        <v>66</v>
      </c>
      <c r="E149" s="1286">
        <v>670</v>
      </c>
      <c r="F149" s="1286"/>
      <c r="G149" s="1286"/>
      <c r="H149" s="1286"/>
      <c r="I149" s="1286"/>
      <c r="J149" s="1286">
        <f>C149*E149</f>
        <v>3350</v>
      </c>
      <c r="K149" s="1286">
        <f>I149+J149</f>
        <v>3350</v>
      </c>
      <c r="L149" s="1286"/>
      <c r="M149" s="1286"/>
      <c r="N149" s="1286"/>
      <c r="O149" s="1287">
        <f>N149+K149+H149</f>
        <v>3350</v>
      </c>
      <c r="P149" s="850"/>
      <c r="Q149" s="1283"/>
      <c r="R149" s="1283"/>
      <c r="S149" s="1283"/>
      <c r="T149" s="1283"/>
      <c r="U149" s="1283"/>
      <c r="V149" s="1283"/>
      <c r="W149" s="1283"/>
      <c r="X149" s="1283"/>
      <c r="Y149" s="1283"/>
      <c r="Z149" s="1283"/>
      <c r="AA149" s="1283"/>
      <c r="AB149" s="1283"/>
      <c r="AC149" s="1283"/>
      <c r="AD149" s="1283"/>
      <c r="AE149" s="1283"/>
      <c r="AF149" s="1283"/>
      <c r="AG149" s="1283"/>
      <c r="AH149" s="1283"/>
      <c r="AI149" s="1283"/>
      <c r="AJ149" s="1283"/>
      <c r="AK149" s="1283"/>
      <c r="AL149" s="1283"/>
      <c r="AM149" s="1283"/>
      <c r="AN149" s="1283"/>
      <c r="AO149" s="1283"/>
      <c r="AP149" s="1283"/>
      <c r="AQ149" s="1283"/>
      <c r="AR149" s="1283"/>
      <c r="AS149" s="1283"/>
      <c r="AT149" s="1283"/>
      <c r="AU149" s="1283"/>
      <c r="AV149" s="1283"/>
      <c r="AW149" s="1283"/>
      <c r="AX149" s="1283"/>
      <c r="AY149" s="1283"/>
      <c r="AZ149" s="1283"/>
      <c r="BA149" s="1283"/>
      <c r="BB149" s="1283"/>
      <c r="BC149" s="1283"/>
      <c r="BD149" s="1283"/>
      <c r="BE149" s="1283"/>
      <c r="BF149" s="1283"/>
      <c r="BG149" s="1283"/>
      <c r="BH149" s="1283"/>
      <c r="BI149" s="1283"/>
      <c r="BJ149" s="1283"/>
      <c r="BK149" s="1283"/>
      <c r="BL149" s="1283"/>
      <c r="BM149" s="1283"/>
      <c r="BN149" s="1283"/>
      <c r="BO149" s="1283"/>
      <c r="BP149" s="1283"/>
      <c r="BQ149" s="1283"/>
      <c r="BR149" s="1283"/>
      <c r="BS149" s="1283"/>
      <c r="BT149" s="1283"/>
      <c r="BU149" s="1283"/>
      <c r="BV149" s="1283"/>
      <c r="BW149" s="1283"/>
      <c r="BX149" s="1283"/>
      <c r="BY149" s="1283"/>
      <c r="BZ149" s="1283"/>
      <c r="CA149" s="1283"/>
      <c r="CB149" s="1283"/>
      <c r="CC149" s="1283"/>
      <c r="CD149" s="1283"/>
      <c r="CE149" s="1283"/>
      <c r="CF149" s="1283"/>
      <c r="CG149" s="1283"/>
      <c r="CH149" s="1283"/>
      <c r="CI149" s="1283"/>
      <c r="CJ149" s="1283"/>
      <c r="CK149" s="1283"/>
    </row>
    <row r="150" spans="1:89" s="678" customFormat="1" ht="20.25" customHeight="1" x14ac:dyDescent="0.2">
      <c r="A150" s="1302"/>
      <c r="B150" s="1245" t="s">
        <v>69</v>
      </c>
      <c r="C150" s="1284">
        <v>5</v>
      </c>
      <c r="D150" s="1285" t="s">
        <v>66</v>
      </c>
      <c r="E150" s="1286">
        <v>815</v>
      </c>
      <c r="F150" s="1286"/>
      <c r="G150" s="1286"/>
      <c r="H150" s="1286"/>
      <c r="I150" s="1286"/>
      <c r="J150" s="1286">
        <f>C150*E150</f>
        <v>4075</v>
      </c>
      <c r="K150" s="1286">
        <f>I150+J150</f>
        <v>4075</v>
      </c>
      <c r="L150" s="1286"/>
      <c r="M150" s="1286"/>
      <c r="N150" s="1286"/>
      <c r="O150" s="1287">
        <f>N150+K150+H150</f>
        <v>4075</v>
      </c>
      <c r="P150" s="850"/>
      <c r="Q150" s="1283"/>
      <c r="R150" s="1283"/>
      <c r="S150" s="1283"/>
      <c r="T150" s="1283"/>
      <c r="U150" s="1283"/>
      <c r="V150" s="1283"/>
      <c r="W150" s="1283"/>
      <c r="X150" s="1283"/>
      <c r="Y150" s="1283"/>
      <c r="Z150" s="1283"/>
      <c r="AA150" s="1283"/>
      <c r="AB150" s="1283"/>
      <c r="AC150" s="1283"/>
      <c r="AD150" s="1283"/>
      <c r="AE150" s="1283"/>
      <c r="AF150" s="1283"/>
      <c r="AG150" s="1283"/>
      <c r="AH150" s="1283"/>
      <c r="AI150" s="1283"/>
      <c r="AJ150" s="1283"/>
      <c r="AK150" s="1283"/>
      <c r="AL150" s="1283"/>
      <c r="AM150" s="1283"/>
      <c r="AN150" s="1283"/>
      <c r="AO150" s="1283"/>
      <c r="AP150" s="1283"/>
      <c r="AQ150" s="1283"/>
      <c r="AR150" s="1283"/>
      <c r="AS150" s="1283"/>
      <c r="AT150" s="1283"/>
      <c r="AU150" s="1283"/>
      <c r="AV150" s="1283"/>
      <c r="AW150" s="1283"/>
      <c r="AX150" s="1283"/>
      <c r="AY150" s="1283"/>
      <c r="AZ150" s="1283"/>
      <c r="BA150" s="1283"/>
      <c r="BB150" s="1283"/>
      <c r="BC150" s="1283"/>
      <c r="BD150" s="1283"/>
      <c r="BE150" s="1283"/>
      <c r="BF150" s="1283"/>
      <c r="BG150" s="1283"/>
      <c r="BH150" s="1283"/>
      <c r="BI150" s="1283"/>
      <c r="BJ150" s="1283"/>
      <c r="BK150" s="1283"/>
      <c r="BL150" s="1283"/>
      <c r="BM150" s="1283"/>
      <c r="BN150" s="1283"/>
      <c r="BO150" s="1283"/>
      <c r="BP150" s="1283"/>
      <c r="BQ150" s="1283"/>
      <c r="BR150" s="1283"/>
      <c r="BS150" s="1283"/>
      <c r="BT150" s="1283"/>
      <c r="BU150" s="1283"/>
      <c r="BV150" s="1283"/>
      <c r="BW150" s="1283"/>
      <c r="BX150" s="1283"/>
      <c r="BY150" s="1283"/>
      <c r="BZ150" s="1283"/>
      <c r="CA150" s="1283"/>
      <c r="CB150" s="1283"/>
      <c r="CC150" s="1283"/>
      <c r="CD150" s="1283"/>
      <c r="CE150" s="1283"/>
      <c r="CF150" s="1283"/>
      <c r="CG150" s="1283"/>
      <c r="CH150" s="1283"/>
      <c r="CI150" s="1283"/>
      <c r="CJ150" s="1283"/>
      <c r="CK150" s="1283"/>
    </row>
    <row r="151" spans="1:89" s="678" customFormat="1" ht="20.25" customHeight="1" x14ac:dyDescent="0.2">
      <c r="A151" s="1302"/>
      <c r="B151" s="1245" t="s">
        <v>70</v>
      </c>
      <c r="C151" s="1284">
        <v>3</v>
      </c>
      <c r="D151" s="1285" t="s">
        <v>66</v>
      </c>
      <c r="E151" s="1286">
        <v>545</v>
      </c>
      <c r="F151" s="1286"/>
      <c r="G151" s="1286"/>
      <c r="H151" s="1286"/>
      <c r="I151" s="1286"/>
      <c r="J151" s="1286">
        <f>C151*E151</f>
        <v>1635</v>
      </c>
      <c r="K151" s="1286">
        <f>I151+J151</f>
        <v>1635</v>
      </c>
      <c r="L151" s="1286"/>
      <c r="M151" s="1286"/>
      <c r="N151" s="1286"/>
      <c r="O151" s="1287">
        <f>N151+K151+H151</f>
        <v>1635</v>
      </c>
      <c r="P151" s="850"/>
      <c r="Q151" s="1283"/>
      <c r="R151" s="1283"/>
      <c r="S151" s="1283"/>
      <c r="T151" s="1283"/>
      <c r="U151" s="1283"/>
      <c r="V151" s="1283"/>
      <c r="W151" s="1283"/>
      <c r="X151" s="1283"/>
      <c r="Y151" s="1283"/>
      <c r="Z151" s="1283"/>
      <c r="AA151" s="1283"/>
      <c r="AB151" s="1283"/>
      <c r="AC151" s="1283"/>
      <c r="AD151" s="1283"/>
      <c r="AE151" s="1283"/>
      <c r="AF151" s="1283"/>
      <c r="AG151" s="1283"/>
      <c r="AH151" s="1283"/>
      <c r="AI151" s="1283"/>
      <c r="AJ151" s="1283"/>
      <c r="AK151" s="1283"/>
      <c r="AL151" s="1283"/>
      <c r="AM151" s="1283"/>
      <c r="AN151" s="1283"/>
      <c r="AO151" s="1283"/>
      <c r="AP151" s="1283"/>
      <c r="AQ151" s="1283"/>
      <c r="AR151" s="1283"/>
      <c r="AS151" s="1283"/>
      <c r="AT151" s="1283"/>
      <c r="AU151" s="1283"/>
      <c r="AV151" s="1283"/>
      <c r="AW151" s="1283"/>
      <c r="AX151" s="1283"/>
      <c r="AY151" s="1283"/>
      <c r="AZ151" s="1283"/>
      <c r="BA151" s="1283"/>
      <c r="BB151" s="1283"/>
      <c r="BC151" s="1283"/>
      <c r="BD151" s="1283"/>
      <c r="BE151" s="1283"/>
      <c r="BF151" s="1283"/>
      <c r="BG151" s="1283"/>
      <c r="BH151" s="1283"/>
      <c r="BI151" s="1283"/>
      <c r="BJ151" s="1283"/>
      <c r="BK151" s="1283"/>
      <c r="BL151" s="1283"/>
      <c r="BM151" s="1283"/>
      <c r="BN151" s="1283"/>
      <c r="BO151" s="1283"/>
      <c r="BP151" s="1283"/>
      <c r="BQ151" s="1283"/>
      <c r="BR151" s="1283"/>
      <c r="BS151" s="1283"/>
      <c r="BT151" s="1283"/>
      <c r="BU151" s="1283"/>
      <c r="BV151" s="1283"/>
      <c r="BW151" s="1283"/>
      <c r="BX151" s="1283"/>
      <c r="BY151" s="1283"/>
      <c r="BZ151" s="1283"/>
      <c r="CA151" s="1283"/>
      <c r="CB151" s="1283"/>
      <c r="CC151" s="1283"/>
      <c r="CD151" s="1283"/>
      <c r="CE151" s="1283"/>
      <c r="CF151" s="1283"/>
      <c r="CG151" s="1283"/>
      <c r="CH151" s="1283"/>
      <c r="CI151" s="1283"/>
      <c r="CJ151" s="1283"/>
      <c r="CK151" s="1283"/>
    </row>
    <row r="152" spans="1:89" s="678" customFormat="1" ht="20.25" customHeight="1" x14ac:dyDescent="0.2">
      <c r="A152" s="1302"/>
      <c r="B152" s="1245"/>
      <c r="C152" s="1284"/>
      <c r="D152" s="1285"/>
      <c r="E152" s="1286"/>
      <c r="F152" s="1286"/>
      <c r="G152" s="1286"/>
      <c r="H152" s="1286"/>
      <c r="I152" s="1286"/>
      <c r="J152" s="1286"/>
      <c r="K152" s="1286"/>
      <c r="L152" s="1286"/>
      <c r="M152" s="1286"/>
      <c r="N152" s="1286"/>
      <c r="O152" s="1287"/>
      <c r="P152" s="850"/>
      <c r="Q152" s="1283"/>
      <c r="R152" s="1283"/>
      <c r="S152" s="1283"/>
      <c r="T152" s="1283"/>
      <c r="U152" s="1283"/>
      <c r="V152" s="1283"/>
      <c r="W152" s="1283"/>
      <c r="X152" s="1283"/>
      <c r="Y152" s="1283"/>
      <c r="Z152" s="1283"/>
      <c r="AA152" s="1283"/>
      <c r="AB152" s="1283"/>
      <c r="AC152" s="1283"/>
      <c r="AD152" s="1283"/>
      <c r="AE152" s="1283"/>
      <c r="AF152" s="1283"/>
      <c r="AG152" s="1283"/>
      <c r="AH152" s="1283"/>
      <c r="AI152" s="1283"/>
      <c r="AJ152" s="1283"/>
      <c r="AK152" s="1283"/>
      <c r="AL152" s="1283"/>
      <c r="AM152" s="1283"/>
      <c r="AN152" s="1283"/>
      <c r="AO152" s="1283"/>
      <c r="AP152" s="1283"/>
      <c r="AQ152" s="1283"/>
      <c r="AR152" s="1283"/>
      <c r="AS152" s="1283"/>
      <c r="AT152" s="1283"/>
      <c r="AU152" s="1283"/>
      <c r="AV152" s="1283"/>
      <c r="AW152" s="1283"/>
      <c r="AX152" s="1283"/>
      <c r="AY152" s="1283"/>
      <c r="AZ152" s="1283"/>
      <c r="BA152" s="1283"/>
      <c r="BB152" s="1283"/>
      <c r="BC152" s="1283"/>
      <c r="BD152" s="1283"/>
      <c r="BE152" s="1283"/>
      <c r="BF152" s="1283"/>
      <c r="BG152" s="1283"/>
      <c r="BH152" s="1283"/>
      <c r="BI152" s="1283"/>
      <c r="BJ152" s="1283"/>
      <c r="BK152" s="1283"/>
      <c r="BL152" s="1283"/>
      <c r="BM152" s="1283"/>
      <c r="BN152" s="1283"/>
      <c r="BO152" s="1283"/>
      <c r="BP152" s="1283"/>
      <c r="BQ152" s="1283"/>
      <c r="BR152" s="1283"/>
      <c r="BS152" s="1283"/>
      <c r="BT152" s="1283"/>
      <c r="BU152" s="1283"/>
      <c r="BV152" s="1283"/>
      <c r="BW152" s="1283"/>
      <c r="BX152" s="1283"/>
      <c r="BY152" s="1283"/>
      <c r="BZ152" s="1283"/>
      <c r="CA152" s="1283"/>
      <c r="CB152" s="1283"/>
      <c r="CC152" s="1283"/>
      <c r="CD152" s="1283"/>
      <c r="CE152" s="1283"/>
      <c r="CF152" s="1283"/>
      <c r="CG152" s="1283"/>
      <c r="CH152" s="1283"/>
      <c r="CI152" s="1283"/>
      <c r="CJ152" s="1283"/>
      <c r="CK152" s="1283"/>
    </row>
    <row r="153" spans="1:89" s="678" customFormat="1" ht="20.25" customHeight="1" x14ac:dyDescent="0.2">
      <c r="A153" s="1302"/>
      <c r="B153" s="1245" t="s">
        <v>590</v>
      </c>
      <c r="C153" s="1284">
        <v>1</v>
      </c>
      <c r="D153" s="1285" t="s">
        <v>47</v>
      </c>
      <c r="E153" s="1286">
        <v>4600</v>
      </c>
      <c r="F153" s="1286"/>
      <c r="G153" s="1286"/>
      <c r="H153" s="1286"/>
      <c r="I153" s="1286"/>
      <c r="J153" s="1286">
        <f>C153*E153</f>
        <v>4600</v>
      </c>
      <c r="K153" s="1286">
        <f>I153+J153</f>
        <v>4600</v>
      </c>
      <c r="L153" s="1286"/>
      <c r="M153" s="1286"/>
      <c r="N153" s="1286"/>
      <c r="O153" s="1287">
        <f>N153+K153+H153</f>
        <v>4600</v>
      </c>
      <c r="P153" s="850"/>
      <c r="Q153" s="1283"/>
      <c r="R153" s="1283"/>
      <c r="S153" s="1283"/>
      <c r="T153" s="1283"/>
      <c r="U153" s="1283"/>
      <c r="V153" s="1283"/>
      <c r="W153" s="1283"/>
      <c r="X153" s="1283"/>
      <c r="Y153" s="1283"/>
      <c r="Z153" s="1283"/>
      <c r="AA153" s="1283"/>
      <c r="AB153" s="1283"/>
      <c r="AC153" s="1283"/>
      <c r="AD153" s="1283"/>
      <c r="AE153" s="1283"/>
      <c r="AF153" s="1283"/>
      <c r="AG153" s="1283"/>
      <c r="AH153" s="1283"/>
      <c r="AI153" s="1283"/>
      <c r="AJ153" s="1283"/>
      <c r="AK153" s="1283"/>
      <c r="AL153" s="1283"/>
      <c r="AM153" s="1283"/>
      <c r="AN153" s="1283"/>
      <c r="AO153" s="1283"/>
      <c r="AP153" s="1283"/>
      <c r="AQ153" s="1283"/>
      <c r="AR153" s="1283"/>
      <c r="AS153" s="1283"/>
      <c r="AT153" s="1283"/>
      <c r="AU153" s="1283"/>
      <c r="AV153" s="1283"/>
      <c r="AW153" s="1283"/>
      <c r="AX153" s="1283"/>
      <c r="AY153" s="1283"/>
      <c r="AZ153" s="1283"/>
      <c r="BA153" s="1283"/>
      <c r="BB153" s="1283"/>
      <c r="BC153" s="1283"/>
      <c r="BD153" s="1283"/>
      <c r="BE153" s="1283"/>
      <c r="BF153" s="1283"/>
      <c r="BG153" s="1283"/>
      <c r="BH153" s="1283"/>
      <c r="BI153" s="1283"/>
      <c r="BJ153" s="1283"/>
      <c r="BK153" s="1283"/>
      <c r="BL153" s="1283"/>
      <c r="BM153" s="1283"/>
      <c r="BN153" s="1283"/>
      <c r="BO153" s="1283"/>
      <c r="BP153" s="1283"/>
      <c r="BQ153" s="1283"/>
      <c r="BR153" s="1283"/>
      <c r="BS153" s="1283"/>
      <c r="BT153" s="1283"/>
      <c r="BU153" s="1283"/>
      <c r="BV153" s="1283"/>
      <c r="BW153" s="1283"/>
      <c r="BX153" s="1283"/>
      <c r="BY153" s="1283"/>
      <c r="BZ153" s="1283"/>
      <c r="CA153" s="1283"/>
      <c r="CB153" s="1283"/>
      <c r="CC153" s="1283"/>
      <c r="CD153" s="1283"/>
      <c r="CE153" s="1283"/>
      <c r="CF153" s="1283"/>
      <c r="CG153" s="1283"/>
      <c r="CH153" s="1283"/>
      <c r="CI153" s="1283"/>
      <c r="CJ153" s="1283"/>
      <c r="CK153" s="1283"/>
    </row>
    <row r="154" spans="1:89" s="678" customFormat="1" ht="20.25" customHeight="1" x14ac:dyDescent="0.2">
      <c r="A154" s="1302"/>
      <c r="B154" s="1245"/>
      <c r="C154" s="1284"/>
      <c r="D154" s="1285"/>
      <c r="E154" s="1286"/>
      <c r="F154" s="1286"/>
      <c r="G154" s="1286"/>
      <c r="H154" s="1286"/>
      <c r="I154" s="1286"/>
      <c r="J154" s="1286"/>
      <c r="K154" s="1286"/>
      <c r="L154" s="1286"/>
      <c r="M154" s="1286"/>
      <c r="N154" s="1286"/>
      <c r="O154" s="1287"/>
      <c r="P154" s="850"/>
      <c r="Q154" s="1283"/>
      <c r="R154" s="1283"/>
      <c r="S154" s="1283"/>
      <c r="T154" s="1283"/>
      <c r="U154" s="1283"/>
      <c r="V154" s="1283"/>
      <c r="W154" s="1283"/>
      <c r="X154" s="1283"/>
      <c r="Y154" s="1283"/>
      <c r="Z154" s="1283"/>
      <c r="AA154" s="1283"/>
      <c r="AB154" s="1283"/>
      <c r="AC154" s="1283"/>
      <c r="AD154" s="1283"/>
      <c r="AE154" s="1283"/>
      <c r="AF154" s="1283"/>
      <c r="AG154" s="1283"/>
      <c r="AH154" s="1283"/>
      <c r="AI154" s="1283"/>
      <c r="AJ154" s="1283"/>
      <c r="AK154" s="1283"/>
      <c r="AL154" s="1283"/>
      <c r="AM154" s="1283"/>
      <c r="AN154" s="1283"/>
      <c r="AO154" s="1283"/>
      <c r="AP154" s="1283"/>
      <c r="AQ154" s="1283"/>
      <c r="AR154" s="1283"/>
      <c r="AS154" s="1283"/>
      <c r="AT154" s="1283"/>
      <c r="AU154" s="1283"/>
      <c r="AV154" s="1283"/>
      <c r="AW154" s="1283"/>
      <c r="AX154" s="1283"/>
      <c r="AY154" s="1283"/>
      <c r="AZ154" s="1283"/>
      <c r="BA154" s="1283"/>
      <c r="BB154" s="1283"/>
      <c r="BC154" s="1283"/>
      <c r="BD154" s="1283"/>
      <c r="BE154" s="1283"/>
      <c r="BF154" s="1283"/>
      <c r="BG154" s="1283"/>
      <c r="BH154" s="1283"/>
      <c r="BI154" s="1283"/>
      <c r="BJ154" s="1283"/>
      <c r="BK154" s="1283"/>
      <c r="BL154" s="1283"/>
      <c r="BM154" s="1283"/>
      <c r="BN154" s="1283"/>
      <c r="BO154" s="1283"/>
      <c r="BP154" s="1283"/>
      <c r="BQ154" s="1283"/>
      <c r="BR154" s="1283"/>
      <c r="BS154" s="1283"/>
      <c r="BT154" s="1283"/>
      <c r="BU154" s="1283"/>
      <c r="BV154" s="1283"/>
      <c r="BW154" s="1283"/>
      <c r="BX154" s="1283"/>
      <c r="BY154" s="1283"/>
      <c r="BZ154" s="1283"/>
      <c r="CA154" s="1283"/>
      <c r="CB154" s="1283"/>
      <c r="CC154" s="1283"/>
      <c r="CD154" s="1283"/>
      <c r="CE154" s="1283"/>
      <c r="CF154" s="1283"/>
      <c r="CG154" s="1283"/>
      <c r="CH154" s="1283"/>
      <c r="CI154" s="1283"/>
      <c r="CJ154" s="1283"/>
      <c r="CK154" s="1283"/>
    </row>
    <row r="155" spans="1:89" s="678" customFormat="1" ht="20.25" customHeight="1" x14ac:dyDescent="0.2">
      <c r="A155" s="1302">
        <v>2</v>
      </c>
      <c r="B155" s="1245" t="s">
        <v>27</v>
      </c>
      <c r="C155" s="1284"/>
      <c r="D155" s="1285"/>
      <c r="E155" s="1286"/>
      <c r="F155" s="1286"/>
      <c r="G155" s="1286"/>
      <c r="H155" s="1286"/>
      <c r="I155" s="1286"/>
      <c r="J155" s="1286"/>
      <c r="K155" s="1286"/>
      <c r="L155" s="1286"/>
      <c r="M155" s="1286"/>
      <c r="N155" s="1286"/>
      <c r="O155" s="1287"/>
      <c r="P155" s="850"/>
      <c r="Q155" s="1283"/>
      <c r="R155" s="1283"/>
      <c r="S155" s="1283"/>
      <c r="T155" s="1283"/>
      <c r="U155" s="1283"/>
      <c r="V155" s="1283"/>
      <c r="W155" s="1283"/>
      <c r="X155" s="1283"/>
      <c r="Y155" s="1283"/>
      <c r="Z155" s="1283"/>
      <c r="AA155" s="1283"/>
      <c r="AB155" s="1283"/>
      <c r="AC155" s="1283"/>
      <c r="AD155" s="1283"/>
      <c r="AE155" s="1283"/>
      <c r="AF155" s="1283"/>
      <c r="AG155" s="1283"/>
      <c r="AH155" s="1283"/>
      <c r="AI155" s="1283"/>
      <c r="AJ155" s="1283"/>
      <c r="AK155" s="1283"/>
      <c r="AL155" s="1283"/>
      <c r="AM155" s="1283"/>
      <c r="AN155" s="1283"/>
      <c r="AO155" s="1283"/>
      <c r="AP155" s="1283"/>
      <c r="AQ155" s="1283"/>
      <c r="AR155" s="1283"/>
      <c r="AS155" s="1283"/>
      <c r="AT155" s="1283"/>
      <c r="AU155" s="1283"/>
      <c r="AV155" s="1283"/>
      <c r="AW155" s="1283"/>
      <c r="AX155" s="1283"/>
      <c r="AY155" s="1283"/>
      <c r="AZ155" s="1283"/>
      <c r="BA155" s="1283"/>
      <c r="BB155" s="1283"/>
      <c r="BC155" s="1283"/>
      <c r="BD155" s="1283"/>
      <c r="BE155" s="1283"/>
      <c r="BF155" s="1283"/>
      <c r="BG155" s="1283"/>
      <c r="BH155" s="1283"/>
      <c r="BI155" s="1283"/>
      <c r="BJ155" s="1283"/>
      <c r="BK155" s="1283"/>
      <c r="BL155" s="1283"/>
      <c r="BM155" s="1283"/>
      <c r="BN155" s="1283"/>
      <c r="BO155" s="1283"/>
      <c r="BP155" s="1283"/>
      <c r="BQ155" s="1283"/>
      <c r="BR155" s="1283"/>
      <c r="BS155" s="1283"/>
      <c r="BT155" s="1283"/>
      <c r="BU155" s="1283"/>
      <c r="BV155" s="1283"/>
      <c r="BW155" s="1283"/>
      <c r="BX155" s="1283"/>
      <c r="BY155" s="1283"/>
      <c r="BZ155" s="1283"/>
      <c r="CA155" s="1283"/>
      <c r="CB155" s="1283"/>
      <c r="CC155" s="1283"/>
      <c r="CD155" s="1283"/>
      <c r="CE155" s="1283"/>
      <c r="CF155" s="1283"/>
      <c r="CG155" s="1283"/>
      <c r="CH155" s="1283"/>
      <c r="CI155" s="1283"/>
      <c r="CJ155" s="1283"/>
      <c r="CK155" s="1283"/>
    </row>
    <row r="156" spans="1:89" s="678" customFormat="1" ht="20.25" customHeight="1" x14ac:dyDescent="0.2">
      <c r="A156" s="1302"/>
      <c r="B156" s="1245" t="s">
        <v>591</v>
      </c>
      <c r="C156" s="1284">
        <v>1</v>
      </c>
      <c r="D156" s="1285" t="s">
        <v>25</v>
      </c>
      <c r="E156" s="1286">
        <v>24243</v>
      </c>
      <c r="F156" s="1286"/>
      <c r="G156" s="1286"/>
      <c r="H156" s="1286"/>
      <c r="I156" s="1286"/>
      <c r="J156" s="1286">
        <f>C156*E156</f>
        <v>24243</v>
      </c>
      <c r="K156" s="1286">
        <f>I156+J156</f>
        <v>24243</v>
      </c>
      <c r="L156" s="1286"/>
      <c r="M156" s="1286"/>
      <c r="N156" s="1286"/>
      <c r="O156" s="1287">
        <f>N156+K156+H156</f>
        <v>24243</v>
      </c>
      <c r="P156" s="850"/>
      <c r="Q156" s="1283"/>
      <c r="R156" s="1283"/>
      <c r="S156" s="1283"/>
      <c r="T156" s="1283"/>
      <c r="U156" s="1283"/>
      <c r="V156" s="1283"/>
      <c r="W156" s="1283"/>
      <c r="X156" s="1283"/>
      <c r="Y156" s="1283"/>
      <c r="Z156" s="1283"/>
      <c r="AA156" s="1283"/>
      <c r="AB156" s="1283"/>
      <c r="AC156" s="1283"/>
      <c r="AD156" s="1283"/>
      <c r="AE156" s="1283"/>
      <c r="AF156" s="1283"/>
      <c r="AG156" s="1283"/>
      <c r="AH156" s="1283"/>
      <c r="AI156" s="1283"/>
      <c r="AJ156" s="1283"/>
      <c r="AK156" s="1283"/>
      <c r="AL156" s="1283"/>
      <c r="AM156" s="1283"/>
      <c r="AN156" s="1283"/>
      <c r="AO156" s="1283"/>
      <c r="AP156" s="1283"/>
      <c r="AQ156" s="1283"/>
      <c r="AR156" s="1283"/>
      <c r="AS156" s="1283"/>
      <c r="AT156" s="1283"/>
      <c r="AU156" s="1283"/>
      <c r="AV156" s="1283"/>
      <c r="AW156" s="1283"/>
      <c r="AX156" s="1283"/>
      <c r="AY156" s="1283"/>
      <c r="AZ156" s="1283"/>
      <c r="BA156" s="1283"/>
      <c r="BB156" s="1283"/>
      <c r="BC156" s="1283"/>
      <c r="BD156" s="1283"/>
      <c r="BE156" s="1283"/>
      <c r="BF156" s="1283"/>
      <c r="BG156" s="1283"/>
      <c r="BH156" s="1283"/>
      <c r="BI156" s="1283"/>
      <c r="BJ156" s="1283"/>
      <c r="BK156" s="1283"/>
      <c r="BL156" s="1283"/>
      <c r="BM156" s="1283"/>
      <c r="BN156" s="1283"/>
      <c r="BO156" s="1283"/>
      <c r="BP156" s="1283"/>
      <c r="BQ156" s="1283"/>
      <c r="BR156" s="1283"/>
      <c r="BS156" s="1283"/>
      <c r="BT156" s="1283"/>
      <c r="BU156" s="1283"/>
      <c r="BV156" s="1283"/>
      <c r="BW156" s="1283"/>
      <c r="BX156" s="1283"/>
      <c r="BY156" s="1283"/>
      <c r="BZ156" s="1283"/>
      <c r="CA156" s="1283"/>
      <c r="CB156" s="1283"/>
      <c r="CC156" s="1283"/>
      <c r="CD156" s="1283"/>
      <c r="CE156" s="1283"/>
      <c r="CF156" s="1283"/>
      <c r="CG156" s="1283"/>
      <c r="CH156" s="1283"/>
      <c r="CI156" s="1283"/>
      <c r="CJ156" s="1283"/>
      <c r="CK156" s="1283"/>
    </row>
    <row r="157" spans="1:89" s="678" customFormat="1" ht="20.25" customHeight="1" x14ac:dyDescent="0.2">
      <c r="A157" s="1302"/>
      <c r="B157" s="1245"/>
      <c r="C157" s="1284"/>
      <c r="D157" s="1285"/>
      <c r="E157" s="1286"/>
      <c r="F157" s="1286"/>
      <c r="G157" s="1286"/>
      <c r="H157" s="1286"/>
      <c r="I157" s="1286"/>
      <c r="J157" s="1286"/>
      <c r="K157" s="1286"/>
      <c r="L157" s="1286"/>
      <c r="M157" s="1286"/>
      <c r="N157" s="1286"/>
      <c r="O157" s="1287"/>
      <c r="P157" s="850"/>
      <c r="Q157" s="1283"/>
      <c r="R157" s="1283"/>
      <c r="S157" s="1283"/>
      <c r="T157" s="1283"/>
      <c r="U157" s="1283"/>
      <c r="V157" s="1283"/>
      <c r="W157" s="1283"/>
      <c r="X157" s="1283"/>
      <c r="Y157" s="1283"/>
      <c r="Z157" s="1283"/>
      <c r="AA157" s="1283"/>
      <c r="AB157" s="1283"/>
      <c r="AC157" s="1283"/>
      <c r="AD157" s="1283"/>
      <c r="AE157" s="1283"/>
      <c r="AF157" s="1283"/>
      <c r="AG157" s="1283"/>
      <c r="AH157" s="1283"/>
      <c r="AI157" s="1283"/>
      <c r="AJ157" s="1283"/>
      <c r="AK157" s="1283"/>
      <c r="AL157" s="1283"/>
      <c r="AM157" s="1283"/>
      <c r="AN157" s="1283"/>
      <c r="AO157" s="1283"/>
      <c r="AP157" s="1283"/>
      <c r="AQ157" s="1283"/>
      <c r="AR157" s="1283"/>
      <c r="AS157" s="1283"/>
      <c r="AT157" s="1283"/>
      <c r="AU157" s="1283"/>
      <c r="AV157" s="1283"/>
      <c r="AW157" s="1283"/>
      <c r="AX157" s="1283"/>
      <c r="AY157" s="1283"/>
      <c r="AZ157" s="1283"/>
      <c r="BA157" s="1283"/>
      <c r="BB157" s="1283"/>
      <c r="BC157" s="1283"/>
      <c r="BD157" s="1283"/>
      <c r="BE157" s="1283"/>
      <c r="BF157" s="1283"/>
      <c r="BG157" s="1283"/>
      <c r="BH157" s="1283"/>
      <c r="BI157" s="1283"/>
      <c r="BJ157" s="1283"/>
      <c r="BK157" s="1283"/>
      <c r="BL157" s="1283"/>
      <c r="BM157" s="1283"/>
      <c r="BN157" s="1283"/>
      <c r="BO157" s="1283"/>
      <c r="BP157" s="1283"/>
      <c r="BQ157" s="1283"/>
      <c r="BR157" s="1283"/>
      <c r="BS157" s="1283"/>
      <c r="BT157" s="1283"/>
      <c r="BU157" s="1283"/>
      <c r="BV157" s="1283"/>
      <c r="BW157" s="1283"/>
      <c r="BX157" s="1283"/>
      <c r="BY157" s="1283"/>
      <c r="BZ157" s="1283"/>
      <c r="CA157" s="1283"/>
      <c r="CB157" s="1283"/>
      <c r="CC157" s="1283"/>
      <c r="CD157" s="1283"/>
      <c r="CE157" s="1283"/>
      <c r="CF157" s="1283"/>
      <c r="CG157" s="1283"/>
      <c r="CH157" s="1283"/>
      <c r="CI157" s="1283"/>
      <c r="CJ157" s="1283"/>
      <c r="CK157" s="1283"/>
    </row>
    <row r="158" spans="1:89" s="678" customFormat="1" ht="20.25" customHeight="1" x14ac:dyDescent="0.2">
      <c r="A158" s="1302">
        <v>3</v>
      </c>
      <c r="B158" s="1245" t="s">
        <v>40</v>
      </c>
      <c r="C158" s="1284"/>
      <c r="D158" s="1285"/>
      <c r="E158" s="1286"/>
      <c r="F158" s="1286"/>
      <c r="G158" s="1286"/>
      <c r="H158" s="1286"/>
      <c r="I158" s="1286"/>
      <c r="J158" s="1286"/>
      <c r="K158" s="1286"/>
      <c r="L158" s="1286"/>
      <c r="M158" s="1286"/>
      <c r="N158" s="1286"/>
      <c r="O158" s="1287"/>
      <c r="P158" s="850"/>
      <c r="Q158" s="1283"/>
      <c r="R158" s="1283"/>
      <c r="S158" s="1283"/>
      <c r="T158" s="1283"/>
      <c r="U158" s="1283"/>
      <c r="V158" s="1283"/>
      <c r="W158" s="1283"/>
      <c r="X158" s="1283"/>
      <c r="Y158" s="1283"/>
      <c r="Z158" s="1283"/>
      <c r="AA158" s="1283"/>
      <c r="AB158" s="1283"/>
      <c r="AC158" s="1283"/>
      <c r="AD158" s="1283"/>
      <c r="AE158" s="1283"/>
      <c r="AF158" s="1283"/>
      <c r="AG158" s="1283"/>
      <c r="AH158" s="1283"/>
      <c r="AI158" s="1283"/>
      <c r="AJ158" s="1283"/>
      <c r="AK158" s="1283"/>
      <c r="AL158" s="1283"/>
      <c r="AM158" s="1283"/>
      <c r="AN158" s="1283"/>
      <c r="AO158" s="1283"/>
      <c r="AP158" s="1283"/>
      <c r="AQ158" s="1283"/>
      <c r="AR158" s="1283"/>
      <c r="AS158" s="1283"/>
      <c r="AT158" s="1283"/>
      <c r="AU158" s="1283"/>
      <c r="AV158" s="1283"/>
      <c r="AW158" s="1283"/>
      <c r="AX158" s="1283"/>
      <c r="AY158" s="1283"/>
      <c r="AZ158" s="1283"/>
      <c r="BA158" s="1283"/>
      <c r="BB158" s="1283"/>
      <c r="BC158" s="1283"/>
      <c r="BD158" s="1283"/>
      <c r="BE158" s="1283"/>
      <c r="BF158" s="1283"/>
      <c r="BG158" s="1283"/>
      <c r="BH158" s="1283"/>
      <c r="BI158" s="1283"/>
      <c r="BJ158" s="1283"/>
      <c r="BK158" s="1283"/>
      <c r="BL158" s="1283"/>
      <c r="BM158" s="1283"/>
      <c r="BN158" s="1283"/>
      <c r="BO158" s="1283"/>
      <c r="BP158" s="1283"/>
      <c r="BQ158" s="1283"/>
      <c r="BR158" s="1283"/>
      <c r="BS158" s="1283"/>
      <c r="BT158" s="1283"/>
      <c r="BU158" s="1283"/>
      <c r="BV158" s="1283"/>
      <c r="BW158" s="1283"/>
      <c r="BX158" s="1283"/>
      <c r="BY158" s="1283"/>
      <c r="BZ158" s="1283"/>
      <c r="CA158" s="1283"/>
      <c r="CB158" s="1283"/>
      <c r="CC158" s="1283"/>
      <c r="CD158" s="1283"/>
      <c r="CE158" s="1283"/>
      <c r="CF158" s="1283"/>
      <c r="CG158" s="1283"/>
      <c r="CH158" s="1283"/>
      <c r="CI158" s="1283"/>
      <c r="CJ158" s="1283"/>
      <c r="CK158" s="1283"/>
    </row>
    <row r="159" spans="1:89" s="678" customFormat="1" ht="20.25" customHeight="1" x14ac:dyDescent="0.2">
      <c r="A159" s="1302"/>
      <c r="B159" s="1245" t="s">
        <v>592</v>
      </c>
      <c r="C159" s="1284">
        <v>1</v>
      </c>
      <c r="D159" s="1285" t="s">
        <v>25</v>
      </c>
      <c r="E159" s="1286">
        <v>25000</v>
      </c>
      <c r="F159" s="1286"/>
      <c r="G159" s="1286"/>
      <c r="H159" s="1286"/>
      <c r="I159" s="1286"/>
      <c r="J159" s="1286">
        <f>C159*E159</f>
        <v>25000</v>
      </c>
      <c r="K159" s="1286">
        <f>I159+J159</f>
        <v>25000</v>
      </c>
      <c r="L159" s="1286"/>
      <c r="M159" s="1286"/>
      <c r="N159" s="1286"/>
      <c r="O159" s="1287">
        <f>N159+K159+H159</f>
        <v>25000</v>
      </c>
      <c r="P159" s="850"/>
      <c r="Q159" s="1283"/>
      <c r="R159" s="1283"/>
      <c r="S159" s="1283"/>
      <c r="T159" s="1283"/>
      <c r="U159" s="1283"/>
      <c r="V159" s="1283"/>
      <c r="W159" s="1283"/>
      <c r="X159" s="1283"/>
      <c r="Y159" s="1283"/>
      <c r="Z159" s="1283"/>
      <c r="AA159" s="1283"/>
      <c r="AB159" s="1283"/>
      <c r="AC159" s="1283"/>
      <c r="AD159" s="1283"/>
      <c r="AE159" s="1283"/>
      <c r="AF159" s="1283"/>
      <c r="AG159" s="1283"/>
      <c r="AH159" s="1283"/>
      <c r="AI159" s="1283"/>
      <c r="AJ159" s="1283"/>
      <c r="AK159" s="1283"/>
      <c r="AL159" s="1283"/>
      <c r="AM159" s="1283"/>
      <c r="AN159" s="1283"/>
      <c r="AO159" s="1283"/>
      <c r="AP159" s="1283"/>
      <c r="AQ159" s="1283"/>
      <c r="AR159" s="1283"/>
      <c r="AS159" s="1283"/>
      <c r="AT159" s="1283"/>
      <c r="AU159" s="1283"/>
      <c r="AV159" s="1283"/>
      <c r="AW159" s="1283"/>
      <c r="AX159" s="1283"/>
      <c r="AY159" s="1283"/>
      <c r="AZ159" s="1283"/>
      <c r="BA159" s="1283"/>
      <c r="BB159" s="1283"/>
      <c r="BC159" s="1283"/>
      <c r="BD159" s="1283"/>
      <c r="BE159" s="1283"/>
      <c r="BF159" s="1283"/>
      <c r="BG159" s="1283"/>
      <c r="BH159" s="1283"/>
      <c r="BI159" s="1283"/>
      <c r="BJ159" s="1283"/>
      <c r="BK159" s="1283"/>
      <c r="BL159" s="1283"/>
      <c r="BM159" s="1283"/>
      <c r="BN159" s="1283"/>
      <c r="BO159" s="1283"/>
      <c r="BP159" s="1283"/>
      <c r="BQ159" s="1283"/>
      <c r="BR159" s="1283"/>
      <c r="BS159" s="1283"/>
      <c r="BT159" s="1283"/>
      <c r="BU159" s="1283"/>
      <c r="BV159" s="1283"/>
      <c r="BW159" s="1283"/>
      <c r="BX159" s="1283"/>
      <c r="BY159" s="1283"/>
      <c r="BZ159" s="1283"/>
      <c r="CA159" s="1283"/>
      <c r="CB159" s="1283"/>
      <c r="CC159" s="1283"/>
      <c r="CD159" s="1283"/>
      <c r="CE159" s="1283"/>
      <c r="CF159" s="1283"/>
      <c r="CG159" s="1283"/>
      <c r="CH159" s="1283"/>
      <c r="CI159" s="1283"/>
      <c r="CJ159" s="1283"/>
      <c r="CK159" s="1283"/>
    </row>
    <row r="160" spans="1:89" s="678" customFormat="1" ht="20.25" customHeight="1" x14ac:dyDescent="0.2">
      <c r="A160" s="1302"/>
      <c r="B160" s="1245"/>
      <c r="C160" s="1284"/>
      <c r="D160" s="1285"/>
      <c r="E160" s="1286"/>
      <c r="F160" s="1286"/>
      <c r="G160" s="1286"/>
      <c r="H160" s="1286"/>
      <c r="I160" s="1286"/>
      <c r="J160" s="1286"/>
      <c r="K160" s="1286"/>
      <c r="L160" s="1286"/>
      <c r="M160" s="1286"/>
      <c r="N160" s="1286"/>
      <c r="O160" s="1287"/>
      <c r="P160" s="850"/>
      <c r="Q160" s="1283"/>
      <c r="R160" s="1283"/>
      <c r="S160" s="1283"/>
      <c r="T160" s="1283"/>
      <c r="U160" s="1283"/>
      <c r="V160" s="1283"/>
      <c r="W160" s="1283"/>
      <c r="X160" s="1283"/>
      <c r="Y160" s="1283"/>
      <c r="Z160" s="1283"/>
      <c r="AA160" s="1283"/>
      <c r="AB160" s="1283"/>
      <c r="AC160" s="1283"/>
      <c r="AD160" s="1283"/>
      <c r="AE160" s="1283"/>
      <c r="AF160" s="1283"/>
      <c r="AG160" s="1283"/>
      <c r="AH160" s="1283"/>
      <c r="AI160" s="1283"/>
      <c r="AJ160" s="1283"/>
      <c r="AK160" s="1283"/>
      <c r="AL160" s="1283"/>
      <c r="AM160" s="1283"/>
      <c r="AN160" s="1283"/>
      <c r="AO160" s="1283"/>
      <c r="AP160" s="1283"/>
      <c r="AQ160" s="1283"/>
      <c r="AR160" s="1283"/>
      <c r="AS160" s="1283"/>
      <c r="AT160" s="1283"/>
      <c r="AU160" s="1283"/>
      <c r="AV160" s="1283"/>
      <c r="AW160" s="1283"/>
      <c r="AX160" s="1283"/>
      <c r="AY160" s="1283"/>
      <c r="AZ160" s="1283"/>
      <c r="BA160" s="1283"/>
      <c r="BB160" s="1283"/>
      <c r="BC160" s="1283"/>
      <c r="BD160" s="1283"/>
      <c r="BE160" s="1283"/>
      <c r="BF160" s="1283"/>
      <c r="BG160" s="1283"/>
      <c r="BH160" s="1283"/>
      <c r="BI160" s="1283"/>
      <c r="BJ160" s="1283"/>
      <c r="BK160" s="1283"/>
      <c r="BL160" s="1283"/>
      <c r="BM160" s="1283"/>
      <c r="BN160" s="1283"/>
      <c r="BO160" s="1283"/>
      <c r="BP160" s="1283"/>
      <c r="BQ160" s="1283"/>
      <c r="BR160" s="1283"/>
      <c r="BS160" s="1283"/>
      <c r="BT160" s="1283"/>
      <c r="BU160" s="1283"/>
      <c r="BV160" s="1283"/>
      <c r="BW160" s="1283"/>
      <c r="BX160" s="1283"/>
      <c r="BY160" s="1283"/>
      <c r="BZ160" s="1283"/>
      <c r="CA160" s="1283"/>
      <c r="CB160" s="1283"/>
      <c r="CC160" s="1283"/>
      <c r="CD160" s="1283"/>
      <c r="CE160" s="1283"/>
      <c r="CF160" s="1283"/>
      <c r="CG160" s="1283"/>
      <c r="CH160" s="1283"/>
      <c r="CI160" s="1283"/>
      <c r="CJ160" s="1283"/>
      <c r="CK160" s="1283"/>
    </row>
    <row r="161" spans="1:89" s="678" customFormat="1" ht="20.25" customHeight="1" x14ac:dyDescent="0.2">
      <c r="A161" s="1302">
        <v>4</v>
      </c>
      <c r="B161" s="1245" t="s">
        <v>43</v>
      </c>
      <c r="C161" s="1284"/>
      <c r="D161" s="1285"/>
      <c r="E161" s="1286"/>
      <c r="F161" s="1286"/>
      <c r="G161" s="1286"/>
      <c r="H161" s="1286"/>
      <c r="I161" s="1286"/>
      <c r="J161" s="1286"/>
      <c r="K161" s="1286"/>
      <c r="L161" s="1286"/>
      <c r="M161" s="1286"/>
      <c r="N161" s="1286"/>
      <c r="O161" s="1287"/>
      <c r="P161" s="850"/>
      <c r="Q161" s="1283"/>
      <c r="R161" s="1283"/>
      <c r="S161" s="1283"/>
      <c r="T161" s="1283"/>
      <c r="U161" s="1283"/>
      <c r="V161" s="1283"/>
      <c r="W161" s="1283"/>
      <c r="X161" s="1283"/>
      <c r="Y161" s="1283"/>
      <c r="Z161" s="1283"/>
      <c r="AA161" s="1283"/>
      <c r="AB161" s="1283"/>
      <c r="AC161" s="1283"/>
      <c r="AD161" s="1283"/>
      <c r="AE161" s="1283"/>
      <c r="AF161" s="1283"/>
      <c r="AG161" s="1283"/>
      <c r="AH161" s="1283"/>
      <c r="AI161" s="1283"/>
      <c r="AJ161" s="1283"/>
      <c r="AK161" s="1283"/>
      <c r="AL161" s="1283"/>
      <c r="AM161" s="1283"/>
      <c r="AN161" s="1283"/>
      <c r="AO161" s="1283"/>
      <c r="AP161" s="1283"/>
      <c r="AQ161" s="1283"/>
      <c r="AR161" s="1283"/>
      <c r="AS161" s="1283"/>
      <c r="AT161" s="1283"/>
      <c r="AU161" s="1283"/>
      <c r="AV161" s="1283"/>
      <c r="AW161" s="1283"/>
      <c r="AX161" s="1283"/>
      <c r="AY161" s="1283"/>
      <c r="AZ161" s="1283"/>
      <c r="BA161" s="1283"/>
      <c r="BB161" s="1283"/>
      <c r="BC161" s="1283"/>
      <c r="BD161" s="1283"/>
      <c r="BE161" s="1283"/>
      <c r="BF161" s="1283"/>
      <c r="BG161" s="1283"/>
      <c r="BH161" s="1283"/>
      <c r="BI161" s="1283"/>
      <c r="BJ161" s="1283"/>
      <c r="BK161" s="1283"/>
      <c r="BL161" s="1283"/>
      <c r="BM161" s="1283"/>
      <c r="BN161" s="1283"/>
      <c r="BO161" s="1283"/>
      <c r="BP161" s="1283"/>
      <c r="BQ161" s="1283"/>
      <c r="BR161" s="1283"/>
      <c r="BS161" s="1283"/>
      <c r="BT161" s="1283"/>
      <c r="BU161" s="1283"/>
      <c r="BV161" s="1283"/>
      <c r="BW161" s="1283"/>
      <c r="BX161" s="1283"/>
      <c r="BY161" s="1283"/>
      <c r="BZ161" s="1283"/>
      <c r="CA161" s="1283"/>
      <c r="CB161" s="1283"/>
      <c r="CC161" s="1283"/>
      <c r="CD161" s="1283"/>
      <c r="CE161" s="1283"/>
      <c r="CF161" s="1283"/>
      <c r="CG161" s="1283"/>
      <c r="CH161" s="1283"/>
      <c r="CI161" s="1283"/>
      <c r="CJ161" s="1283"/>
      <c r="CK161" s="1283"/>
    </row>
    <row r="162" spans="1:89" s="678" customFormat="1" ht="20.25" customHeight="1" x14ac:dyDescent="0.2">
      <c r="A162" s="1302"/>
      <c r="B162" s="1245" t="s">
        <v>593</v>
      </c>
      <c r="C162" s="1284">
        <v>5</v>
      </c>
      <c r="D162" s="1285" t="s">
        <v>45</v>
      </c>
      <c r="E162" s="1286">
        <v>5000</v>
      </c>
      <c r="F162" s="1286"/>
      <c r="G162" s="1286"/>
      <c r="H162" s="1286"/>
      <c r="I162" s="1286"/>
      <c r="J162" s="1286">
        <f>C162*E162</f>
        <v>25000</v>
      </c>
      <c r="K162" s="1286">
        <f>I162+J162</f>
        <v>25000</v>
      </c>
      <c r="L162" s="1286"/>
      <c r="M162" s="1286"/>
      <c r="N162" s="1286"/>
      <c r="O162" s="1287">
        <f>N162+K162+H162</f>
        <v>25000</v>
      </c>
      <c r="P162" s="850"/>
      <c r="Q162" s="1283"/>
      <c r="R162" s="1283"/>
      <c r="S162" s="1283"/>
      <c r="T162" s="1283"/>
      <c r="U162" s="1283"/>
      <c r="V162" s="1283"/>
      <c r="W162" s="1283"/>
      <c r="X162" s="1283"/>
      <c r="Y162" s="1283"/>
      <c r="Z162" s="1283"/>
      <c r="AA162" s="1283"/>
      <c r="AB162" s="1283"/>
      <c r="AC162" s="1283"/>
      <c r="AD162" s="1283"/>
      <c r="AE162" s="1283"/>
      <c r="AF162" s="1283"/>
      <c r="AG162" s="1283"/>
      <c r="AH162" s="1283"/>
      <c r="AI162" s="1283"/>
      <c r="AJ162" s="1283"/>
      <c r="AK162" s="1283"/>
      <c r="AL162" s="1283"/>
      <c r="AM162" s="1283"/>
      <c r="AN162" s="1283"/>
      <c r="AO162" s="1283"/>
      <c r="AP162" s="1283"/>
      <c r="AQ162" s="1283"/>
      <c r="AR162" s="1283"/>
      <c r="AS162" s="1283"/>
      <c r="AT162" s="1283"/>
      <c r="AU162" s="1283"/>
      <c r="AV162" s="1283"/>
      <c r="AW162" s="1283"/>
      <c r="AX162" s="1283"/>
      <c r="AY162" s="1283"/>
      <c r="AZ162" s="1283"/>
      <c r="BA162" s="1283"/>
      <c r="BB162" s="1283"/>
      <c r="BC162" s="1283"/>
      <c r="BD162" s="1283"/>
      <c r="BE162" s="1283"/>
      <c r="BF162" s="1283"/>
      <c r="BG162" s="1283"/>
      <c r="BH162" s="1283"/>
      <c r="BI162" s="1283"/>
      <c r="BJ162" s="1283"/>
      <c r="BK162" s="1283"/>
      <c r="BL162" s="1283"/>
      <c r="BM162" s="1283"/>
      <c r="BN162" s="1283"/>
      <c r="BO162" s="1283"/>
      <c r="BP162" s="1283"/>
      <c r="BQ162" s="1283"/>
      <c r="BR162" s="1283"/>
      <c r="BS162" s="1283"/>
      <c r="BT162" s="1283"/>
      <c r="BU162" s="1283"/>
      <c r="BV162" s="1283"/>
      <c r="BW162" s="1283"/>
      <c r="BX162" s="1283"/>
      <c r="BY162" s="1283"/>
      <c r="BZ162" s="1283"/>
      <c r="CA162" s="1283"/>
      <c r="CB162" s="1283"/>
      <c r="CC162" s="1283"/>
      <c r="CD162" s="1283"/>
      <c r="CE162" s="1283"/>
      <c r="CF162" s="1283"/>
      <c r="CG162" s="1283"/>
      <c r="CH162" s="1283"/>
      <c r="CI162" s="1283"/>
      <c r="CJ162" s="1283"/>
      <c r="CK162" s="1283"/>
    </row>
    <row r="163" spans="1:89" s="678" customFormat="1" ht="20.25" customHeight="1" x14ac:dyDescent="0.2">
      <c r="A163" s="1302"/>
      <c r="B163" s="1245"/>
      <c r="C163" s="1284"/>
      <c r="D163" s="1285"/>
      <c r="E163" s="1286"/>
      <c r="F163" s="1286"/>
      <c r="G163" s="1286"/>
      <c r="H163" s="1286"/>
      <c r="I163" s="1286"/>
      <c r="J163" s="1286"/>
      <c r="K163" s="1286"/>
      <c r="L163" s="1286"/>
      <c r="M163" s="1286"/>
      <c r="N163" s="1286"/>
      <c r="O163" s="1287"/>
      <c r="P163" s="850"/>
      <c r="Q163" s="1283"/>
      <c r="R163" s="1283"/>
      <c r="S163" s="1283"/>
      <c r="T163" s="1283"/>
      <c r="U163" s="1283"/>
      <c r="V163" s="1283"/>
      <c r="W163" s="1283"/>
      <c r="X163" s="1283"/>
      <c r="Y163" s="1283"/>
      <c r="Z163" s="1283"/>
      <c r="AA163" s="1283"/>
      <c r="AB163" s="1283"/>
      <c r="AC163" s="1283"/>
      <c r="AD163" s="1283"/>
      <c r="AE163" s="1283"/>
      <c r="AF163" s="1283"/>
      <c r="AG163" s="1283"/>
      <c r="AH163" s="1283"/>
      <c r="AI163" s="1283"/>
      <c r="AJ163" s="1283"/>
      <c r="AK163" s="1283"/>
      <c r="AL163" s="1283"/>
      <c r="AM163" s="1283"/>
      <c r="AN163" s="1283"/>
      <c r="AO163" s="1283"/>
      <c r="AP163" s="1283"/>
      <c r="AQ163" s="1283"/>
      <c r="AR163" s="1283"/>
      <c r="AS163" s="1283"/>
      <c r="AT163" s="1283"/>
      <c r="AU163" s="1283"/>
      <c r="AV163" s="1283"/>
      <c r="AW163" s="1283"/>
      <c r="AX163" s="1283"/>
      <c r="AY163" s="1283"/>
      <c r="AZ163" s="1283"/>
      <c r="BA163" s="1283"/>
      <c r="BB163" s="1283"/>
      <c r="BC163" s="1283"/>
      <c r="BD163" s="1283"/>
      <c r="BE163" s="1283"/>
      <c r="BF163" s="1283"/>
      <c r="BG163" s="1283"/>
      <c r="BH163" s="1283"/>
      <c r="BI163" s="1283"/>
      <c r="BJ163" s="1283"/>
      <c r="BK163" s="1283"/>
      <c r="BL163" s="1283"/>
      <c r="BM163" s="1283"/>
      <c r="BN163" s="1283"/>
      <c r="BO163" s="1283"/>
      <c r="BP163" s="1283"/>
      <c r="BQ163" s="1283"/>
      <c r="BR163" s="1283"/>
      <c r="BS163" s="1283"/>
      <c r="BT163" s="1283"/>
      <c r="BU163" s="1283"/>
      <c r="BV163" s="1283"/>
      <c r="BW163" s="1283"/>
      <c r="BX163" s="1283"/>
      <c r="BY163" s="1283"/>
      <c r="BZ163" s="1283"/>
      <c r="CA163" s="1283"/>
      <c r="CB163" s="1283"/>
      <c r="CC163" s="1283"/>
      <c r="CD163" s="1283"/>
      <c r="CE163" s="1283"/>
      <c r="CF163" s="1283"/>
      <c r="CG163" s="1283"/>
      <c r="CH163" s="1283"/>
      <c r="CI163" s="1283"/>
      <c r="CJ163" s="1283"/>
      <c r="CK163" s="1283"/>
    </row>
    <row r="164" spans="1:89" s="678" customFormat="1" ht="20.25" customHeight="1" x14ac:dyDescent="0.2">
      <c r="A164" s="1302">
        <v>5</v>
      </c>
      <c r="B164" s="689" t="s">
        <v>48</v>
      </c>
      <c r="C164" s="1284"/>
      <c r="D164" s="1285"/>
      <c r="E164" s="1286"/>
      <c r="F164" s="1286"/>
      <c r="G164" s="1286"/>
      <c r="H164" s="1286"/>
      <c r="I164" s="1286"/>
      <c r="J164" s="1286"/>
      <c r="K164" s="1286"/>
      <c r="L164" s="1286"/>
      <c r="M164" s="1286"/>
      <c r="N164" s="1286"/>
      <c r="O164" s="1287"/>
      <c r="P164" s="850"/>
      <c r="Q164" s="1283"/>
      <c r="R164" s="1283"/>
      <c r="S164" s="1283"/>
      <c r="T164" s="1283"/>
      <c r="U164" s="1283"/>
      <c r="V164" s="1283"/>
      <c r="W164" s="1283"/>
      <c r="X164" s="1283"/>
      <c r="Y164" s="1283"/>
      <c r="Z164" s="1283"/>
      <c r="AA164" s="1283"/>
      <c r="AB164" s="1283"/>
      <c r="AC164" s="1283"/>
      <c r="AD164" s="1283"/>
      <c r="AE164" s="1283"/>
      <c r="AF164" s="1283"/>
      <c r="AG164" s="1283"/>
      <c r="AH164" s="1283"/>
      <c r="AI164" s="1283"/>
      <c r="AJ164" s="1283"/>
      <c r="AK164" s="1283"/>
      <c r="AL164" s="1283"/>
      <c r="AM164" s="1283"/>
      <c r="AN164" s="1283"/>
      <c r="AO164" s="1283"/>
      <c r="AP164" s="1283"/>
      <c r="AQ164" s="1283"/>
      <c r="AR164" s="1283"/>
      <c r="AS164" s="1283"/>
      <c r="AT164" s="1283"/>
      <c r="AU164" s="1283"/>
      <c r="AV164" s="1283"/>
      <c r="AW164" s="1283"/>
      <c r="AX164" s="1283"/>
      <c r="AY164" s="1283"/>
      <c r="AZ164" s="1283"/>
      <c r="BA164" s="1283"/>
      <c r="BB164" s="1283"/>
      <c r="BC164" s="1283"/>
      <c r="BD164" s="1283"/>
      <c r="BE164" s="1283"/>
      <c r="BF164" s="1283"/>
      <c r="BG164" s="1283"/>
      <c r="BH164" s="1283"/>
      <c r="BI164" s="1283"/>
      <c r="BJ164" s="1283"/>
      <c r="BK164" s="1283"/>
      <c r="BL164" s="1283"/>
      <c r="BM164" s="1283"/>
      <c r="BN164" s="1283"/>
      <c r="BO164" s="1283"/>
      <c r="BP164" s="1283"/>
      <c r="BQ164" s="1283"/>
      <c r="BR164" s="1283"/>
      <c r="BS164" s="1283"/>
      <c r="BT164" s="1283"/>
      <c r="BU164" s="1283"/>
      <c r="BV164" s="1283"/>
      <c r="BW164" s="1283"/>
      <c r="BX164" s="1283"/>
      <c r="BY164" s="1283"/>
      <c r="BZ164" s="1283"/>
      <c r="CA164" s="1283"/>
      <c r="CB164" s="1283"/>
      <c r="CC164" s="1283"/>
      <c r="CD164" s="1283"/>
      <c r="CE164" s="1283"/>
      <c r="CF164" s="1283"/>
      <c r="CG164" s="1283"/>
      <c r="CH164" s="1283"/>
      <c r="CI164" s="1283"/>
      <c r="CJ164" s="1283"/>
      <c r="CK164" s="1283"/>
    </row>
    <row r="165" spans="1:89" s="678" customFormat="1" ht="20.25" customHeight="1" x14ac:dyDescent="0.2">
      <c r="A165" s="1302"/>
      <c r="B165" s="1245" t="s">
        <v>594</v>
      </c>
      <c r="C165" s="1284">
        <v>70</v>
      </c>
      <c r="D165" s="1285" t="s">
        <v>51</v>
      </c>
      <c r="E165" s="1286">
        <v>2500</v>
      </c>
      <c r="F165" s="1286"/>
      <c r="G165" s="1286"/>
      <c r="H165" s="1286"/>
      <c r="I165" s="1286"/>
      <c r="J165" s="1286">
        <f>C165*E165</f>
        <v>175000</v>
      </c>
      <c r="K165" s="1286">
        <f>I165+J165</f>
        <v>175000</v>
      </c>
      <c r="L165" s="1286"/>
      <c r="M165" s="1286"/>
      <c r="N165" s="1286"/>
      <c r="O165" s="1287">
        <f>N165+K165+H165</f>
        <v>175000</v>
      </c>
      <c r="P165" s="850"/>
      <c r="Q165" s="1283"/>
      <c r="R165" s="1283"/>
      <c r="S165" s="1283"/>
      <c r="T165" s="1283"/>
      <c r="U165" s="1283"/>
      <c r="V165" s="1283"/>
      <c r="W165" s="1283"/>
      <c r="X165" s="1283"/>
      <c r="Y165" s="1283"/>
      <c r="Z165" s="1283"/>
      <c r="AA165" s="1283"/>
      <c r="AB165" s="1283"/>
      <c r="AC165" s="1283"/>
      <c r="AD165" s="1283"/>
      <c r="AE165" s="1283"/>
      <c r="AF165" s="1283"/>
      <c r="AG165" s="1283"/>
      <c r="AH165" s="1283"/>
      <c r="AI165" s="1283"/>
      <c r="AJ165" s="1283"/>
      <c r="AK165" s="1283"/>
      <c r="AL165" s="1283"/>
      <c r="AM165" s="1283"/>
      <c r="AN165" s="1283"/>
      <c r="AO165" s="1283"/>
      <c r="AP165" s="1283"/>
      <c r="AQ165" s="1283"/>
      <c r="AR165" s="1283"/>
      <c r="AS165" s="1283"/>
      <c r="AT165" s="1283"/>
      <c r="AU165" s="1283"/>
      <c r="AV165" s="1283"/>
      <c r="AW165" s="1283"/>
      <c r="AX165" s="1283"/>
      <c r="AY165" s="1283"/>
      <c r="AZ165" s="1283"/>
      <c r="BA165" s="1283"/>
      <c r="BB165" s="1283"/>
      <c r="BC165" s="1283"/>
      <c r="BD165" s="1283"/>
      <c r="BE165" s="1283"/>
      <c r="BF165" s="1283"/>
      <c r="BG165" s="1283"/>
      <c r="BH165" s="1283"/>
      <c r="BI165" s="1283"/>
      <c r="BJ165" s="1283"/>
      <c r="BK165" s="1283"/>
      <c r="BL165" s="1283"/>
      <c r="BM165" s="1283"/>
      <c r="BN165" s="1283"/>
      <c r="BO165" s="1283"/>
      <c r="BP165" s="1283"/>
      <c r="BQ165" s="1283"/>
      <c r="BR165" s="1283"/>
      <c r="BS165" s="1283"/>
      <c r="BT165" s="1283"/>
      <c r="BU165" s="1283"/>
      <c r="BV165" s="1283"/>
      <c r="BW165" s="1283"/>
      <c r="BX165" s="1283"/>
      <c r="BY165" s="1283"/>
      <c r="BZ165" s="1283"/>
      <c r="CA165" s="1283"/>
      <c r="CB165" s="1283"/>
      <c r="CC165" s="1283"/>
      <c r="CD165" s="1283"/>
      <c r="CE165" s="1283"/>
      <c r="CF165" s="1283"/>
      <c r="CG165" s="1283"/>
      <c r="CH165" s="1283"/>
      <c r="CI165" s="1283"/>
      <c r="CJ165" s="1283"/>
      <c r="CK165" s="1283"/>
    </row>
    <row r="166" spans="1:89" s="678" customFormat="1" ht="20.25" customHeight="1" x14ac:dyDescent="0.2">
      <c r="A166" s="1302"/>
      <c r="B166" s="689" t="s">
        <v>595</v>
      </c>
      <c r="C166" s="1284">
        <v>140</v>
      </c>
      <c r="D166" s="1285" t="s">
        <v>53</v>
      </c>
      <c r="E166" s="1286">
        <v>450</v>
      </c>
      <c r="F166" s="1286"/>
      <c r="G166" s="1286"/>
      <c r="H166" s="1286"/>
      <c r="I166" s="1286"/>
      <c r="J166" s="1286">
        <f>C166*E166</f>
        <v>63000</v>
      </c>
      <c r="K166" s="1286">
        <f>I166+J166</f>
        <v>63000</v>
      </c>
      <c r="L166" s="1286"/>
      <c r="M166" s="1286"/>
      <c r="N166" s="1286"/>
      <c r="O166" s="1287">
        <f>N166+K166+H166</f>
        <v>63000</v>
      </c>
      <c r="P166" s="850"/>
      <c r="Q166" s="1283"/>
      <c r="R166" s="1283"/>
      <c r="S166" s="1283"/>
      <c r="T166" s="1283"/>
      <c r="U166" s="1283"/>
      <c r="V166" s="1283"/>
      <c r="W166" s="1283"/>
      <c r="X166" s="1283"/>
      <c r="Y166" s="1283"/>
      <c r="Z166" s="1283"/>
      <c r="AA166" s="1283"/>
      <c r="AB166" s="1283"/>
      <c r="AC166" s="1283"/>
      <c r="AD166" s="1283"/>
      <c r="AE166" s="1283"/>
      <c r="AF166" s="1283"/>
      <c r="AG166" s="1283"/>
      <c r="AH166" s="1283"/>
      <c r="AI166" s="1283"/>
      <c r="AJ166" s="1283"/>
      <c r="AK166" s="1283"/>
      <c r="AL166" s="1283"/>
      <c r="AM166" s="1283"/>
      <c r="AN166" s="1283"/>
      <c r="AO166" s="1283"/>
      <c r="AP166" s="1283"/>
      <c r="AQ166" s="1283"/>
      <c r="AR166" s="1283"/>
      <c r="AS166" s="1283"/>
      <c r="AT166" s="1283"/>
      <c r="AU166" s="1283"/>
      <c r="AV166" s="1283"/>
      <c r="AW166" s="1283"/>
      <c r="AX166" s="1283"/>
      <c r="AY166" s="1283"/>
      <c r="AZ166" s="1283"/>
      <c r="BA166" s="1283"/>
      <c r="BB166" s="1283"/>
      <c r="BC166" s="1283"/>
      <c r="BD166" s="1283"/>
      <c r="BE166" s="1283"/>
      <c r="BF166" s="1283"/>
      <c r="BG166" s="1283"/>
      <c r="BH166" s="1283"/>
      <c r="BI166" s="1283"/>
      <c r="BJ166" s="1283"/>
      <c r="BK166" s="1283"/>
      <c r="BL166" s="1283"/>
      <c r="BM166" s="1283"/>
      <c r="BN166" s="1283"/>
      <c r="BO166" s="1283"/>
      <c r="BP166" s="1283"/>
      <c r="BQ166" s="1283"/>
      <c r="BR166" s="1283"/>
      <c r="BS166" s="1283"/>
      <c r="BT166" s="1283"/>
      <c r="BU166" s="1283"/>
      <c r="BV166" s="1283"/>
      <c r="BW166" s="1283"/>
      <c r="BX166" s="1283"/>
      <c r="BY166" s="1283"/>
      <c r="BZ166" s="1283"/>
      <c r="CA166" s="1283"/>
      <c r="CB166" s="1283"/>
      <c r="CC166" s="1283"/>
      <c r="CD166" s="1283"/>
      <c r="CE166" s="1283"/>
      <c r="CF166" s="1283"/>
      <c r="CG166" s="1283"/>
      <c r="CH166" s="1283"/>
      <c r="CI166" s="1283"/>
      <c r="CJ166" s="1283"/>
      <c r="CK166" s="1283"/>
    </row>
    <row r="167" spans="1:89" s="678" customFormat="1" ht="20.25" customHeight="1" x14ac:dyDescent="0.2">
      <c r="A167" s="1302"/>
      <c r="B167" s="689" t="s">
        <v>54</v>
      </c>
      <c r="C167" s="1284">
        <v>100</v>
      </c>
      <c r="D167" s="1285" t="s">
        <v>55</v>
      </c>
      <c r="E167" s="1286">
        <v>450</v>
      </c>
      <c r="F167" s="1286"/>
      <c r="G167" s="1286"/>
      <c r="H167" s="1286"/>
      <c r="I167" s="1286"/>
      <c r="J167" s="1286">
        <f>C167*E167</f>
        <v>45000</v>
      </c>
      <c r="K167" s="1286">
        <f>I167+J167</f>
        <v>45000</v>
      </c>
      <c r="L167" s="1286"/>
      <c r="M167" s="1286"/>
      <c r="N167" s="1286"/>
      <c r="O167" s="1287">
        <f>N167+K167+H167</f>
        <v>45000</v>
      </c>
      <c r="P167" s="850"/>
      <c r="Q167" s="1283"/>
      <c r="R167" s="1283"/>
      <c r="S167" s="1283"/>
      <c r="T167" s="1283"/>
      <c r="U167" s="1283"/>
      <c r="V167" s="1283"/>
      <c r="W167" s="1283"/>
      <c r="X167" s="1283"/>
      <c r="Y167" s="1283"/>
      <c r="Z167" s="1283"/>
      <c r="AA167" s="1283"/>
      <c r="AB167" s="1283"/>
      <c r="AC167" s="1283"/>
      <c r="AD167" s="1283"/>
      <c r="AE167" s="1283"/>
      <c r="AF167" s="1283"/>
      <c r="AG167" s="1283"/>
      <c r="AH167" s="1283"/>
      <c r="AI167" s="1283"/>
      <c r="AJ167" s="1283"/>
      <c r="AK167" s="1283"/>
      <c r="AL167" s="1283"/>
      <c r="AM167" s="1283"/>
      <c r="AN167" s="1283"/>
      <c r="AO167" s="1283"/>
      <c r="AP167" s="1283"/>
      <c r="AQ167" s="1283"/>
      <c r="AR167" s="1283"/>
      <c r="AS167" s="1283"/>
      <c r="AT167" s="1283"/>
      <c r="AU167" s="1283"/>
      <c r="AV167" s="1283"/>
      <c r="AW167" s="1283"/>
      <c r="AX167" s="1283"/>
      <c r="AY167" s="1283"/>
      <c r="AZ167" s="1283"/>
      <c r="BA167" s="1283"/>
      <c r="BB167" s="1283"/>
      <c r="BC167" s="1283"/>
      <c r="BD167" s="1283"/>
      <c r="BE167" s="1283"/>
      <c r="BF167" s="1283"/>
      <c r="BG167" s="1283"/>
      <c r="BH167" s="1283"/>
      <c r="BI167" s="1283"/>
      <c r="BJ167" s="1283"/>
      <c r="BK167" s="1283"/>
      <c r="BL167" s="1283"/>
      <c r="BM167" s="1283"/>
      <c r="BN167" s="1283"/>
      <c r="BO167" s="1283"/>
      <c r="BP167" s="1283"/>
      <c r="BQ167" s="1283"/>
      <c r="BR167" s="1283"/>
      <c r="BS167" s="1283"/>
      <c r="BT167" s="1283"/>
      <c r="BU167" s="1283"/>
      <c r="BV167" s="1283"/>
      <c r="BW167" s="1283"/>
      <c r="BX167" s="1283"/>
      <c r="BY167" s="1283"/>
      <c r="BZ167" s="1283"/>
      <c r="CA167" s="1283"/>
      <c r="CB167" s="1283"/>
      <c r="CC167" s="1283"/>
      <c r="CD167" s="1283"/>
      <c r="CE167" s="1283"/>
      <c r="CF167" s="1283"/>
      <c r="CG167" s="1283"/>
      <c r="CH167" s="1283"/>
      <c r="CI167" s="1283"/>
      <c r="CJ167" s="1283"/>
      <c r="CK167" s="1283"/>
    </row>
    <row r="168" spans="1:89" s="678" customFormat="1" ht="20.25" customHeight="1" x14ac:dyDescent="0.2">
      <c r="A168" s="1302"/>
      <c r="B168" s="1245" t="s">
        <v>596</v>
      </c>
      <c r="C168" s="1284">
        <v>80</v>
      </c>
      <c r="D168" s="1285" t="s">
        <v>55</v>
      </c>
      <c r="E168" s="1286">
        <v>300</v>
      </c>
      <c r="F168" s="1286"/>
      <c r="G168" s="1286"/>
      <c r="H168" s="1286"/>
      <c r="I168" s="1286"/>
      <c r="J168" s="1286">
        <f>C168*E168</f>
        <v>24000</v>
      </c>
      <c r="K168" s="1286">
        <f>I168+J168</f>
        <v>24000</v>
      </c>
      <c r="L168" s="1286"/>
      <c r="M168" s="1286"/>
      <c r="N168" s="1286"/>
      <c r="O168" s="1287">
        <f>N168+K168+H168</f>
        <v>24000</v>
      </c>
      <c r="P168" s="850"/>
      <c r="Q168" s="1283"/>
      <c r="R168" s="1283"/>
      <c r="S168" s="1283"/>
      <c r="T168" s="1283"/>
      <c r="U168" s="1283"/>
      <c r="V168" s="1283"/>
      <c r="W168" s="1283"/>
      <c r="X168" s="1283"/>
      <c r="Y168" s="1283"/>
      <c r="Z168" s="1283"/>
      <c r="AA168" s="1283"/>
      <c r="AB168" s="1283"/>
      <c r="AC168" s="1283"/>
      <c r="AD168" s="1283"/>
      <c r="AE168" s="1283"/>
      <c r="AF168" s="1283"/>
      <c r="AG168" s="1283"/>
      <c r="AH168" s="1283"/>
      <c r="AI168" s="1283"/>
      <c r="AJ168" s="1283"/>
      <c r="AK168" s="1283"/>
      <c r="AL168" s="1283"/>
      <c r="AM168" s="1283"/>
      <c r="AN168" s="1283"/>
      <c r="AO168" s="1283"/>
      <c r="AP168" s="1283"/>
      <c r="AQ168" s="1283"/>
      <c r="AR168" s="1283"/>
      <c r="AS168" s="1283"/>
      <c r="AT168" s="1283"/>
      <c r="AU168" s="1283"/>
      <c r="AV168" s="1283"/>
      <c r="AW168" s="1283"/>
      <c r="AX168" s="1283"/>
      <c r="AY168" s="1283"/>
      <c r="AZ168" s="1283"/>
      <c r="BA168" s="1283"/>
      <c r="BB168" s="1283"/>
      <c r="BC168" s="1283"/>
      <c r="BD168" s="1283"/>
      <c r="BE168" s="1283"/>
      <c r="BF168" s="1283"/>
      <c r="BG168" s="1283"/>
      <c r="BH168" s="1283"/>
      <c r="BI168" s="1283"/>
      <c r="BJ168" s="1283"/>
      <c r="BK168" s="1283"/>
      <c r="BL168" s="1283"/>
      <c r="BM168" s="1283"/>
      <c r="BN168" s="1283"/>
      <c r="BO168" s="1283"/>
      <c r="BP168" s="1283"/>
      <c r="BQ168" s="1283"/>
      <c r="BR168" s="1283"/>
      <c r="BS168" s="1283"/>
      <c r="BT168" s="1283"/>
      <c r="BU168" s="1283"/>
      <c r="BV168" s="1283"/>
      <c r="BW168" s="1283"/>
      <c r="BX168" s="1283"/>
      <c r="BY168" s="1283"/>
      <c r="BZ168" s="1283"/>
      <c r="CA168" s="1283"/>
      <c r="CB168" s="1283"/>
      <c r="CC168" s="1283"/>
      <c r="CD168" s="1283"/>
      <c r="CE168" s="1283"/>
      <c r="CF168" s="1283"/>
      <c r="CG168" s="1283"/>
      <c r="CH168" s="1283"/>
      <c r="CI168" s="1283"/>
      <c r="CJ168" s="1283"/>
      <c r="CK168" s="1283"/>
    </row>
    <row r="169" spans="1:89" s="678" customFormat="1" ht="20.25" customHeight="1" x14ac:dyDescent="0.2">
      <c r="A169" s="1302"/>
      <c r="B169" s="1245"/>
      <c r="C169" s="1284"/>
      <c r="D169" s="1285"/>
      <c r="E169" s="1286"/>
      <c r="F169" s="1286"/>
      <c r="G169" s="1286"/>
      <c r="H169" s="1286"/>
      <c r="I169" s="1286"/>
      <c r="J169" s="1286"/>
      <c r="K169" s="1286"/>
      <c r="L169" s="1286"/>
      <c r="M169" s="1286"/>
      <c r="N169" s="1286"/>
      <c r="O169" s="1287"/>
      <c r="P169" s="850"/>
      <c r="Q169" s="1283"/>
      <c r="R169" s="1283"/>
      <c r="S169" s="1283"/>
      <c r="T169" s="1283"/>
      <c r="U169" s="1283"/>
      <c r="V169" s="1283"/>
      <c r="W169" s="1283"/>
      <c r="X169" s="1283"/>
      <c r="Y169" s="1283"/>
      <c r="Z169" s="1283"/>
      <c r="AA169" s="1283"/>
      <c r="AB169" s="1283"/>
      <c r="AC169" s="1283"/>
      <c r="AD169" s="1283"/>
      <c r="AE169" s="1283"/>
      <c r="AF169" s="1283"/>
      <c r="AG169" s="1283"/>
      <c r="AH169" s="1283"/>
      <c r="AI169" s="1283"/>
      <c r="AJ169" s="1283"/>
      <c r="AK169" s="1283"/>
      <c r="AL169" s="1283"/>
      <c r="AM169" s="1283"/>
      <c r="AN169" s="1283"/>
      <c r="AO169" s="1283"/>
      <c r="AP169" s="1283"/>
      <c r="AQ169" s="1283"/>
      <c r="AR169" s="1283"/>
      <c r="AS169" s="1283"/>
      <c r="AT169" s="1283"/>
      <c r="AU169" s="1283"/>
      <c r="AV169" s="1283"/>
      <c r="AW169" s="1283"/>
      <c r="AX169" s="1283"/>
      <c r="AY169" s="1283"/>
      <c r="AZ169" s="1283"/>
      <c r="BA169" s="1283"/>
      <c r="BB169" s="1283"/>
      <c r="BC169" s="1283"/>
      <c r="BD169" s="1283"/>
      <c r="BE169" s="1283"/>
      <c r="BF169" s="1283"/>
      <c r="BG169" s="1283"/>
      <c r="BH169" s="1283"/>
      <c r="BI169" s="1283"/>
      <c r="BJ169" s="1283"/>
      <c r="BK169" s="1283"/>
      <c r="BL169" s="1283"/>
      <c r="BM169" s="1283"/>
      <c r="BN169" s="1283"/>
      <c r="BO169" s="1283"/>
      <c r="BP169" s="1283"/>
      <c r="BQ169" s="1283"/>
      <c r="BR169" s="1283"/>
      <c r="BS169" s="1283"/>
      <c r="BT169" s="1283"/>
      <c r="BU169" s="1283"/>
      <c r="BV169" s="1283"/>
      <c r="BW169" s="1283"/>
      <c r="BX169" s="1283"/>
      <c r="BY169" s="1283"/>
      <c r="BZ169" s="1283"/>
      <c r="CA169" s="1283"/>
      <c r="CB169" s="1283"/>
      <c r="CC169" s="1283"/>
      <c r="CD169" s="1283"/>
      <c r="CE169" s="1283"/>
      <c r="CF169" s="1283"/>
      <c r="CG169" s="1283"/>
      <c r="CH169" s="1283"/>
      <c r="CI169" s="1283"/>
      <c r="CJ169" s="1283"/>
      <c r="CK169" s="1283"/>
    </row>
    <row r="170" spans="1:89" ht="17.25" customHeight="1" x14ac:dyDescent="0.25">
      <c r="A170" s="820"/>
      <c r="B170" s="856"/>
      <c r="C170" s="830"/>
      <c r="D170" s="831"/>
      <c r="E170" s="821"/>
      <c r="F170" s="821"/>
      <c r="G170" s="821"/>
      <c r="H170" s="821"/>
      <c r="I170" s="821"/>
      <c r="J170" s="821"/>
      <c r="K170" s="821"/>
      <c r="L170" s="821"/>
      <c r="M170" s="821"/>
      <c r="N170" s="821"/>
      <c r="O170" s="822"/>
      <c r="P170" s="687"/>
    </row>
    <row r="171" spans="1:89" s="678" customFormat="1" ht="15" x14ac:dyDescent="0.2">
      <c r="A171" s="1764">
        <v>4</v>
      </c>
      <c r="B171" s="1250" t="s">
        <v>72</v>
      </c>
      <c r="C171" s="1264"/>
      <c r="D171" s="1265"/>
      <c r="E171" s="839"/>
      <c r="F171" s="1266">
        <f>F173+F192</f>
        <v>0</v>
      </c>
      <c r="G171" s="1266">
        <f>G173+G192</f>
        <v>0</v>
      </c>
      <c r="H171" s="1267">
        <f>G171+F171</f>
        <v>0</v>
      </c>
      <c r="I171" s="1266">
        <f>I173+I192</f>
        <v>0</v>
      </c>
      <c r="J171" s="1266">
        <f>J173+J192</f>
        <v>545420</v>
      </c>
      <c r="K171" s="1267">
        <f>J171+I171</f>
        <v>545420</v>
      </c>
      <c r="L171" s="1266">
        <f>L173+L192</f>
        <v>35500000</v>
      </c>
      <c r="M171" s="1266">
        <f>M173+M192</f>
        <v>0</v>
      </c>
      <c r="N171" s="1267">
        <f>M171+L171</f>
        <v>35500000</v>
      </c>
      <c r="O171" s="1268">
        <f>N171+K171</f>
        <v>36045420</v>
      </c>
      <c r="P171" s="840"/>
      <c r="Q171" s="1283"/>
      <c r="R171" s="1283"/>
      <c r="S171" s="1283"/>
      <c r="T171" s="1283"/>
      <c r="U171" s="1283"/>
      <c r="V171" s="1283"/>
      <c r="W171" s="1283"/>
      <c r="X171" s="1283"/>
      <c r="Y171" s="1283"/>
      <c r="Z171" s="1283"/>
      <c r="AA171" s="1283"/>
      <c r="AB171" s="1283"/>
      <c r="AC171" s="1283"/>
      <c r="AD171" s="1283"/>
      <c r="AE171" s="1283"/>
      <c r="AF171" s="1283"/>
      <c r="AG171" s="1283"/>
      <c r="AH171" s="1283"/>
      <c r="AI171" s="1283"/>
      <c r="AJ171" s="1283"/>
      <c r="AK171" s="1283"/>
      <c r="AL171" s="1283"/>
      <c r="AM171" s="1283"/>
      <c r="AN171" s="1283"/>
      <c r="AO171" s="1283"/>
      <c r="AP171" s="1283"/>
      <c r="AQ171" s="1283"/>
      <c r="AR171" s="1283"/>
      <c r="AS171" s="1283"/>
      <c r="AT171" s="1283"/>
      <c r="AU171" s="1283"/>
      <c r="AV171" s="1283"/>
      <c r="AW171" s="1283"/>
      <c r="AX171" s="1283"/>
      <c r="AY171" s="1283"/>
      <c r="AZ171" s="1283"/>
      <c r="BA171" s="1283"/>
      <c r="BB171" s="1283"/>
      <c r="BC171" s="1283"/>
      <c r="BD171" s="1283"/>
      <c r="BE171" s="1283"/>
      <c r="BF171" s="1283"/>
      <c r="BG171" s="1283"/>
      <c r="BH171" s="1283"/>
      <c r="BI171" s="1283"/>
      <c r="BJ171" s="1283"/>
      <c r="BK171" s="1283"/>
      <c r="BL171" s="1283"/>
      <c r="BM171" s="1283"/>
      <c r="BN171" s="1283"/>
      <c r="BO171" s="1283"/>
      <c r="BP171" s="1283"/>
      <c r="BQ171" s="1283"/>
      <c r="BR171" s="1283"/>
      <c r="BS171" s="1283"/>
      <c r="BT171" s="1283"/>
      <c r="BU171" s="1283"/>
      <c r="BV171" s="1283"/>
      <c r="BW171" s="1283"/>
      <c r="BX171" s="1283"/>
      <c r="BY171" s="1283"/>
      <c r="BZ171" s="1283"/>
      <c r="CA171" s="1283"/>
      <c r="CB171" s="1283"/>
      <c r="CC171" s="1283"/>
      <c r="CD171" s="1283"/>
      <c r="CE171" s="1283"/>
      <c r="CF171" s="1283"/>
      <c r="CG171" s="1283"/>
      <c r="CH171" s="1283"/>
      <c r="CI171" s="1283"/>
      <c r="CJ171" s="1283"/>
      <c r="CK171" s="1283"/>
    </row>
    <row r="172" spans="1:89" s="678" customFormat="1" ht="15" x14ac:dyDescent="0.2">
      <c r="A172" s="841"/>
      <c r="B172" s="842"/>
      <c r="C172" s="843"/>
      <c r="D172" s="844"/>
      <c r="E172" s="845"/>
      <c r="F172" s="845"/>
      <c r="G172" s="846"/>
      <c r="H172" s="846"/>
      <c r="I172" s="846"/>
      <c r="J172" s="846"/>
      <c r="K172" s="846"/>
      <c r="L172" s="846"/>
      <c r="M172" s="845"/>
      <c r="N172" s="846"/>
      <c r="O172" s="847"/>
      <c r="P172" s="848"/>
      <c r="Q172" s="1283"/>
      <c r="R172" s="1283"/>
      <c r="S172" s="1283"/>
      <c r="T172" s="1283"/>
      <c r="U172" s="1283"/>
      <c r="V172" s="1283"/>
      <c r="W172" s="1283"/>
      <c r="X172" s="1283"/>
      <c r="Y172" s="1283"/>
      <c r="Z172" s="1283"/>
      <c r="AA172" s="1283"/>
      <c r="AB172" s="1283"/>
      <c r="AC172" s="1283"/>
      <c r="AD172" s="1283"/>
      <c r="AE172" s="1283"/>
      <c r="AF172" s="1283"/>
      <c r="AG172" s="1283"/>
      <c r="AH172" s="1283"/>
      <c r="AI172" s="1283"/>
      <c r="AJ172" s="1283"/>
      <c r="AK172" s="1283"/>
      <c r="AL172" s="1283"/>
      <c r="AM172" s="1283"/>
      <c r="AN172" s="1283"/>
      <c r="AO172" s="1283"/>
      <c r="AP172" s="1283"/>
      <c r="AQ172" s="1283"/>
      <c r="AR172" s="1283"/>
      <c r="AS172" s="1283"/>
      <c r="AT172" s="1283"/>
      <c r="AU172" s="1283"/>
      <c r="AV172" s="1283"/>
      <c r="AW172" s="1283"/>
      <c r="AX172" s="1283"/>
      <c r="AY172" s="1283"/>
      <c r="AZ172" s="1283"/>
      <c r="BA172" s="1283"/>
      <c r="BB172" s="1283"/>
      <c r="BC172" s="1283"/>
      <c r="BD172" s="1283"/>
      <c r="BE172" s="1283"/>
      <c r="BF172" s="1283"/>
      <c r="BG172" s="1283"/>
      <c r="BH172" s="1283"/>
      <c r="BI172" s="1283"/>
      <c r="BJ172" s="1283"/>
      <c r="BK172" s="1283"/>
      <c r="BL172" s="1283"/>
      <c r="BM172" s="1283"/>
      <c r="BN172" s="1283"/>
      <c r="BO172" s="1283"/>
      <c r="BP172" s="1283"/>
      <c r="BQ172" s="1283"/>
      <c r="BR172" s="1283"/>
      <c r="BS172" s="1283"/>
      <c r="BT172" s="1283"/>
      <c r="BU172" s="1283"/>
      <c r="BV172" s="1283"/>
      <c r="BW172" s="1283"/>
      <c r="BX172" s="1283"/>
      <c r="BY172" s="1283"/>
      <c r="BZ172" s="1283"/>
      <c r="CA172" s="1283"/>
      <c r="CB172" s="1283"/>
      <c r="CC172" s="1283"/>
      <c r="CD172" s="1283"/>
      <c r="CE172" s="1283"/>
      <c r="CF172" s="1283"/>
      <c r="CG172" s="1283"/>
      <c r="CH172" s="1283"/>
      <c r="CI172" s="1283"/>
      <c r="CJ172" s="1283"/>
      <c r="CK172" s="1283"/>
    </row>
    <row r="173" spans="1:89" s="1276" customFormat="1" ht="15" x14ac:dyDescent="0.2">
      <c r="A173" s="1269" t="s">
        <v>577</v>
      </c>
      <c r="B173" s="1250" t="s">
        <v>1156</v>
      </c>
      <c r="C173" s="1271"/>
      <c r="D173" s="1272"/>
      <c r="E173" s="1250"/>
      <c r="F173" s="1273">
        <f>SUM(F174:F190)</f>
        <v>0</v>
      </c>
      <c r="G173" s="1273">
        <f>SUM(G174:G190)</f>
        <v>0</v>
      </c>
      <c r="H173" s="1267">
        <f>F173+G173</f>
        <v>0</v>
      </c>
      <c r="I173" s="1273">
        <f>SUM(I174:I189)</f>
        <v>0</v>
      </c>
      <c r="J173" s="1273">
        <f>SUM(J174:J189)</f>
        <v>0</v>
      </c>
      <c r="K173" s="1267">
        <f>I173+J173</f>
        <v>0</v>
      </c>
      <c r="L173" s="1273">
        <f>SUM(L174:L189)</f>
        <v>35500000</v>
      </c>
      <c r="M173" s="1273">
        <f>SUM(M174:M189)</f>
        <v>0</v>
      </c>
      <c r="N173" s="1267">
        <f t="shared" ref="N173:N184" si="13">L173+M173</f>
        <v>35500000</v>
      </c>
      <c r="O173" s="1304">
        <f>SUM(O174:O189)</f>
        <v>35500000</v>
      </c>
      <c r="P173" s="1305">
        <f>14500000+15000000</f>
        <v>29500000</v>
      </c>
      <c r="Q173" s="1824"/>
      <c r="R173" s="1824"/>
      <c r="S173" s="1824"/>
      <c r="T173" s="1824"/>
      <c r="U173" s="1824"/>
      <c r="V173" s="1824"/>
      <c r="W173" s="1824"/>
      <c r="X173" s="1824"/>
      <c r="Y173" s="1824"/>
      <c r="Z173" s="1824"/>
      <c r="AA173" s="1824"/>
      <c r="AB173" s="1824"/>
      <c r="AC173" s="1824"/>
      <c r="AD173" s="1824"/>
      <c r="AE173" s="1824"/>
      <c r="AF173" s="1824"/>
      <c r="AG173" s="1824"/>
      <c r="AH173" s="1824"/>
      <c r="AI173" s="1824"/>
      <c r="AJ173" s="1824"/>
      <c r="AK173" s="1824"/>
      <c r="AL173" s="1824"/>
      <c r="AM173" s="1824"/>
      <c r="AN173" s="1824"/>
      <c r="AO173" s="1824"/>
      <c r="AP173" s="1824"/>
      <c r="AQ173" s="1824"/>
      <c r="AR173" s="1824"/>
      <c r="AS173" s="1824"/>
      <c r="AT173" s="1824"/>
      <c r="AU173" s="1824"/>
      <c r="AV173" s="1824"/>
      <c r="AW173" s="1824"/>
      <c r="AX173" s="1824"/>
      <c r="AY173" s="1824"/>
      <c r="AZ173" s="1824"/>
      <c r="BA173" s="1824"/>
      <c r="BB173" s="1824"/>
      <c r="BC173" s="1824"/>
      <c r="BD173" s="1824"/>
      <c r="BE173" s="1824"/>
      <c r="BF173" s="1824"/>
      <c r="BG173" s="1824"/>
      <c r="BH173" s="1824"/>
      <c r="BI173" s="1824"/>
      <c r="BJ173" s="1824"/>
      <c r="BK173" s="1824"/>
      <c r="BL173" s="1824"/>
      <c r="BM173" s="1824"/>
      <c r="BN173" s="1824"/>
      <c r="BO173" s="1824"/>
      <c r="BP173" s="1824"/>
      <c r="BQ173" s="1824"/>
      <c r="BR173" s="1824"/>
      <c r="BS173" s="1824"/>
      <c r="BT173" s="1824"/>
      <c r="BU173" s="1824"/>
      <c r="BV173" s="1824"/>
      <c r="BW173" s="1824"/>
      <c r="BX173" s="1824"/>
      <c r="BY173" s="1824"/>
      <c r="BZ173" s="1824"/>
      <c r="CA173" s="1824"/>
      <c r="CB173" s="1824"/>
      <c r="CC173" s="1824"/>
      <c r="CD173" s="1824"/>
      <c r="CE173" s="1824"/>
      <c r="CF173" s="1824"/>
      <c r="CG173" s="1824"/>
      <c r="CH173" s="1824"/>
      <c r="CI173" s="1824"/>
      <c r="CJ173" s="1824"/>
      <c r="CK173" s="1824"/>
    </row>
    <row r="174" spans="1:89" s="678" customFormat="1" ht="15" x14ac:dyDescent="0.2">
      <c r="A174" s="849">
        <v>1</v>
      </c>
      <c r="B174" s="1242" t="s">
        <v>605</v>
      </c>
      <c r="C174" s="1277">
        <v>1</v>
      </c>
      <c r="D174" s="1278" t="s">
        <v>16</v>
      </c>
      <c r="E174" s="1279">
        <v>3500000</v>
      </c>
      <c r="F174" s="1251"/>
      <c r="G174" s="1251"/>
      <c r="H174" s="1251"/>
      <c r="I174" s="1251"/>
      <c r="J174" s="1251"/>
      <c r="K174" s="1251"/>
      <c r="L174" s="1279">
        <f t="shared" ref="L174:L184" si="14">C174*E174</f>
        <v>3500000</v>
      </c>
      <c r="M174" s="1251"/>
      <c r="N174" s="1279">
        <f t="shared" si="13"/>
        <v>3500000</v>
      </c>
      <c r="O174" s="1280">
        <f t="shared" ref="O174:O184" si="15">N174+K174+H174</f>
        <v>3500000</v>
      </c>
      <c r="P174" s="850">
        <f>P173+2767411</f>
        <v>32267411</v>
      </c>
      <c r="Q174" s="1283"/>
      <c r="R174" s="1283"/>
      <c r="S174" s="1283"/>
      <c r="T174" s="1283"/>
      <c r="U174" s="1283"/>
      <c r="V174" s="1283"/>
      <c r="W174" s="1283"/>
      <c r="X174" s="1283"/>
      <c r="Y174" s="1283"/>
      <c r="Z174" s="1283"/>
      <c r="AA174" s="1283"/>
      <c r="AB174" s="1283"/>
      <c r="AC174" s="1283"/>
      <c r="AD174" s="1283"/>
      <c r="AE174" s="1283"/>
      <c r="AF174" s="1283"/>
      <c r="AG174" s="1283"/>
      <c r="AH174" s="1283"/>
      <c r="AI174" s="1283"/>
      <c r="AJ174" s="1283"/>
      <c r="AK174" s="1283"/>
      <c r="AL174" s="1283"/>
      <c r="AM174" s="1283"/>
      <c r="AN174" s="1283"/>
      <c r="AO174" s="1283"/>
      <c r="AP174" s="1283"/>
      <c r="AQ174" s="1283"/>
      <c r="AR174" s="1283"/>
      <c r="AS174" s="1283"/>
      <c r="AT174" s="1283"/>
      <c r="AU174" s="1283"/>
      <c r="AV174" s="1283"/>
      <c r="AW174" s="1283"/>
      <c r="AX174" s="1283"/>
      <c r="AY174" s="1283"/>
      <c r="AZ174" s="1283"/>
      <c r="BA174" s="1283"/>
      <c r="BB174" s="1283"/>
      <c r="BC174" s="1283"/>
      <c r="BD174" s="1283"/>
      <c r="BE174" s="1283"/>
      <c r="BF174" s="1283"/>
      <c r="BG174" s="1283"/>
      <c r="BH174" s="1283"/>
      <c r="BI174" s="1283"/>
      <c r="BJ174" s="1283"/>
      <c r="BK174" s="1283"/>
      <c r="BL174" s="1283"/>
      <c r="BM174" s="1283"/>
      <c r="BN174" s="1283"/>
      <c r="BO174" s="1283"/>
      <c r="BP174" s="1283"/>
      <c r="BQ174" s="1283"/>
      <c r="BR174" s="1283"/>
      <c r="BS174" s="1283"/>
      <c r="BT174" s="1283"/>
      <c r="BU174" s="1283"/>
      <c r="BV174" s="1283"/>
      <c r="BW174" s="1283"/>
      <c r="BX174" s="1283"/>
      <c r="BY174" s="1283"/>
      <c r="BZ174" s="1283"/>
      <c r="CA174" s="1283"/>
      <c r="CB174" s="1283"/>
      <c r="CC174" s="1283"/>
      <c r="CD174" s="1283"/>
      <c r="CE174" s="1283"/>
      <c r="CF174" s="1283"/>
      <c r="CG174" s="1283"/>
      <c r="CH174" s="1283"/>
      <c r="CI174" s="1283"/>
      <c r="CJ174" s="1283"/>
      <c r="CK174" s="1283"/>
    </row>
    <row r="175" spans="1:89" s="678" customFormat="1" ht="15" x14ac:dyDescent="0.2">
      <c r="A175" s="710">
        <v>2</v>
      </c>
      <c r="B175" s="1245" t="s">
        <v>606</v>
      </c>
      <c r="C175" s="1284">
        <v>1</v>
      </c>
      <c r="D175" s="1285" t="s">
        <v>16</v>
      </c>
      <c r="E175" s="1286">
        <v>3500000</v>
      </c>
      <c r="F175" s="1286"/>
      <c r="G175" s="1286"/>
      <c r="H175" s="1286"/>
      <c r="I175" s="1286"/>
      <c r="J175" s="1286"/>
      <c r="K175" s="1286"/>
      <c r="L175" s="1286">
        <f t="shared" si="14"/>
        <v>3500000</v>
      </c>
      <c r="M175" s="1286"/>
      <c r="N175" s="1286">
        <f t="shared" si="13"/>
        <v>3500000</v>
      </c>
      <c r="O175" s="1287">
        <f t="shared" si="15"/>
        <v>3500000</v>
      </c>
      <c r="P175" s="850">
        <f>P174-O173</f>
        <v>-3232589</v>
      </c>
      <c r="Q175" s="1283"/>
      <c r="R175" s="1283"/>
      <c r="S175" s="1283"/>
      <c r="T175" s="1283"/>
      <c r="U175" s="1283"/>
      <c r="V175" s="1283"/>
      <c r="W175" s="1283"/>
      <c r="X175" s="1283"/>
      <c r="Y175" s="1283"/>
      <c r="Z175" s="1283"/>
      <c r="AA175" s="1283"/>
      <c r="AB175" s="1283"/>
      <c r="AC175" s="1283"/>
      <c r="AD175" s="1283"/>
      <c r="AE175" s="1283"/>
      <c r="AF175" s="1283"/>
      <c r="AG175" s="1283"/>
      <c r="AH175" s="1283"/>
      <c r="AI175" s="1283"/>
      <c r="AJ175" s="1283"/>
      <c r="AK175" s="1283"/>
      <c r="AL175" s="1283"/>
      <c r="AM175" s="1283"/>
      <c r="AN175" s="1283"/>
      <c r="AO175" s="1283"/>
      <c r="AP175" s="1283"/>
      <c r="AQ175" s="1283"/>
      <c r="AR175" s="1283"/>
      <c r="AS175" s="1283"/>
      <c r="AT175" s="1283"/>
      <c r="AU175" s="1283"/>
      <c r="AV175" s="1283"/>
      <c r="AW175" s="1283"/>
      <c r="AX175" s="1283"/>
      <c r="AY175" s="1283"/>
      <c r="AZ175" s="1283"/>
      <c r="BA175" s="1283"/>
      <c r="BB175" s="1283"/>
      <c r="BC175" s="1283"/>
      <c r="BD175" s="1283"/>
      <c r="BE175" s="1283"/>
      <c r="BF175" s="1283"/>
      <c r="BG175" s="1283"/>
      <c r="BH175" s="1283"/>
      <c r="BI175" s="1283"/>
      <c r="BJ175" s="1283"/>
      <c r="BK175" s="1283"/>
      <c r="BL175" s="1283"/>
      <c r="BM175" s="1283"/>
      <c r="BN175" s="1283"/>
      <c r="BO175" s="1283"/>
      <c r="BP175" s="1283"/>
      <c r="BQ175" s="1283"/>
      <c r="BR175" s="1283"/>
      <c r="BS175" s="1283"/>
      <c r="BT175" s="1283"/>
      <c r="BU175" s="1283"/>
      <c r="BV175" s="1283"/>
      <c r="BW175" s="1283"/>
      <c r="BX175" s="1283"/>
      <c r="BY175" s="1283"/>
      <c r="BZ175" s="1283"/>
      <c r="CA175" s="1283"/>
      <c r="CB175" s="1283"/>
      <c r="CC175" s="1283"/>
      <c r="CD175" s="1283"/>
      <c r="CE175" s="1283"/>
      <c r="CF175" s="1283"/>
      <c r="CG175" s="1283"/>
      <c r="CH175" s="1283"/>
      <c r="CI175" s="1283"/>
      <c r="CJ175" s="1283"/>
      <c r="CK175" s="1283"/>
    </row>
    <row r="176" spans="1:89" s="678" customFormat="1" ht="15" x14ac:dyDescent="0.2">
      <c r="A176" s="849">
        <v>3</v>
      </c>
      <c r="B176" s="1245" t="s">
        <v>607</v>
      </c>
      <c r="C176" s="1284">
        <v>1</v>
      </c>
      <c r="D176" s="1285" t="s">
        <v>16</v>
      </c>
      <c r="E176" s="1286">
        <v>3500000</v>
      </c>
      <c r="F176" s="1286"/>
      <c r="G176" s="1286"/>
      <c r="H176" s="1286"/>
      <c r="I176" s="1286"/>
      <c r="J176" s="1286"/>
      <c r="K176" s="1286"/>
      <c r="L176" s="1286">
        <f t="shared" si="14"/>
        <v>3500000</v>
      </c>
      <c r="M176" s="1286"/>
      <c r="N176" s="1286">
        <f t="shared" si="13"/>
        <v>3500000</v>
      </c>
      <c r="O176" s="1287">
        <f t="shared" si="15"/>
        <v>3500000</v>
      </c>
      <c r="P176" s="850"/>
      <c r="Q176" s="1283"/>
      <c r="R176" s="1283"/>
      <c r="S176" s="1283"/>
      <c r="T176" s="1283"/>
      <c r="U176" s="1283"/>
      <c r="V176" s="1283"/>
      <c r="W176" s="1283"/>
      <c r="X176" s="1283"/>
      <c r="Y176" s="1283"/>
      <c r="Z176" s="1283"/>
      <c r="AA176" s="1283"/>
      <c r="AB176" s="1283"/>
      <c r="AC176" s="1283"/>
      <c r="AD176" s="1283"/>
      <c r="AE176" s="1283"/>
      <c r="AF176" s="1283"/>
      <c r="AG176" s="1283"/>
      <c r="AH176" s="1283"/>
      <c r="AI176" s="1283"/>
      <c r="AJ176" s="1283"/>
      <c r="AK176" s="1283"/>
      <c r="AL176" s="1283"/>
      <c r="AM176" s="1283"/>
      <c r="AN176" s="1283"/>
      <c r="AO176" s="1283"/>
      <c r="AP176" s="1283"/>
      <c r="AQ176" s="1283"/>
      <c r="AR176" s="1283"/>
      <c r="AS176" s="1283"/>
      <c r="AT176" s="1283"/>
      <c r="AU176" s="1283"/>
      <c r="AV176" s="1283"/>
      <c r="AW176" s="1283"/>
      <c r="AX176" s="1283"/>
      <c r="AY176" s="1283"/>
      <c r="AZ176" s="1283"/>
      <c r="BA176" s="1283"/>
      <c r="BB176" s="1283"/>
      <c r="BC176" s="1283"/>
      <c r="BD176" s="1283"/>
      <c r="BE176" s="1283"/>
      <c r="BF176" s="1283"/>
      <c r="BG176" s="1283"/>
      <c r="BH176" s="1283"/>
      <c r="BI176" s="1283"/>
      <c r="BJ176" s="1283"/>
      <c r="BK176" s="1283"/>
      <c r="BL176" s="1283"/>
      <c r="BM176" s="1283"/>
      <c r="BN176" s="1283"/>
      <c r="BO176" s="1283"/>
      <c r="BP176" s="1283"/>
      <c r="BQ176" s="1283"/>
      <c r="BR176" s="1283"/>
      <c r="BS176" s="1283"/>
      <c r="BT176" s="1283"/>
      <c r="BU176" s="1283"/>
      <c r="BV176" s="1283"/>
      <c r="BW176" s="1283"/>
      <c r="BX176" s="1283"/>
      <c r="BY176" s="1283"/>
      <c r="BZ176" s="1283"/>
      <c r="CA176" s="1283"/>
      <c r="CB176" s="1283"/>
      <c r="CC176" s="1283"/>
      <c r="CD176" s="1283"/>
      <c r="CE176" s="1283"/>
      <c r="CF176" s="1283"/>
      <c r="CG176" s="1283"/>
      <c r="CH176" s="1283"/>
      <c r="CI176" s="1283"/>
      <c r="CJ176" s="1283"/>
      <c r="CK176" s="1283"/>
    </row>
    <row r="177" spans="1:89" s="678" customFormat="1" ht="15" x14ac:dyDescent="0.2">
      <c r="A177" s="710">
        <v>4</v>
      </c>
      <c r="B177" s="1245" t="s">
        <v>608</v>
      </c>
      <c r="C177" s="1284">
        <v>1</v>
      </c>
      <c r="D177" s="1285" t="s">
        <v>16</v>
      </c>
      <c r="E177" s="1286">
        <v>3500000</v>
      </c>
      <c r="F177" s="1286"/>
      <c r="G177" s="1286"/>
      <c r="H177" s="1286"/>
      <c r="I177" s="1286"/>
      <c r="J177" s="1286"/>
      <c r="K177" s="1286"/>
      <c r="L177" s="1286">
        <f t="shared" si="14"/>
        <v>3500000</v>
      </c>
      <c r="M177" s="1286"/>
      <c r="N177" s="1286">
        <f t="shared" si="13"/>
        <v>3500000</v>
      </c>
      <c r="O177" s="1287">
        <f t="shared" si="15"/>
        <v>3500000</v>
      </c>
      <c r="P177" s="850"/>
      <c r="Q177" s="1283"/>
      <c r="R177" s="1283"/>
      <c r="S177" s="1283"/>
      <c r="T177" s="1283"/>
      <c r="U177" s="1283"/>
      <c r="V177" s="1283"/>
      <c r="W177" s="1283"/>
      <c r="X177" s="1283"/>
      <c r="Y177" s="1283"/>
      <c r="Z177" s="1283"/>
      <c r="AA177" s="1283"/>
      <c r="AB177" s="1283"/>
      <c r="AC177" s="1283"/>
      <c r="AD177" s="1283"/>
      <c r="AE177" s="1283"/>
      <c r="AF177" s="1283"/>
      <c r="AG177" s="1283"/>
      <c r="AH177" s="1283"/>
      <c r="AI177" s="1283"/>
      <c r="AJ177" s="1283"/>
      <c r="AK177" s="1283"/>
      <c r="AL177" s="1283"/>
      <c r="AM177" s="1283"/>
      <c r="AN177" s="1283"/>
      <c r="AO177" s="1283"/>
      <c r="AP177" s="1283"/>
      <c r="AQ177" s="1283"/>
      <c r="AR177" s="1283"/>
      <c r="AS177" s="1283"/>
      <c r="AT177" s="1283"/>
      <c r="AU177" s="1283"/>
      <c r="AV177" s="1283"/>
      <c r="AW177" s="1283"/>
      <c r="AX177" s="1283"/>
      <c r="AY177" s="1283"/>
      <c r="AZ177" s="1283"/>
      <c r="BA177" s="1283"/>
      <c r="BB177" s="1283"/>
      <c r="BC177" s="1283"/>
      <c r="BD177" s="1283"/>
      <c r="BE177" s="1283"/>
      <c r="BF177" s="1283"/>
      <c r="BG177" s="1283"/>
      <c r="BH177" s="1283"/>
      <c r="BI177" s="1283"/>
      <c r="BJ177" s="1283"/>
      <c r="BK177" s="1283"/>
      <c r="BL177" s="1283"/>
      <c r="BM177" s="1283"/>
      <c r="BN177" s="1283"/>
      <c r="BO177" s="1283"/>
      <c r="BP177" s="1283"/>
      <c r="BQ177" s="1283"/>
      <c r="BR177" s="1283"/>
      <c r="BS177" s="1283"/>
      <c r="BT177" s="1283"/>
      <c r="BU177" s="1283"/>
      <c r="BV177" s="1283"/>
      <c r="BW177" s="1283"/>
      <c r="BX177" s="1283"/>
      <c r="BY177" s="1283"/>
      <c r="BZ177" s="1283"/>
      <c r="CA177" s="1283"/>
      <c r="CB177" s="1283"/>
      <c r="CC177" s="1283"/>
      <c r="CD177" s="1283"/>
      <c r="CE177" s="1283"/>
      <c r="CF177" s="1283"/>
      <c r="CG177" s="1283"/>
      <c r="CH177" s="1283"/>
      <c r="CI177" s="1283"/>
      <c r="CJ177" s="1283"/>
      <c r="CK177" s="1283"/>
    </row>
    <row r="178" spans="1:89" s="678" customFormat="1" ht="15" x14ac:dyDescent="0.2">
      <c r="A178" s="849">
        <v>5</v>
      </c>
      <c r="B178" s="1245" t="s">
        <v>2320</v>
      </c>
      <c r="C178" s="1284">
        <v>1</v>
      </c>
      <c r="D178" s="1285" t="s">
        <v>16</v>
      </c>
      <c r="E178" s="1247">
        <v>3500000</v>
      </c>
      <c r="F178" s="1247"/>
      <c r="G178" s="1247"/>
      <c r="H178" s="1247"/>
      <c r="I178" s="1247"/>
      <c r="J178" s="1247"/>
      <c r="K178" s="1247"/>
      <c r="L178" s="1247">
        <f t="shared" si="14"/>
        <v>3500000</v>
      </c>
      <c r="M178" s="1247"/>
      <c r="N178" s="1247">
        <f t="shared" si="13"/>
        <v>3500000</v>
      </c>
      <c r="O178" s="1773">
        <f t="shared" si="15"/>
        <v>3500000</v>
      </c>
      <c r="P178" s="850"/>
      <c r="Q178" s="1283"/>
      <c r="R178" s="1283"/>
      <c r="S178" s="1283"/>
      <c r="T178" s="1283"/>
      <c r="U178" s="1283"/>
      <c r="V178" s="1283"/>
      <c r="W178" s="1283"/>
      <c r="X178" s="1283"/>
      <c r="Y178" s="1283"/>
      <c r="Z178" s="1283"/>
      <c r="AA178" s="1283"/>
      <c r="AB178" s="1283"/>
      <c r="AC178" s="1283"/>
      <c r="AD178" s="1283"/>
      <c r="AE178" s="1283"/>
      <c r="AF178" s="1283"/>
      <c r="AG178" s="1283"/>
      <c r="AH178" s="1283"/>
      <c r="AI178" s="1283"/>
      <c r="AJ178" s="1283"/>
      <c r="AK178" s="1283"/>
      <c r="AL178" s="1283"/>
      <c r="AM178" s="1283"/>
      <c r="AN178" s="1283"/>
      <c r="AO178" s="1283"/>
      <c r="AP178" s="1283"/>
      <c r="AQ178" s="1283"/>
      <c r="AR178" s="1283"/>
      <c r="AS178" s="1283"/>
      <c r="AT178" s="1283"/>
      <c r="AU178" s="1283"/>
      <c r="AV178" s="1283"/>
      <c r="AW178" s="1283"/>
      <c r="AX178" s="1283"/>
      <c r="AY178" s="1283"/>
      <c r="AZ178" s="1283"/>
      <c r="BA178" s="1283"/>
      <c r="BB178" s="1283"/>
      <c r="BC178" s="1283"/>
      <c r="BD178" s="1283"/>
      <c r="BE178" s="1283"/>
      <c r="BF178" s="1283"/>
      <c r="BG178" s="1283"/>
      <c r="BH178" s="1283"/>
      <c r="BI178" s="1283"/>
      <c r="BJ178" s="1283"/>
      <c r="BK178" s="1283"/>
      <c r="BL178" s="1283"/>
      <c r="BM178" s="1283"/>
      <c r="BN178" s="1283"/>
      <c r="BO178" s="1283"/>
      <c r="BP178" s="1283"/>
      <c r="BQ178" s="1283"/>
      <c r="BR178" s="1283"/>
      <c r="BS178" s="1283"/>
      <c r="BT178" s="1283"/>
      <c r="BU178" s="1283"/>
      <c r="BV178" s="1283"/>
      <c r="BW178" s="1283"/>
      <c r="BX178" s="1283"/>
      <c r="BY178" s="1283"/>
      <c r="BZ178" s="1283"/>
      <c r="CA178" s="1283"/>
      <c r="CB178" s="1283"/>
      <c r="CC178" s="1283"/>
      <c r="CD178" s="1283"/>
      <c r="CE178" s="1283"/>
      <c r="CF178" s="1283"/>
      <c r="CG178" s="1283"/>
      <c r="CH178" s="1283"/>
      <c r="CI178" s="1283"/>
      <c r="CJ178" s="1283"/>
      <c r="CK178" s="1283"/>
    </row>
    <row r="179" spans="1:89" s="678" customFormat="1" ht="15" x14ac:dyDescent="0.2">
      <c r="A179" s="710">
        <v>6</v>
      </c>
      <c r="B179" s="1245" t="s">
        <v>2317</v>
      </c>
      <c r="C179" s="1284">
        <v>1</v>
      </c>
      <c r="D179" s="1285" t="s">
        <v>16</v>
      </c>
      <c r="E179" s="1247">
        <v>3500000</v>
      </c>
      <c r="F179" s="1247"/>
      <c r="G179" s="1247"/>
      <c r="H179" s="1247"/>
      <c r="I179" s="1247"/>
      <c r="J179" s="1247"/>
      <c r="K179" s="1247"/>
      <c r="L179" s="1247">
        <f t="shared" si="14"/>
        <v>3500000</v>
      </c>
      <c r="M179" s="1247"/>
      <c r="N179" s="1247">
        <f>L179+M179</f>
        <v>3500000</v>
      </c>
      <c r="O179" s="1773">
        <f t="shared" si="15"/>
        <v>3500000</v>
      </c>
      <c r="P179" s="850"/>
      <c r="Q179" s="1283"/>
      <c r="R179" s="1283"/>
      <c r="S179" s="1283"/>
      <c r="T179" s="1283"/>
      <c r="U179" s="1283"/>
      <c r="V179" s="1283"/>
      <c r="W179" s="1283"/>
      <c r="X179" s="1283"/>
      <c r="Y179" s="1283"/>
      <c r="Z179" s="1283"/>
      <c r="AA179" s="1283"/>
      <c r="AB179" s="1283"/>
      <c r="AC179" s="1283"/>
      <c r="AD179" s="1283"/>
      <c r="AE179" s="1283"/>
      <c r="AF179" s="1283"/>
      <c r="AG179" s="1283"/>
      <c r="AH179" s="1283"/>
      <c r="AI179" s="1283"/>
      <c r="AJ179" s="1283"/>
      <c r="AK179" s="1283"/>
      <c r="AL179" s="1283"/>
      <c r="AM179" s="1283"/>
      <c r="AN179" s="1283"/>
      <c r="AO179" s="1283"/>
      <c r="AP179" s="1283"/>
      <c r="AQ179" s="1283"/>
      <c r="AR179" s="1283"/>
      <c r="AS179" s="1283"/>
      <c r="AT179" s="1283"/>
      <c r="AU179" s="1283"/>
      <c r="AV179" s="1283"/>
      <c r="AW179" s="1283"/>
      <c r="AX179" s="1283"/>
      <c r="AY179" s="1283"/>
      <c r="AZ179" s="1283"/>
      <c r="BA179" s="1283"/>
      <c r="BB179" s="1283"/>
      <c r="BC179" s="1283"/>
      <c r="BD179" s="1283"/>
      <c r="BE179" s="1283"/>
      <c r="BF179" s="1283"/>
      <c r="BG179" s="1283"/>
      <c r="BH179" s="1283"/>
      <c r="BI179" s="1283"/>
      <c r="BJ179" s="1283"/>
      <c r="BK179" s="1283"/>
      <c r="BL179" s="1283"/>
      <c r="BM179" s="1283"/>
      <c r="BN179" s="1283"/>
      <c r="BO179" s="1283"/>
      <c r="BP179" s="1283"/>
      <c r="BQ179" s="1283"/>
      <c r="BR179" s="1283"/>
      <c r="BS179" s="1283"/>
      <c r="BT179" s="1283"/>
      <c r="BU179" s="1283"/>
      <c r="BV179" s="1283"/>
      <c r="BW179" s="1283"/>
      <c r="BX179" s="1283"/>
      <c r="BY179" s="1283"/>
      <c r="BZ179" s="1283"/>
      <c r="CA179" s="1283"/>
      <c r="CB179" s="1283"/>
      <c r="CC179" s="1283"/>
      <c r="CD179" s="1283"/>
      <c r="CE179" s="1283"/>
      <c r="CF179" s="1283"/>
      <c r="CG179" s="1283"/>
      <c r="CH179" s="1283"/>
      <c r="CI179" s="1283"/>
      <c r="CJ179" s="1283"/>
      <c r="CK179" s="1283"/>
    </row>
    <row r="180" spans="1:89" s="678" customFormat="1" ht="15" x14ac:dyDescent="0.2">
      <c r="A180" s="849">
        <v>7</v>
      </c>
      <c r="B180" s="1245" t="s">
        <v>2318</v>
      </c>
      <c r="C180" s="1284">
        <v>1</v>
      </c>
      <c r="D180" s="1285" t="s">
        <v>16</v>
      </c>
      <c r="E180" s="1247">
        <v>3500000</v>
      </c>
      <c r="F180" s="1247"/>
      <c r="G180" s="1247"/>
      <c r="H180" s="1247"/>
      <c r="I180" s="1247"/>
      <c r="J180" s="1247"/>
      <c r="K180" s="1247"/>
      <c r="L180" s="1247">
        <f t="shared" si="14"/>
        <v>3500000</v>
      </c>
      <c r="M180" s="1247"/>
      <c r="N180" s="1247">
        <f>L180+M180</f>
        <v>3500000</v>
      </c>
      <c r="O180" s="1773">
        <f t="shared" si="15"/>
        <v>3500000</v>
      </c>
      <c r="P180" s="850"/>
      <c r="Q180" s="1283"/>
      <c r="R180" s="1283"/>
      <c r="S180" s="1283"/>
      <c r="T180" s="1283"/>
      <c r="U180" s="1283"/>
      <c r="V180" s="1283"/>
      <c r="W180" s="1283"/>
      <c r="X180" s="1283"/>
      <c r="Y180" s="1283"/>
      <c r="Z180" s="1283"/>
      <c r="AA180" s="1283"/>
      <c r="AB180" s="1283"/>
      <c r="AC180" s="1283"/>
      <c r="AD180" s="1283"/>
      <c r="AE180" s="1283"/>
      <c r="AF180" s="1283"/>
      <c r="AG180" s="1283"/>
      <c r="AH180" s="1283"/>
      <c r="AI180" s="1283"/>
      <c r="AJ180" s="1283"/>
      <c r="AK180" s="1283"/>
      <c r="AL180" s="1283"/>
      <c r="AM180" s="1283"/>
      <c r="AN180" s="1283"/>
      <c r="AO180" s="1283"/>
      <c r="AP180" s="1283"/>
      <c r="AQ180" s="1283"/>
      <c r="AR180" s="1283"/>
      <c r="AS180" s="1283"/>
      <c r="AT180" s="1283"/>
      <c r="AU180" s="1283"/>
      <c r="AV180" s="1283"/>
      <c r="AW180" s="1283"/>
      <c r="AX180" s="1283"/>
      <c r="AY180" s="1283"/>
      <c r="AZ180" s="1283"/>
      <c r="BA180" s="1283"/>
      <c r="BB180" s="1283"/>
      <c r="BC180" s="1283"/>
      <c r="BD180" s="1283"/>
      <c r="BE180" s="1283"/>
      <c r="BF180" s="1283"/>
      <c r="BG180" s="1283"/>
      <c r="BH180" s="1283"/>
      <c r="BI180" s="1283"/>
      <c r="BJ180" s="1283"/>
      <c r="BK180" s="1283"/>
      <c r="BL180" s="1283"/>
      <c r="BM180" s="1283"/>
      <c r="BN180" s="1283"/>
      <c r="BO180" s="1283"/>
      <c r="BP180" s="1283"/>
      <c r="BQ180" s="1283"/>
      <c r="BR180" s="1283"/>
      <c r="BS180" s="1283"/>
      <c r="BT180" s="1283"/>
      <c r="BU180" s="1283"/>
      <c r="BV180" s="1283"/>
      <c r="BW180" s="1283"/>
      <c r="BX180" s="1283"/>
      <c r="BY180" s="1283"/>
      <c r="BZ180" s="1283"/>
      <c r="CA180" s="1283"/>
      <c r="CB180" s="1283"/>
      <c r="CC180" s="1283"/>
      <c r="CD180" s="1283"/>
      <c r="CE180" s="1283"/>
      <c r="CF180" s="1283"/>
      <c r="CG180" s="1283"/>
      <c r="CH180" s="1283"/>
      <c r="CI180" s="1283"/>
      <c r="CJ180" s="1283"/>
      <c r="CK180" s="1283"/>
    </row>
    <row r="181" spans="1:89" s="678" customFormat="1" ht="15" x14ac:dyDescent="0.2">
      <c r="A181" s="710">
        <v>8</v>
      </c>
      <c r="B181" s="1245" t="s">
        <v>2319</v>
      </c>
      <c r="C181" s="1284">
        <v>1</v>
      </c>
      <c r="D181" s="1285" t="s">
        <v>16</v>
      </c>
      <c r="E181" s="1247">
        <v>2500000</v>
      </c>
      <c r="F181" s="1247"/>
      <c r="G181" s="1247"/>
      <c r="H181" s="1247"/>
      <c r="I181" s="1247"/>
      <c r="J181" s="1247"/>
      <c r="K181" s="1247"/>
      <c r="L181" s="1247">
        <f t="shared" si="14"/>
        <v>2500000</v>
      </c>
      <c r="M181" s="1247"/>
      <c r="N181" s="1247">
        <f>L181+M181</f>
        <v>2500000</v>
      </c>
      <c r="O181" s="1773">
        <f t="shared" si="15"/>
        <v>2500000</v>
      </c>
      <c r="P181" s="850"/>
      <c r="Q181" s="1283"/>
      <c r="R181" s="1283"/>
      <c r="S181" s="1283"/>
      <c r="T181" s="1283"/>
      <c r="U181" s="1283"/>
      <c r="V181" s="1283"/>
      <c r="W181" s="1283"/>
      <c r="X181" s="1283"/>
      <c r="Y181" s="1283"/>
      <c r="Z181" s="1283"/>
      <c r="AA181" s="1283"/>
      <c r="AB181" s="1283"/>
      <c r="AC181" s="1283"/>
      <c r="AD181" s="1283"/>
      <c r="AE181" s="1283"/>
      <c r="AF181" s="1283"/>
      <c r="AG181" s="1283"/>
      <c r="AH181" s="1283"/>
      <c r="AI181" s="1283"/>
      <c r="AJ181" s="1283"/>
      <c r="AK181" s="1283"/>
      <c r="AL181" s="1283"/>
      <c r="AM181" s="1283"/>
      <c r="AN181" s="1283"/>
      <c r="AO181" s="1283"/>
      <c r="AP181" s="1283"/>
      <c r="AQ181" s="1283"/>
      <c r="AR181" s="1283"/>
      <c r="AS181" s="1283"/>
      <c r="AT181" s="1283"/>
      <c r="AU181" s="1283"/>
      <c r="AV181" s="1283"/>
      <c r="AW181" s="1283"/>
      <c r="AX181" s="1283"/>
      <c r="AY181" s="1283"/>
      <c r="AZ181" s="1283"/>
      <c r="BA181" s="1283"/>
      <c r="BB181" s="1283"/>
      <c r="BC181" s="1283"/>
      <c r="BD181" s="1283"/>
      <c r="BE181" s="1283"/>
      <c r="BF181" s="1283"/>
      <c r="BG181" s="1283"/>
      <c r="BH181" s="1283"/>
      <c r="BI181" s="1283"/>
      <c r="BJ181" s="1283"/>
      <c r="BK181" s="1283"/>
      <c r="BL181" s="1283"/>
      <c r="BM181" s="1283"/>
      <c r="BN181" s="1283"/>
      <c r="BO181" s="1283"/>
      <c r="BP181" s="1283"/>
      <c r="BQ181" s="1283"/>
      <c r="BR181" s="1283"/>
      <c r="BS181" s="1283"/>
      <c r="BT181" s="1283"/>
      <c r="BU181" s="1283"/>
      <c r="BV181" s="1283"/>
      <c r="BW181" s="1283"/>
      <c r="BX181" s="1283"/>
      <c r="BY181" s="1283"/>
      <c r="BZ181" s="1283"/>
      <c r="CA181" s="1283"/>
      <c r="CB181" s="1283"/>
      <c r="CC181" s="1283"/>
      <c r="CD181" s="1283"/>
      <c r="CE181" s="1283"/>
      <c r="CF181" s="1283"/>
      <c r="CG181" s="1283"/>
      <c r="CH181" s="1283"/>
      <c r="CI181" s="1283"/>
      <c r="CJ181" s="1283"/>
      <c r="CK181" s="1283"/>
    </row>
    <row r="182" spans="1:89" s="678" customFormat="1" ht="15" x14ac:dyDescent="0.2">
      <c r="A182" s="849">
        <v>9</v>
      </c>
      <c r="B182" s="1245" t="s">
        <v>2321</v>
      </c>
      <c r="C182" s="1284">
        <v>1</v>
      </c>
      <c r="D182" s="1285" t="s">
        <v>16</v>
      </c>
      <c r="E182" s="1247">
        <v>2500000</v>
      </c>
      <c r="F182" s="1247"/>
      <c r="G182" s="1247"/>
      <c r="H182" s="1247"/>
      <c r="I182" s="1247"/>
      <c r="J182" s="1247"/>
      <c r="K182" s="1247"/>
      <c r="L182" s="1247">
        <f t="shared" si="14"/>
        <v>2500000</v>
      </c>
      <c r="M182" s="1247"/>
      <c r="N182" s="1247">
        <f>L182+M182</f>
        <v>2500000</v>
      </c>
      <c r="O182" s="1773">
        <f t="shared" si="15"/>
        <v>2500000</v>
      </c>
      <c r="P182" s="850"/>
      <c r="Q182" s="1283"/>
      <c r="R182" s="1283"/>
      <c r="S182" s="1283"/>
      <c r="T182" s="1283"/>
      <c r="U182" s="1283"/>
      <c r="V182" s="1283"/>
      <c r="W182" s="1283"/>
      <c r="X182" s="1283"/>
      <c r="Y182" s="1283"/>
      <c r="Z182" s="1283"/>
      <c r="AA182" s="1283"/>
      <c r="AB182" s="1283"/>
      <c r="AC182" s="1283"/>
      <c r="AD182" s="1283"/>
      <c r="AE182" s="1283"/>
      <c r="AF182" s="1283"/>
      <c r="AG182" s="1283"/>
      <c r="AH182" s="1283"/>
      <c r="AI182" s="1283"/>
      <c r="AJ182" s="1283"/>
      <c r="AK182" s="1283"/>
      <c r="AL182" s="1283"/>
      <c r="AM182" s="1283"/>
      <c r="AN182" s="1283"/>
      <c r="AO182" s="1283"/>
      <c r="AP182" s="1283"/>
      <c r="AQ182" s="1283"/>
      <c r="AR182" s="1283"/>
      <c r="AS182" s="1283"/>
      <c r="AT182" s="1283"/>
      <c r="AU182" s="1283"/>
      <c r="AV182" s="1283"/>
      <c r="AW182" s="1283"/>
      <c r="AX182" s="1283"/>
      <c r="AY182" s="1283"/>
      <c r="AZ182" s="1283"/>
      <c r="BA182" s="1283"/>
      <c r="BB182" s="1283"/>
      <c r="BC182" s="1283"/>
      <c r="BD182" s="1283"/>
      <c r="BE182" s="1283"/>
      <c r="BF182" s="1283"/>
      <c r="BG182" s="1283"/>
      <c r="BH182" s="1283"/>
      <c r="BI182" s="1283"/>
      <c r="BJ182" s="1283"/>
      <c r="BK182" s="1283"/>
      <c r="BL182" s="1283"/>
      <c r="BM182" s="1283"/>
      <c r="BN182" s="1283"/>
      <c r="BO182" s="1283"/>
      <c r="BP182" s="1283"/>
      <c r="BQ182" s="1283"/>
      <c r="BR182" s="1283"/>
      <c r="BS182" s="1283"/>
      <c r="BT182" s="1283"/>
      <c r="BU182" s="1283"/>
      <c r="BV182" s="1283"/>
      <c r="BW182" s="1283"/>
      <c r="BX182" s="1283"/>
      <c r="BY182" s="1283"/>
      <c r="BZ182" s="1283"/>
      <c r="CA182" s="1283"/>
      <c r="CB182" s="1283"/>
      <c r="CC182" s="1283"/>
      <c r="CD182" s="1283"/>
      <c r="CE182" s="1283"/>
      <c r="CF182" s="1283"/>
      <c r="CG182" s="1283"/>
      <c r="CH182" s="1283"/>
      <c r="CI182" s="1283"/>
      <c r="CJ182" s="1283"/>
      <c r="CK182" s="1283"/>
    </row>
    <row r="183" spans="1:89" s="678" customFormat="1" ht="15" x14ac:dyDescent="0.2">
      <c r="A183" s="849">
        <v>10</v>
      </c>
      <c r="B183" s="1245" t="s">
        <v>2330</v>
      </c>
      <c r="C183" s="1284">
        <v>1</v>
      </c>
      <c r="D183" s="1285" t="s">
        <v>16</v>
      </c>
      <c r="E183" s="1247">
        <v>2500000</v>
      </c>
      <c r="F183" s="1247"/>
      <c r="G183" s="1247"/>
      <c r="H183" s="1247"/>
      <c r="I183" s="1247"/>
      <c r="J183" s="1247"/>
      <c r="K183" s="1247"/>
      <c r="L183" s="1247">
        <f t="shared" si="14"/>
        <v>2500000</v>
      </c>
      <c r="M183" s="1247"/>
      <c r="N183" s="1247">
        <f>L183+M183</f>
        <v>2500000</v>
      </c>
      <c r="O183" s="1773">
        <f t="shared" si="15"/>
        <v>2500000</v>
      </c>
      <c r="P183" s="850"/>
      <c r="Q183" s="1283"/>
      <c r="R183" s="1283"/>
      <c r="S183" s="1283"/>
      <c r="T183" s="1283"/>
      <c r="U183" s="1283"/>
      <c r="V183" s="1283"/>
      <c r="W183" s="1283"/>
      <c r="X183" s="1283"/>
      <c r="Y183" s="1283"/>
      <c r="Z183" s="1283"/>
      <c r="AA183" s="1283"/>
      <c r="AB183" s="1283"/>
      <c r="AC183" s="1283"/>
      <c r="AD183" s="1283"/>
      <c r="AE183" s="1283"/>
      <c r="AF183" s="1283"/>
      <c r="AG183" s="1283"/>
      <c r="AH183" s="1283"/>
      <c r="AI183" s="1283"/>
      <c r="AJ183" s="1283"/>
      <c r="AK183" s="1283"/>
      <c r="AL183" s="1283"/>
      <c r="AM183" s="1283"/>
      <c r="AN183" s="1283"/>
      <c r="AO183" s="1283"/>
      <c r="AP183" s="1283"/>
      <c r="AQ183" s="1283"/>
      <c r="AR183" s="1283"/>
      <c r="AS183" s="1283"/>
      <c r="AT183" s="1283"/>
      <c r="AU183" s="1283"/>
      <c r="AV183" s="1283"/>
      <c r="AW183" s="1283"/>
      <c r="AX183" s="1283"/>
      <c r="AY183" s="1283"/>
      <c r="AZ183" s="1283"/>
      <c r="BA183" s="1283"/>
      <c r="BB183" s="1283"/>
      <c r="BC183" s="1283"/>
      <c r="BD183" s="1283"/>
      <c r="BE183" s="1283"/>
      <c r="BF183" s="1283"/>
      <c r="BG183" s="1283"/>
      <c r="BH183" s="1283"/>
      <c r="BI183" s="1283"/>
      <c r="BJ183" s="1283"/>
      <c r="BK183" s="1283"/>
      <c r="BL183" s="1283"/>
      <c r="BM183" s="1283"/>
      <c r="BN183" s="1283"/>
      <c r="BO183" s="1283"/>
      <c r="BP183" s="1283"/>
      <c r="BQ183" s="1283"/>
      <c r="BR183" s="1283"/>
      <c r="BS183" s="1283"/>
      <c r="BT183" s="1283"/>
      <c r="BU183" s="1283"/>
      <c r="BV183" s="1283"/>
      <c r="BW183" s="1283"/>
      <c r="BX183" s="1283"/>
      <c r="BY183" s="1283"/>
      <c r="BZ183" s="1283"/>
      <c r="CA183" s="1283"/>
      <c r="CB183" s="1283"/>
      <c r="CC183" s="1283"/>
      <c r="CD183" s="1283"/>
      <c r="CE183" s="1283"/>
      <c r="CF183" s="1283"/>
      <c r="CG183" s="1283"/>
      <c r="CH183" s="1283"/>
      <c r="CI183" s="1283"/>
      <c r="CJ183" s="1283"/>
      <c r="CK183" s="1283"/>
    </row>
    <row r="184" spans="1:89" s="678" customFormat="1" ht="30" x14ac:dyDescent="0.2">
      <c r="A184" s="710">
        <v>11</v>
      </c>
      <c r="B184" s="1306" t="s">
        <v>1670</v>
      </c>
      <c r="C184" s="1307">
        <v>1</v>
      </c>
      <c r="D184" s="1308" t="s">
        <v>16</v>
      </c>
      <c r="E184" s="1247">
        <v>2500000</v>
      </c>
      <c r="F184" s="1247"/>
      <c r="G184" s="1247"/>
      <c r="H184" s="1247"/>
      <c r="I184" s="1247"/>
      <c r="J184" s="1247"/>
      <c r="K184" s="1247"/>
      <c r="L184" s="1247">
        <f t="shared" si="14"/>
        <v>2500000</v>
      </c>
      <c r="M184" s="1247"/>
      <c r="N184" s="1247">
        <f t="shared" si="13"/>
        <v>2500000</v>
      </c>
      <c r="O184" s="1773">
        <f t="shared" si="15"/>
        <v>2500000</v>
      </c>
      <c r="P184" s="1311"/>
      <c r="Q184" s="1283"/>
      <c r="R184" s="1283"/>
      <c r="S184" s="1283"/>
      <c r="T184" s="1283"/>
      <c r="U184" s="1283"/>
      <c r="V184" s="1283"/>
      <c r="W184" s="1283"/>
      <c r="X184" s="1283"/>
      <c r="Y184" s="1283"/>
      <c r="Z184" s="1283"/>
      <c r="AA184" s="1283"/>
      <c r="AB184" s="1283"/>
      <c r="AC184" s="1283"/>
      <c r="AD184" s="1283"/>
      <c r="AE184" s="1283"/>
      <c r="AF184" s="1283"/>
      <c r="AG184" s="1283"/>
      <c r="AH184" s="1283"/>
      <c r="AI184" s="1283"/>
      <c r="AJ184" s="1283"/>
      <c r="AK184" s="1283"/>
      <c r="AL184" s="1283"/>
      <c r="AM184" s="1283"/>
      <c r="AN184" s="1283"/>
      <c r="AO184" s="1283"/>
      <c r="AP184" s="1283"/>
      <c r="AQ184" s="1283"/>
      <c r="AR184" s="1283"/>
      <c r="AS184" s="1283"/>
      <c r="AT184" s="1283"/>
      <c r="AU184" s="1283"/>
      <c r="AV184" s="1283"/>
      <c r="AW184" s="1283"/>
      <c r="AX184" s="1283"/>
      <c r="AY184" s="1283"/>
      <c r="AZ184" s="1283"/>
      <c r="BA184" s="1283"/>
      <c r="BB184" s="1283"/>
      <c r="BC184" s="1283"/>
      <c r="BD184" s="1283"/>
      <c r="BE184" s="1283"/>
      <c r="BF184" s="1283"/>
      <c r="BG184" s="1283"/>
      <c r="BH184" s="1283"/>
      <c r="BI184" s="1283"/>
      <c r="BJ184" s="1283"/>
      <c r="BK184" s="1283"/>
      <c r="BL184" s="1283"/>
      <c r="BM184" s="1283"/>
      <c r="BN184" s="1283"/>
      <c r="BO184" s="1283"/>
      <c r="BP184" s="1283"/>
      <c r="BQ184" s="1283"/>
      <c r="BR184" s="1283"/>
      <c r="BS184" s="1283"/>
      <c r="BT184" s="1283"/>
      <c r="BU184" s="1283"/>
      <c r="BV184" s="1283"/>
      <c r="BW184" s="1283"/>
      <c r="BX184" s="1283"/>
      <c r="BY184" s="1283"/>
      <c r="BZ184" s="1283"/>
      <c r="CA184" s="1283"/>
      <c r="CB184" s="1283"/>
      <c r="CC184" s="1283"/>
      <c r="CD184" s="1283"/>
      <c r="CE184" s="1283"/>
      <c r="CF184" s="1283"/>
      <c r="CG184" s="1283"/>
      <c r="CH184" s="1283"/>
      <c r="CI184" s="1283"/>
      <c r="CJ184" s="1283"/>
      <c r="CK184" s="1283"/>
    </row>
    <row r="185" spans="1:89" s="678" customFormat="1" ht="15" x14ac:dyDescent="0.2">
      <c r="A185" s="710"/>
      <c r="B185" s="1306"/>
      <c r="C185" s="1307"/>
      <c r="D185" s="1308"/>
      <c r="E185" s="1309"/>
      <c r="F185" s="1309"/>
      <c r="G185" s="1309"/>
      <c r="H185" s="1309"/>
      <c r="I185" s="1309"/>
      <c r="J185" s="1309"/>
      <c r="K185" s="1309"/>
      <c r="L185" s="1309"/>
      <c r="M185" s="1309"/>
      <c r="N185" s="1309"/>
      <c r="O185" s="1310"/>
      <c r="P185" s="1311"/>
      <c r="Q185" s="1283"/>
      <c r="R185" s="1283"/>
      <c r="S185" s="1283"/>
      <c r="T185" s="1283"/>
      <c r="U185" s="1283"/>
      <c r="V185" s="1283"/>
      <c r="W185" s="1283"/>
      <c r="X185" s="1283"/>
      <c r="Y185" s="1283"/>
      <c r="Z185" s="1283"/>
      <c r="AA185" s="1283"/>
      <c r="AB185" s="1283"/>
      <c r="AC185" s="1283"/>
      <c r="AD185" s="1283"/>
      <c r="AE185" s="1283"/>
      <c r="AF185" s="1283"/>
      <c r="AG185" s="1283"/>
      <c r="AH185" s="1283"/>
      <c r="AI185" s="1283"/>
      <c r="AJ185" s="1283"/>
      <c r="AK185" s="1283"/>
      <c r="AL185" s="1283"/>
      <c r="AM185" s="1283"/>
      <c r="AN185" s="1283"/>
      <c r="AO185" s="1283"/>
      <c r="AP185" s="1283"/>
      <c r="AQ185" s="1283"/>
      <c r="AR185" s="1283"/>
      <c r="AS185" s="1283"/>
      <c r="AT185" s="1283"/>
      <c r="AU185" s="1283"/>
      <c r="AV185" s="1283"/>
      <c r="AW185" s="1283"/>
      <c r="AX185" s="1283"/>
      <c r="AY185" s="1283"/>
      <c r="AZ185" s="1283"/>
      <c r="BA185" s="1283"/>
      <c r="BB185" s="1283"/>
      <c r="BC185" s="1283"/>
      <c r="BD185" s="1283"/>
      <c r="BE185" s="1283"/>
      <c r="BF185" s="1283"/>
      <c r="BG185" s="1283"/>
      <c r="BH185" s="1283"/>
      <c r="BI185" s="1283"/>
      <c r="BJ185" s="1283"/>
      <c r="BK185" s="1283"/>
      <c r="BL185" s="1283"/>
      <c r="BM185" s="1283"/>
      <c r="BN185" s="1283"/>
      <c r="BO185" s="1283"/>
      <c r="BP185" s="1283"/>
      <c r="BQ185" s="1283"/>
      <c r="BR185" s="1283"/>
      <c r="BS185" s="1283"/>
      <c r="BT185" s="1283"/>
      <c r="BU185" s="1283"/>
      <c r="BV185" s="1283"/>
      <c r="BW185" s="1283"/>
      <c r="BX185" s="1283"/>
      <c r="BY185" s="1283"/>
      <c r="BZ185" s="1283"/>
      <c r="CA185" s="1283"/>
      <c r="CB185" s="1283"/>
      <c r="CC185" s="1283"/>
      <c r="CD185" s="1283"/>
      <c r="CE185" s="1283"/>
      <c r="CF185" s="1283"/>
      <c r="CG185" s="1283"/>
      <c r="CH185" s="1283"/>
      <c r="CI185" s="1283"/>
      <c r="CJ185" s="1283"/>
      <c r="CK185" s="1283"/>
    </row>
    <row r="186" spans="1:89" s="678" customFormat="1" ht="15" x14ac:dyDescent="0.2">
      <c r="A186" s="710"/>
      <c r="B186" s="1306"/>
      <c r="C186" s="1307"/>
      <c r="D186" s="1308"/>
      <c r="E186" s="1309"/>
      <c r="F186" s="1309"/>
      <c r="G186" s="1309"/>
      <c r="H186" s="1309"/>
      <c r="I186" s="1309"/>
      <c r="J186" s="1309"/>
      <c r="K186" s="1309"/>
      <c r="L186" s="1309"/>
      <c r="M186" s="1309"/>
      <c r="N186" s="1309"/>
      <c r="O186" s="1310"/>
      <c r="P186" s="1311"/>
      <c r="Q186" s="1283"/>
      <c r="R186" s="1283"/>
      <c r="S186" s="1283"/>
      <c r="T186" s="1283"/>
      <c r="U186" s="1283"/>
      <c r="V186" s="1283"/>
      <c r="W186" s="1283"/>
      <c r="X186" s="1283"/>
      <c r="Y186" s="1283"/>
      <c r="Z186" s="1283"/>
      <c r="AA186" s="1283"/>
      <c r="AB186" s="1283"/>
      <c r="AC186" s="1283"/>
      <c r="AD186" s="1283"/>
      <c r="AE186" s="1283"/>
      <c r="AF186" s="1283"/>
      <c r="AG186" s="1283"/>
      <c r="AH186" s="1283"/>
      <c r="AI186" s="1283"/>
      <c r="AJ186" s="1283"/>
      <c r="AK186" s="1283"/>
      <c r="AL186" s="1283"/>
      <c r="AM186" s="1283"/>
      <c r="AN186" s="1283"/>
      <c r="AO186" s="1283"/>
      <c r="AP186" s="1283"/>
      <c r="AQ186" s="1283"/>
      <c r="AR186" s="1283"/>
      <c r="AS186" s="1283"/>
      <c r="AT186" s="1283"/>
      <c r="AU186" s="1283"/>
      <c r="AV186" s="1283"/>
      <c r="AW186" s="1283"/>
      <c r="AX186" s="1283"/>
      <c r="AY186" s="1283"/>
      <c r="AZ186" s="1283"/>
      <c r="BA186" s="1283"/>
      <c r="BB186" s="1283"/>
      <c r="BC186" s="1283"/>
      <c r="BD186" s="1283"/>
      <c r="BE186" s="1283"/>
      <c r="BF186" s="1283"/>
      <c r="BG186" s="1283"/>
      <c r="BH186" s="1283"/>
      <c r="BI186" s="1283"/>
      <c r="BJ186" s="1283"/>
      <c r="BK186" s="1283"/>
      <c r="BL186" s="1283"/>
      <c r="BM186" s="1283"/>
      <c r="BN186" s="1283"/>
      <c r="BO186" s="1283"/>
      <c r="BP186" s="1283"/>
      <c r="BQ186" s="1283"/>
      <c r="BR186" s="1283"/>
      <c r="BS186" s="1283"/>
      <c r="BT186" s="1283"/>
      <c r="BU186" s="1283"/>
      <c r="BV186" s="1283"/>
      <c r="BW186" s="1283"/>
      <c r="BX186" s="1283"/>
      <c r="BY186" s="1283"/>
      <c r="BZ186" s="1283"/>
      <c r="CA186" s="1283"/>
      <c r="CB186" s="1283"/>
      <c r="CC186" s="1283"/>
      <c r="CD186" s="1283"/>
      <c r="CE186" s="1283"/>
      <c r="CF186" s="1283"/>
      <c r="CG186" s="1283"/>
      <c r="CH186" s="1283"/>
      <c r="CI186" s="1283"/>
      <c r="CJ186" s="1283"/>
      <c r="CK186" s="1283"/>
    </row>
    <row r="187" spans="1:89" s="678" customFormat="1" ht="15" x14ac:dyDescent="0.2">
      <c r="A187" s="710"/>
      <c r="B187" s="1245"/>
      <c r="C187" s="1284"/>
      <c r="D187" s="1285"/>
      <c r="E187" s="1286"/>
      <c r="F187" s="1286"/>
      <c r="G187" s="1286"/>
      <c r="H187" s="1286"/>
      <c r="I187" s="1286"/>
      <c r="J187" s="1286"/>
      <c r="K187" s="1286"/>
      <c r="L187" s="1286"/>
      <c r="M187" s="1286"/>
      <c r="N187" s="1286"/>
      <c r="O187" s="1287"/>
      <c r="P187" s="850"/>
      <c r="Q187" s="1283"/>
      <c r="R187" s="1283"/>
      <c r="S187" s="1283"/>
      <c r="T187" s="1283"/>
      <c r="U187" s="1283"/>
      <c r="V187" s="1283"/>
      <c r="W187" s="1283"/>
      <c r="X187" s="1283"/>
      <c r="Y187" s="1283"/>
      <c r="Z187" s="1283"/>
      <c r="AA187" s="1283"/>
      <c r="AB187" s="1283"/>
      <c r="AC187" s="1283"/>
      <c r="AD187" s="1283"/>
      <c r="AE187" s="1283"/>
      <c r="AF187" s="1283"/>
      <c r="AG187" s="1283"/>
      <c r="AH187" s="1283"/>
      <c r="AI187" s="1283"/>
      <c r="AJ187" s="1283"/>
      <c r="AK187" s="1283"/>
      <c r="AL187" s="1283"/>
      <c r="AM187" s="1283"/>
      <c r="AN187" s="1283"/>
      <c r="AO187" s="1283"/>
      <c r="AP187" s="1283"/>
      <c r="AQ187" s="1283"/>
      <c r="AR187" s="1283"/>
      <c r="AS187" s="1283"/>
      <c r="AT187" s="1283"/>
      <c r="AU187" s="1283"/>
      <c r="AV187" s="1283"/>
      <c r="AW187" s="1283"/>
      <c r="AX187" s="1283"/>
      <c r="AY187" s="1283"/>
      <c r="AZ187" s="1283"/>
      <c r="BA187" s="1283"/>
      <c r="BB187" s="1283"/>
      <c r="BC187" s="1283"/>
      <c r="BD187" s="1283"/>
      <c r="BE187" s="1283"/>
      <c r="BF187" s="1283"/>
      <c r="BG187" s="1283"/>
      <c r="BH187" s="1283"/>
      <c r="BI187" s="1283"/>
      <c r="BJ187" s="1283"/>
      <c r="BK187" s="1283"/>
      <c r="BL187" s="1283"/>
      <c r="BM187" s="1283"/>
      <c r="BN187" s="1283"/>
      <c r="BO187" s="1283"/>
      <c r="BP187" s="1283"/>
      <c r="BQ187" s="1283"/>
      <c r="BR187" s="1283"/>
      <c r="BS187" s="1283"/>
      <c r="BT187" s="1283"/>
      <c r="BU187" s="1283"/>
      <c r="BV187" s="1283"/>
      <c r="BW187" s="1283"/>
      <c r="BX187" s="1283"/>
      <c r="BY187" s="1283"/>
      <c r="BZ187" s="1283"/>
      <c r="CA187" s="1283"/>
      <c r="CB187" s="1283"/>
      <c r="CC187" s="1283"/>
      <c r="CD187" s="1283"/>
      <c r="CE187" s="1283"/>
      <c r="CF187" s="1283"/>
      <c r="CG187" s="1283"/>
      <c r="CH187" s="1283"/>
      <c r="CI187" s="1283"/>
      <c r="CJ187" s="1283"/>
      <c r="CK187" s="1283"/>
    </row>
    <row r="188" spans="1:89" s="678" customFormat="1" ht="15" x14ac:dyDescent="0.2">
      <c r="A188" s="710"/>
      <c r="B188" s="1312" t="s">
        <v>1672</v>
      </c>
      <c r="C188" s="1284"/>
      <c r="D188" s="1285"/>
      <c r="E188" s="1286"/>
      <c r="F188" s="1286"/>
      <c r="G188" s="1286"/>
      <c r="H188" s="1286"/>
      <c r="I188" s="1286"/>
      <c r="J188" s="1286"/>
      <c r="K188" s="1286"/>
      <c r="L188" s="1286"/>
      <c r="M188" s="1286"/>
      <c r="N188" s="1286"/>
      <c r="O188" s="1287"/>
      <c r="P188" s="850"/>
      <c r="Q188" s="1283"/>
      <c r="R188" s="1283"/>
      <c r="S188" s="1283"/>
      <c r="T188" s="1283"/>
      <c r="U188" s="1283"/>
      <c r="V188" s="1283"/>
      <c r="W188" s="1283"/>
      <c r="X188" s="1283"/>
      <c r="Y188" s="1283"/>
      <c r="Z188" s="1283"/>
      <c r="AA188" s="1283"/>
      <c r="AB188" s="1283"/>
      <c r="AC188" s="1283"/>
      <c r="AD188" s="1283"/>
      <c r="AE188" s="1283"/>
      <c r="AF188" s="1283"/>
      <c r="AG188" s="1283"/>
      <c r="AH188" s="1283"/>
      <c r="AI188" s="1283"/>
      <c r="AJ188" s="1283"/>
      <c r="AK188" s="1283"/>
      <c r="AL188" s="1283"/>
      <c r="AM188" s="1283"/>
      <c r="AN188" s="1283"/>
      <c r="AO188" s="1283"/>
      <c r="AP188" s="1283"/>
      <c r="AQ188" s="1283"/>
      <c r="AR188" s="1283"/>
      <c r="AS188" s="1283"/>
      <c r="AT188" s="1283"/>
      <c r="AU188" s="1283"/>
      <c r="AV188" s="1283"/>
      <c r="AW188" s="1283"/>
      <c r="AX188" s="1283"/>
      <c r="AY188" s="1283"/>
      <c r="AZ188" s="1283"/>
      <c r="BA188" s="1283"/>
      <c r="BB188" s="1283"/>
      <c r="BC188" s="1283"/>
      <c r="BD188" s="1283"/>
      <c r="BE188" s="1283"/>
      <c r="BF188" s="1283"/>
      <c r="BG188" s="1283"/>
      <c r="BH188" s="1283"/>
      <c r="BI188" s="1283"/>
      <c r="BJ188" s="1283"/>
      <c r="BK188" s="1283"/>
      <c r="BL188" s="1283"/>
      <c r="BM188" s="1283"/>
      <c r="BN188" s="1283"/>
      <c r="BO188" s="1283"/>
      <c r="BP188" s="1283"/>
      <c r="BQ188" s="1283"/>
      <c r="BR188" s="1283"/>
      <c r="BS188" s="1283"/>
      <c r="BT188" s="1283"/>
      <c r="BU188" s="1283"/>
      <c r="BV188" s="1283"/>
      <c r="BW188" s="1283"/>
      <c r="BX188" s="1283"/>
      <c r="BY188" s="1283"/>
      <c r="BZ188" s="1283"/>
      <c r="CA188" s="1283"/>
      <c r="CB188" s="1283"/>
      <c r="CC188" s="1283"/>
      <c r="CD188" s="1283"/>
      <c r="CE188" s="1283"/>
      <c r="CF188" s="1283"/>
      <c r="CG188" s="1283"/>
      <c r="CH188" s="1283"/>
      <c r="CI188" s="1283"/>
      <c r="CJ188" s="1283"/>
      <c r="CK188" s="1283"/>
    </row>
    <row r="189" spans="1:89" s="678" customFormat="1" ht="15" x14ac:dyDescent="0.2">
      <c r="A189" s="710">
        <v>6</v>
      </c>
      <c r="B189" s="1245" t="s">
        <v>1671</v>
      </c>
      <c r="C189" s="1284">
        <v>1</v>
      </c>
      <c r="D189" s="1285" t="s">
        <v>16</v>
      </c>
      <c r="E189" s="1286">
        <v>1000000</v>
      </c>
      <c r="F189" s="1286"/>
      <c r="G189" s="1286"/>
      <c r="H189" s="1286"/>
      <c r="I189" s="1286"/>
      <c r="J189" s="1286"/>
      <c r="K189" s="1286"/>
      <c r="L189" s="1286">
        <f>C189*E189</f>
        <v>1000000</v>
      </c>
      <c r="M189" s="1286"/>
      <c r="N189" s="1286">
        <f>L189+M189</f>
        <v>1000000</v>
      </c>
      <c r="O189" s="1287">
        <f>N189+K189+H189</f>
        <v>1000000</v>
      </c>
      <c r="P189" s="850"/>
      <c r="Q189" s="1283"/>
      <c r="R189" s="1283"/>
      <c r="S189" s="1283"/>
      <c r="T189" s="1283"/>
      <c r="U189" s="1283"/>
      <c r="V189" s="1283"/>
      <c r="W189" s="1283"/>
      <c r="X189" s="1283"/>
      <c r="Y189" s="1283"/>
      <c r="Z189" s="1283"/>
      <c r="AA189" s="1283"/>
      <c r="AB189" s="1283"/>
      <c r="AC189" s="1283"/>
      <c r="AD189" s="1283"/>
      <c r="AE189" s="1283"/>
      <c r="AF189" s="1283"/>
      <c r="AG189" s="1283"/>
      <c r="AH189" s="1283"/>
      <c r="AI189" s="1283"/>
      <c r="AJ189" s="1283"/>
      <c r="AK189" s="1283"/>
      <c r="AL189" s="1283"/>
      <c r="AM189" s="1283"/>
      <c r="AN189" s="1283"/>
      <c r="AO189" s="1283"/>
      <c r="AP189" s="1283"/>
      <c r="AQ189" s="1283"/>
      <c r="AR189" s="1283"/>
      <c r="AS189" s="1283"/>
      <c r="AT189" s="1283"/>
      <c r="AU189" s="1283"/>
      <c r="AV189" s="1283"/>
      <c r="AW189" s="1283"/>
      <c r="AX189" s="1283"/>
      <c r="AY189" s="1283"/>
      <c r="AZ189" s="1283"/>
      <c r="BA189" s="1283"/>
      <c r="BB189" s="1283"/>
      <c r="BC189" s="1283"/>
      <c r="BD189" s="1283"/>
      <c r="BE189" s="1283"/>
      <c r="BF189" s="1283"/>
      <c r="BG189" s="1283"/>
      <c r="BH189" s="1283"/>
      <c r="BI189" s="1283"/>
      <c r="BJ189" s="1283"/>
      <c r="BK189" s="1283"/>
      <c r="BL189" s="1283"/>
      <c r="BM189" s="1283"/>
      <c r="BN189" s="1283"/>
      <c r="BO189" s="1283"/>
      <c r="BP189" s="1283"/>
      <c r="BQ189" s="1283"/>
      <c r="BR189" s="1283"/>
      <c r="BS189" s="1283"/>
      <c r="BT189" s="1283"/>
      <c r="BU189" s="1283"/>
      <c r="BV189" s="1283"/>
      <c r="BW189" s="1283"/>
      <c r="BX189" s="1283"/>
      <c r="BY189" s="1283"/>
      <c r="BZ189" s="1283"/>
      <c r="CA189" s="1283"/>
      <c r="CB189" s="1283"/>
      <c r="CC189" s="1283"/>
      <c r="CD189" s="1283"/>
      <c r="CE189" s="1283"/>
      <c r="CF189" s="1283"/>
      <c r="CG189" s="1283"/>
      <c r="CH189" s="1283"/>
      <c r="CI189" s="1283"/>
      <c r="CJ189" s="1283"/>
      <c r="CK189" s="1283"/>
    </row>
    <row r="190" spans="1:89" s="678" customFormat="1" ht="6" customHeight="1" x14ac:dyDescent="0.2">
      <c r="A190" s="710"/>
      <c r="B190" s="689"/>
      <c r="C190" s="1284"/>
      <c r="D190" s="1285"/>
      <c r="E190" s="1286"/>
      <c r="F190" s="1286"/>
      <c r="G190" s="1286"/>
      <c r="H190" s="1286"/>
      <c r="I190" s="1286"/>
      <c r="J190" s="1286"/>
      <c r="K190" s="1286"/>
      <c r="L190" s="1286"/>
      <c r="M190" s="1286"/>
      <c r="N190" s="1286"/>
      <c r="O190" s="1287"/>
      <c r="P190" s="850"/>
      <c r="Q190" s="1283"/>
      <c r="R190" s="1283"/>
      <c r="S190" s="1283"/>
      <c r="T190" s="1283"/>
      <c r="U190" s="1283"/>
      <c r="V190" s="1283"/>
      <c r="W190" s="1283"/>
      <c r="X190" s="1283"/>
      <c r="Y190" s="1283"/>
      <c r="Z190" s="1283"/>
      <c r="AA190" s="1283"/>
      <c r="AB190" s="1283"/>
      <c r="AC190" s="1283"/>
      <c r="AD190" s="1283"/>
      <c r="AE190" s="1283"/>
      <c r="AF190" s="1283"/>
      <c r="AG190" s="1283"/>
      <c r="AH190" s="1283"/>
      <c r="AI190" s="1283"/>
      <c r="AJ190" s="1283"/>
      <c r="AK190" s="1283"/>
      <c r="AL190" s="1283"/>
      <c r="AM190" s="1283"/>
      <c r="AN190" s="1283"/>
      <c r="AO190" s="1283"/>
      <c r="AP190" s="1283"/>
      <c r="AQ190" s="1283"/>
      <c r="AR190" s="1283"/>
      <c r="AS190" s="1283"/>
      <c r="AT190" s="1283"/>
      <c r="AU190" s="1283"/>
      <c r="AV190" s="1283"/>
      <c r="AW190" s="1283"/>
      <c r="AX190" s="1283"/>
      <c r="AY190" s="1283"/>
      <c r="AZ190" s="1283"/>
      <c r="BA190" s="1283"/>
      <c r="BB190" s="1283"/>
      <c r="BC190" s="1283"/>
      <c r="BD190" s="1283"/>
      <c r="BE190" s="1283"/>
      <c r="BF190" s="1283"/>
      <c r="BG190" s="1283"/>
      <c r="BH190" s="1283"/>
      <c r="BI190" s="1283"/>
      <c r="BJ190" s="1283"/>
      <c r="BK190" s="1283"/>
      <c r="BL190" s="1283"/>
      <c r="BM190" s="1283"/>
      <c r="BN190" s="1283"/>
      <c r="BO190" s="1283"/>
      <c r="BP190" s="1283"/>
      <c r="BQ190" s="1283"/>
      <c r="BR190" s="1283"/>
      <c r="BS190" s="1283"/>
      <c r="BT190" s="1283"/>
      <c r="BU190" s="1283"/>
      <c r="BV190" s="1283"/>
      <c r="BW190" s="1283"/>
      <c r="BX190" s="1283"/>
      <c r="BY190" s="1283"/>
      <c r="BZ190" s="1283"/>
      <c r="CA190" s="1283"/>
      <c r="CB190" s="1283"/>
      <c r="CC190" s="1283"/>
      <c r="CD190" s="1283"/>
      <c r="CE190" s="1283"/>
      <c r="CF190" s="1283"/>
      <c r="CG190" s="1283"/>
      <c r="CH190" s="1283"/>
      <c r="CI190" s="1283"/>
      <c r="CJ190" s="1283"/>
      <c r="CK190" s="1283"/>
    </row>
    <row r="191" spans="1:89" s="678" customFormat="1" ht="17.25" customHeight="1" x14ac:dyDescent="0.2">
      <c r="A191" s="857"/>
      <c r="B191" s="851"/>
      <c r="C191" s="852"/>
      <c r="D191" s="853"/>
      <c r="E191" s="854"/>
      <c r="F191" s="854"/>
      <c r="G191" s="854"/>
      <c r="H191" s="854"/>
      <c r="I191" s="854"/>
      <c r="J191" s="854"/>
      <c r="K191" s="854"/>
      <c r="L191" s="854"/>
      <c r="M191" s="854"/>
      <c r="N191" s="854"/>
      <c r="O191" s="855"/>
      <c r="P191" s="850"/>
      <c r="Q191" s="1283"/>
      <c r="R191" s="1283"/>
      <c r="S191" s="1283"/>
      <c r="T191" s="1283"/>
      <c r="U191" s="1283"/>
      <c r="V191" s="1283"/>
      <c r="W191" s="1283"/>
      <c r="X191" s="1283"/>
      <c r="Y191" s="1283"/>
      <c r="Z191" s="1283"/>
      <c r="AA191" s="1283"/>
      <c r="AB191" s="1283"/>
      <c r="AC191" s="1283"/>
      <c r="AD191" s="1283"/>
      <c r="AE191" s="1283"/>
      <c r="AF191" s="1283"/>
      <c r="AG191" s="1283"/>
      <c r="AH191" s="1283"/>
      <c r="AI191" s="1283"/>
      <c r="AJ191" s="1283"/>
      <c r="AK191" s="1283"/>
      <c r="AL191" s="1283"/>
      <c r="AM191" s="1283"/>
      <c r="AN191" s="1283"/>
      <c r="AO191" s="1283"/>
      <c r="AP191" s="1283"/>
      <c r="AQ191" s="1283"/>
      <c r="AR191" s="1283"/>
      <c r="AS191" s="1283"/>
      <c r="AT191" s="1283"/>
      <c r="AU191" s="1283"/>
      <c r="AV191" s="1283"/>
      <c r="AW191" s="1283"/>
      <c r="AX191" s="1283"/>
      <c r="AY191" s="1283"/>
      <c r="AZ191" s="1283"/>
      <c r="BA191" s="1283"/>
      <c r="BB191" s="1283"/>
      <c r="BC191" s="1283"/>
      <c r="BD191" s="1283"/>
      <c r="BE191" s="1283"/>
      <c r="BF191" s="1283"/>
      <c r="BG191" s="1283"/>
      <c r="BH191" s="1283"/>
      <c r="BI191" s="1283"/>
      <c r="BJ191" s="1283"/>
      <c r="BK191" s="1283"/>
      <c r="BL191" s="1283"/>
      <c r="BM191" s="1283"/>
      <c r="BN191" s="1283"/>
      <c r="BO191" s="1283"/>
      <c r="BP191" s="1283"/>
      <c r="BQ191" s="1283"/>
      <c r="BR191" s="1283"/>
      <c r="BS191" s="1283"/>
      <c r="BT191" s="1283"/>
      <c r="BU191" s="1283"/>
      <c r="BV191" s="1283"/>
      <c r="BW191" s="1283"/>
      <c r="BX191" s="1283"/>
      <c r="BY191" s="1283"/>
      <c r="BZ191" s="1283"/>
      <c r="CA191" s="1283"/>
      <c r="CB191" s="1283"/>
      <c r="CC191" s="1283"/>
      <c r="CD191" s="1283"/>
      <c r="CE191" s="1283"/>
      <c r="CF191" s="1283"/>
      <c r="CG191" s="1283"/>
      <c r="CH191" s="1283"/>
      <c r="CI191" s="1283"/>
      <c r="CJ191" s="1283"/>
      <c r="CK191" s="1283"/>
    </row>
    <row r="192" spans="1:89" s="1276" customFormat="1" ht="17.25" customHeight="1" x14ac:dyDescent="0.2">
      <c r="A192" s="1269" t="s">
        <v>586</v>
      </c>
      <c r="B192" s="1270" t="s">
        <v>29</v>
      </c>
      <c r="C192" s="1271"/>
      <c r="D192" s="1272"/>
      <c r="E192" s="1273"/>
      <c r="F192" s="1273">
        <f>SUM(F195:F222)</f>
        <v>0</v>
      </c>
      <c r="G192" s="1273">
        <f>SUM(G195:G222)</f>
        <v>0</v>
      </c>
      <c r="H192" s="1273">
        <f>G192+F192</f>
        <v>0</v>
      </c>
      <c r="I192" s="1273">
        <f>SUM(I195:I222)</f>
        <v>0</v>
      </c>
      <c r="J192" s="1273">
        <f>SUM(J195:J225)</f>
        <v>545420</v>
      </c>
      <c r="K192" s="1273">
        <f>J192+I192</f>
        <v>545420</v>
      </c>
      <c r="L192" s="1273">
        <f>SUM(L195:L222)</f>
        <v>0</v>
      </c>
      <c r="M192" s="1273">
        <f>SUM(M195:M222)</f>
        <v>0</v>
      </c>
      <c r="N192" s="1273">
        <f>M192+L192</f>
        <v>0</v>
      </c>
      <c r="O192" s="1274">
        <f>K192</f>
        <v>545420</v>
      </c>
      <c r="P192" s="1275"/>
      <c r="Q192" s="1824"/>
      <c r="R192" s="1824"/>
      <c r="S192" s="1824"/>
      <c r="T192" s="1824"/>
      <c r="U192" s="1824"/>
      <c r="V192" s="1824"/>
      <c r="W192" s="1824"/>
      <c r="X192" s="1824"/>
      <c r="Y192" s="1824"/>
      <c r="Z192" s="1824"/>
      <c r="AA192" s="1824"/>
      <c r="AB192" s="1824"/>
      <c r="AC192" s="1824"/>
      <c r="AD192" s="1824"/>
      <c r="AE192" s="1824"/>
      <c r="AF192" s="1824"/>
      <c r="AG192" s="1824"/>
      <c r="AH192" s="1824"/>
      <c r="AI192" s="1824"/>
      <c r="AJ192" s="1824"/>
      <c r="AK192" s="1824"/>
      <c r="AL192" s="1824"/>
      <c r="AM192" s="1824"/>
      <c r="AN192" s="1824"/>
      <c r="AO192" s="1824"/>
      <c r="AP192" s="1824"/>
      <c r="AQ192" s="1824"/>
      <c r="AR192" s="1824"/>
      <c r="AS192" s="1824"/>
      <c r="AT192" s="1824"/>
      <c r="AU192" s="1824"/>
      <c r="AV192" s="1824"/>
      <c r="AW192" s="1824"/>
      <c r="AX192" s="1824"/>
      <c r="AY192" s="1824"/>
      <c r="AZ192" s="1824"/>
      <c r="BA192" s="1824"/>
      <c r="BB192" s="1824"/>
      <c r="BC192" s="1824"/>
      <c r="BD192" s="1824"/>
      <c r="BE192" s="1824"/>
      <c r="BF192" s="1824"/>
      <c r="BG192" s="1824"/>
      <c r="BH192" s="1824"/>
      <c r="BI192" s="1824"/>
      <c r="BJ192" s="1824"/>
      <c r="BK192" s="1824"/>
      <c r="BL192" s="1824"/>
      <c r="BM192" s="1824"/>
      <c r="BN192" s="1824"/>
      <c r="BO192" s="1824"/>
      <c r="BP192" s="1824"/>
      <c r="BQ192" s="1824"/>
      <c r="BR192" s="1824"/>
      <c r="BS192" s="1824"/>
      <c r="BT192" s="1824"/>
      <c r="BU192" s="1824"/>
      <c r="BV192" s="1824"/>
      <c r="BW192" s="1824"/>
      <c r="BX192" s="1824"/>
      <c r="BY192" s="1824"/>
      <c r="BZ192" s="1824"/>
      <c r="CA192" s="1824"/>
      <c r="CB192" s="1824"/>
      <c r="CC192" s="1824"/>
      <c r="CD192" s="1824"/>
      <c r="CE192" s="1824"/>
      <c r="CF192" s="1824"/>
      <c r="CG192" s="1824"/>
      <c r="CH192" s="1824"/>
      <c r="CI192" s="1824"/>
      <c r="CJ192" s="1824"/>
      <c r="CK192" s="1824"/>
    </row>
    <row r="193" spans="1:89" s="678" customFormat="1" ht="17.25" customHeight="1" x14ac:dyDescent="0.2">
      <c r="A193" s="1303"/>
      <c r="B193" s="1242"/>
      <c r="C193" s="1277"/>
      <c r="D193" s="1278"/>
      <c r="E193" s="1279"/>
      <c r="F193" s="1279"/>
      <c r="G193" s="1279"/>
      <c r="H193" s="1279"/>
      <c r="I193" s="1279"/>
      <c r="J193" s="1279"/>
      <c r="K193" s="1279"/>
      <c r="L193" s="1279"/>
      <c r="M193" s="1279"/>
      <c r="N193" s="1279"/>
      <c r="O193" s="1280"/>
      <c r="P193" s="850"/>
      <c r="Q193" s="1283"/>
      <c r="R193" s="1283"/>
      <c r="S193" s="1283"/>
      <c r="T193" s="1283"/>
      <c r="U193" s="1283"/>
      <c r="V193" s="1283"/>
      <c r="W193" s="1283"/>
      <c r="X193" s="1283"/>
      <c r="Y193" s="1283"/>
      <c r="Z193" s="1283"/>
      <c r="AA193" s="1283"/>
      <c r="AB193" s="1283"/>
      <c r="AC193" s="1283"/>
      <c r="AD193" s="1283"/>
      <c r="AE193" s="1283"/>
      <c r="AF193" s="1283"/>
      <c r="AG193" s="1283"/>
      <c r="AH193" s="1283"/>
      <c r="AI193" s="1283"/>
      <c r="AJ193" s="1283"/>
      <c r="AK193" s="1283"/>
      <c r="AL193" s="1283"/>
      <c r="AM193" s="1283"/>
      <c r="AN193" s="1283"/>
      <c r="AO193" s="1283"/>
      <c r="AP193" s="1283"/>
      <c r="AQ193" s="1283"/>
      <c r="AR193" s="1283"/>
      <c r="AS193" s="1283"/>
      <c r="AT193" s="1283"/>
      <c r="AU193" s="1283"/>
      <c r="AV193" s="1283"/>
      <c r="AW193" s="1283"/>
      <c r="AX193" s="1283"/>
      <c r="AY193" s="1283"/>
      <c r="AZ193" s="1283"/>
      <c r="BA193" s="1283"/>
      <c r="BB193" s="1283"/>
      <c r="BC193" s="1283"/>
      <c r="BD193" s="1283"/>
      <c r="BE193" s="1283"/>
      <c r="BF193" s="1283"/>
      <c r="BG193" s="1283"/>
      <c r="BH193" s="1283"/>
      <c r="BI193" s="1283"/>
      <c r="BJ193" s="1283"/>
      <c r="BK193" s="1283"/>
      <c r="BL193" s="1283"/>
      <c r="BM193" s="1283"/>
      <c r="BN193" s="1283"/>
      <c r="BO193" s="1283"/>
      <c r="BP193" s="1283"/>
      <c r="BQ193" s="1283"/>
      <c r="BR193" s="1283"/>
      <c r="BS193" s="1283"/>
      <c r="BT193" s="1283"/>
      <c r="BU193" s="1283"/>
      <c r="BV193" s="1283"/>
      <c r="BW193" s="1283"/>
      <c r="BX193" s="1283"/>
      <c r="BY193" s="1283"/>
      <c r="BZ193" s="1283"/>
      <c r="CA193" s="1283"/>
      <c r="CB193" s="1283"/>
      <c r="CC193" s="1283"/>
      <c r="CD193" s="1283"/>
      <c r="CE193" s="1283"/>
      <c r="CF193" s="1283"/>
      <c r="CG193" s="1283"/>
      <c r="CH193" s="1283"/>
      <c r="CI193" s="1283"/>
      <c r="CJ193" s="1283"/>
      <c r="CK193" s="1283"/>
    </row>
    <row r="194" spans="1:89" s="678" customFormat="1" ht="17.25" customHeight="1" x14ac:dyDescent="0.2">
      <c r="A194" s="1302">
        <v>1</v>
      </c>
      <c r="B194" s="1245" t="s">
        <v>19</v>
      </c>
      <c r="C194" s="1284"/>
      <c r="D194" s="1285"/>
      <c r="E194" s="1286"/>
      <c r="F194" s="1286"/>
      <c r="G194" s="1286"/>
      <c r="H194" s="1286"/>
      <c r="I194" s="1286"/>
      <c r="J194" s="1286"/>
      <c r="K194" s="1286"/>
      <c r="L194" s="1286"/>
      <c r="M194" s="1286"/>
      <c r="N194" s="1286"/>
      <c r="O194" s="1287"/>
      <c r="P194" s="850"/>
      <c r="Q194" s="1283"/>
      <c r="R194" s="1283"/>
      <c r="S194" s="1283"/>
      <c r="T194" s="1283"/>
      <c r="U194" s="1283"/>
      <c r="V194" s="1283"/>
      <c r="W194" s="1283"/>
      <c r="X194" s="1283"/>
      <c r="Y194" s="1283"/>
      <c r="Z194" s="1283"/>
      <c r="AA194" s="1283"/>
      <c r="AB194" s="1283"/>
      <c r="AC194" s="1283"/>
      <c r="AD194" s="1283"/>
      <c r="AE194" s="1283"/>
      <c r="AF194" s="1283"/>
      <c r="AG194" s="1283"/>
      <c r="AH194" s="1283"/>
      <c r="AI194" s="1283"/>
      <c r="AJ194" s="1283"/>
      <c r="AK194" s="1283"/>
      <c r="AL194" s="1283"/>
      <c r="AM194" s="1283"/>
      <c r="AN194" s="1283"/>
      <c r="AO194" s="1283"/>
      <c r="AP194" s="1283"/>
      <c r="AQ194" s="1283"/>
      <c r="AR194" s="1283"/>
      <c r="AS194" s="1283"/>
      <c r="AT194" s="1283"/>
      <c r="AU194" s="1283"/>
      <c r="AV194" s="1283"/>
      <c r="AW194" s="1283"/>
      <c r="AX194" s="1283"/>
      <c r="AY194" s="1283"/>
      <c r="AZ194" s="1283"/>
      <c r="BA194" s="1283"/>
      <c r="BB194" s="1283"/>
      <c r="BC194" s="1283"/>
      <c r="BD194" s="1283"/>
      <c r="BE194" s="1283"/>
      <c r="BF194" s="1283"/>
      <c r="BG194" s="1283"/>
      <c r="BH194" s="1283"/>
      <c r="BI194" s="1283"/>
      <c r="BJ194" s="1283"/>
      <c r="BK194" s="1283"/>
      <c r="BL194" s="1283"/>
      <c r="BM194" s="1283"/>
      <c r="BN194" s="1283"/>
      <c r="BO194" s="1283"/>
      <c r="BP194" s="1283"/>
      <c r="BQ194" s="1283"/>
      <c r="BR194" s="1283"/>
      <c r="BS194" s="1283"/>
      <c r="BT194" s="1283"/>
      <c r="BU194" s="1283"/>
      <c r="BV194" s="1283"/>
      <c r="BW194" s="1283"/>
      <c r="BX194" s="1283"/>
      <c r="BY194" s="1283"/>
      <c r="BZ194" s="1283"/>
      <c r="CA194" s="1283"/>
      <c r="CB194" s="1283"/>
      <c r="CC194" s="1283"/>
      <c r="CD194" s="1283"/>
      <c r="CE194" s="1283"/>
      <c r="CF194" s="1283"/>
      <c r="CG194" s="1283"/>
      <c r="CH194" s="1283"/>
      <c r="CI194" s="1283"/>
      <c r="CJ194" s="1283"/>
      <c r="CK194" s="1283"/>
    </row>
    <row r="195" spans="1:89" s="678" customFormat="1" ht="17.25" customHeight="1" x14ac:dyDescent="0.2">
      <c r="A195" s="1302"/>
      <c r="B195" s="1245" t="s">
        <v>30</v>
      </c>
      <c r="C195" s="1284">
        <v>12</v>
      </c>
      <c r="D195" s="1285" t="s">
        <v>20</v>
      </c>
      <c r="E195" s="1286">
        <v>1250</v>
      </c>
      <c r="F195" s="1286"/>
      <c r="G195" s="1286"/>
      <c r="H195" s="1286"/>
      <c r="I195" s="1286"/>
      <c r="J195" s="1286">
        <f>C195*E195</f>
        <v>15000</v>
      </c>
      <c r="K195" s="1286">
        <f>I195+J195</f>
        <v>15000</v>
      </c>
      <c r="L195" s="1286"/>
      <c r="M195" s="1286"/>
      <c r="N195" s="1286"/>
      <c r="O195" s="1287">
        <f>N195+K195+H195</f>
        <v>15000</v>
      </c>
      <c r="P195" s="850"/>
      <c r="Q195" s="1283"/>
      <c r="R195" s="1283"/>
      <c r="S195" s="1283"/>
      <c r="T195" s="1283"/>
      <c r="U195" s="1283"/>
      <c r="V195" s="1283"/>
      <c r="W195" s="1283"/>
      <c r="X195" s="1283"/>
      <c r="Y195" s="1283"/>
      <c r="Z195" s="1283"/>
      <c r="AA195" s="1283"/>
      <c r="AB195" s="1283"/>
      <c r="AC195" s="1283"/>
      <c r="AD195" s="1283"/>
      <c r="AE195" s="1283"/>
      <c r="AF195" s="1283"/>
      <c r="AG195" s="1283"/>
      <c r="AH195" s="1283"/>
      <c r="AI195" s="1283"/>
      <c r="AJ195" s="1283"/>
      <c r="AK195" s="1283"/>
      <c r="AL195" s="1283"/>
      <c r="AM195" s="1283"/>
      <c r="AN195" s="1283"/>
      <c r="AO195" s="1283"/>
      <c r="AP195" s="1283"/>
      <c r="AQ195" s="1283"/>
      <c r="AR195" s="1283"/>
      <c r="AS195" s="1283"/>
      <c r="AT195" s="1283"/>
      <c r="AU195" s="1283"/>
      <c r="AV195" s="1283"/>
      <c r="AW195" s="1283"/>
      <c r="AX195" s="1283"/>
      <c r="AY195" s="1283"/>
      <c r="AZ195" s="1283"/>
      <c r="BA195" s="1283"/>
      <c r="BB195" s="1283"/>
      <c r="BC195" s="1283"/>
      <c r="BD195" s="1283"/>
      <c r="BE195" s="1283"/>
      <c r="BF195" s="1283"/>
      <c r="BG195" s="1283"/>
      <c r="BH195" s="1283"/>
      <c r="BI195" s="1283"/>
      <c r="BJ195" s="1283"/>
      <c r="BK195" s="1283"/>
      <c r="BL195" s="1283"/>
      <c r="BM195" s="1283"/>
      <c r="BN195" s="1283"/>
      <c r="BO195" s="1283"/>
      <c r="BP195" s="1283"/>
      <c r="BQ195" s="1283"/>
      <c r="BR195" s="1283"/>
      <c r="BS195" s="1283"/>
      <c r="BT195" s="1283"/>
      <c r="BU195" s="1283"/>
      <c r="BV195" s="1283"/>
      <c r="BW195" s="1283"/>
      <c r="BX195" s="1283"/>
      <c r="BY195" s="1283"/>
      <c r="BZ195" s="1283"/>
      <c r="CA195" s="1283"/>
      <c r="CB195" s="1283"/>
      <c r="CC195" s="1283"/>
      <c r="CD195" s="1283"/>
      <c r="CE195" s="1283"/>
      <c r="CF195" s="1283"/>
      <c r="CG195" s="1283"/>
      <c r="CH195" s="1283"/>
      <c r="CI195" s="1283"/>
      <c r="CJ195" s="1283"/>
      <c r="CK195" s="1283"/>
    </row>
    <row r="196" spans="1:89" s="678" customFormat="1" ht="17.25" customHeight="1" x14ac:dyDescent="0.2">
      <c r="A196" s="1302"/>
      <c r="B196" s="1245" t="s">
        <v>75</v>
      </c>
      <c r="C196" s="1284">
        <v>12</v>
      </c>
      <c r="D196" s="1285" t="s">
        <v>20</v>
      </c>
      <c r="E196" s="1286">
        <v>1050</v>
      </c>
      <c r="F196" s="1286"/>
      <c r="G196" s="1286"/>
      <c r="H196" s="1286"/>
      <c r="I196" s="1286"/>
      <c r="J196" s="1286">
        <f>C196*E196</f>
        <v>12600</v>
      </c>
      <c r="K196" s="1286">
        <f>I196+J196</f>
        <v>12600</v>
      </c>
      <c r="L196" s="1286"/>
      <c r="M196" s="1286"/>
      <c r="N196" s="1286"/>
      <c r="O196" s="1287">
        <f>N196+K196+H196</f>
        <v>12600</v>
      </c>
      <c r="P196" s="850"/>
      <c r="Q196" s="1283"/>
      <c r="R196" s="1283"/>
      <c r="S196" s="1283"/>
      <c r="T196" s="1283"/>
      <c r="U196" s="1283"/>
      <c r="V196" s="1283"/>
      <c r="W196" s="1283"/>
      <c r="X196" s="1283"/>
      <c r="Y196" s="1283"/>
      <c r="Z196" s="1283"/>
      <c r="AA196" s="1283"/>
      <c r="AB196" s="1283"/>
      <c r="AC196" s="1283"/>
      <c r="AD196" s="1283"/>
      <c r="AE196" s="1283"/>
      <c r="AF196" s="1283"/>
      <c r="AG196" s="1283"/>
      <c r="AH196" s="1283"/>
      <c r="AI196" s="1283"/>
      <c r="AJ196" s="1283"/>
      <c r="AK196" s="1283"/>
      <c r="AL196" s="1283"/>
      <c r="AM196" s="1283"/>
      <c r="AN196" s="1283"/>
      <c r="AO196" s="1283"/>
      <c r="AP196" s="1283"/>
      <c r="AQ196" s="1283"/>
      <c r="AR196" s="1283"/>
      <c r="AS196" s="1283"/>
      <c r="AT196" s="1283"/>
      <c r="AU196" s="1283"/>
      <c r="AV196" s="1283"/>
      <c r="AW196" s="1283"/>
      <c r="AX196" s="1283"/>
      <c r="AY196" s="1283"/>
      <c r="AZ196" s="1283"/>
      <c r="BA196" s="1283"/>
      <c r="BB196" s="1283"/>
      <c r="BC196" s="1283"/>
      <c r="BD196" s="1283"/>
      <c r="BE196" s="1283"/>
      <c r="BF196" s="1283"/>
      <c r="BG196" s="1283"/>
      <c r="BH196" s="1283"/>
      <c r="BI196" s="1283"/>
      <c r="BJ196" s="1283"/>
      <c r="BK196" s="1283"/>
      <c r="BL196" s="1283"/>
      <c r="BM196" s="1283"/>
      <c r="BN196" s="1283"/>
      <c r="BO196" s="1283"/>
      <c r="BP196" s="1283"/>
      <c r="BQ196" s="1283"/>
      <c r="BR196" s="1283"/>
      <c r="BS196" s="1283"/>
      <c r="BT196" s="1283"/>
      <c r="BU196" s="1283"/>
      <c r="BV196" s="1283"/>
      <c r="BW196" s="1283"/>
      <c r="BX196" s="1283"/>
      <c r="BY196" s="1283"/>
      <c r="BZ196" s="1283"/>
      <c r="CA196" s="1283"/>
      <c r="CB196" s="1283"/>
      <c r="CC196" s="1283"/>
      <c r="CD196" s="1283"/>
      <c r="CE196" s="1283"/>
      <c r="CF196" s="1283"/>
      <c r="CG196" s="1283"/>
      <c r="CH196" s="1283"/>
      <c r="CI196" s="1283"/>
      <c r="CJ196" s="1283"/>
      <c r="CK196" s="1283"/>
    </row>
    <row r="197" spans="1:89" s="678" customFormat="1" ht="17.25" customHeight="1" x14ac:dyDescent="0.2">
      <c r="A197" s="1302"/>
      <c r="B197" s="1245" t="s">
        <v>31</v>
      </c>
      <c r="C197" s="1284">
        <v>12</v>
      </c>
      <c r="D197" s="1285" t="s">
        <v>20</v>
      </c>
      <c r="E197" s="1286">
        <v>1000</v>
      </c>
      <c r="F197" s="1286"/>
      <c r="G197" s="1286"/>
      <c r="H197" s="1286"/>
      <c r="I197" s="1286"/>
      <c r="J197" s="1286">
        <f>C197*E197</f>
        <v>12000</v>
      </c>
      <c r="K197" s="1286">
        <f>I197+J197</f>
        <v>12000</v>
      </c>
      <c r="L197" s="1286"/>
      <c r="M197" s="1286"/>
      <c r="N197" s="1286"/>
      <c r="O197" s="1287">
        <f>N197+K197+H197</f>
        <v>12000</v>
      </c>
      <c r="P197" s="850"/>
      <c r="Q197" s="1283"/>
      <c r="R197" s="1283"/>
      <c r="S197" s="1283"/>
      <c r="T197" s="1283"/>
      <c r="U197" s="1283"/>
      <c r="V197" s="1283"/>
      <c r="W197" s="1283"/>
      <c r="X197" s="1283"/>
      <c r="Y197" s="1283"/>
      <c r="Z197" s="1283"/>
      <c r="AA197" s="1283"/>
      <c r="AB197" s="1283"/>
      <c r="AC197" s="1283"/>
      <c r="AD197" s="1283"/>
      <c r="AE197" s="1283"/>
      <c r="AF197" s="1283"/>
      <c r="AG197" s="1283"/>
      <c r="AH197" s="1283"/>
      <c r="AI197" s="1283"/>
      <c r="AJ197" s="1283"/>
      <c r="AK197" s="1283"/>
      <c r="AL197" s="1283"/>
      <c r="AM197" s="1283"/>
      <c r="AN197" s="1283"/>
      <c r="AO197" s="1283"/>
      <c r="AP197" s="1283"/>
      <c r="AQ197" s="1283"/>
      <c r="AR197" s="1283"/>
      <c r="AS197" s="1283"/>
      <c r="AT197" s="1283"/>
      <c r="AU197" s="1283"/>
      <c r="AV197" s="1283"/>
      <c r="AW197" s="1283"/>
      <c r="AX197" s="1283"/>
      <c r="AY197" s="1283"/>
      <c r="AZ197" s="1283"/>
      <c r="BA197" s="1283"/>
      <c r="BB197" s="1283"/>
      <c r="BC197" s="1283"/>
      <c r="BD197" s="1283"/>
      <c r="BE197" s="1283"/>
      <c r="BF197" s="1283"/>
      <c r="BG197" s="1283"/>
      <c r="BH197" s="1283"/>
      <c r="BI197" s="1283"/>
      <c r="BJ197" s="1283"/>
      <c r="BK197" s="1283"/>
      <c r="BL197" s="1283"/>
      <c r="BM197" s="1283"/>
      <c r="BN197" s="1283"/>
      <c r="BO197" s="1283"/>
      <c r="BP197" s="1283"/>
      <c r="BQ197" s="1283"/>
      <c r="BR197" s="1283"/>
      <c r="BS197" s="1283"/>
      <c r="BT197" s="1283"/>
      <c r="BU197" s="1283"/>
      <c r="BV197" s="1283"/>
      <c r="BW197" s="1283"/>
      <c r="BX197" s="1283"/>
      <c r="BY197" s="1283"/>
      <c r="BZ197" s="1283"/>
      <c r="CA197" s="1283"/>
      <c r="CB197" s="1283"/>
      <c r="CC197" s="1283"/>
      <c r="CD197" s="1283"/>
      <c r="CE197" s="1283"/>
      <c r="CF197" s="1283"/>
      <c r="CG197" s="1283"/>
      <c r="CH197" s="1283"/>
      <c r="CI197" s="1283"/>
      <c r="CJ197" s="1283"/>
      <c r="CK197" s="1283"/>
    </row>
    <row r="198" spans="1:89" s="678" customFormat="1" ht="17.25" customHeight="1" x14ac:dyDescent="0.2">
      <c r="A198" s="1302"/>
      <c r="B198" s="1245" t="s">
        <v>1496</v>
      </c>
      <c r="C198" s="1284">
        <v>12</v>
      </c>
      <c r="D198" s="1285" t="s">
        <v>20</v>
      </c>
      <c r="E198" s="1286">
        <v>900</v>
      </c>
      <c r="F198" s="1286"/>
      <c r="G198" s="1286"/>
      <c r="H198" s="1286"/>
      <c r="I198" s="1286"/>
      <c r="J198" s="1286">
        <f>C198*E198</f>
        <v>10800</v>
      </c>
      <c r="K198" s="1286">
        <f>I198+J198</f>
        <v>10800</v>
      </c>
      <c r="L198" s="1286"/>
      <c r="M198" s="1286"/>
      <c r="N198" s="1286"/>
      <c r="O198" s="1287">
        <f>N198+K198+H198</f>
        <v>10800</v>
      </c>
      <c r="P198" s="850"/>
      <c r="Q198" s="1283"/>
      <c r="R198" s="1283"/>
      <c r="S198" s="1283"/>
      <c r="T198" s="1283"/>
      <c r="U198" s="1283"/>
      <c r="V198" s="1283"/>
      <c r="W198" s="1283"/>
      <c r="X198" s="1283"/>
      <c r="Y198" s="1283"/>
      <c r="Z198" s="1283"/>
      <c r="AA198" s="1283"/>
      <c r="AB198" s="1283"/>
      <c r="AC198" s="1283"/>
      <c r="AD198" s="1283"/>
      <c r="AE198" s="1283"/>
      <c r="AF198" s="1283"/>
      <c r="AG198" s="1283"/>
      <c r="AH198" s="1283"/>
      <c r="AI198" s="1283"/>
      <c r="AJ198" s="1283"/>
      <c r="AK198" s="1283"/>
      <c r="AL198" s="1283"/>
      <c r="AM198" s="1283"/>
      <c r="AN198" s="1283"/>
      <c r="AO198" s="1283"/>
      <c r="AP198" s="1283"/>
      <c r="AQ198" s="1283"/>
      <c r="AR198" s="1283"/>
      <c r="AS198" s="1283"/>
      <c r="AT198" s="1283"/>
      <c r="AU198" s="1283"/>
      <c r="AV198" s="1283"/>
      <c r="AW198" s="1283"/>
      <c r="AX198" s="1283"/>
      <c r="AY198" s="1283"/>
      <c r="AZ198" s="1283"/>
      <c r="BA198" s="1283"/>
      <c r="BB198" s="1283"/>
      <c r="BC198" s="1283"/>
      <c r="BD198" s="1283"/>
      <c r="BE198" s="1283"/>
      <c r="BF198" s="1283"/>
      <c r="BG198" s="1283"/>
      <c r="BH198" s="1283"/>
      <c r="BI198" s="1283"/>
      <c r="BJ198" s="1283"/>
      <c r="BK198" s="1283"/>
      <c r="BL198" s="1283"/>
      <c r="BM198" s="1283"/>
      <c r="BN198" s="1283"/>
      <c r="BO198" s="1283"/>
      <c r="BP198" s="1283"/>
      <c r="BQ198" s="1283"/>
      <c r="BR198" s="1283"/>
      <c r="BS198" s="1283"/>
      <c r="BT198" s="1283"/>
      <c r="BU198" s="1283"/>
      <c r="BV198" s="1283"/>
      <c r="BW198" s="1283"/>
      <c r="BX198" s="1283"/>
      <c r="BY198" s="1283"/>
      <c r="BZ198" s="1283"/>
      <c r="CA198" s="1283"/>
      <c r="CB198" s="1283"/>
      <c r="CC198" s="1283"/>
      <c r="CD198" s="1283"/>
      <c r="CE198" s="1283"/>
      <c r="CF198" s="1283"/>
      <c r="CG198" s="1283"/>
      <c r="CH198" s="1283"/>
      <c r="CI198" s="1283"/>
      <c r="CJ198" s="1283"/>
      <c r="CK198" s="1283"/>
    </row>
    <row r="199" spans="1:89" s="678" customFormat="1" ht="17.25" customHeight="1" x14ac:dyDescent="0.2">
      <c r="A199" s="1302"/>
      <c r="B199" s="1245" t="s">
        <v>1497</v>
      </c>
      <c r="C199" s="1284">
        <v>60</v>
      </c>
      <c r="D199" s="1285" t="s">
        <v>20</v>
      </c>
      <c r="E199" s="1286">
        <v>650</v>
      </c>
      <c r="F199" s="1286"/>
      <c r="G199" s="1286"/>
      <c r="H199" s="1286"/>
      <c r="I199" s="1286"/>
      <c r="J199" s="1286">
        <f>C199*E199</f>
        <v>39000</v>
      </c>
      <c r="K199" s="1286">
        <f>I199+J199</f>
        <v>39000</v>
      </c>
      <c r="L199" s="1286"/>
      <c r="M199" s="1286"/>
      <c r="N199" s="1286"/>
      <c r="O199" s="1287">
        <f>N199+K199+H199</f>
        <v>39000</v>
      </c>
      <c r="P199" s="850"/>
      <c r="Q199" s="1283"/>
      <c r="R199" s="1283"/>
      <c r="S199" s="1283"/>
      <c r="T199" s="1283"/>
      <c r="U199" s="1283"/>
      <c r="V199" s="1283"/>
      <c r="W199" s="1283"/>
      <c r="X199" s="1283"/>
      <c r="Y199" s="1283"/>
      <c r="Z199" s="1283"/>
      <c r="AA199" s="1283"/>
      <c r="AB199" s="1283"/>
      <c r="AC199" s="1283"/>
      <c r="AD199" s="1283"/>
      <c r="AE199" s="1283"/>
      <c r="AF199" s="1283"/>
      <c r="AG199" s="1283"/>
      <c r="AH199" s="1283"/>
      <c r="AI199" s="1283"/>
      <c r="AJ199" s="1283"/>
      <c r="AK199" s="1283"/>
      <c r="AL199" s="1283"/>
      <c r="AM199" s="1283"/>
      <c r="AN199" s="1283"/>
      <c r="AO199" s="1283"/>
      <c r="AP199" s="1283"/>
      <c r="AQ199" s="1283"/>
      <c r="AR199" s="1283"/>
      <c r="AS199" s="1283"/>
      <c r="AT199" s="1283"/>
      <c r="AU199" s="1283"/>
      <c r="AV199" s="1283"/>
      <c r="AW199" s="1283"/>
      <c r="AX199" s="1283"/>
      <c r="AY199" s="1283"/>
      <c r="AZ199" s="1283"/>
      <c r="BA199" s="1283"/>
      <c r="BB199" s="1283"/>
      <c r="BC199" s="1283"/>
      <c r="BD199" s="1283"/>
      <c r="BE199" s="1283"/>
      <c r="BF199" s="1283"/>
      <c r="BG199" s="1283"/>
      <c r="BH199" s="1283"/>
      <c r="BI199" s="1283"/>
      <c r="BJ199" s="1283"/>
      <c r="BK199" s="1283"/>
      <c r="BL199" s="1283"/>
      <c r="BM199" s="1283"/>
      <c r="BN199" s="1283"/>
      <c r="BO199" s="1283"/>
      <c r="BP199" s="1283"/>
      <c r="BQ199" s="1283"/>
      <c r="BR199" s="1283"/>
      <c r="BS199" s="1283"/>
      <c r="BT199" s="1283"/>
      <c r="BU199" s="1283"/>
      <c r="BV199" s="1283"/>
      <c r="BW199" s="1283"/>
      <c r="BX199" s="1283"/>
      <c r="BY199" s="1283"/>
      <c r="BZ199" s="1283"/>
      <c r="CA199" s="1283"/>
      <c r="CB199" s="1283"/>
      <c r="CC199" s="1283"/>
      <c r="CD199" s="1283"/>
      <c r="CE199" s="1283"/>
      <c r="CF199" s="1283"/>
      <c r="CG199" s="1283"/>
      <c r="CH199" s="1283"/>
      <c r="CI199" s="1283"/>
      <c r="CJ199" s="1283"/>
      <c r="CK199" s="1283"/>
    </row>
    <row r="200" spans="1:89" s="678" customFormat="1" ht="17.25" customHeight="1" x14ac:dyDescent="0.2">
      <c r="A200" s="1302"/>
      <c r="B200" s="1245" t="s">
        <v>34</v>
      </c>
      <c r="C200" s="1284"/>
      <c r="D200" s="1285"/>
      <c r="E200" s="1286" t="s">
        <v>49</v>
      </c>
      <c r="F200" s="1286"/>
      <c r="G200" s="1286"/>
      <c r="H200" s="1286"/>
      <c r="I200" s="1286"/>
      <c r="J200" s="1286"/>
      <c r="K200" s="1286" t="s">
        <v>49</v>
      </c>
      <c r="L200" s="1286"/>
      <c r="M200" s="1286"/>
      <c r="N200" s="1286"/>
      <c r="O200" s="1287" t="s">
        <v>49</v>
      </c>
      <c r="P200" s="850"/>
      <c r="Q200" s="1283"/>
      <c r="R200" s="1283"/>
      <c r="S200" s="1283"/>
      <c r="T200" s="1283"/>
      <c r="U200" s="1283"/>
      <c r="V200" s="1283"/>
      <c r="W200" s="1283"/>
      <c r="X200" s="1283"/>
      <c r="Y200" s="1283"/>
      <c r="Z200" s="1283"/>
      <c r="AA200" s="1283"/>
      <c r="AB200" s="1283"/>
      <c r="AC200" s="1283"/>
      <c r="AD200" s="1283"/>
      <c r="AE200" s="1283"/>
      <c r="AF200" s="1283"/>
      <c r="AG200" s="1283"/>
      <c r="AH200" s="1283"/>
      <c r="AI200" s="1283"/>
      <c r="AJ200" s="1283"/>
      <c r="AK200" s="1283"/>
      <c r="AL200" s="1283"/>
      <c r="AM200" s="1283"/>
      <c r="AN200" s="1283"/>
      <c r="AO200" s="1283"/>
      <c r="AP200" s="1283"/>
      <c r="AQ200" s="1283"/>
      <c r="AR200" s="1283"/>
      <c r="AS200" s="1283"/>
      <c r="AT200" s="1283"/>
      <c r="AU200" s="1283"/>
      <c r="AV200" s="1283"/>
      <c r="AW200" s="1283"/>
      <c r="AX200" s="1283"/>
      <c r="AY200" s="1283"/>
      <c r="AZ200" s="1283"/>
      <c r="BA200" s="1283"/>
      <c r="BB200" s="1283"/>
      <c r="BC200" s="1283"/>
      <c r="BD200" s="1283"/>
      <c r="BE200" s="1283"/>
      <c r="BF200" s="1283"/>
      <c r="BG200" s="1283"/>
      <c r="BH200" s="1283"/>
      <c r="BI200" s="1283"/>
      <c r="BJ200" s="1283"/>
      <c r="BK200" s="1283"/>
      <c r="BL200" s="1283"/>
      <c r="BM200" s="1283"/>
      <c r="BN200" s="1283"/>
      <c r="BO200" s="1283"/>
      <c r="BP200" s="1283"/>
      <c r="BQ200" s="1283"/>
      <c r="BR200" s="1283"/>
      <c r="BS200" s="1283"/>
      <c r="BT200" s="1283"/>
      <c r="BU200" s="1283"/>
      <c r="BV200" s="1283"/>
      <c r="BW200" s="1283"/>
      <c r="BX200" s="1283"/>
      <c r="BY200" s="1283"/>
      <c r="BZ200" s="1283"/>
      <c r="CA200" s="1283"/>
      <c r="CB200" s="1283"/>
      <c r="CC200" s="1283"/>
      <c r="CD200" s="1283"/>
      <c r="CE200" s="1283"/>
      <c r="CF200" s="1283"/>
      <c r="CG200" s="1283"/>
      <c r="CH200" s="1283"/>
      <c r="CI200" s="1283"/>
      <c r="CJ200" s="1283"/>
      <c r="CK200" s="1283"/>
    </row>
    <row r="201" spans="1:89" s="678" customFormat="1" ht="17.25" customHeight="1" x14ac:dyDescent="0.2">
      <c r="A201" s="1302"/>
      <c r="B201" s="1245" t="s">
        <v>587</v>
      </c>
      <c r="C201" s="1284">
        <v>12</v>
      </c>
      <c r="D201" s="1285" t="s">
        <v>20</v>
      </c>
      <c r="E201" s="1286">
        <v>300</v>
      </c>
      <c r="F201" s="1286"/>
      <c r="G201" s="1286"/>
      <c r="H201" s="1286"/>
      <c r="I201" s="1286"/>
      <c r="J201" s="1286">
        <f>C201*E201</f>
        <v>3600</v>
      </c>
      <c r="K201" s="1286">
        <f>I201+J201</f>
        <v>3600</v>
      </c>
      <c r="L201" s="1286"/>
      <c r="M201" s="1286"/>
      <c r="N201" s="1286"/>
      <c r="O201" s="1287">
        <f>N201+K201+H201</f>
        <v>3600</v>
      </c>
      <c r="P201" s="850"/>
      <c r="Q201" s="1283"/>
      <c r="R201" s="1283"/>
      <c r="S201" s="1283"/>
      <c r="T201" s="1283"/>
      <c r="U201" s="1283"/>
      <c r="V201" s="1283"/>
      <c r="W201" s="1283"/>
      <c r="X201" s="1283"/>
      <c r="Y201" s="1283"/>
      <c r="Z201" s="1283"/>
      <c r="AA201" s="1283"/>
      <c r="AB201" s="1283"/>
      <c r="AC201" s="1283"/>
      <c r="AD201" s="1283"/>
      <c r="AE201" s="1283"/>
      <c r="AF201" s="1283"/>
      <c r="AG201" s="1283"/>
      <c r="AH201" s="1283"/>
      <c r="AI201" s="1283"/>
      <c r="AJ201" s="1283"/>
      <c r="AK201" s="1283"/>
      <c r="AL201" s="1283"/>
      <c r="AM201" s="1283"/>
      <c r="AN201" s="1283"/>
      <c r="AO201" s="1283"/>
      <c r="AP201" s="1283"/>
      <c r="AQ201" s="1283"/>
      <c r="AR201" s="1283"/>
      <c r="AS201" s="1283"/>
      <c r="AT201" s="1283"/>
      <c r="AU201" s="1283"/>
      <c r="AV201" s="1283"/>
      <c r="AW201" s="1283"/>
      <c r="AX201" s="1283"/>
      <c r="AY201" s="1283"/>
      <c r="AZ201" s="1283"/>
      <c r="BA201" s="1283"/>
      <c r="BB201" s="1283"/>
      <c r="BC201" s="1283"/>
      <c r="BD201" s="1283"/>
      <c r="BE201" s="1283"/>
      <c r="BF201" s="1283"/>
      <c r="BG201" s="1283"/>
      <c r="BH201" s="1283"/>
      <c r="BI201" s="1283"/>
      <c r="BJ201" s="1283"/>
      <c r="BK201" s="1283"/>
      <c r="BL201" s="1283"/>
      <c r="BM201" s="1283"/>
      <c r="BN201" s="1283"/>
      <c r="BO201" s="1283"/>
      <c r="BP201" s="1283"/>
      <c r="BQ201" s="1283"/>
      <c r="BR201" s="1283"/>
      <c r="BS201" s="1283"/>
      <c r="BT201" s="1283"/>
      <c r="BU201" s="1283"/>
      <c r="BV201" s="1283"/>
      <c r="BW201" s="1283"/>
      <c r="BX201" s="1283"/>
      <c r="BY201" s="1283"/>
      <c r="BZ201" s="1283"/>
      <c r="CA201" s="1283"/>
      <c r="CB201" s="1283"/>
      <c r="CC201" s="1283"/>
      <c r="CD201" s="1283"/>
      <c r="CE201" s="1283"/>
      <c r="CF201" s="1283"/>
      <c r="CG201" s="1283"/>
      <c r="CH201" s="1283"/>
      <c r="CI201" s="1283"/>
      <c r="CJ201" s="1283"/>
      <c r="CK201" s="1283"/>
    </row>
    <row r="202" spans="1:89" s="678" customFormat="1" ht="17.25" customHeight="1" x14ac:dyDescent="0.2">
      <c r="A202" s="1302"/>
      <c r="B202" s="1245" t="s">
        <v>588</v>
      </c>
      <c r="C202" s="1284">
        <v>36</v>
      </c>
      <c r="D202" s="1285" t="s">
        <v>20</v>
      </c>
      <c r="E202" s="1286">
        <v>150</v>
      </c>
      <c r="F202" s="1286"/>
      <c r="G202" s="1286"/>
      <c r="H202" s="1286"/>
      <c r="I202" s="1286"/>
      <c r="J202" s="1286">
        <f>C202*E202</f>
        <v>5400</v>
      </c>
      <c r="K202" s="1286">
        <f>I202+J202</f>
        <v>5400</v>
      </c>
      <c r="L202" s="1286"/>
      <c r="M202" s="1286"/>
      <c r="N202" s="1286"/>
      <c r="O202" s="1287">
        <f>N202+K202+H202</f>
        <v>5400</v>
      </c>
      <c r="P202" s="850"/>
      <c r="Q202" s="1283"/>
      <c r="R202" s="1283"/>
      <c r="S202" s="1283"/>
      <c r="T202" s="1283"/>
      <c r="U202" s="1283"/>
      <c r="V202" s="1283"/>
      <c r="W202" s="1283"/>
      <c r="X202" s="1283"/>
      <c r="Y202" s="1283"/>
      <c r="Z202" s="1283"/>
      <c r="AA202" s="1283"/>
      <c r="AB202" s="1283"/>
      <c r="AC202" s="1283"/>
      <c r="AD202" s="1283"/>
      <c r="AE202" s="1283"/>
      <c r="AF202" s="1283"/>
      <c r="AG202" s="1283"/>
      <c r="AH202" s="1283"/>
      <c r="AI202" s="1283"/>
      <c r="AJ202" s="1283"/>
      <c r="AK202" s="1283"/>
      <c r="AL202" s="1283"/>
      <c r="AM202" s="1283"/>
      <c r="AN202" s="1283"/>
      <c r="AO202" s="1283"/>
      <c r="AP202" s="1283"/>
      <c r="AQ202" s="1283"/>
      <c r="AR202" s="1283"/>
      <c r="AS202" s="1283"/>
      <c r="AT202" s="1283"/>
      <c r="AU202" s="1283"/>
      <c r="AV202" s="1283"/>
      <c r="AW202" s="1283"/>
      <c r="AX202" s="1283"/>
      <c r="AY202" s="1283"/>
      <c r="AZ202" s="1283"/>
      <c r="BA202" s="1283"/>
      <c r="BB202" s="1283"/>
      <c r="BC202" s="1283"/>
      <c r="BD202" s="1283"/>
      <c r="BE202" s="1283"/>
      <c r="BF202" s="1283"/>
      <c r="BG202" s="1283"/>
      <c r="BH202" s="1283"/>
      <c r="BI202" s="1283"/>
      <c r="BJ202" s="1283"/>
      <c r="BK202" s="1283"/>
      <c r="BL202" s="1283"/>
      <c r="BM202" s="1283"/>
      <c r="BN202" s="1283"/>
      <c r="BO202" s="1283"/>
      <c r="BP202" s="1283"/>
      <c r="BQ202" s="1283"/>
      <c r="BR202" s="1283"/>
      <c r="BS202" s="1283"/>
      <c r="BT202" s="1283"/>
      <c r="BU202" s="1283"/>
      <c r="BV202" s="1283"/>
      <c r="BW202" s="1283"/>
      <c r="BX202" s="1283"/>
      <c r="BY202" s="1283"/>
      <c r="BZ202" s="1283"/>
      <c r="CA202" s="1283"/>
      <c r="CB202" s="1283"/>
      <c r="CC202" s="1283"/>
      <c r="CD202" s="1283"/>
      <c r="CE202" s="1283"/>
      <c r="CF202" s="1283"/>
      <c r="CG202" s="1283"/>
      <c r="CH202" s="1283"/>
      <c r="CI202" s="1283"/>
      <c r="CJ202" s="1283"/>
      <c r="CK202" s="1283"/>
    </row>
    <row r="203" spans="1:89" s="678" customFormat="1" ht="17.25" customHeight="1" x14ac:dyDescent="0.2">
      <c r="A203" s="1302"/>
      <c r="B203" s="1245"/>
      <c r="C203" s="1284"/>
      <c r="D203" s="1285"/>
      <c r="E203" s="1286"/>
      <c r="F203" s="1286"/>
      <c r="G203" s="1286"/>
      <c r="H203" s="1286"/>
      <c r="I203" s="1286"/>
      <c r="J203" s="1286"/>
      <c r="K203" s="1286"/>
      <c r="L203" s="1286"/>
      <c r="M203" s="1286"/>
      <c r="N203" s="1286"/>
      <c r="O203" s="1287"/>
      <c r="P203" s="850"/>
      <c r="Q203" s="1283"/>
      <c r="R203" s="1283"/>
      <c r="S203" s="1283"/>
      <c r="T203" s="1283"/>
      <c r="U203" s="1283"/>
      <c r="V203" s="1283"/>
      <c r="W203" s="1283"/>
      <c r="X203" s="1283"/>
      <c r="Y203" s="1283"/>
      <c r="Z203" s="1283"/>
      <c r="AA203" s="1283"/>
      <c r="AB203" s="1283"/>
      <c r="AC203" s="1283"/>
      <c r="AD203" s="1283"/>
      <c r="AE203" s="1283"/>
      <c r="AF203" s="1283"/>
      <c r="AG203" s="1283"/>
      <c r="AH203" s="1283"/>
      <c r="AI203" s="1283"/>
      <c r="AJ203" s="1283"/>
      <c r="AK203" s="1283"/>
      <c r="AL203" s="1283"/>
      <c r="AM203" s="1283"/>
      <c r="AN203" s="1283"/>
      <c r="AO203" s="1283"/>
      <c r="AP203" s="1283"/>
      <c r="AQ203" s="1283"/>
      <c r="AR203" s="1283"/>
      <c r="AS203" s="1283"/>
      <c r="AT203" s="1283"/>
      <c r="AU203" s="1283"/>
      <c r="AV203" s="1283"/>
      <c r="AW203" s="1283"/>
      <c r="AX203" s="1283"/>
      <c r="AY203" s="1283"/>
      <c r="AZ203" s="1283"/>
      <c r="BA203" s="1283"/>
      <c r="BB203" s="1283"/>
      <c r="BC203" s="1283"/>
      <c r="BD203" s="1283"/>
      <c r="BE203" s="1283"/>
      <c r="BF203" s="1283"/>
      <c r="BG203" s="1283"/>
      <c r="BH203" s="1283"/>
      <c r="BI203" s="1283"/>
      <c r="BJ203" s="1283"/>
      <c r="BK203" s="1283"/>
      <c r="BL203" s="1283"/>
      <c r="BM203" s="1283"/>
      <c r="BN203" s="1283"/>
      <c r="BO203" s="1283"/>
      <c r="BP203" s="1283"/>
      <c r="BQ203" s="1283"/>
      <c r="BR203" s="1283"/>
      <c r="BS203" s="1283"/>
      <c r="BT203" s="1283"/>
      <c r="BU203" s="1283"/>
      <c r="BV203" s="1283"/>
      <c r="BW203" s="1283"/>
      <c r="BX203" s="1283"/>
      <c r="BY203" s="1283"/>
      <c r="BZ203" s="1283"/>
      <c r="CA203" s="1283"/>
      <c r="CB203" s="1283"/>
      <c r="CC203" s="1283"/>
      <c r="CD203" s="1283"/>
      <c r="CE203" s="1283"/>
      <c r="CF203" s="1283"/>
      <c r="CG203" s="1283"/>
      <c r="CH203" s="1283"/>
      <c r="CI203" s="1283"/>
      <c r="CJ203" s="1283"/>
      <c r="CK203" s="1283"/>
    </row>
    <row r="204" spans="1:89" s="678" customFormat="1" ht="17.25" customHeight="1" x14ac:dyDescent="0.2">
      <c r="A204" s="1302"/>
      <c r="B204" s="1245"/>
      <c r="C204" s="1284"/>
      <c r="D204" s="1285"/>
      <c r="E204" s="1286"/>
      <c r="F204" s="1286"/>
      <c r="G204" s="1286"/>
      <c r="H204" s="1286"/>
      <c r="I204" s="1286"/>
      <c r="J204" s="1286"/>
      <c r="K204" s="1286"/>
      <c r="L204" s="1286"/>
      <c r="M204" s="1286"/>
      <c r="N204" s="1286"/>
      <c r="O204" s="1287"/>
      <c r="P204" s="850"/>
      <c r="Q204" s="1283"/>
      <c r="R204" s="1283"/>
      <c r="S204" s="1283"/>
      <c r="T204" s="1283"/>
      <c r="U204" s="1283"/>
      <c r="V204" s="1283"/>
      <c r="W204" s="1283"/>
      <c r="X204" s="1283"/>
      <c r="Y204" s="1283"/>
      <c r="Z204" s="1283"/>
      <c r="AA204" s="1283"/>
      <c r="AB204" s="1283"/>
      <c r="AC204" s="1283"/>
      <c r="AD204" s="1283"/>
      <c r="AE204" s="1283"/>
      <c r="AF204" s="1283"/>
      <c r="AG204" s="1283"/>
      <c r="AH204" s="1283"/>
      <c r="AI204" s="1283"/>
      <c r="AJ204" s="1283"/>
      <c r="AK204" s="1283"/>
      <c r="AL204" s="1283"/>
      <c r="AM204" s="1283"/>
      <c r="AN204" s="1283"/>
      <c r="AO204" s="1283"/>
      <c r="AP204" s="1283"/>
      <c r="AQ204" s="1283"/>
      <c r="AR204" s="1283"/>
      <c r="AS204" s="1283"/>
      <c r="AT204" s="1283"/>
      <c r="AU204" s="1283"/>
      <c r="AV204" s="1283"/>
      <c r="AW204" s="1283"/>
      <c r="AX204" s="1283"/>
      <c r="AY204" s="1283"/>
      <c r="AZ204" s="1283"/>
      <c r="BA204" s="1283"/>
      <c r="BB204" s="1283"/>
      <c r="BC204" s="1283"/>
      <c r="BD204" s="1283"/>
      <c r="BE204" s="1283"/>
      <c r="BF204" s="1283"/>
      <c r="BG204" s="1283"/>
      <c r="BH204" s="1283"/>
      <c r="BI204" s="1283"/>
      <c r="BJ204" s="1283"/>
      <c r="BK204" s="1283"/>
      <c r="BL204" s="1283"/>
      <c r="BM204" s="1283"/>
      <c r="BN204" s="1283"/>
      <c r="BO204" s="1283"/>
      <c r="BP204" s="1283"/>
      <c r="BQ204" s="1283"/>
      <c r="BR204" s="1283"/>
      <c r="BS204" s="1283"/>
      <c r="BT204" s="1283"/>
      <c r="BU204" s="1283"/>
      <c r="BV204" s="1283"/>
      <c r="BW204" s="1283"/>
      <c r="BX204" s="1283"/>
      <c r="BY204" s="1283"/>
      <c r="BZ204" s="1283"/>
      <c r="CA204" s="1283"/>
      <c r="CB204" s="1283"/>
      <c r="CC204" s="1283"/>
      <c r="CD204" s="1283"/>
      <c r="CE204" s="1283"/>
      <c r="CF204" s="1283"/>
      <c r="CG204" s="1283"/>
      <c r="CH204" s="1283"/>
      <c r="CI204" s="1283"/>
      <c r="CJ204" s="1283"/>
      <c r="CK204" s="1283"/>
    </row>
    <row r="205" spans="1:89" s="678" customFormat="1" ht="17.25" customHeight="1" x14ac:dyDescent="0.2">
      <c r="A205" s="1302">
        <v>2</v>
      </c>
      <c r="B205" s="1245" t="s">
        <v>609</v>
      </c>
      <c r="C205" s="1284">
        <v>1</v>
      </c>
      <c r="D205" s="1285" t="s">
        <v>25</v>
      </c>
      <c r="E205" s="1286">
        <v>26145</v>
      </c>
      <c r="F205" s="1286"/>
      <c r="G205" s="1286"/>
      <c r="H205" s="1286"/>
      <c r="I205" s="1286"/>
      <c r="J205" s="1286">
        <f>C205*E205</f>
        <v>26145</v>
      </c>
      <c r="K205" s="1286">
        <f>I205+J205</f>
        <v>26145</v>
      </c>
      <c r="L205" s="1286"/>
      <c r="M205" s="1286"/>
      <c r="N205" s="1286"/>
      <c r="O205" s="1287">
        <f>N205+K205+H205</f>
        <v>26145</v>
      </c>
      <c r="P205" s="850"/>
      <c r="Q205" s="1283"/>
      <c r="R205" s="1283"/>
      <c r="S205" s="1283"/>
      <c r="T205" s="1283"/>
      <c r="U205" s="1283"/>
      <c r="V205" s="1283"/>
      <c r="W205" s="1283"/>
      <c r="X205" s="1283"/>
      <c r="Y205" s="1283"/>
      <c r="Z205" s="1283"/>
      <c r="AA205" s="1283"/>
      <c r="AB205" s="1283"/>
      <c r="AC205" s="1283"/>
      <c r="AD205" s="1283"/>
      <c r="AE205" s="1283"/>
      <c r="AF205" s="1283"/>
      <c r="AG205" s="1283"/>
      <c r="AH205" s="1283"/>
      <c r="AI205" s="1283"/>
      <c r="AJ205" s="1283"/>
      <c r="AK205" s="1283"/>
      <c r="AL205" s="1283"/>
      <c r="AM205" s="1283"/>
      <c r="AN205" s="1283"/>
      <c r="AO205" s="1283"/>
      <c r="AP205" s="1283"/>
      <c r="AQ205" s="1283"/>
      <c r="AR205" s="1283"/>
      <c r="AS205" s="1283"/>
      <c r="AT205" s="1283"/>
      <c r="AU205" s="1283"/>
      <c r="AV205" s="1283"/>
      <c r="AW205" s="1283"/>
      <c r="AX205" s="1283"/>
      <c r="AY205" s="1283"/>
      <c r="AZ205" s="1283"/>
      <c r="BA205" s="1283"/>
      <c r="BB205" s="1283"/>
      <c r="BC205" s="1283"/>
      <c r="BD205" s="1283"/>
      <c r="BE205" s="1283"/>
      <c r="BF205" s="1283"/>
      <c r="BG205" s="1283"/>
      <c r="BH205" s="1283"/>
      <c r="BI205" s="1283"/>
      <c r="BJ205" s="1283"/>
      <c r="BK205" s="1283"/>
      <c r="BL205" s="1283"/>
      <c r="BM205" s="1283"/>
      <c r="BN205" s="1283"/>
      <c r="BO205" s="1283"/>
      <c r="BP205" s="1283"/>
      <c r="BQ205" s="1283"/>
      <c r="BR205" s="1283"/>
      <c r="BS205" s="1283"/>
      <c r="BT205" s="1283"/>
      <c r="BU205" s="1283"/>
      <c r="BV205" s="1283"/>
      <c r="BW205" s="1283"/>
      <c r="BX205" s="1283"/>
      <c r="BY205" s="1283"/>
      <c r="BZ205" s="1283"/>
      <c r="CA205" s="1283"/>
      <c r="CB205" s="1283"/>
      <c r="CC205" s="1283"/>
      <c r="CD205" s="1283"/>
      <c r="CE205" s="1283"/>
      <c r="CF205" s="1283"/>
      <c r="CG205" s="1283"/>
      <c r="CH205" s="1283"/>
      <c r="CI205" s="1283"/>
      <c r="CJ205" s="1283"/>
      <c r="CK205" s="1283"/>
    </row>
    <row r="206" spans="1:89" s="678" customFormat="1" ht="17.25" customHeight="1" x14ac:dyDescent="0.2">
      <c r="A206" s="1302"/>
      <c r="B206" s="1245" t="s">
        <v>239</v>
      </c>
      <c r="C206" s="1284">
        <v>1</v>
      </c>
      <c r="D206" s="1285" t="s">
        <v>25</v>
      </c>
      <c r="E206" s="1286">
        <v>8980</v>
      </c>
      <c r="F206" s="1286"/>
      <c r="G206" s="1286"/>
      <c r="H206" s="1286"/>
      <c r="I206" s="1286"/>
      <c r="J206" s="1286">
        <f>C206*E206</f>
        <v>8980</v>
      </c>
      <c r="K206" s="1286">
        <f>I206+J206</f>
        <v>8980</v>
      </c>
      <c r="L206" s="1286"/>
      <c r="M206" s="1286"/>
      <c r="N206" s="1286"/>
      <c r="O206" s="1287">
        <f>N206+K206+H206</f>
        <v>8980</v>
      </c>
      <c r="P206" s="850"/>
      <c r="Q206" s="1283"/>
      <c r="R206" s="1283"/>
      <c r="S206" s="1283"/>
      <c r="T206" s="1283"/>
      <c r="U206" s="1283"/>
      <c r="V206" s="1283"/>
      <c r="W206" s="1283"/>
      <c r="X206" s="1283"/>
      <c r="Y206" s="1283"/>
      <c r="Z206" s="1283"/>
      <c r="AA206" s="1283"/>
      <c r="AB206" s="1283"/>
      <c r="AC206" s="1283"/>
      <c r="AD206" s="1283"/>
      <c r="AE206" s="1283"/>
      <c r="AF206" s="1283"/>
      <c r="AG206" s="1283"/>
      <c r="AH206" s="1283"/>
      <c r="AI206" s="1283"/>
      <c r="AJ206" s="1283"/>
      <c r="AK206" s="1283"/>
      <c r="AL206" s="1283"/>
      <c r="AM206" s="1283"/>
      <c r="AN206" s="1283"/>
      <c r="AO206" s="1283"/>
      <c r="AP206" s="1283"/>
      <c r="AQ206" s="1283"/>
      <c r="AR206" s="1283"/>
      <c r="AS206" s="1283"/>
      <c r="AT206" s="1283"/>
      <c r="AU206" s="1283"/>
      <c r="AV206" s="1283"/>
      <c r="AW206" s="1283"/>
      <c r="AX206" s="1283"/>
      <c r="AY206" s="1283"/>
      <c r="AZ206" s="1283"/>
      <c r="BA206" s="1283"/>
      <c r="BB206" s="1283"/>
      <c r="BC206" s="1283"/>
      <c r="BD206" s="1283"/>
      <c r="BE206" s="1283"/>
      <c r="BF206" s="1283"/>
      <c r="BG206" s="1283"/>
      <c r="BH206" s="1283"/>
      <c r="BI206" s="1283"/>
      <c r="BJ206" s="1283"/>
      <c r="BK206" s="1283"/>
      <c r="BL206" s="1283"/>
      <c r="BM206" s="1283"/>
      <c r="BN206" s="1283"/>
      <c r="BO206" s="1283"/>
      <c r="BP206" s="1283"/>
      <c r="BQ206" s="1283"/>
      <c r="BR206" s="1283"/>
      <c r="BS206" s="1283"/>
      <c r="BT206" s="1283"/>
      <c r="BU206" s="1283"/>
      <c r="BV206" s="1283"/>
      <c r="BW206" s="1283"/>
      <c r="BX206" s="1283"/>
      <c r="BY206" s="1283"/>
      <c r="BZ206" s="1283"/>
      <c r="CA206" s="1283"/>
      <c r="CB206" s="1283"/>
      <c r="CC206" s="1283"/>
      <c r="CD206" s="1283"/>
      <c r="CE206" s="1283"/>
      <c r="CF206" s="1283"/>
      <c r="CG206" s="1283"/>
      <c r="CH206" s="1283"/>
      <c r="CI206" s="1283"/>
      <c r="CJ206" s="1283"/>
      <c r="CK206" s="1283"/>
    </row>
    <row r="207" spans="1:89" s="678" customFormat="1" ht="17.25" customHeight="1" x14ac:dyDescent="0.2">
      <c r="A207" s="1302"/>
      <c r="B207" s="1245"/>
      <c r="C207" s="1284"/>
      <c r="D207" s="1285"/>
      <c r="E207" s="1286"/>
      <c r="F207" s="1286"/>
      <c r="G207" s="1286"/>
      <c r="H207" s="1286"/>
      <c r="I207" s="1286"/>
      <c r="J207" s="1286"/>
      <c r="K207" s="1286"/>
      <c r="L207" s="1286"/>
      <c r="M207" s="1286"/>
      <c r="N207" s="1286"/>
      <c r="O207" s="1287"/>
      <c r="P207" s="850"/>
      <c r="Q207" s="1283"/>
      <c r="R207" s="1283"/>
      <c r="S207" s="1283"/>
      <c r="T207" s="1283"/>
      <c r="U207" s="1283"/>
      <c r="V207" s="1283"/>
      <c r="W207" s="1283"/>
      <c r="X207" s="1283"/>
      <c r="Y207" s="1283"/>
      <c r="Z207" s="1283"/>
      <c r="AA207" s="1283"/>
      <c r="AB207" s="1283"/>
      <c r="AC207" s="1283"/>
      <c r="AD207" s="1283"/>
      <c r="AE207" s="1283"/>
      <c r="AF207" s="1283"/>
      <c r="AG207" s="1283"/>
      <c r="AH207" s="1283"/>
      <c r="AI207" s="1283"/>
      <c r="AJ207" s="1283"/>
      <c r="AK207" s="1283"/>
      <c r="AL207" s="1283"/>
      <c r="AM207" s="1283"/>
      <c r="AN207" s="1283"/>
      <c r="AO207" s="1283"/>
      <c r="AP207" s="1283"/>
      <c r="AQ207" s="1283"/>
      <c r="AR207" s="1283"/>
      <c r="AS207" s="1283"/>
      <c r="AT207" s="1283"/>
      <c r="AU207" s="1283"/>
      <c r="AV207" s="1283"/>
      <c r="AW207" s="1283"/>
      <c r="AX207" s="1283"/>
      <c r="AY207" s="1283"/>
      <c r="AZ207" s="1283"/>
      <c r="BA207" s="1283"/>
      <c r="BB207" s="1283"/>
      <c r="BC207" s="1283"/>
      <c r="BD207" s="1283"/>
      <c r="BE207" s="1283"/>
      <c r="BF207" s="1283"/>
      <c r="BG207" s="1283"/>
      <c r="BH207" s="1283"/>
      <c r="BI207" s="1283"/>
      <c r="BJ207" s="1283"/>
      <c r="BK207" s="1283"/>
      <c r="BL207" s="1283"/>
      <c r="BM207" s="1283"/>
      <c r="BN207" s="1283"/>
      <c r="BO207" s="1283"/>
      <c r="BP207" s="1283"/>
      <c r="BQ207" s="1283"/>
      <c r="BR207" s="1283"/>
      <c r="BS207" s="1283"/>
      <c r="BT207" s="1283"/>
      <c r="BU207" s="1283"/>
      <c r="BV207" s="1283"/>
      <c r="BW207" s="1283"/>
      <c r="BX207" s="1283"/>
      <c r="BY207" s="1283"/>
      <c r="BZ207" s="1283"/>
      <c r="CA207" s="1283"/>
      <c r="CB207" s="1283"/>
      <c r="CC207" s="1283"/>
      <c r="CD207" s="1283"/>
      <c r="CE207" s="1283"/>
      <c r="CF207" s="1283"/>
      <c r="CG207" s="1283"/>
      <c r="CH207" s="1283"/>
      <c r="CI207" s="1283"/>
      <c r="CJ207" s="1283"/>
      <c r="CK207" s="1283"/>
    </row>
    <row r="208" spans="1:89" s="678" customFormat="1" ht="17.25" customHeight="1" x14ac:dyDescent="0.2">
      <c r="A208" s="1302">
        <v>3</v>
      </c>
      <c r="B208" s="1245" t="s">
        <v>27</v>
      </c>
      <c r="C208" s="1284"/>
      <c r="D208" s="1285"/>
      <c r="E208" s="1286"/>
      <c r="F208" s="1286"/>
      <c r="G208" s="1286"/>
      <c r="H208" s="1286"/>
      <c r="I208" s="1286"/>
      <c r="J208" s="1286"/>
      <c r="K208" s="1286"/>
      <c r="L208" s="1286"/>
      <c r="M208" s="1286"/>
      <c r="N208" s="1286"/>
      <c r="O208" s="1287"/>
      <c r="P208" s="850"/>
      <c r="Q208" s="1283"/>
      <c r="R208" s="1283"/>
      <c r="S208" s="1283"/>
      <c r="T208" s="1283"/>
      <c r="U208" s="1283"/>
      <c r="V208" s="1283"/>
      <c r="W208" s="1283"/>
      <c r="X208" s="1283"/>
      <c r="Y208" s="1283"/>
      <c r="Z208" s="1283"/>
      <c r="AA208" s="1283"/>
      <c r="AB208" s="1283"/>
      <c r="AC208" s="1283"/>
      <c r="AD208" s="1283"/>
      <c r="AE208" s="1283"/>
      <c r="AF208" s="1283"/>
      <c r="AG208" s="1283"/>
      <c r="AH208" s="1283"/>
      <c r="AI208" s="1283"/>
      <c r="AJ208" s="1283"/>
      <c r="AK208" s="1283"/>
      <c r="AL208" s="1283"/>
      <c r="AM208" s="1283"/>
      <c r="AN208" s="1283"/>
      <c r="AO208" s="1283"/>
      <c r="AP208" s="1283"/>
      <c r="AQ208" s="1283"/>
      <c r="AR208" s="1283"/>
      <c r="AS208" s="1283"/>
      <c r="AT208" s="1283"/>
      <c r="AU208" s="1283"/>
      <c r="AV208" s="1283"/>
      <c r="AW208" s="1283"/>
      <c r="AX208" s="1283"/>
      <c r="AY208" s="1283"/>
      <c r="AZ208" s="1283"/>
      <c r="BA208" s="1283"/>
      <c r="BB208" s="1283"/>
      <c r="BC208" s="1283"/>
      <c r="BD208" s="1283"/>
      <c r="BE208" s="1283"/>
      <c r="BF208" s="1283"/>
      <c r="BG208" s="1283"/>
      <c r="BH208" s="1283"/>
      <c r="BI208" s="1283"/>
      <c r="BJ208" s="1283"/>
      <c r="BK208" s="1283"/>
      <c r="BL208" s="1283"/>
      <c r="BM208" s="1283"/>
      <c r="BN208" s="1283"/>
      <c r="BO208" s="1283"/>
      <c r="BP208" s="1283"/>
      <c r="BQ208" s="1283"/>
      <c r="BR208" s="1283"/>
      <c r="BS208" s="1283"/>
      <c r="BT208" s="1283"/>
      <c r="BU208" s="1283"/>
      <c r="BV208" s="1283"/>
      <c r="BW208" s="1283"/>
      <c r="BX208" s="1283"/>
      <c r="BY208" s="1283"/>
      <c r="BZ208" s="1283"/>
      <c r="CA208" s="1283"/>
      <c r="CB208" s="1283"/>
      <c r="CC208" s="1283"/>
      <c r="CD208" s="1283"/>
      <c r="CE208" s="1283"/>
      <c r="CF208" s="1283"/>
      <c r="CG208" s="1283"/>
      <c r="CH208" s="1283"/>
      <c r="CI208" s="1283"/>
      <c r="CJ208" s="1283"/>
      <c r="CK208" s="1283"/>
    </row>
    <row r="209" spans="1:89" s="678" customFormat="1" ht="17.25" customHeight="1" x14ac:dyDescent="0.2">
      <c r="A209" s="1302"/>
      <c r="B209" s="1245" t="s">
        <v>591</v>
      </c>
      <c r="C209" s="1284">
        <v>1</v>
      </c>
      <c r="D209" s="1285" t="s">
        <v>25</v>
      </c>
      <c r="E209" s="1286">
        <v>30800</v>
      </c>
      <c r="F209" s="1286"/>
      <c r="G209" s="1286"/>
      <c r="H209" s="1286"/>
      <c r="I209" s="1286"/>
      <c r="J209" s="1286">
        <f>C209*E209</f>
        <v>30800</v>
      </c>
      <c r="K209" s="1286">
        <f>I209+J209</f>
        <v>30800</v>
      </c>
      <c r="L209" s="1286"/>
      <c r="M209" s="1286"/>
      <c r="N209" s="1286"/>
      <c r="O209" s="1287">
        <f>N209+K209+H209</f>
        <v>30800</v>
      </c>
      <c r="P209" s="850"/>
      <c r="Q209" s="1283"/>
      <c r="R209" s="1283"/>
      <c r="S209" s="1283"/>
      <c r="T209" s="1283"/>
      <c r="U209" s="1283"/>
      <c r="V209" s="1283"/>
      <c r="W209" s="1283"/>
      <c r="X209" s="1283"/>
      <c r="Y209" s="1283"/>
      <c r="Z209" s="1283"/>
      <c r="AA209" s="1283"/>
      <c r="AB209" s="1283"/>
      <c r="AC209" s="1283"/>
      <c r="AD209" s="1283"/>
      <c r="AE209" s="1283"/>
      <c r="AF209" s="1283"/>
      <c r="AG209" s="1283"/>
      <c r="AH209" s="1283"/>
      <c r="AI209" s="1283"/>
      <c r="AJ209" s="1283"/>
      <c r="AK209" s="1283"/>
      <c r="AL209" s="1283"/>
      <c r="AM209" s="1283"/>
      <c r="AN209" s="1283"/>
      <c r="AO209" s="1283"/>
      <c r="AP209" s="1283"/>
      <c r="AQ209" s="1283"/>
      <c r="AR209" s="1283"/>
      <c r="AS209" s="1283"/>
      <c r="AT209" s="1283"/>
      <c r="AU209" s="1283"/>
      <c r="AV209" s="1283"/>
      <c r="AW209" s="1283"/>
      <c r="AX209" s="1283"/>
      <c r="AY209" s="1283"/>
      <c r="AZ209" s="1283"/>
      <c r="BA209" s="1283"/>
      <c r="BB209" s="1283"/>
      <c r="BC209" s="1283"/>
      <c r="BD209" s="1283"/>
      <c r="BE209" s="1283"/>
      <c r="BF209" s="1283"/>
      <c r="BG209" s="1283"/>
      <c r="BH209" s="1283"/>
      <c r="BI209" s="1283"/>
      <c r="BJ209" s="1283"/>
      <c r="BK209" s="1283"/>
      <c r="BL209" s="1283"/>
      <c r="BM209" s="1283"/>
      <c r="BN209" s="1283"/>
      <c r="BO209" s="1283"/>
      <c r="BP209" s="1283"/>
      <c r="BQ209" s="1283"/>
      <c r="BR209" s="1283"/>
      <c r="BS209" s="1283"/>
      <c r="BT209" s="1283"/>
      <c r="BU209" s="1283"/>
      <c r="BV209" s="1283"/>
      <c r="BW209" s="1283"/>
      <c r="BX209" s="1283"/>
      <c r="BY209" s="1283"/>
      <c r="BZ209" s="1283"/>
      <c r="CA209" s="1283"/>
      <c r="CB209" s="1283"/>
      <c r="CC209" s="1283"/>
      <c r="CD209" s="1283"/>
      <c r="CE209" s="1283"/>
      <c r="CF209" s="1283"/>
      <c r="CG209" s="1283"/>
      <c r="CH209" s="1283"/>
      <c r="CI209" s="1283"/>
      <c r="CJ209" s="1283"/>
      <c r="CK209" s="1283"/>
    </row>
    <row r="210" spans="1:89" s="678" customFormat="1" ht="17.25" customHeight="1" x14ac:dyDescent="0.2">
      <c r="A210" s="1302"/>
      <c r="B210" s="1245"/>
      <c r="C210" s="1284"/>
      <c r="D210" s="1285"/>
      <c r="E210" s="1286"/>
      <c r="F210" s="1286"/>
      <c r="G210" s="1286"/>
      <c r="H210" s="1286"/>
      <c r="I210" s="1286"/>
      <c r="J210" s="1286"/>
      <c r="K210" s="1286"/>
      <c r="L210" s="1286"/>
      <c r="M210" s="1286"/>
      <c r="N210" s="1286"/>
      <c r="O210" s="1287"/>
      <c r="P210" s="850"/>
      <c r="Q210" s="1283"/>
      <c r="R210" s="1283"/>
      <c r="S210" s="1283"/>
      <c r="T210" s="1283"/>
      <c r="U210" s="1283"/>
      <c r="V210" s="1283"/>
      <c r="W210" s="1283"/>
      <c r="X210" s="1283"/>
      <c r="Y210" s="1283"/>
      <c r="Z210" s="1283"/>
      <c r="AA210" s="1283"/>
      <c r="AB210" s="1283"/>
      <c r="AC210" s="1283"/>
      <c r="AD210" s="1283"/>
      <c r="AE210" s="1283"/>
      <c r="AF210" s="1283"/>
      <c r="AG210" s="1283"/>
      <c r="AH210" s="1283"/>
      <c r="AI210" s="1283"/>
      <c r="AJ210" s="1283"/>
      <c r="AK210" s="1283"/>
      <c r="AL210" s="1283"/>
      <c r="AM210" s="1283"/>
      <c r="AN210" s="1283"/>
      <c r="AO210" s="1283"/>
      <c r="AP210" s="1283"/>
      <c r="AQ210" s="1283"/>
      <c r="AR210" s="1283"/>
      <c r="AS210" s="1283"/>
      <c r="AT210" s="1283"/>
      <c r="AU210" s="1283"/>
      <c r="AV210" s="1283"/>
      <c r="AW210" s="1283"/>
      <c r="AX210" s="1283"/>
      <c r="AY210" s="1283"/>
      <c r="AZ210" s="1283"/>
      <c r="BA210" s="1283"/>
      <c r="BB210" s="1283"/>
      <c r="BC210" s="1283"/>
      <c r="BD210" s="1283"/>
      <c r="BE210" s="1283"/>
      <c r="BF210" s="1283"/>
      <c r="BG210" s="1283"/>
      <c r="BH210" s="1283"/>
      <c r="BI210" s="1283"/>
      <c r="BJ210" s="1283"/>
      <c r="BK210" s="1283"/>
      <c r="BL210" s="1283"/>
      <c r="BM210" s="1283"/>
      <c r="BN210" s="1283"/>
      <c r="BO210" s="1283"/>
      <c r="BP210" s="1283"/>
      <c r="BQ210" s="1283"/>
      <c r="BR210" s="1283"/>
      <c r="BS210" s="1283"/>
      <c r="BT210" s="1283"/>
      <c r="BU210" s="1283"/>
      <c r="BV210" s="1283"/>
      <c r="BW210" s="1283"/>
      <c r="BX210" s="1283"/>
      <c r="BY210" s="1283"/>
      <c r="BZ210" s="1283"/>
      <c r="CA210" s="1283"/>
      <c r="CB210" s="1283"/>
      <c r="CC210" s="1283"/>
      <c r="CD210" s="1283"/>
      <c r="CE210" s="1283"/>
      <c r="CF210" s="1283"/>
      <c r="CG210" s="1283"/>
      <c r="CH210" s="1283"/>
      <c r="CI210" s="1283"/>
      <c r="CJ210" s="1283"/>
      <c r="CK210" s="1283"/>
    </row>
    <row r="211" spans="1:89" s="678" customFormat="1" ht="17.25" customHeight="1" x14ac:dyDescent="0.2">
      <c r="A211" s="1302">
        <v>4</v>
      </c>
      <c r="B211" s="1245" t="s">
        <v>40</v>
      </c>
      <c r="C211" s="1284"/>
      <c r="D211" s="1285"/>
      <c r="E211" s="1286"/>
      <c r="F211" s="1286"/>
      <c r="G211" s="1286"/>
      <c r="H211" s="1286"/>
      <c r="I211" s="1286"/>
      <c r="J211" s="1286"/>
      <c r="K211" s="1286"/>
      <c r="L211" s="1286"/>
      <c r="M211" s="1286"/>
      <c r="N211" s="1286"/>
      <c r="O211" s="1287"/>
      <c r="P211" s="850"/>
      <c r="Q211" s="1283"/>
      <c r="R211" s="1283"/>
      <c r="S211" s="1283"/>
      <c r="T211" s="1283"/>
      <c r="U211" s="1283"/>
      <c r="V211" s="1283"/>
      <c r="W211" s="1283"/>
      <c r="X211" s="1283"/>
      <c r="Y211" s="1283"/>
      <c r="Z211" s="1283"/>
      <c r="AA211" s="1283"/>
      <c r="AB211" s="1283"/>
      <c r="AC211" s="1283"/>
      <c r="AD211" s="1283"/>
      <c r="AE211" s="1283"/>
      <c r="AF211" s="1283"/>
      <c r="AG211" s="1283"/>
      <c r="AH211" s="1283"/>
      <c r="AI211" s="1283"/>
      <c r="AJ211" s="1283"/>
      <c r="AK211" s="1283"/>
      <c r="AL211" s="1283"/>
      <c r="AM211" s="1283"/>
      <c r="AN211" s="1283"/>
      <c r="AO211" s="1283"/>
      <c r="AP211" s="1283"/>
      <c r="AQ211" s="1283"/>
      <c r="AR211" s="1283"/>
      <c r="AS211" s="1283"/>
      <c r="AT211" s="1283"/>
      <c r="AU211" s="1283"/>
      <c r="AV211" s="1283"/>
      <c r="AW211" s="1283"/>
      <c r="AX211" s="1283"/>
      <c r="AY211" s="1283"/>
      <c r="AZ211" s="1283"/>
      <c r="BA211" s="1283"/>
      <c r="BB211" s="1283"/>
      <c r="BC211" s="1283"/>
      <c r="BD211" s="1283"/>
      <c r="BE211" s="1283"/>
      <c r="BF211" s="1283"/>
      <c r="BG211" s="1283"/>
      <c r="BH211" s="1283"/>
      <c r="BI211" s="1283"/>
      <c r="BJ211" s="1283"/>
      <c r="BK211" s="1283"/>
      <c r="BL211" s="1283"/>
      <c r="BM211" s="1283"/>
      <c r="BN211" s="1283"/>
      <c r="BO211" s="1283"/>
      <c r="BP211" s="1283"/>
      <c r="BQ211" s="1283"/>
      <c r="BR211" s="1283"/>
      <c r="BS211" s="1283"/>
      <c r="BT211" s="1283"/>
      <c r="BU211" s="1283"/>
      <c r="BV211" s="1283"/>
      <c r="BW211" s="1283"/>
      <c r="BX211" s="1283"/>
      <c r="BY211" s="1283"/>
      <c r="BZ211" s="1283"/>
      <c r="CA211" s="1283"/>
      <c r="CB211" s="1283"/>
      <c r="CC211" s="1283"/>
      <c r="CD211" s="1283"/>
      <c r="CE211" s="1283"/>
      <c r="CF211" s="1283"/>
      <c r="CG211" s="1283"/>
      <c r="CH211" s="1283"/>
      <c r="CI211" s="1283"/>
      <c r="CJ211" s="1283"/>
      <c r="CK211" s="1283"/>
    </row>
    <row r="212" spans="1:89" s="678" customFormat="1" ht="17.25" customHeight="1" x14ac:dyDescent="0.2">
      <c r="A212" s="1302"/>
      <c r="B212" s="1245" t="s">
        <v>592</v>
      </c>
      <c r="C212" s="1284">
        <v>1</v>
      </c>
      <c r="D212" s="1285" t="s">
        <v>25</v>
      </c>
      <c r="E212" s="1286">
        <v>37895</v>
      </c>
      <c r="F212" s="1286"/>
      <c r="G212" s="1286"/>
      <c r="H212" s="1286"/>
      <c r="I212" s="1286"/>
      <c r="J212" s="1286">
        <f>C212*E212</f>
        <v>37895</v>
      </c>
      <c r="K212" s="1286">
        <f>I212+J212</f>
        <v>37895</v>
      </c>
      <c r="L212" s="1286"/>
      <c r="M212" s="1286"/>
      <c r="N212" s="1286"/>
      <c r="O212" s="1287">
        <f>N212+K212+H212</f>
        <v>37895</v>
      </c>
      <c r="P212" s="850"/>
      <c r="Q212" s="1283"/>
      <c r="R212" s="1283"/>
      <c r="S212" s="1283"/>
      <c r="T212" s="1283"/>
      <c r="U212" s="1283"/>
      <c r="V212" s="1283"/>
      <c r="W212" s="1283"/>
      <c r="X212" s="1283"/>
      <c r="Y212" s="1283"/>
      <c r="Z212" s="1283"/>
      <c r="AA212" s="1283"/>
      <c r="AB212" s="1283"/>
      <c r="AC212" s="1283"/>
      <c r="AD212" s="1283"/>
      <c r="AE212" s="1283"/>
      <c r="AF212" s="1283"/>
      <c r="AG212" s="1283"/>
      <c r="AH212" s="1283"/>
      <c r="AI212" s="1283"/>
      <c r="AJ212" s="1283"/>
      <c r="AK212" s="1283"/>
      <c r="AL212" s="1283"/>
      <c r="AM212" s="1283"/>
      <c r="AN212" s="1283"/>
      <c r="AO212" s="1283"/>
      <c r="AP212" s="1283"/>
      <c r="AQ212" s="1283"/>
      <c r="AR212" s="1283"/>
      <c r="AS212" s="1283"/>
      <c r="AT212" s="1283"/>
      <c r="AU212" s="1283"/>
      <c r="AV212" s="1283"/>
      <c r="AW212" s="1283"/>
      <c r="AX212" s="1283"/>
      <c r="AY212" s="1283"/>
      <c r="AZ212" s="1283"/>
      <c r="BA212" s="1283"/>
      <c r="BB212" s="1283"/>
      <c r="BC212" s="1283"/>
      <c r="BD212" s="1283"/>
      <c r="BE212" s="1283"/>
      <c r="BF212" s="1283"/>
      <c r="BG212" s="1283"/>
      <c r="BH212" s="1283"/>
      <c r="BI212" s="1283"/>
      <c r="BJ212" s="1283"/>
      <c r="BK212" s="1283"/>
      <c r="BL212" s="1283"/>
      <c r="BM212" s="1283"/>
      <c r="BN212" s="1283"/>
      <c r="BO212" s="1283"/>
      <c r="BP212" s="1283"/>
      <c r="BQ212" s="1283"/>
      <c r="BR212" s="1283"/>
      <c r="BS212" s="1283"/>
      <c r="BT212" s="1283"/>
      <c r="BU212" s="1283"/>
      <c r="BV212" s="1283"/>
      <c r="BW212" s="1283"/>
      <c r="BX212" s="1283"/>
      <c r="BY212" s="1283"/>
      <c r="BZ212" s="1283"/>
      <c r="CA212" s="1283"/>
      <c r="CB212" s="1283"/>
      <c r="CC212" s="1283"/>
      <c r="CD212" s="1283"/>
      <c r="CE212" s="1283"/>
      <c r="CF212" s="1283"/>
      <c r="CG212" s="1283"/>
      <c r="CH212" s="1283"/>
      <c r="CI212" s="1283"/>
      <c r="CJ212" s="1283"/>
      <c r="CK212" s="1283"/>
    </row>
    <row r="213" spans="1:89" s="678" customFormat="1" ht="17.25" customHeight="1" x14ac:dyDescent="0.2">
      <c r="A213" s="1302"/>
      <c r="B213" s="1245"/>
      <c r="C213" s="1284"/>
      <c r="D213" s="1285"/>
      <c r="E213" s="1286"/>
      <c r="F213" s="1286"/>
      <c r="G213" s="1286"/>
      <c r="H213" s="1286"/>
      <c r="I213" s="1286"/>
      <c r="J213" s="1286"/>
      <c r="K213" s="1286"/>
      <c r="L213" s="1286"/>
      <c r="M213" s="1286"/>
      <c r="N213" s="1286"/>
      <c r="O213" s="1287"/>
      <c r="P213" s="850"/>
      <c r="Q213" s="1283"/>
      <c r="R213" s="1283"/>
      <c r="S213" s="1283"/>
      <c r="T213" s="1283"/>
      <c r="U213" s="1283"/>
      <c r="V213" s="1283"/>
      <c r="W213" s="1283"/>
      <c r="X213" s="1283"/>
      <c r="Y213" s="1283"/>
      <c r="Z213" s="1283"/>
      <c r="AA213" s="1283"/>
      <c r="AB213" s="1283"/>
      <c r="AC213" s="1283"/>
      <c r="AD213" s="1283"/>
      <c r="AE213" s="1283"/>
      <c r="AF213" s="1283"/>
      <c r="AG213" s="1283"/>
      <c r="AH213" s="1283"/>
      <c r="AI213" s="1283"/>
      <c r="AJ213" s="1283"/>
      <c r="AK213" s="1283"/>
      <c r="AL213" s="1283"/>
      <c r="AM213" s="1283"/>
      <c r="AN213" s="1283"/>
      <c r="AO213" s="1283"/>
      <c r="AP213" s="1283"/>
      <c r="AQ213" s="1283"/>
      <c r="AR213" s="1283"/>
      <c r="AS213" s="1283"/>
      <c r="AT213" s="1283"/>
      <c r="AU213" s="1283"/>
      <c r="AV213" s="1283"/>
      <c r="AW213" s="1283"/>
      <c r="AX213" s="1283"/>
      <c r="AY213" s="1283"/>
      <c r="AZ213" s="1283"/>
      <c r="BA213" s="1283"/>
      <c r="BB213" s="1283"/>
      <c r="BC213" s="1283"/>
      <c r="BD213" s="1283"/>
      <c r="BE213" s="1283"/>
      <c r="BF213" s="1283"/>
      <c r="BG213" s="1283"/>
      <c r="BH213" s="1283"/>
      <c r="BI213" s="1283"/>
      <c r="BJ213" s="1283"/>
      <c r="BK213" s="1283"/>
      <c r="BL213" s="1283"/>
      <c r="BM213" s="1283"/>
      <c r="BN213" s="1283"/>
      <c r="BO213" s="1283"/>
      <c r="BP213" s="1283"/>
      <c r="BQ213" s="1283"/>
      <c r="BR213" s="1283"/>
      <c r="BS213" s="1283"/>
      <c r="BT213" s="1283"/>
      <c r="BU213" s="1283"/>
      <c r="BV213" s="1283"/>
      <c r="BW213" s="1283"/>
      <c r="BX213" s="1283"/>
      <c r="BY213" s="1283"/>
      <c r="BZ213" s="1283"/>
      <c r="CA213" s="1283"/>
      <c r="CB213" s="1283"/>
      <c r="CC213" s="1283"/>
      <c r="CD213" s="1283"/>
      <c r="CE213" s="1283"/>
      <c r="CF213" s="1283"/>
      <c r="CG213" s="1283"/>
      <c r="CH213" s="1283"/>
      <c r="CI213" s="1283"/>
      <c r="CJ213" s="1283"/>
      <c r="CK213" s="1283"/>
    </row>
    <row r="214" spans="1:89" s="678" customFormat="1" ht="17.25" customHeight="1" x14ac:dyDescent="0.2">
      <c r="A214" s="1302">
        <v>5</v>
      </c>
      <c r="B214" s="1245" t="s">
        <v>43</v>
      </c>
      <c r="C214" s="1284"/>
      <c r="D214" s="1285"/>
      <c r="E214" s="1286"/>
      <c r="F214" s="1286"/>
      <c r="G214" s="1286"/>
      <c r="H214" s="1286"/>
      <c r="I214" s="1286"/>
      <c r="J214" s="1286"/>
      <c r="K214" s="1286"/>
      <c r="L214" s="1286"/>
      <c r="M214" s="1286"/>
      <c r="N214" s="1286"/>
      <c r="O214" s="1287"/>
      <c r="P214" s="850"/>
      <c r="Q214" s="1283"/>
      <c r="R214" s="1283"/>
      <c r="S214" s="1283"/>
      <c r="T214" s="1283"/>
      <c r="U214" s="1283"/>
      <c r="V214" s="1283"/>
      <c r="W214" s="1283"/>
      <c r="X214" s="1283"/>
      <c r="Y214" s="1283"/>
      <c r="Z214" s="1283"/>
      <c r="AA214" s="1283"/>
      <c r="AB214" s="1283"/>
      <c r="AC214" s="1283"/>
      <c r="AD214" s="1283"/>
      <c r="AE214" s="1283"/>
      <c r="AF214" s="1283"/>
      <c r="AG214" s="1283"/>
      <c r="AH214" s="1283"/>
      <c r="AI214" s="1283"/>
      <c r="AJ214" s="1283"/>
      <c r="AK214" s="1283"/>
      <c r="AL214" s="1283"/>
      <c r="AM214" s="1283"/>
      <c r="AN214" s="1283"/>
      <c r="AO214" s="1283"/>
      <c r="AP214" s="1283"/>
      <c r="AQ214" s="1283"/>
      <c r="AR214" s="1283"/>
      <c r="AS214" s="1283"/>
      <c r="AT214" s="1283"/>
      <c r="AU214" s="1283"/>
      <c r="AV214" s="1283"/>
      <c r="AW214" s="1283"/>
      <c r="AX214" s="1283"/>
      <c r="AY214" s="1283"/>
      <c r="AZ214" s="1283"/>
      <c r="BA214" s="1283"/>
      <c r="BB214" s="1283"/>
      <c r="BC214" s="1283"/>
      <c r="BD214" s="1283"/>
      <c r="BE214" s="1283"/>
      <c r="BF214" s="1283"/>
      <c r="BG214" s="1283"/>
      <c r="BH214" s="1283"/>
      <c r="BI214" s="1283"/>
      <c r="BJ214" s="1283"/>
      <c r="BK214" s="1283"/>
      <c r="BL214" s="1283"/>
      <c r="BM214" s="1283"/>
      <c r="BN214" s="1283"/>
      <c r="BO214" s="1283"/>
      <c r="BP214" s="1283"/>
      <c r="BQ214" s="1283"/>
      <c r="BR214" s="1283"/>
      <c r="BS214" s="1283"/>
      <c r="BT214" s="1283"/>
      <c r="BU214" s="1283"/>
      <c r="BV214" s="1283"/>
      <c r="BW214" s="1283"/>
      <c r="BX214" s="1283"/>
      <c r="BY214" s="1283"/>
      <c r="BZ214" s="1283"/>
      <c r="CA214" s="1283"/>
      <c r="CB214" s="1283"/>
      <c r="CC214" s="1283"/>
      <c r="CD214" s="1283"/>
      <c r="CE214" s="1283"/>
      <c r="CF214" s="1283"/>
      <c r="CG214" s="1283"/>
      <c r="CH214" s="1283"/>
      <c r="CI214" s="1283"/>
      <c r="CJ214" s="1283"/>
      <c r="CK214" s="1283"/>
    </row>
    <row r="215" spans="1:89" s="678" customFormat="1" ht="17.25" customHeight="1" x14ac:dyDescent="0.2">
      <c r="A215" s="1302"/>
      <c r="B215" s="1245" t="s">
        <v>593</v>
      </c>
      <c r="C215" s="1284">
        <v>12</v>
      </c>
      <c r="D215" s="1285" t="s">
        <v>45</v>
      </c>
      <c r="E215" s="1286">
        <v>5000</v>
      </c>
      <c r="F215" s="1286"/>
      <c r="G215" s="1286"/>
      <c r="H215" s="1286"/>
      <c r="I215" s="1286"/>
      <c r="J215" s="1286">
        <f>C215*E215</f>
        <v>60000</v>
      </c>
      <c r="K215" s="1286">
        <f>I215+J215</f>
        <v>60000</v>
      </c>
      <c r="L215" s="1286"/>
      <c r="M215" s="1286"/>
      <c r="N215" s="1286"/>
      <c r="O215" s="1287">
        <f>N215+K215+H215</f>
        <v>60000</v>
      </c>
      <c r="P215" s="850"/>
      <c r="Q215" s="1283"/>
      <c r="R215" s="1283"/>
      <c r="S215" s="1283"/>
      <c r="T215" s="1283"/>
      <c r="U215" s="1283"/>
      <c r="V215" s="1283"/>
      <c r="W215" s="1283"/>
      <c r="X215" s="1283"/>
      <c r="Y215" s="1283"/>
      <c r="Z215" s="1283"/>
      <c r="AA215" s="1283"/>
      <c r="AB215" s="1283"/>
      <c r="AC215" s="1283"/>
      <c r="AD215" s="1283"/>
      <c r="AE215" s="1283"/>
      <c r="AF215" s="1283"/>
      <c r="AG215" s="1283"/>
      <c r="AH215" s="1283"/>
      <c r="AI215" s="1283"/>
      <c r="AJ215" s="1283"/>
      <c r="AK215" s="1283"/>
      <c r="AL215" s="1283"/>
      <c r="AM215" s="1283"/>
      <c r="AN215" s="1283"/>
      <c r="AO215" s="1283"/>
      <c r="AP215" s="1283"/>
      <c r="AQ215" s="1283"/>
      <c r="AR215" s="1283"/>
      <c r="AS215" s="1283"/>
      <c r="AT215" s="1283"/>
      <c r="AU215" s="1283"/>
      <c r="AV215" s="1283"/>
      <c r="AW215" s="1283"/>
      <c r="AX215" s="1283"/>
      <c r="AY215" s="1283"/>
      <c r="AZ215" s="1283"/>
      <c r="BA215" s="1283"/>
      <c r="BB215" s="1283"/>
      <c r="BC215" s="1283"/>
      <c r="BD215" s="1283"/>
      <c r="BE215" s="1283"/>
      <c r="BF215" s="1283"/>
      <c r="BG215" s="1283"/>
      <c r="BH215" s="1283"/>
      <c r="BI215" s="1283"/>
      <c r="BJ215" s="1283"/>
      <c r="BK215" s="1283"/>
      <c r="BL215" s="1283"/>
      <c r="BM215" s="1283"/>
      <c r="BN215" s="1283"/>
      <c r="BO215" s="1283"/>
      <c r="BP215" s="1283"/>
      <c r="BQ215" s="1283"/>
      <c r="BR215" s="1283"/>
      <c r="BS215" s="1283"/>
      <c r="BT215" s="1283"/>
      <c r="BU215" s="1283"/>
      <c r="BV215" s="1283"/>
      <c r="BW215" s="1283"/>
      <c r="BX215" s="1283"/>
      <c r="BY215" s="1283"/>
      <c r="BZ215" s="1283"/>
      <c r="CA215" s="1283"/>
      <c r="CB215" s="1283"/>
      <c r="CC215" s="1283"/>
      <c r="CD215" s="1283"/>
      <c r="CE215" s="1283"/>
      <c r="CF215" s="1283"/>
      <c r="CG215" s="1283"/>
      <c r="CH215" s="1283"/>
      <c r="CI215" s="1283"/>
      <c r="CJ215" s="1283"/>
      <c r="CK215" s="1283"/>
    </row>
    <row r="216" spans="1:89" s="678" customFormat="1" ht="17.25" customHeight="1" x14ac:dyDescent="0.2">
      <c r="A216" s="1302"/>
      <c r="B216" s="1245"/>
      <c r="C216" s="1284"/>
      <c r="D216" s="1285"/>
      <c r="E216" s="1286"/>
      <c r="F216" s="1286"/>
      <c r="G216" s="1286"/>
      <c r="H216" s="1286"/>
      <c r="I216" s="1286"/>
      <c r="J216" s="1286"/>
      <c r="K216" s="1286"/>
      <c r="L216" s="1286"/>
      <c r="M216" s="1286"/>
      <c r="N216" s="1286"/>
      <c r="O216" s="1287"/>
      <c r="P216" s="850"/>
      <c r="Q216" s="1283"/>
      <c r="R216" s="1283"/>
      <c r="S216" s="1283"/>
      <c r="T216" s="1283"/>
      <c r="U216" s="1283"/>
      <c r="V216" s="1283"/>
      <c r="W216" s="1283"/>
      <c r="X216" s="1283"/>
      <c r="Y216" s="1283"/>
      <c r="Z216" s="1283"/>
      <c r="AA216" s="1283"/>
      <c r="AB216" s="1283"/>
      <c r="AC216" s="1283"/>
      <c r="AD216" s="1283"/>
      <c r="AE216" s="1283"/>
      <c r="AF216" s="1283"/>
      <c r="AG216" s="1283"/>
      <c r="AH216" s="1283"/>
      <c r="AI216" s="1283"/>
      <c r="AJ216" s="1283"/>
      <c r="AK216" s="1283"/>
      <c r="AL216" s="1283"/>
      <c r="AM216" s="1283"/>
      <c r="AN216" s="1283"/>
      <c r="AO216" s="1283"/>
      <c r="AP216" s="1283"/>
      <c r="AQ216" s="1283"/>
      <c r="AR216" s="1283"/>
      <c r="AS216" s="1283"/>
      <c r="AT216" s="1283"/>
      <c r="AU216" s="1283"/>
      <c r="AV216" s="1283"/>
      <c r="AW216" s="1283"/>
      <c r="AX216" s="1283"/>
      <c r="AY216" s="1283"/>
      <c r="AZ216" s="1283"/>
      <c r="BA216" s="1283"/>
      <c r="BB216" s="1283"/>
      <c r="BC216" s="1283"/>
      <c r="BD216" s="1283"/>
      <c r="BE216" s="1283"/>
      <c r="BF216" s="1283"/>
      <c r="BG216" s="1283"/>
      <c r="BH216" s="1283"/>
      <c r="BI216" s="1283"/>
      <c r="BJ216" s="1283"/>
      <c r="BK216" s="1283"/>
      <c r="BL216" s="1283"/>
      <c r="BM216" s="1283"/>
      <c r="BN216" s="1283"/>
      <c r="BO216" s="1283"/>
      <c r="BP216" s="1283"/>
      <c r="BQ216" s="1283"/>
      <c r="BR216" s="1283"/>
      <c r="BS216" s="1283"/>
      <c r="BT216" s="1283"/>
      <c r="BU216" s="1283"/>
      <c r="BV216" s="1283"/>
      <c r="BW216" s="1283"/>
      <c r="BX216" s="1283"/>
      <c r="BY216" s="1283"/>
      <c r="BZ216" s="1283"/>
      <c r="CA216" s="1283"/>
      <c r="CB216" s="1283"/>
      <c r="CC216" s="1283"/>
      <c r="CD216" s="1283"/>
      <c r="CE216" s="1283"/>
      <c r="CF216" s="1283"/>
      <c r="CG216" s="1283"/>
      <c r="CH216" s="1283"/>
      <c r="CI216" s="1283"/>
      <c r="CJ216" s="1283"/>
      <c r="CK216" s="1283"/>
    </row>
    <row r="217" spans="1:89" s="678" customFormat="1" ht="17.25" customHeight="1" x14ac:dyDescent="0.2">
      <c r="A217" s="1302">
        <v>6</v>
      </c>
      <c r="B217" s="1245" t="s">
        <v>48</v>
      </c>
      <c r="C217" s="1284"/>
      <c r="D217" s="1285"/>
      <c r="E217" s="1286"/>
      <c r="F217" s="1286"/>
      <c r="G217" s="1286"/>
      <c r="H217" s="1286"/>
      <c r="I217" s="1286"/>
      <c r="J217" s="1286"/>
      <c r="K217" s="1286"/>
      <c r="L217" s="1286"/>
      <c r="M217" s="1286"/>
      <c r="N217" s="1286"/>
      <c r="O217" s="1287"/>
      <c r="P217" s="850"/>
      <c r="Q217" s="1283"/>
      <c r="R217" s="1283"/>
      <c r="S217" s="1283"/>
      <c r="T217" s="1283"/>
      <c r="U217" s="1283"/>
      <c r="V217" s="1283"/>
      <c r="W217" s="1283"/>
      <c r="X217" s="1283"/>
      <c r="Y217" s="1283"/>
      <c r="Z217" s="1283"/>
      <c r="AA217" s="1283"/>
      <c r="AB217" s="1283"/>
      <c r="AC217" s="1283"/>
      <c r="AD217" s="1283"/>
      <c r="AE217" s="1283"/>
      <c r="AF217" s="1283"/>
      <c r="AG217" s="1283"/>
      <c r="AH217" s="1283"/>
      <c r="AI217" s="1283"/>
      <c r="AJ217" s="1283"/>
      <c r="AK217" s="1283"/>
      <c r="AL217" s="1283"/>
      <c r="AM217" s="1283"/>
      <c r="AN217" s="1283"/>
      <c r="AO217" s="1283"/>
      <c r="AP217" s="1283"/>
      <c r="AQ217" s="1283"/>
      <c r="AR217" s="1283"/>
      <c r="AS217" s="1283"/>
      <c r="AT217" s="1283"/>
      <c r="AU217" s="1283"/>
      <c r="AV217" s="1283"/>
      <c r="AW217" s="1283"/>
      <c r="AX217" s="1283"/>
      <c r="AY217" s="1283"/>
      <c r="AZ217" s="1283"/>
      <c r="BA217" s="1283"/>
      <c r="BB217" s="1283"/>
      <c r="BC217" s="1283"/>
      <c r="BD217" s="1283"/>
      <c r="BE217" s="1283"/>
      <c r="BF217" s="1283"/>
      <c r="BG217" s="1283"/>
      <c r="BH217" s="1283"/>
      <c r="BI217" s="1283"/>
      <c r="BJ217" s="1283"/>
      <c r="BK217" s="1283"/>
      <c r="BL217" s="1283"/>
      <c r="BM217" s="1283"/>
      <c r="BN217" s="1283"/>
      <c r="BO217" s="1283"/>
      <c r="BP217" s="1283"/>
      <c r="BQ217" s="1283"/>
      <c r="BR217" s="1283"/>
      <c r="BS217" s="1283"/>
      <c r="BT217" s="1283"/>
      <c r="BU217" s="1283"/>
      <c r="BV217" s="1283"/>
      <c r="BW217" s="1283"/>
      <c r="BX217" s="1283"/>
      <c r="BY217" s="1283"/>
      <c r="BZ217" s="1283"/>
      <c r="CA217" s="1283"/>
      <c r="CB217" s="1283"/>
      <c r="CC217" s="1283"/>
      <c r="CD217" s="1283"/>
      <c r="CE217" s="1283"/>
      <c r="CF217" s="1283"/>
      <c r="CG217" s="1283"/>
      <c r="CH217" s="1283"/>
      <c r="CI217" s="1283"/>
      <c r="CJ217" s="1283"/>
      <c r="CK217" s="1283"/>
    </row>
    <row r="218" spans="1:89" s="678" customFormat="1" ht="17.25" customHeight="1" x14ac:dyDescent="0.2">
      <c r="A218" s="1302"/>
      <c r="B218" s="1245" t="s">
        <v>594</v>
      </c>
      <c r="C218" s="1284">
        <v>60</v>
      </c>
      <c r="D218" s="1285" t="s">
        <v>51</v>
      </c>
      <c r="E218" s="1286">
        <v>2000</v>
      </c>
      <c r="F218" s="1286"/>
      <c r="G218" s="1286"/>
      <c r="H218" s="1286"/>
      <c r="I218" s="1286"/>
      <c r="J218" s="1286">
        <f>C218*E218</f>
        <v>120000</v>
      </c>
      <c r="K218" s="1286">
        <f>I218+J218</f>
        <v>120000</v>
      </c>
      <c r="L218" s="1286"/>
      <c r="M218" s="1286"/>
      <c r="N218" s="1286"/>
      <c r="O218" s="1287">
        <f>N218+K218+H218</f>
        <v>120000</v>
      </c>
      <c r="P218" s="850"/>
      <c r="Q218" s="1283"/>
      <c r="R218" s="1283"/>
      <c r="S218" s="1283"/>
      <c r="T218" s="1283"/>
      <c r="U218" s="1283"/>
      <c r="V218" s="1283"/>
      <c r="W218" s="1283"/>
      <c r="X218" s="1283"/>
      <c r="Y218" s="1283"/>
      <c r="Z218" s="1283"/>
      <c r="AA218" s="1283"/>
      <c r="AB218" s="1283"/>
      <c r="AC218" s="1283"/>
      <c r="AD218" s="1283"/>
      <c r="AE218" s="1283"/>
      <c r="AF218" s="1283"/>
      <c r="AG218" s="1283"/>
      <c r="AH218" s="1283"/>
      <c r="AI218" s="1283"/>
      <c r="AJ218" s="1283"/>
      <c r="AK218" s="1283"/>
      <c r="AL218" s="1283"/>
      <c r="AM218" s="1283"/>
      <c r="AN218" s="1283"/>
      <c r="AO218" s="1283"/>
      <c r="AP218" s="1283"/>
      <c r="AQ218" s="1283"/>
      <c r="AR218" s="1283"/>
      <c r="AS218" s="1283"/>
      <c r="AT218" s="1283"/>
      <c r="AU218" s="1283"/>
      <c r="AV218" s="1283"/>
      <c r="AW218" s="1283"/>
      <c r="AX218" s="1283"/>
      <c r="AY218" s="1283"/>
      <c r="AZ218" s="1283"/>
      <c r="BA218" s="1283"/>
      <c r="BB218" s="1283"/>
      <c r="BC218" s="1283"/>
      <c r="BD218" s="1283"/>
      <c r="BE218" s="1283"/>
      <c r="BF218" s="1283"/>
      <c r="BG218" s="1283"/>
      <c r="BH218" s="1283"/>
      <c r="BI218" s="1283"/>
      <c r="BJ218" s="1283"/>
      <c r="BK218" s="1283"/>
      <c r="BL218" s="1283"/>
      <c r="BM218" s="1283"/>
      <c r="BN218" s="1283"/>
      <c r="BO218" s="1283"/>
      <c r="BP218" s="1283"/>
      <c r="BQ218" s="1283"/>
      <c r="BR218" s="1283"/>
      <c r="BS218" s="1283"/>
      <c r="BT218" s="1283"/>
      <c r="BU218" s="1283"/>
      <c r="BV218" s="1283"/>
      <c r="BW218" s="1283"/>
      <c r="BX218" s="1283"/>
      <c r="BY218" s="1283"/>
      <c r="BZ218" s="1283"/>
      <c r="CA218" s="1283"/>
      <c r="CB218" s="1283"/>
      <c r="CC218" s="1283"/>
      <c r="CD218" s="1283"/>
      <c r="CE218" s="1283"/>
      <c r="CF218" s="1283"/>
      <c r="CG218" s="1283"/>
      <c r="CH218" s="1283"/>
      <c r="CI218" s="1283"/>
      <c r="CJ218" s="1283"/>
      <c r="CK218" s="1283"/>
    </row>
    <row r="219" spans="1:89" s="678" customFormat="1" ht="17.25" customHeight="1" x14ac:dyDescent="0.2">
      <c r="A219" s="1302"/>
      <c r="B219" s="1245" t="s">
        <v>595</v>
      </c>
      <c r="C219" s="1284">
        <v>100</v>
      </c>
      <c r="D219" s="1285" t="s">
        <v>53</v>
      </c>
      <c r="E219" s="1286">
        <v>450</v>
      </c>
      <c r="F219" s="1286"/>
      <c r="G219" s="1286"/>
      <c r="H219" s="1286"/>
      <c r="I219" s="1286"/>
      <c r="J219" s="1286">
        <f>C219*E219</f>
        <v>45000</v>
      </c>
      <c r="K219" s="1286">
        <f>I219+J219</f>
        <v>45000</v>
      </c>
      <c r="L219" s="1286"/>
      <c r="M219" s="1286"/>
      <c r="N219" s="1286"/>
      <c r="O219" s="1287">
        <f>N219+K219+H219</f>
        <v>45000</v>
      </c>
      <c r="P219" s="850"/>
      <c r="Q219" s="1283"/>
      <c r="R219" s="1283"/>
      <c r="S219" s="1283"/>
      <c r="T219" s="1283"/>
      <c r="U219" s="1283"/>
      <c r="V219" s="1283"/>
      <c r="W219" s="1283"/>
      <c r="X219" s="1283"/>
      <c r="Y219" s="1283"/>
      <c r="Z219" s="1283"/>
      <c r="AA219" s="1283"/>
      <c r="AB219" s="1283"/>
      <c r="AC219" s="1283"/>
      <c r="AD219" s="1283"/>
      <c r="AE219" s="1283"/>
      <c r="AF219" s="1283"/>
      <c r="AG219" s="1283"/>
      <c r="AH219" s="1283"/>
      <c r="AI219" s="1283"/>
      <c r="AJ219" s="1283"/>
      <c r="AK219" s="1283"/>
      <c r="AL219" s="1283"/>
      <c r="AM219" s="1283"/>
      <c r="AN219" s="1283"/>
      <c r="AO219" s="1283"/>
      <c r="AP219" s="1283"/>
      <c r="AQ219" s="1283"/>
      <c r="AR219" s="1283"/>
      <c r="AS219" s="1283"/>
      <c r="AT219" s="1283"/>
      <c r="AU219" s="1283"/>
      <c r="AV219" s="1283"/>
      <c r="AW219" s="1283"/>
      <c r="AX219" s="1283"/>
      <c r="AY219" s="1283"/>
      <c r="AZ219" s="1283"/>
      <c r="BA219" s="1283"/>
      <c r="BB219" s="1283"/>
      <c r="BC219" s="1283"/>
      <c r="BD219" s="1283"/>
      <c r="BE219" s="1283"/>
      <c r="BF219" s="1283"/>
      <c r="BG219" s="1283"/>
      <c r="BH219" s="1283"/>
      <c r="BI219" s="1283"/>
      <c r="BJ219" s="1283"/>
      <c r="BK219" s="1283"/>
      <c r="BL219" s="1283"/>
      <c r="BM219" s="1283"/>
      <c r="BN219" s="1283"/>
      <c r="BO219" s="1283"/>
      <c r="BP219" s="1283"/>
      <c r="BQ219" s="1283"/>
      <c r="BR219" s="1283"/>
      <c r="BS219" s="1283"/>
      <c r="BT219" s="1283"/>
      <c r="BU219" s="1283"/>
      <c r="BV219" s="1283"/>
      <c r="BW219" s="1283"/>
      <c r="BX219" s="1283"/>
      <c r="BY219" s="1283"/>
      <c r="BZ219" s="1283"/>
      <c r="CA219" s="1283"/>
      <c r="CB219" s="1283"/>
      <c r="CC219" s="1283"/>
      <c r="CD219" s="1283"/>
      <c r="CE219" s="1283"/>
      <c r="CF219" s="1283"/>
      <c r="CG219" s="1283"/>
      <c r="CH219" s="1283"/>
      <c r="CI219" s="1283"/>
      <c r="CJ219" s="1283"/>
      <c r="CK219" s="1283"/>
    </row>
    <row r="220" spans="1:89" s="678" customFormat="1" ht="17.25" customHeight="1" x14ac:dyDescent="0.2">
      <c r="A220" s="1302"/>
      <c r="B220" s="1245" t="s">
        <v>54</v>
      </c>
      <c r="C220" s="1284">
        <v>160</v>
      </c>
      <c r="D220" s="1285" t="s">
        <v>55</v>
      </c>
      <c r="E220" s="1286">
        <v>450</v>
      </c>
      <c r="F220" s="1286"/>
      <c r="G220" s="1286"/>
      <c r="H220" s="1286"/>
      <c r="I220" s="1286"/>
      <c r="J220" s="1286">
        <f>C220*E220</f>
        <v>72000</v>
      </c>
      <c r="K220" s="1286">
        <f>I220+J220</f>
        <v>72000</v>
      </c>
      <c r="L220" s="1286"/>
      <c r="M220" s="1286"/>
      <c r="N220" s="1286"/>
      <c r="O220" s="1287">
        <f>N220+K220+H220</f>
        <v>72000</v>
      </c>
      <c r="P220" s="850"/>
      <c r="Q220" s="1283"/>
      <c r="R220" s="1283"/>
      <c r="S220" s="1283"/>
      <c r="T220" s="1283"/>
      <c r="U220" s="1283"/>
      <c r="V220" s="1283"/>
      <c r="W220" s="1283"/>
      <c r="X220" s="1283"/>
      <c r="Y220" s="1283"/>
      <c r="Z220" s="1283"/>
      <c r="AA220" s="1283"/>
      <c r="AB220" s="1283"/>
      <c r="AC220" s="1283"/>
      <c r="AD220" s="1283"/>
      <c r="AE220" s="1283"/>
      <c r="AF220" s="1283"/>
      <c r="AG220" s="1283"/>
      <c r="AH220" s="1283"/>
      <c r="AI220" s="1283"/>
      <c r="AJ220" s="1283"/>
      <c r="AK220" s="1283"/>
      <c r="AL220" s="1283"/>
      <c r="AM220" s="1283"/>
      <c r="AN220" s="1283"/>
      <c r="AO220" s="1283"/>
      <c r="AP220" s="1283"/>
      <c r="AQ220" s="1283"/>
      <c r="AR220" s="1283"/>
      <c r="AS220" s="1283"/>
      <c r="AT220" s="1283"/>
      <c r="AU220" s="1283"/>
      <c r="AV220" s="1283"/>
      <c r="AW220" s="1283"/>
      <c r="AX220" s="1283"/>
      <c r="AY220" s="1283"/>
      <c r="AZ220" s="1283"/>
      <c r="BA220" s="1283"/>
      <c r="BB220" s="1283"/>
      <c r="BC220" s="1283"/>
      <c r="BD220" s="1283"/>
      <c r="BE220" s="1283"/>
      <c r="BF220" s="1283"/>
      <c r="BG220" s="1283"/>
      <c r="BH220" s="1283"/>
      <c r="BI220" s="1283"/>
      <c r="BJ220" s="1283"/>
      <c r="BK220" s="1283"/>
      <c r="BL220" s="1283"/>
      <c r="BM220" s="1283"/>
      <c r="BN220" s="1283"/>
      <c r="BO220" s="1283"/>
      <c r="BP220" s="1283"/>
      <c r="BQ220" s="1283"/>
      <c r="BR220" s="1283"/>
      <c r="BS220" s="1283"/>
      <c r="BT220" s="1283"/>
      <c r="BU220" s="1283"/>
      <c r="BV220" s="1283"/>
      <c r="BW220" s="1283"/>
      <c r="BX220" s="1283"/>
      <c r="BY220" s="1283"/>
      <c r="BZ220" s="1283"/>
      <c r="CA220" s="1283"/>
      <c r="CB220" s="1283"/>
      <c r="CC220" s="1283"/>
      <c r="CD220" s="1283"/>
      <c r="CE220" s="1283"/>
      <c r="CF220" s="1283"/>
      <c r="CG220" s="1283"/>
      <c r="CH220" s="1283"/>
      <c r="CI220" s="1283"/>
      <c r="CJ220" s="1283"/>
      <c r="CK220" s="1283"/>
    </row>
    <row r="221" spans="1:89" s="678" customFormat="1" ht="17.25" customHeight="1" x14ac:dyDescent="0.2">
      <c r="A221" s="1302"/>
      <c r="B221" s="1245" t="s">
        <v>596</v>
      </c>
      <c r="C221" s="1284">
        <v>104</v>
      </c>
      <c r="D221" s="1285" t="s">
        <v>55</v>
      </c>
      <c r="E221" s="1286">
        <v>300</v>
      </c>
      <c r="F221" s="1286"/>
      <c r="G221" s="1286"/>
      <c r="H221" s="1286"/>
      <c r="I221" s="1286"/>
      <c r="J221" s="1286">
        <f>C221*E221</f>
        <v>31200</v>
      </c>
      <c r="K221" s="1286">
        <f>I221+J221</f>
        <v>31200</v>
      </c>
      <c r="L221" s="1286"/>
      <c r="M221" s="1286"/>
      <c r="N221" s="1286"/>
      <c r="O221" s="1287">
        <f>N221+K221+H221</f>
        <v>31200</v>
      </c>
      <c r="P221" s="850"/>
      <c r="Q221" s="1283"/>
      <c r="R221" s="1283"/>
      <c r="S221" s="1283"/>
      <c r="T221" s="1283"/>
      <c r="U221" s="1283"/>
      <c r="V221" s="1283"/>
      <c r="W221" s="1283"/>
      <c r="X221" s="1283"/>
      <c r="Y221" s="1283"/>
      <c r="Z221" s="1283"/>
      <c r="AA221" s="1283"/>
      <c r="AB221" s="1283"/>
      <c r="AC221" s="1283"/>
      <c r="AD221" s="1283"/>
      <c r="AE221" s="1283"/>
      <c r="AF221" s="1283"/>
      <c r="AG221" s="1283"/>
      <c r="AH221" s="1283"/>
      <c r="AI221" s="1283"/>
      <c r="AJ221" s="1283"/>
      <c r="AK221" s="1283"/>
      <c r="AL221" s="1283"/>
      <c r="AM221" s="1283"/>
      <c r="AN221" s="1283"/>
      <c r="AO221" s="1283"/>
      <c r="AP221" s="1283"/>
      <c r="AQ221" s="1283"/>
      <c r="AR221" s="1283"/>
      <c r="AS221" s="1283"/>
      <c r="AT221" s="1283"/>
      <c r="AU221" s="1283"/>
      <c r="AV221" s="1283"/>
      <c r="AW221" s="1283"/>
      <c r="AX221" s="1283"/>
      <c r="AY221" s="1283"/>
      <c r="AZ221" s="1283"/>
      <c r="BA221" s="1283"/>
      <c r="BB221" s="1283"/>
      <c r="BC221" s="1283"/>
      <c r="BD221" s="1283"/>
      <c r="BE221" s="1283"/>
      <c r="BF221" s="1283"/>
      <c r="BG221" s="1283"/>
      <c r="BH221" s="1283"/>
      <c r="BI221" s="1283"/>
      <c r="BJ221" s="1283"/>
      <c r="BK221" s="1283"/>
      <c r="BL221" s="1283"/>
      <c r="BM221" s="1283"/>
      <c r="BN221" s="1283"/>
      <c r="BO221" s="1283"/>
      <c r="BP221" s="1283"/>
      <c r="BQ221" s="1283"/>
      <c r="BR221" s="1283"/>
      <c r="BS221" s="1283"/>
      <c r="BT221" s="1283"/>
      <c r="BU221" s="1283"/>
      <c r="BV221" s="1283"/>
      <c r="BW221" s="1283"/>
      <c r="BX221" s="1283"/>
      <c r="BY221" s="1283"/>
      <c r="BZ221" s="1283"/>
      <c r="CA221" s="1283"/>
      <c r="CB221" s="1283"/>
      <c r="CC221" s="1283"/>
      <c r="CD221" s="1283"/>
      <c r="CE221" s="1283"/>
      <c r="CF221" s="1283"/>
      <c r="CG221" s="1283"/>
      <c r="CH221" s="1283"/>
      <c r="CI221" s="1283"/>
      <c r="CJ221" s="1283"/>
      <c r="CK221" s="1283"/>
    </row>
    <row r="222" spans="1:89" s="678" customFormat="1" ht="17.25" customHeight="1" x14ac:dyDescent="0.2">
      <c r="A222" s="1302"/>
      <c r="B222" s="1245"/>
      <c r="C222" s="1284"/>
      <c r="D222" s="1285"/>
      <c r="E222" s="1286"/>
      <c r="F222" s="1286"/>
      <c r="G222" s="1286"/>
      <c r="H222" s="1286"/>
      <c r="I222" s="1286"/>
      <c r="J222" s="1286"/>
      <c r="K222" s="1286"/>
      <c r="L222" s="1286"/>
      <c r="M222" s="1286"/>
      <c r="N222" s="1286"/>
      <c r="O222" s="1287"/>
      <c r="P222" s="850"/>
      <c r="Q222" s="1283"/>
      <c r="R222" s="1283"/>
      <c r="S222" s="1283"/>
      <c r="T222" s="1283"/>
      <c r="U222" s="1283"/>
      <c r="V222" s="1283"/>
      <c r="W222" s="1283"/>
      <c r="X222" s="1283"/>
      <c r="Y222" s="1283"/>
      <c r="Z222" s="1283"/>
      <c r="AA222" s="1283"/>
      <c r="AB222" s="1283"/>
      <c r="AC222" s="1283"/>
      <c r="AD222" s="1283"/>
      <c r="AE222" s="1283"/>
      <c r="AF222" s="1283"/>
      <c r="AG222" s="1283"/>
      <c r="AH222" s="1283"/>
      <c r="AI222" s="1283"/>
      <c r="AJ222" s="1283"/>
      <c r="AK222" s="1283"/>
      <c r="AL222" s="1283"/>
      <c r="AM222" s="1283"/>
      <c r="AN222" s="1283"/>
      <c r="AO222" s="1283"/>
      <c r="AP222" s="1283"/>
      <c r="AQ222" s="1283"/>
      <c r="AR222" s="1283"/>
      <c r="AS222" s="1283"/>
      <c r="AT222" s="1283"/>
      <c r="AU222" s="1283"/>
      <c r="AV222" s="1283"/>
      <c r="AW222" s="1283"/>
      <c r="AX222" s="1283"/>
      <c r="AY222" s="1283"/>
      <c r="AZ222" s="1283"/>
      <c r="BA222" s="1283"/>
      <c r="BB222" s="1283"/>
      <c r="BC222" s="1283"/>
      <c r="BD222" s="1283"/>
      <c r="BE222" s="1283"/>
      <c r="BF222" s="1283"/>
      <c r="BG222" s="1283"/>
      <c r="BH222" s="1283"/>
      <c r="BI222" s="1283"/>
      <c r="BJ222" s="1283"/>
      <c r="BK222" s="1283"/>
      <c r="BL222" s="1283"/>
      <c r="BM222" s="1283"/>
      <c r="BN222" s="1283"/>
      <c r="BO222" s="1283"/>
      <c r="BP222" s="1283"/>
      <c r="BQ222" s="1283"/>
      <c r="BR222" s="1283"/>
      <c r="BS222" s="1283"/>
      <c r="BT222" s="1283"/>
      <c r="BU222" s="1283"/>
      <c r="BV222" s="1283"/>
      <c r="BW222" s="1283"/>
      <c r="BX222" s="1283"/>
      <c r="BY222" s="1283"/>
      <c r="BZ222" s="1283"/>
      <c r="CA222" s="1283"/>
      <c r="CB222" s="1283"/>
      <c r="CC222" s="1283"/>
      <c r="CD222" s="1283"/>
      <c r="CE222" s="1283"/>
      <c r="CF222" s="1283"/>
      <c r="CG222" s="1283"/>
      <c r="CH222" s="1283"/>
      <c r="CI222" s="1283"/>
      <c r="CJ222" s="1283"/>
      <c r="CK222" s="1283"/>
    </row>
    <row r="223" spans="1:89" s="678" customFormat="1" ht="17.25" customHeight="1" x14ac:dyDescent="0.2">
      <c r="A223" s="1302">
        <v>7</v>
      </c>
      <c r="B223" s="1245" t="s">
        <v>57</v>
      </c>
      <c r="C223" s="1284"/>
      <c r="D223" s="1285"/>
      <c r="E223" s="1286"/>
      <c r="F223" s="1286"/>
      <c r="G223" s="1286"/>
      <c r="H223" s="1286"/>
      <c r="I223" s="1286"/>
      <c r="J223" s="1286"/>
      <c r="K223" s="1286"/>
      <c r="L223" s="1286"/>
      <c r="M223" s="1286"/>
      <c r="N223" s="1286"/>
      <c r="O223" s="1287"/>
      <c r="P223" s="850"/>
      <c r="Q223" s="1283"/>
      <c r="R223" s="1283"/>
      <c r="S223" s="1283"/>
      <c r="T223" s="1283"/>
      <c r="U223" s="1283"/>
      <c r="V223" s="1283"/>
      <c r="W223" s="1283"/>
      <c r="X223" s="1283"/>
      <c r="Y223" s="1283"/>
      <c r="Z223" s="1283"/>
      <c r="AA223" s="1283"/>
      <c r="AB223" s="1283"/>
      <c r="AC223" s="1283"/>
      <c r="AD223" s="1283"/>
      <c r="AE223" s="1283"/>
      <c r="AF223" s="1283"/>
      <c r="AG223" s="1283"/>
      <c r="AH223" s="1283"/>
      <c r="AI223" s="1283"/>
      <c r="AJ223" s="1283"/>
      <c r="AK223" s="1283"/>
      <c r="AL223" s="1283"/>
      <c r="AM223" s="1283"/>
      <c r="AN223" s="1283"/>
      <c r="AO223" s="1283"/>
      <c r="AP223" s="1283"/>
      <c r="AQ223" s="1283"/>
      <c r="AR223" s="1283"/>
      <c r="AS223" s="1283"/>
      <c r="AT223" s="1283"/>
      <c r="AU223" s="1283"/>
      <c r="AV223" s="1283"/>
      <c r="AW223" s="1283"/>
      <c r="AX223" s="1283"/>
      <c r="AY223" s="1283"/>
      <c r="AZ223" s="1283"/>
      <c r="BA223" s="1283"/>
      <c r="BB223" s="1283"/>
      <c r="BC223" s="1283"/>
      <c r="BD223" s="1283"/>
      <c r="BE223" s="1283"/>
      <c r="BF223" s="1283"/>
      <c r="BG223" s="1283"/>
      <c r="BH223" s="1283"/>
      <c r="BI223" s="1283"/>
      <c r="BJ223" s="1283"/>
      <c r="BK223" s="1283"/>
      <c r="BL223" s="1283"/>
      <c r="BM223" s="1283"/>
      <c r="BN223" s="1283"/>
      <c r="BO223" s="1283"/>
      <c r="BP223" s="1283"/>
      <c r="BQ223" s="1283"/>
      <c r="BR223" s="1283"/>
      <c r="BS223" s="1283"/>
      <c r="BT223" s="1283"/>
      <c r="BU223" s="1283"/>
      <c r="BV223" s="1283"/>
      <c r="BW223" s="1283"/>
      <c r="BX223" s="1283"/>
      <c r="BY223" s="1283"/>
      <c r="BZ223" s="1283"/>
      <c r="CA223" s="1283"/>
      <c r="CB223" s="1283"/>
      <c r="CC223" s="1283"/>
      <c r="CD223" s="1283"/>
      <c r="CE223" s="1283"/>
      <c r="CF223" s="1283"/>
      <c r="CG223" s="1283"/>
      <c r="CH223" s="1283"/>
      <c r="CI223" s="1283"/>
      <c r="CJ223" s="1283"/>
      <c r="CK223" s="1283"/>
    </row>
    <row r="224" spans="1:89" s="678" customFormat="1" ht="17.25" customHeight="1" x14ac:dyDescent="0.2">
      <c r="A224" s="1302"/>
      <c r="B224" s="1245" t="s">
        <v>1498</v>
      </c>
      <c r="C224" s="1284">
        <v>1</v>
      </c>
      <c r="D224" s="1285" t="s">
        <v>16</v>
      </c>
      <c r="E224" s="1286">
        <v>15000</v>
      </c>
      <c r="F224" s="1286"/>
      <c r="G224" s="1286"/>
      <c r="H224" s="1286"/>
      <c r="I224" s="1286"/>
      <c r="J224" s="1286">
        <f>C224*E224</f>
        <v>15000</v>
      </c>
      <c r="K224" s="1286">
        <f>I224+J224</f>
        <v>15000</v>
      </c>
      <c r="L224" s="1286"/>
      <c r="M224" s="1286"/>
      <c r="N224" s="1286"/>
      <c r="O224" s="1287">
        <f>N224+K224+H224</f>
        <v>15000</v>
      </c>
      <c r="P224" s="850"/>
      <c r="Q224" s="1283"/>
      <c r="R224" s="1283"/>
      <c r="S224" s="1283"/>
      <c r="T224" s="1283"/>
      <c r="U224" s="1283"/>
      <c r="V224" s="1283"/>
      <c r="W224" s="1283"/>
      <c r="X224" s="1283"/>
      <c r="Y224" s="1283"/>
      <c r="Z224" s="1283"/>
      <c r="AA224" s="1283"/>
      <c r="AB224" s="1283"/>
      <c r="AC224" s="1283"/>
      <c r="AD224" s="1283"/>
      <c r="AE224" s="1283"/>
      <c r="AF224" s="1283"/>
      <c r="AG224" s="1283"/>
      <c r="AH224" s="1283"/>
      <c r="AI224" s="1283"/>
      <c r="AJ224" s="1283"/>
      <c r="AK224" s="1283"/>
      <c r="AL224" s="1283"/>
      <c r="AM224" s="1283"/>
      <c r="AN224" s="1283"/>
      <c r="AO224" s="1283"/>
      <c r="AP224" s="1283"/>
      <c r="AQ224" s="1283"/>
      <c r="AR224" s="1283"/>
      <c r="AS224" s="1283"/>
      <c r="AT224" s="1283"/>
      <c r="AU224" s="1283"/>
      <c r="AV224" s="1283"/>
      <c r="AW224" s="1283"/>
      <c r="AX224" s="1283"/>
      <c r="AY224" s="1283"/>
      <c r="AZ224" s="1283"/>
      <c r="BA224" s="1283"/>
      <c r="BB224" s="1283"/>
      <c r="BC224" s="1283"/>
      <c r="BD224" s="1283"/>
      <c r="BE224" s="1283"/>
      <c r="BF224" s="1283"/>
      <c r="BG224" s="1283"/>
      <c r="BH224" s="1283"/>
      <c r="BI224" s="1283"/>
      <c r="BJ224" s="1283"/>
      <c r="BK224" s="1283"/>
      <c r="BL224" s="1283"/>
      <c r="BM224" s="1283"/>
      <c r="BN224" s="1283"/>
      <c r="BO224" s="1283"/>
      <c r="BP224" s="1283"/>
      <c r="BQ224" s="1283"/>
      <c r="BR224" s="1283"/>
      <c r="BS224" s="1283"/>
      <c r="BT224" s="1283"/>
      <c r="BU224" s="1283"/>
      <c r="BV224" s="1283"/>
      <c r="BW224" s="1283"/>
      <c r="BX224" s="1283"/>
      <c r="BY224" s="1283"/>
      <c r="BZ224" s="1283"/>
      <c r="CA224" s="1283"/>
      <c r="CB224" s="1283"/>
      <c r="CC224" s="1283"/>
      <c r="CD224" s="1283"/>
      <c r="CE224" s="1283"/>
      <c r="CF224" s="1283"/>
      <c r="CG224" s="1283"/>
      <c r="CH224" s="1283"/>
      <c r="CI224" s="1283"/>
      <c r="CJ224" s="1283"/>
      <c r="CK224" s="1283"/>
    </row>
    <row r="225" spans="1:89" s="678" customFormat="1" ht="17.25" customHeight="1" x14ac:dyDescent="0.2">
      <c r="A225" s="1302"/>
      <c r="B225" s="1245" t="s">
        <v>1499</v>
      </c>
      <c r="C225" s="1284">
        <v>0</v>
      </c>
      <c r="D225" s="1285" t="s">
        <v>76</v>
      </c>
      <c r="E225" s="1286">
        <v>7500</v>
      </c>
      <c r="F225" s="1286"/>
      <c r="G225" s="1286"/>
      <c r="H225" s="1286"/>
      <c r="I225" s="1286"/>
      <c r="J225" s="1286">
        <f>C225*E225</f>
        <v>0</v>
      </c>
      <c r="K225" s="1286">
        <f>I225+J225</f>
        <v>0</v>
      </c>
      <c r="L225" s="1286"/>
      <c r="M225" s="1286"/>
      <c r="N225" s="1286"/>
      <c r="O225" s="1287">
        <f>N225+K225+H225</f>
        <v>0</v>
      </c>
      <c r="P225" s="850"/>
      <c r="Q225" s="1283"/>
      <c r="R225" s="1283"/>
      <c r="S225" s="1283"/>
      <c r="T225" s="1283"/>
      <c r="U225" s="1283"/>
      <c r="V225" s="1283"/>
      <c r="W225" s="1283"/>
      <c r="X225" s="1283"/>
      <c r="Y225" s="1283"/>
      <c r="Z225" s="1283"/>
      <c r="AA225" s="1283"/>
      <c r="AB225" s="1283"/>
      <c r="AC225" s="1283"/>
      <c r="AD225" s="1283"/>
      <c r="AE225" s="1283"/>
      <c r="AF225" s="1283"/>
      <c r="AG225" s="1283"/>
      <c r="AH225" s="1283"/>
      <c r="AI225" s="1283"/>
      <c r="AJ225" s="1283"/>
      <c r="AK225" s="1283"/>
      <c r="AL225" s="1283"/>
      <c r="AM225" s="1283"/>
      <c r="AN225" s="1283"/>
      <c r="AO225" s="1283"/>
      <c r="AP225" s="1283"/>
      <c r="AQ225" s="1283"/>
      <c r="AR225" s="1283"/>
      <c r="AS225" s="1283"/>
      <c r="AT225" s="1283"/>
      <c r="AU225" s="1283"/>
      <c r="AV225" s="1283"/>
      <c r="AW225" s="1283"/>
      <c r="AX225" s="1283"/>
      <c r="AY225" s="1283"/>
      <c r="AZ225" s="1283"/>
      <c r="BA225" s="1283"/>
      <c r="BB225" s="1283"/>
      <c r="BC225" s="1283"/>
      <c r="BD225" s="1283"/>
      <c r="BE225" s="1283"/>
      <c r="BF225" s="1283"/>
      <c r="BG225" s="1283"/>
      <c r="BH225" s="1283"/>
      <c r="BI225" s="1283"/>
      <c r="BJ225" s="1283"/>
      <c r="BK225" s="1283"/>
      <c r="BL225" s="1283"/>
      <c r="BM225" s="1283"/>
      <c r="BN225" s="1283"/>
      <c r="BO225" s="1283"/>
      <c r="BP225" s="1283"/>
      <c r="BQ225" s="1283"/>
      <c r="BR225" s="1283"/>
      <c r="BS225" s="1283"/>
      <c r="BT225" s="1283"/>
      <c r="BU225" s="1283"/>
      <c r="BV225" s="1283"/>
      <c r="BW225" s="1283"/>
      <c r="BX225" s="1283"/>
      <c r="BY225" s="1283"/>
      <c r="BZ225" s="1283"/>
      <c r="CA225" s="1283"/>
      <c r="CB225" s="1283"/>
      <c r="CC225" s="1283"/>
      <c r="CD225" s="1283"/>
      <c r="CE225" s="1283"/>
      <c r="CF225" s="1283"/>
      <c r="CG225" s="1283"/>
      <c r="CH225" s="1283"/>
      <c r="CI225" s="1283"/>
      <c r="CJ225" s="1283"/>
      <c r="CK225" s="1283"/>
    </row>
    <row r="226" spans="1:89" s="678" customFormat="1" ht="17.25" customHeight="1" x14ac:dyDescent="0.2">
      <c r="A226" s="857"/>
      <c r="B226" s="851"/>
      <c r="C226" s="852"/>
      <c r="D226" s="853"/>
      <c r="E226" s="854"/>
      <c r="F226" s="854"/>
      <c r="G226" s="854"/>
      <c r="H226" s="854"/>
      <c r="I226" s="854"/>
      <c r="J226" s="854"/>
      <c r="K226" s="854"/>
      <c r="L226" s="854"/>
      <c r="M226" s="854"/>
      <c r="N226" s="854"/>
      <c r="O226" s="855"/>
      <c r="P226" s="850"/>
      <c r="Q226" s="1283"/>
      <c r="R226" s="1283"/>
      <c r="S226" s="1283"/>
      <c r="T226" s="1283"/>
      <c r="U226" s="1283"/>
      <c r="V226" s="1283"/>
      <c r="W226" s="1283"/>
      <c r="X226" s="1283"/>
      <c r="Y226" s="1283"/>
      <c r="Z226" s="1283"/>
      <c r="AA226" s="1283"/>
      <c r="AB226" s="1283"/>
      <c r="AC226" s="1283"/>
      <c r="AD226" s="1283"/>
      <c r="AE226" s="1283"/>
      <c r="AF226" s="1283"/>
      <c r="AG226" s="1283"/>
      <c r="AH226" s="1283"/>
      <c r="AI226" s="1283"/>
      <c r="AJ226" s="1283"/>
      <c r="AK226" s="1283"/>
      <c r="AL226" s="1283"/>
      <c r="AM226" s="1283"/>
      <c r="AN226" s="1283"/>
      <c r="AO226" s="1283"/>
      <c r="AP226" s="1283"/>
      <c r="AQ226" s="1283"/>
      <c r="AR226" s="1283"/>
      <c r="AS226" s="1283"/>
      <c r="AT226" s="1283"/>
      <c r="AU226" s="1283"/>
      <c r="AV226" s="1283"/>
      <c r="AW226" s="1283"/>
      <c r="AX226" s="1283"/>
      <c r="AY226" s="1283"/>
      <c r="AZ226" s="1283"/>
      <c r="BA226" s="1283"/>
      <c r="BB226" s="1283"/>
      <c r="BC226" s="1283"/>
      <c r="BD226" s="1283"/>
      <c r="BE226" s="1283"/>
      <c r="BF226" s="1283"/>
      <c r="BG226" s="1283"/>
      <c r="BH226" s="1283"/>
      <c r="BI226" s="1283"/>
      <c r="BJ226" s="1283"/>
      <c r="BK226" s="1283"/>
      <c r="BL226" s="1283"/>
      <c r="BM226" s="1283"/>
      <c r="BN226" s="1283"/>
      <c r="BO226" s="1283"/>
      <c r="BP226" s="1283"/>
      <c r="BQ226" s="1283"/>
      <c r="BR226" s="1283"/>
      <c r="BS226" s="1283"/>
      <c r="BT226" s="1283"/>
      <c r="BU226" s="1283"/>
      <c r="BV226" s="1283"/>
      <c r="BW226" s="1283"/>
      <c r="BX226" s="1283"/>
      <c r="BY226" s="1283"/>
      <c r="BZ226" s="1283"/>
      <c r="CA226" s="1283"/>
      <c r="CB226" s="1283"/>
      <c r="CC226" s="1283"/>
      <c r="CD226" s="1283"/>
      <c r="CE226" s="1283"/>
      <c r="CF226" s="1283"/>
      <c r="CG226" s="1283"/>
      <c r="CH226" s="1283"/>
      <c r="CI226" s="1283"/>
      <c r="CJ226" s="1283"/>
      <c r="CK226" s="1283"/>
    </row>
    <row r="227" spans="1:89" ht="24.75" customHeight="1" x14ac:dyDescent="0.25">
      <c r="A227" s="1313">
        <v>5</v>
      </c>
      <c r="B227" s="1314" t="s">
        <v>77</v>
      </c>
      <c r="C227" s="1315"/>
      <c r="D227" s="1316"/>
      <c r="E227" s="1214"/>
      <c r="F227" s="1214">
        <f>F229+F236+F239+F246</f>
        <v>0</v>
      </c>
      <c r="G227" s="1214">
        <f>G229+G236+G239+G246</f>
        <v>0</v>
      </c>
      <c r="H227" s="1214">
        <f>G227+F227</f>
        <v>0</v>
      </c>
      <c r="I227" s="1214">
        <f>I229+I236+I239+I246</f>
        <v>0</v>
      </c>
      <c r="J227" s="1214">
        <f>J229+J236+J239+J246</f>
        <v>7543884</v>
      </c>
      <c r="K227" s="1214">
        <f>J227+I227</f>
        <v>7543884</v>
      </c>
      <c r="L227" s="1214">
        <f>L229+L236+L239+L246</f>
        <v>3327691</v>
      </c>
      <c r="M227" s="1214">
        <f>M229+M236+M239+M246</f>
        <v>0</v>
      </c>
      <c r="N227" s="1214">
        <f>M227+L227</f>
        <v>3327691</v>
      </c>
      <c r="O227" s="1215">
        <f>N227+K227+H227</f>
        <v>10871575</v>
      </c>
      <c r="P227" s="680"/>
    </row>
    <row r="228" spans="1:89" ht="17.25" customHeight="1" x14ac:dyDescent="0.25">
      <c r="A228" s="858"/>
      <c r="B228" s="859"/>
      <c r="C228" s="860"/>
      <c r="D228" s="861"/>
      <c r="E228" s="818"/>
      <c r="F228" s="818"/>
      <c r="G228" s="818"/>
      <c r="H228" s="818"/>
      <c r="I228" s="818"/>
      <c r="J228" s="818"/>
      <c r="K228" s="818"/>
      <c r="L228" s="818"/>
      <c r="M228" s="818"/>
      <c r="N228" s="818"/>
      <c r="O228" s="862">
        <f>N228+K228+H228</f>
        <v>0</v>
      </c>
      <c r="P228" s="829"/>
    </row>
    <row r="229" spans="1:89" s="672" customFormat="1" ht="30.75" customHeight="1" x14ac:dyDescent="0.25">
      <c r="A229" s="1210" t="s">
        <v>64</v>
      </c>
      <c r="B229" s="1314" t="s">
        <v>1156</v>
      </c>
      <c r="C229" s="1315"/>
      <c r="D229" s="1316"/>
      <c r="E229" s="1214"/>
      <c r="F229" s="1214">
        <f>SUM(F230:F235)</f>
        <v>0</v>
      </c>
      <c r="G229" s="1214">
        <f>SUM(G230:G235)</f>
        <v>0</v>
      </c>
      <c r="H229" s="1214">
        <f>G229+F229</f>
        <v>0</v>
      </c>
      <c r="I229" s="1214">
        <f>SUM(I230:I235)</f>
        <v>0</v>
      </c>
      <c r="J229" s="1214">
        <f>SUM(J230:J235)</f>
        <v>0</v>
      </c>
      <c r="K229" s="1214">
        <f>J229+I229</f>
        <v>0</v>
      </c>
      <c r="L229" s="1214">
        <f>SUM(L230:L235)</f>
        <v>3327691</v>
      </c>
      <c r="M229" s="1214">
        <f>SUM(M230:M235)</f>
        <v>0</v>
      </c>
      <c r="N229" s="1214">
        <f>M229+L229</f>
        <v>3327691</v>
      </c>
      <c r="O229" s="1215">
        <f>N229+K229+H229</f>
        <v>3327691</v>
      </c>
      <c r="P229" s="680"/>
      <c r="Q229" s="1581"/>
      <c r="R229" s="1581"/>
      <c r="S229" s="1581"/>
      <c r="T229" s="1581"/>
      <c r="U229" s="1581"/>
      <c r="V229" s="1581"/>
      <c r="W229" s="1581"/>
      <c r="X229" s="1581"/>
      <c r="Y229" s="1581"/>
      <c r="Z229" s="1581"/>
      <c r="AA229" s="1581"/>
      <c r="AB229" s="1581"/>
      <c r="AC229" s="1581"/>
      <c r="AD229" s="1581"/>
      <c r="AE229" s="1581"/>
      <c r="AF229" s="1581"/>
      <c r="AG229" s="1581"/>
      <c r="AH229" s="1581"/>
      <c r="AI229" s="1581"/>
      <c r="AJ229" s="1581"/>
      <c r="AK229" s="1581"/>
      <c r="AL229" s="1581"/>
      <c r="AM229" s="1581"/>
      <c r="AN229" s="1581"/>
      <c r="AO229" s="1581"/>
      <c r="AP229" s="1581"/>
      <c r="AQ229" s="1581"/>
      <c r="AR229" s="1581"/>
      <c r="AS229" s="1581"/>
      <c r="AT229" s="1581"/>
      <c r="AU229" s="1581"/>
      <c r="AV229" s="1581"/>
      <c r="AW229" s="1581"/>
      <c r="AX229" s="1581"/>
      <c r="AY229" s="1581"/>
      <c r="AZ229" s="1581"/>
      <c r="BA229" s="1581"/>
      <c r="BB229" s="1581"/>
      <c r="BC229" s="1581"/>
      <c r="BD229" s="1581"/>
      <c r="BE229" s="1581"/>
      <c r="BF229" s="1581"/>
      <c r="BG229" s="1581"/>
      <c r="BH229" s="1581"/>
      <c r="BI229" s="1581"/>
      <c r="BJ229" s="1581"/>
      <c r="BK229" s="1581"/>
      <c r="BL229" s="1581"/>
      <c r="BM229" s="1581"/>
      <c r="BN229" s="1581"/>
      <c r="BO229" s="1581"/>
      <c r="BP229" s="1581"/>
      <c r="BQ229" s="1581"/>
      <c r="BR229" s="1581"/>
      <c r="BS229" s="1581"/>
      <c r="BT229" s="1581"/>
      <c r="BU229" s="1581"/>
      <c r="BV229" s="1581"/>
      <c r="BW229" s="1581"/>
      <c r="BX229" s="1581"/>
      <c r="BY229" s="1581"/>
      <c r="BZ229" s="1581"/>
      <c r="CA229" s="1581"/>
      <c r="CB229" s="1581"/>
      <c r="CC229" s="1581"/>
      <c r="CD229" s="1581"/>
      <c r="CE229" s="1581"/>
      <c r="CF229" s="1581"/>
      <c r="CG229" s="1581"/>
      <c r="CH229" s="1581"/>
      <c r="CI229" s="1581"/>
      <c r="CJ229" s="1581"/>
      <c r="CK229" s="1581"/>
    </row>
    <row r="230" spans="1:89" ht="17.25" customHeight="1" x14ac:dyDescent="0.25">
      <c r="A230" s="681">
        <v>1</v>
      </c>
      <c r="B230" s="1317" t="s">
        <v>78</v>
      </c>
      <c r="C230" s="1318">
        <v>1</v>
      </c>
      <c r="D230" s="863" t="s">
        <v>60</v>
      </c>
      <c r="E230" s="685">
        <v>901924</v>
      </c>
      <c r="F230" s="685"/>
      <c r="G230" s="685"/>
      <c r="H230" s="685"/>
      <c r="I230" s="685"/>
      <c r="J230" s="685"/>
      <c r="K230" s="685"/>
      <c r="L230" s="685">
        <f>E230*C230</f>
        <v>901924</v>
      </c>
      <c r="M230" s="685"/>
      <c r="N230" s="685">
        <f>L230+M230</f>
        <v>901924</v>
      </c>
      <c r="O230" s="686">
        <f>N230+K230+H230</f>
        <v>901924</v>
      </c>
      <c r="P230" s="687"/>
    </row>
    <row r="231" spans="1:89" s="679" customFormat="1" ht="17.25" customHeight="1" x14ac:dyDescent="0.25">
      <c r="A231" s="692">
        <v>2</v>
      </c>
      <c r="B231" s="1319" t="s">
        <v>603</v>
      </c>
      <c r="C231" s="1320">
        <v>1</v>
      </c>
      <c r="D231" s="739" t="s">
        <v>60</v>
      </c>
      <c r="E231" s="695">
        <f>1216464+1000000-1000000</f>
        <v>1216464</v>
      </c>
      <c r="F231" s="695"/>
      <c r="G231" s="695"/>
      <c r="H231" s="695"/>
      <c r="I231" s="695"/>
      <c r="J231" s="695"/>
      <c r="K231" s="695"/>
      <c r="L231" s="695">
        <f>E231*C231</f>
        <v>1216464</v>
      </c>
      <c r="M231" s="695"/>
      <c r="N231" s="695">
        <f>L231+M231</f>
        <v>1216464</v>
      </c>
      <c r="O231" s="696">
        <f>N231+K231+H231</f>
        <v>1216464</v>
      </c>
      <c r="P231" s="687"/>
    </row>
    <row r="232" spans="1:89" s="679" customFormat="1" ht="17.25" customHeight="1" x14ac:dyDescent="0.25">
      <c r="A232" s="692"/>
      <c r="B232" s="1319"/>
      <c r="C232" s="1320"/>
      <c r="D232" s="739"/>
      <c r="E232" s="695"/>
      <c r="F232" s="695"/>
      <c r="G232" s="695"/>
      <c r="H232" s="695"/>
      <c r="I232" s="695"/>
      <c r="J232" s="695"/>
      <c r="K232" s="695"/>
      <c r="L232" s="695"/>
      <c r="M232" s="695"/>
      <c r="N232" s="695"/>
      <c r="O232" s="696"/>
      <c r="P232" s="687"/>
    </row>
    <row r="233" spans="1:89" s="679" customFormat="1" ht="17.25" customHeight="1" x14ac:dyDescent="0.2">
      <c r="A233" s="692"/>
      <c r="B233" s="1312" t="s">
        <v>1672</v>
      </c>
      <c r="C233" s="1320"/>
      <c r="D233" s="739"/>
      <c r="E233" s="695"/>
      <c r="F233" s="695"/>
      <c r="G233" s="695"/>
      <c r="H233" s="695"/>
      <c r="I233" s="695"/>
      <c r="J233" s="695"/>
      <c r="K233" s="695"/>
      <c r="L233" s="695"/>
      <c r="M233" s="695"/>
      <c r="N233" s="695"/>
      <c r="O233" s="696"/>
      <c r="P233" s="687"/>
    </row>
    <row r="234" spans="1:89" ht="17.25" customHeight="1" x14ac:dyDescent="0.25">
      <c r="A234" s="692">
        <v>3</v>
      </c>
      <c r="B234" s="1319" t="s">
        <v>602</v>
      </c>
      <c r="C234" s="1320">
        <v>1</v>
      </c>
      <c r="D234" s="739" t="s">
        <v>60</v>
      </c>
      <c r="E234" s="695">
        <v>1209303</v>
      </c>
      <c r="F234" s="695"/>
      <c r="G234" s="695"/>
      <c r="H234" s="695"/>
      <c r="I234" s="695"/>
      <c r="J234" s="695"/>
      <c r="K234" s="695"/>
      <c r="L234" s="695">
        <f>E234*C234</f>
        <v>1209303</v>
      </c>
      <c r="M234" s="695"/>
      <c r="N234" s="695">
        <f>L234+M234</f>
        <v>1209303</v>
      </c>
      <c r="O234" s="696">
        <f>N234+K234+H234</f>
        <v>1209303</v>
      </c>
      <c r="P234" s="687"/>
    </row>
    <row r="235" spans="1:89" ht="17.25" customHeight="1" x14ac:dyDescent="0.25">
      <c r="A235" s="820"/>
      <c r="B235" s="1321"/>
      <c r="C235" s="1322"/>
      <c r="D235" s="865"/>
      <c r="E235" s="821"/>
      <c r="F235" s="821"/>
      <c r="G235" s="821"/>
      <c r="H235" s="821"/>
      <c r="I235" s="821"/>
      <c r="J235" s="821"/>
      <c r="K235" s="821"/>
      <c r="L235" s="821"/>
      <c r="M235" s="821"/>
      <c r="N235" s="821"/>
      <c r="O235" s="822"/>
      <c r="P235" s="687"/>
    </row>
    <row r="236" spans="1:89" ht="17.25" customHeight="1" x14ac:dyDescent="0.25">
      <c r="A236" s="1323" t="s">
        <v>17</v>
      </c>
      <c r="B236" s="1324" t="s">
        <v>74</v>
      </c>
      <c r="C236" s="1325"/>
      <c r="D236" s="1326"/>
      <c r="E236" s="1327"/>
      <c r="F236" s="1327">
        <f>SUM(F237:F237)</f>
        <v>0</v>
      </c>
      <c r="G236" s="1327">
        <f>SUM(G237:G237)</f>
        <v>0</v>
      </c>
      <c r="H236" s="1327">
        <f>F236+G236</f>
        <v>0</v>
      </c>
      <c r="I236" s="1327">
        <f>SUM(I237:I237)</f>
        <v>0</v>
      </c>
      <c r="J236" s="1327">
        <f>SUM(J237)</f>
        <v>6000000</v>
      </c>
      <c r="K236" s="1327">
        <f>I236+J236</f>
        <v>6000000</v>
      </c>
      <c r="L236" s="1327">
        <f>SUM(L237:L237)</f>
        <v>0</v>
      </c>
      <c r="M236" s="1327">
        <f>SUM(M237:M237)</f>
        <v>0</v>
      </c>
      <c r="N236" s="1327">
        <f>L236+M236</f>
        <v>0</v>
      </c>
      <c r="O236" s="1328">
        <f>N236+K236+H236</f>
        <v>6000000</v>
      </c>
      <c r="P236" s="1329"/>
    </row>
    <row r="237" spans="1:89" ht="17.25" customHeight="1" x14ac:dyDescent="0.25">
      <c r="A237" s="681"/>
      <c r="B237" s="1330" t="s">
        <v>604</v>
      </c>
      <c r="C237" s="1331">
        <v>1</v>
      </c>
      <c r="D237" s="863" t="s">
        <v>16</v>
      </c>
      <c r="E237" s="685">
        <f>7500000-1500000</f>
        <v>6000000</v>
      </c>
      <c r="F237" s="685"/>
      <c r="G237" s="685"/>
      <c r="H237" s="685"/>
      <c r="I237" s="685"/>
      <c r="J237" s="685">
        <f>C237*E237</f>
        <v>6000000</v>
      </c>
      <c r="K237" s="685">
        <f>I237+J237</f>
        <v>6000000</v>
      </c>
      <c r="L237" s="685"/>
      <c r="M237" s="685"/>
      <c r="N237" s="685"/>
      <c r="O237" s="686">
        <f>N237+K237+H237</f>
        <v>6000000</v>
      </c>
      <c r="P237" s="687"/>
    </row>
    <row r="238" spans="1:89" ht="17.25" customHeight="1" x14ac:dyDescent="0.25">
      <c r="A238" s="1332"/>
      <c r="B238" s="1333"/>
      <c r="C238" s="1334"/>
      <c r="D238" s="1335"/>
      <c r="E238" s="866"/>
      <c r="F238" s="866"/>
      <c r="G238" s="866"/>
      <c r="H238" s="866"/>
      <c r="I238" s="866"/>
      <c r="J238" s="866"/>
      <c r="K238" s="866"/>
      <c r="L238" s="866"/>
      <c r="M238" s="866"/>
      <c r="N238" s="866"/>
      <c r="O238" s="1336"/>
      <c r="P238" s="829"/>
    </row>
    <row r="239" spans="1:89" s="672" customFormat="1" ht="35.25" customHeight="1" x14ac:dyDescent="0.25">
      <c r="A239" s="1210" t="s">
        <v>22</v>
      </c>
      <c r="B239" s="1314" t="s">
        <v>79</v>
      </c>
      <c r="C239" s="1315"/>
      <c r="D239" s="1316"/>
      <c r="E239" s="1214"/>
      <c r="F239" s="1214">
        <f>SUM(F240:F244)</f>
        <v>0</v>
      </c>
      <c r="G239" s="1214">
        <f>SUM(G240:G244)</f>
        <v>0</v>
      </c>
      <c r="H239" s="1214">
        <f>F239+G239</f>
        <v>0</v>
      </c>
      <c r="I239" s="1214">
        <f>SUM(I240:I244)</f>
        <v>0</v>
      </c>
      <c r="J239" s="1214">
        <f>SUM(J240:J244)</f>
        <v>1050000</v>
      </c>
      <c r="K239" s="1214">
        <f>I239+J239</f>
        <v>1050000</v>
      </c>
      <c r="L239" s="1214">
        <f>SUM(L240:L244)</f>
        <v>0</v>
      </c>
      <c r="M239" s="1214">
        <f>SUM(M240:M244)</f>
        <v>0</v>
      </c>
      <c r="N239" s="1214">
        <f>L239+M239</f>
        <v>0</v>
      </c>
      <c r="O239" s="1215">
        <f>N239+K239+H239</f>
        <v>1050000</v>
      </c>
      <c r="P239" s="680"/>
      <c r="Q239" s="1581"/>
      <c r="R239" s="1581"/>
      <c r="S239" s="1581"/>
      <c r="T239" s="1581"/>
      <c r="U239" s="1581"/>
      <c r="V239" s="1581"/>
      <c r="W239" s="1581"/>
      <c r="X239" s="1581"/>
      <c r="Y239" s="1581"/>
      <c r="Z239" s="1581"/>
      <c r="AA239" s="1581"/>
      <c r="AB239" s="1581"/>
      <c r="AC239" s="1581"/>
      <c r="AD239" s="1581"/>
      <c r="AE239" s="1581"/>
      <c r="AF239" s="1581"/>
      <c r="AG239" s="1581"/>
      <c r="AH239" s="1581"/>
      <c r="AI239" s="1581"/>
      <c r="AJ239" s="1581"/>
      <c r="AK239" s="1581"/>
      <c r="AL239" s="1581"/>
      <c r="AM239" s="1581"/>
      <c r="AN239" s="1581"/>
      <c r="AO239" s="1581"/>
      <c r="AP239" s="1581"/>
      <c r="AQ239" s="1581"/>
      <c r="AR239" s="1581"/>
      <c r="AS239" s="1581"/>
      <c r="AT239" s="1581"/>
      <c r="AU239" s="1581"/>
      <c r="AV239" s="1581"/>
      <c r="AW239" s="1581"/>
      <c r="AX239" s="1581"/>
      <c r="AY239" s="1581"/>
      <c r="AZ239" s="1581"/>
      <c r="BA239" s="1581"/>
      <c r="BB239" s="1581"/>
      <c r="BC239" s="1581"/>
      <c r="BD239" s="1581"/>
      <c r="BE239" s="1581"/>
      <c r="BF239" s="1581"/>
      <c r="BG239" s="1581"/>
      <c r="BH239" s="1581"/>
      <c r="BI239" s="1581"/>
      <c r="BJ239" s="1581"/>
      <c r="BK239" s="1581"/>
      <c r="BL239" s="1581"/>
      <c r="BM239" s="1581"/>
      <c r="BN239" s="1581"/>
      <c r="BO239" s="1581"/>
      <c r="BP239" s="1581"/>
      <c r="BQ239" s="1581"/>
      <c r="BR239" s="1581"/>
      <c r="BS239" s="1581"/>
      <c r="BT239" s="1581"/>
      <c r="BU239" s="1581"/>
      <c r="BV239" s="1581"/>
      <c r="BW239" s="1581"/>
      <c r="BX239" s="1581"/>
      <c r="BY239" s="1581"/>
      <c r="BZ239" s="1581"/>
      <c r="CA239" s="1581"/>
      <c r="CB239" s="1581"/>
      <c r="CC239" s="1581"/>
      <c r="CD239" s="1581"/>
      <c r="CE239" s="1581"/>
      <c r="CF239" s="1581"/>
      <c r="CG239" s="1581"/>
      <c r="CH239" s="1581"/>
      <c r="CI239" s="1581"/>
      <c r="CJ239" s="1581"/>
      <c r="CK239" s="1581"/>
    </row>
    <row r="240" spans="1:89" ht="17.25" customHeight="1" x14ac:dyDescent="0.25">
      <c r="A240" s="681">
        <v>1</v>
      </c>
      <c r="B240" s="1337" t="s">
        <v>80</v>
      </c>
      <c r="C240" s="755"/>
      <c r="D240" s="1338"/>
      <c r="E240" s="684"/>
      <c r="F240" s="684"/>
      <c r="G240" s="684"/>
      <c r="H240" s="684"/>
      <c r="I240" s="684"/>
      <c r="J240" s="684"/>
      <c r="K240" s="684"/>
      <c r="L240" s="684"/>
      <c r="M240" s="684"/>
      <c r="N240" s="684"/>
      <c r="O240" s="867"/>
      <c r="P240" s="754"/>
    </row>
    <row r="241" spans="1:16" ht="17.25" customHeight="1" x14ac:dyDescent="0.25">
      <c r="A241" s="692"/>
      <c r="B241" s="1339" t="s">
        <v>1903</v>
      </c>
      <c r="C241" s="1340">
        <v>1</v>
      </c>
      <c r="D241" s="739" t="s">
        <v>25</v>
      </c>
      <c r="E241" s="695">
        <v>1000000</v>
      </c>
      <c r="F241" s="695"/>
      <c r="G241" s="695"/>
      <c r="H241" s="695"/>
      <c r="I241" s="695"/>
      <c r="J241" s="695">
        <f>E241*C241</f>
        <v>1000000</v>
      </c>
      <c r="K241" s="695">
        <f>I241+J241</f>
        <v>1000000</v>
      </c>
      <c r="L241" s="695"/>
      <c r="M241" s="695"/>
      <c r="N241" s="695"/>
      <c r="O241" s="696">
        <f>N241+K241+H241</f>
        <v>1000000</v>
      </c>
      <c r="P241" s="687"/>
    </row>
    <row r="242" spans="1:16" ht="17.25" customHeight="1" x14ac:dyDescent="0.25">
      <c r="A242" s="692"/>
      <c r="B242" s="1341"/>
      <c r="C242" s="1340"/>
      <c r="D242" s="739"/>
      <c r="E242" s="695"/>
      <c r="F242" s="695"/>
      <c r="G242" s="695"/>
      <c r="H242" s="695"/>
      <c r="I242" s="695"/>
      <c r="J242" s="695"/>
      <c r="K242" s="695"/>
      <c r="L242" s="695"/>
      <c r="M242" s="695"/>
      <c r="N242" s="695"/>
      <c r="O242" s="696"/>
      <c r="P242" s="687"/>
    </row>
    <row r="243" spans="1:16" ht="17.25" customHeight="1" x14ac:dyDescent="0.25">
      <c r="A243" s="692">
        <v>2</v>
      </c>
      <c r="B243" s="1341" t="s">
        <v>81</v>
      </c>
      <c r="C243" s="1340"/>
      <c r="D243" s="739"/>
      <c r="E243" s="695"/>
      <c r="F243" s="695"/>
      <c r="G243" s="695"/>
      <c r="H243" s="695"/>
      <c r="I243" s="695"/>
      <c r="J243" s="695"/>
      <c r="K243" s="695"/>
      <c r="L243" s="695"/>
      <c r="M243" s="695"/>
      <c r="N243" s="695"/>
      <c r="O243" s="696"/>
      <c r="P243" s="687"/>
    </row>
    <row r="244" spans="1:16" ht="17.25" customHeight="1" x14ac:dyDescent="0.25">
      <c r="A244" s="692"/>
      <c r="B244" s="1342" t="s">
        <v>82</v>
      </c>
      <c r="C244" s="1340">
        <v>1</v>
      </c>
      <c r="D244" s="739" t="s">
        <v>25</v>
      </c>
      <c r="E244" s="695">
        <v>50000</v>
      </c>
      <c r="F244" s="695"/>
      <c r="G244" s="695"/>
      <c r="H244" s="695"/>
      <c r="I244" s="695"/>
      <c r="J244" s="695">
        <f>C244*E244</f>
        <v>50000</v>
      </c>
      <c r="K244" s="695">
        <f>I244+J244</f>
        <v>50000</v>
      </c>
      <c r="L244" s="695"/>
      <c r="M244" s="695"/>
      <c r="N244" s="695"/>
      <c r="O244" s="696">
        <f>N244+K244+H244</f>
        <v>50000</v>
      </c>
      <c r="P244" s="687"/>
    </row>
    <row r="245" spans="1:16" ht="17.25" customHeight="1" x14ac:dyDescent="0.25">
      <c r="A245" s="820"/>
      <c r="B245" s="1343"/>
      <c r="C245" s="868"/>
      <c r="D245" s="865"/>
      <c r="E245" s="821"/>
      <c r="F245" s="821"/>
      <c r="G245" s="821"/>
      <c r="H245" s="821"/>
      <c r="I245" s="821"/>
      <c r="J245" s="821"/>
      <c r="K245" s="821"/>
      <c r="L245" s="821"/>
      <c r="M245" s="821"/>
      <c r="N245" s="821"/>
      <c r="O245" s="822"/>
      <c r="P245" s="687"/>
    </row>
    <row r="246" spans="1:16" ht="17.25" customHeight="1" x14ac:dyDescent="0.25">
      <c r="A246" s="1210" t="s">
        <v>28</v>
      </c>
      <c r="B246" s="1314" t="s">
        <v>29</v>
      </c>
      <c r="C246" s="1315"/>
      <c r="D246" s="1316"/>
      <c r="E246" s="1214"/>
      <c r="F246" s="1214">
        <f>SUM(F249:F276)</f>
        <v>0</v>
      </c>
      <c r="G246" s="1214">
        <f>SUM(G249:G276)</f>
        <v>0</v>
      </c>
      <c r="H246" s="1214">
        <f>G246+F246</f>
        <v>0</v>
      </c>
      <c r="I246" s="1214">
        <f>SUM(I249:I276)</f>
        <v>0</v>
      </c>
      <c r="J246" s="1214">
        <f>SUM(J249:J276)</f>
        <v>493884</v>
      </c>
      <c r="K246" s="1214">
        <f>J246+I246</f>
        <v>493884</v>
      </c>
      <c r="L246" s="1214">
        <f>SUM(L249:L276)</f>
        <v>0</v>
      </c>
      <c r="M246" s="1214">
        <f>SUM(M249:M276)</f>
        <v>0</v>
      </c>
      <c r="N246" s="1214">
        <f>M246+L246</f>
        <v>0</v>
      </c>
      <c r="O246" s="1215">
        <f>N246+K246+H246</f>
        <v>493884</v>
      </c>
      <c r="P246" s="680"/>
    </row>
    <row r="247" spans="1:16" ht="17.25" customHeight="1" x14ac:dyDescent="0.25">
      <c r="A247" s="681"/>
      <c r="B247" s="869"/>
      <c r="C247" s="1331"/>
      <c r="D247" s="863"/>
      <c r="E247" s="685"/>
      <c r="F247" s="685"/>
      <c r="G247" s="685"/>
      <c r="H247" s="685"/>
      <c r="I247" s="685"/>
      <c r="J247" s="685"/>
      <c r="K247" s="685"/>
      <c r="L247" s="685"/>
      <c r="M247" s="685"/>
      <c r="N247" s="685"/>
      <c r="O247" s="686"/>
      <c r="P247" s="687"/>
    </row>
    <row r="248" spans="1:16" ht="17.25" customHeight="1" x14ac:dyDescent="0.25">
      <c r="A248" s="692">
        <v>1</v>
      </c>
      <c r="B248" s="1344" t="s">
        <v>19</v>
      </c>
      <c r="C248" s="1340"/>
      <c r="D248" s="739"/>
      <c r="E248" s="695"/>
      <c r="F248" s="695"/>
      <c r="G248" s="695"/>
      <c r="H248" s="695"/>
      <c r="I248" s="695"/>
      <c r="J248" s="695"/>
      <c r="K248" s="695"/>
      <c r="L248" s="695"/>
      <c r="M248" s="695"/>
      <c r="N248" s="695"/>
      <c r="O248" s="696">
        <f t="shared" ref="O248:O260" si="16">N248+K248+H248</f>
        <v>0</v>
      </c>
      <c r="P248" s="687"/>
    </row>
    <row r="249" spans="1:16" ht="17.25" customHeight="1" x14ac:dyDescent="0.25">
      <c r="A249" s="692"/>
      <c r="B249" s="1344" t="s">
        <v>30</v>
      </c>
      <c r="C249" s="1340">
        <v>12</v>
      </c>
      <c r="D249" s="739" t="s">
        <v>20</v>
      </c>
      <c r="E249" s="695">
        <v>1145</v>
      </c>
      <c r="F249" s="695"/>
      <c r="G249" s="695"/>
      <c r="H249" s="695"/>
      <c r="I249" s="695"/>
      <c r="J249" s="695">
        <f>C249*E249</f>
        <v>13740</v>
      </c>
      <c r="K249" s="695">
        <f>I249+J249</f>
        <v>13740</v>
      </c>
      <c r="L249" s="695"/>
      <c r="M249" s="695"/>
      <c r="N249" s="695"/>
      <c r="O249" s="696">
        <f t="shared" si="16"/>
        <v>13740</v>
      </c>
      <c r="P249" s="687"/>
    </row>
    <row r="250" spans="1:16" ht="17.25" customHeight="1" x14ac:dyDescent="0.25">
      <c r="A250" s="692"/>
      <c r="B250" s="1345" t="s">
        <v>83</v>
      </c>
      <c r="C250" s="1340">
        <v>12</v>
      </c>
      <c r="D250" s="739" t="s">
        <v>20</v>
      </c>
      <c r="E250" s="695">
        <v>975</v>
      </c>
      <c r="F250" s="695"/>
      <c r="G250" s="695"/>
      <c r="H250" s="695"/>
      <c r="I250" s="695"/>
      <c r="J250" s="695">
        <f>C250*E250</f>
        <v>11700</v>
      </c>
      <c r="K250" s="695">
        <f>I250+J250</f>
        <v>11700</v>
      </c>
      <c r="L250" s="695"/>
      <c r="M250" s="695"/>
      <c r="N250" s="695"/>
      <c r="O250" s="696">
        <f t="shared" si="16"/>
        <v>11700</v>
      </c>
      <c r="P250" s="687"/>
    </row>
    <row r="251" spans="1:16" ht="17.25" customHeight="1" x14ac:dyDescent="0.25">
      <c r="A251" s="692"/>
      <c r="B251" s="1344" t="s">
        <v>31</v>
      </c>
      <c r="C251" s="1340">
        <v>12</v>
      </c>
      <c r="D251" s="739" t="s">
        <v>20</v>
      </c>
      <c r="E251" s="695">
        <v>860</v>
      </c>
      <c r="F251" s="695"/>
      <c r="G251" s="695"/>
      <c r="H251" s="695"/>
      <c r="I251" s="695"/>
      <c r="J251" s="695">
        <f>C251*E251</f>
        <v>10320</v>
      </c>
      <c r="K251" s="695">
        <f>I251+J251</f>
        <v>10320</v>
      </c>
      <c r="L251" s="695"/>
      <c r="M251" s="695"/>
      <c r="N251" s="695"/>
      <c r="O251" s="696">
        <f t="shared" si="16"/>
        <v>10320</v>
      </c>
      <c r="P251" s="687"/>
    </row>
    <row r="252" spans="1:16" ht="17.25" customHeight="1" x14ac:dyDescent="0.25">
      <c r="A252" s="692"/>
      <c r="B252" s="1344" t="s">
        <v>32</v>
      </c>
      <c r="C252" s="1340">
        <v>12</v>
      </c>
      <c r="D252" s="739" t="s">
        <v>20</v>
      </c>
      <c r="E252" s="695">
        <v>800</v>
      </c>
      <c r="F252" s="695"/>
      <c r="G252" s="695"/>
      <c r="H252" s="695"/>
      <c r="I252" s="695"/>
      <c r="J252" s="695">
        <f>C252*E252</f>
        <v>9600</v>
      </c>
      <c r="K252" s="695">
        <f>I252+J252</f>
        <v>9600</v>
      </c>
      <c r="L252" s="695"/>
      <c r="M252" s="695"/>
      <c r="N252" s="695"/>
      <c r="O252" s="696">
        <f t="shared" si="16"/>
        <v>9600</v>
      </c>
      <c r="P252" s="687"/>
    </row>
    <row r="253" spans="1:16" ht="17.25" customHeight="1" x14ac:dyDescent="0.25">
      <c r="A253" s="692"/>
      <c r="B253" s="1344" t="s">
        <v>33</v>
      </c>
      <c r="C253" s="1340">
        <v>60</v>
      </c>
      <c r="D253" s="739" t="s">
        <v>20</v>
      </c>
      <c r="E253" s="695">
        <v>575</v>
      </c>
      <c r="F253" s="695"/>
      <c r="G253" s="695"/>
      <c r="H253" s="695"/>
      <c r="I253" s="695"/>
      <c r="J253" s="695">
        <f>C253*E253</f>
        <v>34500</v>
      </c>
      <c r="K253" s="695">
        <f>I253+J253</f>
        <v>34500</v>
      </c>
      <c r="L253" s="695"/>
      <c r="M253" s="695"/>
      <c r="N253" s="695"/>
      <c r="O253" s="696">
        <f t="shared" si="16"/>
        <v>34500</v>
      </c>
      <c r="P253" s="687"/>
    </row>
    <row r="254" spans="1:16" ht="17.25" customHeight="1" x14ac:dyDescent="0.25">
      <c r="A254" s="692"/>
      <c r="B254" s="1344" t="s">
        <v>34</v>
      </c>
      <c r="C254" s="1340"/>
      <c r="D254" s="739"/>
      <c r="E254" s="695"/>
      <c r="F254" s="695"/>
      <c r="G254" s="695"/>
      <c r="H254" s="695"/>
      <c r="I254" s="695"/>
      <c r="J254" s="695"/>
      <c r="K254" s="695"/>
      <c r="L254" s="695"/>
      <c r="M254" s="695"/>
      <c r="N254" s="695"/>
      <c r="O254" s="696">
        <f t="shared" si="16"/>
        <v>0</v>
      </c>
      <c r="P254" s="687"/>
    </row>
    <row r="255" spans="1:16" ht="17.25" customHeight="1" x14ac:dyDescent="0.25">
      <c r="A255" s="692"/>
      <c r="B255" s="1344" t="s">
        <v>35</v>
      </c>
      <c r="C255" s="1340">
        <v>12</v>
      </c>
      <c r="D255" s="739" t="s">
        <v>20</v>
      </c>
      <c r="E255" s="695">
        <v>300</v>
      </c>
      <c r="F255" s="695"/>
      <c r="G255" s="695"/>
      <c r="H255" s="695"/>
      <c r="I255" s="695"/>
      <c r="J255" s="695">
        <f t="shared" ref="J255:J260" si="17">C255*E255</f>
        <v>3600</v>
      </c>
      <c r="K255" s="695">
        <f t="shared" ref="K255:K260" si="18">I255+J255</f>
        <v>3600</v>
      </c>
      <c r="L255" s="695"/>
      <c r="M255" s="695"/>
      <c r="N255" s="695"/>
      <c r="O255" s="696">
        <f t="shared" si="16"/>
        <v>3600</v>
      </c>
      <c r="P255" s="687"/>
    </row>
    <row r="256" spans="1:16" ht="17.25" customHeight="1" x14ac:dyDescent="0.25">
      <c r="A256" s="692"/>
      <c r="B256" s="1344" t="s">
        <v>36</v>
      </c>
      <c r="C256" s="1340">
        <v>36</v>
      </c>
      <c r="D256" s="739" t="s">
        <v>20</v>
      </c>
      <c r="E256" s="695">
        <v>150</v>
      </c>
      <c r="F256" s="695"/>
      <c r="G256" s="695"/>
      <c r="H256" s="695"/>
      <c r="I256" s="695"/>
      <c r="J256" s="695">
        <f t="shared" si="17"/>
        <v>5400</v>
      </c>
      <c r="K256" s="695">
        <f t="shared" si="18"/>
        <v>5400</v>
      </c>
      <c r="L256" s="695"/>
      <c r="M256" s="695"/>
      <c r="N256" s="695"/>
      <c r="O256" s="696">
        <f t="shared" si="16"/>
        <v>5400</v>
      </c>
      <c r="P256" s="687"/>
    </row>
    <row r="257" spans="1:16" ht="17.25" customHeight="1" x14ac:dyDescent="0.25">
      <c r="A257" s="692"/>
      <c r="B257" s="1344" t="s">
        <v>84</v>
      </c>
      <c r="C257" s="1340">
        <v>12</v>
      </c>
      <c r="D257" s="739" t="s">
        <v>20</v>
      </c>
      <c r="E257" s="695">
        <v>250</v>
      </c>
      <c r="F257" s="695"/>
      <c r="G257" s="695"/>
      <c r="H257" s="695"/>
      <c r="I257" s="695"/>
      <c r="J257" s="695">
        <f t="shared" si="17"/>
        <v>3000</v>
      </c>
      <c r="K257" s="695">
        <f t="shared" si="18"/>
        <v>3000</v>
      </c>
      <c r="L257" s="695"/>
      <c r="M257" s="695"/>
      <c r="N257" s="695"/>
      <c r="O257" s="696">
        <f t="shared" si="16"/>
        <v>3000</v>
      </c>
      <c r="P257" s="687"/>
    </row>
    <row r="258" spans="1:16" ht="17.25" customHeight="1" x14ac:dyDescent="0.25">
      <c r="A258" s="692"/>
      <c r="B258" s="1344" t="s">
        <v>85</v>
      </c>
      <c r="C258" s="1340">
        <v>1</v>
      </c>
      <c r="D258" s="739" t="s">
        <v>25</v>
      </c>
      <c r="E258" s="695">
        <v>20000</v>
      </c>
      <c r="F258" s="695"/>
      <c r="G258" s="695"/>
      <c r="H258" s="695"/>
      <c r="I258" s="695"/>
      <c r="J258" s="695">
        <f t="shared" si="17"/>
        <v>20000</v>
      </c>
      <c r="K258" s="695">
        <f t="shared" si="18"/>
        <v>20000</v>
      </c>
      <c r="L258" s="695"/>
      <c r="M258" s="695"/>
      <c r="N258" s="695"/>
      <c r="O258" s="696">
        <f t="shared" si="16"/>
        <v>20000</v>
      </c>
      <c r="P258" s="687"/>
    </row>
    <row r="259" spans="1:16" ht="17.25" customHeight="1" x14ac:dyDescent="0.25">
      <c r="A259" s="692"/>
      <c r="B259" s="1344" t="s">
        <v>86</v>
      </c>
      <c r="C259" s="1340">
        <v>1</v>
      </c>
      <c r="D259" s="739" t="s">
        <v>25</v>
      </c>
      <c r="E259" s="695">
        <v>4600</v>
      </c>
      <c r="F259" s="695"/>
      <c r="G259" s="695"/>
      <c r="H259" s="695"/>
      <c r="I259" s="695"/>
      <c r="J259" s="695">
        <f t="shared" si="17"/>
        <v>4600</v>
      </c>
      <c r="K259" s="695">
        <f t="shared" si="18"/>
        <v>4600</v>
      </c>
      <c r="L259" s="695"/>
      <c r="M259" s="695"/>
      <c r="N259" s="695"/>
      <c r="O259" s="696">
        <f t="shared" si="16"/>
        <v>4600</v>
      </c>
      <c r="P259" s="687"/>
    </row>
    <row r="260" spans="1:16" ht="17.25" customHeight="1" x14ac:dyDescent="0.25">
      <c r="A260" s="692"/>
      <c r="B260" s="1344" t="s">
        <v>1500</v>
      </c>
      <c r="C260" s="1340">
        <v>36</v>
      </c>
      <c r="D260" s="739" t="s">
        <v>20</v>
      </c>
      <c r="E260" s="695">
        <v>400</v>
      </c>
      <c r="F260" s="695"/>
      <c r="G260" s="695"/>
      <c r="H260" s="695"/>
      <c r="I260" s="695"/>
      <c r="J260" s="695">
        <f t="shared" si="17"/>
        <v>14400</v>
      </c>
      <c r="K260" s="695">
        <f t="shared" si="18"/>
        <v>14400</v>
      </c>
      <c r="L260" s="695"/>
      <c r="M260" s="695"/>
      <c r="N260" s="695"/>
      <c r="O260" s="696">
        <f t="shared" si="16"/>
        <v>14400</v>
      </c>
      <c r="P260" s="687"/>
    </row>
    <row r="261" spans="1:16" ht="17.25" customHeight="1" x14ac:dyDescent="0.25">
      <c r="A261" s="692"/>
      <c r="B261" s="1344"/>
      <c r="C261" s="1340"/>
      <c r="D261" s="739"/>
      <c r="E261" s="695"/>
      <c r="F261" s="695"/>
      <c r="G261" s="695"/>
      <c r="H261" s="695"/>
      <c r="I261" s="695"/>
      <c r="J261" s="695"/>
      <c r="K261" s="695"/>
      <c r="L261" s="695"/>
      <c r="M261" s="695"/>
      <c r="N261" s="695"/>
      <c r="O261" s="696"/>
      <c r="P261" s="687"/>
    </row>
    <row r="262" spans="1:16" ht="17.25" customHeight="1" x14ac:dyDescent="0.25">
      <c r="A262" s="692"/>
      <c r="B262" s="1344"/>
      <c r="C262" s="1340"/>
      <c r="D262" s="739"/>
      <c r="E262" s="695"/>
      <c r="F262" s="695"/>
      <c r="G262" s="695"/>
      <c r="H262" s="695"/>
      <c r="I262" s="695"/>
      <c r="J262" s="695"/>
      <c r="K262" s="695"/>
      <c r="L262" s="695"/>
      <c r="M262" s="695"/>
      <c r="N262" s="695"/>
      <c r="O262" s="696"/>
      <c r="P262" s="687"/>
    </row>
    <row r="263" spans="1:16" ht="17.25" customHeight="1" x14ac:dyDescent="0.25">
      <c r="A263" s="692">
        <v>2</v>
      </c>
      <c r="B263" s="1344" t="s">
        <v>40</v>
      </c>
      <c r="C263" s="1340"/>
      <c r="D263" s="739"/>
      <c r="E263" s="695"/>
      <c r="F263" s="695"/>
      <c r="G263" s="695"/>
      <c r="H263" s="695"/>
      <c r="I263" s="695"/>
      <c r="J263" s="695"/>
      <c r="K263" s="695"/>
      <c r="L263" s="695"/>
      <c r="M263" s="695"/>
      <c r="N263" s="695"/>
      <c r="O263" s="696">
        <f>N263+K263+H263</f>
        <v>0</v>
      </c>
      <c r="P263" s="687"/>
    </row>
    <row r="264" spans="1:16" ht="17.25" customHeight="1" x14ac:dyDescent="0.25">
      <c r="A264" s="692"/>
      <c r="B264" s="1344" t="s">
        <v>41</v>
      </c>
      <c r="C264" s="1340">
        <v>1</v>
      </c>
      <c r="D264" s="739" t="s">
        <v>25</v>
      </c>
      <c r="E264" s="695">
        <v>45000</v>
      </c>
      <c r="F264" s="695"/>
      <c r="G264" s="695"/>
      <c r="H264" s="695"/>
      <c r="I264" s="695"/>
      <c r="J264" s="695">
        <f>C264*E264</f>
        <v>45000</v>
      </c>
      <c r="K264" s="695">
        <f>I264+J264</f>
        <v>45000</v>
      </c>
      <c r="L264" s="695"/>
      <c r="M264" s="695"/>
      <c r="N264" s="695"/>
      <c r="O264" s="696">
        <f>N264+K264+H264</f>
        <v>45000</v>
      </c>
      <c r="P264" s="687"/>
    </row>
    <row r="265" spans="1:16" ht="17.25" customHeight="1" x14ac:dyDescent="0.25">
      <c r="A265" s="692"/>
      <c r="B265" s="1344" t="s">
        <v>42</v>
      </c>
      <c r="C265" s="1340">
        <v>1</v>
      </c>
      <c r="D265" s="739" t="s">
        <v>25</v>
      </c>
      <c r="E265" s="695">
        <f>45000-24</f>
        <v>44976</v>
      </c>
      <c r="F265" s="695"/>
      <c r="G265" s="695"/>
      <c r="H265" s="695"/>
      <c r="I265" s="695"/>
      <c r="J265" s="695">
        <f>C265*E265</f>
        <v>44976</v>
      </c>
      <c r="K265" s="695">
        <f>I265+J265</f>
        <v>44976</v>
      </c>
      <c r="L265" s="695"/>
      <c r="M265" s="695"/>
      <c r="N265" s="695"/>
      <c r="O265" s="696">
        <f>N265+K265+H265</f>
        <v>44976</v>
      </c>
      <c r="P265" s="687"/>
    </row>
    <row r="266" spans="1:16" ht="17.25" customHeight="1" x14ac:dyDescent="0.25">
      <c r="A266" s="692"/>
      <c r="B266" s="1344" t="s">
        <v>657</v>
      </c>
      <c r="C266" s="1340">
        <v>0</v>
      </c>
      <c r="D266" s="739" t="s">
        <v>25</v>
      </c>
      <c r="E266" s="695">
        <v>15000</v>
      </c>
      <c r="F266" s="695"/>
      <c r="G266" s="695"/>
      <c r="H266" s="695"/>
      <c r="I266" s="695"/>
      <c r="J266" s="695">
        <f>C266*E266</f>
        <v>0</v>
      </c>
      <c r="K266" s="695">
        <f>I266+J266</f>
        <v>0</v>
      </c>
      <c r="L266" s="695"/>
      <c r="M266" s="695"/>
      <c r="N266" s="695"/>
      <c r="O266" s="696">
        <f>N266+K266+H266</f>
        <v>0</v>
      </c>
      <c r="P266" s="687"/>
    </row>
    <row r="267" spans="1:16" ht="17.25" customHeight="1" x14ac:dyDescent="0.25">
      <c r="A267" s="692"/>
      <c r="B267" s="1344" t="s">
        <v>1501</v>
      </c>
      <c r="C267" s="1340">
        <v>1</v>
      </c>
      <c r="D267" s="739" t="s">
        <v>25</v>
      </c>
      <c r="E267" s="695">
        <v>3000</v>
      </c>
      <c r="F267" s="695"/>
      <c r="G267" s="695"/>
      <c r="H267" s="695"/>
      <c r="I267" s="695"/>
      <c r="J267" s="695">
        <f>C267*E267</f>
        <v>3000</v>
      </c>
      <c r="K267" s="695">
        <f>I267+J267</f>
        <v>3000</v>
      </c>
      <c r="L267" s="695"/>
      <c r="M267" s="695"/>
      <c r="N267" s="695"/>
      <c r="O267" s="696">
        <f>N267+K267+H267</f>
        <v>3000</v>
      </c>
      <c r="P267" s="687"/>
    </row>
    <row r="268" spans="1:16" ht="17.25" customHeight="1" x14ac:dyDescent="0.25">
      <c r="A268" s="692"/>
      <c r="B268" s="1344"/>
      <c r="C268" s="1340"/>
      <c r="D268" s="739"/>
      <c r="E268" s="695"/>
      <c r="F268" s="695"/>
      <c r="G268" s="695"/>
      <c r="H268" s="695"/>
      <c r="I268" s="695"/>
      <c r="J268" s="695"/>
      <c r="K268" s="695"/>
      <c r="L268" s="695"/>
      <c r="M268" s="695"/>
      <c r="N268" s="695"/>
      <c r="O268" s="696"/>
      <c r="P268" s="687"/>
    </row>
    <row r="269" spans="1:16" ht="17.25" customHeight="1" x14ac:dyDescent="0.25">
      <c r="A269" s="692">
        <v>3</v>
      </c>
      <c r="B269" s="1344" t="s">
        <v>43</v>
      </c>
      <c r="C269" s="1340"/>
      <c r="D269" s="739"/>
      <c r="E269" s="695"/>
      <c r="F269" s="695"/>
      <c r="G269" s="695"/>
      <c r="H269" s="695"/>
      <c r="I269" s="695"/>
      <c r="J269" s="695"/>
      <c r="K269" s="695"/>
      <c r="L269" s="695"/>
      <c r="M269" s="695"/>
      <c r="N269" s="695"/>
      <c r="O269" s="696">
        <f t="shared" ref="O269:O276" si="19">N269+K269+H269</f>
        <v>0</v>
      </c>
      <c r="P269" s="687"/>
    </row>
    <row r="270" spans="1:16" ht="17.25" customHeight="1" x14ac:dyDescent="0.25">
      <c r="A270" s="692"/>
      <c r="B270" s="1344" t="s">
        <v>44</v>
      </c>
      <c r="C270" s="1340">
        <v>12</v>
      </c>
      <c r="D270" s="739" t="s">
        <v>45</v>
      </c>
      <c r="E270" s="695">
        <v>5000</v>
      </c>
      <c r="F270" s="695"/>
      <c r="G270" s="695"/>
      <c r="H270" s="695"/>
      <c r="I270" s="695"/>
      <c r="J270" s="695">
        <f>C270*E270</f>
        <v>60000</v>
      </c>
      <c r="K270" s="695">
        <f>I270+J270</f>
        <v>60000</v>
      </c>
      <c r="L270" s="695"/>
      <c r="M270" s="695"/>
      <c r="N270" s="695"/>
      <c r="O270" s="696">
        <f t="shared" si="19"/>
        <v>60000</v>
      </c>
      <c r="P270" s="687"/>
    </row>
    <row r="271" spans="1:16" ht="17.25" customHeight="1" x14ac:dyDescent="0.25">
      <c r="A271" s="692"/>
      <c r="B271" s="1344"/>
      <c r="C271" s="1340"/>
      <c r="D271" s="739"/>
      <c r="E271" s="695"/>
      <c r="F271" s="695"/>
      <c r="G271" s="695"/>
      <c r="H271" s="695"/>
      <c r="I271" s="695"/>
      <c r="J271" s="695"/>
      <c r="K271" s="695"/>
      <c r="L271" s="695"/>
      <c r="M271" s="695"/>
      <c r="N271" s="695"/>
      <c r="O271" s="696">
        <f t="shared" si="19"/>
        <v>0</v>
      </c>
      <c r="P271" s="687"/>
    </row>
    <row r="272" spans="1:16" ht="17.25" customHeight="1" x14ac:dyDescent="0.25">
      <c r="A272" s="692">
        <v>4</v>
      </c>
      <c r="B272" s="1344" t="s">
        <v>48</v>
      </c>
      <c r="C272" s="1340"/>
      <c r="D272" s="739"/>
      <c r="E272" s="695" t="s">
        <v>49</v>
      </c>
      <c r="F272" s="695"/>
      <c r="G272" s="695"/>
      <c r="H272" s="695"/>
      <c r="I272" s="695"/>
      <c r="J272" s="695"/>
      <c r="K272" s="695">
        <f>J272+I272</f>
        <v>0</v>
      </c>
      <c r="L272" s="695"/>
      <c r="M272" s="695"/>
      <c r="N272" s="695"/>
      <c r="O272" s="696">
        <f t="shared" si="19"/>
        <v>0</v>
      </c>
      <c r="P272" s="687"/>
    </row>
    <row r="273" spans="1:16" ht="17.25" customHeight="1" x14ac:dyDescent="0.25">
      <c r="A273" s="692"/>
      <c r="B273" s="1344" t="s">
        <v>50</v>
      </c>
      <c r="C273" s="1340">
        <v>25</v>
      </c>
      <c r="D273" s="739" t="s">
        <v>51</v>
      </c>
      <c r="E273" s="695">
        <v>4000</v>
      </c>
      <c r="F273" s="695"/>
      <c r="G273" s="695"/>
      <c r="H273" s="695"/>
      <c r="I273" s="695"/>
      <c r="J273" s="695">
        <f>C273*E273</f>
        <v>100000</v>
      </c>
      <c r="K273" s="695">
        <f>I273+J273</f>
        <v>100000</v>
      </c>
      <c r="L273" s="695"/>
      <c r="M273" s="695"/>
      <c r="N273" s="695"/>
      <c r="O273" s="696">
        <f t="shared" si="19"/>
        <v>100000</v>
      </c>
      <c r="P273" s="687"/>
    </row>
    <row r="274" spans="1:16" ht="17.25" customHeight="1" x14ac:dyDescent="0.25">
      <c r="A274" s="692"/>
      <c r="B274" s="1344" t="s">
        <v>52</v>
      </c>
      <c r="C274" s="1340">
        <v>96</v>
      </c>
      <c r="D274" s="739" t="s">
        <v>55</v>
      </c>
      <c r="E274" s="695">
        <v>469</v>
      </c>
      <c r="F274" s="695"/>
      <c r="G274" s="695"/>
      <c r="H274" s="695"/>
      <c r="I274" s="695"/>
      <c r="J274" s="695">
        <f>C274*E274</f>
        <v>45024</v>
      </c>
      <c r="K274" s="695">
        <f>I274+J274</f>
        <v>45024</v>
      </c>
      <c r="L274" s="695"/>
      <c r="M274" s="695"/>
      <c r="N274" s="695"/>
      <c r="O274" s="696">
        <f t="shared" si="19"/>
        <v>45024</v>
      </c>
      <c r="P274" s="687"/>
    </row>
    <row r="275" spans="1:16" ht="17.25" customHeight="1" x14ac:dyDescent="0.25">
      <c r="A275" s="692"/>
      <c r="B275" s="1344" t="s">
        <v>54</v>
      </c>
      <c r="C275" s="1340">
        <v>112</v>
      </c>
      <c r="D275" s="739" t="s">
        <v>55</v>
      </c>
      <c r="E275" s="695">
        <v>402</v>
      </c>
      <c r="F275" s="695"/>
      <c r="G275" s="695"/>
      <c r="H275" s="695"/>
      <c r="I275" s="695"/>
      <c r="J275" s="695">
        <f>C275*E275</f>
        <v>45024</v>
      </c>
      <c r="K275" s="695">
        <f>I275+J275</f>
        <v>45024</v>
      </c>
      <c r="L275" s="695"/>
      <c r="M275" s="695"/>
      <c r="N275" s="695"/>
      <c r="O275" s="696">
        <f t="shared" si="19"/>
        <v>45024</v>
      </c>
      <c r="P275" s="687"/>
    </row>
    <row r="276" spans="1:16" ht="17.25" customHeight="1" x14ac:dyDescent="0.25">
      <c r="A276" s="692"/>
      <c r="B276" s="1344" t="s">
        <v>56</v>
      </c>
      <c r="C276" s="1340">
        <v>50</v>
      </c>
      <c r="D276" s="739" t="s">
        <v>55</v>
      </c>
      <c r="E276" s="695">
        <v>400</v>
      </c>
      <c r="F276" s="695"/>
      <c r="G276" s="695"/>
      <c r="H276" s="695"/>
      <c r="I276" s="695"/>
      <c r="J276" s="695">
        <f>C276*E276</f>
        <v>20000</v>
      </c>
      <c r="K276" s="695">
        <f>I276+J276</f>
        <v>20000</v>
      </c>
      <c r="L276" s="695"/>
      <c r="M276" s="695"/>
      <c r="N276" s="695"/>
      <c r="O276" s="696">
        <f t="shared" si="19"/>
        <v>20000</v>
      </c>
      <c r="P276" s="687"/>
    </row>
    <row r="277" spans="1:16" ht="17.25" customHeight="1" x14ac:dyDescent="0.25">
      <c r="A277" s="820"/>
      <c r="B277" s="870"/>
      <c r="C277" s="868"/>
      <c r="D277" s="865"/>
      <c r="E277" s="821"/>
      <c r="F277" s="821"/>
      <c r="G277" s="821"/>
      <c r="H277" s="821"/>
      <c r="I277" s="821"/>
      <c r="J277" s="821"/>
      <c r="K277" s="821"/>
      <c r="L277" s="821"/>
      <c r="M277" s="821"/>
      <c r="N277" s="821"/>
      <c r="O277" s="822"/>
      <c r="P277" s="687"/>
    </row>
    <row r="278" spans="1:16" ht="24.75" customHeight="1" x14ac:dyDescent="0.25">
      <c r="A278" s="1210" t="s">
        <v>87</v>
      </c>
      <c r="B278" s="1211" t="s">
        <v>88</v>
      </c>
      <c r="C278" s="1212"/>
      <c r="D278" s="1213"/>
      <c r="E278" s="1214"/>
      <c r="F278" s="1214">
        <f>F280+F290+F293+F308</f>
        <v>0</v>
      </c>
      <c r="G278" s="1214">
        <f>G280+G290+G293+G308</f>
        <v>0</v>
      </c>
      <c r="H278" s="1214">
        <f>G278+F278</f>
        <v>0</v>
      </c>
      <c r="I278" s="1214">
        <f>I280+I290+I293+I308</f>
        <v>0</v>
      </c>
      <c r="J278" s="1214">
        <f>J280+J290+J293+J308</f>
        <v>10857908</v>
      </c>
      <c r="K278" s="1214">
        <f>J278+I278</f>
        <v>10857908</v>
      </c>
      <c r="L278" s="1214">
        <f>L280+L290+L293+L308</f>
        <v>10245584</v>
      </c>
      <c r="M278" s="1214">
        <f>M280+M290+M293+M308</f>
        <v>0</v>
      </c>
      <c r="N278" s="1214">
        <f>M278+L278</f>
        <v>10245584</v>
      </c>
      <c r="O278" s="1215">
        <f t="shared" ref="O278:O285" si="20">N278+K278+H278</f>
        <v>21103492</v>
      </c>
      <c r="P278" s="680"/>
    </row>
    <row r="279" spans="1:16" ht="17.25" customHeight="1" x14ac:dyDescent="0.25">
      <c r="A279" s="815"/>
      <c r="B279" s="816"/>
      <c r="C279" s="817"/>
      <c r="D279" s="807"/>
      <c r="E279" s="818"/>
      <c r="F279" s="818"/>
      <c r="G279" s="818"/>
      <c r="H279" s="818"/>
      <c r="I279" s="818"/>
      <c r="J279" s="818"/>
      <c r="K279" s="818"/>
      <c r="L279" s="818"/>
      <c r="M279" s="818"/>
      <c r="N279" s="818"/>
      <c r="O279" s="819">
        <f t="shared" si="20"/>
        <v>0</v>
      </c>
      <c r="P279" s="687"/>
    </row>
    <row r="280" spans="1:16" ht="31.5" customHeight="1" x14ac:dyDescent="0.25">
      <c r="A280" s="1210" t="s">
        <v>15</v>
      </c>
      <c r="B280" s="1211" t="s">
        <v>1157</v>
      </c>
      <c r="C280" s="1212"/>
      <c r="D280" s="1213"/>
      <c r="E280" s="1214"/>
      <c r="F280" s="1214">
        <f>SUM(F281:F289)</f>
        <v>0</v>
      </c>
      <c r="G280" s="1214">
        <f>SUM(G281:G289)</f>
        <v>0</v>
      </c>
      <c r="H280" s="1214">
        <f>G280+F280</f>
        <v>0</v>
      </c>
      <c r="I280" s="1214">
        <f>SUM(I281:I289)</f>
        <v>0</v>
      </c>
      <c r="J280" s="1214">
        <f>SUM(J281:J289)</f>
        <v>0</v>
      </c>
      <c r="K280" s="1214">
        <f>J280+I280</f>
        <v>0</v>
      </c>
      <c r="L280" s="1214">
        <f>SUM(L281:L289)</f>
        <v>10245584</v>
      </c>
      <c r="M280" s="1214">
        <f>SUM(M281:M289)</f>
        <v>0</v>
      </c>
      <c r="N280" s="1214">
        <f>M280+L280</f>
        <v>10245584</v>
      </c>
      <c r="O280" s="1215">
        <f t="shared" si="20"/>
        <v>10245584</v>
      </c>
      <c r="P280" s="680"/>
    </row>
    <row r="281" spans="1:16" ht="17.25" customHeight="1" x14ac:dyDescent="0.2">
      <c r="A281" s="681">
        <v>1</v>
      </c>
      <c r="B281" s="1346" t="s">
        <v>1193</v>
      </c>
      <c r="C281" s="682">
        <v>1</v>
      </c>
      <c r="D281" s="683" t="s">
        <v>16</v>
      </c>
      <c r="E281" s="684">
        <v>2192078</v>
      </c>
      <c r="F281" s="685"/>
      <c r="G281" s="685"/>
      <c r="H281" s="685"/>
      <c r="I281" s="685"/>
      <c r="J281" s="685"/>
      <c r="K281" s="685"/>
      <c r="L281" s="685">
        <f>E281*C281</f>
        <v>2192078</v>
      </c>
      <c r="M281" s="685"/>
      <c r="N281" s="685">
        <f t="shared" ref="N281:N288" si="21">L281+M281</f>
        <v>2192078</v>
      </c>
      <c r="O281" s="686">
        <f t="shared" si="20"/>
        <v>2192078</v>
      </c>
      <c r="P281" s="687"/>
    </row>
    <row r="282" spans="1:16" ht="17.25" customHeight="1" x14ac:dyDescent="0.25">
      <c r="A282" s="692">
        <v>2</v>
      </c>
      <c r="B282" s="726" t="s">
        <v>683</v>
      </c>
      <c r="C282" s="693">
        <v>1</v>
      </c>
      <c r="D282" s="727" t="s">
        <v>16</v>
      </c>
      <c r="E282" s="714">
        <v>1919518</v>
      </c>
      <c r="F282" s="695"/>
      <c r="G282" s="695"/>
      <c r="H282" s="695"/>
      <c r="I282" s="695"/>
      <c r="J282" s="695"/>
      <c r="K282" s="695"/>
      <c r="L282" s="695">
        <f>E282*C282</f>
        <v>1919518</v>
      </c>
      <c r="M282" s="695"/>
      <c r="N282" s="695">
        <f t="shared" si="21"/>
        <v>1919518</v>
      </c>
      <c r="O282" s="696">
        <f t="shared" si="20"/>
        <v>1919518</v>
      </c>
      <c r="P282" s="687"/>
    </row>
    <row r="283" spans="1:16" ht="17.25" customHeight="1" x14ac:dyDescent="0.25">
      <c r="A283" s="692">
        <v>3</v>
      </c>
      <c r="B283" s="726" t="s">
        <v>684</v>
      </c>
      <c r="C283" s="693">
        <v>1</v>
      </c>
      <c r="D283" s="727" t="s">
        <v>16</v>
      </c>
      <c r="E283" s="714">
        <v>1785979</v>
      </c>
      <c r="F283" s="695"/>
      <c r="G283" s="695"/>
      <c r="H283" s="695"/>
      <c r="I283" s="695"/>
      <c r="J283" s="695"/>
      <c r="K283" s="695"/>
      <c r="L283" s="695">
        <f>E283*C283</f>
        <v>1785979</v>
      </c>
      <c r="M283" s="695"/>
      <c r="N283" s="695">
        <f t="shared" si="21"/>
        <v>1785979</v>
      </c>
      <c r="O283" s="696">
        <f t="shared" si="20"/>
        <v>1785979</v>
      </c>
      <c r="P283" s="687"/>
    </row>
    <row r="284" spans="1:16" ht="17.25" customHeight="1" x14ac:dyDescent="0.25">
      <c r="A284" s="692">
        <v>4</v>
      </c>
      <c r="B284" s="726" t="s">
        <v>685</v>
      </c>
      <c r="C284" s="693">
        <v>1</v>
      </c>
      <c r="D284" s="727" t="s">
        <v>16</v>
      </c>
      <c r="E284" s="714">
        <f>1895972</f>
        <v>1895972</v>
      </c>
      <c r="F284" s="695"/>
      <c r="G284" s="695"/>
      <c r="H284" s="695"/>
      <c r="I284" s="695"/>
      <c r="J284" s="695"/>
      <c r="K284" s="695"/>
      <c r="L284" s="695">
        <f>E284*C284</f>
        <v>1895972</v>
      </c>
      <c r="M284" s="695"/>
      <c r="N284" s="695">
        <f t="shared" si="21"/>
        <v>1895972</v>
      </c>
      <c r="O284" s="696">
        <f t="shared" si="20"/>
        <v>1895972</v>
      </c>
      <c r="P284" s="687"/>
    </row>
    <row r="285" spans="1:16" ht="17.25" customHeight="1" x14ac:dyDescent="0.25">
      <c r="A285" s="692">
        <v>5</v>
      </c>
      <c r="B285" s="726" t="s">
        <v>686</v>
      </c>
      <c r="C285" s="693">
        <v>1</v>
      </c>
      <c r="D285" s="727" t="s">
        <v>16</v>
      </c>
      <c r="E285" s="714">
        <f>2702037-1000000</f>
        <v>1702037</v>
      </c>
      <c r="F285" s="695"/>
      <c r="G285" s="695"/>
      <c r="H285" s="695"/>
      <c r="I285" s="695"/>
      <c r="J285" s="695"/>
      <c r="K285" s="695"/>
      <c r="L285" s="695">
        <f>E285*C285</f>
        <v>1702037</v>
      </c>
      <c r="M285" s="695"/>
      <c r="N285" s="695">
        <f t="shared" si="21"/>
        <v>1702037</v>
      </c>
      <c r="O285" s="696">
        <f t="shared" si="20"/>
        <v>1702037</v>
      </c>
      <c r="P285" s="687"/>
    </row>
    <row r="286" spans="1:16" ht="17.25" customHeight="1" x14ac:dyDescent="0.25">
      <c r="A286" s="692"/>
      <c r="B286" s="726"/>
      <c r="C286" s="693"/>
      <c r="D286" s="727"/>
      <c r="E286" s="714"/>
      <c r="F286" s="695"/>
      <c r="G286" s="695"/>
      <c r="H286" s="695"/>
      <c r="I286" s="695"/>
      <c r="J286" s="695"/>
      <c r="K286" s="695"/>
      <c r="L286" s="695"/>
      <c r="M286" s="695"/>
      <c r="N286" s="695"/>
      <c r="O286" s="696"/>
      <c r="P286" s="687"/>
    </row>
    <row r="287" spans="1:16" ht="17.25" customHeight="1" x14ac:dyDescent="0.2">
      <c r="A287" s="692"/>
      <c r="B287" s="1312" t="s">
        <v>1672</v>
      </c>
      <c r="C287" s="693"/>
      <c r="D287" s="727"/>
      <c r="E287" s="714"/>
      <c r="F287" s="695"/>
      <c r="G287" s="695"/>
      <c r="H287" s="695"/>
      <c r="I287" s="695"/>
      <c r="J287" s="695"/>
      <c r="K287" s="695"/>
      <c r="L287" s="695"/>
      <c r="M287" s="695"/>
      <c r="N287" s="695"/>
      <c r="O287" s="696"/>
      <c r="P287" s="687"/>
    </row>
    <row r="288" spans="1:16" ht="17.25" customHeight="1" x14ac:dyDescent="0.25">
      <c r="A288" s="692">
        <v>6</v>
      </c>
      <c r="B288" s="726" t="s">
        <v>1674</v>
      </c>
      <c r="C288" s="693">
        <v>1</v>
      </c>
      <c r="D288" s="727" t="s">
        <v>16</v>
      </c>
      <c r="E288" s="714">
        <v>750000</v>
      </c>
      <c r="F288" s="695"/>
      <c r="G288" s="695"/>
      <c r="H288" s="695"/>
      <c r="I288" s="695"/>
      <c r="J288" s="695"/>
      <c r="K288" s="695"/>
      <c r="L288" s="695">
        <f>E288*C288</f>
        <v>750000</v>
      </c>
      <c r="M288" s="695"/>
      <c r="N288" s="695">
        <f t="shared" si="21"/>
        <v>750000</v>
      </c>
      <c r="O288" s="696">
        <f t="shared" ref="O288:O300" si="22">N288+K288+H288</f>
        <v>750000</v>
      </c>
      <c r="P288" s="687"/>
    </row>
    <row r="289" spans="1:89" ht="17.25" customHeight="1" x14ac:dyDescent="0.25">
      <c r="A289" s="820"/>
      <c r="B289" s="1347"/>
      <c r="C289" s="830"/>
      <c r="D289" s="831"/>
      <c r="E289" s="721"/>
      <c r="F289" s="821"/>
      <c r="G289" s="821"/>
      <c r="H289" s="821"/>
      <c r="I289" s="821"/>
      <c r="J289" s="821">
        <f>E289*C289</f>
        <v>0</v>
      </c>
      <c r="K289" s="821">
        <f>J289+I289</f>
        <v>0</v>
      </c>
      <c r="L289" s="821"/>
      <c r="M289" s="821"/>
      <c r="N289" s="821"/>
      <c r="O289" s="822">
        <f t="shared" si="22"/>
        <v>0</v>
      </c>
      <c r="P289" s="687"/>
    </row>
    <row r="290" spans="1:89" s="672" customFormat="1" ht="17.25" customHeight="1" x14ac:dyDescent="0.25">
      <c r="A290" s="1210" t="s">
        <v>89</v>
      </c>
      <c r="B290" s="1262" t="s">
        <v>1736</v>
      </c>
      <c r="C290" s="1212"/>
      <c r="D290" s="1213"/>
      <c r="E290" s="1290"/>
      <c r="F290" s="1214">
        <f>F291</f>
        <v>0</v>
      </c>
      <c r="G290" s="1214">
        <f>SUM(G291:G291)</f>
        <v>0</v>
      </c>
      <c r="H290" s="1214">
        <f>G290+F290</f>
        <v>0</v>
      </c>
      <c r="I290" s="1214">
        <f>SUM(I291:I292)</f>
        <v>0</v>
      </c>
      <c r="J290" s="1214">
        <f>SUM(J291:J292)</f>
        <v>8000000</v>
      </c>
      <c r="K290" s="1214">
        <f>J290+I290</f>
        <v>8000000</v>
      </c>
      <c r="L290" s="1214">
        <f>SUM(L291:L292)</f>
        <v>0</v>
      </c>
      <c r="M290" s="1214">
        <f>SUM(M291:M292)</f>
        <v>0</v>
      </c>
      <c r="N290" s="1214">
        <f>M290+L290</f>
        <v>0</v>
      </c>
      <c r="O290" s="1215">
        <f t="shared" si="22"/>
        <v>8000000</v>
      </c>
      <c r="P290" s="680"/>
      <c r="Q290" s="1581"/>
      <c r="R290" s="1581"/>
      <c r="S290" s="1581"/>
      <c r="T290" s="1581"/>
      <c r="U290" s="1581"/>
      <c r="V290" s="1581"/>
      <c r="W290" s="1581"/>
      <c r="X290" s="1581"/>
      <c r="Y290" s="1581"/>
      <c r="Z290" s="1581"/>
      <c r="AA290" s="1581"/>
      <c r="AB290" s="1581"/>
      <c r="AC290" s="1581"/>
      <c r="AD290" s="1581"/>
      <c r="AE290" s="1581"/>
      <c r="AF290" s="1581"/>
      <c r="AG290" s="1581"/>
      <c r="AH290" s="1581"/>
      <c r="AI290" s="1581"/>
      <c r="AJ290" s="1581"/>
      <c r="AK290" s="1581"/>
      <c r="AL290" s="1581"/>
      <c r="AM290" s="1581"/>
      <c r="AN290" s="1581"/>
      <c r="AO290" s="1581"/>
      <c r="AP290" s="1581"/>
      <c r="AQ290" s="1581"/>
      <c r="AR290" s="1581"/>
      <c r="AS290" s="1581"/>
      <c r="AT290" s="1581"/>
      <c r="AU290" s="1581"/>
      <c r="AV290" s="1581"/>
      <c r="AW290" s="1581"/>
      <c r="AX290" s="1581"/>
      <c r="AY290" s="1581"/>
      <c r="AZ290" s="1581"/>
      <c r="BA290" s="1581"/>
      <c r="BB290" s="1581"/>
      <c r="BC290" s="1581"/>
      <c r="BD290" s="1581"/>
      <c r="BE290" s="1581"/>
      <c r="BF290" s="1581"/>
      <c r="BG290" s="1581"/>
      <c r="BH290" s="1581"/>
      <c r="BI290" s="1581"/>
      <c r="BJ290" s="1581"/>
      <c r="BK290" s="1581"/>
      <c r="BL290" s="1581"/>
      <c r="BM290" s="1581"/>
      <c r="BN290" s="1581"/>
      <c r="BO290" s="1581"/>
      <c r="BP290" s="1581"/>
      <c r="BQ290" s="1581"/>
      <c r="BR290" s="1581"/>
      <c r="BS290" s="1581"/>
      <c r="BT290" s="1581"/>
      <c r="BU290" s="1581"/>
      <c r="BV290" s="1581"/>
      <c r="BW290" s="1581"/>
      <c r="BX290" s="1581"/>
      <c r="BY290" s="1581"/>
      <c r="BZ290" s="1581"/>
      <c r="CA290" s="1581"/>
      <c r="CB290" s="1581"/>
      <c r="CC290" s="1581"/>
      <c r="CD290" s="1581"/>
      <c r="CE290" s="1581"/>
      <c r="CF290" s="1581"/>
      <c r="CG290" s="1581"/>
      <c r="CH290" s="1581"/>
      <c r="CI290" s="1581"/>
      <c r="CJ290" s="1581"/>
      <c r="CK290" s="1581"/>
    </row>
    <row r="291" spans="1:89" ht="17.25" customHeight="1" x14ac:dyDescent="0.25">
      <c r="A291" s="681">
        <v>2</v>
      </c>
      <c r="B291" s="1291" t="s">
        <v>1502</v>
      </c>
      <c r="C291" s="682">
        <v>1</v>
      </c>
      <c r="D291" s="683" t="s">
        <v>16</v>
      </c>
      <c r="E291" s="684">
        <v>8000000</v>
      </c>
      <c r="F291" s="685"/>
      <c r="G291" s="685"/>
      <c r="H291" s="685"/>
      <c r="I291" s="685"/>
      <c r="J291" s="685">
        <f>C291*E291</f>
        <v>8000000</v>
      </c>
      <c r="K291" s="685">
        <f>I291+J291</f>
        <v>8000000</v>
      </c>
      <c r="L291" s="685"/>
      <c r="M291" s="685"/>
      <c r="N291" s="685"/>
      <c r="O291" s="686">
        <f t="shared" si="22"/>
        <v>8000000</v>
      </c>
      <c r="P291" s="687"/>
    </row>
    <row r="292" spans="1:89" ht="17.25" customHeight="1" x14ac:dyDescent="0.25">
      <c r="A292" s="820"/>
      <c r="B292" s="1347"/>
      <c r="C292" s="830"/>
      <c r="D292" s="831"/>
      <c r="E292" s="721"/>
      <c r="F292" s="821"/>
      <c r="G292" s="821"/>
      <c r="H292" s="821"/>
      <c r="I292" s="821"/>
      <c r="J292" s="821"/>
      <c r="K292" s="821"/>
      <c r="L292" s="821"/>
      <c r="M292" s="821"/>
      <c r="N292" s="821"/>
      <c r="O292" s="822">
        <f t="shared" si="22"/>
        <v>0</v>
      </c>
      <c r="P292" s="687"/>
    </row>
    <row r="293" spans="1:89" s="672" customFormat="1" ht="17.25" customHeight="1" x14ac:dyDescent="0.25">
      <c r="A293" s="1210" t="s">
        <v>22</v>
      </c>
      <c r="B293" s="1348" t="s">
        <v>23</v>
      </c>
      <c r="C293" s="1212"/>
      <c r="D293" s="1213"/>
      <c r="E293" s="1290"/>
      <c r="F293" s="1214">
        <f>SUM(F295:F306)</f>
        <v>0</v>
      </c>
      <c r="G293" s="1214">
        <f>SUM(G295:G306)</f>
        <v>0</v>
      </c>
      <c r="H293" s="1214">
        <f>G293+F293</f>
        <v>0</v>
      </c>
      <c r="I293" s="1214">
        <f>SUM(I295:I306)</f>
        <v>0</v>
      </c>
      <c r="J293" s="1214">
        <f>SUM(J295:J306)</f>
        <v>2200700</v>
      </c>
      <c r="K293" s="1214">
        <f>I293+J293</f>
        <v>2200700</v>
      </c>
      <c r="L293" s="1214">
        <f>SUM(L294:L306)</f>
        <v>0</v>
      </c>
      <c r="M293" s="1214">
        <f>SUM(M294:M306)</f>
        <v>0</v>
      </c>
      <c r="N293" s="1214">
        <f>L293+M293</f>
        <v>0</v>
      </c>
      <c r="O293" s="1215">
        <f t="shared" si="22"/>
        <v>2200700</v>
      </c>
      <c r="P293" s="680"/>
      <c r="Q293" s="1581"/>
      <c r="R293" s="1581"/>
      <c r="S293" s="1581"/>
      <c r="T293" s="1581"/>
      <c r="U293" s="1581"/>
      <c r="V293" s="1581"/>
      <c r="W293" s="1581"/>
      <c r="X293" s="1581"/>
      <c r="Y293" s="1581"/>
      <c r="Z293" s="1581"/>
      <c r="AA293" s="1581"/>
      <c r="AB293" s="1581"/>
      <c r="AC293" s="1581"/>
      <c r="AD293" s="1581"/>
      <c r="AE293" s="1581"/>
      <c r="AF293" s="1581"/>
      <c r="AG293" s="1581"/>
      <c r="AH293" s="1581"/>
      <c r="AI293" s="1581"/>
      <c r="AJ293" s="1581"/>
      <c r="AK293" s="1581"/>
      <c r="AL293" s="1581"/>
      <c r="AM293" s="1581"/>
      <c r="AN293" s="1581"/>
      <c r="AO293" s="1581"/>
      <c r="AP293" s="1581"/>
      <c r="AQ293" s="1581"/>
      <c r="AR293" s="1581"/>
      <c r="AS293" s="1581"/>
      <c r="AT293" s="1581"/>
      <c r="AU293" s="1581"/>
      <c r="AV293" s="1581"/>
      <c r="AW293" s="1581"/>
      <c r="AX293" s="1581"/>
      <c r="AY293" s="1581"/>
      <c r="AZ293" s="1581"/>
      <c r="BA293" s="1581"/>
      <c r="BB293" s="1581"/>
      <c r="BC293" s="1581"/>
      <c r="BD293" s="1581"/>
      <c r="BE293" s="1581"/>
      <c r="BF293" s="1581"/>
      <c r="BG293" s="1581"/>
      <c r="BH293" s="1581"/>
      <c r="BI293" s="1581"/>
      <c r="BJ293" s="1581"/>
      <c r="BK293" s="1581"/>
      <c r="BL293" s="1581"/>
      <c r="BM293" s="1581"/>
      <c r="BN293" s="1581"/>
      <c r="BO293" s="1581"/>
      <c r="BP293" s="1581"/>
      <c r="BQ293" s="1581"/>
      <c r="BR293" s="1581"/>
      <c r="BS293" s="1581"/>
      <c r="BT293" s="1581"/>
      <c r="BU293" s="1581"/>
      <c r="BV293" s="1581"/>
      <c r="BW293" s="1581"/>
      <c r="BX293" s="1581"/>
      <c r="BY293" s="1581"/>
      <c r="BZ293" s="1581"/>
      <c r="CA293" s="1581"/>
      <c r="CB293" s="1581"/>
      <c r="CC293" s="1581"/>
      <c r="CD293" s="1581"/>
      <c r="CE293" s="1581"/>
      <c r="CF293" s="1581"/>
      <c r="CG293" s="1581"/>
      <c r="CH293" s="1581"/>
      <c r="CI293" s="1581"/>
      <c r="CJ293" s="1581"/>
      <c r="CK293" s="1581"/>
    </row>
    <row r="294" spans="1:89" ht="17.25" customHeight="1" x14ac:dyDescent="0.25">
      <c r="A294" s="681">
        <v>1</v>
      </c>
      <c r="B294" s="1291" t="s">
        <v>21</v>
      </c>
      <c r="C294" s="682"/>
      <c r="D294" s="683"/>
      <c r="E294" s="684"/>
      <c r="F294" s="685"/>
      <c r="G294" s="685"/>
      <c r="H294" s="685"/>
      <c r="I294" s="685"/>
      <c r="J294" s="685"/>
      <c r="K294" s="685"/>
      <c r="L294" s="685"/>
      <c r="M294" s="685"/>
      <c r="N294" s="685"/>
      <c r="O294" s="686">
        <f t="shared" si="22"/>
        <v>0</v>
      </c>
      <c r="P294" s="687"/>
    </row>
    <row r="295" spans="1:89" ht="17.25" customHeight="1" x14ac:dyDescent="0.25">
      <c r="A295" s="692"/>
      <c r="B295" s="726" t="s">
        <v>24</v>
      </c>
      <c r="C295" s="693">
        <v>1</v>
      </c>
      <c r="D295" s="727" t="s">
        <v>25</v>
      </c>
      <c r="E295" s="714">
        <v>2135900</v>
      </c>
      <c r="F295" s="695">
        <v>0</v>
      </c>
      <c r="G295" s="695"/>
      <c r="H295" s="695"/>
      <c r="I295" s="695"/>
      <c r="J295" s="695">
        <f>E295*C295</f>
        <v>2135900</v>
      </c>
      <c r="K295" s="695">
        <f>I295+J295</f>
        <v>2135900</v>
      </c>
      <c r="L295" s="695"/>
      <c r="M295" s="695"/>
      <c r="N295" s="695"/>
      <c r="O295" s="696">
        <f t="shared" si="22"/>
        <v>2135900</v>
      </c>
      <c r="P295" s="687"/>
    </row>
    <row r="296" spans="1:89" ht="17.25" customHeight="1" x14ac:dyDescent="0.25">
      <c r="A296" s="692"/>
      <c r="B296" s="1349" t="s">
        <v>1904</v>
      </c>
      <c r="C296" s="693"/>
      <c r="D296" s="727"/>
      <c r="E296" s="714"/>
      <c r="F296" s="695"/>
      <c r="G296" s="695"/>
      <c r="H296" s="695"/>
      <c r="I296" s="695"/>
      <c r="J296" s="695"/>
      <c r="K296" s="695"/>
      <c r="L296" s="695"/>
      <c r="M296" s="695"/>
      <c r="N296" s="695"/>
      <c r="O296" s="696">
        <f t="shared" si="22"/>
        <v>0</v>
      </c>
      <c r="P296" s="687"/>
    </row>
    <row r="297" spans="1:89" ht="17.25" customHeight="1" x14ac:dyDescent="0.25">
      <c r="A297" s="692"/>
      <c r="B297" s="1350" t="s">
        <v>1905</v>
      </c>
      <c r="C297" s="693"/>
      <c r="D297" s="727"/>
      <c r="E297" s="714"/>
      <c r="F297" s="695"/>
      <c r="G297" s="695"/>
      <c r="H297" s="695"/>
      <c r="I297" s="695"/>
      <c r="J297" s="695"/>
      <c r="K297" s="695"/>
      <c r="L297" s="695"/>
      <c r="M297" s="695"/>
      <c r="N297" s="695"/>
      <c r="O297" s="696">
        <f t="shared" si="22"/>
        <v>0</v>
      </c>
      <c r="P297" s="687"/>
    </row>
    <row r="298" spans="1:89" ht="17.25" customHeight="1" x14ac:dyDescent="0.25">
      <c r="A298" s="692"/>
      <c r="B298" s="1350" t="s">
        <v>1906</v>
      </c>
      <c r="C298" s="693"/>
      <c r="D298" s="727"/>
      <c r="E298" s="714"/>
      <c r="F298" s="695"/>
      <c r="G298" s="695"/>
      <c r="H298" s="695"/>
      <c r="I298" s="695"/>
      <c r="J298" s="695"/>
      <c r="K298" s="695"/>
      <c r="L298" s="695"/>
      <c r="M298" s="695"/>
      <c r="N298" s="695"/>
      <c r="O298" s="696">
        <f t="shared" si="22"/>
        <v>0</v>
      </c>
      <c r="P298" s="687"/>
    </row>
    <row r="299" spans="1:89" ht="17.25" customHeight="1" x14ac:dyDescent="0.25">
      <c r="A299" s="692"/>
      <c r="B299" s="1350" t="s">
        <v>1907</v>
      </c>
      <c r="C299" s="693"/>
      <c r="D299" s="727"/>
      <c r="E299" s="714"/>
      <c r="F299" s="695"/>
      <c r="G299" s="695"/>
      <c r="H299" s="695"/>
      <c r="I299" s="695"/>
      <c r="J299" s="695"/>
      <c r="K299" s="695"/>
      <c r="L299" s="695"/>
      <c r="M299" s="695"/>
      <c r="N299" s="695"/>
      <c r="O299" s="696">
        <f t="shared" si="22"/>
        <v>0</v>
      </c>
      <c r="P299" s="687"/>
    </row>
    <row r="300" spans="1:89" ht="17.25" customHeight="1" x14ac:dyDescent="0.25">
      <c r="A300" s="692"/>
      <c r="B300" s="1350" t="s">
        <v>1908</v>
      </c>
      <c r="C300" s="693"/>
      <c r="D300" s="727"/>
      <c r="E300" s="714"/>
      <c r="F300" s="695"/>
      <c r="G300" s="695"/>
      <c r="H300" s="695"/>
      <c r="I300" s="695"/>
      <c r="J300" s="695"/>
      <c r="K300" s="695"/>
      <c r="L300" s="695"/>
      <c r="M300" s="695"/>
      <c r="N300" s="695"/>
      <c r="O300" s="696">
        <f t="shared" si="22"/>
        <v>0</v>
      </c>
      <c r="P300" s="687"/>
    </row>
    <row r="301" spans="1:89" ht="17.25" customHeight="1" x14ac:dyDescent="0.25">
      <c r="A301" s="692"/>
      <c r="B301" s="1350" t="s">
        <v>1909</v>
      </c>
      <c r="C301" s="693"/>
      <c r="D301" s="727"/>
      <c r="E301" s="714"/>
      <c r="F301" s="695"/>
      <c r="G301" s="695"/>
      <c r="H301" s="695"/>
      <c r="I301" s="695"/>
      <c r="J301" s="695"/>
      <c r="K301" s="695"/>
      <c r="L301" s="695"/>
      <c r="M301" s="695"/>
      <c r="N301" s="695"/>
      <c r="O301" s="696"/>
      <c r="P301" s="687"/>
    </row>
    <row r="302" spans="1:89" ht="17.25" customHeight="1" x14ac:dyDescent="0.25">
      <c r="A302" s="692"/>
      <c r="B302" s="1350" t="s">
        <v>1910</v>
      </c>
      <c r="C302" s="693"/>
      <c r="D302" s="727"/>
      <c r="E302" s="714"/>
      <c r="F302" s="695"/>
      <c r="G302" s="695"/>
      <c r="H302" s="695"/>
      <c r="I302" s="695"/>
      <c r="J302" s="695"/>
      <c r="K302" s="695"/>
      <c r="L302" s="695"/>
      <c r="M302" s="695"/>
      <c r="N302" s="695"/>
      <c r="O302" s="696"/>
      <c r="P302" s="687"/>
    </row>
    <row r="303" spans="1:89" ht="17.25" customHeight="1" x14ac:dyDescent="0.25">
      <c r="A303" s="692"/>
      <c r="B303" s="1350" t="s">
        <v>1911</v>
      </c>
      <c r="C303" s="693"/>
      <c r="D303" s="727"/>
      <c r="E303" s="714"/>
      <c r="F303" s="695"/>
      <c r="G303" s="695"/>
      <c r="H303" s="695"/>
      <c r="I303" s="695"/>
      <c r="J303" s="695"/>
      <c r="K303" s="695"/>
      <c r="L303" s="695"/>
      <c r="M303" s="695"/>
      <c r="N303" s="695"/>
      <c r="O303" s="696"/>
      <c r="P303" s="687"/>
    </row>
    <row r="304" spans="1:89" ht="17.25" customHeight="1" x14ac:dyDescent="0.25">
      <c r="A304" s="692"/>
      <c r="B304" s="726"/>
      <c r="C304" s="693"/>
      <c r="D304" s="727"/>
      <c r="E304" s="714"/>
      <c r="F304" s="695"/>
      <c r="G304" s="695"/>
      <c r="H304" s="695"/>
      <c r="I304" s="695"/>
      <c r="J304" s="695"/>
      <c r="K304" s="695"/>
      <c r="L304" s="695"/>
      <c r="M304" s="695"/>
      <c r="N304" s="695"/>
      <c r="O304" s="696">
        <f>N304+K304+H304</f>
        <v>0</v>
      </c>
      <c r="P304" s="687"/>
    </row>
    <row r="305" spans="1:89" ht="17.25" customHeight="1" x14ac:dyDescent="0.25">
      <c r="A305" s="692">
        <v>2</v>
      </c>
      <c r="B305" s="726" t="s">
        <v>19</v>
      </c>
      <c r="C305" s="693"/>
      <c r="D305" s="727"/>
      <c r="E305" s="714"/>
      <c r="F305" s="695"/>
      <c r="G305" s="695"/>
      <c r="H305" s="695"/>
      <c r="I305" s="695"/>
      <c r="J305" s="695"/>
      <c r="K305" s="695"/>
      <c r="L305" s="695"/>
      <c r="M305" s="695"/>
      <c r="N305" s="695"/>
      <c r="O305" s="696">
        <f>N305+K305+H305</f>
        <v>0</v>
      </c>
      <c r="P305" s="687"/>
    </row>
    <row r="306" spans="1:89" ht="17.25" customHeight="1" x14ac:dyDescent="0.25">
      <c r="A306" s="692"/>
      <c r="B306" s="726" t="s">
        <v>26</v>
      </c>
      <c r="C306" s="693">
        <v>1</v>
      </c>
      <c r="D306" s="727" t="s">
        <v>25</v>
      </c>
      <c r="E306" s="714">
        <v>64800</v>
      </c>
      <c r="F306" s="695"/>
      <c r="G306" s="695"/>
      <c r="H306" s="695"/>
      <c r="I306" s="695"/>
      <c r="J306" s="695">
        <f>C306*E306</f>
        <v>64800</v>
      </c>
      <c r="K306" s="695">
        <f>I306+J306</f>
        <v>64800</v>
      </c>
      <c r="L306" s="695"/>
      <c r="M306" s="695"/>
      <c r="N306" s="695"/>
      <c r="O306" s="696">
        <f>N306+K306+H306</f>
        <v>64800</v>
      </c>
      <c r="P306" s="687"/>
    </row>
    <row r="307" spans="1:89" ht="17.25" customHeight="1" x14ac:dyDescent="0.25">
      <c r="A307" s="820"/>
      <c r="B307" s="1347"/>
      <c r="C307" s="830"/>
      <c r="D307" s="831"/>
      <c r="E307" s="721"/>
      <c r="F307" s="821"/>
      <c r="G307" s="821"/>
      <c r="H307" s="821"/>
      <c r="I307" s="821"/>
      <c r="J307" s="821"/>
      <c r="K307" s="821"/>
      <c r="L307" s="821"/>
      <c r="M307" s="821"/>
      <c r="N307" s="821"/>
      <c r="O307" s="822">
        <f>N307+K307+H307</f>
        <v>0</v>
      </c>
      <c r="P307" s="687"/>
    </row>
    <row r="308" spans="1:89" s="672" customFormat="1" ht="17.25" customHeight="1" x14ac:dyDescent="0.25">
      <c r="A308" s="1210" t="s">
        <v>28</v>
      </c>
      <c r="B308" s="1348" t="s">
        <v>29</v>
      </c>
      <c r="C308" s="1212"/>
      <c r="D308" s="1213"/>
      <c r="E308" s="1290"/>
      <c r="F308" s="1214">
        <f>SUM(F311:F332)</f>
        <v>0</v>
      </c>
      <c r="G308" s="1214">
        <f>SUM(G311:G332)</f>
        <v>0</v>
      </c>
      <c r="H308" s="1214">
        <f>G308+F308</f>
        <v>0</v>
      </c>
      <c r="I308" s="1214">
        <f>SUM(I311:I333)</f>
        <v>0</v>
      </c>
      <c r="J308" s="1214">
        <f>SUM(J311:J333)</f>
        <v>657208</v>
      </c>
      <c r="K308" s="1214">
        <f>J308+I308</f>
        <v>657208</v>
      </c>
      <c r="L308" s="1214">
        <f>SUM(L311:L333)</f>
        <v>0</v>
      </c>
      <c r="M308" s="1214">
        <f>SUM(M311:M333)</f>
        <v>0</v>
      </c>
      <c r="N308" s="1214">
        <f>M308+L308</f>
        <v>0</v>
      </c>
      <c r="O308" s="1215">
        <f>N308+K308+H308</f>
        <v>657208</v>
      </c>
      <c r="P308" s="680"/>
      <c r="Q308" s="1581"/>
      <c r="R308" s="1581"/>
      <c r="S308" s="1581"/>
      <c r="T308" s="1581"/>
      <c r="U308" s="1581"/>
      <c r="V308" s="1581"/>
      <c r="W308" s="1581"/>
      <c r="X308" s="1581"/>
      <c r="Y308" s="1581"/>
      <c r="Z308" s="1581"/>
      <c r="AA308" s="1581"/>
      <c r="AB308" s="1581"/>
      <c r="AC308" s="1581"/>
      <c r="AD308" s="1581"/>
      <c r="AE308" s="1581"/>
      <c r="AF308" s="1581"/>
      <c r="AG308" s="1581"/>
      <c r="AH308" s="1581"/>
      <c r="AI308" s="1581"/>
      <c r="AJ308" s="1581"/>
      <c r="AK308" s="1581"/>
      <c r="AL308" s="1581"/>
      <c r="AM308" s="1581"/>
      <c r="AN308" s="1581"/>
      <c r="AO308" s="1581"/>
      <c r="AP308" s="1581"/>
      <c r="AQ308" s="1581"/>
      <c r="AR308" s="1581"/>
      <c r="AS308" s="1581"/>
      <c r="AT308" s="1581"/>
      <c r="AU308" s="1581"/>
      <c r="AV308" s="1581"/>
      <c r="AW308" s="1581"/>
      <c r="AX308" s="1581"/>
      <c r="AY308" s="1581"/>
      <c r="AZ308" s="1581"/>
      <c r="BA308" s="1581"/>
      <c r="BB308" s="1581"/>
      <c r="BC308" s="1581"/>
      <c r="BD308" s="1581"/>
      <c r="BE308" s="1581"/>
      <c r="BF308" s="1581"/>
      <c r="BG308" s="1581"/>
      <c r="BH308" s="1581"/>
      <c r="BI308" s="1581"/>
      <c r="BJ308" s="1581"/>
      <c r="BK308" s="1581"/>
      <c r="BL308" s="1581"/>
      <c r="BM308" s="1581"/>
      <c r="BN308" s="1581"/>
      <c r="BO308" s="1581"/>
      <c r="BP308" s="1581"/>
      <c r="BQ308" s="1581"/>
      <c r="BR308" s="1581"/>
      <c r="BS308" s="1581"/>
      <c r="BT308" s="1581"/>
      <c r="BU308" s="1581"/>
      <c r="BV308" s="1581"/>
      <c r="BW308" s="1581"/>
      <c r="BX308" s="1581"/>
      <c r="BY308" s="1581"/>
      <c r="BZ308" s="1581"/>
      <c r="CA308" s="1581"/>
      <c r="CB308" s="1581"/>
      <c r="CC308" s="1581"/>
      <c r="CD308" s="1581"/>
      <c r="CE308" s="1581"/>
      <c r="CF308" s="1581"/>
      <c r="CG308" s="1581"/>
      <c r="CH308" s="1581"/>
      <c r="CI308" s="1581"/>
      <c r="CJ308" s="1581"/>
      <c r="CK308" s="1581"/>
    </row>
    <row r="309" spans="1:89" ht="17.25" customHeight="1" x14ac:dyDescent="0.25">
      <c r="A309" s="681"/>
      <c r="B309" s="1291"/>
      <c r="C309" s="682"/>
      <c r="D309" s="683"/>
      <c r="E309" s="684"/>
      <c r="F309" s="685"/>
      <c r="G309" s="685"/>
      <c r="H309" s="685"/>
      <c r="I309" s="685"/>
      <c r="J309" s="685"/>
      <c r="K309" s="685"/>
      <c r="L309" s="685"/>
      <c r="M309" s="685"/>
      <c r="N309" s="685"/>
      <c r="O309" s="686"/>
      <c r="P309" s="687"/>
    </row>
    <row r="310" spans="1:89" ht="17.25" customHeight="1" x14ac:dyDescent="0.25">
      <c r="A310" s="692">
        <v>1</v>
      </c>
      <c r="B310" s="726" t="s">
        <v>19</v>
      </c>
      <c r="C310" s="693"/>
      <c r="D310" s="727"/>
      <c r="E310" s="714"/>
      <c r="F310" s="695"/>
      <c r="G310" s="695"/>
      <c r="H310" s="695"/>
      <c r="I310" s="695"/>
      <c r="J310" s="695"/>
      <c r="K310" s="695"/>
      <c r="L310" s="695"/>
      <c r="M310" s="695"/>
      <c r="N310" s="695"/>
      <c r="O310" s="696"/>
      <c r="P310" s="687"/>
    </row>
    <row r="311" spans="1:89" ht="17.25" customHeight="1" x14ac:dyDescent="0.25">
      <c r="A311" s="692"/>
      <c r="B311" s="726" t="s">
        <v>30</v>
      </c>
      <c r="C311" s="693">
        <v>12</v>
      </c>
      <c r="D311" s="727" t="s">
        <v>20</v>
      </c>
      <c r="E311" s="714">
        <v>1500</v>
      </c>
      <c r="F311" s="695"/>
      <c r="G311" s="695"/>
      <c r="H311" s="695"/>
      <c r="I311" s="695"/>
      <c r="J311" s="695">
        <f>C311*E311</f>
        <v>18000</v>
      </c>
      <c r="K311" s="695">
        <f>I311+J311</f>
        <v>18000</v>
      </c>
      <c r="L311" s="695"/>
      <c r="M311" s="695"/>
      <c r="N311" s="695"/>
      <c r="O311" s="696">
        <f>N311+K311+H311</f>
        <v>18000</v>
      </c>
      <c r="P311" s="687"/>
    </row>
    <row r="312" spans="1:89" ht="17.25" customHeight="1" x14ac:dyDescent="0.25">
      <c r="A312" s="692"/>
      <c r="B312" s="726" t="s">
        <v>31</v>
      </c>
      <c r="C312" s="693">
        <v>12</v>
      </c>
      <c r="D312" s="727" t="s">
        <v>20</v>
      </c>
      <c r="E312" s="714">
        <v>1000</v>
      </c>
      <c r="F312" s="695"/>
      <c r="G312" s="695"/>
      <c r="H312" s="695"/>
      <c r="I312" s="695"/>
      <c r="J312" s="695">
        <f>C312*E312</f>
        <v>12000</v>
      </c>
      <c r="K312" s="695">
        <f>I312+J312</f>
        <v>12000</v>
      </c>
      <c r="L312" s="695"/>
      <c r="M312" s="695"/>
      <c r="N312" s="695"/>
      <c r="O312" s="696">
        <f>N312+K312+H312</f>
        <v>12000</v>
      </c>
      <c r="P312" s="687"/>
    </row>
    <row r="313" spans="1:89" ht="17.25" customHeight="1" x14ac:dyDescent="0.25">
      <c r="A313" s="692"/>
      <c r="B313" s="726" t="s">
        <v>32</v>
      </c>
      <c r="C313" s="693">
        <v>12</v>
      </c>
      <c r="D313" s="727" t="s">
        <v>20</v>
      </c>
      <c r="E313" s="714">
        <v>950</v>
      </c>
      <c r="F313" s="695"/>
      <c r="G313" s="695"/>
      <c r="H313" s="695"/>
      <c r="I313" s="695"/>
      <c r="J313" s="695">
        <f>C313*E313</f>
        <v>11400</v>
      </c>
      <c r="K313" s="695">
        <f>I313+J313</f>
        <v>11400</v>
      </c>
      <c r="L313" s="695"/>
      <c r="M313" s="695"/>
      <c r="N313" s="695"/>
      <c r="O313" s="696">
        <f>N313+K313+H313</f>
        <v>11400</v>
      </c>
      <c r="P313" s="687"/>
    </row>
    <row r="314" spans="1:89" ht="17.25" customHeight="1" x14ac:dyDescent="0.25">
      <c r="A314" s="692"/>
      <c r="B314" s="726" t="s">
        <v>33</v>
      </c>
      <c r="C314" s="693">
        <v>60</v>
      </c>
      <c r="D314" s="727" t="s">
        <v>20</v>
      </c>
      <c r="E314" s="714">
        <v>800</v>
      </c>
      <c r="F314" s="695"/>
      <c r="G314" s="695"/>
      <c r="H314" s="695"/>
      <c r="I314" s="695"/>
      <c r="J314" s="695">
        <f>C314*E314</f>
        <v>48000</v>
      </c>
      <c r="K314" s="695">
        <f>I314+J314</f>
        <v>48000</v>
      </c>
      <c r="L314" s="695"/>
      <c r="M314" s="695"/>
      <c r="N314" s="695"/>
      <c r="O314" s="696">
        <f t="shared" ref="O314:O332" si="23">N314+K314+H314</f>
        <v>48000</v>
      </c>
      <c r="P314" s="687"/>
    </row>
    <row r="315" spans="1:89" ht="17.25" customHeight="1" x14ac:dyDescent="0.25">
      <c r="A315" s="692"/>
      <c r="B315" s="726" t="s">
        <v>34</v>
      </c>
      <c r="C315" s="693"/>
      <c r="D315" s="727"/>
      <c r="E315" s="714"/>
      <c r="F315" s="695"/>
      <c r="G315" s="695"/>
      <c r="H315" s="695"/>
      <c r="I315" s="695"/>
      <c r="J315" s="695"/>
      <c r="K315" s="695"/>
      <c r="L315" s="695"/>
      <c r="M315" s="695"/>
      <c r="N315" s="695"/>
      <c r="O315" s="696">
        <f t="shared" si="23"/>
        <v>0</v>
      </c>
      <c r="P315" s="687"/>
    </row>
    <row r="316" spans="1:89" ht="17.25" customHeight="1" x14ac:dyDescent="0.25">
      <c r="A316" s="692"/>
      <c r="B316" s="726" t="s">
        <v>35</v>
      </c>
      <c r="C316" s="693">
        <v>12</v>
      </c>
      <c r="D316" s="727" t="s">
        <v>20</v>
      </c>
      <c r="E316" s="714">
        <v>400</v>
      </c>
      <c r="F316" s="695"/>
      <c r="G316" s="695"/>
      <c r="H316" s="695"/>
      <c r="I316" s="695"/>
      <c r="J316" s="695">
        <f>C316*E316</f>
        <v>4800</v>
      </c>
      <c r="K316" s="695">
        <f>I316+J316</f>
        <v>4800</v>
      </c>
      <c r="L316" s="695"/>
      <c r="M316" s="695"/>
      <c r="N316" s="695"/>
      <c r="O316" s="696">
        <f t="shared" si="23"/>
        <v>4800</v>
      </c>
      <c r="P316" s="687"/>
    </row>
    <row r="317" spans="1:89" ht="17.25" customHeight="1" x14ac:dyDescent="0.25">
      <c r="A317" s="692"/>
      <c r="B317" s="726" t="s">
        <v>36</v>
      </c>
      <c r="C317" s="693">
        <v>36</v>
      </c>
      <c r="D317" s="727" t="s">
        <v>20</v>
      </c>
      <c r="E317" s="714">
        <v>300</v>
      </c>
      <c r="F317" s="695"/>
      <c r="G317" s="695"/>
      <c r="H317" s="695"/>
      <c r="I317" s="695"/>
      <c r="J317" s="695">
        <f>C317*E317</f>
        <v>10800</v>
      </c>
      <c r="K317" s="695">
        <f>I317+J317</f>
        <v>10800</v>
      </c>
      <c r="L317" s="695"/>
      <c r="M317" s="695"/>
      <c r="N317" s="695"/>
      <c r="O317" s="696">
        <f t="shared" si="23"/>
        <v>10800</v>
      </c>
      <c r="P317" s="687"/>
    </row>
    <row r="318" spans="1:89" ht="17.25" customHeight="1" x14ac:dyDescent="0.25">
      <c r="A318" s="692"/>
      <c r="B318" s="726" t="s">
        <v>38</v>
      </c>
      <c r="C318" s="693">
        <v>1</v>
      </c>
      <c r="D318" s="727" t="s">
        <v>25</v>
      </c>
      <c r="E318" s="714">
        <v>30000</v>
      </c>
      <c r="F318" s="695"/>
      <c r="G318" s="695"/>
      <c r="H318" s="695"/>
      <c r="I318" s="695"/>
      <c r="J318" s="695">
        <f>C318*E318</f>
        <v>30000</v>
      </c>
      <c r="K318" s="695">
        <f>I318+J318</f>
        <v>30000</v>
      </c>
      <c r="L318" s="695"/>
      <c r="M318" s="695"/>
      <c r="N318" s="695"/>
      <c r="O318" s="696">
        <f t="shared" si="23"/>
        <v>30000</v>
      </c>
      <c r="P318" s="687"/>
    </row>
    <row r="319" spans="1:89" ht="17.25" customHeight="1" x14ac:dyDescent="0.25">
      <c r="A319" s="692"/>
      <c r="B319" s="726" t="s">
        <v>39</v>
      </c>
      <c r="C319" s="693">
        <v>1</v>
      </c>
      <c r="D319" s="727" t="s">
        <v>25</v>
      </c>
      <c r="E319" s="714">
        <v>6000</v>
      </c>
      <c r="F319" s="695"/>
      <c r="G319" s="695"/>
      <c r="H319" s="695"/>
      <c r="I319" s="695"/>
      <c r="J319" s="695">
        <f>C319*E319</f>
        <v>6000</v>
      </c>
      <c r="K319" s="695">
        <f>I319+J319</f>
        <v>6000</v>
      </c>
      <c r="L319" s="695"/>
      <c r="M319" s="695"/>
      <c r="N319" s="695"/>
      <c r="O319" s="696">
        <f t="shared" si="23"/>
        <v>6000</v>
      </c>
      <c r="P319" s="687"/>
    </row>
    <row r="320" spans="1:89" ht="17.25" customHeight="1" x14ac:dyDescent="0.25">
      <c r="A320" s="692"/>
      <c r="B320" s="726"/>
      <c r="C320" s="693"/>
      <c r="D320" s="727"/>
      <c r="E320" s="714"/>
      <c r="F320" s="695"/>
      <c r="G320" s="695"/>
      <c r="H320" s="695"/>
      <c r="I320" s="695"/>
      <c r="J320" s="695"/>
      <c r="K320" s="695"/>
      <c r="L320" s="695"/>
      <c r="M320" s="695"/>
      <c r="N320" s="695"/>
      <c r="O320" s="696"/>
      <c r="P320" s="687"/>
    </row>
    <row r="321" spans="1:16" ht="17.25" customHeight="1" x14ac:dyDescent="0.25">
      <c r="A321" s="692">
        <v>2</v>
      </c>
      <c r="B321" s="726" t="s">
        <v>40</v>
      </c>
      <c r="C321" s="693"/>
      <c r="D321" s="727"/>
      <c r="E321" s="714"/>
      <c r="F321" s="695"/>
      <c r="G321" s="695"/>
      <c r="H321" s="695"/>
      <c r="I321" s="695"/>
      <c r="J321" s="695"/>
      <c r="K321" s="695"/>
      <c r="L321" s="695"/>
      <c r="M321" s="695"/>
      <c r="N321" s="695"/>
      <c r="O321" s="696">
        <f t="shared" si="23"/>
        <v>0</v>
      </c>
      <c r="P321" s="687"/>
    </row>
    <row r="322" spans="1:16" ht="17.25" customHeight="1" x14ac:dyDescent="0.25">
      <c r="A322" s="692"/>
      <c r="B322" s="726" t="s">
        <v>41</v>
      </c>
      <c r="C322" s="693">
        <v>1</v>
      </c>
      <c r="D322" s="727" t="s">
        <v>25</v>
      </c>
      <c r="E322" s="714">
        <v>36000</v>
      </c>
      <c r="F322" s="695"/>
      <c r="G322" s="695"/>
      <c r="H322" s="695"/>
      <c r="I322" s="695"/>
      <c r="J322" s="695">
        <f>C322*E322</f>
        <v>36000</v>
      </c>
      <c r="K322" s="695">
        <f>I322+J322</f>
        <v>36000</v>
      </c>
      <c r="L322" s="695"/>
      <c r="M322" s="695"/>
      <c r="N322" s="695"/>
      <c r="O322" s="696">
        <f t="shared" si="23"/>
        <v>36000</v>
      </c>
      <c r="P322" s="687"/>
    </row>
    <row r="323" spans="1:16" ht="17.25" customHeight="1" x14ac:dyDescent="0.25">
      <c r="A323" s="692"/>
      <c r="B323" s="726" t="s">
        <v>42</v>
      </c>
      <c r="C323" s="693">
        <v>1</v>
      </c>
      <c r="D323" s="727" t="s">
        <v>25</v>
      </c>
      <c r="E323" s="714">
        <v>26808</v>
      </c>
      <c r="F323" s="695"/>
      <c r="G323" s="695"/>
      <c r="H323" s="695"/>
      <c r="I323" s="695"/>
      <c r="J323" s="695">
        <f>C323*E323</f>
        <v>26808</v>
      </c>
      <c r="K323" s="695">
        <f>I323+J323</f>
        <v>26808</v>
      </c>
      <c r="L323" s="695"/>
      <c r="M323" s="695"/>
      <c r="N323" s="695"/>
      <c r="O323" s="696">
        <f t="shared" si="23"/>
        <v>26808</v>
      </c>
      <c r="P323" s="687"/>
    </row>
    <row r="324" spans="1:16" ht="17.25" customHeight="1" x14ac:dyDescent="0.25">
      <c r="A324" s="692"/>
      <c r="B324" s="726"/>
      <c r="C324" s="693"/>
      <c r="D324" s="727"/>
      <c r="E324" s="714"/>
      <c r="F324" s="695"/>
      <c r="G324" s="695"/>
      <c r="H324" s="695"/>
      <c r="I324" s="695"/>
      <c r="J324" s="695"/>
      <c r="K324" s="695"/>
      <c r="L324" s="695"/>
      <c r="M324" s="695"/>
      <c r="N324" s="695"/>
      <c r="O324" s="696"/>
      <c r="P324" s="687"/>
    </row>
    <row r="325" spans="1:16" ht="17.25" customHeight="1" x14ac:dyDescent="0.25">
      <c r="A325" s="692">
        <v>3</v>
      </c>
      <c r="B325" s="726" t="s">
        <v>43</v>
      </c>
      <c r="C325" s="693"/>
      <c r="D325" s="727"/>
      <c r="E325" s="714"/>
      <c r="F325" s="695"/>
      <c r="G325" s="695"/>
      <c r="H325" s="695"/>
      <c r="I325" s="695"/>
      <c r="J325" s="695"/>
      <c r="K325" s="695"/>
      <c r="L325" s="695"/>
      <c r="M325" s="695"/>
      <c r="N325" s="695"/>
      <c r="O325" s="696">
        <f t="shared" si="23"/>
        <v>0</v>
      </c>
      <c r="P325" s="687"/>
    </row>
    <row r="326" spans="1:16" ht="17.25" customHeight="1" x14ac:dyDescent="0.25">
      <c r="A326" s="692"/>
      <c r="B326" s="726" t="s">
        <v>44</v>
      </c>
      <c r="C326" s="693">
        <v>9</v>
      </c>
      <c r="D326" s="727" t="s">
        <v>45</v>
      </c>
      <c r="E326" s="714">
        <v>6000</v>
      </c>
      <c r="F326" s="695"/>
      <c r="G326" s="695"/>
      <c r="H326" s="695"/>
      <c r="I326" s="695"/>
      <c r="J326" s="695">
        <f>C326*E326</f>
        <v>54000</v>
      </c>
      <c r="K326" s="695">
        <f>I326+J326</f>
        <v>54000</v>
      </c>
      <c r="L326" s="695"/>
      <c r="M326" s="695"/>
      <c r="N326" s="695"/>
      <c r="O326" s="696">
        <f t="shared" si="23"/>
        <v>54000</v>
      </c>
      <c r="P326" s="687"/>
    </row>
    <row r="327" spans="1:16" ht="17.25" customHeight="1" x14ac:dyDescent="0.25">
      <c r="A327" s="692"/>
      <c r="B327" s="726"/>
      <c r="C327" s="693"/>
      <c r="D327" s="727"/>
      <c r="E327" s="714"/>
      <c r="F327" s="695"/>
      <c r="G327" s="695"/>
      <c r="H327" s="695"/>
      <c r="I327" s="695"/>
      <c r="J327" s="695"/>
      <c r="K327" s="695"/>
      <c r="L327" s="695"/>
      <c r="M327" s="695"/>
      <c r="N327" s="695"/>
      <c r="O327" s="696">
        <f t="shared" si="23"/>
        <v>0</v>
      </c>
      <c r="P327" s="687"/>
    </row>
    <row r="328" spans="1:16" ht="17.25" customHeight="1" x14ac:dyDescent="0.25">
      <c r="A328" s="692">
        <v>4</v>
      </c>
      <c r="B328" s="726" t="s">
        <v>48</v>
      </c>
      <c r="C328" s="693"/>
      <c r="D328" s="727"/>
      <c r="E328" s="714" t="s">
        <v>49</v>
      </c>
      <c r="F328" s="695"/>
      <c r="G328" s="695"/>
      <c r="H328" s="695"/>
      <c r="I328" s="695"/>
      <c r="J328" s="695"/>
      <c r="K328" s="695">
        <f>J328+I328</f>
        <v>0</v>
      </c>
      <c r="L328" s="695"/>
      <c r="M328" s="695"/>
      <c r="N328" s="695"/>
      <c r="O328" s="696">
        <f t="shared" si="23"/>
        <v>0</v>
      </c>
      <c r="P328" s="687"/>
    </row>
    <row r="329" spans="1:16" ht="17.25" customHeight="1" x14ac:dyDescent="0.25">
      <c r="A329" s="692"/>
      <c r="B329" s="726" t="s">
        <v>50</v>
      </c>
      <c r="C329" s="693">
        <v>100</v>
      </c>
      <c r="D329" s="727" t="s">
        <v>51</v>
      </c>
      <c r="E329" s="714">
        <v>1684</v>
      </c>
      <c r="F329" s="695"/>
      <c r="G329" s="695"/>
      <c r="H329" s="695"/>
      <c r="I329" s="695"/>
      <c r="J329" s="695">
        <f>C329*E329</f>
        <v>168400</v>
      </c>
      <c r="K329" s="695">
        <f>I329+J329</f>
        <v>168400</v>
      </c>
      <c r="L329" s="695"/>
      <c r="M329" s="695"/>
      <c r="N329" s="695"/>
      <c r="O329" s="696">
        <f t="shared" si="23"/>
        <v>168400</v>
      </c>
      <c r="P329" s="687"/>
    </row>
    <row r="330" spans="1:16" ht="17.25" customHeight="1" x14ac:dyDescent="0.25">
      <c r="A330" s="692"/>
      <c r="B330" s="726" t="s">
        <v>52</v>
      </c>
      <c r="C330" s="693">
        <v>180</v>
      </c>
      <c r="D330" s="727" t="s">
        <v>53</v>
      </c>
      <c r="E330" s="714">
        <v>450</v>
      </c>
      <c r="F330" s="695"/>
      <c r="G330" s="695"/>
      <c r="H330" s="695"/>
      <c r="I330" s="695"/>
      <c r="J330" s="695">
        <f>C330*E330</f>
        <v>81000</v>
      </c>
      <c r="K330" s="695">
        <f>I330+J330</f>
        <v>81000</v>
      </c>
      <c r="L330" s="695"/>
      <c r="M330" s="695"/>
      <c r="N330" s="695"/>
      <c r="O330" s="696">
        <f t="shared" si="23"/>
        <v>81000</v>
      </c>
      <c r="P330" s="687"/>
    </row>
    <row r="331" spans="1:16" ht="17.25" customHeight="1" x14ac:dyDescent="0.25">
      <c r="A331" s="692"/>
      <c r="B331" s="726" t="s">
        <v>54</v>
      </c>
      <c r="C331" s="693">
        <v>200</v>
      </c>
      <c r="D331" s="727" t="s">
        <v>55</v>
      </c>
      <c r="E331" s="714">
        <v>450</v>
      </c>
      <c r="F331" s="695"/>
      <c r="G331" s="695"/>
      <c r="H331" s="695"/>
      <c r="I331" s="695"/>
      <c r="J331" s="695">
        <f>C331*E331</f>
        <v>90000</v>
      </c>
      <c r="K331" s="695">
        <f>I331+J331</f>
        <v>90000</v>
      </c>
      <c r="L331" s="695"/>
      <c r="M331" s="695"/>
      <c r="N331" s="695"/>
      <c r="O331" s="696">
        <f t="shared" si="23"/>
        <v>90000</v>
      </c>
      <c r="P331" s="687"/>
    </row>
    <row r="332" spans="1:16" ht="17.25" customHeight="1" x14ac:dyDescent="0.25">
      <c r="A332" s="692"/>
      <c r="B332" s="726" t="s">
        <v>56</v>
      </c>
      <c r="C332" s="693">
        <v>200</v>
      </c>
      <c r="D332" s="727" t="s">
        <v>55</v>
      </c>
      <c r="E332" s="714">
        <v>300</v>
      </c>
      <c r="F332" s="695"/>
      <c r="G332" s="695"/>
      <c r="H332" s="695"/>
      <c r="I332" s="695"/>
      <c r="J332" s="695">
        <f>C332*E332</f>
        <v>60000</v>
      </c>
      <c r="K332" s="695">
        <f>I332+J332</f>
        <v>60000</v>
      </c>
      <c r="L332" s="695"/>
      <c r="M332" s="695"/>
      <c r="N332" s="695"/>
      <c r="O332" s="696">
        <f t="shared" si="23"/>
        <v>60000</v>
      </c>
      <c r="P332" s="687"/>
    </row>
    <row r="333" spans="1:16" ht="17.25" customHeight="1" x14ac:dyDescent="0.25">
      <c r="A333" s="692"/>
      <c r="B333" s="726"/>
      <c r="C333" s="693"/>
      <c r="D333" s="727"/>
      <c r="E333" s="714"/>
      <c r="F333" s="695"/>
      <c r="G333" s="695"/>
      <c r="H333" s="695"/>
      <c r="I333" s="695"/>
      <c r="J333" s="695"/>
      <c r="K333" s="695"/>
      <c r="L333" s="695"/>
      <c r="M333" s="695"/>
      <c r="N333" s="695"/>
      <c r="O333" s="696"/>
      <c r="P333" s="687"/>
    </row>
    <row r="334" spans="1:16" ht="17.25" customHeight="1" x14ac:dyDescent="0.25">
      <c r="A334" s="820"/>
      <c r="B334" s="856"/>
      <c r="C334" s="830"/>
      <c r="D334" s="831"/>
      <c r="E334" s="821"/>
      <c r="F334" s="821"/>
      <c r="G334" s="821"/>
      <c r="H334" s="821"/>
      <c r="I334" s="821"/>
      <c r="J334" s="821"/>
      <c r="K334" s="821"/>
      <c r="L334" s="821"/>
      <c r="M334" s="821"/>
      <c r="N334" s="821"/>
      <c r="O334" s="822"/>
      <c r="P334" s="687"/>
    </row>
    <row r="335" spans="1:16" ht="24.75" customHeight="1" x14ac:dyDescent="0.25">
      <c r="A335" s="1210" t="s">
        <v>90</v>
      </c>
      <c r="B335" s="1351" t="s">
        <v>93</v>
      </c>
      <c r="C335" s="1212"/>
      <c r="D335" s="1213"/>
      <c r="E335" s="1214"/>
      <c r="F335" s="1214">
        <f>F337+F345+F360+F342</f>
        <v>0</v>
      </c>
      <c r="G335" s="1214">
        <f>G337+G345+G360+G342</f>
        <v>0</v>
      </c>
      <c r="H335" s="1214">
        <f>G335+F335</f>
        <v>0</v>
      </c>
      <c r="I335" s="1214">
        <f>I337+I345+I360+I342</f>
        <v>0</v>
      </c>
      <c r="J335" s="1214">
        <f>J337+J345+J360+J342</f>
        <v>6298995</v>
      </c>
      <c r="K335" s="1214">
        <f>J335+I335</f>
        <v>6298995</v>
      </c>
      <c r="L335" s="1214">
        <f>L337+L345+L360+L342</f>
        <v>3015000</v>
      </c>
      <c r="M335" s="1214">
        <f>M337+M345+M360+M342</f>
        <v>0</v>
      </c>
      <c r="N335" s="1214">
        <f>M335+L335</f>
        <v>3015000</v>
      </c>
      <c r="O335" s="1215">
        <f>N335+K335+H335</f>
        <v>9313995</v>
      </c>
      <c r="P335" s="680"/>
    </row>
    <row r="336" spans="1:16" ht="17.25" customHeight="1" x14ac:dyDescent="0.25">
      <c r="A336" s="815"/>
      <c r="B336" s="871"/>
      <c r="C336" s="817"/>
      <c r="D336" s="807"/>
      <c r="E336" s="818"/>
      <c r="F336" s="818"/>
      <c r="G336" s="818"/>
      <c r="H336" s="818"/>
      <c r="I336" s="818"/>
      <c r="J336" s="818"/>
      <c r="K336" s="818"/>
      <c r="L336" s="818"/>
      <c r="M336" s="818"/>
      <c r="N336" s="818"/>
      <c r="O336" s="819">
        <f>N336+K336+H336</f>
        <v>0</v>
      </c>
      <c r="P336" s="687"/>
    </row>
    <row r="337" spans="1:89" s="672" customFormat="1" ht="34.5" customHeight="1" x14ac:dyDescent="0.25">
      <c r="A337" s="1352" t="s">
        <v>15</v>
      </c>
      <c r="B337" s="1211" t="s">
        <v>1156</v>
      </c>
      <c r="C337" s="1212"/>
      <c r="D337" s="1213"/>
      <c r="E337" s="1214"/>
      <c r="F337" s="1290">
        <f>SUM(F338:F339)</f>
        <v>0</v>
      </c>
      <c r="G337" s="1290">
        <f>SUM(G338:G339)</f>
        <v>0</v>
      </c>
      <c r="H337" s="1214">
        <f>F337+G337</f>
        <v>0</v>
      </c>
      <c r="I337" s="1290">
        <f>SUM(I338:I339)</f>
        <v>0</v>
      </c>
      <c r="J337" s="1290">
        <f>SUM(J338:J339)</f>
        <v>0</v>
      </c>
      <c r="K337" s="1214">
        <f>I337+J337</f>
        <v>0</v>
      </c>
      <c r="L337" s="1290">
        <f>SUM(L338:L340)</f>
        <v>3000000</v>
      </c>
      <c r="M337" s="1290">
        <f>SUM(M338:M339)</f>
        <v>0</v>
      </c>
      <c r="N337" s="1214">
        <f>L337+M337</f>
        <v>3000000</v>
      </c>
      <c r="O337" s="1215">
        <f>N337+K337+H337</f>
        <v>3000000</v>
      </c>
      <c r="P337" s="680"/>
      <c r="Q337" s="1581"/>
      <c r="R337" s="1581"/>
      <c r="S337" s="1581"/>
      <c r="T337" s="1581"/>
      <c r="U337" s="1581"/>
      <c r="V337" s="1581"/>
      <c r="W337" s="1581"/>
      <c r="X337" s="1581"/>
      <c r="Y337" s="1581"/>
      <c r="Z337" s="1581"/>
      <c r="AA337" s="1581"/>
      <c r="AB337" s="1581"/>
      <c r="AC337" s="1581"/>
      <c r="AD337" s="1581"/>
      <c r="AE337" s="1581"/>
      <c r="AF337" s="1581"/>
      <c r="AG337" s="1581"/>
      <c r="AH337" s="1581"/>
      <c r="AI337" s="1581"/>
      <c r="AJ337" s="1581"/>
      <c r="AK337" s="1581"/>
      <c r="AL337" s="1581"/>
      <c r="AM337" s="1581"/>
      <c r="AN337" s="1581"/>
      <c r="AO337" s="1581"/>
      <c r="AP337" s="1581"/>
      <c r="AQ337" s="1581"/>
      <c r="AR337" s="1581"/>
      <c r="AS337" s="1581"/>
      <c r="AT337" s="1581"/>
      <c r="AU337" s="1581"/>
      <c r="AV337" s="1581"/>
      <c r="AW337" s="1581"/>
      <c r="AX337" s="1581"/>
      <c r="AY337" s="1581"/>
      <c r="AZ337" s="1581"/>
      <c r="BA337" s="1581"/>
      <c r="BB337" s="1581"/>
      <c r="BC337" s="1581"/>
      <c r="BD337" s="1581"/>
      <c r="BE337" s="1581"/>
      <c r="BF337" s="1581"/>
      <c r="BG337" s="1581"/>
      <c r="BH337" s="1581"/>
      <c r="BI337" s="1581"/>
      <c r="BJ337" s="1581"/>
      <c r="BK337" s="1581"/>
      <c r="BL337" s="1581"/>
      <c r="BM337" s="1581"/>
      <c r="BN337" s="1581"/>
      <c r="BO337" s="1581"/>
      <c r="BP337" s="1581"/>
      <c r="BQ337" s="1581"/>
      <c r="BR337" s="1581"/>
      <c r="BS337" s="1581"/>
      <c r="BT337" s="1581"/>
      <c r="BU337" s="1581"/>
      <c r="BV337" s="1581"/>
      <c r="BW337" s="1581"/>
      <c r="BX337" s="1581"/>
      <c r="BY337" s="1581"/>
      <c r="BZ337" s="1581"/>
      <c r="CA337" s="1581"/>
      <c r="CB337" s="1581"/>
      <c r="CC337" s="1581"/>
      <c r="CD337" s="1581"/>
      <c r="CE337" s="1581"/>
      <c r="CF337" s="1581"/>
      <c r="CG337" s="1581"/>
      <c r="CH337" s="1581"/>
      <c r="CI337" s="1581"/>
      <c r="CJ337" s="1581"/>
      <c r="CK337" s="1581"/>
    </row>
    <row r="338" spans="1:89" ht="17.25" customHeight="1" x14ac:dyDescent="0.2">
      <c r="A338" s="681">
        <v>1</v>
      </c>
      <c r="B338" s="1353" t="s">
        <v>623</v>
      </c>
      <c r="C338" s="872">
        <v>1</v>
      </c>
      <c r="D338" s="683" t="s">
        <v>16</v>
      </c>
      <c r="E338" s="1354">
        <f>1500000+500000-500000</f>
        <v>1500000</v>
      </c>
      <c r="F338" s="685"/>
      <c r="G338" s="685"/>
      <c r="H338" s="685"/>
      <c r="I338" s="685"/>
      <c r="J338" s="685"/>
      <c r="K338" s="685"/>
      <c r="L338" s="685">
        <f>E338*C338</f>
        <v>1500000</v>
      </c>
      <c r="M338" s="685"/>
      <c r="N338" s="685">
        <f>L338+M338</f>
        <v>1500000</v>
      </c>
      <c r="O338" s="686">
        <f>N338+K338+H338</f>
        <v>1500000</v>
      </c>
      <c r="P338" s="687"/>
    </row>
    <row r="339" spans="1:89" ht="17.25" customHeight="1" x14ac:dyDescent="0.2">
      <c r="A339" s="692">
        <v>2</v>
      </c>
      <c r="B339" s="1355" t="s">
        <v>624</v>
      </c>
      <c r="C339" s="713">
        <v>1</v>
      </c>
      <c r="D339" s="727" t="s">
        <v>16</v>
      </c>
      <c r="E339" s="1356">
        <v>1500000</v>
      </c>
      <c r="F339" s="695"/>
      <c r="G339" s="695"/>
      <c r="H339" s="695"/>
      <c r="I339" s="695"/>
      <c r="J339" s="695"/>
      <c r="K339" s="695"/>
      <c r="L339" s="695">
        <f>E339*C339</f>
        <v>1500000</v>
      </c>
      <c r="M339" s="695"/>
      <c r="N339" s="695">
        <f>L339+M339</f>
        <v>1500000</v>
      </c>
      <c r="O339" s="696">
        <f>N339+K339+H339</f>
        <v>1500000</v>
      </c>
      <c r="P339" s="687"/>
    </row>
    <row r="340" spans="1:89" ht="17.25" customHeight="1" x14ac:dyDescent="0.2">
      <c r="A340" s="692"/>
      <c r="B340" s="1355"/>
      <c r="C340" s="713"/>
      <c r="D340" s="727"/>
      <c r="E340" s="1356"/>
      <c r="F340" s="695"/>
      <c r="G340" s="695"/>
      <c r="H340" s="695"/>
      <c r="I340" s="695"/>
      <c r="J340" s="695"/>
      <c r="K340" s="695"/>
      <c r="L340" s="695"/>
      <c r="M340" s="695"/>
      <c r="N340" s="695"/>
      <c r="O340" s="696"/>
      <c r="P340" s="687"/>
    </row>
    <row r="341" spans="1:89" ht="17.25" customHeight="1" x14ac:dyDescent="0.2">
      <c r="A341" s="820"/>
      <c r="B341" s="1357"/>
      <c r="C341" s="719"/>
      <c r="D341" s="831"/>
      <c r="E341" s="1358"/>
      <c r="F341" s="821"/>
      <c r="G341" s="821"/>
      <c r="H341" s="821"/>
      <c r="I341" s="821"/>
      <c r="J341" s="821"/>
      <c r="K341" s="821"/>
      <c r="L341" s="821">
        <f>C341*E341</f>
        <v>0</v>
      </c>
      <c r="M341" s="821"/>
      <c r="N341" s="821">
        <f>L341+M341</f>
        <v>0</v>
      </c>
      <c r="O341" s="822">
        <f t="shared" ref="O341:O358" si="24">N341+K341+H341</f>
        <v>0</v>
      </c>
      <c r="P341" s="687"/>
    </row>
    <row r="342" spans="1:89" ht="17.25" customHeight="1" x14ac:dyDescent="0.2">
      <c r="A342" s="1323"/>
      <c r="B342" s="1359" t="s">
        <v>74</v>
      </c>
      <c r="C342" s="1360"/>
      <c r="D342" s="1361"/>
      <c r="E342" s="1362"/>
      <c r="F342" s="1327">
        <f>SUM(F343:F343)</f>
        <v>0</v>
      </c>
      <c r="G342" s="1327">
        <f>SUM(G343:G343)</f>
        <v>0</v>
      </c>
      <c r="H342" s="1327">
        <f>F342+G342</f>
        <v>0</v>
      </c>
      <c r="I342" s="1327">
        <f>SUM(I343:I343)</f>
        <v>0</v>
      </c>
      <c r="J342" s="1327">
        <f>SUM(J343:J343)</f>
        <v>3500000</v>
      </c>
      <c r="K342" s="1327">
        <f>I342+J342</f>
        <v>3500000</v>
      </c>
      <c r="L342" s="1327">
        <f>SUM(L343:L343)</f>
        <v>0</v>
      </c>
      <c r="M342" s="1327">
        <f>SUM(M343:M343)</f>
        <v>0</v>
      </c>
      <c r="N342" s="1327">
        <f>L342+M342</f>
        <v>0</v>
      </c>
      <c r="O342" s="1328">
        <f>N342+K342+H342</f>
        <v>3500000</v>
      </c>
      <c r="P342" s="1329"/>
    </row>
    <row r="343" spans="1:89" ht="17.25" customHeight="1" x14ac:dyDescent="0.25">
      <c r="A343" s="681"/>
      <c r="B343" s="1363" t="s">
        <v>1675</v>
      </c>
      <c r="C343" s="872">
        <v>1</v>
      </c>
      <c r="D343" s="683" t="s">
        <v>16</v>
      </c>
      <c r="E343" s="1354">
        <f>2500000+1000000</f>
        <v>3500000</v>
      </c>
      <c r="F343" s="685"/>
      <c r="G343" s="685"/>
      <c r="H343" s="685"/>
      <c r="I343" s="685"/>
      <c r="J343" s="685">
        <f>C343*E343</f>
        <v>3500000</v>
      </c>
      <c r="K343" s="685">
        <f>I343+J343</f>
        <v>3500000</v>
      </c>
      <c r="L343" s="685"/>
      <c r="M343" s="685"/>
      <c r="N343" s="685"/>
      <c r="O343" s="686">
        <f>N343+K343+H343</f>
        <v>3500000</v>
      </c>
      <c r="P343" s="687"/>
    </row>
    <row r="344" spans="1:89" ht="17.25" customHeight="1" x14ac:dyDescent="0.25">
      <c r="A344" s="1332"/>
      <c r="B344" s="1364" t="s">
        <v>49</v>
      </c>
      <c r="C344" s="1365"/>
      <c r="D344" s="1366"/>
      <c r="E344" s="866"/>
      <c r="F344" s="866"/>
      <c r="G344" s="866"/>
      <c r="H344" s="866"/>
      <c r="I344" s="866"/>
      <c r="J344" s="866"/>
      <c r="K344" s="866"/>
      <c r="L344" s="866"/>
      <c r="M344" s="866"/>
      <c r="N344" s="866"/>
      <c r="O344" s="1336"/>
      <c r="P344" s="829"/>
    </row>
    <row r="345" spans="1:89" s="672" customFormat="1" ht="17.25" customHeight="1" x14ac:dyDescent="0.25">
      <c r="A345" s="1210" t="s">
        <v>22</v>
      </c>
      <c r="B345" s="1367" t="s">
        <v>23</v>
      </c>
      <c r="C345" s="1212"/>
      <c r="D345" s="1213"/>
      <c r="E345" s="1214"/>
      <c r="F345" s="1214">
        <f>SUM(F346:F358)</f>
        <v>0</v>
      </c>
      <c r="G345" s="1214">
        <f>SUM(G346:G358)</f>
        <v>0</v>
      </c>
      <c r="H345" s="1214">
        <f>F345+G345</f>
        <v>0</v>
      </c>
      <c r="I345" s="1214">
        <f>SUM(I346:I358)</f>
        <v>0</v>
      </c>
      <c r="J345" s="1214">
        <f>SUM(J346:J358)</f>
        <v>2270000</v>
      </c>
      <c r="K345" s="1214">
        <f>I345+J345</f>
        <v>2270000</v>
      </c>
      <c r="L345" s="1214">
        <f>SUM(L346:L358)</f>
        <v>0</v>
      </c>
      <c r="M345" s="1214">
        <f>SUM(M346:M358)</f>
        <v>0</v>
      </c>
      <c r="N345" s="1214">
        <f>L345+M345</f>
        <v>0</v>
      </c>
      <c r="O345" s="1215">
        <f t="shared" si="24"/>
        <v>2270000</v>
      </c>
      <c r="P345" s="680"/>
      <c r="Q345" s="1581"/>
      <c r="R345" s="1581"/>
      <c r="S345" s="1581"/>
      <c r="T345" s="1581"/>
      <c r="U345" s="1581"/>
      <c r="V345" s="1581"/>
      <c r="W345" s="1581"/>
      <c r="X345" s="1581"/>
      <c r="Y345" s="1581"/>
      <c r="Z345" s="1581"/>
      <c r="AA345" s="1581"/>
      <c r="AB345" s="1581"/>
      <c r="AC345" s="1581"/>
      <c r="AD345" s="1581"/>
      <c r="AE345" s="1581"/>
      <c r="AF345" s="1581"/>
      <c r="AG345" s="1581"/>
      <c r="AH345" s="1581"/>
      <c r="AI345" s="1581"/>
      <c r="AJ345" s="1581"/>
      <c r="AK345" s="1581"/>
      <c r="AL345" s="1581"/>
      <c r="AM345" s="1581"/>
      <c r="AN345" s="1581"/>
      <c r="AO345" s="1581"/>
      <c r="AP345" s="1581"/>
      <c r="AQ345" s="1581"/>
      <c r="AR345" s="1581"/>
      <c r="AS345" s="1581"/>
      <c r="AT345" s="1581"/>
      <c r="AU345" s="1581"/>
      <c r="AV345" s="1581"/>
      <c r="AW345" s="1581"/>
      <c r="AX345" s="1581"/>
      <c r="AY345" s="1581"/>
      <c r="AZ345" s="1581"/>
      <c r="BA345" s="1581"/>
      <c r="BB345" s="1581"/>
      <c r="BC345" s="1581"/>
      <c r="BD345" s="1581"/>
      <c r="BE345" s="1581"/>
      <c r="BF345" s="1581"/>
      <c r="BG345" s="1581"/>
      <c r="BH345" s="1581"/>
      <c r="BI345" s="1581"/>
      <c r="BJ345" s="1581"/>
      <c r="BK345" s="1581"/>
      <c r="BL345" s="1581"/>
      <c r="BM345" s="1581"/>
      <c r="BN345" s="1581"/>
      <c r="BO345" s="1581"/>
      <c r="BP345" s="1581"/>
      <c r="BQ345" s="1581"/>
      <c r="BR345" s="1581"/>
      <c r="BS345" s="1581"/>
      <c r="BT345" s="1581"/>
      <c r="BU345" s="1581"/>
      <c r="BV345" s="1581"/>
      <c r="BW345" s="1581"/>
      <c r="BX345" s="1581"/>
      <c r="BY345" s="1581"/>
      <c r="BZ345" s="1581"/>
      <c r="CA345" s="1581"/>
      <c r="CB345" s="1581"/>
      <c r="CC345" s="1581"/>
      <c r="CD345" s="1581"/>
      <c r="CE345" s="1581"/>
      <c r="CF345" s="1581"/>
      <c r="CG345" s="1581"/>
      <c r="CH345" s="1581"/>
      <c r="CI345" s="1581"/>
      <c r="CJ345" s="1581"/>
      <c r="CK345" s="1581"/>
    </row>
    <row r="346" spans="1:89" ht="17.25" customHeight="1" x14ac:dyDescent="0.25">
      <c r="A346" s="1775">
        <v>1</v>
      </c>
      <c r="B346" s="1776" t="s">
        <v>21</v>
      </c>
      <c r="C346" s="1777"/>
      <c r="D346" s="1778"/>
      <c r="E346" s="879"/>
      <c r="F346" s="879"/>
      <c r="G346" s="879"/>
      <c r="H346" s="879"/>
      <c r="I346" s="879"/>
      <c r="J346" s="879"/>
      <c r="K346" s="879"/>
      <c r="L346" s="879"/>
      <c r="M346" s="879"/>
      <c r="N346" s="879"/>
      <c r="O346" s="1779">
        <f t="shared" si="24"/>
        <v>0</v>
      </c>
      <c r="P346" s="687"/>
    </row>
    <row r="347" spans="1:89" ht="17.25" customHeight="1" x14ac:dyDescent="0.25">
      <c r="A347" s="740"/>
      <c r="B347" s="1368" t="s">
        <v>1503</v>
      </c>
      <c r="C347" s="828">
        <v>1</v>
      </c>
      <c r="D347" s="1369" t="s">
        <v>25</v>
      </c>
      <c r="E347" s="705">
        <v>2200000</v>
      </c>
      <c r="F347" s="705"/>
      <c r="G347" s="705"/>
      <c r="H347" s="705"/>
      <c r="I347" s="705"/>
      <c r="J347" s="705">
        <f>E347*C347</f>
        <v>2200000</v>
      </c>
      <c r="K347" s="705">
        <f>I347+J347</f>
        <v>2200000</v>
      </c>
      <c r="L347" s="705"/>
      <c r="M347" s="705"/>
      <c r="N347" s="705"/>
      <c r="O347" s="1370">
        <f t="shared" si="24"/>
        <v>2200000</v>
      </c>
      <c r="P347" s="829"/>
    </row>
    <row r="348" spans="1:89" ht="17.25" customHeight="1" x14ac:dyDescent="0.25">
      <c r="A348" s="692"/>
      <c r="B348" s="1780" t="s">
        <v>1912</v>
      </c>
      <c r="C348" s="693"/>
      <c r="D348" s="727"/>
      <c r="E348" s="695"/>
      <c r="F348" s="695"/>
      <c r="G348" s="695"/>
      <c r="H348" s="695"/>
      <c r="I348" s="695"/>
      <c r="J348" s="695"/>
      <c r="K348" s="695"/>
      <c r="L348" s="695"/>
      <c r="M348" s="695"/>
      <c r="N348" s="695"/>
      <c r="O348" s="696">
        <f t="shared" si="24"/>
        <v>0</v>
      </c>
      <c r="P348" s="687"/>
    </row>
    <row r="349" spans="1:89" ht="17.25" customHeight="1" x14ac:dyDescent="0.25">
      <c r="A349" s="692"/>
      <c r="B349" s="1780" t="s">
        <v>1913</v>
      </c>
      <c r="C349" s="693"/>
      <c r="D349" s="727"/>
      <c r="E349" s="695"/>
      <c r="F349" s="695"/>
      <c r="G349" s="695"/>
      <c r="H349" s="695"/>
      <c r="I349" s="695"/>
      <c r="J349" s="695"/>
      <c r="K349" s="695"/>
      <c r="L349" s="695"/>
      <c r="M349" s="695"/>
      <c r="N349" s="695"/>
      <c r="O349" s="696"/>
      <c r="P349" s="687"/>
    </row>
    <row r="350" spans="1:89" ht="17.25" customHeight="1" x14ac:dyDescent="0.25">
      <c r="A350" s="692"/>
      <c r="B350" s="1780" t="s">
        <v>1914</v>
      </c>
      <c r="C350" s="693"/>
      <c r="D350" s="727"/>
      <c r="E350" s="695"/>
      <c r="F350" s="695"/>
      <c r="G350" s="695"/>
      <c r="H350" s="695"/>
      <c r="I350" s="695"/>
      <c r="J350" s="695"/>
      <c r="K350" s="695"/>
      <c r="L350" s="695"/>
      <c r="M350" s="695"/>
      <c r="N350" s="695"/>
      <c r="O350" s="696">
        <f t="shared" si="24"/>
        <v>0</v>
      </c>
      <c r="P350" s="687"/>
    </row>
    <row r="351" spans="1:89" ht="17.25" customHeight="1" x14ac:dyDescent="0.25">
      <c r="A351" s="692"/>
      <c r="B351" s="1780" t="s">
        <v>1915</v>
      </c>
      <c r="C351" s="693"/>
      <c r="D351" s="727"/>
      <c r="E351" s="695"/>
      <c r="F351" s="695"/>
      <c r="G351" s="695"/>
      <c r="H351" s="695"/>
      <c r="I351" s="695"/>
      <c r="J351" s="695"/>
      <c r="K351" s="695"/>
      <c r="L351" s="695"/>
      <c r="M351" s="695"/>
      <c r="N351" s="695"/>
      <c r="O351" s="696">
        <f t="shared" si="24"/>
        <v>0</v>
      </c>
      <c r="P351" s="687"/>
    </row>
    <row r="352" spans="1:89" ht="17.25" customHeight="1" x14ac:dyDescent="0.25">
      <c r="A352" s="692"/>
      <c r="B352" s="1780" t="s">
        <v>1916</v>
      </c>
      <c r="C352" s="693"/>
      <c r="D352" s="727"/>
      <c r="E352" s="695"/>
      <c r="F352" s="695"/>
      <c r="G352" s="695"/>
      <c r="H352" s="695"/>
      <c r="I352" s="695"/>
      <c r="J352" s="695"/>
      <c r="K352" s="695"/>
      <c r="L352" s="695"/>
      <c r="M352" s="695"/>
      <c r="N352" s="695"/>
      <c r="O352" s="696">
        <f t="shared" si="24"/>
        <v>0</v>
      </c>
      <c r="P352" s="687"/>
    </row>
    <row r="353" spans="1:89" ht="17.25" customHeight="1" x14ac:dyDescent="0.25">
      <c r="A353" s="692"/>
      <c r="B353" s="1781" t="s">
        <v>1917</v>
      </c>
      <c r="C353" s="693"/>
      <c r="D353" s="727"/>
      <c r="E353" s="695"/>
      <c r="F353" s="695"/>
      <c r="G353" s="695"/>
      <c r="H353" s="695"/>
      <c r="I353" s="695"/>
      <c r="J353" s="695"/>
      <c r="K353" s="695"/>
      <c r="L353" s="695"/>
      <c r="M353" s="695"/>
      <c r="N353" s="695"/>
      <c r="O353" s="696">
        <f t="shared" si="24"/>
        <v>0</v>
      </c>
      <c r="P353" s="687"/>
    </row>
    <row r="354" spans="1:89" ht="17.25" customHeight="1" x14ac:dyDescent="0.25">
      <c r="A354" s="692"/>
      <c r="B354" s="1781" t="s">
        <v>1918</v>
      </c>
      <c r="C354" s="693"/>
      <c r="D354" s="727"/>
      <c r="E354" s="695"/>
      <c r="F354" s="695"/>
      <c r="G354" s="695"/>
      <c r="H354" s="695"/>
      <c r="I354" s="695"/>
      <c r="J354" s="695"/>
      <c r="K354" s="695"/>
      <c r="L354" s="695"/>
      <c r="M354" s="695"/>
      <c r="N354" s="695"/>
      <c r="O354" s="696">
        <f>N354+K354+H354</f>
        <v>0</v>
      </c>
      <c r="P354" s="687"/>
    </row>
    <row r="355" spans="1:89" ht="17.25" customHeight="1" x14ac:dyDescent="0.25">
      <c r="A355" s="692"/>
      <c r="B355" s="1781" t="s">
        <v>1919</v>
      </c>
      <c r="C355" s="693"/>
      <c r="D355" s="727"/>
      <c r="E355" s="695"/>
      <c r="F355" s="695"/>
      <c r="G355" s="695"/>
      <c r="H355" s="695"/>
      <c r="I355" s="695"/>
      <c r="J355" s="695"/>
      <c r="K355" s="695"/>
      <c r="L355" s="695"/>
      <c r="M355" s="695"/>
      <c r="N355" s="695"/>
      <c r="O355" s="696">
        <f t="shared" si="24"/>
        <v>0</v>
      </c>
      <c r="P355" s="687"/>
    </row>
    <row r="356" spans="1:89" ht="17.25" customHeight="1" x14ac:dyDescent="0.2">
      <c r="A356" s="692"/>
      <c r="B356" s="1245"/>
      <c r="C356" s="693"/>
      <c r="D356" s="727"/>
      <c r="E356" s="695"/>
      <c r="F356" s="695"/>
      <c r="G356" s="695"/>
      <c r="H356" s="695"/>
      <c r="I356" s="695"/>
      <c r="J356" s="695"/>
      <c r="K356" s="695"/>
      <c r="L356" s="695"/>
      <c r="M356" s="695"/>
      <c r="N356" s="695"/>
      <c r="O356" s="696"/>
      <c r="P356" s="687"/>
    </row>
    <row r="357" spans="1:89" ht="17.25" customHeight="1" x14ac:dyDescent="0.2">
      <c r="A357" s="692">
        <v>2</v>
      </c>
      <c r="B357" s="1245" t="s">
        <v>19</v>
      </c>
      <c r="C357" s="693"/>
      <c r="D357" s="727"/>
      <c r="E357" s="695"/>
      <c r="F357" s="695"/>
      <c r="G357" s="695"/>
      <c r="H357" s="695"/>
      <c r="I357" s="695"/>
      <c r="J357" s="695"/>
      <c r="K357" s="695"/>
      <c r="L357" s="695"/>
      <c r="M357" s="695"/>
      <c r="N357" s="695"/>
      <c r="O357" s="696">
        <f t="shared" si="24"/>
        <v>0</v>
      </c>
      <c r="P357" s="687"/>
    </row>
    <row r="358" spans="1:89" ht="17.25" customHeight="1" x14ac:dyDescent="0.2">
      <c r="A358" s="692"/>
      <c r="B358" s="1245" t="s">
        <v>26</v>
      </c>
      <c r="C358" s="693">
        <v>1</v>
      </c>
      <c r="D358" s="727" t="s">
        <v>25</v>
      </c>
      <c r="E358" s="695">
        <v>70000</v>
      </c>
      <c r="F358" s="695"/>
      <c r="G358" s="695"/>
      <c r="H358" s="695"/>
      <c r="I358" s="695"/>
      <c r="J358" s="695">
        <f>C358*E358</f>
        <v>70000</v>
      </c>
      <c r="K358" s="695">
        <f>I358+J358</f>
        <v>70000</v>
      </c>
      <c r="L358" s="695"/>
      <c r="M358" s="695"/>
      <c r="N358" s="695"/>
      <c r="O358" s="696">
        <f t="shared" si="24"/>
        <v>70000</v>
      </c>
      <c r="P358" s="687"/>
    </row>
    <row r="359" spans="1:89" ht="17.25" customHeight="1" x14ac:dyDescent="0.25">
      <c r="A359" s="1515"/>
      <c r="B359" s="1782"/>
      <c r="C359" s="1783"/>
      <c r="D359" s="1784"/>
      <c r="E359" s="1785"/>
      <c r="F359" s="1785"/>
      <c r="G359" s="1785"/>
      <c r="H359" s="1785"/>
      <c r="I359" s="1785"/>
      <c r="J359" s="1785"/>
      <c r="K359" s="1785"/>
      <c r="L359" s="1785"/>
      <c r="M359" s="1785"/>
      <c r="N359" s="1785"/>
      <c r="O359" s="1786"/>
      <c r="P359" s="687"/>
    </row>
    <row r="360" spans="1:89" s="672" customFormat="1" ht="17.25" customHeight="1" x14ac:dyDescent="0.25">
      <c r="A360" s="1210" t="s">
        <v>28</v>
      </c>
      <c r="B360" s="1314" t="s">
        <v>29</v>
      </c>
      <c r="C360" s="1212"/>
      <c r="D360" s="1213"/>
      <c r="E360" s="1214"/>
      <c r="F360" s="1214">
        <f>SUM(F363:F387)</f>
        <v>0</v>
      </c>
      <c r="G360" s="1214">
        <f>SUM(G363:G387)</f>
        <v>0</v>
      </c>
      <c r="H360" s="1214">
        <f>G360+F360</f>
        <v>0</v>
      </c>
      <c r="I360" s="1214">
        <f>SUM(I363:I387)</f>
        <v>0</v>
      </c>
      <c r="J360" s="1214">
        <f>SUM(J363:J387)</f>
        <v>528995</v>
      </c>
      <c r="K360" s="1214">
        <f>J360+I360</f>
        <v>528995</v>
      </c>
      <c r="L360" s="1214">
        <f>SUM(L363:L387)</f>
        <v>15000</v>
      </c>
      <c r="M360" s="1214">
        <f>SUM(M363:M387)</f>
        <v>0</v>
      </c>
      <c r="N360" s="1214">
        <f>M360+L360</f>
        <v>15000</v>
      </c>
      <c r="O360" s="1215">
        <f>N360+K360+H360</f>
        <v>543995</v>
      </c>
      <c r="P360" s="680"/>
      <c r="Q360" s="1581"/>
      <c r="R360" s="1581"/>
      <c r="S360" s="1581"/>
      <c r="T360" s="1581"/>
      <c r="U360" s="1581"/>
      <c r="V360" s="1581"/>
      <c r="W360" s="1581"/>
      <c r="X360" s="1581"/>
      <c r="Y360" s="1581"/>
      <c r="Z360" s="1581"/>
      <c r="AA360" s="1581"/>
      <c r="AB360" s="1581"/>
      <c r="AC360" s="1581"/>
      <c r="AD360" s="1581"/>
      <c r="AE360" s="1581"/>
      <c r="AF360" s="1581"/>
      <c r="AG360" s="1581"/>
      <c r="AH360" s="1581"/>
      <c r="AI360" s="1581"/>
      <c r="AJ360" s="1581"/>
      <c r="AK360" s="1581"/>
      <c r="AL360" s="1581"/>
      <c r="AM360" s="1581"/>
      <c r="AN360" s="1581"/>
      <c r="AO360" s="1581"/>
      <c r="AP360" s="1581"/>
      <c r="AQ360" s="1581"/>
      <c r="AR360" s="1581"/>
      <c r="AS360" s="1581"/>
      <c r="AT360" s="1581"/>
      <c r="AU360" s="1581"/>
      <c r="AV360" s="1581"/>
      <c r="AW360" s="1581"/>
      <c r="AX360" s="1581"/>
      <c r="AY360" s="1581"/>
      <c r="AZ360" s="1581"/>
      <c r="BA360" s="1581"/>
      <c r="BB360" s="1581"/>
      <c r="BC360" s="1581"/>
      <c r="BD360" s="1581"/>
      <c r="BE360" s="1581"/>
      <c r="BF360" s="1581"/>
      <c r="BG360" s="1581"/>
      <c r="BH360" s="1581"/>
      <c r="BI360" s="1581"/>
      <c r="BJ360" s="1581"/>
      <c r="BK360" s="1581"/>
      <c r="BL360" s="1581"/>
      <c r="BM360" s="1581"/>
      <c r="BN360" s="1581"/>
      <c r="BO360" s="1581"/>
      <c r="BP360" s="1581"/>
      <c r="BQ360" s="1581"/>
      <c r="BR360" s="1581"/>
      <c r="BS360" s="1581"/>
      <c r="BT360" s="1581"/>
      <c r="BU360" s="1581"/>
      <c r="BV360" s="1581"/>
      <c r="BW360" s="1581"/>
      <c r="BX360" s="1581"/>
      <c r="BY360" s="1581"/>
      <c r="BZ360" s="1581"/>
      <c r="CA360" s="1581"/>
      <c r="CB360" s="1581"/>
      <c r="CC360" s="1581"/>
      <c r="CD360" s="1581"/>
      <c r="CE360" s="1581"/>
      <c r="CF360" s="1581"/>
      <c r="CG360" s="1581"/>
      <c r="CH360" s="1581"/>
      <c r="CI360" s="1581"/>
      <c r="CJ360" s="1581"/>
      <c r="CK360" s="1581"/>
    </row>
    <row r="361" spans="1:89" ht="17.25" customHeight="1" x14ac:dyDescent="0.25">
      <c r="A361" s="681"/>
      <c r="B361" s="869"/>
      <c r="C361" s="682"/>
      <c r="D361" s="683"/>
      <c r="E361" s="685"/>
      <c r="F361" s="685"/>
      <c r="G361" s="685"/>
      <c r="H361" s="685"/>
      <c r="I361" s="685"/>
      <c r="J361" s="685"/>
      <c r="K361" s="685"/>
      <c r="L361" s="685"/>
      <c r="M361" s="685"/>
      <c r="N361" s="685"/>
      <c r="O361" s="686"/>
      <c r="P361" s="687"/>
    </row>
    <row r="362" spans="1:89" ht="17.25" customHeight="1" x14ac:dyDescent="0.25">
      <c r="A362" s="692">
        <v>1</v>
      </c>
      <c r="B362" s="1248" t="s">
        <v>19</v>
      </c>
      <c r="C362" s="693"/>
      <c r="D362" s="727"/>
      <c r="E362" s="695"/>
      <c r="F362" s="695"/>
      <c r="G362" s="695"/>
      <c r="H362" s="695"/>
      <c r="I362" s="695"/>
      <c r="J362" s="695"/>
      <c r="K362" s="695"/>
      <c r="L362" s="695"/>
      <c r="M362" s="695"/>
      <c r="N362" s="695"/>
      <c r="O362" s="696">
        <f t="shared" ref="O362:O384" si="25">N362+K362+H362</f>
        <v>0</v>
      </c>
      <c r="P362" s="687"/>
    </row>
    <row r="363" spans="1:89" ht="17.25" customHeight="1" x14ac:dyDescent="0.25">
      <c r="A363" s="692"/>
      <c r="B363" s="1371" t="s">
        <v>30</v>
      </c>
      <c r="C363" s="693">
        <v>12</v>
      </c>
      <c r="D363" s="727" t="s">
        <v>20</v>
      </c>
      <c r="E363" s="695">
        <v>1500</v>
      </c>
      <c r="F363" s="695"/>
      <c r="G363" s="695"/>
      <c r="H363" s="695"/>
      <c r="I363" s="695"/>
      <c r="J363" s="695">
        <f>C363*E363</f>
        <v>18000</v>
      </c>
      <c r="K363" s="695">
        <f>I363+J363</f>
        <v>18000</v>
      </c>
      <c r="L363" s="695"/>
      <c r="M363" s="695"/>
      <c r="N363" s="695"/>
      <c r="O363" s="696">
        <f t="shared" si="25"/>
        <v>18000</v>
      </c>
      <c r="P363" s="687"/>
    </row>
    <row r="364" spans="1:89" ht="17.25" customHeight="1" x14ac:dyDescent="0.25">
      <c r="A364" s="740"/>
      <c r="B364" s="795" t="s">
        <v>31</v>
      </c>
      <c r="C364" s="828">
        <v>12</v>
      </c>
      <c r="D364" s="1369" t="s">
        <v>20</v>
      </c>
      <c r="E364" s="705">
        <v>1200</v>
      </c>
      <c r="F364" s="705"/>
      <c r="G364" s="705"/>
      <c r="H364" s="705"/>
      <c r="I364" s="705"/>
      <c r="J364" s="705">
        <f>C364*E364</f>
        <v>14400</v>
      </c>
      <c r="K364" s="705">
        <f>I364+J364</f>
        <v>14400</v>
      </c>
      <c r="L364" s="705"/>
      <c r="M364" s="705"/>
      <c r="N364" s="705"/>
      <c r="O364" s="1370">
        <f t="shared" si="25"/>
        <v>14400</v>
      </c>
      <c r="P364" s="829"/>
    </row>
    <row r="365" spans="1:89" ht="17.25" customHeight="1" x14ac:dyDescent="0.25">
      <c r="A365" s="692"/>
      <c r="B365" s="744" t="s">
        <v>32</v>
      </c>
      <c r="C365" s="693">
        <v>12</v>
      </c>
      <c r="D365" s="727" t="s">
        <v>20</v>
      </c>
      <c r="E365" s="695">
        <v>1000</v>
      </c>
      <c r="F365" s="695"/>
      <c r="G365" s="695"/>
      <c r="H365" s="695"/>
      <c r="I365" s="695"/>
      <c r="J365" s="695">
        <f>C365*E365</f>
        <v>12000</v>
      </c>
      <c r="K365" s="695">
        <f>I365+J365</f>
        <v>12000</v>
      </c>
      <c r="L365" s="695"/>
      <c r="M365" s="695"/>
      <c r="N365" s="695"/>
      <c r="O365" s="696">
        <f t="shared" si="25"/>
        <v>12000</v>
      </c>
      <c r="P365" s="687"/>
    </row>
    <row r="366" spans="1:89" ht="17.25" customHeight="1" x14ac:dyDescent="0.25">
      <c r="A366" s="692"/>
      <c r="B366" s="1237" t="s">
        <v>33</v>
      </c>
      <c r="C366" s="693">
        <v>60</v>
      </c>
      <c r="D366" s="727" t="s">
        <v>20</v>
      </c>
      <c r="E366" s="695">
        <v>810</v>
      </c>
      <c r="F366" s="695"/>
      <c r="G366" s="695"/>
      <c r="H366" s="695"/>
      <c r="I366" s="695"/>
      <c r="J366" s="695">
        <f>C366*E366</f>
        <v>48600</v>
      </c>
      <c r="K366" s="695">
        <f>I366+J366</f>
        <v>48600</v>
      </c>
      <c r="L366" s="695"/>
      <c r="M366" s="695"/>
      <c r="N366" s="695"/>
      <c r="O366" s="696">
        <f t="shared" si="25"/>
        <v>48600</v>
      </c>
      <c r="P366" s="687"/>
    </row>
    <row r="367" spans="1:89" ht="17.25" customHeight="1" x14ac:dyDescent="0.25">
      <c r="A367" s="692"/>
      <c r="B367" s="1237" t="s">
        <v>34</v>
      </c>
      <c r="C367" s="693"/>
      <c r="D367" s="727"/>
      <c r="E367" s="695"/>
      <c r="F367" s="695"/>
      <c r="G367" s="695"/>
      <c r="H367" s="695"/>
      <c r="I367" s="695"/>
      <c r="J367" s="695"/>
      <c r="K367" s="695"/>
      <c r="L367" s="695"/>
      <c r="M367" s="695"/>
      <c r="N367" s="695"/>
      <c r="O367" s="696">
        <f t="shared" si="25"/>
        <v>0</v>
      </c>
      <c r="P367" s="687"/>
    </row>
    <row r="368" spans="1:89" ht="17.25" customHeight="1" x14ac:dyDescent="0.25">
      <c r="A368" s="692"/>
      <c r="B368" s="1241" t="s">
        <v>35</v>
      </c>
      <c r="C368" s="693">
        <v>12</v>
      </c>
      <c r="D368" s="727" t="s">
        <v>20</v>
      </c>
      <c r="E368" s="695">
        <v>400</v>
      </c>
      <c r="F368" s="695"/>
      <c r="G368" s="695"/>
      <c r="H368" s="695"/>
      <c r="I368" s="695"/>
      <c r="J368" s="695">
        <f>C368*E368</f>
        <v>4800</v>
      </c>
      <c r="K368" s="695">
        <f>I368+J368</f>
        <v>4800</v>
      </c>
      <c r="L368" s="695"/>
      <c r="M368" s="695"/>
      <c r="N368" s="695"/>
      <c r="O368" s="696">
        <f t="shared" si="25"/>
        <v>4800</v>
      </c>
      <c r="P368" s="687"/>
    </row>
    <row r="369" spans="1:16" ht="17.25" customHeight="1" x14ac:dyDescent="0.25">
      <c r="A369" s="692"/>
      <c r="B369" s="1237" t="s">
        <v>36</v>
      </c>
      <c r="C369" s="693">
        <v>24</v>
      </c>
      <c r="D369" s="727" t="s">
        <v>20</v>
      </c>
      <c r="E369" s="695">
        <v>300</v>
      </c>
      <c r="F369" s="695"/>
      <c r="G369" s="695"/>
      <c r="H369" s="695"/>
      <c r="I369" s="695"/>
      <c r="J369" s="695">
        <f>C369*E369</f>
        <v>7200</v>
      </c>
      <c r="K369" s="695">
        <f>I369+J369</f>
        <v>7200</v>
      </c>
      <c r="L369" s="695"/>
      <c r="M369" s="695"/>
      <c r="N369" s="695"/>
      <c r="O369" s="696">
        <f t="shared" si="25"/>
        <v>7200</v>
      </c>
      <c r="P369" s="687"/>
    </row>
    <row r="370" spans="1:16" ht="17.25" customHeight="1" x14ac:dyDescent="0.25">
      <c r="A370" s="692"/>
      <c r="B370" s="1237" t="s">
        <v>180</v>
      </c>
      <c r="C370" s="693">
        <v>1</v>
      </c>
      <c r="D370" s="727" t="s">
        <v>25</v>
      </c>
      <c r="E370" s="695">
        <v>46850</v>
      </c>
      <c r="F370" s="695"/>
      <c r="G370" s="695"/>
      <c r="H370" s="695"/>
      <c r="I370" s="695"/>
      <c r="J370" s="695">
        <f>C370*E370</f>
        <v>46850</v>
      </c>
      <c r="K370" s="695">
        <f>I370+J370</f>
        <v>46850</v>
      </c>
      <c r="L370" s="695"/>
      <c r="M370" s="695"/>
      <c r="N370" s="695"/>
      <c r="O370" s="696">
        <f t="shared" si="25"/>
        <v>46850</v>
      </c>
      <c r="P370" s="687"/>
    </row>
    <row r="371" spans="1:16" ht="17.25" customHeight="1" x14ac:dyDescent="0.25">
      <c r="A371" s="692"/>
      <c r="B371" s="1237" t="s">
        <v>239</v>
      </c>
      <c r="C371" s="693">
        <v>1</v>
      </c>
      <c r="D371" s="727" t="s">
        <v>25</v>
      </c>
      <c r="E371" s="695">
        <v>4600</v>
      </c>
      <c r="F371" s="695"/>
      <c r="G371" s="695"/>
      <c r="H371" s="695"/>
      <c r="I371" s="695"/>
      <c r="J371" s="695">
        <f>C371*E371</f>
        <v>4600</v>
      </c>
      <c r="K371" s="695">
        <f>I371+J371</f>
        <v>4600</v>
      </c>
      <c r="L371" s="695"/>
      <c r="M371" s="695"/>
      <c r="N371" s="695"/>
      <c r="O371" s="696">
        <f>N371+K371+H371</f>
        <v>4600</v>
      </c>
      <c r="P371" s="687"/>
    </row>
    <row r="372" spans="1:16" ht="17.25" customHeight="1" x14ac:dyDescent="0.25">
      <c r="A372" s="692"/>
      <c r="B372" s="1237"/>
      <c r="C372" s="693"/>
      <c r="D372" s="727"/>
      <c r="E372" s="695"/>
      <c r="F372" s="695"/>
      <c r="G372" s="695"/>
      <c r="H372" s="695"/>
      <c r="I372" s="695"/>
      <c r="J372" s="695"/>
      <c r="K372" s="695"/>
      <c r="L372" s="695"/>
      <c r="M372" s="695"/>
      <c r="N372" s="695"/>
      <c r="O372" s="696"/>
      <c r="P372" s="687"/>
    </row>
    <row r="373" spans="1:16" ht="17.25" customHeight="1" x14ac:dyDescent="0.25">
      <c r="A373" s="692">
        <v>2</v>
      </c>
      <c r="B373" s="1237" t="s">
        <v>40</v>
      </c>
      <c r="C373" s="693"/>
      <c r="D373" s="727"/>
      <c r="E373" s="695"/>
      <c r="F373" s="695"/>
      <c r="G373" s="695"/>
      <c r="H373" s="695"/>
      <c r="I373" s="695"/>
      <c r="J373" s="695"/>
      <c r="K373" s="695"/>
      <c r="L373" s="695"/>
      <c r="M373" s="695"/>
      <c r="N373" s="695"/>
      <c r="O373" s="696">
        <f t="shared" si="25"/>
        <v>0</v>
      </c>
      <c r="P373" s="687"/>
    </row>
    <row r="374" spans="1:16" ht="17.25" customHeight="1" x14ac:dyDescent="0.25">
      <c r="A374" s="692"/>
      <c r="B374" s="1237" t="s">
        <v>41</v>
      </c>
      <c r="C374" s="693">
        <v>1</v>
      </c>
      <c r="D374" s="727" t="s">
        <v>25</v>
      </c>
      <c r="E374" s="695">
        <v>23545</v>
      </c>
      <c r="F374" s="695"/>
      <c r="G374" s="695"/>
      <c r="H374" s="695"/>
      <c r="I374" s="695"/>
      <c r="J374" s="695">
        <f>C374*E374</f>
        <v>23545</v>
      </c>
      <c r="K374" s="695">
        <f>I374+J374</f>
        <v>23545</v>
      </c>
      <c r="L374" s="695"/>
      <c r="M374" s="695"/>
      <c r="N374" s="695"/>
      <c r="O374" s="696">
        <f t="shared" si="25"/>
        <v>23545</v>
      </c>
      <c r="P374" s="687"/>
    </row>
    <row r="375" spans="1:16" ht="17.25" customHeight="1" x14ac:dyDescent="0.25">
      <c r="A375" s="692"/>
      <c r="B375" s="1237" t="s">
        <v>42</v>
      </c>
      <c r="C375" s="693">
        <v>1</v>
      </c>
      <c r="D375" s="727" t="s">
        <v>25</v>
      </c>
      <c r="E375" s="714">
        <v>30000</v>
      </c>
      <c r="F375" s="695"/>
      <c r="G375" s="695"/>
      <c r="H375" s="695"/>
      <c r="I375" s="695"/>
      <c r="J375" s="695">
        <f>C375*E375</f>
        <v>30000</v>
      </c>
      <c r="K375" s="695">
        <f>I375+J375</f>
        <v>30000</v>
      </c>
      <c r="L375" s="695"/>
      <c r="M375" s="695"/>
      <c r="N375" s="695"/>
      <c r="O375" s="696">
        <f t="shared" si="25"/>
        <v>30000</v>
      </c>
      <c r="P375" s="687"/>
    </row>
    <row r="376" spans="1:16" ht="17.25" customHeight="1" x14ac:dyDescent="0.25">
      <c r="A376" s="692"/>
      <c r="B376" s="1241"/>
      <c r="C376" s="693"/>
      <c r="D376" s="727"/>
      <c r="E376" s="695"/>
      <c r="F376" s="695"/>
      <c r="G376" s="695"/>
      <c r="H376" s="695"/>
      <c r="I376" s="695"/>
      <c r="J376" s="695"/>
      <c r="K376" s="695"/>
      <c r="L376" s="695"/>
      <c r="M376" s="695"/>
      <c r="N376" s="695"/>
      <c r="O376" s="696"/>
      <c r="P376" s="687"/>
    </row>
    <row r="377" spans="1:16" ht="17.25" customHeight="1" x14ac:dyDescent="0.25">
      <c r="A377" s="692">
        <v>3</v>
      </c>
      <c r="B377" s="1237" t="s">
        <v>43</v>
      </c>
      <c r="C377" s="693"/>
      <c r="D377" s="727"/>
      <c r="E377" s="695"/>
      <c r="F377" s="695"/>
      <c r="G377" s="695"/>
      <c r="H377" s="695"/>
      <c r="I377" s="695"/>
      <c r="J377" s="695"/>
      <c r="K377" s="695"/>
      <c r="L377" s="695"/>
      <c r="M377" s="695"/>
      <c r="N377" s="695"/>
      <c r="O377" s="696">
        <f t="shared" si="25"/>
        <v>0</v>
      </c>
      <c r="P377" s="687"/>
    </row>
    <row r="378" spans="1:16" ht="17.25" customHeight="1" x14ac:dyDescent="0.25">
      <c r="A378" s="692"/>
      <c r="B378" s="1237" t="s">
        <v>44</v>
      </c>
      <c r="C378" s="693">
        <v>12</v>
      </c>
      <c r="D378" s="727" t="s">
        <v>45</v>
      </c>
      <c r="E378" s="695">
        <v>6000</v>
      </c>
      <c r="F378" s="695"/>
      <c r="G378" s="695"/>
      <c r="H378" s="695"/>
      <c r="I378" s="695"/>
      <c r="J378" s="695">
        <f>C378*E378</f>
        <v>72000</v>
      </c>
      <c r="K378" s="695">
        <f>I378+J378</f>
        <v>72000</v>
      </c>
      <c r="L378" s="695"/>
      <c r="M378" s="695"/>
      <c r="N378" s="695"/>
      <c r="O378" s="696">
        <f t="shared" si="25"/>
        <v>72000</v>
      </c>
      <c r="P378" s="687"/>
    </row>
    <row r="379" spans="1:16" ht="17.25" customHeight="1" x14ac:dyDescent="0.25">
      <c r="A379" s="692"/>
      <c r="B379" s="1237"/>
      <c r="C379" s="693"/>
      <c r="D379" s="727"/>
      <c r="E379" s="714"/>
      <c r="F379" s="695"/>
      <c r="G379" s="695"/>
      <c r="H379" s="695"/>
      <c r="I379" s="695"/>
      <c r="J379" s="695"/>
      <c r="K379" s="695"/>
      <c r="L379" s="695"/>
      <c r="M379" s="695"/>
      <c r="N379" s="695"/>
      <c r="O379" s="696">
        <f t="shared" si="25"/>
        <v>0</v>
      </c>
      <c r="P379" s="687"/>
    </row>
    <row r="380" spans="1:16" ht="17.25" customHeight="1" x14ac:dyDescent="0.25">
      <c r="A380" s="692">
        <v>5</v>
      </c>
      <c r="B380" s="1237" t="s">
        <v>48</v>
      </c>
      <c r="C380" s="693"/>
      <c r="D380" s="727"/>
      <c r="E380" s="695" t="s">
        <v>49</v>
      </c>
      <c r="F380" s="695"/>
      <c r="G380" s="695"/>
      <c r="H380" s="695"/>
      <c r="I380" s="695"/>
      <c r="J380" s="695"/>
      <c r="K380" s="695">
        <f>J380+I380</f>
        <v>0</v>
      </c>
      <c r="L380" s="695"/>
      <c r="M380" s="695"/>
      <c r="N380" s="695"/>
      <c r="O380" s="696">
        <f t="shared" si="25"/>
        <v>0</v>
      </c>
      <c r="P380" s="687"/>
    </row>
    <row r="381" spans="1:16" ht="17.25" customHeight="1" x14ac:dyDescent="0.25">
      <c r="A381" s="692"/>
      <c r="B381" s="1237" t="s">
        <v>50</v>
      </c>
      <c r="C381" s="693">
        <v>65</v>
      </c>
      <c r="D381" s="727" t="s">
        <v>51</v>
      </c>
      <c r="E381" s="695">
        <v>1700</v>
      </c>
      <c r="F381" s="714"/>
      <c r="G381" s="714"/>
      <c r="H381" s="714"/>
      <c r="I381" s="714"/>
      <c r="J381" s="695">
        <f>C381*E381</f>
        <v>110500</v>
      </c>
      <c r="K381" s="695">
        <f>I381+J381</f>
        <v>110500</v>
      </c>
      <c r="L381" s="714"/>
      <c r="M381" s="714"/>
      <c r="N381" s="714"/>
      <c r="O381" s="696">
        <f t="shared" si="25"/>
        <v>110500</v>
      </c>
      <c r="P381" s="687"/>
    </row>
    <row r="382" spans="1:16" ht="17.25" customHeight="1" x14ac:dyDescent="0.25">
      <c r="A382" s="692"/>
      <c r="B382" s="1237" t="s">
        <v>52</v>
      </c>
      <c r="C382" s="693">
        <v>100</v>
      </c>
      <c r="D382" s="727" t="s">
        <v>53</v>
      </c>
      <c r="E382" s="695">
        <v>450</v>
      </c>
      <c r="F382" s="714"/>
      <c r="G382" s="714"/>
      <c r="H382" s="714"/>
      <c r="I382" s="714"/>
      <c r="J382" s="695">
        <f>C382*E382</f>
        <v>45000</v>
      </c>
      <c r="K382" s="695">
        <f>I382+J382</f>
        <v>45000</v>
      </c>
      <c r="L382" s="714"/>
      <c r="M382" s="714"/>
      <c r="N382" s="714"/>
      <c r="O382" s="696">
        <f t="shared" si="25"/>
        <v>45000</v>
      </c>
      <c r="P382" s="687"/>
    </row>
    <row r="383" spans="1:16" ht="17.25" customHeight="1" x14ac:dyDescent="0.25">
      <c r="A383" s="692"/>
      <c r="B383" s="1237" t="s">
        <v>54</v>
      </c>
      <c r="C383" s="693">
        <v>150</v>
      </c>
      <c r="D383" s="727" t="s">
        <v>55</v>
      </c>
      <c r="E383" s="695">
        <v>450</v>
      </c>
      <c r="F383" s="695"/>
      <c r="G383" s="695"/>
      <c r="H383" s="695"/>
      <c r="I383" s="695"/>
      <c r="J383" s="695">
        <f>C383*E383</f>
        <v>67500</v>
      </c>
      <c r="K383" s="695">
        <f>I383+J383</f>
        <v>67500</v>
      </c>
      <c r="L383" s="695"/>
      <c r="M383" s="695"/>
      <c r="N383" s="695"/>
      <c r="O383" s="696">
        <f t="shared" si="25"/>
        <v>67500</v>
      </c>
      <c r="P383" s="687"/>
    </row>
    <row r="384" spans="1:16" ht="17.25" customHeight="1" x14ac:dyDescent="0.25">
      <c r="A384" s="692"/>
      <c r="B384" s="1241" t="s">
        <v>56</v>
      </c>
      <c r="C384" s="693">
        <v>80</v>
      </c>
      <c r="D384" s="727" t="s">
        <v>55</v>
      </c>
      <c r="E384" s="695">
        <v>300</v>
      </c>
      <c r="F384" s="695"/>
      <c r="G384" s="695"/>
      <c r="H384" s="695"/>
      <c r="I384" s="695"/>
      <c r="J384" s="695">
        <f>C384*E384</f>
        <v>24000</v>
      </c>
      <c r="K384" s="695">
        <f>I384+J384</f>
        <v>24000</v>
      </c>
      <c r="L384" s="695"/>
      <c r="M384" s="695"/>
      <c r="N384" s="695"/>
      <c r="O384" s="696">
        <f t="shared" si="25"/>
        <v>24000</v>
      </c>
      <c r="P384" s="687"/>
    </row>
    <row r="385" spans="1:89" ht="17.25" customHeight="1" x14ac:dyDescent="0.25">
      <c r="A385" s="692"/>
      <c r="B385" s="1237"/>
      <c r="C385" s="693"/>
      <c r="D385" s="727"/>
      <c r="E385" s="695"/>
      <c r="F385" s="695"/>
      <c r="G385" s="695"/>
      <c r="H385" s="695"/>
      <c r="I385" s="695"/>
      <c r="J385" s="695"/>
      <c r="K385" s="695"/>
      <c r="L385" s="695"/>
      <c r="M385" s="695"/>
      <c r="N385" s="695"/>
      <c r="O385" s="696"/>
      <c r="P385" s="687"/>
    </row>
    <row r="386" spans="1:89" ht="17.25" customHeight="1" x14ac:dyDescent="0.25">
      <c r="A386" s="692">
        <v>6</v>
      </c>
      <c r="B386" s="1237" t="s">
        <v>57</v>
      </c>
      <c r="C386" s="693"/>
      <c r="D386" s="727"/>
      <c r="E386" s="695"/>
      <c r="F386" s="695"/>
      <c r="G386" s="695"/>
      <c r="H386" s="695"/>
      <c r="I386" s="695"/>
      <c r="J386" s="695"/>
      <c r="K386" s="695"/>
      <c r="L386" s="695"/>
      <c r="M386" s="695"/>
      <c r="N386" s="695"/>
      <c r="O386" s="696">
        <f>N386+K386+H386</f>
        <v>0</v>
      </c>
      <c r="P386" s="687"/>
    </row>
    <row r="387" spans="1:89" ht="17.25" customHeight="1" x14ac:dyDescent="0.25">
      <c r="A387" s="692"/>
      <c r="B387" s="1241" t="s">
        <v>58</v>
      </c>
      <c r="C387" s="693">
        <v>1</v>
      </c>
      <c r="D387" s="727" t="s">
        <v>16</v>
      </c>
      <c r="E387" s="695">
        <v>15000</v>
      </c>
      <c r="F387" s="695"/>
      <c r="G387" s="695"/>
      <c r="H387" s="695"/>
      <c r="I387" s="695"/>
      <c r="J387" s="695"/>
      <c r="K387" s="695"/>
      <c r="L387" s="695">
        <f>C387*E387</f>
        <v>15000</v>
      </c>
      <c r="M387" s="695"/>
      <c r="N387" s="695">
        <f>L387+M387</f>
        <v>15000</v>
      </c>
      <c r="O387" s="696">
        <f>N387+K387+H387</f>
        <v>15000</v>
      </c>
      <c r="P387" s="687"/>
    </row>
    <row r="388" spans="1:89" ht="17.25" customHeight="1" x14ac:dyDescent="0.25">
      <c r="A388" s="692"/>
      <c r="B388" s="1241"/>
      <c r="C388" s="693"/>
      <c r="D388" s="727"/>
      <c r="E388" s="695"/>
      <c r="F388" s="695"/>
      <c r="G388" s="695"/>
      <c r="H388" s="695"/>
      <c r="I388" s="695"/>
      <c r="J388" s="695"/>
      <c r="K388" s="695"/>
      <c r="L388" s="695"/>
      <c r="M388" s="695"/>
      <c r="N388" s="695"/>
      <c r="O388" s="696"/>
      <c r="P388" s="687"/>
    </row>
    <row r="389" spans="1:89" ht="17.25" customHeight="1" x14ac:dyDescent="0.25">
      <c r="A389" s="820"/>
      <c r="B389" s="856"/>
      <c r="C389" s="830"/>
      <c r="D389" s="831"/>
      <c r="E389" s="821"/>
      <c r="F389" s="821"/>
      <c r="G389" s="821"/>
      <c r="H389" s="821"/>
      <c r="I389" s="821"/>
      <c r="J389" s="821"/>
      <c r="K389" s="821"/>
      <c r="L389" s="821"/>
      <c r="M389" s="821"/>
      <c r="N389" s="821"/>
      <c r="O389" s="822"/>
      <c r="P389" s="687"/>
    </row>
    <row r="390" spans="1:89" ht="26.25" customHeight="1" x14ac:dyDescent="0.25">
      <c r="A390" s="1210" t="s">
        <v>846</v>
      </c>
      <c r="B390" s="1314" t="s">
        <v>91</v>
      </c>
      <c r="C390" s="1212"/>
      <c r="D390" s="1213"/>
      <c r="E390" s="1214"/>
      <c r="F390" s="1214">
        <f>F392+F407+F416</f>
        <v>0</v>
      </c>
      <c r="G390" s="1214">
        <f>G392+G407+G416</f>
        <v>0</v>
      </c>
      <c r="H390" s="1214">
        <f>G390+F390</f>
        <v>0</v>
      </c>
      <c r="I390" s="1214">
        <f>I392+I407+I416</f>
        <v>0</v>
      </c>
      <c r="J390" s="1214">
        <f>J392+J407+J416+J403</f>
        <v>6417067</v>
      </c>
      <c r="K390" s="1214">
        <f>J390+I390</f>
        <v>6417067</v>
      </c>
      <c r="L390" s="1214">
        <f>L392+L407+L416</f>
        <v>8565961</v>
      </c>
      <c r="M390" s="1214">
        <f>M392+M407+M416</f>
        <v>0</v>
      </c>
      <c r="N390" s="1214">
        <f>M390+L390</f>
        <v>8565961</v>
      </c>
      <c r="O390" s="1215">
        <f>N390+K390+H390</f>
        <v>14983028</v>
      </c>
      <c r="P390" s="680"/>
    </row>
    <row r="391" spans="1:89" ht="17.25" customHeight="1" x14ac:dyDescent="0.25">
      <c r="A391" s="681"/>
      <c r="B391" s="869"/>
      <c r="C391" s="682"/>
      <c r="D391" s="683"/>
      <c r="E391" s="685"/>
      <c r="F391" s="685"/>
      <c r="G391" s="685"/>
      <c r="H391" s="685"/>
      <c r="I391" s="685"/>
      <c r="J391" s="685"/>
      <c r="K391" s="685"/>
      <c r="L391" s="685"/>
      <c r="M391" s="685"/>
      <c r="N391" s="685"/>
      <c r="O391" s="686"/>
      <c r="P391" s="687"/>
    </row>
    <row r="392" spans="1:89" s="672" customFormat="1" ht="37.5" customHeight="1" x14ac:dyDescent="0.25">
      <c r="A392" s="740" t="s">
        <v>15</v>
      </c>
      <c r="B392" s="1372" t="s">
        <v>1157</v>
      </c>
      <c r="C392" s="828"/>
      <c r="D392" s="1369"/>
      <c r="E392" s="705"/>
      <c r="F392" s="705">
        <f>SUM(F393:F401)</f>
        <v>0</v>
      </c>
      <c r="G392" s="705">
        <f>SUM(G393:G401)</f>
        <v>0</v>
      </c>
      <c r="H392" s="705">
        <f>G392+F392</f>
        <v>0</v>
      </c>
      <c r="I392" s="705">
        <f>SUM(I393:I401)</f>
        <v>0</v>
      </c>
      <c r="J392" s="705">
        <f>SUM(J393:J401)</f>
        <v>0</v>
      </c>
      <c r="K392" s="705">
        <f>J392+I392</f>
        <v>0</v>
      </c>
      <c r="L392" s="705">
        <f>SUM(L393:L401)</f>
        <v>8565961</v>
      </c>
      <c r="M392" s="705">
        <f>SUM(M393:M401)</f>
        <v>0</v>
      </c>
      <c r="N392" s="705">
        <f>M392+L392</f>
        <v>8565961</v>
      </c>
      <c r="O392" s="1370">
        <f>N392+K392+H392</f>
        <v>8565961</v>
      </c>
      <c r="P392" s="829"/>
      <c r="Q392" s="1581"/>
      <c r="R392" s="1581"/>
      <c r="S392" s="1581"/>
      <c r="T392" s="1581"/>
      <c r="U392" s="1581"/>
      <c r="V392" s="1581"/>
      <c r="W392" s="1581"/>
      <c r="X392" s="1581"/>
      <c r="Y392" s="1581"/>
      <c r="Z392" s="1581"/>
      <c r="AA392" s="1581"/>
      <c r="AB392" s="1581"/>
      <c r="AC392" s="1581"/>
      <c r="AD392" s="1581"/>
      <c r="AE392" s="1581"/>
      <c r="AF392" s="1581"/>
      <c r="AG392" s="1581"/>
      <c r="AH392" s="1581"/>
      <c r="AI392" s="1581"/>
      <c r="AJ392" s="1581"/>
      <c r="AK392" s="1581"/>
      <c r="AL392" s="1581"/>
      <c r="AM392" s="1581"/>
      <c r="AN392" s="1581"/>
      <c r="AO392" s="1581"/>
      <c r="AP392" s="1581"/>
      <c r="AQ392" s="1581"/>
      <c r="AR392" s="1581"/>
      <c r="AS392" s="1581"/>
      <c r="AT392" s="1581"/>
      <c r="AU392" s="1581"/>
      <c r="AV392" s="1581"/>
      <c r="AW392" s="1581"/>
      <c r="AX392" s="1581"/>
      <c r="AY392" s="1581"/>
      <c r="AZ392" s="1581"/>
      <c r="BA392" s="1581"/>
      <c r="BB392" s="1581"/>
      <c r="BC392" s="1581"/>
      <c r="BD392" s="1581"/>
      <c r="BE392" s="1581"/>
      <c r="BF392" s="1581"/>
      <c r="BG392" s="1581"/>
      <c r="BH392" s="1581"/>
      <c r="BI392" s="1581"/>
      <c r="BJ392" s="1581"/>
      <c r="BK392" s="1581"/>
      <c r="BL392" s="1581"/>
      <c r="BM392" s="1581"/>
      <c r="BN392" s="1581"/>
      <c r="BO392" s="1581"/>
      <c r="BP392" s="1581"/>
      <c r="BQ392" s="1581"/>
      <c r="BR392" s="1581"/>
      <c r="BS392" s="1581"/>
      <c r="BT392" s="1581"/>
      <c r="BU392" s="1581"/>
      <c r="BV392" s="1581"/>
      <c r="BW392" s="1581"/>
      <c r="BX392" s="1581"/>
      <c r="BY392" s="1581"/>
      <c r="BZ392" s="1581"/>
      <c r="CA392" s="1581"/>
      <c r="CB392" s="1581"/>
      <c r="CC392" s="1581"/>
      <c r="CD392" s="1581"/>
      <c r="CE392" s="1581"/>
      <c r="CF392" s="1581"/>
      <c r="CG392" s="1581"/>
      <c r="CH392" s="1581"/>
      <c r="CI392" s="1581"/>
      <c r="CJ392" s="1581"/>
      <c r="CK392" s="1581"/>
    </row>
    <row r="393" spans="1:89" ht="20.25" customHeight="1" x14ac:dyDescent="0.25">
      <c r="A393" s="692">
        <v>1</v>
      </c>
      <c r="B393" s="1373" t="s">
        <v>1458</v>
      </c>
      <c r="C393" s="693">
        <v>1</v>
      </c>
      <c r="D393" s="727" t="s">
        <v>16</v>
      </c>
      <c r="E393" s="695">
        <f>1191761+500000-500000</f>
        <v>1191761</v>
      </c>
      <c r="F393" s="695"/>
      <c r="G393" s="695"/>
      <c r="H393" s="695"/>
      <c r="I393" s="695"/>
      <c r="J393" s="695"/>
      <c r="K393" s="695"/>
      <c r="L393" s="695">
        <f t="shared" ref="L393:L398" si="26">E393*C393</f>
        <v>1191761</v>
      </c>
      <c r="M393" s="695"/>
      <c r="N393" s="695">
        <f t="shared" ref="N393:N398" si="27">L393+M393</f>
        <v>1191761</v>
      </c>
      <c r="O393" s="696">
        <f t="shared" ref="O393:O398" si="28">N393+K393+H393</f>
        <v>1191761</v>
      </c>
      <c r="P393" s="687"/>
    </row>
    <row r="394" spans="1:89" ht="20.25" customHeight="1" x14ac:dyDescent="0.25">
      <c r="A394" s="692">
        <v>2</v>
      </c>
      <c r="B394" s="1341" t="s">
        <v>1459</v>
      </c>
      <c r="C394" s="693">
        <v>1</v>
      </c>
      <c r="D394" s="727" t="s">
        <v>16</v>
      </c>
      <c r="E394" s="695">
        <f>1305530-500000</f>
        <v>805530</v>
      </c>
      <c r="F394" s="695"/>
      <c r="G394" s="695"/>
      <c r="H394" s="695"/>
      <c r="I394" s="695"/>
      <c r="J394" s="695"/>
      <c r="K394" s="695"/>
      <c r="L394" s="695">
        <f t="shared" si="26"/>
        <v>805530</v>
      </c>
      <c r="M394" s="695"/>
      <c r="N394" s="695">
        <f t="shared" si="27"/>
        <v>805530</v>
      </c>
      <c r="O394" s="696">
        <f t="shared" si="28"/>
        <v>805530</v>
      </c>
      <c r="P394" s="687"/>
    </row>
    <row r="395" spans="1:89" ht="20.25" customHeight="1" x14ac:dyDescent="0.25">
      <c r="A395" s="692">
        <v>3</v>
      </c>
      <c r="B395" s="1341" t="s">
        <v>1460</v>
      </c>
      <c r="C395" s="693">
        <v>1</v>
      </c>
      <c r="D395" s="727" t="s">
        <v>16</v>
      </c>
      <c r="E395" s="695">
        <f>1000000+500000-500000</f>
        <v>1000000</v>
      </c>
      <c r="F395" s="695"/>
      <c r="G395" s="695"/>
      <c r="H395" s="695"/>
      <c r="I395" s="695"/>
      <c r="J395" s="695"/>
      <c r="K395" s="695"/>
      <c r="L395" s="695">
        <f t="shared" si="26"/>
        <v>1000000</v>
      </c>
      <c r="M395" s="695"/>
      <c r="N395" s="695">
        <f t="shared" si="27"/>
        <v>1000000</v>
      </c>
      <c r="O395" s="696">
        <f t="shared" si="28"/>
        <v>1000000</v>
      </c>
      <c r="P395" s="687"/>
    </row>
    <row r="396" spans="1:89" ht="20.25" customHeight="1" x14ac:dyDescent="0.25">
      <c r="A396" s="692">
        <v>4</v>
      </c>
      <c r="B396" s="1341" t="s">
        <v>1461</v>
      </c>
      <c r="C396" s="693">
        <v>1</v>
      </c>
      <c r="D396" s="727" t="s">
        <v>16</v>
      </c>
      <c r="E396" s="695">
        <v>1568670</v>
      </c>
      <c r="F396" s="695"/>
      <c r="G396" s="695"/>
      <c r="H396" s="695"/>
      <c r="I396" s="695"/>
      <c r="J396" s="695"/>
      <c r="K396" s="695"/>
      <c r="L396" s="695">
        <f t="shared" si="26"/>
        <v>1568670</v>
      </c>
      <c r="M396" s="695"/>
      <c r="N396" s="695">
        <f t="shared" si="27"/>
        <v>1568670</v>
      </c>
      <c r="O396" s="696">
        <f t="shared" si="28"/>
        <v>1568670</v>
      </c>
      <c r="P396" s="687"/>
    </row>
    <row r="397" spans="1:89" ht="34.5" customHeight="1" x14ac:dyDescent="0.25">
      <c r="A397" s="692">
        <v>5</v>
      </c>
      <c r="B397" s="1341" t="s">
        <v>1462</v>
      </c>
      <c r="C397" s="693">
        <v>1</v>
      </c>
      <c r="D397" s="727" t="s">
        <v>16</v>
      </c>
      <c r="E397" s="695">
        <f>1000000+500000</f>
        <v>1500000</v>
      </c>
      <c r="F397" s="695"/>
      <c r="G397" s="695"/>
      <c r="H397" s="695"/>
      <c r="I397" s="695"/>
      <c r="J397" s="695"/>
      <c r="K397" s="695"/>
      <c r="L397" s="695">
        <f t="shared" si="26"/>
        <v>1500000</v>
      </c>
      <c r="M397" s="695"/>
      <c r="N397" s="695">
        <f t="shared" si="27"/>
        <v>1500000</v>
      </c>
      <c r="O397" s="696">
        <f t="shared" si="28"/>
        <v>1500000</v>
      </c>
      <c r="P397" s="687"/>
    </row>
    <row r="398" spans="1:89" ht="20.25" customHeight="1" x14ac:dyDescent="0.25">
      <c r="A398" s="692">
        <v>6</v>
      </c>
      <c r="B398" s="1342" t="s">
        <v>1785</v>
      </c>
      <c r="C398" s="693">
        <v>1</v>
      </c>
      <c r="D398" s="727" t="s">
        <v>16</v>
      </c>
      <c r="E398" s="695">
        <f>1000000+500000</f>
        <v>1500000</v>
      </c>
      <c r="F398" s="695"/>
      <c r="G398" s="695"/>
      <c r="H398" s="695"/>
      <c r="I398" s="695"/>
      <c r="J398" s="695"/>
      <c r="K398" s="695"/>
      <c r="L398" s="695">
        <f t="shared" si="26"/>
        <v>1500000</v>
      </c>
      <c r="M398" s="695"/>
      <c r="N398" s="695">
        <f t="shared" si="27"/>
        <v>1500000</v>
      </c>
      <c r="O398" s="696">
        <f t="shared" si="28"/>
        <v>1500000</v>
      </c>
      <c r="P398" s="687"/>
    </row>
    <row r="399" spans="1:89" ht="20.25" customHeight="1" x14ac:dyDescent="0.25">
      <c r="A399" s="692"/>
      <c r="B399" s="1341"/>
      <c r="C399" s="693"/>
      <c r="D399" s="727"/>
      <c r="E399" s="695"/>
      <c r="F399" s="695"/>
      <c r="G399" s="695"/>
      <c r="H399" s="695"/>
      <c r="I399" s="695"/>
      <c r="J399" s="695"/>
      <c r="K399" s="695"/>
      <c r="L399" s="695"/>
      <c r="M399" s="695"/>
      <c r="N399" s="695"/>
      <c r="O399" s="696"/>
      <c r="P399" s="687"/>
    </row>
    <row r="400" spans="1:89" ht="20.25" customHeight="1" x14ac:dyDescent="0.2">
      <c r="A400" s="692"/>
      <c r="B400" s="1312" t="s">
        <v>1672</v>
      </c>
      <c r="C400" s="693"/>
      <c r="D400" s="727"/>
      <c r="E400" s="695"/>
      <c r="F400" s="695"/>
      <c r="G400" s="695"/>
      <c r="H400" s="695"/>
      <c r="I400" s="695"/>
      <c r="J400" s="695"/>
      <c r="K400" s="695"/>
      <c r="L400" s="695"/>
      <c r="M400" s="695"/>
      <c r="N400" s="695"/>
      <c r="O400" s="696"/>
      <c r="P400" s="687"/>
    </row>
    <row r="401" spans="1:89" ht="17.25" customHeight="1" x14ac:dyDescent="0.25">
      <c r="A401" s="692">
        <v>7</v>
      </c>
      <c r="B401" s="1342" t="s">
        <v>1504</v>
      </c>
      <c r="C401" s="693">
        <v>1</v>
      </c>
      <c r="D401" s="727" t="s">
        <v>16</v>
      </c>
      <c r="E401" s="695">
        <v>1000000</v>
      </c>
      <c r="F401" s="695"/>
      <c r="G401" s="695"/>
      <c r="H401" s="695"/>
      <c r="I401" s="695"/>
      <c r="J401" s="695"/>
      <c r="K401" s="695"/>
      <c r="L401" s="695">
        <f>E401*C401</f>
        <v>1000000</v>
      </c>
      <c r="M401" s="695"/>
      <c r="N401" s="695">
        <f>L401+M401</f>
        <v>1000000</v>
      </c>
      <c r="O401" s="696">
        <f>N401+K401+H401</f>
        <v>1000000</v>
      </c>
      <c r="P401" s="687"/>
    </row>
    <row r="402" spans="1:89" ht="17.25" customHeight="1" x14ac:dyDescent="0.25">
      <c r="A402" s="820"/>
      <c r="B402" s="1343"/>
      <c r="C402" s="830"/>
      <c r="D402" s="831"/>
      <c r="E402" s="821"/>
      <c r="F402" s="821"/>
      <c r="G402" s="821"/>
      <c r="H402" s="821"/>
      <c r="I402" s="821"/>
      <c r="J402" s="821"/>
      <c r="K402" s="821"/>
      <c r="L402" s="821"/>
      <c r="M402" s="821"/>
      <c r="N402" s="821"/>
      <c r="O402" s="822"/>
      <c r="P402" s="687"/>
    </row>
    <row r="403" spans="1:89" ht="26.25" customHeight="1" x14ac:dyDescent="0.25">
      <c r="A403" s="1383"/>
      <c r="B403" s="1787" t="s">
        <v>74</v>
      </c>
      <c r="C403" s="1360"/>
      <c r="D403" s="1361"/>
      <c r="E403" s="1362"/>
      <c r="F403" s="1327">
        <f>SUM(F404:F404)</f>
        <v>0</v>
      </c>
      <c r="G403" s="1327">
        <f>SUM(G404:G404)</f>
        <v>0</v>
      </c>
      <c r="H403" s="1327">
        <f>F403+G403</f>
        <v>0</v>
      </c>
      <c r="I403" s="1327">
        <f>SUM(I404:I404)</f>
        <v>0</v>
      </c>
      <c r="J403" s="1327">
        <f>SUM(J404:J404)</f>
        <v>4000000</v>
      </c>
      <c r="K403" s="1327">
        <f>I403+J403</f>
        <v>4000000</v>
      </c>
      <c r="L403" s="1327">
        <f>SUM(L404:L404)</f>
        <v>0</v>
      </c>
      <c r="M403" s="1327">
        <f>SUM(M404:M404)</f>
        <v>0</v>
      </c>
      <c r="N403" s="1327">
        <f>L403+M403</f>
        <v>0</v>
      </c>
      <c r="O403" s="1327">
        <f>N403+K403+H403</f>
        <v>4000000</v>
      </c>
      <c r="P403" s="687"/>
    </row>
    <row r="404" spans="1:89" ht="17.25" customHeight="1" x14ac:dyDescent="0.25">
      <c r="A404" s="681"/>
      <c r="B404" s="1363" t="s">
        <v>2064</v>
      </c>
      <c r="C404" s="872">
        <v>1</v>
      </c>
      <c r="D404" s="683" t="s">
        <v>16</v>
      </c>
      <c r="E404" s="1354">
        <v>4000000</v>
      </c>
      <c r="F404" s="685"/>
      <c r="G404" s="685"/>
      <c r="H404" s="685"/>
      <c r="I404" s="685"/>
      <c r="J404" s="685">
        <f>C404*E404</f>
        <v>4000000</v>
      </c>
      <c r="K404" s="685">
        <f>I404+J404</f>
        <v>4000000</v>
      </c>
      <c r="L404" s="685"/>
      <c r="M404" s="685"/>
      <c r="N404" s="685"/>
      <c r="O404" s="686">
        <f>N404+K404+H404</f>
        <v>4000000</v>
      </c>
      <c r="P404" s="687"/>
    </row>
    <row r="405" spans="1:89" ht="17.25" customHeight="1" x14ac:dyDescent="0.25">
      <c r="A405" s="692"/>
      <c r="B405" s="1341"/>
      <c r="C405" s="693"/>
      <c r="D405" s="727"/>
      <c r="E405" s="695"/>
      <c r="F405" s="695"/>
      <c r="G405" s="695"/>
      <c r="H405" s="695"/>
      <c r="I405" s="695"/>
      <c r="J405" s="695"/>
      <c r="K405" s="695"/>
      <c r="L405" s="695"/>
      <c r="M405" s="695"/>
      <c r="N405" s="695"/>
      <c r="O405" s="696"/>
      <c r="P405" s="687"/>
    </row>
    <row r="406" spans="1:89" s="675" customFormat="1" ht="17.25" customHeight="1" x14ac:dyDescent="0.25">
      <c r="A406" s="692"/>
      <c r="B406" s="1345"/>
      <c r="C406" s="693"/>
      <c r="D406" s="727"/>
      <c r="E406" s="695"/>
      <c r="F406" s="695"/>
      <c r="G406" s="695"/>
      <c r="H406" s="695"/>
      <c r="I406" s="695"/>
      <c r="J406" s="695"/>
      <c r="K406" s="695"/>
      <c r="L406" s="695"/>
      <c r="M406" s="695"/>
      <c r="N406" s="695"/>
      <c r="O406" s="696"/>
      <c r="P406" s="687"/>
      <c r="Q406" s="1821"/>
      <c r="R406" s="1821"/>
      <c r="S406" s="1821"/>
      <c r="T406" s="1821"/>
      <c r="U406" s="1821"/>
      <c r="V406" s="1821"/>
      <c r="W406" s="1821"/>
      <c r="X406" s="1821"/>
      <c r="Y406" s="1821"/>
      <c r="Z406" s="1821"/>
      <c r="AA406" s="1821"/>
      <c r="AB406" s="1821"/>
      <c r="AC406" s="1821"/>
      <c r="AD406" s="1821"/>
      <c r="AE406" s="1821"/>
      <c r="AF406" s="1821"/>
      <c r="AG406" s="1821"/>
      <c r="AH406" s="1821"/>
      <c r="AI406" s="1821"/>
      <c r="AJ406" s="1821"/>
      <c r="AK406" s="1821"/>
      <c r="AL406" s="1821"/>
      <c r="AM406" s="1821"/>
      <c r="AN406" s="1821"/>
      <c r="AO406" s="1821"/>
      <c r="AP406" s="1821"/>
      <c r="AQ406" s="1821"/>
      <c r="AR406" s="1821"/>
      <c r="AS406" s="1821"/>
      <c r="AT406" s="1821"/>
      <c r="AU406" s="1821"/>
      <c r="AV406" s="1821"/>
      <c r="AW406" s="1821"/>
      <c r="AX406" s="1821"/>
      <c r="AY406" s="1821"/>
      <c r="AZ406" s="1821"/>
      <c r="BA406" s="1821"/>
      <c r="BB406" s="1821"/>
      <c r="BC406" s="1821"/>
      <c r="BD406" s="1821"/>
      <c r="BE406" s="1821"/>
      <c r="BF406" s="1821"/>
      <c r="BG406" s="1821"/>
      <c r="BH406" s="1821"/>
      <c r="BI406" s="1821"/>
      <c r="BJ406" s="1821"/>
      <c r="BK406" s="1821"/>
      <c r="BL406" s="1821"/>
      <c r="BM406" s="1821"/>
      <c r="BN406" s="1821"/>
      <c r="BO406" s="1821"/>
      <c r="BP406" s="1821"/>
      <c r="BQ406" s="1821"/>
      <c r="BR406" s="1821"/>
      <c r="BS406" s="1821"/>
      <c r="BT406" s="1821"/>
      <c r="BU406" s="1821"/>
      <c r="BV406" s="1821"/>
      <c r="BW406" s="1821"/>
      <c r="BX406" s="1821"/>
      <c r="BY406" s="1821"/>
      <c r="BZ406" s="1821"/>
      <c r="CA406" s="1821"/>
      <c r="CB406" s="1821"/>
      <c r="CC406" s="1821"/>
      <c r="CD406" s="1821"/>
      <c r="CE406" s="1821"/>
      <c r="CF406" s="1821"/>
      <c r="CG406" s="1821"/>
      <c r="CH406" s="1821"/>
      <c r="CI406" s="1821"/>
      <c r="CJ406" s="1821"/>
      <c r="CK406" s="1821"/>
    </row>
    <row r="407" spans="1:89" s="676" customFormat="1" ht="17.25" customHeight="1" x14ac:dyDescent="0.25">
      <c r="A407" s="740" t="s">
        <v>22</v>
      </c>
      <c r="B407" s="1374" t="s">
        <v>23</v>
      </c>
      <c r="C407" s="828">
        <f>SUM(O410:O412)</f>
        <v>1463227</v>
      </c>
      <c r="D407" s="1369"/>
      <c r="E407" s="705"/>
      <c r="F407" s="705">
        <f>SUM(F410:F414)</f>
        <v>0</v>
      </c>
      <c r="G407" s="705">
        <f>SUM(G410:G414)</f>
        <v>0</v>
      </c>
      <c r="H407" s="705">
        <f>G407+F407</f>
        <v>0</v>
      </c>
      <c r="I407" s="705">
        <f>SUM(I410:I414)</f>
        <v>0</v>
      </c>
      <c r="J407" s="705">
        <f>SUM(J410:J414)</f>
        <v>1533227</v>
      </c>
      <c r="K407" s="705">
        <f>J407+I407</f>
        <v>1533227</v>
      </c>
      <c r="L407" s="705">
        <f>SUM(L410:L414)</f>
        <v>0</v>
      </c>
      <c r="M407" s="705">
        <f>SUM(M410:M414)</f>
        <v>0</v>
      </c>
      <c r="N407" s="705">
        <f>M407+L407</f>
        <v>0</v>
      </c>
      <c r="O407" s="1370">
        <f>N407+K407+H407</f>
        <v>1533227</v>
      </c>
      <c r="P407" s="829"/>
      <c r="Q407" s="1822"/>
      <c r="R407" s="1822"/>
      <c r="S407" s="1822"/>
      <c r="T407" s="1822"/>
      <c r="U407" s="1822"/>
      <c r="V407" s="1822"/>
      <c r="W407" s="1822"/>
      <c r="X407" s="1822"/>
      <c r="Y407" s="1822"/>
      <c r="Z407" s="1822"/>
      <c r="AA407" s="1822"/>
      <c r="AB407" s="1822"/>
      <c r="AC407" s="1822"/>
      <c r="AD407" s="1822"/>
      <c r="AE407" s="1822"/>
      <c r="AF407" s="1822"/>
      <c r="AG407" s="1822"/>
      <c r="AH407" s="1822"/>
      <c r="AI407" s="1822"/>
      <c r="AJ407" s="1822"/>
      <c r="AK407" s="1822"/>
      <c r="AL407" s="1822"/>
      <c r="AM407" s="1822"/>
      <c r="AN407" s="1822"/>
      <c r="AO407" s="1822"/>
      <c r="AP407" s="1822"/>
      <c r="AQ407" s="1822"/>
      <c r="AR407" s="1822"/>
      <c r="AS407" s="1822"/>
      <c r="AT407" s="1822"/>
      <c r="AU407" s="1822"/>
      <c r="AV407" s="1822"/>
      <c r="AW407" s="1822"/>
      <c r="AX407" s="1822"/>
      <c r="AY407" s="1822"/>
      <c r="AZ407" s="1822"/>
      <c r="BA407" s="1822"/>
      <c r="BB407" s="1822"/>
      <c r="BC407" s="1822"/>
      <c r="BD407" s="1822"/>
      <c r="BE407" s="1822"/>
      <c r="BF407" s="1822"/>
      <c r="BG407" s="1822"/>
      <c r="BH407" s="1822"/>
      <c r="BI407" s="1822"/>
      <c r="BJ407" s="1822"/>
      <c r="BK407" s="1822"/>
      <c r="BL407" s="1822"/>
      <c r="BM407" s="1822"/>
      <c r="BN407" s="1822"/>
      <c r="BO407" s="1822"/>
      <c r="BP407" s="1822"/>
      <c r="BQ407" s="1822"/>
      <c r="BR407" s="1822"/>
      <c r="BS407" s="1822"/>
      <c r="BT407" s="1822"/>
      <c r="BU407" s="1822"/>
      <c r="BV407" s="1822"/>
      <c r="BW407" s="1822"/>
      <c r="BX407" s="1822"/>
      <c r="BY407" s="1822"/>
      <c r="BZ407" s="1822"/>
      <c r="CA407" s="1822"/>
      <c r="CB407" s="1822"/>
      <c r="CC407" s="1822"/>
      <c r="CD407" s="1822"/>
      <c r="CE407" s="1822"/>
      <c r="CF407" s="1822"/>
      <c r="CG407" s="1822"/>
      <c r="CH407" s="1822"/>
      <c r="CI407" s="1822"/>
      <c r="CJ407" s="1822"/>
      <c r="CK407" s="1822"/>
    </row>
    <row r="408" spans="1:89" s="675" customFormat="1" ht="17.25" customHeight="1" x14ac:dyDescent="0.25">
      <c r="A408" s="692">
        <v>1</v>
      </c>
      <c r="B408" s="1344" t="s">
        <v>21</v>
      </c>
      <c r="C408" s="693"/>
      <c r="D408" s="727"/>
      <c r="E408" s="695"/>
      <c r="F408" s="695"/>
      <c r="G408" s="695"/>
      <c r="H408" s="695"/>
      <c r="I408" s="695"/>
      <c r="J408" s="695"/>
      <c r="K408" s="695"/>
      <c r="L408" s="695"/>
      <c r="M408" s="695"/>
      <c r="N408" s="695"/>
      <c r="O408" s="696">
        <f>N408+K408+H408</f>
        <v>0</v>
      </c>
      <c r="P408" s="687"/>
      <c r="Q408" s="1821"/>
      <c r="R408" s="1821"/>
      <c r="S408" s="1821"/>
      <c r="T408" s="1821"/>
      <c r="U408" s="1821"/>
      <c r="V408" s="1821"/>
      <c r="W408" s="1821"/>
      <c r="X408" s="1821"/>
      <c r="Y408" s="1821"/>
      <c r="Z408" s="1821"/>
      <c r="AA408" s="1821"/>
      <c r="AB408" s="1821"/>
      <c r="AC408" s="1821"/>
      <c r="AD408" s="1821"/>
      <c r="AE408" s="1821"/>
      <c r="AF408" s="1821"/>
      <c r="AG408" s="1821"/>
      <c r="AH408" s="1821"/>
      <c r="AI408" s="1821"/>
      <c r="AJ408" s="1821"/>
      <c r="AK408" s="1821"/>
      <c r="AL408" s="1821"/>
      <c r="AM408" s="1821"/>
      <c r="AN408" s="1821"/>
      <c r="AO408" s="1821"/>
      <c r="AP408" s="1821"/>
      <c r="AQ408" s="1821"/>
      <c r="AR408" s="1821"/>
      <c r="AS408" s="1821"/>
      <c r="AT408" s="1821"/>
      <c r="AU408" s="1821"/>
      <c r="AV408" s="1821"/>
      <c r="AW408" s="1821"/>
      <c r="AX408" s="1821"/>
      <c r="AY408" s="1821"/>
      <c r="AZ408" s="1821"/>
      <c r="BA408" s="1821"/>
      <c r="BB408" s="1821"/>
      <c r="BC408" s="1821"/>
      <c r="BD408" s="1821"/>
      <c r="BE408" s="1821"/>
      <c r="BF408" s="1821"/>
      <c r="BG408" s="1821"/>
      <c r="BH408" s="1821"/>
      <c r="BI408" s="1821"/>
      <c r="BJ408" s="1821"/>
      <c r="BK408" s="1821"/>
      <c r="BL408" s="1821"/>
      <c r="BM408" s="1821"/>
      <c r="BN408" s="1821"/>
      <c r="BO408" s="1821"/>
      <c r="BP408" s="1821"/>
      <c r="BQ408" s="1821"/>
      <c r="BR408" s="1821"/>
      <c r="BS408" s="1821"/>
      <c r="BT408" s="1821"/>
      <c r="BU408" s="1821"/>
      <c r="BV408" s="1821"/>
      <c r="BW408" s="1821"/>
      <c r="BX408" s="1821"/>
      <c r="BY408" s="1821"/>
      <c r="BZ408" s="1821"/>
      <c r="CA408" s="1821"/>
      <c r="CB408" s="1821"/>
      <c r="CC408" s="1821"/>
      <c r="CD408" s="1821"/>
      <c r="CE408" s="1821"/>
      <c r="CF408" s="1821"/>
      <c r="CG408" s="1821"/>
      <c r="CH408" s="1821"/>
      <c r="CI408" s="1821"/>
      <c r="CJ408" s="1821"/>
      <c r="CK408" s="1821"/>
    </row>
    <row r="409" spans="1:89" s="675" customFormat="1" ht="17.25" customHeight="1" x14ac:dyDescent="0.25">
      <c r="A409" s="692"/>
      <c r="B409" s="1344" t="s">
        <v>24</v>
      </c>
      <c r="C409" s="693"/>
      <c r="D409" s="727"/>
      <c r="E409" s="695">
        <v>0</v>
      </c>
      <c r="F409" s="695">
        <v>0</v>
      </c>
      <c r="G409" s="695"/>
      <c r="H409" s="695"/>
      <c r="I409" s="695"/>
      <c r="J409" s="695"/>
      <c r="K409" s="695"/>
      <c r="L409" s="695"/>
      <c r="M409" s="695"/>
      <c r="N409" s="695"/>
      <c r="O409" s="696">
        <f>N409+K409+H409</f>
        <v>0</v>
      </c>
      <c r="P409" s="687"/>
      <c r="Q409" s="1821"/>
      <c r="R409" s="1821"/>
      <c r="S409" s="1821"/>
      <c r="T409" s="1821"/>
      <c r="U409" s="1821"/>
      <c r="V409" s="1821"/>
      <c r="W409" s="1821"/>
      <c r="X409" s="1821"/>
      <c r="Y409" s="1821"/>
      <c r="Z409" s="1821"/>
      <c r="AA409" s="1821"/>
      <c r="AB409" s="1821"/>
      <c r="AC409" s="1821"/>
      <c r="AD409" s="1821"/>
      <c r="AE409" s="1821"/>
      <c r="AF409" s="1821"/>
      <c r="AG409" s="1821"/>
      <c r="AH409" s="1821"/>
      <c r="AI409" s="1821"/>
      <c r="AJ409" s="1821"/>
      <c r="AK409" s="1821"/>
      <c r="AL409" s="1821"/>
      <c r="AM409" s="1821"/>
      <c r="AN409" s="1821"/>
      <c r="AO409" s="1821"/>
      <c r="AP409" s="1821"/>
      <c r="AQ409" s="1821"/>
      <c r="AR409" s="1821"/>
      <c r="AS409" s="1821"/>
      <c r="AT409" s="1821"/>
      <c r="AU409" s="1821"/>
      <c r="AV409" s="1821"/>
      <c r="AW409" s="1821"/>
      <c r="AX409" s="1821"/>
      <c r="AY409" s="1821"/>
      <c r="AZ409" s="1821"/>
      <c r="BA409" s="1821"/>
      <c r="BB409" s="1821"/>
      <c r="BC409" s="1821"/>
      <c r="BD409" s="1821"/>
      <c r="BE409" s="1821"/>
      <c r="BF409" s="1821"/>
      <c r="BG409" s="1821"/>
      <c r="BH409" s="1821"/>
      <c r="BI409" s="1821"/>
      <c r="BJ409" s="1821"/>
      <c r="BK409" s="1821"/>
      <c r="BL409" s="1821"/>
      <c r="BM409" s="1821"/>
      <c r="BN409" s="1821"/>
      <c r="BO409" s="1821"/>
      <c r="BP409" s="1821"/>
      <c r="BQ409" s="1821"/>
      <c r="BR409" s="1821"/>
      <c r="BS409" s="1821"/>
      <c r="BT409" s="1821"/>
      <c r="BU409" s="1821"/>
      <c r="BV409" s="1821"/>
      <c r="BW409" s="1821"/>
      <c r="BX409" s="1821"/>
      <c r="BY409" s="1821"/>
      <c r="BZ409" s="1821"/>
      <c r="CA409" s="1821"/>
      <c r="CB409" s="1821"/>
      <c r="CC409" s="1821"/>
      <c r="CD409" s="1821"/>
      <c r="CE409" s="1821"/>
      <c r="CF409" s="1821"/>
      <c r="CG409" s="1821"/>
      <c r="CH409" s="1821"/>
      <c r="CI409" s="1821"/>
      <c r="CJ409" s="1821"/>
      <c r="CK409" s="1821"/>
    </row>
    <row r="410" spans="1:89" ht="17.25" customHeight="1" x14ac:dyDescent="0.25">
      <c r="A410" s="692"/>
      <c r="B410" s="1344" t="s">
        <v>1505</v>
      </c>
      <c r="C410" s="693">
        <v>1</v>
      </c>
      <c r="D410" s="727" t="s">
        <v>25</v>
      </c>
      <c r="E410" s="695">
        <v>1463227</v>
      </c>
      <c r="F410" s="695">
        <v>0</v>
      </c>
      <c r="G410" s="695"/>
      <c r="H410" s="695"/>
      <c r="I410" s="695"/>
      <c r="J410" s="695">
        <f>E410*C410</f>
        <v>1463227</v>
      </c>
      <c r="K410" s="695">
        <f>I410+J410</f>
        <v>1463227</v>
      </c>
      <c r="L410" s="695"/>
      <c r="M410" s="695"/>
      <c r="N410" s="695"/>
      <c r="O410" s="696">
        <f>N410+K410+H410</f>
        <v>1463227</v>
      </c>
      <c r="P410" s="687"/>
    </row>
    <row r="411" spans="1:89" ht="28.5" customHeight="1" x14ac:dyDescent="0.25">
      <c r="A411" s="692"/>
      <c r="B411" s="1344" t="s">
        <v>1506</v>
      </c>
      <c r="C411" s="693">
        <v>1</v>
      </c>
      <c r="D411" s="727" t="s">
        <v>25</v>
      </c>
      <c r="E411" s="695">
        <v>0</v>
      </c>
      <c r="F411" s="695"/>
      <c r="G411" s="695"/>
      <c r="H411" s="695"/>
      <c r="I411" s="695"/>
      <c r="J411" s="695">
        <f>E411*C411</f>
        <v>0</v>
      </c>
      <c r="K411" s="695">
        <f>I411+J411</f>
        <v>0</v>
      </c>
      <c r="L411" s="695"/>
      <c r="M411" s="695"/>
      <c r="N411" s="695"/>
      <c r="O411" s="696">
        <f>N411+K411+H411</f>
        <v>0</v>
      </c>
      <c r="P411" s="687"/>
    </row>
    <row r="412" spans="1:89" ht="17.25" customHeight="1" x14ac:dyDescent="0.25">
      <c r="A412" s="692"/>
      <c r="B412" s="1345"/>
      <c r="C412" s="693"/>
      <c r="D412" s="727"/>
      <c r="E412" s="695"/>
      <c r="F412" s="695"/>
      <c r="G412" s="695"/>
      <c r="H412" s="695"/>
      <c r="I412" s="695"/>
      <c r="J412" s="695"/>
      <c r="K412" s="695"/>
      <c r="L412" s="695"/>
      <c r="M412" s="695"/>
      <c r="N412" s="695"/>
      <c r="O412" s="696"/>
      <c r="P412" s="687"/>
    </row>
    <row r="413" spans="1:89" ht="17.25" customHeight="1" x14ac:dyDescent="0.25">
      <c r="A413" s="692">
        <v>2</v>
      </c>
      <c r="B413" s="1344" t="s">
        <v>19</v>
      </c>
      <c r="C413" s="699"/>
      <c r="D413" s="727"/>
      <c r="E413" s="695"/>
      <c r="F413" s="695"/>
      <c r="G413" s="695"/>
      <c r="H413" s="695"/>
      <c r="I413" s="695"/>
      <c r="J413" s="695"/>
      <c r="K413" s="695"/>
      <c r="L413" s="695"/>
      <c r="M413" s="695"/>
      <c r="N413" s="695"/>
      <c r="O413" s="696">
        <f>N413+K413+H413</f>
        <v>0</v>
      </c>
      <c r="P413" s="687"/>
    </row>
    <row r="414" spans="1:89" ht="17.25" customHeight="1" x14ac:dyDescent="0.25">
      <c r="A414" s="692"/>
      <c r="B414" s="1345" t="s">
        <v>26</v>
      </c>
      <c r="C414" s="699">
        <v>1</v>
      </c>
      <c r="D414" s="727" t="s">
        <v>25</v>
      </c>
      <c r="E414" s="695">
        <v>70000</v>
      </c>
      <c r="F414" s="714"/>
      <c r="G414" s="714"/>
      <c r="H414" s="714"/>
      <c r="I414" s="714"/>
      <c r="J414" s="695">
        <f>C414*E414</f>
        <v>70000</v>
      </c>
      <c r="K414" s="695">
        <f>I414+J414</f>
        <v>70000</v>
      </c>
      <c r="L414" s="714"/>
      <c r="M414" s="714"/>
      <c r="N414" s="714"/>
      <c r="O414" s="696">
        <f>N414+K414+H414</f>
        <v>70000</v>
      </c>
      <c r="P414" s="687"/>
    </row>
    <row r="415" spans="1:89" ht="17.25" customHeight="1" x14ac:dyDescent="0.25">
      <c r="A415" s="692"/>
      <c r="B415" s="1375"/>
      <c r="C415" s="699"/>
      <c r="D415" s="727"/>
      <c r="E415" s="695"/>
      <c r="F415" s="714"/>
      <c r="G415" s="714"/>
      <c r="H415" s="714"/>
      <c r="I415" s="714"/>
      <c r="J415" s="695"/>
      <c r="K415" s="695"/>
      <c r="L415" s="714"/>
      <c r="M415" s="714"/>
      <c r="N415" s="714"/>
      <c r="O415" s="696"/>
      <c r="P415" s="687"/>
    </row>
    <row r="416" spans="1:89" s="672" customFormat="1" ht="17.25" customHeight="1" x14ac:dyDescent="0.25">
      <c r="A416" s="740" t="s">
        <v>28</v>
      </c>
      <c r="B416" s="1376" t="s">
        <v>29</v>
      </c>
      <c r="C416" s="1377"/>
      <c r="D416" s="1369"/>
      <c r="E416" s="705"/>
      <c r="F416" s="874">
        <f>SUM(F419:F441)</f>
        <v>0</v>
      </c>
      <c r="G416" s="874">
        <f>SUM(G419:G441)</f>
        <v>0</v>
      </c>
      <c r="H416" s="874">
        <f>G416+F416</f>
        <v>0</v>
      </c>
      <c r="I416" s="874">
        <f>SUM(I419:I441)</f>
        <v>0</v>
      </c>
      <c r="J416" s="705">
        <f>SUM(J419:J441)</f>
        <v>883840</v>
      </c>
      <c r="K416" s="705">
        <f>J416+I416</f>
        <v>883840</v>
      </c>
      <c r="L416" s="874">
        <f>SUM(L419:L441)</f>
        <v>0</v>
      </c>
      <c r="M416" s="874">
        <f>SUM(M419:M441)</f>
        <v>0</v>
      </c>
      <c r="N416" s="874">
        <f>L416+M416</f>
        <v>0</v>
      </c>
      <c r="O416" s="1370">
        <f>N416+K416+H416</f>
        <v>883840</v>
      </c>
      <c r="P416" s="829"/>
      <c r="Q416" s="1581"/>
      <c r="R416" s="1581"/>
      <c r="S416" s="1581"/>
      <c r="T416" s="1581"/>
      <c r="U416" s="1581"/>
      <c r="V416" s="1581"/>
      <c r="W416" s="1581"/>
      <c r="X416" s="1581"/>
      <c r="Y416" s="1581"/>
      <c r="Z416" s="1581"/>
      <c r="AA416" s="1581"/>
      <c r="AB416" s="1581"/>
      <c r="AC416" s="1581"/>
      <c r="AD416" s="1581"/>
      <c r="AE416" s="1581"/>
      <c r="AF416" s="1581"/>
      <c r="AG416" s="1581"/>
      <c r="AH416" s="1581"/>
      <c r="AI416" s="1581"/>
      <c r="AJ416" s="1581"/>
      <c r="AK416" s="1581"/>
      <c r="AL416" s="1581"/>
      <c r="AM416" s="1581"/>
      <c r="AN416" s="1581"/>
      <c r="AO416" s="1581"/>
      <c r="AP416" s="1581"/>
      <c r="AQ416" s="1581"/>
      <c r="AR416" s="1581"/>
      <c r="AS416" s="1581"/>
      <c r="AT416" s="1581"/>
      <c r="AU416" s="1581"/>
      <c r="AV416" s="1581"/>
      <c r="AW416" s="1581"/>
      <c r="AX416" s="1581"/>
      <c r="AY416" s="1581"/>
      <c r="AZ416" s="1581"/>
      <c r="BA416" s="1581"/>
      <c r="BB416" s="1581"/>
      <c r="BC416" s="1581"/>
      <c r="BD416" s="1581"/>
      <c r="BE416" s="1581"/>
      <c r="BF416" s="1581"/>
      <c r="BG416" s="1581"/>
      <c r="BH416" s="1581"/>
      <c r="BI416" s="1581"/>
      <c r="BJ416" s="1581"/>
      <c r="BK416" s="1581"/>
      <c r="BL416" s="1581"/>
      <c r="BM416" s="1581"/>
      <c r="BN416" s="1581"/>
      <c r="BO416" s="1581"/>
      <c r="BP416" s="1581"/>
      <c r="BQ416" s="1581"/>
      <c r="BR416" s="1581"/>
      <c r="BS416" s="1581"/>
      <c r="BT416" s="1581"/>
      <c r="BU416" s="1581"/>
      <c r="BV416" s="1581"/>
      <c r="BW416" s="1581"/>
      <c r="BX416" s="1581"/>
      <c r="BY416" s="1581"/>
      <c r="BZ416" s="1581"/>
      <c r="CA416" s="1581"/>
      <c r="CB416" s="1581"/>
      <c r="CC416" s="1581"/>
      <c r="CD416" s="1581"/>
      <c r="CE416" s="1581"/>
      <c r="CF416" s="1581"/>
      <c r="CG416" s="1581"/>
      <c r="CH416" s="1581"/>
      <c r="CI416" s="1581"/>
      <c r="CJ416" s="1581"/>
      <c r="CK416" s="1581"/>
    </row>
    <row r="417" spans="1:16" ht="17.25" customHeight="1" x14ac:dyDescent="0.25">
      <c r="A417" s="692"/>
      <c r="B417" s="1375"/>
      <c r="C417" s="699"/>
      <c r="D417" s="727"/>
      <c r="E417" s="695"/>
      <c r="F417" s="714"/>
      <c r="G417" s="714"/>
      <c r="H417" s="714"/>
      <c r="I417" s="714"/>
      <c r="J417" s="695"/>
      <c r="K417" s="695"/>
      <c r="L417" s="714"/>
      <c r="M417" s="714"/>
      <c r="N417" s="714"/>
      <c r="O417" s="696"/>
      <c r="P417" s="687"/>
    </row>
    <row r="418" spans="1:16" ht="17.25" customHeight="1" x14ac:dyDescent="0.25">
      <c r="A418" s="692">
        <v>1</v>
      </c>
      <c r="B418" s="1375" t="s">
        <v>19</v>
      </c>
      <c r="C418" s="699"/>
      <c r="D418" s="727"/>
      <c r="E418" s="695"/>
      <c r="F418" s="714"/>
      <c r="G418" s="714"/>
      <c r="H418" s="714"/>
      <c r="I418" s="714"/>
      <c r="J418" s="695"/>
      <c r="K418" s="695"/>
      <c r="L418" s="714"/>
      <c r="M418" s="714"/>
      <c r="N418" s="714"/>
      <c r="O418" s="696">
        <f t="shared" ref="O418:O439" si="29">N418+K418+H418</f>
        <v>0</v>
      </c>
      <c r="P418" s="687"/>
    </row>
    <row r="419" spans="1:16" ht="17.25" customHeight="1" x14ac:dyDescent="0.25">
      <c r="A419" s="692"/>
      <c r="B419" s="1375" t="s">
        <v>30</v>
      </c>
      <c r="C419" s="699">
        <v>12</v>
      </c>
      <c r="D419" s="727" t="s">
        <v>20</v>
      </c>
      <c r="E419" s="695">
        <v>1580</v>
      </c>
      <c r="F419" s="714"/>
      <c r="G419" s="714"/>
      <c r="H419" s="714"/>
      <c r="I419" s="714"/>
      <c r="J419" s="695">
        <f>C419*E419</f>
        <v>18960</v>
      </c>
      <c r="K419" s="695">
        <f>I419+J419</f>
        <v>18960</v>
      </c>
      <c r="L419" s="714"/>
      <c r="M419" s="714"/>
      <c r="N419" s="714"/>
      <c r="O419" s="696">
        <f t="shared" si="29"/>
        <v>18960</v>
      </c>
      <c r="P419" s="687"/>
    </row>
    <row r="420" spans="1:16" ht="17.25" customHeight="1" x14ac:dyDescent="0.25">
      <c r="A420" s="692"/>
      <c r="B420" s="1375" t="s">
        <v>92</v>
      </c>
      <c r="C420" s="699">
        <v>12</v>
      </c>
      <c r="D420" s="727" t="s">
        <v>20</v>
      </c>
      <c r="E420" s="695">
        <v>1330</v>
      </c>
      <c r="F420" s="714"/>
      <c r="G420" s="714"/>
      <c r="H420" s="714"/>
      <c r="I420" s="714"/>
      <c r="J420" s="695">
        <f>C420*E420</f>
        <v>15960</v>
      </c>
      <c r="K420" s="695">
        <f>I420+J420</f>
        <v>15960</v>
      </c>
      <c r="L420" s="714"/>
      <c r="M420" s="714"/>
      <c r="N420" s="714"/>
      <c r="O420" s="696">
        <f t="shared" si="29"/>
        <v>15960</v>
      </c>
      <c r="P420" s="687"/>
    </row>
    <row r="421" spans="1:16" ht="17.25" customHeight="1" x14ac:dyDescent="0.25">
      <c r="A421" s="692"/>
      <c r="B421" s="1375" t="s">
        <v>31</v>
      </c>
      <c r="C421" s="699">
        <v>12</v>
      </c>
      <c r="D421" s="727" t="s">
        <v>20</v>
      </c>
      <c r="E421" s="695">
        <v>1250</v>
      </c>
      <c r="F421" s="714"/>
      <c r="G421" s="714"/>
      <c r="H421" s="714"/>
      <c r="I421" s="714"/>
      <c r="J421" s="695">
        <f>C421*E421</f>
        <v>15000</v>
      </c>
      <c r="K421" s="695">
        <f>I421+J421</f>
        <v>15000</v>
      </c>
      <c r="L421" s="714"/>
      <c r="M421" s="714"/>
      <c r="N421" s="714"/>
      <c r="O421" s="696">
        <f t="shared" si="29"/>
        <v>15000</v>
      </c>
      <c r="P421" s="687"/>
    </row>
    <row r="422" spans="1:16" ht="17.25" customHeight="1" x14ac:dyDescent="0.25">
      <c r="A422" s="692"/>
      <c r="B422" s="1375" t="s">
        <v>32</v>
      </c>
      <c r="C422" s="699">
        <v>12</v>
      </c>
      <c r="D422" s="727" t="s">
        <v>20</v>
      </c>
      <c r="E422" s="695">
        <v>1090</v>
      </c>
      <c r="F422" s="714"/>
      <c r="G422" s="714"/>
      <c r="H422" s="714"/>
      <c r="I422" s="714"/>
      <c r="J422" s="695">
        <f>C422*E422</f>
        <v>13080</v>
      </c>
      <c r="K422" s="695">
        <f>I422+J422</f>
        <v>13080</v>
      </c>
      <c r="L422" s="714"/>
      <c r="M422" s="714"/>
      <c r="N422" s="714"/>
      <c r="O422" s="696">
        <f t="shared" si="29"/>
        <v>13080</v>
      </c>
      <c r="P422" s="687"/>
    </row>
    <row r="423" spans="1:16" ht="17.25" customHeight="1" x14ac:dyDescent="0.25">
      <c r="A423" s="692"/>
      <c r="B423" s="1375" t="s">
        <v>33</v>
      </c>
      <c r="C423" s="699">
        <v>60</v>
      </c>
      <c r="D423" s="727" t="s">
        <v>20</v>
      </c>
      <c r="E423" s="695">
        <v>810</v>
      </c>
      <c r="F423" s="714"/>
      <c r="G423" s="714"/>
      <c r="H423" s="714"/>
      <c r="I423" s="714"/>
      <c r="J423" s="695">
        <f>C423*E423</f>
        <v>48600</v>
      </c>
      <c r="K423" s="695">
        <f>I423+J423</f>
        <v>48600</v>
      </c>
      <c r="L423" s="714"/>
      <c r="M423" s="714"/>
      <c r="N423" s="714"/>
      <c r="O423" s="696">
        <f t="shared" si="29"/>
        <v>48600</v>
      </c>
      <c r="P423" s="687"/>
    </row>
    <row r="424" spans="1:16" ht="17.25" customHeight="1" x14ac:dyDescent="0.25">
      <c r="A424" s="692"/>
      <c r="B424" s="1375" t="s">
        <v>34</v>
      </c>
      <c r="C424" s="699"/>
      <c r="D424" s="727"/>
      <c r="E424" s="695"/>
      <c r="F424" s="714"/>
      <c r="G424" s="714"/>
      <c r="H424" s="714"/>
      <c r="I424" s="714"/>
      <c r="J424" s="695"/>
      <c r="K424" s="695"/>
      <c r="L424" s="714"/>
      <c r="M424" s="714"/>
      <c r="N424" s="714"/>
      <c r="O424" s="696">
        <f t="shared" si="29"/>
        <v>0</v>
      </c>
      <c r="P424" s="687"/>
    </row>
    <row r="425" spans="1:16" ht="17.25" customHeight="1" x14ac:dyDescent="0.25">
      <c r="A425" s="692"/>
      <c r="B425" s="1375" t="s">
        <v>35</v>
      </c>
      <c r="C425" s="699">
        <v>12</v>
      </c>
      <c r="D425" s="727" t="s">
        <v>20</v>
      </c>
      <c r="E425" s="695">
        <v>400</v>
      </c>
      <c r="F425" s="714"/>
      <c r="G425" s="714"/>
      <c r="H425" s="714"/>
      <c r="I425" s="714"/>
      <c r="J425" s="695">
        <f>C425*E425</f>
        <v>4800</v>
      </c>
      <c r="K425" s="695">
        <f>I425+J425</f>
        <v>4800</v>
      </c>
      <c r="L425" s="714"/>
      <c r="M425" s="714"/>
      <c r="N425" s="714"/>
      <c r="O425" s="696">
        <f t="shared" si="29"/>
        <v>4800</v>
      </c>
      <c r="P425" s="687"/>
    </row>
    <row r="426" spans="1:16" ht="17.25" customHeight="1" x14ac:dyDescent="0.25">
      <c r="A426" s="692"/>
      <c r="B426" s="1375" t="s">
        <v>36</v>
      </c>
      <c r="C426" s="699">
        <v>48</v>
      </c>
      <c r="D426" s="727" t="s">
        <v>20</v>
      </c>
      <c r="E426" s="695">
        <v>300</v>
      </c>
      <c r="F426" s="714"/>
      <c r="G426" s="714"/>
      <c r="H426" s="714"/>
      <c r="I426" s="714"/>
      <c r="J426" s="695">
        <f>C426*E426</f>
        <v>14400</v>
      </c>
      <c r="K426" s="695">
        <f>I426+J426</f>
        <v>14400</v>
      </c>
      <c r="L426" s="714"/>
      <c r="M426" s="714"/>
      <c r="N426" s="714"/>
      <c r="O426" s="696">
        <f t="shared" si="29"/>
        <v>14400</v>
      </c>
      <c r="P426" s="687"/>
    </row>
    <row r="427" spans="1:16" ht="17.25" customHeight="1" x14ac:dyDescent="0.25">
      <c r="A427" s="692"/>
      <c r="B427" s="1375" t="s">
        <v>38</v>
      </c>
      <c r="C427" s="699">
        <v>1</v>
      </c>
      <c r="D427" s="727" t="s">
        <v>25</v>
      </c>
      <c r="E427" s="695">
        <v>75000</v>
      </c>
      <c r="F427" s="714"/>
      <c r="G427" s="714"/>
      <c r="H427" s="714"/>
      <c r="I427" s="714"/>
      <c r="J427" s="695">
        <f>C427*E427</f>
        <v>75000</v>
      </c>
      <c r="K427" s="695">
        <f>I427+J427</f>
        <v>75000</v>
      </c>
      <c r="L427" s="714"/>
      <c r="M427" s="714"/>
      <c r="N427" s="714"/>
      <c r="O427" s="696">
        <f t="shared" si="29"/>
        <v>75000</v>
      </c>
      <c r="P427" s="687"/>
    </row>
    <row r="428" spans="1:16" ht="17.25" customHeight="1" x14ac:dyDescent="0.25">
      <c r="A428" s="692"/>
      <c r="B428" s="1375" t="s">
        <v>39</v>
      </c>
      <c r="C428" s="699">
        <v>1</v>
      </c>
      <c r="D428" s="727" t="s">
        <v>25</v>
      </c>
      <c r="E428" s="695">
        <v>60000</v>
      </c>
      <c r="F428" s="714"/>
      <c r="G428" s="714"/>
      <c r="H428" s="714"/>
      <c r="I428" s="714"/>
      <c r="J428" s="695">
        <f>C428*E428</f>
        <v>60000</v>
      </c>
      <c r="K428" s="695">
        <f>I428+J428</f>
        <v>60000</v>
      </c>
      <c r="L428" s="714"/>
      <c r="M428" s="714"/>
      <c r="N428" s="714"/>
      <c r="O428" s="696">
        <f t="shared" si="29"/>
        <v>60000</v>
      </c>
      <c r="P428" s="687"/>
    </row>
    <row r="429" spans="1:16" ht="17.25" customHeight="1" x14ac:dyDescent="0.25">
      <c r="A429" s="692">
        <v>2</v>
      </c>
      <c r="B429" s="1375" t="s">
        <v>40</v>
      </c>
      <c r="C429" s="699"/>
      <c r="D429" s="727"/>
      <c r="E429" s="695"/>
      <c r="F429" s="714"/>
      <c r="G429" s="714"/>
      <c r="H429" s="714"/>
      <c r="I429" s="714"/>
      <c r="J429" s="695"/>
      <c r="K429" s="695"/>
      <c r="L429" s="714"/>
      <c r="M429" s="714"/>
      <c r="N429" s="714"/>
      <c r="O429" s="696">
        <f t="shared" si="29"/>
        <v>0</v>
      </c>
      <c r="P429" s="687"/>
    </row>
    <row r="430" spans="1:16" ht="17.25" customHeight="1" x14ac:dyDescent="0.25">
      <c r="A430" s="692"/>
      <c r="B430" s="1375" t="s">
        <v>41</v>
      </c>
      <c r="C430" s="699">
        <v>1</v>
      </c>
      <c r="D430" s="727" t="s">
        <v>25</v>
      </c>
      <c r="E430" s="695">
        <v>100000</v>
      </c>
      <c r="F430" s="714"/>
      <c r="G430" s="714"/>
      <c r="H430" s="714"/>
      <c r="I430" s="714"/>
      <c r="J430" s="695">
        <f>C430*E430</f>
        <v>100000</v>
      </c>
      <c r="K430" s="695">
        <f>I430+J430</f>
        <v>100000</v>
      </c>
      <c r="L430" s="714"/>
      <c r="M430" s="714"/>
      <c r="N430" s="714"/>
      <c r="O430" s="696">
        <f t="shared" si="29"/>
        <v>100000</v>
      </c>
      <c r="P430" s="687"/>
    </row>
    <row r="431" spans="1:16" ht="17.25" customHeight="1" x14ac:dyDescent="0.25">
      <c r="A431" s="692"/>
      <c r="B431" s="1375" t="s">
        <v>42</v>
      </c>
      <c r="C431" s="699">
        <v>1</v>
      </c>
      <c r="D431" s="727" t="s">
        <v>25</v>
      </c>
      <c r="E431" s="695">
        <v>80000</v>
      </c>
      <c r="F431" s="714"/>
      <c r="G431" s="714"/>
      <c r="H431" s="714"/>
      <c r="I431" s="714"/>
      <c r="J431" s="695">
        <f>C431*E431</f>
        <v>80000</v>
      </c>
      <c r="K431" s="695">
        <f>I431+J431</f>
        <v>80000</v>
      </c>
      <c r="L431" s="714"/>
      <c r="M431" s="714"/>
      <c r="N431" s="714"/>
      <c r="O431" s="696">
        <f t="shared" si="29"/>
        <v>80000</v>
      </c>
      <c r="P431" s="687"/>
    </row>
    <row r="432" spans="1:16" ht="17.25" customHeight="1" x14ac:dyDescent="0.25">
      <c r="A432" s="692">
        <v>3</v>
      </c>
      <c r="B432" s="1375" t="s">
        <v>43</v>
      </c>
      <c r="C432" s="699"/>
      <c r="D432" s="727"/>
      <c r="E432" s="695"/>
      <c r="F432" s="714"/>
      <c r="G432" s="714"/>
      <c r="H432" s="714"/>
      <c r="I432" s="714"/>
      <c r="J432" s="695"/>
      <c r="K432" s="695"/>
      <c r="L432" s="714"/>
      <c r="M432" s="714"/>
      <c r="N432" s="714"/>
      <c r="O432" s="696">
        <f t="shared" si="29"/>
        <v>0</v>
      </c>
      <c r="P432" s="687"/>
    </row>
    <row r="433" spans="1:89" ht="17.25" customHeight="1" x14ac:dyDescent="0.25">
      <c r="A433" s="692"/>
      <c r="B433" s="1375" t="s">
        <v>44</v>
      </c>
      <c r="C433" s="699">
        <v>10</v>
      </c>
      <c r="D433" s="727" t="s">
        <v>45</v>
      </c>
      <c r="E433" s="695">
        <v>6000</v>
      </c>
      <c r="F433" s="714"/>
      <c r="G433" s="714"/>
      <c r="H433" s="714"/>
      <c r="I433" s="714"/>
      <c r="J433" s="695">
        <f>C433*E433</f>
        <v>60000</v>
      </c>
      <c r="K433" s="695">
        <f>I433+J433</f>
        <v>60000</v>
      </c>
      <c r="L433" s="714"/>
      <c r="M433" s="714"/>
      <c r="N433" s="714"/>
      <c r="O433" s="696">
        <f t="shared" si="29"/>
        <v>60000</v>
      </c>
      <c r="P433" s="687"/>
    </row>
    <row r="434" spans="1:89" ht="17.25" customHeight="1" x14ac:dyDescent="0.25">
      <c r="A434" s="692"/>
      <c r="B434" s="1375"/>
      <c r="C434" s="699"/>
      <c r="D434" s="727"/>
      <c r="E434" s="695"/>
      <c r="F434" s="714"/>
      <c r="G434" s="714"/>
      <c r="H434" s="714"/>
      <c r="I434" s="714"/>
      <c r="J434" s="695"/>
      <c r="K434" s="695"/>
      <c r="L434" s="714"/>
      <c r="M434" s="714"/>
      <c r="N434" s="714"/>
      <c r="O434" s="696">
        <f t="shared" si="29"/>
        <v>0</v>
      </c>
      <c r="P434" s="687"/>
    </row>
    <row r="435" spans="1:89" ht="17.25" customHeight="1" x14ac:dyDescent="0.25">
      <c r="A435" s="692">
        <v>5</v>
      </c>
      <c r="B435" s="1375" t="s">
        <v>48</v>
      </c>
      <c r="C435" s="699"/>
      <c r="D435" s="727"/>
      <c r="E435" s="695" t="s">
        <v>49</v>
      </c>
      <c r="F435" s="714"/>
      <c r="G435" s="714"/>
      <c r="H435" s="714"/>
      <c r="I435" s="714"/>
      <c r="J435" s="695"/>
      <c r="K435" s="695">
        <f>J435+I435</f>
        <v>0</v>
      </c>
      <c r="L435" s="714"/>
      <c r="M435" s="714"/>
      <c r="N435" s="714"/>
      <c r="O435" s="696">
        <f t="shared" si="29"/>
        <v>0</v>
      </c>
      <c r="P435" s="687"/>
    </row>
    <row r="436" spans="1:89" ht="17.25" customHeight="1" x14ac:dyDescent="0.25">
      <c r="A436" s="692"/>
      <c r="B436" s="1375" t="s">
        <v>50</v>
      </c>
      <c r="C436" s="699">
        <v>80</v>
      </c>
      <c r="D436" s="727" t="s">
        <v>51</v>
      </c>
      <c r="E436" s="695">
        <v>1688</v>
      </c>
      <c r="F436" s="714"/>
      <c r="G436" s="714"/>
      <c r="H436" s="714"/>
      <c r="I436" s="714"/>
      <c r="J436" s="695">
        <f>C436*E436</f>
        <v>135040</v>
      </c>
      <c r="K436" s="695">
        <f>I436+J436</f>
        <v>135040</v>
      </c>
      <c r="L436" s="714"/>
      <c r="M436" s="714"/>
      <c r="N436" s="714"/>
      <c r="O436" s="696">
        <f t="shared" si="29"/>
        <v>135040</v>
      </c>
      <c r="P436" s="687"/>
    </row>
    <row r="437" spans="1:89" ht="17.25" customHeight="1" x14ac:dyDescent="0.25">
      <c r="A437" s="692"/>
      <c r="B437" s="1375" t="s">
        <v>52</v>
      </c>
      <c r="C437" s="699">
        <v>220</v>
      </c>
      <c r="D437" s="727" t="s">
        <v>53</v>
      </c>
      <c r="E437" s="695">
        <v>450</v>
      </c>
      <c r="F437" s="714"/>
      <c r="G437" s="714"/>
      <c r="H437" s="714"/>
      <c r="I437" s="714"/>
      <c r="J437" s="695">
        <f>C437*E437</f>
        <v>99000</v>
      </c>
      <c r="K437" s="695">
        <f>I437+J437</f>
        <v>99000</v>
      </c>
      <c r="L437" s="714"/>
      <c r="M437" s="714"/>
      <c r="N437" s="714"/>
      <c r="O437" s="696">
        <f t="shared" si="29"/>
        <v>99000</v>
      </c>
      <c r="P437" s="687"/>
    </row>
    <row r="438" spans="1:89" ht="17.25" customHeight="1" x14ac:dyDescent="0.25">
      <c r="A438" s="692"/>
      <c r="B438" s="1375" t="s">
        <v>54</v>
      </c>
      <c r="C438" s="699">
        <v>220</v>
      </c>
      <c r="D438" s="727" t="s">
        <v>55</v>
      </c>
      <c r="E438" s="695">
        <v>450</v>
      </c>
      <c r="F438" s="714"/>
      <c r="G438" s="714"/>
      <c r="H438" s="714"/>
      <c r="I438" s="714"/>
      <c r="J438" s="695">
        <f>C438*E438</f>
        <v>99000</v>
      </c>
      <c r="K438" s="695">
        <f>I438+J438</f>
        <v>99000</v>
      </c>
      <c r="L438" s="714"/>
      <c r="M438" s="714"/>
      <c r="N438" s="714"/>
      <c r="O438" s="696">
        <f t="shared" si="29"/>
        <v>99000</v>
      </c>
      <c r="P438" s="687"/>
    </row>
    <row r="439" spans="1:89" ht="17.25" customHeight="1" x14ac:dyDescent="0.25">
      <c r="A439" s="692"/>
      <c r="B439" s="1375" t="s">
        <v>56</v>
      </c>
      <c r="C439" s="699">
        <v>150</v>
      </c>
      <c r="D439" s="727" t="s">
        <v>55</v>
      </c>
      <c r="E439" s="695">
        <v>300</v>
      </c>
      <c r="F439" s="714"/>
      <c r="G439" s="714"/>
      <c r="H439" s="714"/>
      <c r="I439" s="714"/>
      <c r="J439" s="695">
        <f>C439*E439</f>
        <v>45000</v>
      </c>
      <c r="K439" s="695">
        <f>I439+J439</f>
        <v>45000</v>
      </c>
      <c r="L439" s="714"/>
      <c r="M439" s="714"/>
      <c r="N439" s="714"/>
      <c r="O439" s="696">
        <f t="shared" si="29"/>
        <v>45000</v>
      </c>
      <c r="P439" s="687"/>
    </row>
    <row r="440" spans="1:89" ht="17.25" customHeight="1" x14ac:dyDescent="0.25">
      <c r="A440" s="692"/>
      <c r="B440" s="1375"/>
      <c r="C440" s="699"/>
      <c r="D440" s="727"/>
      <c r="E440" s="695"/>
      <c r="F440" s="714"/>
      <c r="G440" s="714"/>
      <c r="H440" s="714"/>
      <c r="I440" s="714"/>
      <c r="J440" s="695"/>
      <c r="K440" s="695"/>
      <c r="L440" s="714"/>
      <c r="M440" s="714"/>
      <c r="N440" s="714"/>
      <c r="O440" s="696"/>
      <c r="P440" s="687"/>
    </row>
    <row r="441" spans="1:89" ht="17.25" customHeight="1" x14ac:dyDescent="0.25">
      <c r="A441" s="692">
        <v>16</v>
      </c>
      <c r="B441" s="1375" t="s">
        <v>71</v>
      </c>
      <c r="C441" s="699">
        <v>0</v>
      </c>
      <c r="D441" s="727" t="s">
        <v>16</v>
      </c>
      <c r="E441" s="695">
        <v>15000</v>
      </c>
      <c r="F441" s="714"/>
      <c r="G441" s="714"/>
      <c r="H441" s="714"/>
      <c r="I441" s="714"/>
      <c r="J441" s="695"/>
      <c r="K441" s="695"/>
      <c r="L441" s="714">
        <f>E441*C441</f>
        <v>0</v>
      </c>
      <c r="M441" s="714"/>
      <c r="N441" s="714">
        <f>L441+M441</f>
        <v>0</v>
      </c>
      <c r="O441" s="696">
        <f>N441+K441+H441</f>
        <v>0</v>
      </c>
      <c r="P441" s="687"/>
    </row>
    <row r="442" spans="1:89" ht="17.25" customHeight="1" x14ac:dyDescent="0.25">
      <c r="A442" s="820"/>
      <c r="B442" s="875"/>
      <c r="C442" s="834"/>
      <c r="D442" s="831"/>
      <c r="E442" s="821"/>
      <c r="F442" s="721"/>
      <c r="G442" s="721"/>
      <c r="H442" s="721"/>
      <c r="I442" s="721"/>
      <c r="J442" s="821"/>
      <c r="K442" s="821"/>
      <c r="L442" s="721"/>
      <c r="M442" s="721"/>
      <c r="N442" s="721"/>
      <c r="O442" s="822"/>
      <c r="P442" s="687"/>
    </row>
    <row r="443" spans="1:89" ht="22.5" customHeight="1" x14ac:dyDescent="0.25">
      <c r="A443" s="1210" t="s">
        <v>94</v>
      </c>
      <c r="B443" s="1211" t="s">
        <v>95</v>
      </c>
      <c r="C443" s="1212"/>
      <c r="D443" s="1213"/>
      <c r="E443" s="1214"/>
      <c r="F443" s="1214">
        <f>F445+F453+F466</f>
        <v>0</v>
      </c>
      <c r="G443" s="1214">
        <f>G445+G453+G466</f>
        <v>0</v>
      </c>
      <c r="H443" s="1214">
        <f>G443+F443</f>
        <v>0</v>
      </c>
      <c r="I443" s="1214">
        <f>I445+I453+I466</f>
        <v>0</v>
      </c>
      <c r="J443" s="1214">
        <f>J445+J453+J466</f>
        <v>3012300</v>
      </c>
      <c r="K443" s="1214">
        <f>J443+I443</f>
        <v>3012300</v>
      </c>
      <c r="L443" s="1214">
        <f>L445+L453+L466</f>
        <v>6157963</v>
      </c>
      <c r="M443" s="1214">
        <f>M445+M453+M466</f>
        <v>0</v>
      </c>
      <c r="N443" s="1214">
        <f>M443+L443</f>
        <v>6157963</v>
      </c>
      <c r="O443" s="1215">
        <f>N443+K443+H443</f>
        <v>9170263</v>
      </c>
      <c r="P443" s="680"/>
    </row>
    <row r="444" spans="1:89" ht="17.25" customHeight="1" x14ac:dyDescent="0.25">
      <c r="A444" s="681"/>
      <c r="B444" s="876"/>
      <c r="C444" s="682"/>
      <c r="D444" s="683"/>
      <c r="E444" s="685"/>
      <c r="F444" s="685"/>
      <c r="G444" s="685"/>
      <c r="H444" s="685"/>
      <c r="I444" s="685"/>
      <c r="J444" s="685"/>
      <c r="K444" s="685"/>
      <c r="L444" s="685"/>
      <c r="M444" s="685"/>
      <c r="N444" s="685"/>
      <c r="O444" s="686">
        <f>N444+K444+H444</f>
        <v>0</v>
      </c>
      <c r="P444" s="687"/>
    </row>
    <row r="445" spans="1:89" s="676" customFormat="1" ht="31.5" customHeight="1" x14ac:dyDescent="0.25">
      <c r="A445" s="740" t="s">
        <v>15</v>
      </c>
      <c r="B445" s="1372" t="s">
        <v>1156</v>
      </c>
      <c r="C445" s="828"/>
      <c r="D445" s="738"/>
      <c r="E445" s="705"/>
      <c r="F445" s="705">
        <f>SUM(F446:F452)</f>
        <v>0</v>
      </c>
      <c r="G445" s="705">
        <f>SUM(G446:G452)</f>
        <v>0</v>
      </c>
      <c r="H445" s="705">
        <f>F445+G445</f>
        <v>0</v>
      </c>
      <c r="I445" s="705">
        <f>SUM(I446:I452)</f>
        <v>0</v>
      </c>
      <c r="J445" s="705">
        <f>SUM(J446:J452)</f>
        <v>0</v>
      </c>
      <c r="K445" s="705">
        <f>I445+J445</f>
        <v>0</v>
      </c>
      <c r="L445" s="705">
        <f>SUM(L446:L452)</f>
        <v>6142963</v>
      </c>
      <c r="M445" s="705">
        <f>SUM(M446:M452)</f>
        <v>0</v>
      </c>
      <c r="N445" s="705">
        <f>L445+M445</f>
        <v>6142963</v>
      </c>
      <c r="O445" s="1370">
        <f>N445+K445+H445</f>
        <v>6142963</v>
      </c>
      <c r="P445" s="829"/>
      <c r="Q445" s="1822"/>
      <c r="R445" s="1822"/>
      <c r="S445" s="1822"/>
      <c r="T445" s="1822"/>
      <c r="U445" s="1822"/>
      <c r="V445" s="1822"/>
      <c r="W445" s="1822"/>
      <c r="X445" s="1822"/>
      <c r="Y445" s="1822"/>
      <c r="Z445" s="1822"/>
      <c r="AA445" s="1822"/>
      <c r="AB445" s="1822"/>
      <c r="AC445" s="1822"/>
      <c r="AD445" s="1822"/>
      <c r="AE445" s="1822"/>
      <c r="AF445" s="1822"/>
      <c r="AG445" s="1822"/>
      <c r="AH445" s="1822"/>
      <c r="AI445" s="1822"/>
      <c r="AJ445" s="1822"/>
      <c r="AK445" s="1822"/>
      <c r="AL445" s="1822"/>
      <c r="AM445" s="1822"/>
      <c r="AN445" s="1822"/>
      <c r="AO445" s="1822"/>
      <c r="AP445" s="1822"/>
      <c r="AQ445" s="1822"/>
      <c r="AR445" s="1822"/>
      <c r="AS445" s="1822"/>
      <c r="AT445" s="1822"/>
      <c r="AU445" s="1822"/>
      <c r="AV445" s="1822"/>
      <c r="AW445" s="1822"/>
      <c r="AX445" s="1822"/>
      <c r="AY445" s="1822"/>
      <c r="AZ445" s="1822"/>
      <c r="BA445" s="1822"/>
      <c r="BB445" s="1822"/>
      <c r="BC445" s="1822"/>
      <c r="BD445" s="1822"/>
      <c r="BE445" s="1822"/>
      <c r="BF445" s="1822"/>
      <c r="BG445" s="1822"/>
      <c r="BH445" s="1822"/>
      <c r="BI445" s="1822"/>
      <c r="BJ445" s="1822"/>
      <c r="BK445" s="1822"/>
      <c r="BL445" s="1822"/>
      <c r="BM445" s="1822"/>
      <c r="BN445" s="1822"/>
      <c r="BO445" s="1822"/>
      <c r="BP445" s="1822"/>
      <c r="BQ445" s="1822"/>
      <c r="BR445" s="1822"/>
      <c r="BS445" s="1822"/>
      <c r="BT445" s="1822"/>
      <c r="BU445" s="1822"/>
      <c r="BV445" s="1822"/>
      <c r="BW445" s="1822"/>
      <c r="BX445" s="1822"/>
      <c r="BY445" s="1822"/>
      <c r="BZ445" s="1822"/>
      <c r="CA445" s="1822"/>
      <c r="CB445" s="1822"/>
      <c r="CC445" s="1822"/>
      <c r="CD445" s="1822"/>
      <c r="CE445" s="1822"/>
      <c r="CF445" s="1822"/>
      <c r="CG445" s="1822"/>
      <c r="CH445" s="1822"/>
      <c r="CI445" s="1822"/>
      <c r="CJ445" s="1822"/>
      <c r="CK445" s="1822"/>
    </row>
    <row r="446" spans="1:89" s="673" customFormat="1" ht="17.25" customHeight="1" x14ac:dyDescent="0.2">
      <c r="A446" s="1378">
        <v>1</v>
      </c>
      <c r="B446" s="689" t="s">
        <v>599</v>
      </c>
      <c r="C446" s="1284">
        <v>1</v>
      </c>
      <c r="D446" s="1285" t="s">
        <v>16</v>
      </c>
      <c r="E446" s="1379">
        <f>1167777-167777</f>
        <v>1000000</v>
      </c>
      <c r="F446" s="695"/>
      <c r="G446" s="695"/>
      <c r="H446" s="695"/>
      <c r="I446" s="695"/>
      <c r="J446" s="695"/>
      <c r="K446" s="695"/>
      <c r="L446" s="695">
        <f t="shared" ref="L446:L451" si="30">E446*C446</f>
        <v>1000000</v>
      </c>
      <c r="M446" s="695"/>
      <c r="N446" s="695">
        <f t="shared" ref="N446:N451" si="31">L446+M446</f>
        <v>1000000</v>
      </c>
      <c r="O446" s="696">
        <f t="shared" ref="O446:O451" si="32">N446+K446+H446</f>
        <v>1000000</v>
      </c>
      <c r="P446" s="687"/>
      <c r="Q446" s="783"/>
      <c r="R446" s="783"/>
      <c r="S446" s="783"/>
      <c r="T446" s="783"/>
      <c r="U446" s="783"/>
      <c r="V446" s="783"/>
      <c r="W446" s="783"/>
      <c r="X446" s="783"/>
      <c r="Y446" s="783"/>
      <c r="Z446" s="783"/>
      <c r="AA446" s="783"/>
      <c r="AB446" s="783"/>
      <c r="AC446" s="783"/>
      <c r="AD446" s="783"/>
      <c r="AE446" s="783"/>
      <c r="AF446" s="783"/>
      <c r="AG446" s="783"/>
      <c r="AH446" s="783"/>
      <c r="AI446" s="783"/>
      <c r="AJ446" s="783"/>
      <c r="AK446" s="783"/>
      <c r="AL446" s="783"/>
      <c r="AM446" s="783"/>
      <c r="AN446" s="783"/>
      <c r="AO446" s="783"/>
      <c r="AP446" s="783"/>
      <c r="AQ446" s="783"/>
      <c r="AR446" s="783"/>
      <c r="AS446" s="783"/>
      <c r="AT446" s="783"/>
      <c r="AU446" s="783"/>
      <c r="AV446" s="783"/>
      <c r="AW446" s="783"/>
      <c r="AX446" s="783"/>
      <c r="AY446" s="783"/>
      <c r="AZ446" s="783"/>
      <c r="BA446" s="783"/>
      <c r="BB446" s="783"/>
      <c r="BC446" s="783"/>
      <c r="BD446" s="783"/>
      <c r="BE446" s="783"/>
      <c r="BF446" s="783"/>
      <c r="BG446" s="783"/>
      <c r="BH446" s="783"/>
      <c r="BI446" s="783"/>
      <c r="BJ446" s="783"/>
      <c r="BK446" s="783"/>
      <c r="BL446" s="783"/>
      <c r="BM446" s="783"/>
      <c r="BN446" s="783"/>
      <c r="BO446" s="783"/>
      <c r="BP446" s="783"/>
      <c r="BQ446" s="783"/>
      <c r="BR446" s="783"/>
      <c r="BS446" s="783"/>
      <c r="BT446" s="783"/>
      <c r="BU446" s="783"/>
      <c r="BV446" s="783"/>
      <c r="BW446" s="783"/>
      <c r="BX446" s="783"/>
      <c r="BY446" s="783"/>
      <c r="BZ446" s="783"/>
      <c r="CA446" s="783"/>
      <c r="CB446" s="783"/>
      <c r="CC446" s="783"/>
      <c r="CD446" s="783"/>
      <c r="CE446" s="783"/>
      <c r="CF446" s="783"/>
      <c r="CG446" s="783"/>
      <c r="CH446" s="783"/>
      <c r="CI446" s="783"/>
      <c r="CJ446" s="783"/>
      <c r="CK446" s="783"/>
    </row>
    <row r="447" spans="1:89" s="675" customFormat="1" ht="21" customHeight="1" x14ac:dyDescent="0.2">
      <c r="A447" s="1378">
        <v>2</v>
      </c>
      <c r="B447" s="689" t="s">
        <v>600</v>
      </c>
      <c r="C447" s="1284">
        <v>1</v>
      </c>
      <c r="D447" s="1285" t="s">
        <v>16</v>
      </c>
      <c r="E447" s="1379">
        <f>1290377-290377</f>
        <v>1000000</v>
      </c>
      <c r="F447" s="695"/>
      <c r="G447" s="695"/>
      <c r="H447" s="695"/>
      <c r="I447" s="695"/>
      <c r="J447" s="695"/>
      <c r="K447" s="695"/>
      <c r="L447" s="695">
        <f t="shared" si="30"/>
        <v>1000000</v>
      </c>
      <c r="M447" s="695"/>
      <c r="N447" s="695">
        <f t="shared" si="31"/>
        <v>1000000</v>
      </c>
      <c r="O447" s="696">
        <f t="shared" si="32"/>
        <v>1000000</v>
      </c>
      <c r="P447" s="687"/>
      <c r="Q447" s="1821"/>
      <c r="R447" s="1821"/>
      <c r="S447" s="1821"/>
      <c r="T447" s="1821"/>
      <c r="U447" s="1821"/>
      <c r="V447" s="1821"/>
      <c r="W447" s="1821"/>
      <c r="X447" s="1821"/>
      <c r="Y447" s="1821"/>
      <c r="Z447" s="1821"/>
      <c r="AA447" s="1821"/>
      <c r="AB447" s="1821"/>
      <c r="AC447" s="1821"/>
      <c r="AD447" s="1821"/>
      <c r="AE447" s="1821"/>
      <c r="AF447" s="1821"/>
      <c r="AG447" s="1821"/>
      <c r="AH447" s="1821"/>
      <c r="AI447" s="1821"/>
      <c r="AJ447" s="1821"/>
      <c r="AK447" s="1821"/>
      <c r="AL447" s="1821"/>
      <c r="AM447" s="1821"/>
      <c r="AN447" s="1821"/>
      <c r="AO447" s="1821"/>
      <c r="AP447" s="1821"/>
      <c r="AQ447" s="1821"/>
      <c r="AR447" s="1821"/>
      <c r="AS447" s="1821"/>
      <c r="AT447" s="1821"/>
      <c r="AU447" s="1821"/>
      <c r="AV447" s="1821"/>
      <c r="AW447" s="1821"/>
      <c r="AX447" s="1821"/>
      <c r="AY447" s="1821"/>
      <c r="AZ447" s="1821"/>
      <c r="BA447" s="1821"/>
      <c r="BB447" s="1821"/>
      <c r="BC447" s="1821"/>
      <c r="BD447" s="1821"/>
      <c r="BE447" s="1821"/>
      <c r="BF447" s="1821"/>
      <c r="BG447" s="1821"/>
      <c r="BH447" s="1821"/>
      <c r="BI447" s="1821"/>
      <c r="BJ447" s="1821"/>
      <c r="BK447" s="1821"/>
      <c r="BL447" s="1821"/>
      <c r="BM447" s="1821"/>
      <c r="BN447" s="1821"/>
      <c r="BO447" s="1821"/>
      <c r="BP447" s="1821"/>
      <c r="BQ447" s="1821"/>
      <c r="BR447" s="1821"/>
      <c r="BS447" s="1821"/>
      <c r="BT447" s="1821"/>
      <c r="BU447" s="1821"/>
      <c r="BV447" s="1821"/>
      <c r="BW447" s="1821"/>
      <c r="BX447" s="1821"/>
      <c r="BY447" s="1821"/>
      <c r="BZ447" s="1821"/>
      <c r="CA447" s="1821"/>
      <c r="CB447" s="1821"/>
      <c r="CC447" s="1821"/>
      <c r="CD447" s="1821"/>
      <c r="CE447" s="1821"/>
      <c r="CF447" s="1821"/>
      <c r="CG447" s="1821"/>
      <c r="CH447" s="1821"/>
      <c r="CI447" s="1821"/>
      <c r="CJ447" s="1821"/>
      <c r="CK447" s="1821"/>
    </row>
    <row r="448" spans="1:89" s="675" customFormat="1" ht="17.25" customHeight="1" x14ac:dyDescent="0.2">
      <c r="A448" s="1378">
        <v>3</v>
      </c>
      <c r="B448" s="689" t="s">
        <v>601</v>
      </c>
      <c r="C448" s="1284">
        <v>1</v>
      </c>
      <c r="D448" s="1285" t="s">
        <v>16</v>
      </c>
      <c r="E448" s="1379">
        <f>1092963-200000+500000</f>
        <v>1392963</v>
      </c>
      <c r="F448" s="695"/>
      <c r="G448" s="695"/>
      <c r="H448" s="695"/>
      <c r="I448" s="695"/>
      <c r="J448" s="695"/>
      <c r="K448" s="695"/>
      <c r="L448" s="695">
        <f t="shared" si="30"/>
        <v>1392963</v>
      </c>
      <c r="M448" s="695"/>
      <c r="N448" s="695">
        <f t="shared" si="31"/>
        <v>1392963</v>
      </c>
      <c r="O448" s="696">
        <f t="shared" si="32"/>
        <v>1392963</v>
      </c>
      <c r="P448" s="687"/>
      <c r="Q448" s="1821"/>
      <c r="R448" s="1821"/>
      <c r="S448" s="1821"/>
      <c r="T448" s="1821"/>
      <c r="U448" s="1821"/>
      <c r="V448" s="1821"/>
      <c r="W448" s="1821"/>
      <c r="X448" s="1821"/>
      <c r="Y448" s="1821"/>
      <c r="Z448" s="1821"/>
      <c r="AA448" s="1821"/>
      <c r="AB448" s="1821"/>
      <c r="AC448" s="1821"/>
      <c r="AD448" s="1821"/>
      <c r="AE448" s="1821"/>
      <c r="AF448" s="1821"/>
      <c r="AG448" s="1821"/>
      <c r="AH448" s="1821"/>
      <c r="AI448" s="1821"/>
      <c r="AJ448" s="1821"/>
      <c r="AK448" s="1821"/>
      <c r="AL448" s="1821"/>
      <c r="AM448" s="1821"/>
      <c r="AN448" s="1821"/>
      <c r="AO448" s="1821"/>
      <c r="AP448" s="1821"/>
      <c r="AQ448" s="1821"/>
      <c r="AR448" s="1821"/>
      <c r="AS448" s="1821"/>
      <c r="AT448" s="1821"/>
      <c r="AU448" s="1821"/>
      <c r="AV448" s="1821"/>
      <c r="AW448" s="1821"/>
      <c r="AX448" s="1821"/>
      <c r="AY448" s="1821"/>
      <c r="AZ448" s="1821"/>
      <c r="BA448" s="1821"/>
      <c r="BB448" s="1821"/>
      <c r="BC448" s="1821"/>
      <c r="BD448" s="1821"/>
      <c r="BE448" s="1821"/>
      <c r="BF448" s="1821"/>
      <c r="BG448" s="1821"/>
      <c r="BH448" s="1821"/>
      <c r="BI448" s="1821"/>
      <c r="BJ448" s="1821"/>
      <c r="BK448" s="1821"/>
      <c r="BL448" s="1821"/>
      <c r="BM448" s="1821"/>
      <c r="BN448" s="1821"/>
      <c r="BO448" s="1821"/>
      <c r="BP448" s="1821"/>
      <c r="BQ448" s="1821"/>
      <c r="BR448" s="1821"/>
      <c r="BS448" s="1821"/>
      <c r="BT448" s="1821"/>
      <c r="BU448" s="1821"/>
      <c r="BV448" s="1821"/>
      <c r="BW448" s="1821"/>
      <c r="BX448" s="1821"/>
      <c r="BY448" s="1821"/>
      <c r="BZ448" s="1821"/>
      <c r="CA448" s="1821"/>
      <c r="CB448" s="1821"/>
      <c r="CC448" s="1821"/>
      <c r="CD448" s="1821"/>
      <c r="CE448" s="1821"/>
      <c r="CF448" s="1821"/>
      <c r="CG448" s="1821"/>
      <c r="CH448" s="1821"/>
      <c r="CI448" s="1821"/>
      <c r="CJ448" s="1821"/>
      <c r="CK448" s="1821"/>
    </row>
    <row r="449" spans="1:89" s="675" customFormat="1" ht="17.25" customHeight="1" x14ac:dyDescent="0.2">
      <c r="A449" s="1378">
        <v>4</v>
      </c>
      <c r="B449" s="689" t="s">
        <v>597</v>
      </c>
      <c r="C449" s="1284">
        <v>1</v>
      </c>
      <c r="D449" s="1285" t="s">
        <v>16</v>
      </c>
      <c r="E449" s="1379">
        <f>1215488-215488-250000+500000</f>
        <v>1250000</v>
      </c>
      <c r="F449" s="695"/>
      <c r="G449" s="695"/>
      <c r="H449" s="695"/>
      <c r="I449" s="695"/>
      <c r="J449" s="695"/>
      <c r="K449" s="695"/>
      <c r="L449" s="695">
        <f t="shared" si="30"/>
        <v>1250000</v>
      </c>
      <c r="M449" s="695"/>
      <c r="N449" s="695">
        <f t="shared" si="31"/>
        <v>1250000</v>
      </c>
      <c r="O449" s="696">
        <f t="shared" si="32"/>
        <v>1250000</v>
      </c>
      <c r="P449" s="687"/>
      <c r="Q449" s="1821"/>
      <c r="R449" s="1821"/>
      <c r="S449" s="1821"/>
      <c r="T449" s="1821"/>
      <c r="U449" s="1821"/>
      <c r="V449" s="1821"/>
      <c r="W449" s="1821"/>
      <c r="X449" s="1821"/>
      <c r="Y449" s="1821"/>
      <c r="Z449" s="1821"/>
      <c r="AA449" s="1821"/>
      <c r="AB449" s="1821"/>
      <c r="AC449" s="1821"/>
      <c r="AD449" s="1821"/>
      <c r="AE449" s="1821"/>
      <c r="AF449" s="1821"/>
      <c r="AG449" s="1821"/>
      <c r="AH449" s="1821"/>
      <c r="AI449" s="1821"/>
      <c r="AJ449" s="1821"/>
      <c r="AK449" s="1821"/>
      <c r="AL449" s="1821"/>
      <c r="AM449" s="1821"/>
      <c r="AN449" s="1821"/>
      <c r="AO449" s="1821"/>
      <c r="AP449" s="1821"/>
      <c r="AQ449" s="1821"/>
      <c r="AR449" s="1821"/>
      <c r="AS449" s="1821"/>
      <c r="AT449" s="1821"/>
      <c r="AU449" s="1821"/>
      <c r="AV449" s="1821"/>
      <c r="AW449" s="1821"/>
      <c r="AX449" s="1821"/>
      <c r="AY449" s="1821"/>
      <c r="AZ449" s="1821"/>
      <c r="BA449" s="1821"/>
      <c r="BB449" s="1821"/>
      <c r="BC449" s="1821"/>
      <c r="BD449" s="1821"/>
      <c r="BE449" s="1821"/>
      <c r="BF449" s="1821"/>
      <c r="BG449" s="1821"/>
      <c r="BH449" s="1821"/>
      <c r="BI449" s="1821"/>
      <c r="BJ449" s="1821"/>
      <c r="BK449" s="1821"/>
      <c r="BL449" s="1821"/>
      <c r="BM449" s="1821"/>
      <c r="BN449" s="1821"/>
      <c r="BO449" s="1821"/>
      <c r="BP449" s="1821"/>
      <c r="BQ449" s="1821"/>
      <c r="BR449" s="1821"/>
      <c r="BS449" s="1821"/>
      <c r="BT449" s="1821"/>
      <c r="BU449" s="1821"/>
      <c r="BV449" s="1821"/>
      <c r="BW449" s="1821"/>
      <c r="BX449" s="1821"/>
      <c r="BY449" s="1821"/>
      <c r="BZ449" s="1821"/>
      <c r="CA449" s="1821"/>
      <c r="CB449" s="1821"/>
      <c r="CC449" s="1821"/>
      <c r="CD449" s="1821"/>
      <c r="CE449" s="1821"/>
      <c r="CF449" s="1821"/>
      <c r="CG449" s="1821"/>
      <c r="CH449" s="1821"/>
      <c r="CI449" s="1821"/>
      <c r="CJ449" s="1821"/>
      <c r="CK449" s="1821"/>
    </row>
    <row r="450" spans="1:89" s="675" customFormat="1" ht="17.25" customHeight="1" x14ac:dyDescent="0.2">
      <c r="A450" s="1378">
        <v>5</v>
      </c>
      <c r="B450" s="689" t="s">
        <v>598</v>
      </c>
      <c r="C450" s="1284">
        <v>1</v>
      </c>
      <c r="D450" s="1285" t="s">
        <v>16</v>
      </c>
      <c r="E450" s="1379">
        <f>1215764-215764-250000</f>
        <v>750000</v>
      </c>
      <c r="F450" s="695"/>
      <c r="G450" s="695"/>
      <c r="H450" s="695"/>
      <c r="I450" s="695"/>
      <c r="J450" s="695"/>
      <c r="K450" s="695"/>
      <c r="L450" s="695">
        <f t="shared" si="30"/>
        <v>750000</v>
      </c>
      <c r="M450" s="695"/>
      <c r="N450" s="695">
        <f t="shared" si="31"/>
        <v>750000</v>
      </c>
      <c r="O450" s="696">
        <f t="shared" si="32"/>
        <v>750000</v>
      </c>
      <c r="P450" s="687"/>
      <c r="Q450" s="1821"/>
      <c r="R450" s="1821"/>
      <c r="S450" s="1821"/>
      <c r="T450" s="1821"/>
      <c r="U450" s="1821"/>
      <c r="V450" s="1821"/>
      <c r="W450" s="1821"/>
      <c r="X450" s="1821"/>
      <c r="Y450" s="1821"/>
      <c r="Z450" s="1821"/>
      <c r="AA450" s="1821"/>
      <c r="AB450" s="1821"/>
      <c r="AC450" s="1821"/>
      <c r="AD450" s="1821"/>
      <c r="AE450" s="1821"/>
      <c r="AF450" s="1821"/>
      <c r="AG450" s="1821"/>
      <c r="AH450" s="1821"/>
      <c r="AI450" s="1821"/>
      <c r="AJ450" s="1821"/>
      <c r="AK450" s="1821"/>
      <c r="AL450" s="1821"/>
      <c r="AM450" s="1821"/>
      <c r="AN450" s="1821"/>
      <c r="AO450" s="1821"/>
      <c r="AP450" s="1821"/>
      <c r="AQ450" s="1821"/>
      <c r="AR450" s="1821"/>
      <c r="AS450" s="1821"/>
      <c r="AT450" s="1821"/>
      <c r="AU450" s="1821"/>
      <c r="AV450" s="1821"/>
      <c r="AW450" s="1821"/>
      <c r="AX450" s="1821"/>
      <c r="AY450" s="1821"/>
      <c r="AZ450" s="1821"/>
      <c r="BA450" s="1821"/>
      <c r="BB450" s="1821"/>
      <c r="BC450" s="1821"/>
      <c r="BD450" s="1821"/>
      <c r="BE450" s="1821"/>
      <c r="BF450" s="1821"/>
      <c r="BG450" s="1821"/>
      <c r="BH450" s="1821"/>
      <c r="BI450" s="1821"/>
      <c r="BJ450" s="1821"/>
      <c r="BK450" s="1821"/>
      <c r="BL450" s="1821"/>
      <c r="BM450" s="1821"/>
      <c r="BN450" s="1821"/>
      <c r="BO450" s="1821"/>
      <c r="BP450" s="1821"/>
      <c r="BQ450" s="1821"/>
      <c r="BR450" s="1821"/>
      <c r="BS450" s="1821"/>
      <c r="BT450" s="1821"/>
      <c r="BU450" s="1821"/>
      <c r="BV450" s="1821"/>
      <c r="BW450" s="1821"/>
      <c r="BX450" s="1821"/>
      <c r="BY450" s="1821"/>
      <c r="BZ450" s="1821"/>
      <c r="CA450" s="1821"/>
      <c r="CB450" s="1821"/>
      <c r="CC450" s="1821"/>
      <c r="CD450" s="1821"/>
      <c r="CE450" s="1821"/>
      <c r="CF450" s="1821"/>
      <c r="CG450" s="1821"/>
      <c r="CH450" s="1821"/>
      <c r="CI450" s="1821"/>
      <c r="CJ450" s="1821"/>
      <c r="CK450" s="1821"/>
    </row>
    <row r="451" spans="1:89" s="675" customFormat="1" ht="17.25" customHeight="1" x14ac:dyDescent="0.2">
      <c r="A451" s="1380">
        <v>6</v>
      </c>
      <c r="B451" s="1381" t="s">
        <v>1676</v>
      </c>
      <c r="C451" s="1284">
        <v>1</v>
      </c>
      <c r="D451" s="1285" t="s">
        <v>16</v>
      </c>
      <c r="E451" s="1382">
        <v>750000</v>
      </c>
      <c r="F451" s="695"/>
      <c r="G451" s="695"/>
      <c r="H451" s="695"/>
      <c r="I451" s="695"/>
      <c r="J451" s="695"/>
      <c r="K451" s="695"/>
      <c r="L451" s="695">
        <f t="shared" si="30"/>
        <v>750000</v>
      </c>
      <c r="M451" s="695"/>
      <c r="N451" s="695">
        <f t="shared" si="31"/>
        <v>750000</v>
      </c>
      <c r="O451" s="696">
        <f t="shared" si="32"/>
        <v>750000</v>
      </c>
      <c r="P451" s="687"/>
      <c r="Q451" s="1821"/>
      <c r="R451" s="1821"/>
      <c r="S451" s="1821"/>
      <c r="T451" s="1821"/>
      <c r="U451" s="1821"/>
      <c r="V451" s="1821"/>
      <c r="W451" s="1821"/>
      <c r="X451" s="1821"/>
      <c r="Y451" s="1821"/>
      <c r="Z451" s="1821"/>
      <c r="AA451" s="1821"/>
      <c r="AB451" s="1821"/>
      <c r="AC451" s="1821"/>
      <c r="AD451" s="1821"/>
      <c r="AE451" s="1821"/>
      <c r="AF451" s="1821"/>
      <c r="AG451" s="1821"/>
      <c r="AH451" s="1821"/>
      <c r="AI451" s="1821"/>
      <c r="AJ451" s="1821"/>
      <c r="AK451" s="1821"/>
      <c r="AL451" s="1821"/>
      <c r="AM451" s="1821"/>
      <c r="AN451" s="1821"/>
      <c r="AO451" s="1821"/>
      <c r="AP451" s="1821"/>
      <c r="AQ451" s="1821"/>
      <c r="AR451" s="1821"/>
      <c r="AS451" s="1821"/>
      <c r="AT451" s="1821"/>
      <c r="AU451" s="1821"/>
      <c r="AV451" s="1821"/>
      <c r="AW451" s="1821"/>
      <c r="AX451" s="1821"/>
      <c r="AY451" s="1821"/>
      <c r="AZ451" s="1821"/>
      <c r="BA451" s="1821"/>
      <c r="BB451" s="1821"/>
      <c r="BC451" s="1821"/>
      <c r="BD451" s="1821"/>
      <c r="BE451" s="1821"/>
      <c r="BF451" s="1821"/>
      <c r="BG451" s="1821"/>
      <c r="BH451" s="1821"/>
      <c r="BI451" s="1821"/>
      <c r="BJ451" s="1821"/>
      <c r="BK451" s="1821"/>
      <c r="BL451" s="1821"/>
      <c r="BM451" s="1821"/>
      <c r="BN451" s="1821"/>
      <c r="BO451" s="1821"/>
      <c r="BP451" s="1821"/>
      <c r="BQ451" s="1821"/>
      <c r="BR451" s="1821"/>
      <c r="BS451" s="1821"/>
      <c r="BT451" s="1821"/>
      <c r="BU451" s="1821"/>
      <c r="BV451" s="1821"/>
      <c r="BW451" s="1821"/>
      <c r="BX451" s="1821"/>
      <c r="BY451" s="1821"/>
      <c r="BZ451" s="1821"/>
      <c r="CA451" s="1821"/>
      <c r="CB451" s="1821"/>
      <c r="CC451" s="1821"/>
      <c r="CD451" s="1821"/>
      <c r="CE451" s="1821"/>
      <c r="CF451" s="1821"/>
      <c r="CG451" s="1821"/>
      <c r="CH451" s="1821"/>
      <c r="CI451" s="1821"/>
      <c r="CJ451" s="1821"/>
      <c r="CK451" s="1821"/>
    </row>
    <row r="452" spans="1:89" ht="17.25" customHeight="1" x14ac:dyDescent="0.25">
      <c r="A452" s="1384"/>
      <c r="B452" s="1385"/>
      <c r="C452" s="713"/>
      <c r="D452" s="1386"/>
      <c r="E452" s="1387"/>
      <c r="F452" s="1387"/>
      <c r="G452" s="1387"/>
      <c r="H452" s="1387"/>
      <c r="I452" s="1387"/>
      <c r="J452" s="1387"/>
      <c r="K452" s="1387"/>
      <c r="L452" s="1387"/>
      <c r="M452" s="1387"/>
      <c r="N452" s="1387"/>
      <c r="O452" s="1388"/>
      <c r="P452" s="877"/>
    </row>
    <row r="453" spans="1:89" s="672" customFormat="1" ht="17.25" customHeight="1" x14ac:dyDescent="0.25">
      <c r="A453" s="878" t="s">
        <v>96</v>
      </c>
      <c r="B453" s="1389" t="s">
        <v>97</v>
      </c>
      <c r="C453" s="1377"/>
      <c r="D453" s="1390"/>
      <c r="E453" s="705"/>
      <c r="F453" s="706">
        <f>SUM(F455:F464)</f>
        <v>0</v>
      </c>
      <c r="G453" s="706">
        <f>SUM(G455:G464)</f>
        <v>0</v>
      </c>
      <c r="H453" s="706">
        <f>F453+G453</f>
        <v>0</v>
      </c>
      <c r="I453" s="706">
        <f>SUM(I455:I464)</f>
        <v>0</v>
      </c>
      <c r="J453" s="706">
        <f>SUM(J455:J464)</f>
        <v>2550000</v>
      </c>
      <c r="K453" s="706">
        <f>I453+J453</f>
        <v>2550000</v>
      </c>
      <c r="L453" s="706">
        <f>SUM(L455:L464)</f>
        <v>0</v>
      </c>
      <c r="M453" s="706">
        <f>SUM(M455:M464)</f>
        <v>0</v>
      </c>
      <c r="N453" s="706">
        <f>L453+M453</f>
        <v>0</v>
      </c>
      <c r="O453" s="707">
        <f t="shared" ref="O453:O461" si="33">N453+K453+H453</f>
        <v>2550000</v>
      </c>
      <c r="P453" s="708"/>
      <c r="Q453" s="1581"/>
      <c r="R453" s="1581"/>
      <c r="S453" s="1581"/>
      <c r="T453" s="1581"/>
      <c r="U453" s="1581"/>
      <c r="V453" s="1581"/>
      <c r="W453" s="1581"/>
      <c r="X453" s="1581"/>
      <c r="Y453" s="1581"/>
      <c r="Z453" s="1581"/>
      <c r="AA453" s="1581"/>
      <c r="AB453" s="1581"/>
      <c r="AC453" s="1581"/>
      <c r="AD453" s="1581"/>
      <c r="AE453" s="1581"/>
      <c r="AF453" s="1581"/>
      <c r="AG453" s="1581"/>
      <c r="AH453" s="1581"/>
      <c r="AI453" s="1581"/>
      <c r="AJ453" s="1581"/>
      <c r="AK453" s="1581"/>
      <c r="AL453" s="1581"/>
      <c r="AM453" s="1581"/>
      <c r="AN453" s="1581"/>
      <c r="AO453" s="1581"/>
      <c r="AP453" s="1581"/>
      <c r="AQ453" s="1581"/>
      <c r="AR453" s="1581"/>
      <c r="AS453" s="1581"/>
      <c r="AT453" s="1581"/>
      <c r="AU453" s="1581"/>
      <c r="AV453" s="1581"/>
      <c r="AW453" s="1581"/>
      <c r="AX453" s="1581"/>
      <c r="AY453" s="1581"/>
      <c r="AZ453" s="1581"/>
      <c r="BA453" s="1581"/>
      <c r="BB453" s="1581"/>
      <c r="BC453" s="1581"/>
      <c r="BD453" s="1581"/>
      <c r="BE453" s="1581"/>
      <c r="BF453" s="1581"/>
      <c r="BG453" s="1581"/>
      <c r="BH453" s="1581"/>
      <c r="BI453" s="1581"/>
      <c r="BJ453" s="1581"/>
      <c r="BK453" s="1581"/>
      <c r="BL453" s="1581"/>
      <c r="BM453" s="1581"/>
      <c r="BN453" s="1581"/>
      <c r="BO453" s="1581"/>
      <c r="BP453" s="1581"/>
      <c r="BQ453" s="1581"/>
      <c r="BR453" s="1581"/>
      <c r="BS453" s="1581"/>
      <c r="BT453" s="1581"/>
      <c r="BU453" s="1581"/>
      <c r="BV453" s="1581"/>
      <c r="BW453" s="1581"/>
      <c r="BX453" s="1581"/>
      <c r="BY453" s="1581"/>
      <c r="BZ453" s="1581"/>
      <c r="CA453" s="1581"/>
      <c r="CB453" s="1581"/>
      <c r="CC453" s="1581"/>
      <c r="CD453" s="1581"/>
      <c r="CE453" s="1581"/>
      <c r="CF453" s="1581"/>
      <c r="CG453" s="1581"/>
      <c r="CH453" s="1581"/>
      <c r="CI453" s="1581"/>
      <c r="CJ453" s="1581"/>
      <c r="CK453" s="1581"/>
    </row>
    <row r="454" spans="1:89" ht="17.25" customHeight="1" x14ac:dyDescent="0.25">
      <c r="A454" s="710"/>
      <c r="B454" s="1391" t="s">
        <v>21</v>
      </c>
      <c r="C454" s="699"/>
      <c r="D454" s="716"/>
      <c r="E454" s="695"/>
      <c r="F454" s="700"/>
      <c r="G454" s="700"/>
      <c r="H454" s="700"/>
      <c r="I454" s="700"/>
      <c r="J454" s="700"/>
      <c r="K454" s="700"/>
      <c r="L454" s="700"/>
      <c r="M454" s="700"/>
      <c r="N454" s="700"/>
      <c r="O454" s="701">
        <f t="shared" si="33"/>
        <v>0</v>
      </c>
      <c r="P454" s="702"/>
    </row>
    <row r="455" spans="1:89" ht="17.25" customHeight="1" x14ac:dyDescent="0.25">
      <c r="A455" s="710">
        <v>1</v>
      </c>
      <c r="B455" s="1391" t="s">
        <v>98</v>
      </c>
      <c r="C455" s="699">
        <v>1</v>
      </c>
      <c r="D455" s="716" t="s">
        <v>25</v>
      </c>
      <c r="E455" s="695">
        <v>2500000</v>
      </c>
      <c r="F455" s="700"/>
      <c r="G455" s="700"/>
      <c r="H455" s="700"/>
      <c r="I455" s="700"/>
      <c r="J455" s="700">
        <f>E455*C455</f>
        <v>2500000</v>
      </c>
      <c r="K455" s="700">
        <f>J455+I455</f>
        <v>2500000</v>
      </c>
      <c r="L455" s="700"/>
      <c r="M455" s="700"/>
      <c r="N455" s="700"/>
      <c r="O455" s="701">
        <f t="shared" si="33"/>
        <v>2500000</v>
      </c>
      <c r="P455" s="702"/>
    </row>
    <row r="456" spans="1:89" ht="17.25" customHeight="1" x14ac:dyDescent="0.25">
      <c r="A456" s="710"/>
      <c r="B456" s="1391" t="s">
        <v>1507</v>
      </c>
      <c r="C456" s="699"/>
      <c r="D456" s="716"/>
      <c r="E456" s="695"/>
      <c r="F456" s="700"/>
      <c r="G456" s="700"/>
      <c r="H456" s="700"/>
      <c r="I456" s="700"/>
      <c r="J456" s="700">
        <f>E456*C456</f>
        <v>0</v>
      </c>
      <c r="K456" s="700">
        <f>J456+I456</f>
        <v>0</v>
      </c>
      <c r="L456" s="700"/>
      <c r="M456" s="700"/>
      <c r="N456" s="700"/>
      <c r="O456" s="701">
        <f t="shared" si="33"/>
        <v>0</v>
      </c>
      <c r="P456" s="702"/>
    </row>
    <row r="457" spans="1:89" ht="17.25" customHeight="1" x14ac:dyDescent="0.25">
      <c r="A457" s="710"/>
      <c r="B457" s="715" t="s">
        <v>99</v>
      </c>
      <c r="C457" s="713"/>
      <c r="D457" s="716"/>
      <c r="E457" s="695"/>
      <c r="F457" s="700"/>
      <c r="G457" s="700"/>
      <c r="H457" s="700"/>
      <c r="I457" s="700"/>
      <c r="J457" s="700">
        <f>E457*C457</f>
        <v>0</v>
      </c>
      <c r="K457" s="700">
        <f>J457+I457</f>
        <v>0</v>
      </c>
      <c r="L457" s="700"/>
      <c r="M457" s="700"/>
      <c r="N457" s="700"/>
      <c r="O457" s="701">
        <f t="shared" si="33"/>
        <v>0</v>
      </c>
      <c r="P457" s="702"/>
    </row>
    <row r="458" spans="1:89" ht="17.25" customHeight="1" x14ac:dyDescent="0.25">
      <c r="A458" s="710"/>
      <c r="B458" s="1391" t="s">
        <v>100</v>
      </c>
      <c r="C458" s="713"/>
      <c r="D458" s="716"/>
      <c r="E458" s="695"/>
      <c r="F458" s="700"/>
      <c r="G458" s="700"/>
      <c r="H458" s="700"/>
      <c r="I458" s="700"/>
      <c r="J458" s="700">
        <f>E458*C458</f>
        <v>0</v>
      </c>
      <c r="K458" s="700">
        <f>J458+I458</f>
        <v>0</v>
      </c>
      <c r="L458" s="700"/>
      <c r="M458" s="700"/>
      <c r="N458" s="700"/>
      <c r="O458" s="701">
        <f t="shared" si="33"/>
        <v>0</v>
      </c>
      <c r="P458" s="702"/>
    </row>
    <row r="459" spans="1:89" ht="17.25" customHeight="1" x14ac:dyDescent="0.25">
      <c r="A459" s="710"/>
      <c r="B459" s="715" t="s">
        <v>101</v>
      </c>
      <c r="C459" s="699"/>
      <c r="D459" s="1392"/>
      <c r="E459" s="695"/>
      <c r="F459" s="700"/>
      <c r="G459" s="700"/>
      <c r="H459" s="700"/>
      <c r="I459" s="700"/>
      <c r="J459" s="700"/>
      <c r="K459" s="700"/>
      <c r="L459" s="700"/>
      <c r="M459" s="700"/>
      <c r="N459" s="700"/>
      <c r="O459" s="701">
        <f t="shared" si="33"/>
        <v>0</v>
      </c>
      <c r="P459" s="702"/>
    </row>
    <row r="460" spans="1:89" ht="17.25" customHeight="1" x14ac:dyDescent="0.25">
      <c r="A460" s="710"/>
      <c r="B460" s="1391" t="s">
        <v>1920</v>
      </c>
      <c r="C460" s="699"/>
      <c r="D460" s="1392"/>
      <c r="E460" s="695"/>
      <c r="F460" s="700"/>
      <c r="G460" s="700"/>
      <c r="H460" s="700"/>
      <c r="I460" s="700"/>
      <c r="J460" s="700"/>
      <c r="K460" s="700"/>
      <c r="L460" s="700"/>
      <c r="M460" s="700"/>
      <c r="N460" s="700"/>
      <c r="O460" s="701">
        <f t="shared" si="33"/>
        <v>0</v>
      </c>
      <c r="P460" s="702"/>
    </row>
    <row r="461" spans="1:89" ht="17.25" customHeight="1" x14ac:dyDescent="0.25">
      <c r="A461" s="710"/>
      <c r="B461" s="715" t="s">
        <v>1508</v>
      </c>
      <c r="C461" s="699"/>
      <c r="D461" s="1392"/>
      <c r="E461" s="695"/>
      <c r="F461" s="700"/>
      <c r="G461" s="700"/>
      <c r="H461" s="700"/>
      <c r="I461" s="700"/>
      <c r="J461" s="700"/>
      <c r="K461" s="700"/>
      <c r="L461" s="700"/>
      <c r="M461" s="700"/>
      <c r="N461" s="700"/>
      <c r="O461" s="701">
        <f t="shared" si="33"/>
        <v>0</v>
      </c>
      <c r="P461" s="702"/>
    </row>
    <row r="462" spans="1:89" ht="17.25" customHeight="1" x14ac:dyDescent="0.25">
      <c r="A462" s="710"/>
      <c r="B462" s="715"/>
      <c r="C462" s="699"/>
      <c r="D462" s="1392"/>
      <c r="E462" s="695"/>
      <c r="F462" s="700"/>
      <c r="G462" s="700"/>
      <c r="H462" s="700"/>
      <c r="I462" s="700"/>
      <c r="J462" s="700"/>
      <c r="K462" s="700"/>
      <c r="L462" s="700"/>
      <c r="M462" s="700"/>
      <c r="N462" s="700"/>
      <c r="O462" s="701"/>
      <c r="P462" s="702"/>
    </row>
    <row r="463" spans="1:89" ht="17.25" customHeight="1" x14ac:dyDescent="0.25">
      <c r="A463" s="710">
        <v>2</v>
      </c>
      <c r="B463" s="715" t="s">
        <v>19</v>
      </c>
      <c r="C463" s="699"/>
      <c r="D463" s="1392"/>
      <c r="E463" s="695"/>
      <c r="F463" s="700"/>
      <c r="G463" s="700"/>
      <c r="H463" s="700"/>
      <c r="I463" s="700"/>
      <c r="J463" s="700"/>
      <c r="K463" s="700"/>
      <c r="L463" s="700"/>
      <c r="M463" s="700"/>
      <c r="N463" s="700"/>
      <c r="O463" s="701">
        <f>N463+K463+H463</f>
        <v>0</v>
      </c>
      <c r="P463" s="702"/>
    </row>
    <row r="464" spans="1:89" ht="17.25" customHeight="1" x14ac:dyDescent="0.25">
      <c r="A464" s="710"/>
      <c r="B464" s="715" t="s">
        <v>102</v>
      </c>
      <c r="C464" s="699">
        <v>1</v>
      </c>
      <c r="D464" s="1392" t="s">
        <v>25</v>
      </c>
      <c r="E464" s="695">
        <v>50000</v>
      </c>
      <c r="F464" s="700"/>
      <c r="G464" s="700"/>
      <c r="H464" s="700"/>
      <c r="I464" s="700"/>
      <c r="J464" s="700">
        <f>C464*E464</f>
        <v>50000</v>
      </c>
      <c r="K464" s="700">
        <f>I464+J464</f>
        <v>50000</v>
      </c>
      <c r="L464" s="700"/>
      <c r="M464" s="700"/>
      <c r="N464" s="700"/>
      <c r="O464" s="701">
        <f>N464+K464+H464</f>
        <v>50000</v>
      </c>
      <c r="P464" s="702"/>
    </row>
    <row r="465" spans="1:89" ht="17.25" customHeight="1" x14ac:dyDescent="0.25">
      <c r="A465" s="710"/>
      <c r="B465" s="715"/>
      <c r="C465" s="699"/>
      <c r="D465" s="1392"/>
      <c r="E465" s="695"/>
      <c r="F465" s="700"/>
      <c r="G465" s="700"/>
      <c r="H465" s="700"/>
      <c r="I465" s="700"/>
      <c r="J465" s="700"/>
      <c r="K465" s="700"/>
      <c r="L465" s="700"/>
      <c r="M465" s="700"/>
      <c r="N465" s="700"/>
      <c r="O465" s="701"/>
      <c r="P465" s="702"/>
    </row>
    <row r="466" spans="1:89" s="672" customFormat="1" ht="17.25" customHeight="1" x14ac:dyDescent="0.25">
      <c r="A466" s="878" t="s">
        <v>28</v>
      </c>
      <c r="B466" s="1393" t="s">
        <v>29</v>
      </c>
      <c r="C466" s="1377"/>
      <c r="D466" s="1394"/>
      <c r="E466" s="705"/>
      <c r="F466" s="706">
        <f>SUM(F468:F491)</f>
        <v>0</v>
      </c>
      <c r="G466" s="706">
        <f>SUM(G468:G491)</f>
        <v>0</v>
      </c>
      <c r="H466" s="706">
        <f>G466+F466</f>
        <v>0</v>
      </c>
      <c r="I466" s="706">
        <f>SUM(I468:I491)</f>
        <v>0</v>
      </c>
      <c r="J466" s="706">
        <f>SUM(J468:J491)</f>
        <v>462300</v>
      </c>
      <c r="K466" s="706">
        <f>J466+I466</f>
        <v>462300</v>
      </c>
      <c r="L466" s="706">
        <f>SUM(L468:L491)</f>
        <v>15000</v>
      </c>
      <c r="M466" s="706">
        <f>SUM(M468:M491)</f>
        <v>0</v>
      </c>
      <c r="N466" s="706">
        <f>M466+L466</f>
        <v>15000</v>
      </c>
      <c r="O466" s="707">
        <f>N466+K466+H466</f>
        <v>477300</v>
      </c>
      <c r="P466" s="708"/>
      <c r="Q466" s="1581"/>
      <c r="R466" s="1581"/>
      <c r="S466" s="1581"/>
      <c r="T466" s="1581"/>
      <c r="U466" s="1581"/>
      <c r="V466" s="1581"/>
      <c r="W466" s="1581"/>
      <c r="X466" s="1581"/>
      <c r="Y466" s="1581"/>
      <c r="Z466" s="1581"/>
      <c r="AA466" s="1581"/>
      <c r="AB466" s="1581"/>
      <c r="AC466" s="1581"/>
      <c r="AD466" s="1581"/>
      <c r="AE466" s="1581"/>
      <c r="AF466" s="1581"/>
      <c r="AG466" s="1581"/>
      <c r="AH466" s="1581"/>
      <c r="AI466" s="1581"/>
      <c r="AJ466" s="1581"/>
      <c r="AK466" s="1581"/>
      <c r="AL466" s="1581"/>
      <c r="AM466" s="1581"/>
      <c r="AN466" s="1581"/>
      <c r="AO466" s="1581"/>
      <c r="AP466" s="1581"/>
      <c r="AQ466" s="1581"/>
      <c r="AR466" s="1581"/>
      <c r="AS466" s="1581"/>
      <c r="AT466" s="1581"/>
      <c r="AU466" s="1581"/>
      <c r="AV466" s="1581"/>
      <c r="AW466" s="1581"/>
      <c r="AX466" s="1581"/>
      <c r="AY466" s="1581"/>
      <c r="AZ466" s="1581"/>
      <c r="BA466" s="1581"/>
      <c r="BB466" s="1581"/>
      <c r="BC466" s="1581"/>
      <c r="BD466" s="1581"/>
      <c r="BE466" s="1581"/>
      <c r="BF466" s="1581"/>
      <c r="BG466" s="1581"/>
      <c r="BH466" s="1581"/>
      <c r="BI466" s="1581"/>
      <c r="BJ466" s="1581"/>
      <c r="BK466" s="1581"/>
      <c r="BL466" s="1581"/>
      <c r="BM466" s="1581"/>
      <c r="BN466" s="1581"/>
      <c r="BO466" s="1581"/>
      <c r="BP466" s="1581"/>
      <c r="BQ466" s="1581"/>
      <c r="BR466" s="1581"/>
      <c r="BS466" s="1581"/>
      <c r="BT466" s="1581"/>
      <c r="BU466" s="1581"/>
      <c r="BV466" s="1581"/>
      <c r="BW466" s="1581"/>
      <c r="BX466" s="1581"/>
      <c r="BY466" s="1581"/>
      <c r="BZ466" s="1581"/>
      <c r="CA466" s="1581"/>
      <c r="CB466" s="1581"/>
      <c r="CC466" s="1581"/>
      <c r="CD466" s="1581"/>
      <c r="CE466" s="1581"/>
      <c r="CF466" s="1581"/>
      <c r="CG466" s="1581"/>
      <c r="CH466" s="1581"/>
      <c r="CI466" s="1581"/>
      <c r="CJ466" s="1581"/>
      <c r="CK466" s="1581"/>
    </row>
    <row r="467" spans="1:89" ht="17.25" customHeight="1" x14ac:dyDescent="0.25">
      <c r="A467" s="710"/>
      <c r="B467" s="715"/>
      <c r="C467" s="699"/>
      <c r="D467" s="1392"/>
      <c r="E467" s="695"/>
      <c r="F467" s="700"/>
      <c r="G467" s="700"/>
      <c r="H467" s="700"/>
      <c r="I467" s="700"/>
      <c r="J467" s="700"/>
      <c r="K467" s="700"/>
      <c r="L467" s="700"/>
      <c r="M467" s="700"/>
      <c r="N467" s="700"/>
      <c r="O467" s="701"/>
      <c r="P467" s="702"/>
    </row>
    <row r="468" spans="1:89" ht="17.25" customHeight="1" x14ac:dyDescent="0.25">
      <c r="A468" s="710">
        <v>1</v>
      </c>
      <c r="B468" s="715" t="s">
        <v>19</v>
      </c>
      <c r="C468" s="699"/>
      <c r="D468" s="1392"/>
      <c r="E468" s="695"/>
      <c r="F468" s="700"/>
      <c r="G468" s="700"/>
      <c r="H468" s="700"/>
      <c r="I468" s="700"/>
      <c r="J468" s="700"/>
      <c r="K468" s="700"/>
      <c r="L468" s="700"/>
      <c r="M468" s="700"/>
      <c r="N468" s="700"/>
      <c r="O468" s="701">
        <f t="shared" ref="O468:O488" si="34">N468+K468+H468</f>
        <v>0</v>
      </c>
      <c r="P468" s="702"/>
    </row>
    <row r="469" spans="1:89" ht="17.25" customHeight="1" x14ac:dyDescent="0.25">
      <c r="A469" s="710"/>
      <c r="B469" s="715" t="s">
        <v>30</v>
      </c>
      <c r="C469" s="699">
        <v>12</v>
      </c>
      <c r="D469" s="1392" t="s">
        <v>20</v>
      </c>
      <c r="E469" s="695">
        <v>1500</v>
      </c>
      <c r="F469" s="700"/>
      <c r="G469" s="700"/>
      <c r="H469" s="700"/>
      <c r="I469" s="700"/>
      <c r="J469" s="700">
        <f>C469*E469</f>
        <v>18000</v>
      </c>
      <c r="K469" s="700">
        <f>I469+J469</f>
        <v>18000</v>
      </c>
      <c r="L469" s="700"/>
      <c r="M469" s="700"/>
      <c r="N469" s="700"/>
      <c r="O469" s="701">
        <f t="shared" si="34"/>
        <v>18000</v>
      </c>
      <c r="P469" s="702"/>
    </row>
    <row r="470" spans="1:89" ht="17.25" customHeight="1" x14ac:dyDescent="0.25">
      <c r="A470" s="710"/>
      <c r="B470" s="715" t="s">
        <v>31</v>
      </c>
      <c r="C470" s="699">
        <v>12</v>
      </c>
      <c r="D470" s="1392" t="s">
        <v>20</v>
      </c>
      <c r="E470" s="695">
        <v>1100</v>
      </c>
      <c r="F470" s="700"/>
      <c r="G470" s="700"/>
      <c r="H470" s="700"/>
      <c r="I470" s="700"/>
      <c r="J470" s="700">
        <f>C470*E470</f>
        <v>13200</v>
      </c>
      <c r="K470" s="700">
        <f>I470+J470</f>
        <v>13200</v>
      </c>
      <c r="L470" s="700"/>
      <c r="M470" s="700"/>
      <c r="N470" s="700"/>
      <c r="O470" s="701">
        <f t="shared" si="34"/>
        <v>13200</v>
      </c>
      <c r="P470" s="702"/>
    </row>
    <row r="471" spans="1:89" ht="17.25" customHeight="1" x14ac:dyDescent="0.25">
      <c r="A471" s="710"/>
      <c r="B471" s="715" t="s">
        <v>32</v>
      </c>
      <c r="C471" s="699">
        <v>12</v>
      </c>
      <c r="D471" s="1392" t="s">
        <v>20</v>
      </c>
      <c r="E471" s="695">
        <v>1000</v>
      </c>
      <c r="F471" s="700"/>
      <c r="G471" s="700"/>
      <c r="H471" s="700"/>
      <c r="I471" s="700"/>
      <c r="J471" s="700">
        <f>C471*E471</f>
        <v>12000</v>
      </c>
      <c r="K471" s="700">
        <f>I471+J471</f>
        <v>12000</v>
      </c>
      <c r="L471" s="700"/>
      <c r="M471" s="700"/>
      <c r="N471" s="700"/>
      <c r="O471" s="701">
        <f t="shared" si="34"/>
        <v>12000</v>
      </c>
      <c r="P471" s="702"/>
    </row>
    <row r="472" spans="1:89" ht="17.25" customHeight="1" x14ac:dyDescent="0.25">
      <c r="A472" s="710"/>
      <c r="B472" s="715" t="s">
        <v>33</v>
      </c>
      <c r="C472" s="699">
        <v>60</v>
      </c>
      <c r="D472" s="1392" t="s">
        <v>20</v>
      </c>
      <c r="E472" s="695">
        <v>700</v>
      </c>
      <c r="F472" s="700"/>
      <c r="G472" s="700"/>
      <c r="H472" s="700"/>
      <c r="I472" s="700"/>
      <c r="J472" s="700">
        <f>C472*E472</f>
        <v>42000</v>
      </c>
      <c r="K472" s="700">
        <f>I472+J472</f>
        <v>42000</v>
      </c>
      <c r="L472" s="700"/>
      <c r="M472" s="700"/>
      <c r="N472" s="700"/>
      <c r="O472" s="701">
        <f t="shared" si="34"/>
        <v>42000</v>
      </c>
      <c r="P472" s="702"/>
    </row>
    <row r="473" spans="1:89" ht="17.25" customHeight="1" x14ac:dyDescent="0.25">
      <c r="A473" s="710"/>
      <c r="B473" s="715" t="s">
        <v>34</v>
      </c>
      <c r="C473" s="699"/>
      <c r="D473" s="1392"/>
      <c r="E473" s="695"/>
      <c r="F473" s="700"/>
      <c r="G473" s="700"/>
      <c r="H473" s="700"/>
      <c r="I473" s="700"/>
      <c r="J473" s="700"/>
      <c r="K473" s="700"/>
      <c r="L473" s="700"/>
      <c r="M473" s="700"/>
      <c r="N473" s="700"/>
      <c r="O473" s="701">
        <f t="shared" si="34"/>
        <v>0</v>
      </c>
      <c r="P473" s="702"/>
    </row>
    <row r="474" spans="1:89" ht="17.25" customHeight="1" x14ac:dyDescent="0.25">
      <c r="A474" s="710"/>
      <c r="B474" s="715" t="s">
        <v>35</v>
      </c>
      <c r="C474" s="699">
        <v>12</v>
      </c>
      <c r="D474" s="1392" t="s">
        <v>20</v>
      </c>
      <c r="E474" s="695">
        <v>400</v>
      </c>
      <c r="F474" s="700"/>
      <c r="G474" s="700"/>
      <c r="H474" s="700"/>
      <c r="I474" s="700"/>
      <c r="J474" s="700">
        <f>C474*E474</f>
        <v>4800</v>
      </c>
      <c r="K474" s="700">
        <f>I474+J474</f>
        <v>4800</v>
      </c>
      <c r="L474" s="700"/>
      <c r="M474" s="700"/>
      <c r="N474" s="700"/>
      <c r="O474" s="701">
        <f t="shared" si="34"/>
        <v>4800</v>
      </c>
      <c r="P474" s="702"/>
    </row>
    <row r="475" spans="1:89" ht="17.25" customHeight="1" x14ac:dyDescent="0.25">
      <c r="A475" s="710"/>
      <c r="B475" s="715" t="s">
        <v>36</v>
      </c>
      <c r="C475" s="699">
        <v>36</v>
      </c>
      <c r="D475" s="1392" t="s">
        <v>20</v>
      </c>
      <c r="E475" s="695">
        <v>300</v>
      </c>
      <c r="F475" s="700"/>
      <c r="G475" s="700"/>
      <c r="H475" s="700"/>
      <c r="I475" s="700"/>
      <c r="J475" s="700">
        <f>C475*E475</f>
        <v>10800</v>
      </c>
      <c r="K475" s="700">
        <f>I475+J475</f>
        <v>10800</v>
      </c>
      <c r="L475" s="700"/>
      <c r="M475" s="700"/>
      <c r="N475" s="700"/>
      <c r="O475" s="701">
        <f t="shared" si="34"/>
        <v>10800</v>
      </c>
      <c r="P475" s="702"/>
    </row>
    <row r="476" spans="1:89" ht="17.25" customHeight="1" x14ac:dyDescent="0.25">
      <c r="A476" s="710"/>
      <c r="B476" s="715" t="s">
        <v>38</v>
      </c>
      <c r="C476" s="699">
        <v>1</v>
      </c>
      <c r="D476" s="1392" t="s">
        <v>25</v>
      </c>
      <c r="E476" s="695">
        <v>40000</v>
      </c>
      <c r="F476" s="700"/>
      <c r="G476" s="700"/>
      <c r="H476" s="700"/>
      <c r="I476" s="700"/>
      <c r="J476" s="700">
        <f>C476*E476</f>
        <v>40000</v>
      </c>
      <c r="K476" s="700">
        <f>I476+J476</f>
        <v>40000</v>
      </c>
      <c r="L476" s="700"/>
      <c r="M476" s="700"/>
      <c r="N476" s="700"/>
      <c r="O476" s="701">
        <f t="shared" si="34"/>
        <v>40000</v>
      </c>
      <c r="P476" s="702"/>
    </row>
    <row r="477" spans="1:89" ht="17.25" customHeight="1" x14ac:dyDescent="0.25">
      <c r="A477" s="710"/>
      <c r="B477" s="715" t="s">
        <v>39</v>
      </c>
      <c r="C477" s="699">
        <v>1</v>
      </c>
      <c r="D477" s="1392" t="s">
        <v>25</v>
      </c>
      <c r="E477" s="695">
        <v>6000</v>
      </c>
      <c r="F477" s="700"/>
      <c r="G477" s="700"/>
      <c r="H477" s="700"/>
      <c r="I477" s="700"/>
      <c r="J477" s="700">
        <f>C477*E477</f>
        <v>6000</v>
      </c>
      <c r="K477" s="700">
        <f>I477+J477</f>
        <v>6000</v>
      </c>
      <c r="L477" s="700"/>
      <c r="M477" s="700"/>
      <c r="N477" s="700"/>
      <c r="O477" s="701">
        <f t="shared" si="34"/>
        <v>6000</v>
      </c>
      <c r="P477" s="702"/>
    </row>
    <row r="478" spans="1:89" ht="17.25" customHeight="1" x14ac:dyDescent="0.25">
      <c r="A478" s="710">
        <v>2</v>
      </c>
      <c r="B478" s="715" t="s">
        <v>40</v>
      </c>
      <c r="C478" s="699"/>
      <c r="D478" s="1392"/>
      <c r="E478" s="695"/>
      <c r="F478" s="700"/>
      <c r="G478" s="700"/>
      <c r="H478" s="700"/>
      <c r="I478" s="700"/>
      <c r="J478" s="700"/>
      <c r="K478" s="700"/>
      <c r="L478" s="700"/>
      <c r="M478" s="700"/>
      <c r="N478" s="700"/>
      <c r="O478" s="701">
        <f t="shared" si="34"/>
        <v>0</v>
      </c>
      <c r="P478" s="702"/>
    </row>
    <row r="479" spans="1:89" ht="17.25" customHeight="1" x14ac:dyDescent="0.25">
      <c r="A479" s="710"/>
      <c r="B479" s="715" t="s">
        <v>41</v>
      </c>
      <c r="C479" s="699">
        <v>1</v>
      </c>
      <c r="D479" s="1392" t="s">
        <v>25</v>
      </c>
      <c r="E479" s="695">
        <v>30000</v>
      </c>
      <c r="F479" s="700"/>
      <c r="G479" s="700"/>
      <c r="H479" s="700"/>
      <c r="I479" s="700"/>
      <c r="J479" s="700">
        <f>C479*E479</f>
        <v>30000</v>
      </c>
      <c r="K479" s="700">
        <f>I479+J479</f>
        <v>30000</v>
      </c>
      <c r="L479" s="700"/>
      <c r="M479" s="700"/>
      <c r="N479" s="700"/>
      <c r="O479" s="701">
        <f t="shared" si="34"/>
        <v>30000</v>
      </c>
      <c r="P479" s="702"/>
    </row>
    <row r="480" spans="1:89" ht="17.25" customHeight="1" x14ac:dyDescent="0.25">
      <c r="A480" s="710"/>
      <c r="B480" s="715" t="s">
        <v>42</v>
      </c>
      <c r="C480" s="699">
        <v>1</v>
      </c>
      <c r="D480" s="1392" t="s">
        <v>25</v>
      </c>
      <c r="E480" s="695">
        <v>25000</v>
      </c>
      <c r="F480" s="700"/>
      <c r="G480" s="700"/>
      <c r="H480" s="700"/>
      <c r="I480" s="700"/>
      <c r="J480" s="700">
        <f>C480*E480</f>
        <v>25000</v>
      </c>
      <c r="K480" s="700">
        <f>I480+J480</f>
        <v>25000</v>
      </c>
      <c r="L480" s="700"/>
      <c r="M480" s="700"/>
      <c r="N480" s="700"/>
      <c r="O480" s="701">
        <f t="shared" si="34"/>
        <v>25000</v>
      </c>
      <c r="P480" s="702"/>
    </row>
    <row r="481" spans="1:89" ht="17.25" customHeight="1" x14ac:dyDescent="0.25">
      <c r="A481" s="710">
        <v>3</v>
      </c>
      <c r="B481" s="715" t="s">
        <v>43</v>
      </c>
      <c r="C481" s="699"/>
      <c r="D481" s="1392"/>
      <c r="E481" s="695"/>
      <c r="F481" s="700"/>
      <c r="G481" s="700"/>
      <c r="H481" s="700"/>
      <c r="I481" s="700"/>
      <c r="J481" s="700"/>
      <c r="K481" s="700"/>
      <c r="L481" s="700"/>
      <c r="M481" s="700"/>
      <c r="N481" s="700"/>
      <c r="O481" s="701">
        <f t="shared" si="34"/>
        <v>0</v>
      </c>
      <c r="P481" s="702"/>
    </row>
    <row r="482" spans="1:89" ht="17.25" customHeight="1" x14ac:dyDescent="0.25">
      <c r="A482" s="692"/>
      <c r="B482" s="1371" t="s">
        <v>44</v>
      </c>
      <c r="C482" s="693">
        <v>8</v>
      </c>
      <c r="D482" s="739" t="s">
        <v>45</v>
      </c>
      <c r="E482" s="695">
        <v>6000</v>
      </c>
      <c r="F482" s="695"/>
      <c r="G482" s="695"/>
      <c r="H482" s="695"/>
      <c r="I482" s="695"/>
      <c r="J482" s="695">
        <f>C482*E482</f>
        <v>48000</v>
      </c>
      <c r="K482" s="695">
        <f>I482+J482</f>
        <v>48000</v>
      </c>
      <c r="L482" s="695"/>
      <c r="M482" s="695"/>
      <c r="N482" s="695"/>
      <c r="O482" s="696">
        <f t="shared" si="34"/>
        <v>48000</v>
      </c>
      <c r="P482" s="687"/>
    </row>
    <row r="483" spans="1:89" s="673" customFormat="1" ht="18" customHeight="1" x14ac:dyDescent="0.25">
      <c r="A483" s="740"/>
      <c r="B483" s="741"/>
      <c r="C483" s="828"/>
      <c r="D483" s="738"/>
      <c r="E483" s="705"/>
      <c r="F483" s="705"/>
      <c r="G483" s="705"/>
      <c r="H483" s="705"/>
      <c r="I483" s="705"/>
      <c r="J483" s="705"/>
      <c r="K483" s="705"/>
      <c r="L483" s="705"/>
      <c r="M483" s="705"/>
      <c r="N483" s="705"/>
      <c r="O483" s="1370">
        <f t="shared" si="34"/>
        <v>0</v>
      </c>
      <c r="P483" s="829"/>
      <c r="Q483" s="783"/>
      <c r="R483" s="783"/>
      <c r="S483" s="783"/>
      <c r="T483" s="783"/>
      <c r="U483" s="783"/>
      <c r="V483" s="783"/>
      <c r="W483" s="783"/>
      <c r="X483" s="783"/>
      <c r="Y483" s="783"/>
      <c r="Z483" s="783"/>
      <c r="AA483" s="783"/>
      <c r="AB483" s="783"/>
      <c r="AC483" s="783"/>
      <c r="AD483" s="783"/>
      <c r="AE483" s="783"/>
      <c r="AF483" s="783"/>
      <c r="AG483" s="783"/>
      <c r="AH483" s="783"/>
      <c r="AI483" s="783"/>
      <c r="AJ483" s="783"/>
      <c r="AK483" s="783"/>
      <c r="AL483" s="783"/>
      <c r="AM483" s="783"/>
      <c r="AN483" s="783"/>
      <c r="AO483" s="783"/>
      <c r="AP483" s="783"/>
      <c r="AQ483" s="783"/>
      <c r="AR483" s="783"/>
      <c r="AS483" s="783"/>
      <c r="AT483" s="783"/>
      <c r="AU483" s="783"/>
      <c r="AV483" s="783"/>
      <c r="AW483" s="783"/>
      <c r="AX483" s="783"/>
      <c r="AY483" s="783"/>
      <c r="AZ483" s="783"/>
      <c r="BA483" s="783"/>
      <c r="BB483" s="783"/>
      <c r="BC483" s="783"/>
      <c r="BD483" s="783"/>
      <c r="BE483" s="783"/>
      <c r="BF483" s="783"/>
      <c r="BG483" s="783"/>
      <c r="BH483" s="783"/>
      <c r="BI483" s="783"/>
      <c r="BJ483" s="783"/>
      <c r="BK483" s="783"/>
      <c r="BL483" s="783"/>
      <c r="BM483" s="783"/>
      <c r="BN483" s="783"/>
      <c r="BO483" s="783"/>
      <c r="BP483" s="783"/>
      <c r="BQ483" s="783"/>
      <c r="BR483" s="783"/>
      <c r="BS483" s="783"/>
      <c r="BT483" s="783"/>
      <c r="BU483" s="783"/>
      <c r="BV483" s="783"/>
      <c r="BW483" s="783"/>
      <c r="BX483" s="783"/>
      <c r="BY483" s="783"/>
      <c r="BZ483" s="783"/>
      <c r="CA483" s="783"/>
      <c r="CB483" s="783"/>
      <c r="CC483" s="783"/>
      <c r="CD483" s="783"/>
      <c r="CE483" s="783"/>
      <c r="CF483" s="783"/>
      <c r="CG483" s="783"/>
      <c r="CH483" s="783"/>
      <c r="CI483" s="783"/>
      <c r="CJ483" s="783"/>
      <c r="CK483" s="783"/>
    </row>
    <row r="484" spans="1:89" s="673" customFormat="1" ht="18" customHeight="1" x14ac:dyDescent="0.25">
      <c r="A484" s="692">
        <v>4</v>
      </c>
      <c r="B484" s="1371" t="s">
        <v>48</v>
      </c>
      <c r="C484" s="693"/>
      <c r="D484" s="739"/>
      <c r="E484" s="695" t="s">
        <v>49</v>
      </c>
      <c r="F484" s="695"/>
      <c r="G484" s="695"/>
      <c r="H484" s="695"/>
      <c r="I484" s="695"/>
      <c r="J484" s="695"/>
      <c r="K484" s="695">
        <f>J484+I484</f>
        <v>0</v>
      </c>
      <c r="L484" s="695"/>
      <c r="M484" s="695"/>
      <c r="N484" s="695"/>
      <c r="O484" s="696">
        <f t="shared" si="34"/>
        <v>0</v>
      </c>
      <c r="P484" s="687"/>
      <c r="Q484" s="783"/>
      <c r="R484" s="783"/>
      <c r="S484" s="783"/>
      <c r="T484" s="783"/>
      <c r="U484" s="783"/>
      <c r="V484" s="783"/>
      <c r="W484" s="783"/>
      <c r="X484" s="783"/>
      <c r="Y484" s="783"/>
      <c r="Z484" s="783"/>
      <c r="AA484" s="783"/>
      <c r="AB484" s="783"/>
      <c r="AC484" s="783"/>
      <c r="AD484" s="783"/>
      <c r="AE484" s="783"/>
      <c r="AF484" s="783"/>
      <c r="AG484" s="783"/>
      <c r="AH484" s="783"/>
      <c r="AI484" s="783"/>
      <c r="AJ484" s="783"/>
      <c r="AK484" s="783"/>
      <c r="AL484" s="783"/>
      <c r="AM484" s="783"/>
      <c r="AN484" s="783"/>
      <c r="AO484" s="783"/>
      <c r="AP484" s="783"/>
      <c r="AQ484" s="783"/>
      <c r="AR484" s="783"/>
      <c r="AS484" s="783"/>
      <c r="AT484" s="783"/>
      <c r="AU484" s="783"/>
      <c r="AV484" s="783"/>
      <c r="AW484" s="783"/>
      <c r="AX484" s="783"/>
      <c r="AY484" s="783"/>
      <c r="AZ484" s="783"/>
      <c r="BA484" s="783"/>
      <c r="BB484" s="783"/>
      <c r="BC484" s="783"/>
      <c r="BD484" s="783"/>
      <c r="BE484" s="783"/>
      <c r="BF484" s="783"/>
      <c r="BG484" s="783"/>
      <c r="BH484" s="783"/>
      <c r="BI484" s="783"/>
      <c r="BJ484" s="783"/>
      <c r="BK484" s="783"/>
      <c r="BL484" s="783"/>
      <c r="BM484" s="783"/>
      <c r="BN484" s="783"/>
      <c r="BO484" s="783"/>
      <c r="BP484" s="783"/>
      <c r="BQ484" s="783"/>
      <c r="BR484" s="783"/>
      <c r="BS484" s="783"/>
      <c r="BT484" s="783"/>
      <c r="BU484" s="783"/>
      <c r="BV484" s="783"/>
      <c r="BW484" s="783"/>
      <c r="BX484" s="783"/>
      <c r="BY484" s="783"/>
      <c r="BZ484" s="783"/>
      <c r="CA484" s="783"/>
      <c r="CB484" s="783"/>
      <c r="CC484" s="783"/>
      <c r="CD484" s="783"/>
      <c r="CE484" s="783"/>
      <c r="CF484" s="783"/>
      <c r="CG484" s="783"/>
      <c r="CH484" s="783"/>
      <c r="CI484" s="783"/>
      <c r="CJ484" s="783"/>
      <c r="CK484" s="783"/>
    </row>
    <row r="485" spans="1:89" ht="17.25" customHeight="1" x14ac:dyDescent="0.25">
      <c r="A485" s="692"/>
      <c r="B485" s="715" t="s">
        <v>50</v>
      </c>
      <c r="C485" s="693">
        <v>40</v>
      </c>
      <c r="D485" s="739" t="s">
        <v>51</v>
      </c>
      <c r="E485" s="695">
        <v>2200</v>
      </c>
      <c r="F485" s="695"/>
      <c r="G485" s="695"/>
      <c r="H485" s="695"/>
      <c r="I485" s="695"/>
      <c r="J485" s="695">
        <f>C485*E485</f>
        <v>88000</v>
      </c>
      <c r="K485" s="695">
        <f>I485+J485</f>
        <v>88000</v>
      </c>
      <c r="L485" s="695"/>
      <c r="M485" s="695"/>
      <c r="N485" s="695"/>
      <c r="O485" s="696">
        <f t="shared" si="34"/>
        <v>88000</v>
      </c>
      <c r="P485" s="687"/>
    </row>
    <row r="486" spans="1:89" ht="17.25" customHeight="1" x14ac:dyDescent="0.25">
      <c r="A486" s="692"/>
      <c r="B486" s="715" t="s">
        <v>52</v>
      </c>
      <c r="C486" s="693">
        <v>110</v>
      </c>
      <c r="D486" s="739" t="s">
        <v>53</v>
      </c>
      <c r="E486" s="695">
        <v>450</v>
      </c>
      <c r="F486" s="695"/>
      <c r="G486" s="695"/>
      <c r="H486" s="695"/>
      <c r="I486" s="695"/>
      <c r="J486" s="695">
        <f>C486*E486</f>
        <v>49500</v>
      </c>
      <c r="K486" s="695">
        <f>I486+J486</f>
        <v>49500</v>
      </c>
      <c r="L486" s="695"/>
      <c r="M486" s="695"/>
      <c r="N486" s="695"/>
      <c r="O486" s="696">
        <f t="shared" si="34"/>
        <v>49500</v>
      </c>
      <c r="P486" s="687"/>
    </row>
    <row r="487" spans="1:89" ht="17.25" customHeight="1" x14ac:dyDescent="0.25">
      <c r="A487" s="692"/>
      <c r="B487" s="715" t="s">
        <v>54</v>
      </c>
      <c r="C487" s="693">
        <v>100</v>
      </c>
      <c r="D487" s="739" t="s">
        <v>55</v>
      </c>
      <c r="E487" s="695">
        <v>450</v>
      </c>
      <c r="F487" s="695"/>
      <c r="G487" s="695"/>
      <c r="H487" s="695"/>
      <c r="I487" s="695"/>
      <c r="J487" s="695">
        <f>C487*E487</f>
        <v>45000</v>
      </c>
      <c r="K487" s="695">
        <f>I487+J487</f>
        <v>45000</v>
      </c>
      <c r="L487" s="695"/>
      <c r="M487" s="695"/>
      <c r="N487" s="695"/>
      <c r="O487" s="696">
        <f t="shared" si="34"/>
        <v>45000</v>
      </c>
      <c r="P487" s="687"/>
    </row>
    <row r="488" spans="1:89" ht="17.25" customHeight="1" x14ac:dyDescent="0.25">
      <c r="A488" s="692"/>
      <c r="B488" s="715" t="s">
        <v>56</v>
      </c>
      <c r="C488" s="693">
        <v>100</v>
      </c>
      <c r="D488" s="739" t="s">
        <v>55</v>
      </c>
      <c r="E488" s="695">
        <v>300</v>
      </c>
      <c r="F488" s="695"/>
      <c r="G488" s="695"/>
      <c r="H488" s="695"/>
      <c r="I488" s="695"/>
      <c r="J488" s="695">
        <f>C488*E488</f>
        <v>30000</v>
      </c>
      <c r="K488" s="695">
        <f>I488+J488</f>
        <v>30000</v>
      </c>
      <c r="L488" s="695"/>
      <c r="M488" s="695"/>
      <c r="N488" s="695"/>
      <c r="O488" s="696">
        <f t="shared" si="34"/>
        <v>30000</v>
      </c>
      <c r="P488" s="687"/>
    </row>
    <row r="489" spans="1:89" ht="17.25" customHeight="1" x14ac:dyDescent="0.25">
      <c r="A489" s="692"/>
      <c r="B489" s="715"/>
      <c r="C489" s="693"/>
      <c r="D489" s="739"/>
      <c r="E489" s="695"/>
      <c r="F489" s="695"/>
      <c r="G489" s="695"/>
      <c r="H489" s="695"/>
      <c r="I489" s="695"/>
      <c r="J489" s="695"/>
      <c r="K489" s="695"/>
      <c r="L489" s="695"/>
      <c r="M489" s="695"/>
      <c r="N489" s="695"/>
      <c r="O489" s="696"/>
      <c r="P489" s="687"/>
    </row>
    <row r="490" spans="1:89" ht="17.25" customHeight="1" x14ac:dyDescent="0.25">
      <c r="A490" s="692">
        <v>5</v>
      </c>
      <c r="B490" s="715" t="s">
        <v>57</v>
      </c>
      <c r="C490" s="693"/>
      <c r="D490" s="739"/>
      <c r="E490" s="695"/>
      <c r="F490" s="695"/>
      <c r="G490" s="695"/>
      <c r="H490" s="695"/>
      <c r="I490" s="695"/>
      <c r="J490" s="695"/>
      <c r="K490" s="695"/>
      <c r="L490" s="695"/>
      <c r="M490" s="695"/>
      <c r="N490" s="695"/>
      <c r="O490" s="696">
        <f>N490+K490+H490</f>
        <v>0</v>
      </c>
      <c r="P490" s="687"/>
    </row>
    <row r="491" spans="1:89" ht="17.25" customHeight="1" x14ac:dyDescent="0.25">
      <c r="A491" s="692"/>
      <c r="B491" s="715" t="s">
        <v>58</v>
      </c>
      <c r="C491" s="693">
        <v>1</v>
      </c>
      <c r="D491" s="739" t="s">
        <v>16</v>
      </c>
      <c r="E491" s="695">
        <v>15000</v>
      </c>
      <c r="F491" s="695"/>
      <c r="G491" s="695"/>
      <c r="H491" s="695"/>
      <c r="I491" s="695"/>
      <c r="J491" s="695"/>
      <c r="K491" s="695"/>
      <c r="L491" s="695">
        <f>C491*E491</f>
        <v>15000</v>
      </c>
      <c r="M491" s="695"/>
      <c r="N491" s="695">
        <f>L491+M491</f>
        <v>15000</v>
      </c>
      <c r="O491" s="696">
        <f>N491+K491+H491</f>
        <v>15000</v>
      </c>
      <c r="P491" s="687"/>
    </row>
    <row r="492" spans="1:89" ht="17.25" customHeight="1" x14ac:dyDescent="0.25">
      <c r="A492" s="820"/>
      <c r="B492" s="856"/>
      <c r="C492" s="830"/>
      <c r="D492" s="831"/>
      <c r="E492" s="821"/>
      <c r="F492" s="821"/>
      <c r="G492" s="821"/>
      <c r="H492" s="821"/>
      <c r="I492" s="821"/>
      <c r="J492" s="821"/>
      <c r="K492" s="821"/>
      <c r="L492" s="821"/>
      <c r="M492" s="821"/>
      <c r="N492" s="821"/>
      <c r="O492" s="822"/>
      <c r="P492" s="687"/>
    </row>
    <row r="493" spans="1:89" ht="23.25" customHeight="1" x14ac:dyDescent="0.25">
      <c r="A493" s="1210" t="s">
        <v>103</v>
      </c>
      <c r="B493" s="1211" t="s">
        <v>104</v>
      </c>
      <c r="C493" s="1212"/>
      <c r="D493" s="1213"/>
      <c r="E493" s="1214"/>
      <c r="F493" s="1214">
        <f>F495+F503+F509+F523+F506</f>
        <v>0</v>
      </c>
      <c r="G493" s="1214">
        <f>G495+G503+G509+G523+G506</f>
        <v>0</v>
      </c>
      <c r="H493" s="1214">
        <f>G493+F493</f>
        <v>0</v>
      </c>
      <c r="I493" s="1214">
        <f>I495+I503+I509+I523+I506</f>
        <v>0</v>
      </c>
      <c r="J493" s="1214">
        <f>J495+J503+J509+J523+J506</f>
        <v>10136650</v>
      </c>
      <c r="K493" s="1214">
        <f>J493+I493</f>
        <v>10136650</v>
      </c>
      <c r="L493" s="1214">
        <f>L495+L503+L509+L523+L506</f>
        <v>11041957</v>
      </c>
      <c r="M493" s="1214">
        <f>M495+M503+M509+M523+M506</f>
        <v>0</v>
      </c>
      <c r="N493" s="1214">
        <f>M493+L493</f>
        <v>11041957</v>
      </c>
      <c r="O493" s="1215">
        <f>N493+K493+H493</f>
        <v>21178607</v>
      </c>
      <c r="P493" s="680"/>
    </row>
    <row r="494" spans="1:89" ht="17.25" customHeight="1" x14ac:dyDescent="0.25">
      <c r="A494" s="681"/>
      <c r="B494" s="876"/>
      <c r="C494" s="682"/>
      <c r="D494" s="863"/>
      <c r="E494" s="879"/>
      <c r="F494" s="685"/>
      <c r="G494" s="685"/>
      <c r="H494" s="685"/>
      <c r="I494" s="685"/>
      <c r="J494" s="685"/>
      <c r="K494" s="685"/>
      <c r="L494" s="685"/>
      <c r="M494" s="685"/>
      <c r="N494" s="685"/>
      <c r="O494" s="686">
        <f t="shared" ref="O494:O501" si="35">N494+K494+H494</f>
        <v>0</v>
      </c>
      <c r="P494" s="687"/>
    </row>
    <row r="495" spans="1:89" s="672" customFormat="1" ht="45.75" customHeight="1" x14ac:dyDescent="0.25">
      <c r="A495" s="1395" t="s">
        <v>15</v>
      </c>
      <c r="B495" s="1372" t="s">
        <v>1156</v>
      </c>
      <c r="C495" s="1396"/>
      <c r="D495" s="738"/>
      <c r="E495" s="705"/>
      <c r="F495" s="705">
        <f>SUM(F496:F501)</f>
        <v>0</v>
      </c>
      <c r="G495" s="705">
        <f>SUM(G496:G501)</f>
        <v>0</v>
      </c>
      <c r="H495" s="705">
        <f>F495+G495</f>
        <v>0</v>
      </c>
      <c r="I495" s="705">
        <f>SUM(I496:I501)</f>
        <v>0</v>
      </c>
      <c r="J495" s="705">
        <f>SUM(J496:J501)</f>
        <v>0</v>
      </c>
      <c r="K495" s="705">
        <f>I495+J495</f>
        <v>0</v>
      </c>
      <c r="L495" s="705">
        <f>SUM(L496:L501)</f>
        <v>11026957</v>
      </c>
      <c r="M495" s="705">
        <f>SUM(M496:M501)</f>
        <v>0</v>
      </c>
      <c r="N495" s="705">
        <f t="shared" ref="N495:N501" si="36">L495+M495</f>
        <v>11026957</v>
      </c>
      <c r="O495" s="1370">
        <f>N495+K495+H495</f>
        <v>11026957</v>
      </c>
      <c r="P495" s="829"/>
      <c r="Q495" s="1581"/>
      <c r="R495" s="1581"/>
      <c r="S495" s="1581"/>
      <c r="T495" s="1581"/>
      <c r="U495" s="1581"/>
      <c r="V495" s="1581"/>
      <c r="W495" s="1581"/>
      <c r="X495" s="1581"/>
      <c r="Y495" s="1581"/>
      <c r="Z495" s="1581"/>
      <c r="AA495" s="1581"/>
      <c r="AB495" s="1581"/>
      <c r="AC495" s="1581"/>
      <c r="AD495" s="1581"/>
      <c r="AE495" s="1581"/>
      <c r="AF495" s="1581"/>
      <c r="AG495" s="1581"/>
      <c r="AH495" s="1581"/>
      <c r="AI495" s="1581"/>
      <c r="AJ495" s="1581"/>
      <c r="AK495" s="1581"/>
      <c r="AL495" s="1581"/>
      <c r="AM495" s="1581"/>
      <c r="AN495" s="1581"/>
      <c r="AO495" s="1581"/>
      <c r="AP495" s="1581"/>
      <c r="AQ495" s="1581"/>
      <c r="AR495" s="1581"/>
      <c r="AS495" s="1581"/>
      <c r="AT495" s="1581"/>
      <c r="AU495" s="1581"/>
      <c r="AV495" s="1581"/>
      <c r="AW495" s="1581"/>
      <c r="AX495" s="1581"/>
      <c r="AY495" s="1581"/>
      <c r="AZ495" s="1581"/>
      <c r="BA495" s="1581"/>
      <c r="BB495" s="1581"/>
      <c r="BC495" s="1581"/>
      <c r="BD495" s="1581"/>
      <c r="BE495" s="1581"/>
      <c r="BF495" s="1581"/>
      <c r="BG495" s="1581"/>
      <c r="BH495" s="1581"/>
      <c r="BI495" s="1581"/>
      <c r="BJ495" s="1581"/>
      <c r="BK495" s="1581"/>
      <c r="BL495" s="1581"/>
      <c r="BM495" s="1581"/>
      <c r="BN495" s="1581"/>
      <c r="BO495" s="1581"/>
      <c r="BP495" s="1581"/>
      <c r="BQ495" s="1581"/>
      <c r="BR495" s="1581"/>
      <c r="BS495" s="1581"/>
      <c r="BT495" s="1581"/>
      <c r="BU495" s="1581"/>
      <c r="BV495" s="1581"/>
      <c r="BW495" s="1581"/>
      <c r="BX495" s="1581"/>
      <c r="BY495" s="1581"/>
      <c r="BZ495" s="1581"/>
      <c r="CA495" s="1581"/>
      <c r="CB495" s="1581"/>
      <c r="CC495" s="1581"/>
      <c r="CD495" s="1581"/>
      <c r="CE495" s="1581"/>
      <c r="CF495" s="1581"/>
      <c r="CG495" s="1581"/>
      <c r="CH495" s="1581"/>
      <c r="CI495" s="1581"/>
      <c r="CJ495" s="1581"/>
      <c r="CK495" s="1581"/>
    </row>
    <row r="496" spans="1:89" ht="23.25" customHeight="1" x14ac:dyDescent="0.2">
      <c r="A496" s="1397">
        <v>1</v>
      </c>
      <c r="B496" s="711" t="s">
        <v>610</v>
      </c>
      <c r="C496" s="1398">
        <v>1</v>
      </c>
      <c r="D496" s="739" t="s">
        <v>16</v>
      </c>
      <c r="E496" s="695">
        <f>1165000+500000+1000000-500000</f>
        <v>2165000</v>
      </c>
      <c r="F496" s="695"/>
      <c r="G496" s="695"/>
      <c r="H496" s="695"/>
      <c r="I496" s="695"/>
      <c r="J496" s="695"/>
      <c r="K496" s="695"/>
      <c r="L496" s="695">
        <f t="shared" ref="L496:L501" si="37">E496*C496</f>
        <v>2165000</v>
      </c>
      <c r="M496" s="695"/>
      <c r="N496" s="695">
        <f t="shared" si="36"/>
        <v>2165000</v>
      </c>
      <c r="O496" s="696">
        <f t="shared" si="35"/>
        <v>2165000</v>
      </c>
      <c r="P496" s="687"/>
    </row>
    <row r="497" spans="1:89" ht="23.25" customHeight="1" x14ac:dyDescent="0.2">
      <c r="A497" s="1397">
        <v>2</v>
      </c>
      <c r="B497" s="711" t="s">
        <v>611</v>
      </c>
      <c r="C497" s="1398">
        <v>1</v>
      </c>
      <c r="D497" s="739" t="s">
        <v>16</v>
      </c>
      <c r="E497" s="695">
        <f>1718000+1000000-500000-500000+500000</f>
        <v>2218000</v>
      </c>
      <c r="F497" s="695"/>
      <c r="G497" s="695"/>
      <c r="H497" s="695"/>
      <c r="I497" s="695"/>
      <c r="J497" s="695"/>
      <c r="K497" s="695"/>
      <c r="L497" s="695">
        <f t="shared" si="37"/>
        <v>2218000</v>
      </c>
      <c r="M497" s="695"/>
      <c r="N497" s="695">
        <f t="shared" si="36"/>
        <v>2218000</v>
      </c>
      <c r="O497" s="696">
        <f t="shared" si="35"/>
        <v>2218000</v>
      </c>
      <c r="P497" s="687"/>
    </row>
    <row r="498" spans="1:89" ht="23.25" customHeight="1" x14ac:dyDescent="0.2">
      <c r="A498" s="1397">
        <v>3</v>
      </c>
      <c r="B498" s="711" t="s">
        <v>612</v>
      </c>
      <c r="C498" s="1398">
        <v>1</v>
      </c>
      <c r="D498" s="739" t="s">
        <v>16</v>
      </c>
      <c r="E498" s="695">
        <f>1210000+500000</f>
        <v>1710000</v>
      </c>
      <c r="F498" s="695"/>
      <c r="G498" s="695"/>
      <c r="H498" s="695"/>
      <c r="I498" s="695"/>
      <c r="J498" s="695"/>
      <c r="K498" s="695"/>
      <c r="L498" s="695">
        <f t="shared" si="37"/>
        <v>1710000</v>
      </c>
      <c r="M498" s="695"/>
      <c r="N498" s="695">
        <f t="shared" si="36"/>
        <v>1710000</v>
      </c>
      <c r="O498" s="696">
        <f t="shared" si="35"/>
        <v>1710000</v>
      </c>
      <c r="P498" s="687"/>
    </row>
    <row r="499" spans="1:89" ht="23.25" customHeight="1" x14ac:dyDescent="0.2">
      <c r="A499" s="1397">
        <v>4</v>
      </c>
      <c r="B499" s="711" t="s">
        <v>613</v>
      </c>
      <c r="C499" s="1398">
        <v>1</v>
      </c>
      <c r="D499" s="739" t="s">
        <v>16</v>
      </c>
      <c r="E499" s="695">
        <f>1309000</f>
        <v>1309000</v>
      </c>
      <c r="F499" s="695"/>
      <c r="G499" s="695"/>
      <c r="H499" s="695"/>
      <c r="I499" s="695"/>
      <c r="J499" s="695"/>
      <c r="K499" s="695"/>
      <c r="L499" s="695">
        <f t="shared" si="37"/>
        <v>1309000</v>
      </c>
      <c r="M499" s="695"/>
      <c r="N499" s="695">
        <f t="shared" si="36"/>
        <v>1309000</v>
      </c>
      <c r="O499" s="696">
        <f t="shared" si="35"/>
        <v>1309000</v>
      </c>
      <c r="P499" s="687"/>
    </row>
    <row r="500" spans="1:89" ht="23.25" customHeight="1" x14ac:dyDescent="0.2">
      <c r="A500" s="1397">
        <v>5</v>
      </c>
      <c r="B500" s="711" t="s">
        <v>614</v>
      </c>
      <c r="C500" s="1398">
        <v>1</v>
      </c>
      <c r="D500" s="739" t="s">
        <v>16</v>
      </c>
      <c r="E500" s="695">
        <f>1825000+1000000-500000-123043</f>
        <v>2201957</v>
      </c>
      <c r="F500" s="695"/>
      <c r="G500" s="695"/>
      <c r="H500" s="695"/>
      <c r="I500" s="695"/>
      <c r="J500" s="695"/>
      <c r="K500" s="695"/>
      <c r="L500" s="695">
        <f t="shared" si="37"/>
        <v>2201957</v>
      </c>
      <c r="M500" s="695"/>
      <c r="N500" s="695">
        <f t="shared" si="36"/>
        <v>2201957</v>
      </c>
      <c r="O500" s="696">
        <f t="shared" si="35"/>
        <v>2201957</v>
      </c>
      <c r="P500" s="687"/>
    </row>
    <row r="501" spans="1:89" ht="23.25" customHeight="1" x14ac:dyDescent="0.2">
      <c r="A501" s="1397">
        <v>6</v>
      </c>
      <c r="B501" s="711" t="s">
        <v>615</v>
      </c>
      <c r="C501" s="1398">
        <v>1</v>
      </c>
      <c r="D501" s="739" t="s">
        <v>16</v>
      </c>
      <c r="E501" s="695">
        <v>1423000</v>
      </c>
      <c r="F501" s="695"/>
      <c r="G501" s="695"/>
      <c r="H501" s="695"/>
      <c r="I501" s="695"/>
      <c r="J501" s="695"/>
      <c r="K501" s="695"/>
      <c r="L501" s="695">
        <f t="shared" si="37"/>
        <v>1423000</v>
      </c>
      <c r="M501" s="695"/>
      <c r="N501" s="695">
        <f t="shared" si="36"/>
        <v>1423000</v>
      </c>
      <c r="O501" s="696">
        <f t="shared" si="35"/>
        <v>1423000</v>
      </c>
      <c r="P501" s="687"/>
    </row>
    <row r="502" spans="1:89" s="679" customFormat="1" ht="17.25" customHeight="1" x14ac:dyDescent="0.25">
      <c r="A502" s="1397"/>
      <c r="B502" s="1399"/>
      <c r="C502" s="691"/>
      <c r="D502" s="739"/>
      <c r="E502" s="695"/>
      <c r="F502" s="695"/>
      <c r="G502" s="695"/>
      <c r="H502" s="695"/>
      <c r="I502" s="695"/>
      <c r="J502" s="695"/>
      <c r="K502" s="695"/>
      <c r="L502" s="695"/>
      <c r="M502" s="695"/>
      <c r="N502" s="695"/>
      <c r="O502" s="696"/>
      <c r="P502" s="687"/>
    </row>
    <row r="503" spans="1:89" ht="17.25" customHeight="1" x14ac:dyDescent="0.25">
      <c r="A503" s="1397" t="s">
        <v>17</v>
      </c>
      <c r="B503" s="1372" t="s">
        <v>105</v>
      </c>
      <c r="C503" s="1340"/>
      <c r="D503" s="739"/>
      <c r="E503" s="695"/>
      <c r="F503" s="695">
        <f>SUM(F504:F504)</f>
        <v>0</v>
      </c>
      <c r="G503" s="695">
        <f>SUM(G504:G504)</f>
        <v>0</v>
      </c>
      <c r="H503" s="695">
        <f>F503+G503</f>
        <v>0</v>
      </c>
      <c r="I503" s="695">
        <f>SUM(I504:I504)</f>
        <v>0</v>
      </c>
      <c r="J503" s="705">
        <f>SUM(J504:J504)</f>
        <v>6000000</v>
      </c>
      <c r="K503" s="705">
        <f>I503+J503</f>
        <v>6000000</v>
      </c>
      <c r="L503" s="695">
        <f>SUM(L504:L504)</f>
        <v>0</v>
      </c>
      <c r="M503" s="695">
        <f>SUM(M504:M504)</f>
        <v>0</v>
      </c>
      <c r="N503" s="695">
        <f>L503+M503</f>
        <v>0</v>
      </c>
      <c r="O503" s="696">
        <f>N503+K503+H503</f>
        <v>6000000</v>
      </c>
      <c r="P503" s="687"/>
    </row>
    <row r="504" spans="1:89" ht="32.25" customHeight="1" x14ac:dyDescent="0.25">
      <c r="A504" s="1397">
        <v>1</v>
      </c>
      <c r="B504" s="674" t="s">
        <v>1677</v>
      </c>
      <c r="C504" s="691">
        <v>1</v>
      </c>
      <c r="D504" s="739" t="s">
        <v>16</v>
      </c>
      <c r="E504" s="695">
        <f>6000000</f>
        <v>6000000</v>
      </c>
      <c r="F504" s="695"/>
      <c r="G504" s="695"/>
      <c r="H504" s="695"/>
      <c r="I504" s="695"/>
      <c r="J504" s="695">
        <f>E504*C504</f>
        <v>6000000</v>
      </c>
      <c r="K504" s="695">
        <f>J504+I504</f>
        <v>6000000</v>
      </c>
      <c r="L504" s="695"/>
      <c r="M504" s="695"/>
      <c r="N504" s="695"/>
      <c r="O504" s="696">
        <f>N504+K504+H504</f>
        <v>6000000</v>
      </c>
      <c r="P504" s="687"/>
    </row>
    <row r="505" spans="1:89" ht="32.25" customHeight="1" x14ac:dyDescent="0.25">
      <c r="A505" s="1397"/>
      <c r="B505" s="674"/>
      <c r="C505" s="691"/>
      <c r="D505" s="739"/>
      <c r="E505" s="695"/>
      <c r="F505" s="695"/>
      <c r="G505" s="695"/>
      <c r="H505" s="695"/>
      <c r="I505" s="695"/>
      <c r="J505" s="695"/>
      <c r="K505" s="695"/>
      <c r="L505" s="695"/>
      <c r="M505" s="695"/>
      <c r="N505" s="695"/>
      <c r="O505" s="696"/>
      <c r="P505" s="687"/>
    </row>
    <row r="506" spans="1:89" ht="32.25" customHeight="1" x14ac:dyDescent="0.25">
      <c r="A506" s="1397" t="s">
        <v>17</v>
      </c>
      <c r="B506" s="674" t="s">
        <v>1560</v>
      </c>
      <c r="C506" s="691"/>
      <c r="D506" s="739"/>
      <c r="E506" s="695"/>
      <c r="F506" s="695">
        <f>SUM(F514:F515)</f>
        <v>0</v>
      </c>
      <c r="G506" s="695">
        <f>SUM(G514:G515)</f>
        <v>0</v>
      </c>
      <c r="H506" s="695">
        <f>F506+G506</f>
        <v>0</v>
      </c>
      <c r="I506" s="695">
        <f>SUM(I514:I515)</f>
        <v>0</v>
      </c>
      <c r="J506" s="695">
        <f>J507</f>
        <v>0</v>
      </c>
      <c r="K506" s="695">
        <f>I506+J506</f>
        <v>0</v>
      </c>
      <c r="L506" s="695">
        <f>SUM(L514:L515)</f>
        <v>0</v>
      </c>
      <c r="M506" s="695">
        <f>SUM(M514:M515)</f>
        <v>0</v>
      </c>
      <c r="N506" s="695">
        <f>L506+M506</f>
        <v>0</v>
      </c>
      <c r="O506" s="696">
        <f>O507</f>
        <v>0</v>
      </c>
      <c r="P506" s="687"/>
    </row>
    <row r="507" spans="1:89" ht="32.25" customHeight="1" x14ac:dyDescent="0.25">
      <c r="A507" s="1397">
        <v>12</v>
      </c>
      <c r="B507" s="674" t="s">
        <v>1684</v>
      </c>
      <c r="C507" s="691">
        <v>0</v>
      </c>
      <c r="D507" s="739" t="s">
        <v>16</v>
      </c>
      <c r="E507" s="695">
        <v>500000</v>
      </c>
      <c r="F507" s="695"/>
      <c r="G507" s="695"/>
      <c r="H507" s="695"/>
      <c r="I507" s="695"/>
      <c r="J507" s="695">
        <f>C507*E507</f>
        <v>0</v>
      </c>
      <c r="K507" s="695">
        <f>I507+J507</f>
        <v>0</v>
      </c>
      <c r="L507" s="695"/>
      <c r="M507" s="695"/>
      <c r="N507" s="695"/>
      <c r="O507" s="696">
        <f>N507+K507+H507</f>
        <v>0</v>
      </c>
      <c r="P507" s="687"/>
    </row>
    <row r="508" spans="1:89" ht="23.25" customHeight="1" x14ac:dyDescent="0.25">
      <c r="A508" s="1397"/>
      <c r="B508" s="711"/>
      <c r="C508" s="691"/>
      <c r="D508" s="727"/>
      <c r="E508" s="695"/>
      <c r="F508" s="695"/>
      <c r="G508" s="695"/>
      <c r="H508" s="695"/>
      <c r="I508" s="695"/>
      <c r="J508" s="695"/>
      <c r="K508" s="695"/>
      <c r="L508" s="695"/>
      <c r="M508" s="695"/>
      <c r="N508" s="695"/>
      <c r="O508" s="696"/>
      <c r="P508" s="687"/>
    </row>
    <row r="509" spans="1:89" s="672" customFormat="1" ht="17.25" customHeight="1" x14ac:dyDescent="0.25">
      <c r="A509" s="1395" t="s">
        <v>22</v>
      </c>
      <c r="B509" s="1372" t="s">
        <v>23</v>
      </c>
      <c r="C509" s="1396"/>
      <c r="D509" s="1369"/>
      <c r="E509" s="705"/>
      <c r="F509" s="705">
        <f>SUM(F510:F520)</f>
        <v>0</v>
      </c>
      <c r="G509" s="705">
        <f>SUM(G510:G520)</f>
        <v>0</v>
      </c>
      <c r="H509" s="705">
        <f>F509+G509</f>
        <v>0</v>
      </c>
      <c r="I509" s="705">
        <f>SUM(I510:I520)</f>
        <v>0</v>
      </c>
      <c r="J509" s="705">
        <f>SUM(J510:J520)</f>
        <v>3535000</v>
      </c>
      <c r="K509" s="705">
        <f>I509+J509</f>
        <v>3535000</v>
      </c>
      <c r="L509" s="705">
        <f>SUM(L510:L520)</f>
        <v>0</v>
      </c>
      <c r="M509" s="705">
        <f>SUM(M510:M520)</f>
        <v>0</v>
      </c>
      <c r="N509" s="705">
        <f>L509+M509</f>
        <v>0</v>
      </c>
      <c r="O509" s="1370">
        <f>N509+K509+H509</f>
        <v>3535000</v>
      </c>
      <c r="P509" s="829"/>
      <c r="Q509" s="1581"/>
      <c r="R509" s="1581"/>
      <c r="S509" s="1581"/>
      <c r="T509" s="1581"/>
      <c r="U509" s="1581"/>
      <c r="V509" s="1581"/>
      <c r="W509" s="1581"/>
      <c r="X509" s="1581"/>
      <c r="Y509" s="1581"/>
      <c r="Z509" s="1581"/>
      <c r="AA509" s="1581"/>
      <c r="AB509" s="1581"/>
      <c r="AC509" s="1581"/>
      <c r="AD509" s="1581"/>
      <c r="AE509" s="1581"/>
      <c r="AF509" s="1581"/>
      <c r="AG509" s="1581"/>
      <c r="AH509" s="1581"/>
      <c r="AI509" s="1581"/>
      <c r="AJ509" s="1581"/>
      <c r="AK509" s="1581"/>
      <c r="AL509" s="1581"/>
      <c r="AM509" s="1581"/>
      <c r="AN509" s="1581"/>
      <c r="AO509" s="1581"/>
      <c r="AP509" s="1581"/>
      <c r="AQ509" s="1581"/>
      <c r="AR509" s="1581"/>
      <c r="AS509" s="1581"/>
      <c r="AT509" s="1581"/>
      <c r="AU509" s="1581"/>
      <c r="AV509" s="1581"/>
      <c r="AW509" s="1581"/>
      <c r="AX509" s="1581"/>
      <c r="AY509" s="1581"/>
      <c r="AZ509" s="1581"/>
      <c r="BA509" s="1581"/>
      <c r="BB509" s="1581"/>
      <c r="BC509" s="1581"/>
      <c r="BD509" s="1581"/>
      <c r="BE509" s="1581"/>
      <c r="BF509" s="1581"/>
      <c r="BG509" s="1581"/>
      <c r="BH509" s="1581"/>
      <c r="BI509" s="1581"/>
      <c r="BJ509" s="1581"/>
      <c r="BK509" s="1581"/>
      <c r="BL509" s="1581"/>
      <c r="BM509" s="1581"/>
      <c r="BN509" s="1581"/>
      <c r="BO509" s="1581"/>
      <c r="BP509" s="1581"/>
      <c r="BQ509" s="1581"/>
      <c r="BR509" s="1581"/>
      <c r="BS509" s="1581"/>
      <c r="BT509" s="1581"/>
      <c r="BU509" s="1581"/>
      <c r="BV509" s="1581"/>
      <c r="BW509" s="1581"/>
      <c r="BX509" s="1581"/>
      <c r="BY509" s="1581"/>
      <c r="BZ509" s="1581"/>
      <c r="CA509" s="1581"/>
      <c r="CB509" s="1581"/>
      <c r="CC509" s="1581"/>
      <c r="CD509" s="1581"/>
      <c r="CE509" s="1581"/>
      <c r="CF509" s="1581"/>
      <c r="CG509" s="1581"/>
      <c r="CH509" s="1581"/>
      <c r="CI509" s="1581"/>
      <c r="CJ509" s="1581"/>
      <c r="CK509" s="1581"/>
    </row>
    <row r="510" spans="1:89" ht="17.25" customHeight="1" x14ac:dyDescent="0.25">
      <c r="A510" s="1397">
        <v>1</v>
      </c>
      <c r="B510" s="1341" t="s">
        <v>21</v>
      </c>
      <c r="C510" s="1340"/>
      <c r="D510" s="727"/>
      <c r="E510" s="695"/>
      <c r="F510" s="695"/>
      <c r="G510" s="695"/>
      <c r="H510" s="695"/>
      <c r="I510" s="695"/>
      <c r="J510" s="695"/>
      <c r="K510" s="695"/>
      <c r="L510" s="695"/>
      <c r="M510" s="695"/>
      <c r="N510" s="695"/>
      <c r="O510" s="696">
        <f>N510+K510+H510</f>
        <v>0</v>
      </c>
      <c r="P510" s="687"/>
    </row>
    <row r="511" spans="1:89" ht="17.25" customHeight="1" x14ac:dyDescent="0.25">
      <c r="A511" s="692"/>
      <c r="B511" s="1341" t="s">
        <v>24</v>
      </c>
      <c r="C511" s="1340">
        <v>1</v>
      </c>
      <c r="D511" s="727" t="s">
        <v>25</v>
      </c>
      <c r="E511" s="695">
        <v>3500000</v>
      </c>
      <c r="F511" s="695"/>
      <c r="G511" s="695"/>
      <c r="H511" s="695"/>
      <c r="I511" s="695"/>
      <c r="J511" s="695">
        <f>E511*C511</f>
        <v>3500000</v>
      </c>
      <c r="K511" s="695">
        <f>I511+J511</f>
        <v>3500000</v>
      </c>
      <c r="L511" s="695"/>
      <c r="M511" s="695"/>
      <c r="N511" s="695"/>
      <c r="O511" s="696">
        <f>N511+K511+H511</f>
        <v>3500000</v>
      </c>
      <c r="P511" s="687"/>
    </row>
    <row r="512" spans="1:89" ht="17.25" customHeight="1" x14ac:dyDescent="0.25">
      <c r="A512" s="692"/>
      <c r="B512" s="1788" t="s">
        <v>1921</v>
      </c>
      <c r="C512" s="1340"/>
      <c r="D512" s="727"/>
      <c r="E512" s="695"/>
      <c r="F512" s="695"/>
      <c r="G512" s="695"/>
      <c r="H512" s="695"/>
      <c r="I512" s="695"/>
      <c r="J512" s="695"/>
      <c r="K512" s="695"/>
      <c r="L512" s="695"/>
      <c r="M512" s="695"/>
      <c r="N512" s="695"/>
      <c r="O512" s="696"/>
      <c r="P512" s="687"/>
    </row>
    <row r="513" spans="1:89" ht="17.25" customHeight="1" x14ac:dyDescent="0.25">
      <c r="A513" s="692"/>
      <c r="B513" s="1789" t="s">
        <v>1922</v>
      </c>
      <c r="C513" s="1340"/>
      <c r="D513" s="727"/>
      <c r="E513" s="695"/>
      <c r="F513" s="695"/>
      <c r="G513" s="695"/>
      <c r="H513" s="695"/>
      <c r="I513" s="695"/>
      <c r="J513" s="695"/>
      <c r="K513" s="695"/>
      <c r="L513" s="695"/>
      <c r="M513" s="695"/>
      <c r="N513" s="695"/>
      <c r="O513" s="696"/>
      <c r="P513" s="687"/>
    </row>
    <row r="514" spans="1:89" ht="17.25" customHeight="1" x14ac:dyDescent="0.25">
      <c r="A514" s="692"/>
      <c r="B514" s="1789" t="s">
        <v>1923</v>
      </c>
      <c r="C514" s="1340"/>
      <c r="D514" s="727"/>
      <c r="E514" s="1400"/>
      <c r="F514" s="695"/>
      <c r="G514" s="695"/>
      <c r="H514" s="695"/>
      <c r="I514" s="695"/>
      <c r="J514" s="695"/>
      <c r="K514" s="695"/>
      <c r="L514" s="695"/>
      <c r="M514" s="695"/>
      <c r="N514" s="695"/>
      <c r="O514" s="696"/>
      <c r="P514" s="687"/>
    </row>
    <row r="515" spans="1:89" ht="17.25" customHeight="1" x14ac:dyDescent="0.25">
      <c r="A515" s="692"/>
      <c r="B515" s="1789" t="s">
        <v>1924</v>
      </c>
      <c r="C515" s="1340"/>
      <c r="D515" s="727"/>
      <c r="E515" s="1400"/>
      <c r="F515" s="695"/>
      <c r="G515" s="695"/>
      <c r="H515" s="695"/>
      <c r="I515" s="695"/>
      <c r="J515" s="695"/>
      <c r="K515" s="695"/>
      <c r="L515" s="695"/>
      <c r="M515" s="695"/>
      <c r="N515" s="695"/>
      <c r="O515" s="696"/>
      <c r="P515" s="687"/>
    </row>
    <row r="516" spans="1:89" ht="17.25" customHeight="1" x14ac:dyDescent="0.25">
      <c r="A516" s="692"/>
      <c r="B516" s="1789" t="s">
        <v>1925</v>
      </c>
      <c r="C516" s="1340"/>
      <c r="D516" s="727"/>
      <c r="E516" s="1400"/>
      <c r="F516" s="695"/>
      <c r="G516" s="695"/>
      <c r="H516" s="695"/>
      <c r="I516" s="695"/>
      <c r="J516" s="695"/>
      <c r="K516" s="695"/>
      <c r="L516" s="695"/>
      <c r="M516" s="695"/>
      <c r="N516" s="695"/>
      <c r="O516" s="696"/>
      <c r="P516" s="687"/>
    </row>
    <row r="517" spans="1:89" ht="20.25" customHeight="1" x14ac:dyDescent="0.25">
      <c r="A517" s="692"/>
      <c r="B517" s="1790" t="s">
        <v>1926</v>
      </c>
      <c r="C517" s="1340"/>
      <c r="D517" s="727"/>
      <c r="E517" s="1400"/>
      <c r="F517" s="695"/>
      <c r="G517" s="695"/>
      <c r="H517" s="695"/>
      <c r="I517" s="695"/>
      <c r="J517" s="695"/>
      <c r="K517" s="695"/>
      <c r="L517" s="695"/>
      <c r="M517" s="695"/>
      <c r="N517" s="695"/>
      <c r="O517" s="696"/>
      <c r="P517" s="687"/>
    </row>
    <row r="518" spans="1:89" ht="20.25" customHeight="1" x14ac:dyDescent="0.25">
      <c r="A518" s="692"/>
      <c r="B518" s="1790"/>
      <c r="C518" s="1340"/>
      <c r="D518" s="727"/>
      <c r="E518" s="1400"/>
      <c r="F518" s="695"/>
      <c r="G518" s="695"/>
      <c r="H518" s="695"/>
      <c r="I518" s="695"/>
      <c r="J518" s="695"/>
      <c r="K518" s="695"/>
      <c r="L518" s="695"/>
      <c r="M518" s="695"/>
      <c r="N518" s="695"/>
      <c r="O518" s="696"/>
      <c r="P518" s="687"/>
    </row>
    <row r="519" spans="1:89" ht="17.25" customHeight="1" x14ac:dyDescent="0.25">
      <c r="A519" s="692">
        <v>2</v>
      </c>
      <c r="B519" s="1341" t="s">
        <v>19</v>
      </c>
      <c r="C519" s="1340"/>
      <c r="D519" s="727"/>
      <c r="E519" s="1400"/>
      <c r="F519" s="695"/>
      <c r="G519" s="695"/>
      <c r="H519" s="695"/>
      <c r="I519" s="695"/>
      <c r="J519" s="695"/>
      <c r="K519" s="695"/>
      <c r="L519" s="695"/>
      <c r="M519" s="695"/>
      <c r="N519" s="695"/>
      <c r="O519" s="696">
        <f>N519+K519+H519</f>
        <v>0</v>
      </c>
      <c r="P519" s="687"/>
    </row>
    <row r="520" spans="1:89" ht="17.25" customHeight="1" x14ac:dyDescent="0.25">
      <c r="A520" s="692"/>
      <c r="B520" s="1341" t="s">
        <v>26</v>
      </c>
      <c r="C520" s="1340">
        <v>1</v>
      </c>
      <c r="D520" s="727" t="s">
        <v>25</v>
      </c>
      <c r="E520" s="695">
        <v>35000</v>
      </c>
      <c r="F520" s="695"/>
      <c r="G520" s="695"/>
      <c r="H520" s="695"/>
      <c r="I520" s="695"/>
      <c r="J520" s="695">
        <f>C520*E520</f>
        <v>35000</v>
      </c>
      <c r="K520" s="695">
        <f>I520+J520</f>
        <v>35000</v>
      </c>
      <c r="L520" s="695"/>
      <c r="M520" s="695"/>
      <c r="N520" s="695"/>
      <c r="O520" s="696">
        <f>N520+K520+H520</f>
        <v>35000</v>
      </c>
      <c r="P520" s="687"/>
    </row>
    <row r="521" spans="1:89" ht="17.25" customHeight="1" x14ac:dyDescent="0.25">
      <c r="A521" s="692"/>
      <c r="B521" s="1341"/>
      <c r="C521" s="1340"/>
      <c r="D521" s="727"/>
      <c r="E521" s="695"/>
      <c r="F521" s="695"/>
      <c r="G521" s="695"/>
      <c r="H521" s="695"/>
      <c r="I521" s="695"/>
      <c r="J521" s="695"/>
      <c r="K521" s="695"/>
      <c r="L521" s="695"/>
      <c r="M521" s="695"/>
      <c r="N521" s="695"/>
      <c r="O521" s="696"/>
      <c r="P521" s="687"/>
    </row>
    <row r="522" spans="1:89" ht="17.25" customHeight="1" x14ac:dyDescent="0.25">
      <c r="A522" s="740"/>
      <c r="B522" s="1368"/>
      <c r="C522" s="828"/>
      <c r="D522" s="1369"/>
      <c r="E522" s="705"/>
      <c r="F522" s="705"/>
      <c r="G522" s="705"/>
      <c r="H522" s="705"/>
      <c r="I522" s="705"/>
      <c r="J522" s="705"/>
      <c r="K522" s="705"/>
      <c r="L522" s="705"/>
      <c r="M522" s="705"/>
      <c r="N522" s="705"/>
      <c r="O522" s="1370">
        <f>N522+K522+H522</f>
        <v>0</v>
      </c>
      <c r="P522" s="829"/>
    </row>
    <row r="523" spans="1:89" s="672" customFormat="1" ht="17.25" customHeight="1" x14ac:dyDescent="0.25">
      <c r="A523" s="740" t="s">
        <v>28</v>
      </c>
      <c r="B523" s="1368" t="s">
        <v>29</v>
      </c>
      <c r="C523" s="828"/>
      <c r="D523" s="1369"/>
      <c r="E523" s="705"/>
      <c r="F523" s="705">
        <f>SUM(F526:F548)</f>
        <v>0</v>
      </c>
      <c r="G523" s="705">
        <f>SUM(G526:G548)</f>
        <v>0</v>
      </c>
      <c r="H523" s="705">
        <f>G523+F523</f>
        <v>0</v>
      </c>
      <c r="I523" s="705">
        <f>SUM(I526:I548)</f>
        <v>0</v>
      </c>
      <c r="J523" s="705">
        <f>SUM(J526:J548)</f>
        <v>601650</v>
      </c>
      <c r="K523" s="705">
        <f>J523+I523</f>
        <v>601650</v>
      </c>
      <c r="L523" s="705">
        <f>SUM(L526:L548)</f>
        <v>15000</v>
      </c>
      <c r="M523" s="705">
        <f>SUM(M526:M548)</f>
        <v>0</v>
      </c>
      <c r="N523" s="705">
        <f>M523+L523</f>
        <v>15000</v>
      </c>
      <c r="O523" s="1370">
        <f>N523+K523+H523</f>
        <v>616650</v>
      </c>
      <c r="P523" s="829"/>
      <c r="Q523" s="1581"/>
      <c r="R523" s="1581"/>
      <c r="S523" s="1581"/>
      <c r="T523" s="1581"/>
      <c r="U523" s="1581"/>
      <c r="V523" s="1581"/>
      <c r="W523" s="1581"/>
      <c r="X523" s="1581"/>
      <c r="Y523" s="1581"/>
      <c r="Z523" s="1581"/>
      <c r="AA523" s="1581"/>
      <c r="AB523" s="1581"/>
      <c r="AC523" s="1581"/>
      <c r="AD523" s="1581"/>
      <c r="AE523" s="1581"/>
      <c r="AF523" s="1581"/>
      <c r="AG523" s="1581"/>
      <c r="AH523" s="1581"/>
      <c r="AI523" s="1581"/>
      <c r="AJ523" s="1581"/>
      <c r="AK523" s="1581"/>
      <c r="AL523" s="1581"/>
      <c r="AM523" s="1581"/>
      <c r="AN523" s="1581"/>
      <c r="AO523" s="1581"/>
      <c r="AP523" s="1581"/>
      <c r="AQ523" s="1581"/>
      <c r="AR523" s="1581"/>
      <c r="AS523" s="1581"/>
      <c r="AT523" s="1581"/>
      <c r="AU523" s="1581"/>
      <c r="AV523" s="1581"/>
      <c r="AW523" s="1581"/>
      <c r="AX523" s="1581"/>
      <c r="AY523" s="1581"/>
      <c r="AZ523" s="1581"/>
      <c r="BA523" s="1581"/>
      <c r="BB523" s="1581"/>
      <c r="BC523" s="1581"/>
      <c r="BD523" s="1581"/>
      <c r="BE523" s="1581"/>
      <c r="BF523" s="1581"/>
      <c r="BG523" s="1581"/>
      <c r="BH523" s="1581"/>
      <c r="BI523" s="1581"/>
      <c r="BJ523" s="1581"/>
      <c r="BK523" s="1581"/>
      <c r="BL523" s="1581"/>
      <c r="BM523" s="1581"/>
      <c r="BN523" s="1581"/>
      <c r="BO523" s="1581"/>
      <c r="BP523" s="1581"/>
      <c r="BQ523" s="1581"/>
      <c r="BR523" s="1581"/>
      <c r="BS523" s="1581"/>
      <c r="BT523" s="1581"/>
      <c r="BU523" s="1581"/>
      <c r="BV523" s="1581"/>
      <c r="BW523" s="1581"/>
      <c r="BX523" s="1581"/>
      <c r="BY523" s="1581"/>
      <c r="BZ523" s="1581"/>
      <c r="CA523" s="1581"/>
      <c r="CB523" s="1581"/>
      <c r="CC523" s="1581"/>
      <c r="CD523" s="1581"/>
      <c r="CE523" s="1581"/>
      <c r="CF523" s="1581"/>
      <c r="CG523" s="1581"/>
      <c r="CH523" s="1581"/>
      <c r="CI523" s="1581"/>
      <c r="CJ523" s="1581"/>
      <c r="CK523" s="1581"/>
    </row>
    <row r="524" spans="1:89" ht="17.25" customHeight="1" x14ac:dyDescent="0.25">
      <c r="A524" s="692"/>
      <c r="B524" s="1237"/>
      <c r="C524" s="693"/>
      <c r="D524" s="727"/>
      <c r="E524" s="695"/>
      <c r="F524" s="695"/>
      <c r="G524" s="695"/>
      <c r="H524" s="695"/>
      <c r="I524" s="695"/>
      <c r="J524" s="695"/>
      <c r="K524" s="695"/>
      <c r="L524" s="695"/>
      <c r="M524" s="695"/>
      <c r="N524" s="695"/>
      <c r="O524" s="696"/>
      <c r="P524" s="687"/>
    </row>
    <row r="525" spans="1:89" ht="17.25" customHeight="1" x14ac:dyDescent="0.25">
      <c r="A525" s="692">
        <v>1</v>
      </c>
      <c r="B525" s="1237" t="s">
        <v>19</v>
      </c>
      <c r="C525" s="693"/>
      <c r="D525" s="727"/>
      <c r="E525" s="695"/>
      <c r="F525" s="695"/>
      <c r="G525" s="695"/>
      <c r="H525" s="695"/>
      <c r="I525" s="695"/>
      <c r="J525" s="695"/>
      <c r="K525" s="695"/>
      <c r="L525" s="695"/>
      <c r="M525" s="695"/>
      <c r="N525" s="695"/>
      <c r="O525" s="696">
        <f t="shared" ref="O525:O546" si="38">N525+K525+H525</f>
        <v>0</v>
      </c>
      <c r="P525" s="687"/>
    </row>
    <row r="526" spans="1:89" ht="17.25" customHeight="1" x14ac:dyDescent="0.25">
      <c r="A526" s="692"/>
      <c r="B526" s="1237" t="s">
        <v>30</v>
      </c>
      <c r="C526" s="693">
        <v>12</v>
      </c>
      <c r="D526" s="727" t="s">
        <v>20</v>
      </c>
      <c r="E526" s="695">
        <v>1500</v>
      </c>
      <c r="F526" s="695"/>
      <c r="G526" s="695"/>
      <c r="H526" s="695"/>
      <c r="I526" s="695"/>
      <c r="J526" s="695">
        <f>C526*E526</f>
        <v>18000</v>
      </c>
      <c r="K526" s="695">
        <f>I526+J526</f>
        <v>18000</v>
      </c>
      <c r="L526" s="695"/>
      <c r="M526" s="695"/>
      <c r="N526" s="695"/>
      <c r="O526" s="696">
        <f t="shared" si="38"/>
        <v>18000</v>
      </c>
      <c r="P526" s="687"/>
    </row>
    <row r="527" spans="1:89" ht="17.25" customHeight="1" x14ac:dyDescent="0.25">
      <c r="A527" s="692"/>
      <c r="B527" s="1237" t="s">
        <v>31</v>
      </c>
      <c r="C527" s="693">
        <v>12</v>
      </c>
      <c r="D527" s="727" t="s">
        <v>20</v>
      </c>
      <c r="E527" s="695">
        <v>1200</v>
      </c>
      <c r="F527" s="695"/>
      <c r="G527" s="695"/>
      <c r="H527" s="695"/>
      <c r="I527" s="695"/>
      <c r="J527" s="695">
        <f>C527*E527</f>
        <v>14400</v>
      </c>
      <c r="K527" s="695">
        <f>I527+J527</f>
        <v>14400</v>
      </c>
      <c r="L527" s="695"/>
      <c r="M527" s="695"/>
      <c r="N527" s="695"/>
      <c r="O527" s="696">
        <f t="shared" si="38"/>
        <v>14400</v>
      </c>
      <c r="P527" s="687"/>
    </row>
    <row r="528" spans="1:89" ht="17.25" customHeight="1" x14ac:dyDescent="0.25">
      <c r="A528" s="692"/>
      <c r="B528" s="1237" t="s">
        <v>32</v>
      </c>
      <c r="C528" s="693">
        <v>12</v>
      </c>
      <c r="D528" s="727" t="s">
        <v>20</v>
      </c>
      <c r="E528" s="695">
        <v>1000</v>
      </c>
      <c r="F528" s="695"/>
      <c r="G528" s="695"/>
      <c r="H528" s="695"/>
      <c r="I528" s="695"/>
      <c r="J528" s="695">
        <f>C528*E528</f>
        <v>12000</v>
      </c>
      <c r="K528" s="695">
        <f>I528+J528</f>
        <v>12000</v>
      </c>
      <c r="L528" s="695"/>
      <c r="M528" s="695"/>
      <c r="N528" s="695"/>
      <c r="O528" s="696">
        <f t="shared" si="38"/>
        <v>12000</v>
      </c>
      <c r="P528" s="687"/>
    </row>
    <row r="529" spans="1:16" ht="17.25" customHeight="1" x14ac:dyDescent="0.25">
      <c r="A529" s="692"/>
      <c r="B529" s="1237" t="s">
        <v>33</v>
      </c>
      <c r="C529" s="693">
        <v>60</v>
      </c>
      <c r="D529" s="727" t="s">
        <v>20</v>
      </c>
      <c r="E529" s="695">
        <v>800</v>
      </c>
      <c r="F529" s="695"/>
      <c r="G529" s="695"/>
      <c r="H529" s="695"/>
      <c r="I529" s="695"/>
      <c r="J529" s="695">
        <f>C529*E529</f>
        <v>48000</v>
      </c>
      <c r="K529" s="695">
        <f>I529+J529</f>
        <v>48000</v>
      </c>
      <c r="L529" s="695"/>
      <c r="M529" s="695"/>
      <c r="N529" s="695"/>
      <c r="O529" s="696">
        <f t="shared" si="38"/>
        <v>48000</v>
      </c>
      <c r="P529" s="687"/>
    </row>
    <row r="530" spans="1:16" ht="17.25" customHeight="1" x14ac:dyDescent="0.25">
      <c r="A530" s="692"/>
      <c r="B530" s="1237" t="s">
        <v>34</v>
      </c>
      <c r="C530" s="693"/>
      <c r="D530" s="727"/>
      <c r="E530" s="695"/>
      <c r="F530" s="695"/>
      <c r="G530" s="695"/>
      <c r="H530" s="695"/>
      <c r="I530" s="695"/>
      <c r="J530" s="695"/>
      <c r="K530" s="695"/>
      <c r="L530" s="695"/>
      <c r="M530" s="695"/>
      <c r="N530" s="695"/>
      <c r="O530" s="696">
        <f t="shared" si="38"/>
        <v>0</v>
      </c>
      <c r="P530" s="687"/>
    </row>
    <row r="531" spans="1:16" ht="17.25" customHeight="1" x14ac:dyDescent="0.25">
      <c r="A531" s="692"/>
      <c r="B531" s="1237" t="s">
        <v>35</v>
      </c>
      <c r="C531" s="693">
        <v>12</v>
      </c>
      <c r="D531" s="727" t="s">
        <v>20</v>
      </c>
      <c r="E531" s="695">
        <v>400</v>
      </c>
      <c r="F531" s="695"/>
      <c r="G531" s="695"/>
      <c r="H531" s="695"/>
      <c r="I531" s="695"/>
      <c r="J531" s="695">
        <f>C531*E531</f>
        <v>4800</v>
      </c>
      <c r="K531" s="695">
        <f>I531+J531</f>
        <v>4800</v>
      </c>
      <c r="L531" s="695"/>
      <c r="M531" s="695"/>
      <c r="N531" s="695"/>
      <c r="O531" s="696">
        <f>N531+K531+H531</f>
        <v>4800</v>
      </c>
      <c r="P531" s="687"/>
    </row>
    <row r="532" spans="1:16" ht="17.25" customHeight="1" x14ac:dyDescent="0.25">
      <c r="A532" s="692"/>
      <c r="B532" s="1237" t="s">
        <v>36</v>
      </c>
      <c r="C532" s="693">
        <v>24</v>
      </c>
      <c r="D532" s="727" t="s">
        <v>20</v>
      </c>
      <c r="E532" s="695">
        <v>300</v>
      </c>
      <c r="F532" s="695"/>
      <c r="G532" s="695"/>
      <c r="H532" s="695"/>
      <c r="I532" s="695"/>
      <c r="J532" s="695">
        <f>C532*E532</f>
        <v>7200</v>
      </c>
      <c r="K532" s="695">
        <f>I532+J532</f>
        <v>7200</v>
      </c>
      <c r="L532" s="695"/>
      <c r="M532" s="695"/>
      <c r="N532" s="695"/>
      <c r="O532" s="696">
        <f t="shared" si="38"/>
        <v>7200</v>
      </c>
      <c r="P532" s="687"/>
    </row>
    <row r="533" spans="1:16" ht="17.25" customHeight="1" x14ac:dyDescent="0.25">
      <c r="A533" s="692"/>
      <c r="B533" s="1237"/>
      <c r="C533" s="693"/>
      <c r="D533" s="727"/>
      <c r="E533" s="695"/>
      <c r="F533" s="695"/>
      <c r="G533" s="695"/>
      <c r="H533" s="695"/>
      <c r="I533" s="695"/>
      <c r="J533" s="695"/>
      <c r="K533" s="695"/>
      <c r="L533" s="695"/>
      <c r="M533" s="695"/>
      <c r="N533" s="695"/>
      <c r="O533" s="696"/>
      <c r="P533" s="687"/>
    </row>
    <row r="534" spans="1:16" ht="17.25" customHeight="1" x14ac:dyDescent="0.25">
      <c r="A534" s="692"/>
      <c r="B534" s="1241" t="s">
        <v>38</v>
      </c>
      <c r="C534" s="693">
        <v>1</v>
      </c>
      <c r="D534" s="727" t="s">
        <v>25</v>
      </c>
      <c r="E534" s="695">
        <v>39250</v>
      </c>
      <c r="F534" s="695"/>
      <c r="G534" s="695"/>
      <c r="H534" s="695"/>
      <c r="I534" s="695"/>
      <c r="J534" s="695">
        <f>C534*E534</f>
        <v>39250</v>
      </c>
      <c r="K534" s="695">
        <f>I534+J534</f>
        <v>39250</v>
      </c>
      <c r="L534" s="695"/>
      <c r="M534" s="695"/>
      <c r="N534" s="695"/>
      <c r="O534" s="696">
        <f t="shared" si="38"/>
        <v>39250</v>
      </c>
      <c r="P534" s="687"/>
    </row>
    <row r="535" spans="1:16" ht="17.25" customHeight="1" x14ac:dyDescent="0.25">
      <c r="A535" s="692"/>
      <c r="B535" s="1237" t="s">
        <v>39</v>
      </c>
      <c r="C535" s="693">
        <v>1</v>
      </c>
      <c r="D535" s="727" t="s">
        <v>25</v>
      </c>
      <c r="E535" s="695">
        <v>10000</v>
      </c>
      <c r="F535" s="695"/>
      <c r="G535" s="695"/>
      <c r="H535" s="695"/>
      <c r="I535" s="695"/>
      <c r="J535" s="695">
        <f>C535*E535</f>
        <v>10000</v>
      </c>
      <c r="K535" s="695">
        <f>I535+J535</f>
        <v>10000</v>
      </c>
      <c r="L535" s="695"/>
      <c r="M535" s="695"/>
      <c r="N535" s="695"/>
      <c r="O535" s="696">
        <f t="shared" si="38"/>
        <v>10000</v>
      </c>
      <c r="P535" s="687"/>
    </row>
    <row r="536" spans="1:16" ht="17.25" customHeight="1" x14ac:dyDescent="0.25">
      <c r="A536" s="692">
        <v>2</v>
      </c>
      <c r="B536" s="1237" t="s">
        <v>40</v>
      </c>
      <c r="C536" s="693"/>
      <c r="D536" s="727"/>
      <c r="E536" s="695"/>
      <c r="F536" s="695"/>
      <c r="G536" s="695"/>
      <c r="H536" s="695"/>
      <c r="I536" s="695"/>
      <c r="J536" s="695"/>
      <c r="K536" s="695"/>
      <c r="L536" s="695"/>
      <c r="M536" s="695"/>
      <c r="N536" s="695"/>
      <c r="O536" s="696">
        <f t="shared" si="38"/>
        <v>0</v>
      </c>
      <c r="P536" s="687"/>
    </row>
    <row r="537" spans="1:16" ht="17.25" customHeight="1" x14ac:dyDescent="0.25">
      <c r="A537" s="692"/>
      <c r="B537" s="1237" t="s">
        <v>41</v>
      </c>
      <c r="C537" s="693">
        <v>1</v>
      </c>
      <c r="D537" s="727" t="s">
        <v>25</v>
      </c>
      <c r="E537" s="695">
        <v>60000</v>
      </c>
      <c r="F537" s="695"/>
      <c r="G537" s="695"/>
      <c r="H537" s="695"/>
      <c r="I537" s="695"/>
      <c r="J537" s="695">
        <f>C537*E537</f>
        <v>60000</v>
      </c>
      <c r="K537" s="695">
        <f>I537+J537</f>
        <v>60000</v>
      </c>
      <c r="L537" s="695"/>
      <c r="M537" s="695"/>
      <c r="N537" s="695"/>
      <c r="O537" s="696">
        <f t="shared" si="38"/>
        <v>60000</v>
      </c>
      <c r="P537" s="687"/>
    </row>
    <row r="538" spans="1:16" ht="17.25" customHeight="1" x14ac:dyDescent="0.25">
      <c r="A538" s="692"/>
      <c r="B538" s="1237" t="s">
        <v>42</v>
      </c>
      <c r="C538" s="693">
        <v>1</v>
      </c>
      <c r="D538" s="727" t="s">
        <v>25</v>
      </c>
      <c r="E538" s="695">
        <v>50000</v>
      </c>
      <c r="F538" s="695"/>
      <c r="G538" s="695"/>
      <c r="H538" s="695"/>
      <c r="I538" s="695"/>
      <c r="J538" s="695">
        <f>C538*E538</f>
        <v>50000</v>
      </c>
      <c r="K538" s="695">
        <f>I538+J538</f>
        <v>50000</v>
      </c>
      <c r="L538" s="695"/>
      <c r="M538" s="695"/>
      <c r="N538" s="695"/>
      <c r="O538" s="696">
        <f t="shared" si="38"/>
        <v>50000</v>
      </c>
      <c r="P538" s="687"/>
    </row>
    <row r="539" spans="1:16" ht="17.25" customHeight="1" x14ac:dyDescent="0.25">
      <c r="A539" s="692">
        <v>3</v>
      </c>
      <c r="B539" s="1237" t="s">
        <v>43</v>
      </c>
      <c r="C539" s="693"/>
      <c r="D539" s="727"/>
      <c r="E539" s="695"/>
      <c r="F539" s="714"/>
      <c r="G539" s="714"/>
      <c r="H539" s="714"/>
      <c r="I539" s="714"/>
      <c r="J539" s="695"/>
      <c r="K539" s="695"/>
      <c r="L539" s="714"/>
      <c r="M539" s="714"/>
      <c r="N539" s="714"/>
      <c r="O539" s="696">
        <f t="shared" si="38"/>
        <v>0</v>
      </c>
      <c r="P539" s="687"/>
    </row>
    <row r="540" spans="1:16" ht="17.25" customHeight="1" x14ac:dyDescent="0.25">
      <c r="A540" s="692"/>
      <c r="B540" s="1237" t="s">
        <v>44</v>
      </c>
      <c r="C540" s="693">
        <v>9</v>
      </c>
      <c r="D540" s="727" t="s">
        <v>45</v>
      </c>
      <c r="E540" s="695">
        <v>6000</v>
      </c>
      <c r="F540" s="714"/>
      <c r="G540" s="714"/>
      <c r="H540" s="714"/>
      <c r="I540" s="714"/>
      <c r="J540" s="695">
        <f>C540*E540</f>
        <v>54000</v>
      </c>
      <c r="K540" s="695">
        <f>I540+J540</f>
        <v>54000</v>
      </c>
      <c r="L540" s="714"/>
      <c r="M540" s="714"/>
      <c r="N540" s="714"/>
      <c r="O540" s="696">
        <f t="shared" si="38"/>
        <v>54000</v>
      </c>
      <c r="P540" s="687"/>
    </row>
    <row r="541" spans="1:16" ht="17.25" customHeight="1" x14ac:dyDescent="0.25">
      <c r="A541" s="692"/>
      <c r="B541" s="1237"/>
      <c r="C541" s="693"/>
      <c r="D541" s="727"/>
      <c r="E541" s="695"/>
      <c r="F541" s="695"/>
      <c r="G541" s="695"/>
      <c r="H541" s="695"/>
      <c r="I541" s="695"/>
      <c r="J541" s="695"/>
      <c r="K541" s="695"/>
      <c r="L541" s="695"/>
      <c r="M541" s="695"/>
      <c r="N541" s="695"/>
      <c r="O541" s="696">
        <f t="shared" si="38"/>
        <v>0</v>
      </c>
      <c r="P541" s="687"/>
    </row>
    <row r="542" spans="1:16" ht="17.25" customHeight="1" x14ac:dyDescent="0.25">
      <c r="A542" s="692">
        <v>5</v>
      </c>
      <c r="B542" s="1241" t="s">
        <v>48</v>
      </c>
      <c r="C542" s="693"/>
      <c r="D542" s="727"/>
      <c r="E542" s="695" t="s">
        <v>49</v>
      </c>
      <c r="F542" s="695"/>
      <c r="G542" s="695"/>
      <c r="H542" s="695"/>
      <c r="I542" s="695"/>
      <c r="J542" s="695"/>
      <c r="K542" s="695">
        <f>J542+I542</f>
        <v>0</v>
      </c>
      <c r="L542" s="695"/>
      <c r="M542" s="695"/>
      <c r="N542" s="695"/>
      <c r="O542" s="696">
        <f t="shared" si="38"/>
        <v>0</v>
      </c>
      <c r="P542" s="687"/>
    </row>
    <row r="543" spans="1:16" ht="17.25" customHeight="1" x14ac:dyDescent="0.25">
      <c r="A543" s="692"/>
      <c r="B543" s="1237" t="s">
        <v>50</v>
      </c>
      <c r="C543" s="693">
        <v>80</v>
      </c>
      <c r="D543" s="727" t="s">
        <v>51</v>
      </c>
      <c r="E543" s="695">
        <v>1000</v>
      </c>
      <c r="F543" s="695"/>
      <c r="G543" s="695"/>
      <c r="H543" s="695"/>
      <c r="I543" s="695"/>
      <c r="J543" s="695">
        <f>C543*E543</f>
        <v>80000</v>
      </c>
      <c r="K543" s="695">
        <f>I543+J543</f>
        <v>80000</v>
      </c>
      <c r="L543" s="695"/>
      <c r="M543" s="695"/>
      <c r="N543" s="695"/>
      <c r="O543" s="696">
        <f t="shared" si="38"/>
        <v>80000</v>
      </c>
      <c r="P543" s="687"/>
    </row>
    <row r="544" spans="1:16" ht="17.25" customHeight="1" x14ac:dyDescent="0.25">
      <c r="A544" s="692"/>
      <c r="B544" s="1237" t="s">
        <v>52</v>
      </c>
      <c r="C544" s="693">
        <v>160</v>
      </c>
      <c r="D544" s="727" t="s">
        <v>53</v>
      </c>
      <c r="E544" s="695">
        <v>450</v>
      </c>
      <c r="F544" s="695"/>
      <c r="G544" s="695"/>
      <c r="H544" s="695"/>
      <c r="I544" s="695"/>
      <c r="J544" s="695">
        <f>C544*E544</f>
        <v>72000</v>
      </c>
      <c r="K544" s="695">
        <f>I544+J544</f>
        <v>72000</v>
      </c>
      <c r="L544" s="695"/>
      <c r="M544" s="695"/>
      <c r="N544" s="695"/>
      <c r="O544" s="696">
        <f t="shared" si="38"/>
        <v>72000</v>
      </c>
      <c r="P544" s="687"/>
    </row>
    <row r="545" spans="1:89" ht="17.25" customHeight="1" x14ac:dyDescent="0.25">
      <c r="A545" s="692"/>
      <c r="B545" s="1241" t="s">
        <v>54</v>
      </c>
      <c r="C545" s="693">
        <v>240</v>
      </c>
      <c r="D545" s="727" t="s">
        <v>55</v>
      </c>
      <c r="E545" s="695">
        <v>450</v>
      </c>
      <c r="F545" s="695"/>
      <c r="G545" s="695"/>
      <c r="H545" s="695"/>
      <c r="I545" s="695"/>
      <c r="J545" s="695">
        <f>C545*E545</f>
        <v>108000</v>
      </c>
      <c r="K545" s="695">
        <f>I545+J545</f>
        <v>108000</v>
      </c>
      <c r="L545" s="695"/>
      <c r="M545" s="695"/>
      <c r="N545" s="695"/>
      <c r="O545" s="696">
        <f t="shared" si="38"/>
        <v>108000</v>
      </c>
      <c r="P545" s="687"/>
    </row>
    <row r="546" spans="1:89" ht="17.25" customHeight="1" x14ac:dyDescent="0.25">
      <c r="A546" s="692"/>
      <c r="B546" s="1241" t="s">
        <v>56</v>
      </c>
      <c r="C546" s="693">
        <v>80</v>
      </c>
      <c r="D546" s="727" t="s">
        <v>55</v>
      </c>
      <c r="E546" s="695">
        <v>300</v>
      </c>
      <c r="F546" s="695"/>
      <c r="G546" s="695"/>
      <c r="H546" s="695"/>
      <c r="I546" s="695"/>
      <c r="J546" s="695">
        <f>C546*E546</f>
        <v>24000</v>
      </c>
      <c r="K546" s="695">
        <f>I546+J546</f>
        <v>24000</v>
      </c>
      <c r="L546" s="695"/>
      <c r="M546" s="695"/>
      <c r="N546" s="695"/>
      <c r="O546" s="696">
        <f t="shared" si="38"/>
        <v>24000</v>
      </c>
      <c r="P546" s="687"/>
    </row>
    <row r="547" spans="1:89" ht="17.25" customHeight="1" x14ac:dyDescent="0.25">
      <c r="A547" s="692"/>
      <c r="B547" s="1241"/>
      <c r="C547" s="693"/>
      <c r="D547" s="739"/>
      <c r="E547" s="695"/>
      <c r="F547" s="714"/>
      <c r="G547" s="714"/>
      <c r="H547" s="714"/>
      <c r="I547" s="714"/>
      <c r="J547" s="714"/>
      <c r="K547" s="714"/>
      <c r="L547" s="714"/>
      <c r="M547" s="714"/>
      <c r="N547" s="714"/>
      <c r="O547" s="753"/>
      <c r="P547" s="754"/>
    </row>
    <row r="548" spans="1:89" ht="17.25" customHeight="1" x14ac:dyDescent="0.25">
      <c r="A548" s="742"/>
      <c r="B548" s="1401" t="s">
        <v>617</v>
      </c>
      <c r="C548" s="713">
        <v>1</v>
      </c>
      <c r="D548" s="880" t="s">
        <v>119</v>
      </c>
      <c r="E548" s="714">
        <v>15000</v>
      </c>
      <c r="F548" s="714"/>
      <c r="G548" s="714"/>
      <c r="H548" s="714"/>
      <c r="I548" s="714"/>
      <c r="J548" s="714"/>
      <c r="K548" s="714"/>
      <c r="L548" s="714">
        <f>C548*E548</f>
        <v>15000</v>
      </c>
      <c r="M548" s="714"/>
      <c r="N548" s="714">
        <f>L548+M548</f>
        <v>15000</v>
      </c>
      <c r="O548" s="753">
        <f>N548+K548+H548</f>
        <v>15000</v>
      </c>
      <c r="P548" s="754"/>
    </row>
    <row r="549" spans="1:89" ht="17.25" customHeight="1" x14ac:dyDescent="0.25">
      <c r="A549" s="742"/>
      <c r="B549" s="1401"/>
      <c r="C549" s="713"/>
      <c r="D549" s="880"/>
      <c r="E549" s="714"/>
      <c r="F549" s="714"/>
      <c r="G549" s="714"/>
      <c r="H549" s="714"/>
      <c r="I549" s="714"/>
      <c r="J549" s="714"/>
      <c r="K549" s="714"/>
      <c r="L549" s="714"/>
      <c r="M549" s="714"/>
      <c r="N549" s="714"/>
      <c r="O549" s="753"/>
      <c r="P549" s="754"/>
    </row>
    <row r="550" spans="1:89" ht="17.25" customHeight="1" x14ac:dyDescent="0.25">
      <c r="A550" s="881"/>
      <c r="B550" s="882"/>
      <c r="C550" s="719"/>
      <c r="D550" s="883"/>
      <c r="E550" s="721"/>
      <c r="F550" s="721"/>
      <c r="G550" s="721"/>
      <c r="H550" s="721"/>
      <c r="I550" s="721"/>
      <c r="J550" s="721"/>
      <c r="K550" s="721"/>
      <c r="L550" s="721"/>
      <c r="M550" s="721"/>
      <c r="N550" s="721"/>
      <c r="O550" s="884"/>
      <c r="P550" s="754"/>
    </row>
    <row r="551" spans="1:89" ht="24" customHeight="1" x14ac:dyDescent="0.25">
      <c r="A551" s="1352" t="s">
        <v>106</v>
      </c>
      <c r="B551" s="1367" t="s">
        <v>107</v>
      </c>
      <c r="C551" s="1212"/>
      <c r="D551" s="1316"/>
      <c r="E551" s="1214"/>
      <c r="F551" s="1290">
        <f>F553+F567+F577</f>
        <v>0</v>
      </c>
      <c r="G551" s="1290">
        <f>G553+G567+G577</f>
        <v>0</v>
      </c>
      <c r="H551" s="1214">
        <f>G551+F551</f>
        <v>0</v>
      </c>
      <c r="I551" s="1290">
        <f>I553+I567+I577</f>
        <v>0</v>
      </c>
      <c r="J551" s="1290">
        <f>J553+J567+J577</f>
        <v>2412338</v>
      </c>
      <c r="K551" s="1214">
        <f>J551+I551</f>
        <v>2412338</v>
      </c>
      <c r="L551" s="1290">
        <f>L553+L567+L577</f>
        <v>3649584</v>
      </c>
      <c r="M551" s="1290">
        <f>M553+M567+M577</f>
        <v>0</v>
      </c>
      <c r="N551" s="1214">
        <f>M551+L551</f>
        <v>3649584</v>
      </c>
      <c r="O551" s="1215">
        <f t="shared" ref="O551:O565" si="39">N551+K551+H551</f>
        <v>6061922</v>
      </c>
      <c r="P551" s="680"/>
    </row>
    <row r="552" spans="1:89" ht="17.25" customHeight="1" x14ac:dyDescent="0.25">
      <c r="A552" s="730"/>
      <c r="B552" s="873"/>
      <c r="C552" s="682"/>
      <c r="D552" s="863"/>
      <c r="E552" s="685"/>
      <c r="F552" s="685"/>
      <c r="G552" s="685"/>
      <c r="H552" s="685"/>
      <c r="I552" s="685"/>
      <c r="J552" s="685"/>
      <c r="K552" s="685"/>
      <c r="L552" s="685"/>
      <c r="M552" s="685"/>
      <c r="N552" s="685"/>
      <c r="O552" s="686">
        <f t="shared" si="39"/>
        <v>0</v>
      </c>
      <c r="P552" s="687"/>
    </row>
    <row r="553" spans="1:89" s="672" customFormat="1" ht="30" customHeight="1" x14ac:dyDescent="0.25">
      <c r="A553" s="737" t="s">
        <v>15</v>
      </c>
      <c r="B553" s="1372" t="s">
        <v>1156</v>
      </c>
      <c r="C553" s="828"/>
      <c r="D553" s="738"/>
      <c r="E553" s="705"/>
      <c r="F553" s="874">
        <f>SUM(F554:F556)</f>
        <v>0</v>
      </c>
      <c r="G553" s="874">
        <f>SUM(G554:G556)</f>
        <v>0</v>
      </c>
      <c r="H553" s="705">
        <f>F553+G553</f>
        <v>0</v>
      </c>
      <c r="I553" s="874">
        <f>SUM(I554:I566)</f>
        <v>0</v>
      </c>
      <c r="J553" s="874">
        <f>SUM(J554:J566)</f>
        <v>0</v>
      </c>
      <c r="K553" s="705">
        <f>I553+J553</f>
        <v>0</v>
      </c>
      <c r="L553" s="874">
        <f>SUM(L554:L566)</f>
        <v>3649584</v>
      </c>
      <c r="M553" s="874">
        <f>SUM(M554:M566)</f>
        <v>0</v>
      </c>
      <c r="N553" s="705">
        <f t="shared" ref="N553:N565" si="40">L553+M553</f>
        <v>3649584</v>
      </c>
      <c r="O553" s="1370">
        <f t="shared" si="39"/>
        <v>3649584</v>
      </c>
      <c r="P553" s="829"/>
      <c r="Q553" s="1581"/>
      <c r="R553" s="1581"/>
      <c r="S553" s="1581"/>
      <c r="T553" s="1581"/>
      <c r="U553" s="1581"/>
      <c r="V553" s="1581"/>
      <c r="W553" s="1581"/>
      <c r="X553" s="1581"/>
      <c r="Y553" s="1581"/>
      <c r="Z553" s="1581"/>
      <c r="AA553" s="1581"/>
      <c r="AB553" s="1581"/>
      <c r="AC553" s="1581"/>
      <c r="AD553" s="1581"/>
      <c r="AE553" s="1581"/>
      <c r="AF553" s="1581"/>
      <c r="AG553" s="1581"/>
      <c r="AH553" s="1581"/>
      <c r="AI553" s="1581"/>
      <c r="AJ553" s="1581"/>
      <c r="AK553" s="1581"/>
      <c r="AL553" s="1581"/>
      <c r="AM553" s="1581"/>
      <c r="AN553" s="1581"/>
      <c r="AO553" s="1581"/>
      <c r="AP553" s="1581"/>
      <c r="AQ553" s="1581"/>
      <c r="AR553" s="1581"/>
      <c r="AS553" s="1581"/>
      <c r="AT553" s="1581"/>
      <c r="AU553" s="1581"/>
      <c r="AV553" s="1581"/>
      <c r="AW553" s="1581"/>
      <c r="AX553" s="1581"/>
      <c r="AY553" s="1581"/>
      <c r="AZ553" s="1581"/>
      <c r="BA553" s="1581"/>
      <c r="BB553" s="1581"/>
      <c r="BC553" s="1581"/>
      <c r="BD553" s="1581"/>
      <c r="BE553" s="1581"/>
      <c r="BF553" s="1581"/>
      <c r="BG553" s="1581"/>
      <c r="BH553" s="1581"/>
      <c r="BI553" s="1581"/>
      <c r="BJ553" s="1581"/>
      <c r="BK553" s="1581"/>
      <c r="BL553" s="1581"/>
      <c r="BM553" s="1581"/>
      <c r="BN553" s="1581"/>
      <c r="BO553" s="1581"/>
      <c r="BP553" s="1581"/>
      <c r="BQ553" s="1581"/>
      <c r="BR553" s="1581"/>
      <c r="BS553" s="1581"/>
      <c r="BT553" s="1581"/>
      <c r="BU553" s="1581"/>
      <c r="BV553" s="1581"/>
      <c r="BW553" s="1581"/>
      <c r="BX553" s="1581"/>
      <c r="BY553" s="1581"/>
      <c r="BZ553" s="1581"/>
      <c r="CA553" s="1581"/>
      <c r="CB553" s="1581"/>
      <c r="CC553" s="1581"/>
      <c r="CD553" s="1581"/>
      <c r="CE553" s="1581"/>
      <c r="CF553" s="1581"/>
      <c r="CG553" s="1581"/>
      <c r="CH553" s="1581"/>
      <c r="CI553" s="1581"/>
      <c r="CJ553" s="1581"/>
      <c r="CK553" s="1581"/>
    </row>
    <row r="554" spans="1:89" ht="41.25" customHeight="1" x14ac:dyDescent="0.25">
      <c r="A554" s="692">
        <v>1</v>
      </c>
      <c r="B554" s="885" t="s">
        <v>1509</v>
      </c>
      <c r="C554" s="713">
        <v>1</v>
      </c>
      <c r="D554" s="739" t="s">
        <v>16</v>
      </c>
      <c r="E554" s="695">
        <v>43490</v>
      </c>
      <c r="F554" s="695"/>
      <c r="G554" s="695"/>
      <c r="H554" s="695"/>
      <c r="I554" s="695"/>
      <c r="J554" s="695"/>
      <c r="K554" s="695"/>
      <c r="L554" s="695">
        <f t="shared" ref="L554:L565" si="41">E554*C554</f>
        <v>43490</v>
      </c>
      <c r="M554" s="695"/>
      <c r="N554" s="695">
        <f t="shared" si="40"/>
        <v>43490</v>
      </c>
      <c r="O554" s="696">
        <f t="shared" si="39"/>
        <v>43490</v>
      </c>
      <c r="P554" s="687"/>
    </row>
    <row r="555" spans="1:89" ht="17.25" customHeight="1" x14ac:dyDescent="0.25">
      <c r="A555" s="692">
        <v>2</v>
      </c>
      <c r="B555" s="1402" t="s">
        <v>1510</v>
      </c>
      <c r="C555" s="713">
        <v>1</v>
      </c>
      <c r="D555" s="739" t="s">
        <v>16</v>
      </c>
      <c r="E555" s="695">
        <v>117023</v>
      </c>
      <c r="F555" s="695"/>
      <c r="G555" s="695"/>
      <c r="H555" s="695"/>
      <c r="I555" s="695"/>
      <c r="J555" s="695"/>
      <c r="K555" s="695"/>
      <c r="L555" s="695">
        <f t="shared" si="41"/>
        <v>117023</v>
      </c>
      <c r="M555" s="695"/>
      <c r="N555" s="695">
        <f t="shared" si="40"/>
        <v>117023</v>
      </c>
      <c r="O555" s="696">
        <f t="shared" si="39"/>
        <v>117023</v>
      </c>
      <c r="P555" s="687"/>
    </row>
    <row r="556" spans="1:89" ht="17.25" customHeight="1" x14ac:dyDescent="0.25">
      <c r="A556" s="692">
        <v>3</v>
      </c>
      <c r="B556" s="1402" t="s">
        <v>1511</v>
      </c>
      <c r="C556" s="713">
        <v>1</v>
      </c>
      <c r="D556" s="739" t="s">
        <v>16</v>
      </c>
      <c r="E556" s="695">
        <v>88511</v>
      </c>
      <c r="F556" s="695"/>
      <c r="G556" s="695"/>
      <c r="H556" s="695"/>
      <c r="I556" s="695"/>
      <c r="J556" s="695"/>
      <c r="K556" s="695"/>
      <c r="L556" s="695">
        <f t="shared" si="41"/>
        <v>88511</v>
      </c>
      <c r="M556" s="695"/>
      <c r="N556" s="695">
        <f t="shared" si="40"/>
        <v>88511</v>
      </c>
      <c r="O556" s="696">
        <f t="shared" si="39"/>
        <v>88511</v>
      </c>
      <c r="P556" s="687"/>
    </row>
    <row r="557" spans="1:89" ht="17.25" customHeight="1" x14ac:dyDescent="0.25">
      <c r="A557" s="692">
        <v>4</v>
      </c>
      <c r="B557" s="1402" t="s">
        <v>1512</v>
      </c>
      <c r="C557" s="713">
        <v>1</v>
      </c>
      <c r="D557" s="739" t="s">
        <v>16</v>
      </c>
      <c r="E557" s="695">
        <v>73312</v>
      </c>
      <c r="F557" s="695"/>
      <c r="G557" s="695"/>
      <c r="H557" s="695"/>
      <c r="I557" s="695"/>
      <c r="J557" s="695"/>
      <c r="K557" s="695"/>
      <c r="L557" s="695">
        <f t="shared" si="41"/>
        <v>73312</v>
      </c>
      <c r="M557" s="695"/>
      <c r="N557" s="695">
        <f t="shared" si="40"/>
        <v>73312</v>
      </c>
      <c r="O557" s="696">
        <f t="shared" si="39"/>
        <v>73312</v>
      </c>
      <c r="P557" s="687"/>
    </row>
    <row r="558" spans="1:89" ht="17.25" customHeight="1" x14ac:dyDescent="0.25">
      <c r="A558" s="740">
        <v>5</v>
      </c>
      <c r="B558" s="752" t="s">
        <v>1513</v>
      </c>
      <c r="C558" s="713">
        <v>1</v>
      </c>
      <c r="D558" s="880" t="s">
        <v>16</v>
      </c>
      <c r="E558" s="695">
        <v>124462</v>
      </c>
      <c r="F558" s="695"/>
      <c r="G558" s="695"/>
      <c r="H558" s="695"/>
      <c r="I558" s="695"/>
      <c r="J558" s="695"/>
      <c r="K558" s="695"/>
      <c r="L558" s="695">
        <f t="shared" si="41"/>
        <v>124462</v>
      </c>
      <c r="M558" s="695"/>
      <c r="N558" s="695">
        <f t="shared" si="40"/>
        <v>124462</v>
      </c>
      <c r="O558" s="1370">
        <f t="shared" si="39"/>
        <v>124462</v>
      </c>
      <c r="P558" s="829"/>
    </row>
    <row r="559" spans="1:89" ht="17.25" customHeight="1" x14ac:dyDescent="0.25">
      <c r="A559" s="692">
        <v>6</v>
      </c>
      <c r="B559" s="756" t="s">
        <v>1514</v>
      </c>
      <c r="C559" s="693">
        <v>1</v>
      </c>
      <c r="D559" s="739" t="s">
        <v>16</v>
      </c>
      <c r="E559" s="695">
        <v>11903</v>
      </c>
      <c r="F559" s="695"/>
      <c r="G559" s="695"/>
      <c r="H559" s="695"/>
      <c r="I559" s="695"/>
      <c r="J559" s="695"/>
      <c r="K559" s="695"/>
      <c r="L559" s="695">
        <f t="shared" si="41"/>
        <v>11903</v>
      </c>
      <c r="M559" s="695"/>
      <c r="N559" s="695">
        <f t="shared" si="40"/>
        <v>11903</v>
      </c>
      <c r="O559" s="696">
        <f t="shared" si="39"/>
        <v>11903</v>
      </c>
      <c r="P559" s="687"/>
    </row>
    <row r="560" spans="1:89" ht="17.25" customHeight="1" x14ac:dyDescent="0.25">
      <c r="A560" s="692">
        <v>7</v>
      </c>
      <c r="B560" s="756" t="s">
        <v>1515</v>
      </c>
      <c r="C560" s="693">
        <v>1</v>
      </c>
      <c r="D560" s="739" t="s">
        <v>16</v>
      </c>
      <c r="E560" s="695">
        <v>92974</v>
      </c>
      <c r="F560" s="695"/>
      <c r="G560" s="695"/>
      <c r="H560" s="695"/>
      <c r="I560" s="695"/>
      <c r="J560" s="695"/>
      <c r="K560" s="695"/>
      <c r="L560" s="695">
        <f t="shared" si="41"/>
        <v>92974</v>
      </c>
      <c r="M560" s="695"/>
      <c r="N560" s="695">
        <f t="shared" si="40"/>
        <v>92974</v>
      </c>
      <c r="O560" s="696">
        <f t="shared" si="39"/>
        <v>92974</v>
      </c>
      <c r="P560" s="687"/>
    </row>
    <row r="561" spans="1:89" ht="17.25" customHeight="1" x14ac:dyDescent="0.25">
      <c r="A561" s="692">
        <v>8</v>
      </c>
      <c r="B561" s="756" t="s">
        <v>1516</v>
      </c>
      <c r="C561" s="693">
        <v>1</v>
      </c>
      <c r="D561" s="739" t="s">
        <v>16</v>
      </c>
      <c r="E561" s="695">
        <v>92974</v>
      </c>
      <c r="F561" s="695"/>
      <c r="G561" s="695"/>
      <c r="H561" s="695"/>
      <c r="I561" s="695"/>
      <c r="J561" s="695"/>
      <c r="K561" s="695"/>
      <c r="L561" s="695">
        <f t="shared" si="41"/>
        <v>92974</v>
      </c>
      <c r="M561" s="695"/>
      <c r="N561" s="695">
        <f t="shared" si="40"/>
        <v>92974</v>
      </c>
      <c r="O561" s="696">
        <f t="shared" si="39"/>
        <v>92974</v>
      </c>
      <c r="P561" s="687"/>
    </row>
    <row r="562" spans="1:89" ht="17.25" customHeight="1" x14ac:dyDescent="0.25">
      <c r="A562" s="692">
        <v>9</v>
      </c>
      <c r="B562" s="756" t="s">
        <v>1517</v>
      </c>
      <c r="C562" s="693">
        <v>1</v>
      </c>
      <c r="D562" s="739" t="s">
        <v>16</v>
      </c>
      <c r="E562" s="695">
        <v>2500000</v>
      </c>
      <c r="F562" s="695"/>
      <c r="G562" s="695"/>
      <c r="H562" s="695"/>
      <c r="I562" s="695"/>
      <c r="J562" s="695"/>
      <c r="K562" s="695"/>
      <c r="L562" s="695">
        <f t="shared" si="41"/>
        <v>2500000</v>
      </c>
      <c r="M562" s="695"/>
      <c r="N562" s="695">
        <f t="shared" si="40"/>
        <v>2500000</v>
      </c>
      <c r="O562" s="696">
        <f t="shared" si="39"/>
        <v>2500000</v>
      </c>
      <c r="P562" s="687"/>
    </row>
    <row r="563" spans="1:89" ht="17.25" customHeight="1" x14ac:dyDescent="0.25">
      <c r="A563" s="692">
        <v>10</v>
      </c>
      <c r="B563" s="756" t="s">
        <v>1518</v>
      </c>
      <c r="C563" s="693">
        <v>1</v>
      </c>
      <c r="D563" s="739" t="s">
        <v>16</v>
      </c>
      <c r="E563" s="695">
        <v>322109</v>
      </c>
      <c r="F563" s="695"/>
      <c r="G563" s="695"/>
      <c r="H563" s="695"/>
      <c r="I563" s="695"/>
      <c r="J563" s="695"/>
      <c r="K563" s="695"/>
      <c r="L563" s="695">
        <f t="shared" si="41"/>
        <v>322109</v>
      </c>
      <c r="M563" s="695"/>
      <c r="N563" s="695">
        <f t="shared" si="40"/>
        <v>322109</v>
      </c>
      <c r="O563" s="696">
        <f t="shared" si="39"/>
        <v>322109</v>
      </c>
      <c r="P563" s="687"/>
    </row>
    <row r="564" spans="1:89" ht="17.25" customHeight="1" x14ac:dyDescent="0.25">
      <c r="A564" s="740">
        <v>11</v>
      </c>
      <c r="B564" s="752" t="s">
        <v>1519</v>
      </c>
      <c r="C564" s="886">
        <v>1</v>
      </c>
      <c r="D564" s="1403" t="s">
        <v>16</v>
      </c>
      <c r="E564" s="874">
        <v>68779</v>
      </c>
      <c r="F564" s="874"/>
      <c r="G564" s="874"/>
      <c r="H564" s="874"/>
      <c r="I564" s="874"/>
      <c r="J564" s="874"/>
      <c r="K564" s="874"/>
      <c r="L564" s="874">
        <f t="shared" si="41"/>
        <v>68779</v>
      </c>
      <c r="M564" s="874"/>
      <c r="N564" s="874">
        <f t="shared" si="40"/>
        <v>68779</v>
      </c>
      <c r="O564" s="775">
        <f t="shared" si="39"/>
        <v>68779</v>
      </c>
      <c r="P564" s="776"/>
    </row>
    <row r="565" spans="1:89" ht="17.25" customHeight="1" x14ac:dyDescent="0.25">
      <c r="A565" s="692">
        <v>12</v>
      </c>
      <c r="B565" s="756" t="s">
        <v>1520</v>
      </c>
      <c r="C565" s="713">
        <v>1</v>
      </c>
      <c r="D565" s="880" t="s">
        <v>16</v>
      </c>
      <c r="E565" s="714">
        <v>114047</v>
      </c>
      <c r="F565" s="714"/>
      <c r="G565" s="714"/>
      <c r="H565" s="714"/>
      <c r="I565" s="714"/>
      <c r="J565" s="714"/>
      <c r="K565" s="714"/>
      <c r="L565" s="714">
        <f t="shared" si="41"/>
        <v>114047</v>
      </c>
      <c r="M565" s="714"/>
      <c r="N565" s="714">
        <f t="shared" si="40"/>
        <v>114047</v>
      </c>
      <c r="O565" s="753">
        <f t="shared" si="39"/>
        <v>114047</v>
      </c>
      <c r="P565" s="754"/>
    </row>
    <row r="566" spans="1:89" ht="17.25" customHeight="1" x14ac:dyDescent="0.25">
      <c r="A566" s="692"/>
      <c r="B566" s="756"/>
      <c r="C566" s="713"/>
      <c r="D566" s="880"/>
      <c r="E566" s="714"/>
      <c r="F566" s="714"/>
      <c r="G566" s="714"/>
      <c r="H566" s="714"/>
      <c r="I566" s="714"/>
      <c r="J566" s="714"/>
      <c r="K566" s="714"/>
      <c r="L566" s="714"/>
      <c r="M566" s="714"/>
      <c r="N566" s="714"/>
      <c r="O566" s="753"/>
      <c r="P566" s="754"/>
    </row>
    <row r="567" spans="1:89" s="672" customFormat="1" ht="17.25" customHeight="1" x14ac:dyDescent="0.25">
      <c r="A567" s="740" t="s">
        <v>22</v>
      </c>
      <c r="B567" s="1404" t="s">
        <v>23</v>
      </c>
      <c r="C567" s="886"/>
      <c r="D567" s="1403"/>
      <c r="E567" s="874"/>
      <c r="F567" s="874">
        <f>SUM(F568:F575)</f>
        <v>0</v>
      </c>
      <c r="G567" s="874">
        <f>SUM(G568:G575)</f>
        <v>0</v>
      </c>
      <c r="H567" s="874">
        <f>F567+G567</f>
        <v>0</v>
      </c>
      <c r="I567" s="874">
        <f>SUM(I568:I575)</f>
        <v>0</v>
      </c>
      <c r="J567" s="874">
        <f>SUM(J568:J575)</f>
        <v>1998118</v>
      </c>
      <c r="K567" s="874">
        <f>I567+J567</f>
        <v>1998118</v>
      </c>
      <c r="L567" s="874">
        <f>SUM(L568:L575)</f>
        <v>0</v>
      </c>
      <c r="M567" s="874">
        <f>SUM(M568:M575)</f>
        <v>0</v>
      </c>
      <c r="N567" s="874">
        <f>L567+M567</f>
        <v>0</v>
      </c>
      <c r="O567" s="775">
        <f>N567+K567+H567</f>
        <v>1998118</v>
      </c>
      <c r="P567" s="776"/>
      <c r="Q567" s="1581"/>
      <c r="R567" s="1581"/>
      <c r="S567" s="1581"/>
      <c r="T567" s="1581"/>
      <c r="U567" s="1581"/>
      <c r="V567" s="1581"/>
      <c r="W567" s="1581"/>
      <c r="X567" s="1581"/>
      <c r="Y567" s="1581"/>
      <c r="Z567" s="1581"/>
      <c r="AA567" s="1581"/>
      <c r="AB567" s="1581"/>
      <c r="AC567" s="1581"/>
      <c r="AD567" s="1581"/>
      <c r="AE567" s="1581"/>
      <c r="AF567" s="1581"/>
      <c r="AG567" s="1581"/>
      <c r="AH567" s="1581"/>
      <c r="AI567" s="1581"/>
      <c r="AJ567" s="1581"/>
      <c r="AK567" s="1581"/>
      <c r="AL567" s="1581"/>
      <c r="AM567" s="1581"/>
      <c r="AN567" s="1581"/>
      <c r="AO567" s="1581"/>
      <c r="AP567" s="1581"/>
      <c r="AQ567" s="1581"/>
      <c r="AR567" s="1581"/>
      <c r="AS567" s="1581"/>
      <c r="AT567" s="1581"/>
      <c r="AU567" s="1581"/>
      <c r="AV567" s="1581"/>
      <c r="AW567" s="1581"/>
      <c r="AX567" s="1581"/>
      <c r="AY567" s="1581"/>
      <c r="AZ567" s="1581"/>
      <c r="BA567" s="1581"/>
      <c r="BB567" s="1581"/>
      <c r="BC567" s="1581"/>
      <c r="BD567" s="1581"/>
      <c r="BE567" s="1581"/>
      <c r="BF567" s="1581"/>
      <c r="BG567" s="1581"/>
      <c r="BH567" s="1581"/>
      <c r="BI567" s="1581"/>
      <c r="BJ567" s="1581"/>
      <c r="BK567" s="1581"/>
      <c r="BL567" s="1581"/>
      <c r="BM567" s="1581"/>
      <c r="BN567" s="1581"/>
      <c r="BO567" s="1581"/>
      <c r="BP567" s="1581"/>
      <c r="BQ567" s="1581"/>
      <c r="BR567" s="1581"/>
      <c r="BS567" s="1581"/>
      <c r="BT567" s="1581"/>
      <c r="BU567" s="1581"/>
      <c r="BV567" s="1581"/>
      <c r="BW567" s="1581"/>
      <c r="BX567" s="1581"/>
      <c r="BY567" s="1581"/>
      <c r="BZ567" s="1581"/>
      <c r="CA567" s="1581"/>
      <c r="CB567" s="1581"/>
      <c r="CC567" s="1581"/>
      <c r="CD567" s="1581"/>
      <c r="CE567" s="1581"/>
      <c r="CF567" s="1581"/>
      <c r="CG567" s="1581"/>
      <c r="CH567" s="1581"/>
      <c r="CI567" s="1581"/>
      <c r="CJ567" s="1581"/>
      <c r="CK567" s="1581"/>
    </row>
    <row r="568" spans="1:89" ht="17.25" customHeight="1" x14ac:dyDescent="0.25">
      <c r="A568" s="692">
        <v>1</v>
      </c>
      <c r="B568" s="757" t="s">
        <v>21</v>
      </c>
      <c r="C568" s="713"/>
      <c r="D568" s="880"/>
      <c r="E568" s="714"/>
      <c r="F568" s="714"/>
      <c r="G568" s="714"/>
      <c r="H568" s="714"/>
      <c r="I568" s="714"/>
      <c r="J568" s="714"/>
      <c r="K568" s="714"/>
      <c r="L568" s="714"/>
      <c r="M568" s="714"/>
      <c r="N568" s="714"/>
      <c r="O568" s="753">
        <f>N568+K568+H568</f>
        <v>0</v>
      </c>
      <c r="P568" s="754"/>
    </row>
    <row r="569" spans="1:89" ht="17.25" customHeight="1" x14ac:dyDescent="0.25">
      <c r="A569" s="692"/>
      <c r="B569" s="756" t="s">
        <v>1521</v>
      </c>
      <c r="C569" s="713">
        <v>1</v>
      </c>
      <c r="D569" s="880" t="s">
        <v>25</v>
      </c>
      <c r="E569" s="714">
        <f>3194448-1222730</f>
        <v>1971718</v>
      </c>
      <c r="F569" s="714"/>
      <c r="G569" s="714"/>
      <c r="H569" s="714"/>
      <c r="I569" s="714"/>
      <c r="J569" s="714">
        <f>E569*C569</f>
        <v>1971718</v>
      </c>
      <c r="K569" s="714">
        <f>I569+J569</f>
        <v>1971718</v>
      </c>
      <c r="L569" s="714"/>
      <c r="M569" s="714"/>
      <c r="N569" s="714"/>
      <c r="O569" s="753">
        <f>N569+K569+H569</f>
        <v>1971718</v>
      </c>
      <c r="P569" s="754"/>
    </row>
    <row r="570" spans="1:89" ht="17.25" customHeight="1" x14ac:dyDescent="0.25">
      <c r="A570" s="692"/>
      <c r="B570" s="1791" t="s">
        <v>1927</v>
      </c>
      <c r="C570" s="713"/>
      <c r="D570" s="880"/>
      <c r="E570" s="714"/>
      <c r="F570" s="714"/>
      <c r="G570" s="714"/>
      <c r="H570" s="714"/>
      <c r="I570" s="714"/>
      <c r="J570" s="714"/>
      <c r="K570" s="714"/>
      <c r="L570" s="714"/>
      <c r="M570" s="714"/>
      <c r="N570" s="714"/>
      <c r="O570" s="753"/>
      <c r="P570" s="754"/>
    </row>
    <row r="571" spans="1:89" ht="17.25" customHeight="1" x14ac:dyDescent="0.25">
      <c r="A571" s="692"/>
      <c r="B571" s="1791" t="s">
        <v>1928</v>
      </c>
      <c r="C571" s="713"/>
      <c r="D571" s="880"/>
      <c r="E571" s="714"/>
      <c r="F571" s="714"/>
      <c r="G571" s="714"/>
      <c r="H571" s="714"/>
      <c r="I571" s="714"/>
      <c r="J571" s="714"/>
      <c r="K571" s="714"/>
      <c r="L571" s="714"/>
      <c r="M571" s="714"/>
      <c r="N571" s="714"/>
      <c r="O571" s="753"/>
      <c r="P571" s="754"/>
    </row>
    <row r="572" spans="1:89" ht="17.25" customHeight="1" x14ac:dyDescent="0.25">
      <c r="A572" s="692"/>
      <c r="B572" s="1780" t="s">
        <v>1929</v>
      </c>
      <c r="C572" s="693"/>
      <c r="D572" s="727"/>
      <c r="E572" s="695"/>
      <c r="F572" s="695"/>
      <c r="G572" s="695"/>
      <c r="H572" s="695"/>
      <c r="I572" s="695"/>
      <c r="J572" s="695"/>
      <c r="K572" s="695"/>
      <c r="L572" s="695"/>
      <c r="M572" s="695"/>
      <c r="N572" s="695"/>
      <c r="O572" s="696">
        <f>N572+K572+H572</f>
        <v>0</v>
      </c>
      <c r="P572" s="687"/>
    </row>
    <row r="573" spans="1:89" s="673" customFormat="1" ht="17.25" customHeight="1" x14ac:dyDescent="0.25">
      <c r="A573" s="692"/>
      <c r="B573" s="1371"/>
      <c r="C573" s="789"/>
      <c r="D573" s="1405"/>
      <c r="E573" s="712"/>
      <c r="F573" s="695"/>
      <c r="G573" s="695"/>
      <c r="H573" s="695"/>
      <c r="I573" s="695"/>
      <c r="J573" s="695"/>
      <c r="K573" s="695"/>
      <c r="L573" s="695"/>
      <c r="M573" s="695"/>
      <c r="N573" s="695"/>
      <c r="O573" s="696"/>
      <c r="P573" s="687"/>
      <c r="Q573" s="783"/>
      <c r="R573" s="783"/>
      <c r="S573" s="783"/>
      <c r="T573" s="783"/>
      <c r="U573" s="783"/>
      <c r="V573" s="783"/>
      <c r="W573" s="783"/>
      <c r="X573" s="783"/>
      <c r="Y573" s="783"/>
      <c r="Z573" s="783"/>
      <c r="AA573" s="783"/>
      <c r="AB573" s="783"/>
      <c r="AC573" s="783"/>
      <c r="AD573" s="783"/>
      <c r="AE573" s="783"/>
      <c r="AF573" s="783"/>
      <c r="AG573" s="783"/>
      <c r="AH573" s="783"/>
      <c r="AI573" s="783"/>
      <c r="AJ573" s="783"/>
      <c r="AK573" s="783"/>
      <c r="AL573" s="783"/>
      <c r="AM573" s="783"/>
      <c r="AN573" s="783"/>
      <c r="AO573" s="783"/>
      <c r="AP573" s="783"/>
      <c r="AQ573" s="783"/>
      <c r="AR573" s="783"/>
      <c r="AS573" s="783"/>
      <c r="AT573" s="783"/>
      <c r="AU573" s="783"/>
      <c r="AV573" s="783"/>
      <c r="AW573" s="783"/>
      <c r="AX573" s="783"/>
      <c r="AY573" s="783"/>
      <c r="AZ573" s="783"/>
      <c r="BA573" s="783"/>
      <c r="BB573" s="783"/>
      <c r="BC573" s="783"/>
      <c r="BD573" s="783"/>
      <c r="BE573" s="783"/>
      <c r="BF573" s="783"/>
      <c r="BG573" s="783"/>
      <c r="BH573" s="783"/>
      <c r="BI573" s="783"/>
      <c r="BJ573" s="783"/>
      <c r="BK573" s="783"/>
      <c r="BL573" s="783"/>
      <c r="BM573" s="783"/>
      <c r="BN573" s="783"/>
      <c r="BO573" s="783"/>
      <c r="BP573" s="783"/>
      <c r="BQ573" s="783"/>
      <c r="BR573" s="783"/>
      <c r="BS573" s="783"/>
      <c r="BT573" s="783"/>
      <c r="BU573" s="783"/>
      <c r="BV573" s="783"/>
      <c r="BW573" s="783"/>
      <c r="BX573" s="783"/>
      <c r="BY573" s="783"/>
      <c r="BZ573" s="783"/>
      <c r="CA573" s="783"/>
      <c r="CB573" s="783"/>
      <c r="CC573" s="783"/>
      <c r="CD573" s="783"/>
      <c r="CE573" s="783"/>
      <c r="CF573" s="783"/>
      <c r="CG573" s="783"/>
      <c r="CH573" s="783"/>
      <c r="CI573" s="783"/>
      <c r="CJ573" s="783"/>
      <c r="CK573" s="783"/>
    </row>
    <row r="574" spans="1:89" s="673" customFormat="1" ht="17.25" customHeight="1" x14ac:dyDescent="0.25">
      <c r="A574" s="692">
        <v>2</v>
      </c>
      <c r="B574" s="1248" t="s">
        <v>19</v>
      </c>
      <c r="C574" s="693"/>
      <c r="D574" s="739"/>
      <c r="E574" s="695"/>
      <c r="F574" s="695"/>
      <c r="G574" s="695"/>
      <c r="H574" s="695"/>
      <c r="I574" s="695"/>
      <c r="J574" s="695"/>
      <c r="K574" s="695"/>
      <c r="L574" s="695"/>
      <c r="M574" s="695"/>
      <c r="N574" s="695"/>
      <c r="O574" s="696">
        <f>N574+K574+H574</f>
        <v>0</v>
      </c>
      <c r="P574" s="687"/>
      <c r="Q574" s="783"/>
      <c r="R574" s="783"/>
      <c r="S574" s="783"/>
      <c r="T574" s="783"/>
      <c r="U574" s="783"/>
      <c r="V574" s="783"/>
      <c r="W574" s="783"/>
      <c r="X574" s="783"/>
      <c r="Y574" s="783"/>
      <c r="Z574" s="783"/>
      <c r="AA574" s="783"/>
      <c r="AB574" s="783"/>
      <c r="AC574" s="783"/>
      <c r="AD574" s="783"/>
      <c r="AE574" s="783"/>
      <c r="AF574" s="783"/>
      <c r="AG574" s="783"/>
      <c r="AH574" s="783"/>
      <c r="AI574" s="783"/>
      <c r="AJ574" s="783"/>
      <c r="AK574" s="783"/>
      <c r="AL574" s="783"/>
      <c r="AM574" s="783"/>
      <c r="AN574" s="783"/>
      <c r="AO574" s="783"/>
      <c r="AP574" s="783"/>
      <c r="AQ574" s="783"/>
      <c r="AR574" s="783"/>
      <c r="AS574" s="783"/>
      <c r="AT574" s="783"/>
      <c r="AU574" s="783"/>
      <c r="AV574" s="783"/>
      <c r="AW574" s="783"/>
      <c r="AX574" s="783"/>
      <c r="AY574" s="783"/>
      <c r="AZ574" s="783"/>
      <c r="BA574" s="783"/>
      <c r="BB574" s="783"/>
      <c r="BC574" s="783"/>
      <c r="BD574" s="783"/>
      <c r="BE574" s="783"/>
      <c r="BF574" s="783"/>
      <c r="BG574" s="783"/>
      <c r="BH574" s="783"/>
      <c r="BI574" s="783"/>
      <c r="BJ574" s="783"/>
      <c r="BK574" s="783"/>
      <c r="BL574" s="783"/>
      <c r="BM574" s="783"/>
      <c r="BN574" s="783"/>
      <c r="BO574" s="783"/>
      <c r="BP574" s="783"/>
      <c r="BQ574" s="783"/>
      <c r="BR574" s="783"/>
      <c r="BS574" s="783"/>
      <c r="BT574" s="783"/>
      <c r="BU574" s="783"/>
      <c r="BV574" s="783"/>
      <c r="BW574" s="783"/>
      <c r="BX574" s="783"/>
      <c r="BY574" s="783"/>
      <c r="BZ574" s="783"/>
      <c r="CA574" s="783"/>
      <c r="CB574" s="783"/>
      <c r="CC574" s="783"/>
      <c r="CD574" s="783"/>
      <c r="CE574" s="783"/>
      <c r="CF574" s="783"/>
      <c r="CG574" s="783"/>
      <c r="CH574" s="783"/>
      <c r="CI574" s="783"/>
      <c r="CJ574" s="783"/>
      <c r="CK574" s="783"/>
    </row>
    <row r="575" spans="1:89" ht="17.25" customHeight="1" x14ac:dyDescent="0.25">
      <c r="A575" s="740"/>
      <c r="B575" s="752" t="s">
        <v>26</v>
      </c>
      <c r="C575" s="828">
        <v>1</v>
      </c>
      <c r="D575" s="1369" t="s">
        <v>25</v>
      </c>
      <c r="E575" s="705">
        <v>26400</v>
      </c>
      <c r="F575" s="705"/>
      <c r="G575" s="705"/>
      <c r="H575" s="705"/>
      <c r="I575" s="705"/>
      <c r="J575" s="705">
        <f>C575*E575</f>
        <v>26400</v>
      </c>
      <c r="K575" s="705">
        <f>I575+J575</f>
        <v>26400</v>
      </c>
      <c r="L575" s="705"/>
      <c r="M575" s="705"/>
      <c r="N575" s="705"/>
      <c r="O575" s="1370">
        <f>N575+K575+H575</f>
        <v>26400</v>
      </c>
      <c r="P575" s="829"/>
    </row>
    <row r="576" spans="1:89" ht="17.25" customHeight="1" x14ac:dyDescent="0.25">
      <c r="A576" s="692"/>
      <c r="B576" s="756"/>
      <c r="C576" s="789"/>
      <c r="D576" s="1405"/>
      <c r="E576" s="712"/>
      <c r="F576" s="695"/>
      <c r="G576" s="695"/>
      <c r="H576" s="695"/>
      <c r="I576" s="695"/>
      <c r="J576" s="695"/>
      <c r="K576" s="695"/>
      <c r="L576" s="695"/>
      <c r="M576" s="695"/>
      <c r="N576" s="695"/>
      <c r="O576" s="696"/>
      <c r="P576" s="687"/>
    </row>
    <row r="577" spans="1:89" s="1263" customFormat="1" ht="17.25" customHeight="1" x14ac:dyDescent="0.25">
      <c r="A577" s="740" t="s">
        <v>28</v>
      </c>
      <c r="B577" s="741" t="s">
        <v>29</v>
      </c>
      <c r="C577" s="828"/>
      <c r="D577" s="738"/>
      <c r="E577" s="705"/>
      <c r="F577" s="705">
        <f>SUM(F580:F605)</f>
        <v>0</v>
      </c>
      <c r="G577" s="705">
        <f>SUM(G580:G605)</f>
        <v>0</v>
      </c>
      <c r="H577" s="705">
        <f>G577+F577</f>
        <v>0</v>
      </c>
      <c r="I577" s="705">
        <f>SUM(I580:I605)</f>
        <v>0</v>
      </c>
      <c r="J577" s="705">
        <f>SUM(J580:J605)</f>
        <v>414220</v>
      </c>
      <c r="K577" s="705">
        <f>J577+I577</f>
        <v>414220</v>
      </c>
      <c r="L577" s="705">
        <f>SUM(L580:L605)</f>
        <v>0</v>
      </c>
      <c r="M577" s="705">
        <f>SUM(M580:M605)</f>
        <v>0</v>
      </c>
      <c r="N577" s="705">
        <f>M577+L577</f>
        <v>0</v>
      </c>
      <c r="O577" s="1370">
        <f>N577+K577+H577</f>
        <v>414220</v>
      </c>
      <c r="P577" s="829"/>
      <c r="Q577" s="1823"/>
      <c r="R577" s="1823"/>
      <c r="S577" s="1823"/>
      <c r="T577" s="1823"/>
      <c r="U577" s="1823"/>
      <c r="V577" s="1823"/>
      <c r="W577" s="1823"/>
      <c r="X577" s="1823"/>
      <c r="Y577" s="1823"/>
      <c r="Z577" s="1823"/>
      <c r="AA577" s="1823"/>
      <c r="AB577" s="1823"/>
      <c r="AC577" s="1823"/>
      <c r="AD577" s="1823"/>
      <c r="AE577" s="1823"/>
      <c r="AF577" s="1823"/>
      <c r="AG577" s="1823"/>
      <c r="AH577" s="1823"/>
      <c r="AI577" s="1823"/>
      <c r="AJ577" s="1823"/>
      <c r="AK577" s="1823"/>
      <c r="AL577" s="1823"/>
      <c r="AM577" s="1823"/>
      <c r="AN577" s="1823"/>
      <c r="AO577" s="1823"/>
      <c r="AP577" s="1823"/>
      <c r="AQ577" s="1823"/>
      <c r="AR577" s="1823"/>
      <c r="AS577" s="1823"/>
      <c r="AT577" s="1823"/>
      <c r="AU577" s="1823"/>
      <c r="AV577" s="1823"/>
      <c r="AW577" s="1823"/>
      <c r="AX577" s="1823"/>
      <c r="AY577" s="1823"/>
      <c r="AZ577" s="1823"/>
      <c r="BA577" s="1823"/>
      <c r="BB577" s="1823"/>
      <c r="BC577" s="1823"/>
      <c r="BD577" s="1823"/>
      <c r="BE577" s="1823"/>
      <c r="BF577" s="1823"/>
      <c r="BG577" s="1823"/>
      <c r="BH577" s="1823"/>
      <c r="BI577" s="1823"/>
      <c r="BJ577" s="1823"/>
      <c r="BK577" s="1823"/>
      <c r="BL577" s="1823"/>
      <c r="BM577" s="1823"/>
      <c r="BN577" s="1823"/>
      <c r="BO577" s="1823"/>
      <c r="BP577" s="1823"/>
      <c r="BQ577" s="1823"/>
      <c r="BR577" s="1823"/>
      <c r="BS577" s="1823"/>
      <c r="BT577" s="1823"/>
      <c r="BU577" s="1823"/>
      <c r="BV577" s="1823"/>
      <c r="BW577" s="1823"/>
      <c r="BX577" s="1823"/>
      <c r="BY577" s="1823"/>
      <c r="BZ577" s="1823"/>
      <c r="CA577" s="1823"/>
      <c r="CB577" s="1823"/>
      <c r="CC577" s="1823"/>
      <c r="CD577" s="1823"/>
      <c r="CE577" s="1823"/>
      <c r="CF577" s="1823"/>
      <c r="CG577" s="1823"/>
      <c r="CH577" s="1823"/>
      <c r="CI577" s="1823"/>
      <c r="CJ577" s="1823"/>
      <c r="CK577" s="1823"/>
    </row>
    <row r="578" spans="1:89" ht="17.25" customHeight="1" x14ac:dyDescent="0.25">
      <c r="A578" s="740"/>
      <c r="B578" s="752"/>
      <c r="C578" s="789"/>
      <c r="D578" s="1405"/>
      <c r="E578" s="712"/>
      <c r="F578" s="705"/>
      <c r="G578" s="705"/>
      <c r="H578" s="705"/>
      <c r="I578" s="705"/>
      <c r="J578" s="705"/>
      <c r="K578" s="705"/>
      <c r="L578" s="705"/>
      <c r="M578" s="705"/>
      <c r="N578" s="705"/>
      <c r="O578" s="1370"/>
      <c r="P578" s="829"/>
    </row>
    <row r="579" spans="1:89" ht="17.25" customHeight="1" x14ac:dyDescent="0.25">
      <c r="A579" s="692">
        <v>1</v>
      </c>
      <c r="B579" s="756" t="s">
        <v>19</v>
      </c>
      <c r="C579" s="789"/>
      <c r="D579" s="1405"/>
      <c r="E579" s="712"/>
      <c r="F579" s="695"/>
      <c r="G579" s="695"/>
      <c r="H579" s="695"/>
      <c r="I579" s="695"/>
      <c r="J579" s="695"/>
      <c r="K579" s="695"/>
      <c r="L579" s="695"/>
      <c r="M579" s="695"/>
      <c r="N579" s="695"/>
      <c r="O579" s="696">
        <f t="shared" ref="O579:O605" si="42">N579+K579+H579</f>
        <v>0</v>
      </c>
      <c r="P579" s="687"/>
    </row>
    <row r="580" spans="1:89" s="673" customFormat="1" ht="17.25" customHeight="1" x14ac:dyDescent="0.25">
      <c r="A580" s="692"/>
      <c r="B580" s="1371" t="s">
        <v>30</v>
      </c>
      <c r="C580" s="693">
        <v>12</v>
      </c>
      <c r="D580" s="739" t="s">
        <v>20</v>
      </c>
      <c r="E580" s="695">
        <v>1500</v>
      </c>
      <c r="F580" s="695"/>
      <c r="G580" s="695"/>
      <c r="H580" s="695"/>
      <c r="I580" s="695"/>
      <c r="J580" s="695">
        <f>C580*E580</f>
        <v>18000</v>
      </c>
      <c r="K580" s="695">
        <f>I580+J580</f>
        <v>18000</v>
      </c>
      <c r="L580" s="695"/>
      <c r="M580" s="695"/>
      <c r="N580" s="695"/>
      <c r="O580" s="696">
        <f t="shared" si="42"/>
        <v>18000</v>
      </c>
      <c r="P580" s="687"/>
      <c r="Q580" s="783"/>
      <c r="R580" s="783"/>
      <c r="S580" s="783"/>
      <c r="T580" s="783"/>
      <c r="U580" s="783"/>
      <c r="V580" s="783"/>
      <c r="W580" s="783"/>
      <c r="X580" s="783"/>
      <c r="Y580" s="783"/>
      <c r="Z580" s="783"/>
      <c r="AA580" s="783"/>
      <c r="AB580" s="783"/>
      <c r="AC580" s="783"/>
      <c r="AD580" s="783"/>
      <c r="AE580" s="783"/>
      <c r="AF580" s="783"/>
      <c r="AG580" s="783"/>
      <c r="AH580" s="783"/>
      <c r="AI580" s="783"/>
      <c r="AJ580" s="783"/>
      <c r="AK580" s="783"/>
      <c r="AL580" s="783"/>
      <c r="AM580" s="783"/>
      <c r="AN580" s="783"/>
      <c r="AO580" s="783"/>
      <c r="AP580" s="783"/>
      <c r="AQ580" s="783"/>
      <c r="AR580" s="783"/>
      <c r="AS580" s="783"/>
      <c r="AT580" s="783"/>
      <c r="AU580" s="783"/>
      <c r="AV580" s="783"/>
      <c r="AW580" s="783"/>
      <c r="AX580" s="783"/>
      <c r="AY580" s="783"/>
      <c r="AZ580" s="783"/>
      <c r="BA580" s="783"/>
      <c r="BB580" s="783"/>
      <c r="BC580" s="783"/>
      <c r="BD580" s="783"/>
      <c r="BE580" s="783"/>
      <c r="BF580" s="783"/>
      <c r="BG580" s="783"/>
      <c r="BH580" s="783"/>
      <c r="BI580" s="783"/>
      <c r="BJ580" s="783"/>
      <c r="BK580" s="783"/>
      <c r="BL580" s="783"/>
      <c r="BM580" s="783"/>
      <c r="BN580" s="783"/>
      <c r="BO580" s="783"/>
      <c r="BP580" s="783"/>
      <c r="BQ580" s="783"/>
      <c r="BR580" s="783"/>
      <c r="BS580" s="783"/>
      <c r="BT580" s="783"/>
      <c r="BU580" s="783"/>
      <c r="BV580" s="783"/>
      <c r="BW580" s="783"/>
      <c r="BX580" s="783"/>
      <c r="BY580" s="783"/>
      <c r="BZ580" s="783"/>
      <c r="CA580" s="783"/>
      <c r="CB580" s="783"/>
      <c r="CC580" s="783"/>
      <c r="CD580" s="783"/>
      <c r="CE580" s="783"/>
      <c r="CF580" s="783"/>
      <c r="CG580" s="783"/>
      <c r="CH580" s="783"/>
      <c r="CI580" s="783"/>
      <c r="CJ580" s="783"/>
      <c r="CK580" s="783"/>
    </row>
    <row r="581" spans="1:89" ht="17.25" customHeight="1" x14ac:dyDescent="0.25">
      <c r="A581" s="740"/>
      <c r="B581" s="752" t="s">
        <v>31</v>
      </c>
      <c r="C581" s="828">
        <v>12</v>
      </c>
      <c r="D581" s="1369" t="s">
        <v>20</v>
      </c>
      <c r="E581" s="705">
        <v>1200</v>
      </c>
      <c r="F581" s="705"/>
      <c r="G581" s="705"/>
      <c r="H581" s="705"/>
      <c r="I581" s="705"/>
      <c r="J581" s="705">
        <f>C581*E581</f>
        <v>14400</v>
      </c>
      <c r="K581" s="705">
        <f>I581+J581</f>
        <v>14400</v>
      </c>
      <c r="L581" s="705"/>
      <c r="M581" s="705"/>
      <c r="N581" s="705"/>
      <c r="O581" s="1370">
        <f t="shared" si="42"/>
        <v>14400</v>
      </c>
      <c r="P581" s="829"/>
    </row>
    <row r="582" spans="1:89" ht="17.25" customHeight="1" x14ac:dyDescent="0.25">
      <c r="A582" s="692"/>
      <c r="B582" s="756" t="s">
        <v>32</v>
      </c>
      <c r="C582" s="789">
        <v>12</v>
      </c>
      <c r="D582" s="1405" t="s">
        <v>20</v>
      </c>
      <c r="E582" s="712">
        <v>1000</v>
      </c>
      <c r="F582" s="695"/>
      <c r="G582" s="695"/>
      <c r="H582" s="695"/>
      <c r="I582" s="695"/>
      <c r="J582" s="695">
        <f>C582*E582</f>
        <v>12000</v>
      </c>
      <c r="K582" s="695">
        <f>I582+J582</f>
        <v>12000</v>
      </c>
      <c r="L582" s="695"/>
      <c r="M582" s="695"/>
      <c r="N582" s="695"/>
      <c r="O582" s="696">
        <f t="shared" si="42"/>
        <v>12000</v>
      </c>
      <c r="P582" s="687"/>
    </row>
    <row r="583" spans="1:89" s="673" customFormat="1" ht="17.25" customHeight="1" x14ac:dyDescent="0.25">
      <c r="A583" s="692"/>
      <c r="B583" s="1371" t="s">
        <v>33</v>
      </c>
      <c r="C583" s="693">
        <v>60</v>
      </c>
      <c r="D583" s="739" t="s">
        <v>20</v>
      </c>
      <c r="E583" s="695">
        <v>800</v>
      </c>
      <c r="F583" s="695"/>
      <c r="G583" s="695"/>
      <c r="H583" s="695"/>
      <c r="I583" s="695"/>
      <c r="J583" s="695">
        <f>C583*E583</f>
        <v>48000</v>
      </c>
      <c r="K583" s="695">
        <f>I583+J583</f>
        <v>48000</v>
      </c>
      <c r="L583" s="695"/>
      <c r="M583" s="695"/>
      <c r="N583" s="695"/>
      <c r="O583" s="696">
        <f t="shared" si="42"/>
        <v>48000</v>
      </c>
      <c r="P583" s="687"/>
      <c r="Q583" s="783"/>
      <c r="R583" s="783"/>
      <c r="S583" s="783"/>
      <c r="T583" s="783"/>
      <c r="U583" s="783"/>
      <c r="V583" s="783"/>
      <c r="W583" s="783"/>
      <c r="X583" s="783"/>
      <c r="Y583" s="783"/>
      <c r="Z583" s="783"/>
      <c r="AA583" s="783"/>
      <c r="AB583" s="783"/>
      <c r="AC583" s="783"/>
      <c r="AD583" s="783"/>
      <c r="AE583" s="783"/>
      <c r="AF583" s="783"/>
      <c r="AG583" s="783"/>
      <c r="AH583" s="783"/>
      <c r="AI583" s="783"/>
      <c r="AJ583" s="783"/>
      <c r="AK583" s="783"/>
      <c r="AL583" s="783"/>
      <c r="AM583" s="783"/>
      <c r="AN583" s="783"/>
      <c r="AO583" s="783"/>
      <c r="AP583" s="783"/>
      <c r="AQ583" s="783"/>
      <c r="AR583" s="783"/>
      <c r="AS583" s="783"/>
      <c r="AT583" s="783"/>
      <c r="AU583" s="783"/>
      <c r="AV583" s="783"/>
      <c r="AW583" s="783"/>
      <c r="AX583" s="783"/>
      <c r="AY583" s="783"/>
      <c r="AZ583" s="783"/>
      <c r="BA583" s="783"/>
      <c r="BB583" s="783"/>
      <c r="BC583" s="783"/>
      <c r="BD583" s="783"/>
      <c r="BE583" s="783"/>
      <c r="BF583" s="783"/>
      <c r="BG583" s="783"/>
      <c r="BH583" s="783"/>
      <c r="BI583" s="783"/>
      <c r="BJ583" s="783"/>
      <c r="BK583" s="783"/>
      <c r="BL583" s="783"/>
      <c r="BM583" s="783"/>
      <c r="BN583" s="783"/>
      <c r="BO583" s="783"/>
      <c r="BP583" s="783"/>
      <c r="BQ583" s="783"/>
      <c r="BR583" s="783"/>
      <c r="BS583" s="783"/>
      <c r="BT583" s="783"/>
      <c r="BU583" s="783"/>
      <c r="BV583" s="783"/>
      <c r="BW583" s="783"/>
      <c r="BX583" s="783"/>
      <c r="BY583" s="783"/>
      <c r="BZ583" s="783"/>
      <c r="CA583" s="783"/>
      <c r="CB583" s="783"/>
      <c r="CC583" s="783"/>
      <c r="CD583" s="783"/>
      <c r="CE583" s="783"/>
      <c r="CF583" s="783"/>
      <c r="CG583" s="783"/>
      <c r="CH583" s="783"/>
      <c r="CI583" s="783"/>
      <c r="CJ583" s="783"/>
      <c r="CK583" s="783"/>
    </row>
    <row r="584" spans="1:89" ht="17.25" customHeight="1" x14ac:dyDescent="0.25">
      <c r="A584" s="692"/>
      <c r="B584" s="1371" t="s">
        <v>34</v>
      </c>
      <c r="C584" s="693"/>
      <c r="D584" s="739"/>
      <c r="E584" s="695"/>
      <c r="F584" s="695"/>
      <c r="G584" s="695"/>
      <c r="H584" s="695"/>
      <c r="I584" s="695"/>
      <c r="J584" s="695"/>
      <c r="K584" s="695"/>
      <c r="L584" s="695"/>
      <c r="M584" s="695"/>
      <c r="N584" s="695"/>
      <c r="O584" s="696">
        <f t="shared" si="42"/>
        <v>0</v>
      </c>
      <c r="P584" s="687"/>
    </row>
    <row r="585" spans="1:89" ht="17.25" customHeight="1" x14ac:dyDescent="0.25">
      <c r="A585" s="740"/>
      <c r="B585" s="741" t="s">
        <v>1522</v>
      </c>
      <c r="C585" s="828">
        <v>12</v>
      </c>
      <c r="D585" s="738" t="s">
        <v>20</v>
      </c>
      <c r="E585" s="705">
        <v>300</v>
      </c>
      <c r="F585" s="705"/>
      <c r="G585" s="705"/>
      <c r="H585" s="705"/>
      <c r="I585" s="705"/>
      <c r="J585" s="705">
        <f>C585*E585</f>
        <v>3600</v>
      </c>
      <c r="K585" s="705">
        <f>I585+J585</f>
        <v>3600</v>
      </c>
      <c r="L585" s="705"/>
      <c r="M585" s="705"/>
      <c r="N585" s="705"/>
      <c r="O585" s="1370">
        <f t="shared" si="42"/>
        <v>3600</v>
      </c>
      <c r="P585" s="829"/>
    </row>
    <row r="586" spans="1:89" ht="17.25" customHeight="1" x14ac:dyDescent="0.25">
      <c r="A586" s="692"/>
      <c r="B586" s="1371" t="s">
        <v>35</v>
      </c>
      <c r="C586" s="693">
        <v>12</v>
      </c>
      <c r="D586" s="739" t="s">
        <v>20</v>
      </c>
      <c r="E586" s="695">
        <v>250</v>
      </c>
      <c r="F586" s="695"/>
      <c r="G586" s="695"/>
      <c r="H586" s="695"/>
      <c r="I586" s="695"/>
      <c r="J586" s="695">
        <f>C586*E586</f>
        <v>3000</v>
      </c>
      <c r="K586" s="695">
        <f>I586+J586</f>
        <v>3000</v>
      </c>
      <c r="L586" s="695"/>
      <c r="M586" s="695"/>
      <c r="N586" s="695"/>
      <c r="O586" s="696">
        <f t="shared" si="42"/>
        <v>3000</v>
      </c>
      <c r="P586" s="687"/>
    </row>
    <row r="587" spans="1:89" ht="17.25" customHeight="1" x14ac:dyDescent="0.25">
      <c r="A587" s="742"/>
      <c r="B587" s="756" t="s">
        <v>36</v>
      </c>
      <c r="C587" s="699">
        <v>48</v>
      </c>
      <c r="D587" s="739" t="s">
        <v>20</v>
      </c>
      <c r="E587" s="695">
        <v>150</v>
      </c>
      <c r="F587" s="714"/>
      <c r="G587" s="714"/>
      <c r="H587" s="714"/>
      <c r="I587" s="714"/>
      <c r="J587" s="714">
        <f>C587*E587</f>
        <v>7200</v>
      </c>
      <c r="K587" s="714">
        <f>I587+J587</f>
        <v>7200</v>
      </c>
      <c r="L587" s="714"/>
      <c r="M587" s="714"/>
      <c r="N587" s="714"/>
      <c r="O587" s="753">
        <f t="shared" si="42"/>
        <v>7200</v>
      </c>
      <c r="P587" s="754"/>
    </row>
    <row r="588" spans="1:89" ht="17.25" customHeight="1" x14ac:dyDescent="0.25">
      <c r="A588" s="742"/>
      <c r="B588" s="756"/>
      <c r="C588" s="699"/>
      <c r="D588" s="739"/>
      <c r="E588" s="695"/>
      <c r="F588" s="714"/>
      <c r="G588" s="714"/>
      <c r="H588" s="714"/>
      <c r="I588" s="714"/>
      <c r="J588" s="714"/>
      <c r="K588" s="714"/>
      <c r="L588" s="714"/>
      <c r="M588" s="714"/>
      <c r="N588" s="714"/>
      <c r="O588" s="753">
        <f t="shared" si="42"/>
        <v>0</v>
      </c>
      <c r="P588" s="754"/>
    </row>
    <row r="589" spans="1:89" ht="17.25" customHeight="1" x14ac:dyDescent="0.25">
      <c r="A589" s="742">
        <v>2</v>
      </c>
      <c r="B589" s="756" t="s">
        <v>38</v>
      </c>
      <c r="C589" s="699">
        <v>1</v>
      </c>
      <c r="D589" s="739" t="s">
        <v>25</v>
      </c>
      <c r="E589" s="695">
        <v>5540</v>
      </c>
      <c r="F589" s="714"/>
      <c r="G589" s="714"/>
      <c r="H589" s="714"/>
      <c r="I589" s="714"/>
      <c r="J589" s="714">
        <f>C589*E589</f>
        <v>5540</v>
      </c>
      <c r="K589" s="714">
        <f>I589+J589</f>
        <v>5540</v>
      </c>
      <c r="L589" s="714"/>
      <c r="M589" s="714"/>
      <c r="N589" s="714"/>
      <c r="O589" s="753">
        <f t="shared" si="42"/>
        <v>5540</v>
      </c>
      <c r="P589" s="754"/>
    </row>
    <row r="590" spans="1:89" ht="17.25" customHeight="1" x14ac:dyDescent="0.25">
      <c r="A590" s="742"/>
      <c r="B590" s="756" t="s">
        <v>39</v>
      </c>
      <c r="C590" s="699">
        <v>1</v>
      </c>
      <c r="D590" s="739" t="s">
        <v>25</v>
      </c>
      <c r="E590" s="695">
        <v>3880</v>
      </c>
      <c r="F590" s="714"/>
      <c r="G590" s="714"/>
      <c r="H590" s="714"/>
      <c r="I590" s="714"/>
      <c r="J590" s="714">
        <f>C590*E590</f>
        <v>3880</v>
      </c>
      <c r="K590" s="714">
        <f>I590+J590</f>
        <v>3880</v>
      </c>
      <c r="L590" s="714"/>
      <c r="M590" s="714"/>
      <c r="N590" s="714"/>
      <c r="O590" s="753">
        <f t="shared" si="42"/>
        <v>3880</v>
      </c>
      <c r="P590" s="754"/>
    </row>
    <row r="591" spans="1:89" ht="17.25" customHeight="1" x14ac:dyDescent="0.25">
      <c r="A591" s="742"/>
      <c r="B591" s="756"/>
      <c r="C591" s="699"/>
      <c r="D591" s="739"/>
      <c r="E591" s="695"/>
      <c r="F591" s="714"/>
      <c r="G591" s="714"/>
      <c r="H591" s="714"/>
      <c r="I591" s="714"/>
      <c r="J591" s="714"/>
      <c r="K591" s="714"/>
      <c r="L591" s="714"/>
      <c r="M591" s="714"/>
      <c r="N591" s="714"/>
      <c r="O591" s="753">
        <f t="shared" si="42"/>
        <v>0</v>
      </c>
      <c r="P591" s="754"/>
    </row>
    <row r="592" spans="1:89" ht="17.25" customHeight="1" x14ac:dyDescent="0.25">
      <c r="A592" s="742">
        <v>3</v>
      </c>
      <c r="B592" s="756" t="s">
        <v>27</v>
      </c>
      <c r="C592" s="699"/>
      <c r="D592" s="739"/>
      <c r="E592" s="695"/>
      <c r="F592" s="714"/>
      <c r="G592" s="714"/>
      <c r="H592" s="714"/>
      <c r="I592" s="714"/>
      <c r="J592" s="714"/>
      <c r="K592" s="714"/>
      <c r="L592" s="714"/>
      <c r="M592" s="714"/>
      <c r="N592" s="714"/>
      <c r="O592" s="753">
        <f t="shared" si="42"/>
        <v>0</v>
      </c>
      <c r="P592" s="754"/>
    </row>
    <row r="593" spans="1:16" ht="17.25" customHeight="1" x14ac:dyDescent="0.25">
      <c r="A593" s="742"/>
      <c r="B593" s="756" t="s">
        <v>42</v>
      </c>
      <c r="C593" s="699">
        <v>1</v>
      </c>
      <c r="D593" s="739" t="s">
        <v>25</v>
      </c>
      <c r="E593" s="695">
        <v>35000</v>
      </c>
      <c r="F593" s="714"/>
      <c r="G593" s="714"/>
      <c r="H593" s="714"/>
      <c r="I593" s="714"/>
      <c r="J593" s="714">
        <f>C593*E593</f>
        <v>35000</v>
      </c>
      <c r="K593" s="714">
        <f>I593+J593</f>
        <v>35000</v>
      </c>
      <c r="L593" s="714"/>
      <c r="M593" s="714"/>
      <c r="N593" s="714"/>
      <c r="O593" s="753">
        <f t="shared" si="42"/>
        <v>35000</v>
      </c>
      <c r="P593" s="754"/>
    </row>
    <row r="594" spans="1:16" ht="17.25" customHeight="1" x14ac:dyDescent="0.25">
      <c r="A594" s="742"/>
      <c r="B594" s="756"/>
      <c r="C594" s="699"/>
      <c r="D594" s="739"/>
      <c r="E594" s="695"/>
      <c r="F594" s="714"/>
      <c r="G594" s="714"/>
      <c r="H594" s="714"/>
      <c r="I594" s="714"/>
      <c r="J594" s="714"/>
      <c r="K594" s="714"/>
      <c r="L594" s="714"/>
      <c r="M594" s="714"/>
      <c r="N594" s="714"/>
      <c r="O594" s="753">
        <f t="shared" si="42"/>
        <v>0</v>
      </c>
      <c r="P594" s="754"/>
    </row>
    <row r="595" spans="1:16" ht="17.25" customHeight="1" x14ac:dyDescent="0.25">
      <c r="A595" s="742">
        <v>4</v>
      </c>
      <c r="B595" s="756" t="s">
        <v>40</v>
      </c>
      <c r="C595" s="699"/>
      <c r="D595" s="739"/>
      <c r="E595" s="695"/>
      <c r="F595" s="714"/>
      <c r="G595" s="714"/>
      <c r="H595" s="714"/>
      <c r="I595" s="714"/>
      <c r="J595" s="714"/>
      <c r="K595" s="714"/>
      <c r="L595" s="714"/>
      <c r="M595" s="714"/>
      <c r="N595" s="714"/>
      <c r="O595" s="753">
        <f t="shared" si="42"/>
        <v>0</v>
      </c>
      <c r="P595" s="754"/>
    </row>
    <row r="596" spans="1:16" ht="17.25" customHeight="1" x14ac:dyDescent="0.25">
      <c r="A596" s="742"/>
      <c r="B596" s="756" t="s">
        <v>41</v>
      </c>
      <c r="C596" s="699">
        <v>1</v>
      </c>
      <c r="D596" s="739" t="s">
        <v>25</v>
      </c>
      <c r="E596" s="695">
        <v>35000</v>
      </c>
      <c r="F596" s="714"/>
      <c r="G596" s="714"/>
      <c r="H596" s="714"/>
      <c r="I596" s="714"/>
      <c r="J596" s="714">
        <f>C596*E596</f>
        <v>35000</v>
      </c>
      <c r="K596" s="714">
        <f>I596+J596</f>
        <v>35000</v>
      </c>
      <c r="L596" s="714"/>
      <c r="M596" s="714"/>
      <c r="N596" s="714"/>
      <c r="O596" s="753">
        <f t="shared" si="42"/>
        <v>35000</v>
      </c>
      <c r="P596" s="754"/>
    </row>
    <row r="597" spans="1:16" ht="17.25" customHeight="1" x14ac:dyDescent="0.25">
      <c r="A597" s="742"/>
      <c r="B597" s="756"/>
      <c r="C597" s="699"/>
      <c r="D597" s="739"/>
      <c r="E597" s="695"/>
      <c r="F597" s="714"/>
      <c r="G597" s="714"/>
      <c r="H597" s="714"/>
      <c r="I597" s="714"/>
      <c r="J597" s="714"/>
      <c r="K597" s="714"/>
      <c r="L597" s="714"/>
      <c r="M597" s="714"/>
      <c r="N597" s="714"/>
      <c r="O597" s="753">
        <f t="shared" si="42"/>
        <v>0</v>
      </c>
      <c r="P597" s="754"/>
    </row>
    <row r="598" spans="1:16" ht="17.25" customHeight="1" x14ac:dyDescent="0.25">
      <c r="A598" s="742">
        <v>5</v>
      </c>
      <c r="B598" s="756" t="s">
        <v>43</v>
      </c>
      <c r="C598" s="699"/>
      <c r="D598" s="739"/>
      <c r="E598" s="695"/>
      <c r="F598" s="714"/>
      <c r="G598" s="714"/>
      <c r="H598" s="714"/>
      <c r="I598" s="714"/>
      <c r="J598" s="714"/>
      <c r="K598" s="714"/>
      <c r="L598" s="714"/>
      <c r="M598" s="714"/>
      <c r="N598" s="714"/>
      <c r="O598" s="753">
        <f t="shared" si="42"/>
        <v>0</v>
      </c>
      <c r="P598" s="754"/>
    </row>
    <row r="599" spans="1:16" ht="17.25" customHeight="1" x14ac:dyDescent="0.25">
      <c r="A599" s="742"/>
      <c r="B599" s="756" t="s">
        <v>44</v>
      </c>
      <c r="C599" s="699">
        <v>6</v>
      </c>
      <c r="D599" s="739" t="s">
        <v>45</v>
      </c>
      <c r="E599" s="695">
        <v>6000</v>
      </c>
      <c r="F599" s="714"/>
      <c r="G599" s="714"/>
      <c r="H599" s="714"/>
      <c r="I599" s="714"/>
      <c r="J599" s="714">
        <f>C599*E599</f>
        <v>36000</v>
      </c>
      <c r="K599" s="714">
        <f>I599+J599</f>
        <v>36000</v>
      </c>
      <c r="L599" s="714"/>
      <c r="M599" s="714"/>
      <c r="N599" s="714"/>
      <c r="O599" s="753">
        <f t="shared" si="42"/>
        <v>36000</v>
      </c>
      <c r="P599" s="754"/>
    </row>
    <row r="600" spans="1:16" ht="17.25" customHeight="1" x14ac:dyDescent="0.25">
      <c r="A600" s="742"/>
      <c r="B600" s="756"/>
      <c r="C600" s="699"/>
      <c r="D600" s="739"/>
      <c r="E600" s="695"/>
      <c r="F600" s="714"/>
      <c r="G600" s="714"/>
      <c r="H600" s="714"/>
      <c r="I600" s="714"/>
      <c r="J600" s="714"/>
      <c r="K600" s="714"/>
      <c r="L600" s="714"/>
      <c r="M600" s="714"/>
      <c r="N600" s="714"/>
      <c r="O600" s="753">
        <f t="shared" si="42"/>
        <v>0</v>
      </c>
      <c r="P600" s="754"/>
    </row>
    <row r="601" spans="1:16" ht="17.25" customHeight="1" x14ac:dyDescent="0.25">
      <c r="A601" s="742">
        <v>6</v>
      </c>
      <c r="B601" s="756" t="s">
        <v>48</v>
      </c>
      <c r="C601" s="699"/>
      <c r="D601" s="739"/>
      <c r="E601" s="695" t="s">
        <v>49</v>
      </c>
      <c r="F601" s="714"/>
      <c r="G601" s="714"/>
      <c r="H601" s="714"/>
      <c r="I601" s="714"/>
      <c r="J601" s="714"/>
      <c r="K601" s="714">
        <f>J601+I601</f>
        <v>0</v>
      </c>
      <c r="L601" s="714"/>
      <c r="M601" s="714"/>
      <c r="N601" s="714"/>
      <c r="O601" s="753">
        <f t="shared" si="42"/>
        <v>0</v>
      </c>
      <c r="P601" s="754"/>
    </row>
    <row r="602" spans="1:16" ht="17.25" customHeight="1" x14ac:dyDescent="0.25">
      <c r="A602" s="742"/>
      <c r="B602" s="756" t="s">
        <v>50</v>
      </c>
      <c r="C602" s="699">
        <v>30</v>
      </c>
      <c r="D602" s="739" t="s">
        <v>51</v>
      </c>
      <c r="E602" s="695">
        <v>1500</v>
      </c>
      <c r="F602" s="714"/>
      <c r="G602" s="714"/>
      <c r="H602" s="714"/>
      <c r="I602" s="714"/>
      <c r="J602" s="714">
        <f>C602*E602</f>
        <v>45000</v>
      </c>
      <c r="K602" s="714">
        <f>I602+J602</f>
        <v>45000</v>
      </c>
      <c r="L602" s="714"/>
      <c r="M602" s="714"/>
      <c r="N602" s="714"/>
      <c r="O602" s="753">
        <f t="shared" si="42"/>
        <v>45000</v>
      </c>
      <c r="P602" s="754"/>
    </row>
    <row r="603" spans="1:16" ht="17.25" customHeight="1" x14ac:dyDescent="0.25">
      <c r="A603" s="742"/>
      <c r="B603" s="756" t="s">
        <v>52</v>
      </c>
      <c r="C603" s="699">
        <v>88</v>
      </c>
      <c r="D603" s="739" t="s">
        <v>53</v>
      </c>
      <c r="E603" s="695">
        <v>450</v>
      </c>
      <c r="F603" s="714"/>
      <c r="G603" s="714"/>
      <c r="H603" s="714"/>
      <c r="I603" s="714"/>
      <c r="J603" s="714">
        <f>C603*E603</f>
        <v>39600</v>
      </c>
      <c r="K603" s="714">
        <f>I603+J603</f>
        <v>39600</v>
      </c>
      <c r="L603" s="714"/>
      <c r="M603" s="714"/>
      <c r="N603" s="714"/>
      <c r="O603" s="753">
        <f t="shared" si="42"/>
        <v>39600</v>
      </c>
      <c r="P603" s="754"/>
    </row>
    <row r="604" spans="1:16" ht="17.25" customHeight="1" x14ac:dyDescent="0.25">
      <c r="A604" s="742"/>
      <c r="B604" s="756" t="s">
        <v>54</v>
      </c>
      <c r="C604" s="699">
        <v>178</v>
      </c>
      <c r="D604" s="739" t="s">
        <v>55</v>
      </c>
      <c r="E604" s="695">
        <v>450</v>
      </c>
      <c r="F604" s="714"/>
      <c r="G604" s="714"/>
      <c r="H604" s="714"/>
      <c r="I604" s="714"/>
      <c r="J604" s="714">
        <f>C604*E604</f>
        <v>80100</v>
      </c>
      <c r="K604" s="714">
        <f>I604+J604</f>
        <v>80100</v>
      </c>
      <c r="L604" s="714"/>
      <c r="M604" s="714"/>
      <c r="N604" s="714"/>
      <c r="O604" s="753">
        <f t="shared" si="42"/>
        <v>80100</v>
      </c>
      <c r="P604" s="754"/>
    </row>
    <row r="605" spans="1:16" ht="17.25" customHeight="1" x14ac:dyDescent="0.25">
      <c r="A605" s="742"/>
      <c r="B605" s="756" t="s">
        <v>56</v>
      </c>
      <c r="C605" s="699">
        <v>93</v>
      </c>
      <c r="D605" s="739" t="s">
        <v>55</v>
      </c>
      <c r="E605" s="695">
        <v>300</v>
      </c>
      <c r="F605" s="714"/>
      <c r="G605" s="714"/>
      <c r="H605" s="714"/>
      <c r="I605" s="714"/>
      <c r="J605" s="714">
        <f>C605*E605</f>
        <v>27900</v>
      </c>
      <c r="K605" s="714">
        <f>I605+J605</f>
        <v>27900</v>
      </c>
      <c r="L605" s="714"/>
      <c r="M605" s="714"/>
      <c r="N605" s="714"/>
      <c r="O605" s="753">
        <f t="shared" si="42"/>
        <v>27900</v>
      </c>
      <c r="P605" s="754"/>
    </row>
    <row r="606" spans="1:16" ht="17.25" customHeight="1" x14ac:dyDescent="0.25">
      <c r="A606" s="881"/>
      <c r="B606" s="797"/>
      <c r="C606" s="834"/>
      <c r="D606" s="865"/>
      <c r="E606" s="821"/>
      <c r="F606" s="721"/>
      <c r="G606" s="721"/>
      <c r="H606" s="721"/>
      <c r="I606" s="721"/>
      <c r="J606" s="721"/>
      <c r="K606" s="721"/>
      <c r="L606" s="721"/>
      <c r="M606" s="721"/>
      <c r="N606" s="721"/>
      <c r="O606" s="884"/>
      <c r="P606" s="754"/>
    </row>
    <row r="607" spans="1:16" ht="24.75" customHeight="1" x14ac:dyDescent="0.25">
      <c r="A607" s="1210" t="s">
        <v>109</v>
      </c>
      <c r="B607" s="1211" t="s">
        <v>110</v>
      </c>
      <c r="C607" s="1212"/>
      <c r="D607" s="1213"/>
      <c r="E607" s="1214"/>
      <c r="F607" s="1214">
        <f>F609+F620+F623+F626+F630+F635</f>
        <v>0</v>
      </c>
      <c r="G607" s="1214">
        <f>G609+G620+G623+G626+G630+G635</f>
        <v>0</v>
      </c>
      <c r="H607" s="1214">
        <f>G607+F607</f>
        <v>0</v>
      </c>
      <c r="I607" s="1214">
        <f>I609+I620+I623+I626+I630+I635</f>
        <v>0</v>
      </c>
      <c r="J607" s="1214">
        <f>J609+J620+J623+J626+J630+J635</f>
        <v>12556600</v>
      </c>
      <c r="K607" s="1214">
        <f>J607+I607</f>
        <v>12556600</v>
      </c>
      <c r="L607" s="1214">
        <f>L609+L620+L623+L626+L630+L635</f>
        <v>6110970</v>
      </c>
      <c r="M607" s="1214">
        <f>M609+M620+M623+M626+M630+M635</f>
        <v>0</v>
      </c>
      <c r="N607" s="1214">
        <f>M607+L607</f>
        <v>6110970</v>
      </c>
      <c r="O607" s="1215">
        <f t="shared" ref="O607:O617" si="43">N607+K607+H607</f>
        <v>18667570</v>
      </c>
      <c r="P607" s="680"/>
    </row>
    <row r="608" spans="1:16" ht="24.75" customHeight="1" x14ac:dyDescent="0.25">
      <c r="A608" s="858"/>
      <c r="B608" s="887"/>
      <c r="C608" s="888"/>
      <c r="D608" s="889"/>
      <c r="E608" s="890"/>
      <c r="F608" s="890"/>
      <c r="G608" s="890"/>
      <c r="H608" s="890"/>
      <c r="I608" s="890"/>
      <c r="J608" s="890"/>
      <c r="K608" s="890"/>
      <c r="L608" s="890"/>
      <c r="M608" s="890"/>
      <c r="N608" s="890"/>
      <c r="O608" s="862"/>
      <c r="P608" s="829"/>
    </row>
    <row r="609" spans="1:89" s="672" customFormat="1" ht="30" customHeight="1" x14ac:dyDescent="0.25">
      <c r="A609" s="1406" t="s">
        <v>15</v>
      </c>
      <c r="B609" s="1407" t="s">
        <v>1156</v>
      </c>
      <c r="C609" s="1408"/>
      <c r="D609" s="1409"/>
      <c r="E609" s="1410"/>
      <c r="F609" s="1410">
        <f>SUM(F610:F617)</f>
        <v>0</v>
      </c>
      <c r="G609" s="1410">
        <f>SUM(G610:G617)</f>
        <v>0</v>
      </c>
      <c r="H609" s="1410">
        <f>F609+G609</f>
        <v>0</v>
      </c>
      <c r="I609" s="1410">
        <f>SUM(I610:I617)</f>
        <v>0</v>
      </c>
      <c r="J609" s="1410">
        <f>SUM(J610:J617)</f>
        <v>0</v>
      </c>
      <c r="K609" s="1410">
        <f>I609+J609</f>
        <v>0</v>
      </c>
      <c r="L609" s="1410">
        <f>SUM(L610:L617)</f>
        <v>6110970</v>
      </c>
      <c r="M609" s="1410">
        <f>SUM(M610:M617)</f>
        <v>0</v>
      </c>
      <c r="N609" s="1410">
        <f t="shared" ref="N609:N617" si="44">L609+M609</f>
        <v>6110970</v>
      </c>
      <c r="O609" s="1411">
        <f>N609+K609+H609</f>
        <v>6110970</v>
      </c>
      <c r="P609" s="829"/>
      <c r="Q609" s="1581"/>
      <c r="R609" s="1581"/>
      <c r="S609" s="1581"/>
      <c r="T609" s="1581"/>
      <c r="U609" s="1581"/>
      <c r="V609" s="1581"/>
      <c r="W609" s="1581"/>
      <c r="X609" s="1581"/>
      <c r="Y609" s="1581"/>
      <c r="Z609" s="1581"/>
      <c r="AA609" s="1581"/>
      <c r="AB609" s="1581"/>
      <c r="AC609" s="1581"/>
      <c r="AD609" s="1581"/>
      <c r="AE609" s="1581"/>
      <c r="AF609" s="1581"/>
      <c r="AG609" s="1581"/>
      <c r="AH609" s="1581"/>
      <c r="AI609" s="1581"/>
      <c r="AJ609" s="1581"/>
      <c r="AK609" s="1581"/>
      <c r="AL609" s="1581"/>
      <c r="AM609" s="1581"/>
      <c r="AN609" s="1581"/>
      <c r="AO609" s="1581"/>
      <c r="AP609" s="1581"/>
      <c r="AQ609" s="1581"/>
      <c r="AR609" s="1581"/>
      <c r="AS609" s="1581"/>
      <c r="AT609" s="1581"/>
      <c r="AU609" s="1581"/>
      <c r="AV609" s="1581"/>
      <c r="AW609" s="1581"/>
      <c r="AX609" s="1581"/>
      <c r="AY609" s="1581"/>
      <c r="AZ609" s="1581"/>
      <c r="BA609" s="1581"/>
      <c r="BB609" s="1581"/>
      <c r="BC609" s="1581"/>
      <c r="BD609" s="1581"/>
      <c r="BE609" s="1581"/>
      <c r="BF609" s="1581"/>
      <c r="BG609" s="1581"/>
      <c r="BH609" s="1581"/>
      <c r="BI609" s="1581"/>
      <c r="BJ609" s="1581"/>
      <c r="BK609" s="1581"/>
      <c r="BL609" s="1581"/>
      <c r="BM609" s="1581"/>
      <c r="BN609" s="1581"/>
      <c r="BO609" s="1581"/>
      <c r="BP609" s="1581"/>
      <c r="BQ609" s="1581"/>
      <c r="BR609" s="1581"/>
      <c r="BS609" s="1581"/>
      <c r="BT609" s="1581"/>
      <c r="BU609" s="1581"/>
      <c r="BV609" s="1581"/>
      <c r="BW609" s="1581"/>
      <c r="BX609" s="1581"/>
      <c r="BY609" s="1581"/>
      <c r="BZ609" s="1581"/>
      <c r="CA609" s="1581"/>
      <c r="CB609" s="1581"/>
      <c r="CC609" s="1581"/>
      <c r="CD609" s="1581"/>
      <c r="CE609" s="1581"/>
      <c r="CF609" s="1581"/>
      <c r="CG609" s="1581"/>
      <c r="CH609" s="1581"/>
      <c r="CI609" s="1581"/>
      <c r="CJ609" s="1581"/>
      <c r="CK609" s="1581"/>
    </row>
    <row r="610" spans="1:89" s="672" customFormat="1" ht="15" x14ac:dyDescent="0.25">
      <c r="A610" s="740">
        <v>1</v>
      </c>
      <c r="B610" s="1372" t="s">
        <v>666</v>
      </c>
      <c r="C610" s="828">
        <v>1</v>
      </c>
      <c r="D610" s="1369" t="s">
        <v>16</v>
      </c>
      <c r="E610" s="705">
        <v>812235</v>
      </c>
      <c r="F610" s="705"/>
      <c r="G610" s="705"/>
      <c r="H610" s="705"/>
      <c r="I610" s="705"/>
      <c r="J610" s="705"/>
      <c r="K610" s="705"/>
      <c r="L610" s="705">
        <f t="shared" ref="L610:L617" si="45">E610*C610</f>
        <v>812235</v>
      </c>
      <c r="M610" s="705"/>
      <c r="N610" s="705">
        <f t="shared" si="44"/>
        <v>812235</v>
      </c>
      <c r="O610" s="1370">
        <f t="shared" si="43"/>
        <v>812235</v>
      </c>
      <c r="P610" s="829"/>
      <c r="Q610" s="1581"/>
      <c r="R610" s="1581"/>
      <c r="S610" s="1581"/>
      <c r="T610" s="1581"/>
      <c r="U610" s="1581"/>
      <c r="V610" s="1581"/>
      <c r="W610" s="1581"/>
      <c r="X610" s="1581"/>
      <c r="Y610" s="1581"/>
      <c r="Z610" s="1581"/>
      <c r="AA610" s="1581"/>
      <c r="AB610" s="1581"/>
      <c r="AC610" s="1581"/>
      <c r="AD610" s="1581"/>
      <c r="AE610" s="1581"/>
      <c r="AF610" s="1581"/>
      <c r="AG610" s="1581"/>
      <c r="AH610" s="1581"/>
      <c r="AI610" s="1581"/>
      <c r="AJ610" s="1581"/>
      <c r="AK610" s="1581"/>
      <c r="AL610" s="1581"/>
      <c r="AM610" s="1581"/>
      <c r="AN610" s="1581"/>
      <c r="AO610" s="1581"/>
      <c r="AP610" s="1581"/>
      <c r="AQ610" s="1581"/>
      <c r="AR610" s="1581"/>
      <c r="AS610" s="1581"/>
      <c r="AT610" s="1581"/>
      <c r="AU610" s="1581"/>
      <c r="AV610" s="1581"/>
      <c r="AW610" s="1581"/>
      <c r="AX610" s="1581"/>
      <c r="AY610" s="1581"/>
      <c r="AZ610" s="1581"/>
      <c r="BA610" s="1581"/>
      <c r="BB610" s="1581"/>
      <c r="BC610" s="1581"/>
      <c r="BD610" s="1581"/>
      <c r="BE610" s="1581"/>
      <c r="BF610" s="1581"/>
      <c r="BG610" s="1581"/>
      <c r="BH610" s="1581"/>
      <c r="BI610" s="1581"/>
      <c r="BJ610" s="1581"/>
      <c r="BK610" s="1581"/>
      <c r="BL610" s="1581"/>
      <c r="BM610" s="1581"/>
      <c r="BN610" s="1581"/>
      <c r="BO610" s="1581"/>
      <c r="BP610" s="1581"/>
      <c r="BQ610" s="1581"/>
      <c r="BR610" s="1581"/>
      <c r="BS610" s="1581"/>
      <c r="BT610" s="1581"/>
      <c r="BU610" s="1581"/>
      <c r="BV610" s="1581"/>
      <c r="BW610" s="1581"/>
      <c r="BX610" s="1581"/>
      <c r="BY610" s="1581"/>
      <c r="BZ610" s="1581"/>
      <c r="CA610" s="1581"/>
      <c r="CB610" s="1581"/>
      <c r="CC610" s="1581"/>
      <c r="CD610" s="1581"/>
      <c r="CE610" s="1581"/>
      <c r="CF610" s="1581"/>
      <c r="CG610" s="1581"/>
      <c r="CH610" s="1581"/>
      <c r="CI610" s="1581"/>
      <c r="CJ610" s="1581"/>
      <c r="CK610" s="1581"/>
    </row>
    <row r="611" spans="1:89" ht="15" x14ac:dyDescent="0.2">
      <c r="A611" s="692">
        <v>2</v>
      </c>
      <c r="B611" s="1412" t="s">
        <v>667</v>
      </c>
      <c r="C611" s="1284">
        <v>1</v>
      </c>
      <c r="D611" s="1413" t="s">
        <v>16</v>
      </c>
      <c r="E611" s="1414">
        <v>841416</v>
      </c>
      <c r="F611" s="695"/>
      <c r="G611" s="695"/>
      <c r="H611" s="695"/>
      <c r="I611" s="695"/>
      <c r="J611" s="695"/>
      <c r="K611" s="695"/>
      <c r="L611" s="695">
        <f t="shared" si="45"/>
        <v>841416</v>
      </c>
      <c r="M611" s="695"/>
      <c r="N611" s="695">
        <f t="shared" si="44"/>
        <v>841416</v>
      </c>
      <c r="O611" s="696">
        <f t="shared" si="43"/>
        <v>841416</v>
      </c>
      <c r="P611" s="687"/>
    </row>
    <row r="612" spans="1:89" ht="15" x14ac:dyDescent="0.2">
      <c r="A612" s="692">
        <v>3</v>
      </c>
      <c r="B612" s="1412" t="s">
        <v>668</v>
      </c>
      <c r="C612" s="1284">
        <v>1</v>
      </c>
      <c r="D612" s="1413" t="s">
        <v>16</v>
      </c>
      <c r="E612" s="1414">
        <v>336976</v>
      </c>
      <c r="F612" s="695"/>
      <c r="G612" s="695"/>
      <c r="H612" s="695"/>
      <c r="I612" s="695"/>
      <c r="J612" s="695"/>
      <c r="K612" s="695"/>
      <c r="L612" s="695">
        <f t="shared" si="45"/>
        <v>336976</v>
      </c>
      <c r="M612" s="695"/>
      <c r="N612" s="695">
        <f t="shared" si="44"/>
        <v>336976</v>
      </c>
      <c r="O612" s="696">
        <f t="shared" si="43"/>
        <v>336976</v>
      </c>
      <c r="P612" s="687"/>
    </row>
    <row r="613" spans="1:89" s="672" customFormat="1" ht="15" x14ac:dyDescent="0.2">
      <c r="A613" s="692">
        <v>4</v>
      </c>
      <c r="B613" s="1412" t="s">
        <v>669</v>
      </c>
      <c r="C613" s="1284">
        <v>1</v>
      </c>
      <c r="D613" s="1413" t="s">
        <v>16</v>
      </c>
      <c r="E613" s="1414">
        <f>1186046+101</f>
        <v>1186147</v>
      </c>
      <c r="F613" s="695"/>
      <c r="G613" s="695"/>
      <c r="H613" s="695"/>
      <c r="I613" s="695"/>
      <c r="J613" s="695"/>
      <c r="K613" s="695"/>
      <c r="L613" s="695">
        <f t="shared" si="45"/>
        <v>1186147</v>
      </c>
      <c r="M613" s="695"/>
      <c r="N613" s="695">
        <f t="shared" si="44"/>
        <v>1186147</v>
      </c>
      <c r="O613" s="696">
        <f t="shared" si="43"/>
        <v>1186147</v>
      </c>
      <c r="P613" s="687"/>
      <c r="Q613" s="1581"/>
      <c r="R613" s="1581"/>
      <c r="S613" s="1581"/>
      <c r="T613" s="1581"/>
      <c r="U613" s="1581"/>
      <c r="V613" s="1581"/>
      <c r="W613" s="1581"/>
      <c r="X613" s="1581"/>
      <c r="Y613" s="1581"/>
      <c r="Z613" s="1581"/>
      <c r="AA613" s="1581"/>
      <c r="AB613" s="1581"/>
      <c r="AC613" s="1581"/>
      <c r="AD613" s="1581"/>
      <c r="AE613" s="1581"/>
      <c r="AF613" s="1581"/>
      <c r="AG613" s="1581"/>
      <c r="AH613" s="1581"/>
      <c r="AI613" s="1581"/>
      <c r="AJ613" s="1581"/>
      <c r="AK613" s="1581"/>
      <c r="AL613" s="1581"/>
      <c r="AM613" s="1581"/>
      <c r="AN613" s="1581"/>
      <c r="AO613" s="1581"/>
      <c r="AP613" s="1581"/>
      <c r="AQ613" s="1581"/>
      <c r="AR613" s="1581"/>
      <c r="AS613" s="1581"/>
      <c r="AT613" s="1581"/>
      <c r="AU613" s="1581"/>
      <c r="AV613" s="1581"/>
      <c r="AW613" s="1581"/>
      <c r="AX613" s="1581"/>
      <c r="AY613" s="1581"/>
      <c r="AZ613" s="1581"/>
      <c r="BA613" s="1581"/>
      <c r="BB613" s="1581"/>
      <c r="BC613" s="1581"/>
      <c r="BD613" s="1581"/>
      <c r="BE613" s="1581"/>
      <c r="BF613" s="1581"/>
      <c r="BG613" s="1581"/>
      <c r="BH613" s="1581"/>
      <c r="BI613" s="1581"/>
      <c r="BJ613" s="1581"/>
      <c r="BK613" s="1581"/>
      <c r="BL613" s="1581"/>
      <c r="BM613" s="1581"/>
      <c r="BN613" s="1581"/>
      <c r="BO613" s="1581"/>
      <c r="BP613" s="1581"/>
      <c r="BQ613" s="1581"/>
      <c r="BR613" s="1581"/>
      <c r="BS613" s="1581"/>
      <c r="BT613" s="1581"/>
      <c r="BU613" s="1581"/>
      <c r="BV613" s="1581"/>
      <c r="BW613" s="1581"/>
      <c r="BX613" s="1581"/>
      <c r="BY613" s="1581"/>
      <c r="BZ613" s="1581"/>
      <c r="CA613" s="1581"/>
      <c r="CB613" s="1581"/>
      <c r="CC613" s="1581"/>
      <c r="CD613" s="1581"/>
      <c r="CE613" s="1581"/>
      <c r="CF613" s="1581"/>
      <c r="CG613" s="1581"/>
      <c r="CH613" s="1581"/>
      <c r="CI613" s="1581"/>
      <c r="CJ613" s="1581"/>
      <c r="CK613" s="1581"/>
    </row>
    <row r="614" spans="1:89" s="672" customFormat="1" ht="15" x14ac:dyDescent="0.2">
      <c r="A614" s="692">
        <v>5</v>
      </c>
      <c r="B614" s="1412" t="s">
        <v>670</v>
      </c>
      <c r="C614" s="1284">
        <v>1</v>
      </c>
      <c r="D614" s="1413" t="s">
        <v>16</v>
      </c>
      <c r="E614" s="1414">
        <v>698350</v>
      </c>
      <c r="F614" s="695"/>
      <c r="G614" s="695"/>
      <c r="H614" s="695"/>
      <c r="I614" s="695"/>
      <c r="J614" s="695"/>
      <c r="K614" s="695"/>
      <c r="L614" s="695">
        <f t="shared" si="45"/>
        <v>698350</v>
      </c>
      <c r="M614" s="695"/>
      <c r="N614" s="695">
        <f t="shared" si="44"/>
        <v>698350</v>
      </c>
      <c r="O614" s="696">
        <f t="shared" si="43"/>
        <v>698350</v>
      </c>
      <c r="P614" s="687"/>
      <c r="Q614" s="1581"/>
      <c r="R614" s="1581"/>
      <c r="S614" s="1581"/>
      <c r="T614" s="1581"/>
      <c r="U614" s="1581"/>
      <c r="V614" s="1581"/>
      <c r="W614" s="1581"/>
      <c r="X614" s="1581"/>
      <c r="Y614" s="1581"/>
      <c r="Z614" s="1581"/>
      <c r="AA614" s="1581"/>
      <c r="AB614" s="1581"/>
      <c r="AC614" s="1581"/>
      <c r="AD614" s="1581"/>
      <c r="AE614" s="1581"/>
      <c r="AF614" s="1581"/>
      <c r="AG614" s="1581"/>
      <c r="AH614" s="1581"/>
      <c r="AI614" s="1581"/>
      <c r="AJ614" s="1581"/>
      <c r="AK614" s="1581"/>
      <c r="AL614" s="1581"/>
      <c r="AM614" s="1581"/>
      <c r="AN614" s="1581"/>
      <c r="AO614" s="1581"/>
      <c r="AP614" s="1581"/>
      <c r="AQ614" s="1581"/>
      <c r="AR614" s="1581"/>
      <c r="AS614" s="1581"/>
      <c r="AT614" s="1581"/>
      <c r="AU614" s="1581"/>
      <c r="AV614" s="1581"/>
      <c r="AW614" s="1581"/>
      <c r="AX614" s="1581"/>
      <c r="AY614" s="1581"/>
      <c r="AZ614" s="1581"/>
      <c r="BA614" s="1581"/>
      <c r="BB614" s="1581"/>
      <c r="BC614" s="1581"/>
      <c r="BD614" s="1581"/>
      <c r="BE614" s="1581"/>
      <c r="BF614" s="1581"/>
      <c r="BG614" s="1581"/>
      <c r="BH614" s="1581"/>
      <c r="BI614" s="1581"/>
      <c r="BJ614" s="1581"/>
      <c r="BK614" s="1581"/>
      <c r="BL614" s="1581"/>
      <c r="BM614" s="1581"/>
      <c r="BN614" s="1581"/>
      <c r="BO614" s="1581"/>
      <c r="BP614" s="1581"/>
      <c r="BQ614" s="1581"/>
      <c r="BR614" s="1581"/>
      <c r="BS614" s="1581"/>
      <c r="BT614" s="1581"/>
      <c r="BU614" s="1581"/>
      <c r="BV614" s="1581"/>
      <c r="BW614" s="1581"/>
      <c r="BX614" s="1581"/>
      <c r="BY614" s="1581"/>
      <c r="BZ614" s="1581"/>
      <c r="CA614" s="1581"/>
      <c r="CB614" s="1581"/>
      <c r="CC614" s="1581"/>
      <c r="CD614" s="1581"/>
      <c r="CE614" s="1581"/>
      <c r="CF614" s="1581"/>
      <c r="CG614" s="1581"/>
      <c r="CH614" s="1581"/>
      <c r="CI614" s="1581"/>
      <c r="CJ614" s="1581"/>
      <c r="CK614" s="1581"/>
    </row>
    <row r="615" spans="1:89" s="672" customFormat="1" ht="15" x14ac:dyDescent="0.2">
      <c r="A615" s="692">
        <v>6</v>
      </c>
      <c r="B615" s="1412" t="s">
        <v>671</v>
      </c>
      <c r="C615" s="1284">
        <v>1</v>
      </c>
      <c r="D615" s="1413" t="s">
        <v>16</v>
      </c>
      <c r="E615" s="1414">
        <v>787611</v>
      </c>
      <c r="F615" s="695"/>
      <c r="G615" s="695"/>
      <c r="H615" s="695"/>
      <c r="I615" s="695"/>
      <c r="J615" s="695"/>
      <c r="K615" s="695"/>
      <c r="L615" s="695">
        <f t="shared" si="45"/>
        <v>787611</v>
      </c>
      <c r="M615" s="695"/>
      <c r="N615" s="695">
        <f t="shared" si="44"/>
        <v>787611</v>
      </c>
      <c r="O615" s="696">
        <f t="shared" si="43"/>
        <v>787611</v>
      </c>
      <c r="P615" s="687"/>
      <c r="Q615" s="1581"/>
      <c r="R615" s="1581"/>
      <c r="S615" s="1581"/>
      <c r="T615" s="1581"/>
      <c r="U615" s="1581"/>
      <c r="V615" s="1581"/>
      <c r="W615" s="1581"/>
      <c r="X615" s="1581"/>
      <c r="Y615" s="1581"/>
      <c r="Z615" s="1581"/>
      <c r="AA615" s="1581"/>
      <c r="AB615" s="1581"/>
      <c r="AC615" s="1581"/>
      <c r="AD615" s="1581"/>
      <c r="AE615" s="1581"/>
      <c r="AF615" s="1581"/>
      <c r="AG615" s="1581"/>
      <c r="AH615" s="1581"/>
      <c r="AI615" s="1581"/>
      <c r="AJ615" s="1581"/>
      <c r="AK615" s="1581"/>
      <c r="AL615" s="1581"/>
      <c r="AM615" s="1581"/>
      <c r="AN615" s="1581"/>
      <c r="AO615" s="1581"/>
      <c r="AP615" s="1581"/>
      <c r="AQ615" s="1581"/>
      <c r="AR615" s="1581"/>
      <c r="AS615" s="1581"/>
      <c r="AT615" s="1581"/>
      <c r="AU615" s="1581"/>
      <c r="AV615" s="1581"/>
      <c r="AW615" s="1581"/>
      <c r="AX615" s="1581"/>
      <c r="AY615" s="1581"/>
      <c r="AZ615" s="1581"/>
      <c r="BA615" s="1581"/>
      <c r="BB615" s="1581"/>
      <c r="BC615" s="1581"/>
      <c r="BD615" s="1581"/>
      <c r="BE615" s="1581"/>
      <c r="BF615" s="1581"/>
      <c r="BG615" s="1581"/>
      <c r="BH615" s="1581"/>
      <c r="BI615" s="1581"/>
      <c r="BJ615" s="1581"/>
      <c r="BK615" s="1581"/>
      <c r="BL615" s="1581"/>
      <c r="BM615" s="1581"/>
      <c r="BN615" s="1581"/>
      <c r="BO615" s="1581"/>
      <c r="BP615" s="1581"/>
      <c r="BQ615" s="1581"/>
      <c r="BR615" s="1581"/>
      <c r="BS615" s="1581"/>
      <c r="BT615" s="1581"/>
      <c r="BU615" s="1581"/>
      <c r="BV615" s="1581"/>
      <c r="BW615" s="1581"/>
      <c r="BX615" s="1581"/>
      <c r="BY615" s="1581"/>
      <c r="BZ615" s="1581"/>
      <c r="CA615" s="1581"/>
      <c r="CB615" s="1581"/>
      <c r="CC615" s="1581"/>
      <c r="CD615" s="1581"/>
      <c r="CE615" s="1581"/>
      <c r="CF615" s="1581"/>
      <c r="CG615" s="1581"/>
      <c r="CH615" s="1581"/>
      <c r="CI615" s="1581"/>
      <c r="CJ615" s="1581"/>
      <c r="CK615" s="1581"/>
    </row>
    <row r="616" spans="1:89" s="672" customFormat="1" ht="15" x14ac:dyDescent="0.2">
      <c r="A616" s="692">
        <v>7</v>
      </c>
      <c r="B616" s="1412" t="s">
        <v>672</v>
      </c>
      <c r="C616" s="1284">
        <v>1</v>
      </c>
      <c r="D616" s="1413" t="s">
        <v>16</v>
      </c>
      <c r="E616" s="1414">
        <v>750703</v>
      </c>
      <c r="F616" s="695"/>
      <c r="G616" s="695"/>
      <c r="H616" s="695"/>
      <c r="I616" s="695"/>
      <c r="J616" s="695"/>
      <c r="K616" s="695"/>
      <c r="L616" s="695">
        <f t="shared" si="45"/>
        <v>750703</v>
      </c>
      <c r="M616" s="695"/>
      <c r="N616" s="695">
        <f t="shared" si="44"/>
        <v>750703</v>
      </c>
      <c r="O616" s="696">
        <f t="shared" si="43"/>
        <v>750703</v>
      </c>
      <c r="P616" s="687"/>
      <c r="Q616" s="1581"/>
      <c r="R616" s="1581"/>
      <c r="S616" s="1581"/>
      <c r="T616" s="1581"/>
      <c r="U616" s="1581"/>
      <c r="V616" s="1581"/>
      <c r="W616" s="1581"/>
      <c r="X616" s="1581"/>
      <c r="Y616" s="1581"/>
      <c r="Z616" s="1581"/>
      <c r="AA616" s="1581"/>
      <c r="AB616" s="1581"/>
      <c r="AC616" s="1581"/>
      <c r="AD616" s="1581"/>
      <c r="AE616" s="1581"/>
      <c r="AF616" s="1581"/>
      <c r="AG616" s="1581"/>
      <c r="AH616" s="1581"/>
      <c r="AI616" s="1581"/>
      <c r="AJ616" s="1581"/>
      <c r="AK616" s="1581"/>
      <c r="AL616" s="1581"/>
      <c r="AM616" s="1581"/>
      <c r="AN616" s="1581"/>
      <c r="AO616" s="1581"/>
      <c r="AP616" s="1581"/>
      <c r="AQ616" s="1581"/>
      <c r="AR616" s="1581"/>
      <c r="AS616" s="1581"/>
      <c r="AT616" s="1581"/>
      <c r="AU616" s="1581"/>
      <c r="AV616" s="1581"/>
      <c r="AW616" s="1581"/>
      <c r="AX616" s="1581"/>
      <c r="AY616" s="1581"/>
      <c r="AZ616" s="1581"/>
      <c r="BA616" s="1581"/>
      <c r="BB616" s="1581"/>
      <c r="BC616" s="1581"/>
      <c r="BD616" s="1581"/>
      <c r="BE616" s="1581"/>
      <c r="BF616" s="1581"/>
      <c r="BG616" s="1581"/>
      <c r="BH616" s="1581"/>
      <c r="BI616" s="1581"/>
      <c r="BJ616" s="1581"/>
      <c r="BK616" s="1581"/>
      <c r="BL616" s="1581"/>
      <c r="BM616" s="1581"/>
      <c r="BN616" s="1581"/>
      <c r="BO616" s="1581"/>
      <c r="BP616" s="1581"/>
      <c r="BQ616" s="1581"/>
      <c r="BR616" s="1581"/>
      <c r="BS616" s="1581"/>
      <c r="BT616" s="1581"/>
      <c r="BU616" s="1581"/>
      <c r="BV616" s="1581"/>
      <c r="BW616" s="1581"/>
      <c r="BX616" s="1581"/>
      <c r="BY616" s="1581"/>
      <c r="BZ616" s="1581"/>
      <c r="CA616" s="1581"/>
      <c r="CB616" s="1581"/>
      <c r="CC616" s="1581"/>
      <c r="CD616" s="1581"/>
      <c r="CE616" s="1581"/>
      <c r="CF616" s="1581"/>
      <c r="CG616" s="1581"/>
      <c r="CH616" s="1581"/>
      <c r="CI616" s="1581"/>
      <c r="CJ616" s="1581"/>
      <c r="CK616" s="1581"/>
    </row>
    <row r="617" spans="1:89" s="672" customFormat="1" ht="15" x14ac:dyDescent="0.2">
      <c r="A617" s="692">
        <v>8</v>
      </c>
      <c r="B617" s="1412" t="s">
        <v>673</v>
      </c>
      <c r="C617" s="1284">
        <v>1</v>
      </c>
      <c r="D617" s="1413" t="s">
        <v>16</v>
      </c>
      <c r="E617" s="1414">
        <v>697532</v>
      </c>
      <c r="F617" s="695"/>
      <c r="G617" s="695"/>
      <c r="H617" s="695"/>
      <c r="I617" s="695"/>
      <c r="J617" s="695"/>
      <c r="K617" s="695"/>
      <c r="L617" s="695">
        <f t="shared" si="45"/>
        <v>697532</v>
      </c>
      <c r="M617" s="695"/>
      <c r="N617" s="695">
        <f t="shared" si="44"/>
        <v>697532</v>
      </c>
      <c r="O617" s="696">
        <f t="shared" si="43"/>
        <v>697532</v>
      </c>
      <c r="P617" s="687"/>
      <c r="Q617" s="1581"/>
      <c r="R617" s="1581"/>
      <c r="S617" s="1581"/>
      <c r="T617" s="1581"/>
      <c r="U617" s="1581"/>
      <c r="V617" s="1581"/>
      <c r="W617" s="1581"/>
      <c r="X617" s="1581"/>
      <c r="Y617" s="1581"/>
      <c r="Z617" s="1581"/>
      <c r="AA617" s="1581"/>
      <c r="AB617" s="1581"/>
      <c r="AC617" s="1581"/>
      <c r="AD617" s="1581"/>
      <c r="AE617" s="1581"/>
      <c r="AF617" s="1581"/>
      <c r="AG617" s="1581"/>
      <c r="AH617" s="1581"/>
      <c r="AI617" s="1581"/>
      <c r="AJ617" s="1581"/>
      <c r="AK617" s="1581"/>
      <c r="AL617" s="1581"/>
      <c r="AM617" s="1581"/>
      <c r="AN617" s="1581"/>
      <c r="AO617" s="1581"/>
      <c r="AP617" s="1581"/>
      <c r="AQ617" s="1581"/>
      <c r="AR617" s="1581"/>
      <c r="AS617" s="1581"/>
      <c r="AT617" s="1581"/>
      <c r="AU617" s="1581"/>
      <c r="AV617" s="1581"/>
      <c r="AW617" s="1581"/>
      <c r="AX617" s="1581"/>
      <c r="AY617" s="1581"/>
      <c r="AZ617" s="1581"/>
      <c r="BA617" s="1581"/>
      <c r="BB617" s="1581"/>
      <c r="BC617" s="1581"/>
      <c r="BD617" s="1581"/>
      <c r="BE617" s="1581"/>
      <c r="BF617" s="1581"/>
      <c r="BG617" s="1581"/>
      <c r="BH617" s="1581"/>
      <c r="BI617" s="1581"/>
      <c r="BJ617" s="1581"/>
      <c r="BK617" s="1581"/>
      <c r="BL617" s="1581"/>
      <c r="BM617" s="1581"/>
      <c r="BN617" s="1581"/>
      <c r="BO617" s="1581"/>
      <c r="BP617" s="1581"/>
      <c r="BQ617" s="1581"/>
      <c r="BR617" s="1581"/>
      <c r="BS617" s="1581"/>
      <c r="BT617" s="1581"/>
      <c r="BU617" s="1581"/>
      <c r="BV617" s="1581"/>
      <c r="BW617" s="1581"/>
      <c r="BX617" s="1581"/>
      <c r="BY617" s="1581"/>
      <c r="BZ617" s="1581"/>
      <c r="CA617" s="1581"/>
      <c r="CB617" s="1581"/>
      <c r="CC617" s="1581"/>
      <c r="CD617" s="1581"/>
      <c r="CE617" s="1581"/>
      <c r="CF617" s="1581"/>
      <c r="CG617" s="1581"/>
      <c r="CH617" s="1581"/>
      <c r="CI617" s="1581"/>
      <c r="CJ617" s="1581"/>
      <c r="CK617" s="1581"/>
    </row>
    <row r="618" spans="1:89" s="672" customFormat="1" ht="15" x14ac:dyDescent="0.2">
      <c r="A618" s="692"/>
      <c r="B618" s="1412"/>
      <c r="C618" s="1284"/>
      <c r="D618" s="1413"/>
      <c r="E618" s="1414"/>
      <c r="F618" s="695"/>
      <c r="G618" s="695"/>
      <c r="H618" s="695"/>
      <c r="I618" s="695"/>
      <c r="J618" s="695"/>
      <c r="K618" s="695"/>
      <c r="L618" s="695"/>
      <c r="M618" s="695"/>
      <c r="N618" s="695"/>
      <c r="O618" s="696"/>
      <c r="P618" s="687"/>
      <c r="Q618" s="1581"/>
      <c r="R618" s="1581"/>
      <c r="S618" s="1581"/>
      <c r="T618" s="1581"/>
      <c r="U618" s="1581"/>
      <c r="V618" s="1581"/>
      <c r="W618" s="1581"/>
      <c r="X618" s="1581"/>
      <c r="Y618" s="1581"/>
      <c r="Z618" s="1581"/>
      <c r="AA618" s="1581"/>
      <c r="AB618" s="1581"/>
      <c r="AC618" s="1581"/>
      <c r="AD618" s="1581"/>
      <c r="AE618" s="1581"/>
      <c r="AF618" s="1581"/>
      <c r="AG618" s="1581"/>
      <c r="AH618" s="1581"/>
      <c r="AI618" s="1581"/>
      <c r="AJ618" s="1581"/>
      <c r="AK618" s="1581"/>
      <c r="AL618" s="1581"/>
      <c r="AM618" s="1581"/>
      <c r="AN618" s="1581"/>
      <c r="AO618" s="1581"/>
      <c r="AP618" s="1581"/>
      <c r="AQ618" s="1581"/>
      <c r="AR618" s="1581"/>
      <c r="AS618" s="1581"/>
      <c r="AT618" s="1581"/>
      <c r="AU618" s="1581"/>
      <c r="AV618" s="1581"/>
      <c r="AW618" s="1581"/>
      <c r="AX618" s="1581"/>
      <c r="AY618" s="1581"/>
      <c r="AZ618" s="1581"/>
      <c r="BA618" s="1581"/>
      <c r="BB618" s="1581"/>
      <c r="BC618" s="1581"/>
      <c r="BD618" s="1581"/>
      <c r="BE618" s="1581"/>
      <c r="BF618" s="1581"/>
      <c r="BG618" s="1581"/>
      <c r="BH618" s="1581"/>
      <c r="BI618" s="1581"/>
      <c r="BJ618" s="1581"/>
      <c r="BK618" s="1581"/>
      <c r="BL618" s="1581"/>
      <c r="BM618" s="1581"/>
      <c r="BN618" s="1581"/>
      <c r="BO618" s="1581"/>
      <c r="BP618" s="1581"/>
      <c r="BQ618" s="1581"/>
      <c r="BR618" s="1581"/>
      <c r="BS618" s="1581"/>
      <c r="BT618" s="1581"/>
      <c r="BU618" s="1581"/>
      <c r="BV618" s="1581"/>
      <c r="BW618" s="1581"/>
      <c r="BX618" s="1581"/>
      <c r="BY618" s="1581"/>
      <c r="BZ618" s="1581"/>
      <c r="CA618" s="1581"/>
      <c r="CB618" s="1581"/>
      <c r="CC618" s="1581"/>
      <c r="CD618" s="1581"/>
      <c r="CE618" s="1581"/>
      <c r="CF618" s="1581"/>
      <c r="CG618" s="1581"/>
      <c r="CH618" s="1581"/>
      <c r="CI618" s="1581"/>
      <c r="CJ618" s="1581"/>
      <c r="CK618" s="1581"/>
    </row>
    <row r="619" spans="1:89" s="672" customFormat="1" ht="17.25" customHeight="1" x14ac:dyDescent="0.25">
      <c r="A619" s="740"/>
      <c r="B619" s="1368"/>
      <c r="C619" s="828"/>
      <c r="D619" s="738"/>
      <c r="E619" s="705"/>
      <c r="F619" s="705"/>
      <c r="G619" s="705"/>
      <c r="H619" s="705"/>
      <c r="I619" s="705"/>
      <c r="J619" s="705"/>
      <c r="K619" s="705"/>
      <c r="L619" s="705"/>
      <c r="M619" s="705"/>
      <c r="N619" s="705"/>
      <c r="O619" s="1370"/>
      <c r="P619" s="829"/>
      <c r="Q619" s="1581"/>
      <c r="R619" s="1581"/>
      <c r="S619" s="1581"/>
      <c r="T619" s="1581"/>
      <c r="U619" s="1581"/>
      <c r="V619" s="1581"/>
      <c r="W619" s="1581"/>
      <c r="X619" s="1581"/>
      <c r="Y619" s="1581"/>
      <c r="Z619" s="1581"/>
      <c r="AA619" s="1581"/>
      <c r="AB619" s="1581"/>
      <c r="AC619" s="1581"/>
      <c r="AD619" s="1581"/>
      <c r="AE619" s="1581"/>
      <c r="AF619" s="1581"/>
      <c r="AG619" s="1581"/>
      <c r="AH619" s="1581"/>
      <c r="AI619" s="1581"/>
      <c r="AJ619" s="1581"/>
      <c r="AK619" s="1581"/>
      <c r="AL619" s="1581"/>
      <c r="AM619" s="1581"/>
      <c r="AN619" s="1581"/>
      <c r="AO619" s="1581"/>
      <c r="AP619" s="1581"/>
      <c r="AQ619" s="1581"/>
      <c r="AR619" s="1581"/>
      <c r="AS619" s="1581"/>
      <c r="AT619" s="1581"/>
      <c r="AU619" s="1581"/>
      <c r="AV619" s="1581"/>
      <c r="AW619" s="1581"/>
      <c r="AX619" s="1581"/>
      <c r="AY619" s="1581"/>
      <c r="AZ619" s="1581"/>
      <c r="BA619" s="1581"/>
      <c r="BB619" s="1581"/>
      <c r="BC619" s="1581"/>
      <c r="BD619" s="1581"/>
      <c r="BE619" s="1581"/>
      <c r="BF619" s="1581"/>
      <c r="BG619" s="1581"/>
      <c r="BH619" s="1581"/>
      <c r="BI619" s="1581"/>
      <c r="BJ619" s="1581"/>
      <c r="BK619" s="1581"/>
      <c r="BL619" s="1581"/>
      <c r="BM619" s="1581"/>
      <c r="BN619" s="1581"/>
      <c r="BO619" s="1581"/>
      <c r="BP619" s="1581"/>
      <c r="BQ619" s="1581"/>
      <c r="BR619" s="1581"/>
      <c r="BS619" s="1581"/>
      <c r="BT619" s="1581"/>
      <c r="BU619" s="1581"/>
      <c r="BV619" s="1581"/>
      <c r="BW619" s="1581"/>
      <c r="BX619" s="1581"/>
      <c r="BY619" s="1581"/>
      <c r="BZ619" s="1581"/>
      <c r="CA619" s="1581"/>
      <c r="CB619" s="1581"/>
      <c r="CC619" s="1581"/>
      <c r="CD619" s="1581"/>
      <c r="CE619" s="1581"/>
      <c r="CF619" s="1581"/>
      <c r="CG619" s="1581"/>
      <c r="CH619" s="1581"/>
      <c r="CI619" s="1581"/>
      <c r="CJ619" s="1581"/>
      <c r="CK619" s="1581"/>
    </row>
    <row r="620" spans="1:89" s="672" customFormat="1" ht="17.25" customHeight="1" x14ac:dyDescent="0.25">
      <c r="A620" s="740"/>
      <c r="B620" s="1415" t="s">
        <v>61</v>
      </c>
      <c r="C620" s="828"/>
      <c r="D620" s="738"/>
      <c r="E620" s="705"/>
      <c r="F620" s="705">
        <f>SUM(F621:F621)</f>
        <v>0</v>
      </c>
      <c r="G620" s="705">
        <f>SUM(G621:G621)</f>
        <v>0</v>
      </c>
      <c r="H620" s="705">
        <f>F620+G620</f>
        <v>0</v>
      </c>
      <c r="I620" s="705">
        <f>SUM(I621:I621)</f>
        <v>0</v>
      </c>
      <c r="J620" s="705">
        <f>SUM(J621:J621)</f>
        <v>6000000</v>
      </c>
      <c r="K620" s="705">
        <f>I620+J620</f>
        <v>6000000</v>
      </c>
      <c r="L620" s="705">
        <f>SUM(L621:L621)</f>
        <v>0</v>
      </c>
      <c r="M620" s="705">
        <f>SUM(M621:M621)</f>
        <v>0</v>
      </c>
      <c r="N620" s="705">
        <f>L620+M620</f>
        <v>0</v>
      </c>
      <c r="O620" s="1370">
        <f>N620+K620+H620</f>
        <v>6000000</v>
      </c>
      <c r="P620" s="829"/>
      <c r="Q620" s="1581"/>
      <c r="R620" s="1581"/>
      <c r="S620" s="1581"/>
      <c r="T620" s="1581"/>
      <c r="U620" s="1581"/>
      <c r="V620" s="1581"/>
      <c r="W620" s="1581"/>
      <c r="X620" s="1581"/>
      <c r="Y620" s="1581"/>
      <c r="Z620" s="1581"/>
      <c r="AA620" s="1581"/>
      <c r="AB620" s="1581"/>
      <c r="AC620" s="1581"/>
      <c r="AD620" s="1581"/>
      <c r="AE620" s="1581"/>
      <c r="AF620" s="1581"/>
      <c r="AG620" s="1581"/>
      <c r="AH620" s="1581"/>
      <c r="AI620" s="1581"/>
      <c r="AJ620" s="1581"/>
      <c r="AK620" s="1581"/>
      <c r="AL620" s="1581"/>
      <c r="AM620" s="1581"/>
      <c r="AN620" s="1581"/>
      <c r="AO620" s="1581"/>
      <c r="AP620" s="1581"/>
      <c r="AQ620" s="1581"/>
      <c r="AR620" s="1581"/>
      <c r="AS620" s="1581"/>
      <c r="AT620" s="1581"/>
      <c r="AU620" s="1581"/>
      <c r="AV620" s="1581"/>
      <c r="AW620" s="1581"/>
      <c r="AX620" s="1581"/>
      <c r="AY620" s="1581"/>
      <c r="AZ620" s="1581"/>
      <c r="BA620" s="1581"/>
      <c r="BB620" s="1581"/>
      <c r="BC620" s="1581"/>
      <c r="BD620" s="1581"/>
      <c r="BE620" s="1581"/>
      <c r="BF620" s="1581"/>
      <c r="BG620" s="1581"/>
      <c r="BH620" s="1581"/>
      <c r="BI620" s="1581"/>
      <c r="BJ620" s="1581"/>
      <c r="BK620" s="1581"/>
      <c r="BL620" s="1581"/>
      <c r="BM620" s="1581"/>
      <c r="BN620" s="1581"/>
      <c r="BO620" s="1581"/>
      <c r="BP620" s="1581"/>
      <c r="BQ620" s="1581"/>
      <c r="BR620" s="1581"/>
      <c r="BS620" s="1581"/>
      <c r="BT620" s="1581"/>
      <c r="BU620" s="1581"/>
      <c r="BV620" s="1581"/>
      <c r="BW620" s="1581"/>
      <c r="BX620" s="1581"/>
      <c r="BY620" s="1581"/>
      <c r="BZ620" s="1581"/>
      <c r="CA620" s="1581"/>
      <c r="CB620" s="1581"/>
      <c r="CC620" s="1581"/>
      <c r="CD620" s="1581"/>
      <c r="CE620" s="1581"/>
      <c r="CF620" s="1581"/>
      <c r="CG620" s="1581"/>
      <c r="CH620" s="1581"/>
      <c r="CI620" s="1581"/>
      <c r="CJ620" s="1581"/>
      <c r="CK620" s="1581"/>
    </row>
    <row r="621" spans="1:89" ht="17.25" customHeight="1" x14ac:dyDescent="0.25">
      <c r="A621" s="692"/>
      <c r="B621" s="1236" t="s">
        <v>1523</v>
      </c>
      <c r="C621" s="693">
        <v>1</v>
      </c>
      <c r="D621" s="739" t="s">
        <v>16</v>
      </c>
      <c r="E621" s="695">
        <v>6000000</v>
      </c>
      <c r="F621" s="695"/>
      <c r="G621" s="695"/>
      <c r="H621" s="695"/>
      <c r="I621" s="695"/>
      <c r="J621" s="695">
        <f>E621*C621</f>
        <v>6000000</v>
      </c>
      <c r="K621" s="695">
        <f>J621+I621</f>
        <v>6000000</v>
      </c>
      <c r="L621" s="695"/>
      <c r="M621" s="695"/>
      <c r="N621" s="695"/>
      <c r="O621" s="696">
        <f>N621+K621+H621</f>
        <v>6000000</v>
      </c>
      <c r="P621" s="687"/>
    </row>
    <row r="622" spans="1:89" ht="17.25" customHeight="1" x14ac:dyDescent="0.25">
      <c r="A622" s="692"/>
      <c r="B622" s="1236"/>
      <c r="C622" s="693"/>
      <c r="D622" s="739"/>
      <c r="E622" s="695"/>
      <c r="F622" s="695"/>
      <c r="G622" s="695"/>
      <c r="H622" s="695"/>
      <c r="I622" s="695"/>
      <c r="J622" s="695"/>
      <c r="K622" s="695"/>
      <c r="L622" s="695"/>
      <c r="M622" s="695"/>
      <c r="N622" s="695"/>
      <c r="O622" s="696"/>
      <c r="P622" s="687"/>
    </row>
    <row r="623" spans="1:89" s="672" customFormat="1" ht="17.25" customHeight="1" x14ac:dyDescent="0.25">
      <c r="A623" s="740"/>
      <c r="B623" s="891" t="s">
        <v>652</v>
      </c>
      <c r="C623" s="828"/>
      <c r="D623" s="738"/>
      <c r="E623" s="705"/>
      <c r="F623" s="705">
        <f>SUM(F624:F624)</f>
        <v>0</v>
      </c>
      <c r="G623" s="705">
        <f>SUM(G624:G624)</f>
        <v>0</v>
      </c>
      <c r="H623" s="705">
        <f>F623+G623</f>
        <v>0</v>
      </c>
      <c r="I623" s="705">
        <f>SUM(I624:I624)</f>
        <v>0</v>
      </c>
      <c r="J623" s="705">
        <f>SUM(J624:J624)</f>
        <v>0</v>
      </c>
      <c r="K623" s="705">
        <f>I623+J623</f>
        <v>0</v>
      </c>
      <c r="L623" s="705">
        <f>SUM(L624:L624)</f>
        <v>0</v>
      </c>
      <c r="M623" s="705">
        <f>SUM(M624:M624)</f>
        <v>0</v>
      </c>
      <c r="N623" s="705">
        <f>L623+M623</f>
        <v>0</v>
      </c>
      <c r="O623" s="1370">
        <f>N623+K623+H623</f>
        <v>0</v>
      </c>
      <c r="P623" s="829"/>
      <c r="Q623" s="1581"/>
      <c r="R623" s="1581"/>
      <c r="S623" s="1581"/>
      <c r="T623" s="1581"/>
      <c r="U623" s="1581"/>
      <c r="V623" s="1581"/>
      <c r="W623" s="1581"/>
      <c r="X623" s="1581"/>
      <c r="Y623" s="1581"/>
      <c r="Z623" s="1581"/>
      <c r="AA623" s="1581"/>
      <c r="AB623" s="1581"/>
      <c r="AC623" s="1581"/>
      <c r="AD623" s="1581"/>
      <c r="AE623" s="1581"/>
      <c r="AF623" s="1581"/>
      <c r="AG623" s="1581"/>
      <c r="AH623" s="1581"/>
      <c r="AI623" s="1581"/>
      <c r="AJ623" s="1581"/>
      <c r="AK623" s="1581"/>
      <c r="AL623" s="1581"/>
      <c r="AM623" s="1581"/>
      <c r="AN623" s="1581"/>
      <c r="AO623" s="1581"/>
      <c r="AP623" s="1581"/>
      <c r="AQ623" s="1581"/>
      <c r="AR623" s="1581"/>
      <c r="AS623" s="1581"/>
      <c r="AT623" s="1581"/>
      <c r="AU623" s="1581"/>
      <c r="AV623" s="1581"/>
      <c r="AW623" s="1581"/>
      <c r="AX623" s="1581"/>
      <c r="AY623" s="1581"/>
      <c r="AZ623" s="1581"/>
      <c r="BA623" s="1581"/>
      <c r="BB623" s="1581"/>
      <c r="BC623" s="1581"/>
      <c r="BD623" s="1581"/>
      <c r="BE623" s="1581"/>
      <c r="BF623" s="1581"/>
      <c r="BG623" s="1581"/>
      <c r="BH623" s="1581"/>
      <c r="BI623" s="1581"/>
      <c r="BJ623" s="1581"/>
      <c r="BK623" s="1581"/>
      <c r="BL623" s="1581"/>
      <c r="BM623" s="1581"/>
      <c r="BN623" s="1581"/>
      <c r="BO623" s="1581"/>
      <c r="BP623" s="1581"/>
      <c r="BQ623" s="1581"/>
      <c r="BR623" s="1581"/>
      <c r="BS623" s="1581"/>
      <c r="BT623" s="1581"/>
      <c r="BU623" s="1581"/>
      <c r="BV623" s="1581"/>
      <c r="BW623" s="1581"/>
      <c r="BX623" s="1581"/>
      <c r="BY623" s="1581"/>
      <c r="BZ623" s="1581"/>
      <c r="CA623" s="1581"/>
      <c r="CB623" s="1581"/>
      <c r="CC623" s="1581"/>
      <c r="CD623" s="1581"/>
      <c r="CE623" s="1581"/>
      <c r="CF623" s="1581"/>
      <c r="CG623" s="1581"/>
      <c r="CH623" s="1581"/>
      <c r="CI623" s="1581"/>
      <c r="CJ623" s="1581"/>
      <c r="CK623" s="1581"/>
    </row>
    <row r="624" spans="1:89" ht="24" customHeight="1" x14ac:dyDescent="0.25">
      <c r="A624" s="692"/>
      <c r="B624" s="1371" t="s">
        <v>1524</v>
      </c>
      <c r="C624" s="693">
        <v>0</v>
      </c>
      <c r="D624" s="727" t="s">
        <v>16</v>
      </c>
      <c r="E624" s="705">
        <v>0</v>
      </c>
      <c r="F624" s="695"/>
      <c r="G624" s="695"/>
      <c r="H624" s="695"/>
      <c r="I624" s="695"/>
      <c r="J624" s="695">
        <f>E624*C624</f>
        <v>0</v>
      </c>
      <c r="K624" s="695">
        <f>J624+I624</f>
        <v>0</v>
      </c>
      <c r="L624" s="695"/>
      <c r="M624" s="695"/>
      <c r="N624" s="695"/>
      <c r="O624" s="696">
        <f>N624+K624+H624</f>
        <v>0</v>
      </c>
      <c r="P624" s="687"/>
    </row>
    <row r="625" spans="1:89" ht="17.25" customHeight="1" x14ac:dyDescent="0.25">
      <c r="A625" s="740"/>
      <c r="B625" s="891"/>
      <c r="C625" s="828"/>
      <c r="D625" s="1369"/>
      <c r="E625" s="705"/>
      <c r="F625" s="705"/>
      <c r="G625" s="705"/>
      <c r="H625" s="705"/>
      <c r="I625" s="705"/>
      <c r="J625" s="705"/>
      <c r="K625" s="705"/>
      <c r="L625" s="705"/>
      <c r="M625" s="705"/>
      <c r="N625" s="705"/>
      <c r="O625" s="1370"/>
      <c r="P625" s="829"/>
    </row>
    <row r="626" spans="1:89" s="672" customFormat="1" ht="17.25" customHeight="1" x14ac:dyDescent="0.25">
      <c r="A626" s="740"/>
      <c r="B626" s="891" t="s">
        <v>73</v>
      </c>
      <c r="C626" s="828"/>
      <c r="D626" s="1369"/>
      <c r="E626" s="705"/>
      <c r="F626" s="705">
        <f>SUM(F627:F627)</f>
        <v>0</v>
      </c>
      <c r="G626" s="705">
        <f>SUM(G627:G627)</f>
        <v>0</v>
      </c>
      <c r="H626" s="705">
        <f>G626+F626</f>
        <v>0</v>
      </c>
      <c r="I626" s="705">
        <f>SUM(I627:I627)</f>
        <v>0</v>
      </c>
      <c r="J626" s="705">
        <f>SUM(J627:J627)</f>
        <v>5000000</v>
      </c>
      <c r="K626" s="705">
        <f>J626+I626</f>
        <v>5000000</v>
      </c>
      <c r="L626" s="705">
        <f>SUM(L627:L627)</f>
        <v>0</v>
      </c>
      <c r="M626" s="705">
        <f>SUM(M627:M627)</f>
        <v>0</v>
      </c>
      <c r="N626" s="705">
        <f>M626+L626</f>
        <v>0</v>
      </c>
      <c r="O626" s="1370">
        <f>N626+K626+H626</f>
        <v>5000000</v>
      </c>
      <c r="P626" s="829"/>
      <c r="Q626" s="1581"/>
      <c r="R626" s="1581"/>
      <c r="S626" s="1581"/>
      <c r="T626" s="1581"/>
      <c r="U626" s="1581"/>
      <c r="V626" s="1581"/>
      <c r="W626" s="1581"/>
      <c r="X626" s="1581"/>
      <c r="Y626" s="1581"/>
      <c r="Z626" s="1581"/>
      <c r="AA626" s="1581"/>
      <c r="AB626" s="1581"/>
      <c r="AC626" s="1581"/>
      <c r="AD626" s="1581"/>
      <c r="AE626" s="1581"/>
      <c r="AF626" s="1581"/>
      <c r="AG626" s="1581"/>
      <c r="AH626" s="1581"/>
      <c r="AI626" s="1581"/>
      <c r="AJ626" s="1581"/>
      <c r="AK626" s="1581"/>
      <c r="AL626" s="1581"/>
      <c r="AM626" s="1581"/>
      <c r="AN626" s="1581"/>
      <c r="AO626" s="1581"/>
      <c r="AP626" s="1581"/>
      <c r="AQ626" s="1581"/>
      <c r="AR626" s="1581"/>
      <c r="AS626" s="1581"/>
      <c r="AT626" s="1581"/>
      <c r="AU626" s="1581"/>
      <c r="AV626" s="1581"/>
      <c r="AW626" s="1581"/>
      <c r="AX626" s="1581"/>
      <c r="AY626" s="1581"/>
      <c r="AZ626" s="1581"/>
      <c r="BA626" s="1581"/>
      <c r="BB626" s="1581"/>
      <c r="BC626" s="1581"/>
      <c r="BD626" s="1581"/>
      <c r="BE626" s="1581"/>
      <c r="BF626" s="1581"/>
      <c r="BG626" s="1581"/>
      <c r="BH626" s="1581"/>
      <c r="BI626" s="1581"/>
      <c r="BJ626" s="1581"/>
      <c r="BK626" s="1581"/>
      <c r="BL626" s="1581"/>
      <c r="BM626" s="1581"/>
      <c r="BN626" s="1581"/>
      <c r="BO626" s="1581"/>
      <c r="BP626" s="1581"/>
      <c r="BQ626" s="1581"/>
      <c r="BR626" s="1581"/>
      <c r="BS626" s="1581"/>
      <c r="BT626" s="1581"/>
      <c r="BU626" s="1581"/>
      <c r="BV626" s="1581"/>
      <c r="BW626" s="1581"/>
      <c r="BX626" s="1581"/>
      <c r="BY626" s="1581"/>
      <c r="BZ626" s="1581"/>
      <c r="CA626" s="1581"/>
      <c r="CB626" s="1581"/>
      <c r="CC626" s="1581"/>
      <c r="CD626" s="1581"/>
      <c r="CE626" s="1581"/>
      <c r="CF626" s="1581"/>
      <c r="CG626" s="1581"/>
      <c r="CH626" s="1581"/>
      <c r="CI626" s="1581"/>
      <c r="CJ626" s="1581"/>
      <c r="CK626" s="1581"/>
    </row>
    <row r="627" spans="1:89" ht="17.25" customHeight="1" x14ac:dyDescent="0.25">
      <c r="A627" s="692"/>
      <c r="B627" s="1248" t="s">
        <v>653</v>
      </c>
      <c r="C627" s="693">
        <v>1</v>
      </c>
      <c r="D627" s="727" t="s">
        <v>16</v>
      </c>
      <c r="E627" s="695">
        <f>2800000+2200000</f>
        <v>5000000</v>
      </c>
      <c r="F627" s="695"/>
      <c r="G627" s="695"/>
      <c r="H627" s="695"/>
      <c r="I627" s="695"/>
      <c r="J627" s="695">
        <f>E627*C627</f>
        <v>5000000</v>
      </c>
      <c r="K627" s="695">
        <f>J627+I627</f>
        <v>5000000</v>
      </c>
      <c r="L627" s="695"/>
      <c r="M627" s="695"/>
      <c r="N627" s="695"/>
      <c r="O627" s="696">
        <f>N627+K627+H627</f>
        <v>5000000</v>
      </c>
      <c r="P627" s="687"/>
    </row>
    <row r="628" spans="1:89" ht="17.25" customHeight="1" x14ac:dyDescent="0.25">
      <c r="A628" s="692"/>
      <c r="B628" s="1248"/>
      <c r="C628" s="693"/>
      <c r="D628" s="739"/>
      <c r="E628" s="695"/>
      <c r="F628" s="695"/>
      <c r="G628" s="695"/>
      <c r="H628" s="695"/>
      <c r="I628" s="695"/>
      <c r="J628" s="695"/>
      <c r="K628" s="695"/>
      <c r="L628" s="695"/>
      <c r="M628" s="695"/>
      <c r="N628" s="695"/>
      <c r="O628" s="696"/>
      <c r="P628" s="687"/>
    </row>
    <row r="629" spans="1:89" ht="17.25" customHeight="1" x14ac:dyDescent="0.25">
      <c r="A629" s="740"/>
      <c r="B629" s="1368"/>
      <c r="C629" s="828"/>
      <c r="D629" s="1369"/>
      <c r="E629" s="705"/>
      <c r="F629" s="705"/>
      <c r="G629" s="705"/>
      <c r="H629" s="705"/>
      <c r="I629" s="705"/>
      <c r="J629" s="705"/>
      <c r="K629" s="705"/>
      <c r="L629" s="705"/>
      <c r="M629" s="705"/>
      <c r="N629" s="705"/>
      <c r="O629" s="1370"/>
      <c r="P629" s="829"/>
    </row>
    <row r="630" spans="1:89" s="1416" customFormat="1" ht="17.25" customHeight="1" x14ac:dyDescent="0.25">
      <c r="A630" s="740"/>
      <c r="B630" s="1368" t="s">
        <v>654</v>
      </c>
      <c r="C630" s="828"/>
      <c r="D630" s="738"/>
      <c r="E630" s="705"/>
      <c r="F630" s="705">
        <f>SUM(F631:F632)</f>
        <v>0</v>
      </c>
      <c r="G630" s="705">
        <f>SUM(G631:G632)</f>
        <v>0</v>
      </c>
      <c r="H630" s="705">
        <f>F630+G630</f>
        <v>0</v>
      </c>
      <c r="I630" s="705">
        <f>SUM(I631:I632)</f>
        <v>0</v>
      </c>
      <c r="J630" s="705">
        <f>SUM(J631:J632)</f>
        <v>1200000</v>
      </c>
      <c r="K630" s="705">
        <f>I630+J630</f>
        <v>1200000</v>
      </c>
      <c r="L630" s="705">
        <f>SUM(L631:L632)</f>
        <v>0</v>
      </c>
      <c r="M630" s="705">
        <f>SUM(M631:M632)</f>
        <v>0</v>
      </c>
      <c r="N630" s="705">
        <f>L630+M630</f>
        <v>0</v>
      </c>
      <c r="O630" s="1370">
        <f>N630+K630+H630</f>
        <v>1200000</v>
      </c>
      <c r="P630" s="829"/>
      <c r="Q630" s="1581"/>
      <c r="R630" s="1581"/>
      <c r="S630" s="1581"/>
      <c r="T630" s="1581"/>
      <c r="U630" s="1581"/>
      <c r="V630" s="1581"/>
      <c r="W630" s="1581"/>
      <c r="X630" s="1581"/>
      <c r="Y630" s="1581"/>
      <c r="Z630" s="1581"/>
      <c r="AA630" s="1581"/>
      <c r="AB630" s="1581"/>
      <c r="AC630" s="1581"/>
      <c r="AD630" s="1581"/>
      <c r="AE630" s="1581"/>
      <c r="AF630" s="1581"/>
      <c r="AG630" s="1581"/>
      <c r="AH630" s="1581"/>
      <c r="AI630" s="1581"/>
      <c r="AJ630" s="1581"/>
      <c r="AK630" s="1581"/>
      <c r="AL630" s="1581"/>
      <c r="AM630" s="1581"/>
      <c r="AN630" s="1581"/>
      <c r="AO630" s="1581"/>
      <c r="AP630" s="1581"/>
      <c r="AQ630" s="1581"/>
      <c r="AR630" s="1581"/>
      <c r="AS630" s="1581"/>
      <c r="AT630" s="1581"/>
      <c r="AU630" s="1581"/>
      <c r="AV630" s="1581"/>
      <c r="AW630" s="1581"/>
      <c r="AX630" s="1581"/>
      <c r="AY630" s="1581"/>
      <c r="AZ630" s="1581"/>
      <c r="BA630" s="1581"/>
      <c r="BB630" s="1581"/>
      <c r="BC630" s="1581"/>
      <c r="BD630" s="1581"/>
      <c r="BE630" s="1581"/>
      <c r="BF630" s="1581"/>
      <c r="BG630" s="1581"/>
      <c r="BH630" s="1581"/>
      <c r="BI630" s="1581"/>
      <c r="BJ630" s="1581"/>
      <c r="BK630" s="1581"/>
      <c r="BL630" s="1581"/>
      <c r="BM630" s="1581"/>
      <c r="BN630" s="1581"/>
      <c r="BO630" s="1581"/>
      <c r="BP630" s="1581"/>
      <c r="BQ630" s="1581"/>
      <c r="BR630" s="1581"/>
      <c r="BS630" s="1581"/>
      <c r="BT630" s="1581"/>
      <c r="BU630" s="1581"/>
      <c r="BV630" s="1581"/>
      <c r="BW630" s="1581"/>
      <c r="BX630" s="1581"/>
      <c r="BY630" s="1581"/>
      <c r="BZ630" s="1581"/>
      <c r="CA630" s="1581"/>
      <c r="CB630" s="1581"/>
      <c r="CC630" s="1581"/>
      <c r="CD630" s="1581"/>
      <c r="CE630" s="1581"/>
      <c r="CF630" s="1581"/>
      <c r="CG630" s="1581"/>
      <c r="CH630" s="1581"/>
      <c r="CI630" s="1581"/>
      <c r="CJ630" s="1581"/>
      <c r="CK630" s="1581"/>
    </row>
    <row r="631" spans="1:89" s="691" customFormat="1" ht="17.25" customHeight="1" x14ac:dyDescent="0.25">
      <c r="A631" s="692">
        <v>1</v>
      </c>
      <c r="B631" s="1248" t="s">
        <v>655</v>
      </c>
      <c r="C631" s="693">
        <v>1</v>
      </c>
      <c r="D631" s="739" t="s">
        <v>16</v>
      </c>
      <c r="E631" s="695">
        <v>1200000</v>
      </c>
      <c r="F631" s="695"/>
      <c r="G631" s="695"/>
      <c r="H631" s="695"/>
      <c r="I631" s="695"/>
      <c r="J631" s="695">
        <f>C631*E631</f>
        <v>1200000</v>
      </c>
      <c r="K631" s="695">
        <f>I631+J631</f>
        <v>1200000</v>
      </c>
      <c r="L631" s="695"/>
      <c r="M631" s="695"/>
      <c r="N631" s="695"/>
      <c r="O631" s="696">
        <f>N631+K631+H631</f>
        <v>1200000</v>
      </c>
      <c r="P631" s="687"/>
      <c r="Q631" s="679"/>
      <c r="R631" s="679"/>
      <c r="S631" s="679"/>
      <c r="T631" s="679"/>
      <c r="U631" s="679"/>
      <c r="V631" s="679"/>
      <c r="W631" s="679"/>
      <c r="X631" s="679"/>
      <c r="Y631" s="679"/>
      <c r="Z631" s="679"/>
      <c r="AA631" s="679"/>
      <c r="AB631" s="679"/>
      <c r="AC631" s="679"/>
      <c r="AD631" s="679"/>
      <c r="AE631" s="679"/>
      <c r="AF631" s="679"/>
      <c r="AG631" s="679"/>
      <c r="AH631" s="679"/>
      <c r="AI631" s="679"/>
      <c r="AJ631" s="679"/>
      <c r="AK631" s="679"/>
      <c r="AL631" s="679"/>
      <c r="AM631" s="679"/>
      <c r="AN631" s="679"/>
      <c r="AO631" s="679"/>
      <c r="AP631" s="679"/>
      <c r="AQ631" s="679"/>
      <c r="AR631" s="679"/>
      <c r="AS631" s="679"/>
      <c r="AT631" s="679"/>
      <c r="AU631" s="679"/>
      <c r="AV631" s="679"/>
      <c r="AW631" s="679"/>
      <c r="AX631" s="679"/>
      <c r="AY631" s="679"/>
      <c r="AZ631" s="679"/>
      <c r="BA631" s="679"/>
      <c r="BB631" s="679"/>
      <c r="BC631" s="679"/>
      <c r="BD631" s="679"/>
      <c r="BE631" s="679"/>
      <c r="BF631" s="679"/>
      <c r="BG631" s="679"/>
      <c r="BH631" s="679"/>
      <c r="BI631" s="679"/>
      <c r="BJ631" s="679"/>
      <c r="BK631" s="679"/>
      <c r="BL631" s="679"/>
      <c r="BM631" s="679"/>
      <c r="BN631" s="679"/>
      <c r="BO631" s="679"/>
      <c r="BP631" s="679"/>
      <c r="BQ631" s="679"/>
      <c r="BR631" s="679"/>
      <c r="BS631" s="679"/>
      <c r="BT631" s="679"/>
      <c r="BU631" s="679"/>
      <c r="BV631" s="679"/>
      <c r="BW631" s="679"/>
      <c r="BX631" s="679"/>
      <c r="BY631" s="679"/>
      <c r="BZ631" s="679"/>
      <c r="CA631" s="679"/>
      <c r="CB631" s="679"/>
      <c r="CC631" s="679"/>
      <c r="CD631" s="679"/>
      <c r="CE631" s="679"/>
      <c r="CF631" s="679"/>
      <c r="CG631" s="679"/>
      <c r="CH631" s="679"/>
      <c r="CI631" s="679"/>
      <c r="CJ631" s="679"/>
      <c r="CK631" s="679"/>
    </row>
    <row r="632" spans="1:89" s="691" customFormat="1" ht="17.25" customHeight="1" x14ac:dyDescent="0.25">
      <c r="A632" s="692"/>
      <c r="B632" s="1248" t="s">
        <v>1525</v>
      </c>
      <c r="C632" s="693"/>
      <c r="D632" s="739"/>
      <c r="E632" s="695"/>
      <c r="F632" s="695"/>
      <c r="G632" s="695"/>
      <c r="H632" s="695"/>
      <c r="I632" s="695"/>
      <c r="J632" s="695"/>
      <c r="K632" s="695"/>
      <c r="L632" s="695"/>
      <c r="M632" s="695"/>
      <c r="N632" s="695"/>
      <c r="O632" s="696"/>
      <c r="P632" s="687"/>
      <c r="Q632" s="679"/>
      <c r="R632" s="679"/>
      <c r="S632" s="679"/>
      <c r="T632" s="679"/>
      <c r="U632" s="679"/>
      <c r="V632" s="679"/>
      <c r="W632" s="679"/>
      <c r="X632" s="679"/>
      <c r="Y632" s="679"/>
      <c r="Z632" s="679"/>
      <c r="AA632" s="679"/>
      <c r="AB632" s="679"/>
      <c r="AC632" s="679"/>
      <c r="AD632" s="679"/>
      <c r="AE632" s="679"/>
      <c r="AF632" s="679"/>
      <c r="AG632" s="679"/>
      <c r="AH632" s="679"/>
      <c r="AI632" s="679"/>
      <c r="AJ632" s="679"/>
      <c r="AK632" s="679"/>
      <c r="AL632" s="679"/>
      <c r="AM632" s="679"/>
      <c r="AN632" s="679"/>
      <c r="AO632" s="679"/>
      <c r="AP632" s="679"/>
      <c r="AQ632" s="679"/>
      <c r="AR632" s="679"/>
      <c r="AS632" s="679"/>
      <c r="AT632" s="679"/>
      <c r="AU632" s="679"/>
      <c r="AV632" s="679"/>
      <c r="AW632" s="679"/>
      <c r="AX632" s="679"/>
      <c r="AY632" s="679"/>
      <c r="AZ632" s="679"/>
      <c r="BA632" s="679"/>
      <c r="BB632" s="679"/>
      <c r="BC632" s="679"/>
      <c r="BD632" s="679"/>
      <c r="BE632" s="679"/>
      <c r="BF632" s="679"/>
      <c r="BG632" s="679"/>
      <c r="BH632" s="679"/>
      <c r="BI632" s="679"/>
      <c r="BJ632" s="679"/>
      <c r="BK632" s="679"/>
      <c r="BL632" s="679"/>
      <c r="BM632" s="679"/>
      <c r="BN632" s="679"/>
      <c r="BO632" s="679"/>
      <c r="BP632" s="679"/>
      <c r="BQ632" s="679"/>
      <c r="BR632" s="679"/>
      <c r="BS632" s="679"/>
      <c r="BT632" s="679"/>
      <c r="BU632" s="679"/>
      <c r="BV632" s="679"/>
      <c r="BW632" s="679"/>
      <c r="BX632" s="679"/>
      <c r="BY632" s="679"/>
      <c r="BZ632" s="679"/>
      <c r="CA632" s="679"/>
      <c r="CB632" s="679"/>
      <c r="CC632" s="679"/>
      <c r="CD632" s="679"/>
      <c r="CE632" s="679"/>
      <c r="CF632" s="679"/>
      <c r="CG632" s="679"/>
      <c r="CH632" s="679"/>
      <c r="CI632" s="679"/>
      <c r="CJ632" s="679"/>
      <c r="CK632" s="679"/>
    </row>
    <row r="633" spans="1:89" ht="18.75" customHeight="1" x14ac:dyDescent="0.25">
      <c r="A633" s="692"/>
      <c r="B633" s="1248" t="s">
        <v>1930</v>
      </c>
      <c r="C633" s="693"/>
      <c r="D633" s="727"/>
      <c r="E633" s="695"/>
      <c r="F633" s="695"/>
      <c r="G633" s="695"/>
      <c r="H633" s="695"/>
      <c r="I633" s="695"/>
      <c r="J633" s="695"/>
      <c r="K633" s="695"/>
      <c r="L633" s="695"/>
      <c r="M633" s="695"/>
      <c r="N633" s="695"/>
      <c r="O633" s="696"/>
      <c r="P633" s="687"/>
    </row>
    <row r="634" spans="1:89" s="691" customFormat="1" ht="17.25" customHeight="1" x14ac:dyDescent="0.25">
      <c r="A634" s="692"/>
      <c r="B634" s="1248"/>
      <c r="C634" s="693"/>
      <c r="D634" s="727"/>
      <c r="E634" s="695"/>
      <c r="F634" s="695"/>
      <c r="G634" s="695"/>
      <c r="H634" s="695"/>
      <c r="I634" s="695"/>
      <c r="J634" s="695"/>
      <c r="K634" s="695"/>
      <c r="L634" s="695"/>
      <c r="M634" s="695"/>
      <c r="N634" s="695"/>
      <c r="O634" s="696"/>
      <c r="P634" s="687"/>
      <c r="Q634" s="679"/>
      <c r="R634" s="679"/>
      <c r="S634" s="679"/>
      <c r="T634" s="679"/>
      <c r="U634" s="679"/>
      <c r="V634" s="679"/>
      <c r="W634" s="679"/>
      <c r="X634" s="679"/>
      <c r="Y634" s="679"/>
      <c r="Z634" s="679"/>
      <c r="AA634" s="679"/>
      <c r="AB634" s="679"/>
      <c r="AC634" s="679"/>
      <c r="AD634" s="679"/>
      <c r="AE634" s="679"/>
      <c r="AF634" s="679"/>
      <c r="AG634" s="679"/>
      <c r="AH634" s="679"/>
      <c r="AI634" s="679"/>
      <c r="AJ634" s="679"/>
      <c r="AK634" s="679"/>
      <c r="AL634" s="679"/>
      <c r="AM634" s="679"/>
      <c r="AN634" s="679"/>
      <c r="AO634" s="679"/>
      <c r="AP634" s="679"/>
      <c r="AQ634" s="679"/>
      <c r="AR634" s="679"/>
      <c r="AS634" s="679"/>
      <c r="AT634" s="679"/>
      <c r="AU634" s="679"/>
      <c r="AV634" s="679"/>
      <c r="AW634" s="679"/>
      <c r="AX634" s="679"/>
      <c r="AY634" s="679"/>
      <c r="AZ634" s="679"/>
      <c r="BA634" s="679"/>
      <c r="BB634" s="679"/>
      <c r="BC634" s="679"/>
      <c r="BD634" s="679"/>
      <c r="BE634" s="679"/>
      <c r="BF634" s="679"/>
      <c r="BG634" s="679"/>
      <c r="BH634" s="679"/>
      <c r="BI634" s="679"/>
      <c r="BJ634" s="679"/>
      <c r="BK634" s="679"/>
      <c r="BL634" s="679"/>
      <c r="BM634" s="679"/>
      <c r="BN634" s="679"/>
      <c r="BO634" s="679"/>
      <c r="BP634" s="679"/>
      <c r="BQ634" s="679"/>
      <c r="BR634" s="679"/>
      <c r="BS634" s="679"/>
      <c r="BT634" s="679"/>
      <c r="BU634" s="679"/>
      <c r="BV634" s="679"/>
      <c r="BW634" s="679"/>
      <c r="BX634" s="679"/>
      <c r="BY634" s="679"/>
      <c r="BZ634" s="679"/>
      <c r="CA634" s="679"/>
      <c r="CB634" s="679"/>
      <c r="CC634" s="679"/>
      <c r="CD634" s="679"/>
      <c r="CE634" s="679"/>
      <c r="CF634" s="679"/>
      <c r="CG634" s="679"/>
      <c r="CH634" s="679"/>
      <c r="CI634" s="679"/>
      <c r="CJ634" s="679"/>
      <c r="CK634" s="679"/>
    </row>
    <row r="635" spans="1:89" s="672" customFormat="1" ht="17.25" customHeight="1" x14ac:dyDescent="0.25">
      <c r="A635" s="878" t="s">
        <v>28</v>
      </c>
      <c r="B635" s="1393" t="s">
        <v>29</v>
      </c>
      <c r="C635" s="1377"/>
      <c r="D635" s="1390"/>
      <c r="E635" s="874"/>
      <c r="F635" s="892">
        <f>SUM(F637:F663)</f>
        <v>0</v>
      </c>
      <c r="G635" s="892">
        <f>SUM(G637:G663)</f>
        <v>0</v>
      </c>
      <c r="H635" s="892">
        <f>F635+G635</f>
        <v>0</v>
      </c>
      <c r="I635" s="892">
        <f>SUM(I637:I663)</f>
        <v>0</v>
      </c>
      <c r="J635" s="892">
        <f>SUM(J637:J663)</f>
        <v>356600</v>
      </c>
      <c r="K635" s="892">
        <f>I635+J635</f>
        <v>356600</v>
      </c>
      <c r="L635" s="892">
        <f>SUM(L637:L663)</f>
        <v>0</v>
      </c>
      <c r="M635" s="892">
        <f>SUM(M637:M663)</f>
        <v>0</v>
      </c>
      <c r="N635" s="892">
        <f>L635+M635</f>
        <v>0</v>
      </c>
      <c r="O635" s="1417">
        <f>N635+K635+H635</f>
        <v>356600</v>
      </c>
      <c r="P635" s="1418"/>
      <c r="Q635" s="1581"/>
      <c r="R635" s="1581"/>
      <c r="S635" s="1581"/>
      <c r="T635" s="1581"/>
      <c r="U635" s="1581"/>
      <c r="V635" s="1581"/>
      <c r="W635" s="1581"/>
      <c r="X635" s="1581"/>
      <c r="Y635" s="1581"/>
      <c r="Z635" s="1581"/>
      <c r="AA635" s="1581"/>
      <c r="AB635" s="1581"/>
      <c r="AC635" s="1581"/>
      <c r="AD635" s="1581"/>
      <c r="AE635" s="1581"/>
      <c r="AF635" s="1581"/>
      <c r="AG635" s="1581"/>
      <c r="AH635" s="1581"/>
      <c r="AI635" s="1581"/>
      <c r="AJ635" s="1581"/>
      <c r="AK635" s="1581"/>
      <c r="AL635" s="1581"/>
      <c r="AM635" s="1581"/>
      <c r="AN635" s="1581"/>
      <c r="AO635" s="1581"/>
      <c r="AP635" s="1581"/>
      <c r="AQ635" s="1581"/>
      <c r="AR635" s="1581"/>
      <c r="AS635" s="1581"/>
      <c r="AT635" s="1581"/>
      <c r="AU635" s="1581"/>
      <c r="AV635" s="1581"/>
      <c r="AW635" s="1581"/>
      <c r="AX635" s="1581"/>
      <c r="AY635" s="1581"/>
      <c r="AZ635" s="1581"/>
      <c r="BA635" s="1581"/>
      <c r="BB635" s="1581"/>
      <c r="BC635" s="1581"/>
      <c r="BD635" s="1581"/>
      <c r="BE635" s="1581"/>
      <c r="BF635" s="1581"/>
      <c r="BG635" s="1581"/>
      <c r="BH635" s="1581"/>
      <c r="BI635" s="1581"/>
      <c r="BJ635" s="1581"/>
      <c r="BK635" s="1581"/>
      <c r="BL635" s="1581"/>
      <c r="BM635" s="1581"/>
      <c r="BN635" s="1581"/>
      <c r="BO635" s="1581"/>
      <c r="BP635" s="1581"/>
      <c r="BQ635" s="1581"/>
      <c r="BR635" s="1581"/>
      <c r="BS635" s="1581"/>
      <c r="BT635" s="1581"/>
      <c r="BU635" s="1581"/>
      <c r="BV635" s="1581"/>
      <c r="BW635" s="1581"/>
      <c r="BX635" s="1581"/>
      <c r="BY635" s="1581"/>
      <c r="BZ635" s="1581"/>
      <c r="CA635" s="1581"/>
      <c r="CB635" s="1581"/>
      <c r="CC635" s="1581"/>
      <c r="CD635" s="1581"/>
      <c r="CE635" s="1581"/>
      <c r="CF635" s="1581"/>
      <c r="CG635" s="1581"/>
      <c r="CH635" s="1581"/>
      <c r="CI635" s="1581"/>
      <c r="CJ635" s="1581"/>
      <c r="CK635" s="1581"/>
    </row>
    <row r="636" spans="1:89" ht="17.25" customHeight="1" x14ac:dyDescent="0.25">
      <c r="A636" s="740">
        <v>1</v>
      </c>
      <c r="B636" s="1248" t="s">
        <v>19</v>
      </c>
      <c r="C636" s="828"/>
      <c r="D636" s="1369"/>
      <c r="E636" s="705"/>
      <c r="F636" s="705"/>
      <c r="G636" s="705"/>
      <c r="H636" s="705"/>
      <c r="I636" s="705"/>
      <c r="J636" s="705"/>
      <c r="K636" s="705"/>
      <c r="L636" s="705"/>
      <c r="M636" s="705"/>
      <c r="N636" s="705"/>
      <c r="O636" s="1370">
        <f t="shared" ref="O636:O643" si="46">N636+K636+H636</f>
        <v>0</v>
      </c>
      <c r="P636" s="829"/>
    </row>
    <row r="637" spans="1:89" ht="17.25" customHeight="1" x14ac:dyDescent="0.25">
      <c r="A637" s="692"/>
      <c r="B637" s="1248" t="s">
        <v>30</v>
      </c>
      <c r="C637" s="693">
        <v>12</v>
      </c>
      <c r="D637" s="727" t="s">
        <v>20</v>
      </c>
      <c r="E637" s="695">
        <v>1500</v>
      </c>
      <c r="F637" s="695"/>
      <c r="G637" s="695"/>
      <c r="H637" s="695"/>
      <c r="I637" s="695"/>
      <c r="J637" s="695">
        <f>C637*E637</f>
        <v>18000</v>
      </c>
      <c r="K637" s="695">
        <f>I637+J637</f>
        <v>18000</v>
      </c>
      <c r="L637" s="695"/>
      <c r="M637" s="695"/>
      <c r="N637" s="695"/>
      <c r="O637" s="696">
        <f t="shared" si="46"/>
        <v>18000</v>
      </c>
      <c r="P637" s="687"/>
    </row>
    <row r="638" spans="1:89" ht="17.25" customHeight="1" x14ac:dyDescent="0.25">
      <c r="A638" s="692"/>
      <c r="B638" s="1237" t="s">
        <v>31</v>
      </c>
      <c r="C638" s="693">
        <v>12</v>
      </c>
      <c r="D638" s="727" t="s">
        <v>20</v>
      </c>
      <c r="E638" s="695">
        <v>1200</v>
      </c>
      <c r="F638" s="695"/>
      <c r="G638" s="695"/>
      <c r="H638" s="695"/>
      <c r="I638" s="695"/>
      <c r="J638" s="695">
        <f>C638*E638</f>
        <v>14400</v>
      </c>
      <c r="K638" s="695">
        <f>I638+J638</f>
        <v>14400</v>
      </c>
      <c r="L638" s="695"/>
      <c r="M638" s="695"/>
      <c r="N638" s="695"/>
      <c r="O638" s="696">
        <f t="shared" si="46"/>
        <v>14400</v>
      </c>
      <c r="P638" s="687"/>
    </row>
    <row r="639" spans="1:89" ht="17.25" customHeight="1" x14ac:dyDescent="0.25">
      <c r="A639" s="692"/>
      <c r="B639" s="1237" t="s">
        <v>32</v>
      </c>
      <c r="C639" s="693">
        <v>12</v>
      </c>
      <c r="D639" s="727" t="s">
        <v>20</v>
      </c>
      <c r="E639" s="695">
        <v>1000</v>
      </c>
      <c r="F639" s="695"/>
      <c r="G639" s="695"/>
      <c r="H639" s="695"/>
      <c r="I639" s="695"/>
      <c r="J639" s="695">
        <f>C639*E639</f>
        <v>12000</v>
      </c>
      <c r="K639" s="695">
        <f>I639+J639</f>
        <v>12000</v>
      </c>
      <c r="L639" s="695"/>
      <c r="M639" s="695"/>
      <c r="N639" s="695"/>
      <c r="O639" s="696">
        <f t="shared" si="46"/>
        <v>12000</v>
      </c>
      <c r="P639" s="687"/>
    </row>
    <row r="640" spans="1:89" ht="17.25" customHeight="1" x14ac:dyDescent="0.25">
      <c r="A640" s="692"/>
      <c r="B640" s="1237" t="s">
        <v>33</v>
      </c>
      <c r="C640" s="693">
        <v>60</v>
      </c>
      <c r="D640" s="727" t="s">
        <v>20</v>
      </c>
      <c r="E640" s="695">
        <v>800</v>
      </c>
      <c r="F640" s="695"/>
      <c r="G640" s="695"/>
      <c r="H640" s="695"/>
      <c r="I640" s="695"/>
      <c r="J640" s="695">
        <f>C640*E640</f>
        <v>48000</v>
      </c>
      <c r="K640" s="695">
        <f>I640+J640</f>
        <v>48000</v>
      </c>
      <c r="L640" s="695"/>
      <c r="M640" s="695"/>
      <c r="N640" s="695"/>
      <c r="O640" s="696">
        <f t="shared" si="46"/>
        <v>48000</v>
      </c>
      <c r="P640" s="687"/>
    </row>
    <row r="641" spans="1:89" ht="17.25" customHeight="1" x14ac:dyDescent="0.25">
      <c r="A641" s="692"/>
      <c r="B641" s="1237" t="s">
        <v>34</v>
      </c>
      <c r="C641" s="693"/>
      <c r="D641" s="727"/>
      <c r="E641" s="695"/>
      <c r="F641" s="695"/>
      <c r="G641" s="695"/>
      <c r="H641" s="695"/>
      <c r="I641" s="695"/>
      <c r="J641" s="695"/>
      <c r="K641" s="695"/>
      <c r="L641" s="695"/>
      <c r="M641" s="695"/>
      <c r="N641" s="695"/>
      <c r="O641" s="696">
        <f t="shared" si="46"/>
        <v>0</v>
      </c>
      <c r="P641" s="687"/>
    </row>
    <row r="642" spans="1:89" ht="17.25" customHeight="1" x14ac:dyDescent="0.25">
      <c r="A642" s="692"/>
      <c r="B642" s="1237" t="s">
        <v>35</v>
      </c>
      <c r="C642" s="693">
        <v>12</v>
      </c>
      <c r="D642" s="727" t="s">
        <v>20</v>
      </c>
      <c r="E642" s="695">
        <v>400</v>
      </c>
      <c r="F642" s="695"/>
      <c r="G642" s="695"/>
      <c r="H642" s="695"/>
      <c r="I642" s="695"/>
      <c r="J642" s="695">
        <f>C642*E642</f>
        <v>4800</v>
      </c>
      <c r="K642" s="695">
        <f>I642+J642</f>
        <v>4800</v>
      </c>
      <c r="L642" s="695"/>
      <c r="M642" s="695"/>
      <c r="N642" s="695"/>
      <c r="O642" s="696">
        <f t="shared" si="46"/>
        <v>4800</v>
      </c>
      <c r="P642" s="687"/>
    </row>
    <row r="643" spans="1:89" ht="17.25" customHeight="1" x14ac:dyDescent="0.25">
      <c r="A643" s="692"/>
      <c r="B643" s="1237" t="s">
        <v>36</v>
      </c>
      <c r="C643" s="693">
        <v>24</v>
      </c>
      <c r="D643" s="727" t="s">
        <v>20</v>
      </c>
      <c r="E643" s="695">
        <v>300</v>
      </c>
      <c r="F643" s="695"/>
      <c r="G643" s="695"/>
      <c r="H643" s="695"/>
      <c r="I643" s="695"/>
      <c r="J643" s="695">
        <f>C643*E643</f>
        <v>7200</v>
      </c>
      <c r="K643" s="695">
        <f>I643+J643</f>
        <v>7200</v>
      </c>
      <c r="L643" s="695"/>
      <c r="M643" s="695"/>
      <c r="N643" s="695"/>
      <c r="O643" s="696">
        <f t="shared" si="46"/>
        <v>7200</v>
      </c>
      <c r="P643" s="687"/>
    </row>
    <row r="644" spans="1:89" ht="17.25" customHeight="1" x14ac:dyDescent="0.25">
      <c r="A644" s="692"/>
      <c r="B644" s="1237"/>
      <c r="C644" s="693"/>
      <c r="D644" s="727"/>
      <c r="E644" s="695"/>
      <c r="F644" s="695"/>
      <c r="G644" s="695"/>
      <c r="H644" s="695"/>
      <c r="I644" s="695"/>
      <c r="J644" s="695"/>
      <c r="K644" s="695"/>
      <c r="L644" s="695"/>
      <c r="M644" s="695"/>
      <c r="N644" s="695"/>
      <c r="O644" s="696"/>
      <c r="P644" s="687"/>
    </row>
    <row r="645" spans="1:89" ht="17.25" customHeight="1" x14ac:dyDescent="0.25">
      <c r="A645" s="692"/>
      <c r="B645" s="1237" t="s">
        <v>38</v>
      </c>
      <c r="C645" s="693">
        <v>1</v>
      </c>
      <c r="D645" s="727" t="s">
        <v>25</v>
      </c>
      <c r="E645" s="695">
        <v>20000</v>
      </c>
      <c r="F645" s="695"/>
      <c r="G645" s="695"/>
      <c r="H645" s="695"/>
      <c r="I645" s="695"/>
      <c r="J645" s="695">
        <f>C645*E645</f>
        <v>20000</v>
      </c>
      <c r="K645" s="695">
        <f>I645+J645</f>
        <v>20000</v>
      </c>
      <c r="L645" s="695"/>
      <c r="M645" s="695"/>
      <c r="N645" s="695"/>
      <c r="O645" s="696">
        <f t="shared" ref="O645:O658" si="47">N645+K645+H645</f>
        <v>20000</v>
      </c>
      <c r="P645" s="687"/>
    </row>
    <row r="646" spans="1:89" s="672" customFormat="1" ht="17.25" customHeight="1" x14ac:dyDescent="0.25">
      <c r="A646" s="692"/>
      <c r="B646" s="1237" t="s">
        <v>39</v>
      </c>
      <c r="C646" s="693">
        <v>1</v>
      </c>
      <c r="D646" s="727" t="s">
        <v>25</v>
      </c>
      <c r="E646" s="695">
        <v>4600</v>
      </c>
      <c r="F646" s="695"/>
      <c r="G646" s="695"/>
      <c r="H646" s="695"/>
      <c r="I646" s="695"/>
      <c r="J646" s="695">
        <f>C646*E646</f>
        <v>4600</v>
      </c>
      <c r="K646" s="695">
        <f>I646+J646</f>
        <v>4600</v>
      </c>
      <c r="L646" s="695"/>
      <c r="M646" s="695"/>
      <c r="N646" s="695"/>
      <c r="O646" s="696">
        <f t="shared" si="47"/>
        <v>4600</v>
      </c>
      <c r="P646" s="687"/>
      <c r="Q646" s="1581"/>
      <c r="R646" s="1581"/>
      <c r="S646" s="1581"/>
      <c r="T646" s="1581"/>
      <c r="U646" s="1581"/>
      <c r="V646" s="1581"/>
      <c r="W646" s="1581"/>
      <c r="X646" s="1581"/>
      <c r="Y646" s="1581"/>
      <c r="Z646" s="1581"/>
      <c r="AA646" s="1581"/>
      <c r="AB646" s="1581"/>
      <c r="AC646" s="1581"/>
      <c r="AD646" s="1581"/>
      <c r="AE646" s="1581"/>
      <c r="AF646" s="1581"/>
      <c r="AG646" s="1581"/>
      <c r="AH646" s="1581"/>
      <c r="AI646" s="1581"/>
      <c r="AJ646" s="1581"/>
      <c r="AK646" s="1581"/>
      <c r="AL646" s="1581"/>
      <c r="AM646" s="1581"/>
      <c r="AN646" s="1581"/>
      <c r="AO646" s="1581"/>
      <c r="AP646" s="1581"/>
      <c r="AQ646" s="1581"/>
      <c r="AR646" s="1581"/>
      <c r="AS646" s="1581"/>
      <c r="AT646" s="1581"/>
      <c r="AU646" s="1581"/>
      <c r="AV646" s="1581"/>
      <c r="AW646" s="1581"/>
      <c r="AX646" s="1581"/>
      <c r="AY646" s="1581"/>
      <c r="AZ646" s="1581"/>
      <c r="BA646" s="1581"/>
      <c r="BB646" s="1581"/>
      <c r="BC646" s="1581"/>
      <c r="BD646" s="1581"/>
      <c r="BE646" s="1581"/>
      <c r="BF646" s="1581"/>
      <c r="BG646" s="1581"/>
      <c r="BH646" s="1581"/>
      <c r="BI646" s="1581"/>
      <c r="BJ646" s="1581"/>
      <c r="BK646" s="1581"/>
      <c r="BL646" s="1581"/>
      <c r="BM646" s="1581"/>
      <c r="BN646" s="1581"/>
      <c r="BO646" s="1581"/>
      <c r="BP646" s="1581"/>
      <c r="BQ646" s="1581"/>
      <c r="BR646" s="1581"/>
      <c r="BS646" s="1581"/>
      <c r="BT646" s="1581"/>
      <c r="BU646" s="1581"/>
      <c r="BV646" s="1581"/>
      <c r="BW646" s="1581"/>
      <c r="BX646" s="1581"/>
      <c r="BY646" s="1581"/>
      <c r="BZ646" s="1581"/>
      <c r="CA646" s="1581"/>
      <c r="CB646" s="1581"/>
      <c r="CC646" s="1581"/>
      <c r="CD646" s="1581"/>
      <c r="CE646" s="1581"/>
      <c r="CF646" s="1581"/>
      <c r="CG646" s="1581"/>
      <c r="CH646" s="1581"/>
      <c r="CI646" s="1581"/>
      <c r="CJ646" s="1581"/>
      <c r="CK646" s="1581"/>
    </row>
    <row r="647" spans="1:89" ht="17.25" customHeight="1" x14ac:dyDescent="0.25">
      <c r="A647" s="692">
        <v>2</v>
      </c>
      <c r="B647" s="1237" t="s">
        <v>40</v>
      </c>
      <c r="C647" s="693"/>
      <c r="D647" s="727"/>
      <c r="E647" s="695"/>
      <c r="F647" s="695"/>
      <c r="G647" s="695"/>
      <c r="H647" s="695"/>
      <c r="I647" s="695"/>
      <c r="J647" s="695"/>
      <c r="K647" s="695"/>
      <c r="L647" s="695"/>
      <c r="M647" s="695"/>
      <c r="N647" s="695"/>
      <c r="O647" s="696">
        <f t="shared" si="47"/>
        <v>0</v>
      </c>
      <c r="P647" s="687"/>
    </row>
    <row r="648" spans="1:89" ht="17.25" customHeight="1" x14ac:dyDescent="0.25">
      <c r="A648" s="692"/>
      <c r="B648" s="1241" t="s">
        <v>41</v>
      </c>
      <c r="C648" s="693">
        <v>1</v>
      </c>
      <c r="D648" s="727" t="s">
        <v>25</v>
      </c>
      <c r="E648" s="695">
        <v>35000</v>
      </c>
      <c r="F648" s="695"/>
      <c r="G648" s="695"/>
      <c r="H648" s="695"/>
      <c r="I648" s="695"/>
      <c r="J648" s="695">
        <f>C648*E648</f>
        <v>35000</v>
      </c>
      <c r="K648" s="695">
        <f>I648+J648</f>
        <v>35000</v>
      </c>
      <c r="L648" s="695"/>
      <c r="M648" s="695"/>
      <c r="N648" s="695"/>
      <c r="O648" s="696">
        <f t="shared" si="47"/>
        <v>35000</v>
      </c>
      <c r="P648" s="687"/>
    </row>
    <row r="649" spans="1:89" ht="17.25" customHeight="1" x14ac:dyDescent="0.25">
      <c r="A649" s="692"/>
      <c r="B649" s="1237" t="s">
        <v>42</v>
      </c>
      <c r="C649" s="693">
        <v>1</v>
      </c>
      <c r="D649" s="727" t="s">
        <v>25</v>
      </c>
      <c r="E649" s="695">
        <v>35000</v>
      </c>
      <c r="F649" s="695"/>
      <c r="G649" s="695"/>
      <c r="H649" s="695"/>
      <c r="I649" s="695"/>
      <c r="J649" s="695">
        <f>C649*E649</f>
        <v>35000</v>
      </c>
      <c r="K649" s="695">
        <f>I649+J649</f>
        <v>35000</v>
      </c>
      <c r="L649" s="695"/>
      <c r="M649" s="695"/>
      <c r="N649" s="695"/>
      <c r="O649" s="696">
        <f t="shared" si="47"/>
        <v>35000</v>
      </c>
      <c r="P649" s="687"/>
    </row>
    <row r="650" spans="1:89" ht="17.25" customHeight="1" x14ac:dyDescent="0.25">
      <c r="A650" s="692">
        <v>3</v>
      </c>
      <c r="B650" s="1237" t="s">
        <v>43</v>
      </c>
      <c r="C650" s="693"/>
      <c r="D650" s="727"/>
      <c r="E650" s="695"/>
      <c r="F650" s="695"/>
      <c r="G650" s="695"/>
      <c r="H650" s="695"/>
      <c r="I650" s="695"/>
      <c r="J650" s="695"/>
      <c r="K650" s="695"/>
      <c r="L650" s="695"/>
      <c r="M650" s="695"/>
      <c r="N650" s="695"/>
      <c r="O650" s="696">
        <f t="shared" si="47"/>
        <v>0</v>
      </c>
      <c r="P650" s="687"/>
    </row>
    <row r="651" spans="1:89" ht="17.25" customHeight="1" x14ac:dyDescent="0.25">
      <c r="A651" s="692"/>
      <c r="B651" s="1237" t="s">
        <v>44</v>
      </c>
      <c r="C651" s="693">
        <v>6</v>
      </c>
      <c r="D651" s="727" t="s">
        <v>45</v>
      </c>
      <c r="E651" s="695">
        <v>6000</v>
      </c>
      <c r="F651" s="695"/>
      <c r="G651" s="695"/>
      <c r="H651" s="695"/>
      <c r="I651" s="695"/>
      <c r="J651" s="695">
        <f>C651*E651</f>
        <v>36000</v>
      </c>
      <c r="K651" s="695">
        <f>I651+J651</f>
        <v>36000</v>
      </c>
      <c r="L651" s="695"/>
      <c r="M651" s="695"/>
      <c r="N651" s="695"/>
      <c r="O651" s="696">
        <f t="shared" si="47"/>
        <v>36000</v>
      </c>
      <c r="P651" s="687"/>
    </row>
    <row r="652" spans="1:89" ht="17.25" customHeight="1" x14ac:dyDescent="0.25">
      <c r="A652" s="692"/>
      <c r="B652" s="1237" t="s">
        <v>656</v>
      </c>
      <c r="C652" s="693">
        <v>0</v>
      </c>
      <c r="D652" s="727" t="s">
        <v>294</v>
      </c>
      <c r="E652" s="695">
        <v>50000</v>
      </c>
      <c r="F652" s="695"/>
      <c r="G652" s="695"/>
      <c r="H652" s="695"/>
      <c r="I652" s="695"/>
      <c r="J652" s="695">
        <f>C652*E652</f>
        <v>0</v>
      </c>
      <c r="K652" s="695">
        <f>I652+J652</f>
        <v>0</v>
      </c>
      <c r="L652" s="695"/>
      <c r="M652" s="695"/>
      <c r="N652" s="695"/>
      <c r="O652" s="696">
        <f t="shared" si="47"/>
        <v>0</v>
      </c>
      <c r="P652" s="687"/>
    </row>
    <row r="653" spans="1:89" ht="17.25" customHeight="1" x14ac:dyDescent="0.25">
      <c r="A653" s="692"/>
      <c r="B653" s="1237"/>
      <c r="C653" s="693"/>
      <c r="D653" s="727"/>
      <c r="E653" s="695"/>
      <c r="F653" s="714"/>
      <c r="G653" s="714"/>
      <c r="H653" s="714"/>
      <c r="I653" s="714"/>
      <c r="J653" s="695"/>
      <c r="K653" s="695"/>
      <c r="L653" s="714"/>
      <c r="M653" s="714"/>
      <c r="N653" s="714"/>
      <c r="O653" s="696">
        <f t="shared" si="47"/>
        <v>0</v>
      </c>
      <c r="P653" s="687"/>
    </row>
    <row r="654" spans="1:89" ht="17.25" customHeight="1" x14ac:dyDescent="0.25">
      <c r="A654" s="692">
        <v>5</v>
      </c>
      <c r="B654" s="1241" t="s">
        <v>48</v>
      </c>
      <c r="C654" s="693"/>
      <c r="D654" s="727"/>
      <c r="E654" s="695" t="s">
        <v>49</v>
      </c>
      <c r="F654" s="714"/>
      <c r="G654" s="714"/>
      <c r="H654" s="714"/>
      <c r="I654" s="714"/>
      <c r="J654" s="695"/>
      <c r="K654" s="695">
        <f>J654+I654</f>
        <v>0</v>
      </c>
      <c r="L654" s="714"/>
      <c r="M654" s="714"/>
      <c r="N654" s="714"/>
      <c r="O654" s="696">
        <f t="shared" si="47"/>
        <v>0</v>
      </c>
      <c r="P654" s="687"/>
    </row>
    <row r="655" spans="1:89" ht="17.25" customHeight="1" x14ac:dyDescent="0.25">
      <c r="A655" s="692"/>
      <c r="B655" s="1237" t="s">
        <v>50</v>
      </c>
      <c r="C655" s="693">
        <v>45</v>
      </c>
      <c r="D655" s="727" t="s">
        <v>51</v>
      </c>
      <c r="E655" s="695">
        <v>400</v>
      </c>
      <c r="F655" s="714"/>
      <c r="G655" s="714"/>
      <c r="H655" s="714"/>
      <c r="I655" s="714"/>
      <c r="J655" s="695">
        <f>C655*E655</f>
        <v>18000</v>
      </c>
      <c r="K655" s="695">
        <f>I655+J655</f>
        <v>18000</v>
      </c>
      <c r="L655" s="714"/>
      <c r="M655" s="714"/>
      <c r="N655" s="714"/>
      <c r="O655" s="696">
        <f t="shared" si="47"/>
        <v>18000</v>
      </c>
      <c r="P655" s="687"/>
    </row>
    <row r="656" spans="1:89" ht="17.25" customHeight="1" x14ac:dyDescent="0.25">
      <c r="A656" s="692"/>
      <c r="B656" s="1237" t="s">
        <v>52</v>
      </c>
      <c r="C656" s="693">
        <v>88</v>
      </c>
      <c r="D656" s="727" t="s">
        <v>53</v>
      </c>
      <c r="E656" s="695">
        <v>450</v>
      </c>
      <c r="F656" s="695"/>
      <c r="G656" s="695"/>
      <c r="H656" s="695"/>
      <c r="I656" s="695"/>
      <c r="J656" s="695">
        <f>C656*E656</f>
        <v>39600</v>
      </c>
      <c r="K656" s="695">
        <f>I656+J656</f>
        <v>39600</v>
      </c>
      <c r="L656" s="695"/>
      <c r="M656" s="695"/>
      <c r="N656" s="695"/>
      <c r="O656" s="696">
        <f t="shared" si="47"/>
        <v>39600</v>
      </c>
      <c r="P656" s="687"/>
    </row>
    <row r="657" spans="1:89" ht="17.25" customHeight="1" x14ac:dyDescent="0.25">
      <c r="A657" s="692"/>
      <c r="B657" s="1375" t="s">
        <v>54</v>
      </c>
      <c r="C657" s="699">
        <v>80</v>
      </c>
      <c r="D657" s="836" t="s">
        <v>55</v>
      </c>
      <c r="E657" s="695">
        <v>450</v>
      </c>
      <c r="F657" s="695"/>
      <c r="G657" s="695"/>
      <c r="H657" s="695"/>
      <c r="I657" s="695"/>
      <c r="J657" s="695">
        <f>C657*E657</f>
        <v>36000</v>
      </c>
      <c r="K657" s="695">
        <f>I657+J657</f>
        <v>36000</v>
      </c>
      <c r="L657" s="695"/>
      <c r="M657" s="695"/>
      <c r="N657" s="695"/>
      <c r="O657" s="696">
        <f t="shared" si="47"/>
        <v>36000</v>
      </c>
      <c r="P657" s="687"/>
    </row>
    <row r="658" spans="1:89" ht="17.25" customHeight="1" x14ac:dyDescent="0.25">
      <c r="A658" s="692"/>
      <c r="B658" s="1419" t="s">
        <v>56</v>
      </c>
      <c r="C658" s="699">
        <v>80</v>
      </c>
      <c r="D658" s="836" t="s">
        <v>55</v>
      </c>
      <c r="E658" s="695">
        <v>350</v>
      </c>
      <c r="F658" s="695"/>
      <c r="G658" s="695"/>
      <c r="H658" s="695"/>
      <c r="I658" s="695"/>
      <c r="J658" s="695">
        <f>C658*E658</f>
        <v>28000</v>
      </c>
      <c r="K658" s="695">
        <f>I658+J658</f>
        <v>28000</v>
      </c>
      <c r="L658" s="695"/>
      <c r="M658" s="695"/>
      <c r="N658" s="695"/>
      <c r="O658" s="696">
        <f t="shared" si="47"/>
        <v>28000</v>
      </c>
      <c r="P658" s="687"/>
    </row>
    <row r="659" spans="1:89" ht="17.25" customHeight="1" x14ac:dyDescent="0.25">
      <c r="A659" s="692"/>
      <c r="B659" s="1419"/>
      <c r="C659" s="699"/>
      <c r="D659" s="836"/>
      <c r="E659" s="695"/>
      <c r="F659" s="695"/>
      <c r="G659" s="695"/>
      <c r="H659" s="695"/>
      <c r="I659" s="695"/>
      <c r="J659" s="695"/>
      <c r="K659" s="695"/>
      <c r="L659" s="695"/>
      <c r="M659" s="695"/>
      <c r="N659" s="695"/>
      <c r="O659" s="696"/>
      <c r="P659" s="687"/>
    </row>
    <row r="660" spans="1:89" ht="17.25" customHeight="1" x14ac:dyDescent="0.25">
      <c r="A660" s="692">
        <v>6</v>
      </c>
      <c r="B660" s="1375" t="s">
        <v>158</v>
      </c>
      <c r="C660" s="699"/>
      <c r="D660" s="836"/>
      <c r="E660" s="714"/>
      <c r="F660" s="695"/>
      <c r="G660" s="695"/>
      <c r="H660" s="695"/>
      <c r="I660" s="695"/>
      <c r="J660" s="695"/>
      <c r="K660" s="695"/>
      <c r="L660" s="695"/>
      <c r="M660" s="695"/>
      <c r="N660" s="695"/>
      <c r="O660" s="696"/>
      <c r="P660" s="687"/>
    </row>
    <row r="661" spans="1:89" ht="17.25" customHeight="1" x14ac:dyDescent="0.25">
      <c r="A661" s="692"/>
      <c r="B661" s="1241" t="s">
        <v>657</v>
      </c>
      <c r="C661" s="699">
        <v>2</v>
      </c>
      <c r="D661" s="836" t="s">
        <v>660</v>
      </c>
      <c r="E661" s="714">
        <v>0</v>
      </c>
      <c r="F661" s="695"/>
      <c r="G661" s="695"/>
      <c r="H661" s="695"/>
      <c r="I661" s="695"/>
      <c r="J661" s="695"/>
      <c r="K661" s="695"/>
      <c r="L661" s="695">
        <f>C661*E661</f>
        <v>0</v>
      </c>
      <c r="M661" s="695"/>
      <c r="N661" s="695">
        <f>L661+M661</f>
        <v>0</v>
      </c>
      <c r="O661" s="696">
        <f>N661+K661+H661</f>
        <v>0</v>
      </c>
      <c r="P661" s="687"/>
    </row>
    <row r="662" spans="1:89" ht="17.25" customHeight="1" x14ac:dyDescent="0.25">
      <c r="A662" s="742"/>
      <c r="B662" s="756" t="s">
        <v>658</v>
      </c>
      <c r="C662" s="699">
        <v>4</v>
      </c>
      <c r="D662" s="739" t="s">
        <v>660</v>
      </c>
      <c r="E662" s="695">
        <v>0</v>
      </c>
      <c r="F662" s="714"/>
      <c r="G662" s="714"/>
      <c r="H662" s="714"/>
      <c r="I662" s="714"/>
      <c r="J662" s="714"/>
      <c r="K662" s="714"/>
      <c r="L662" s="714">
        <f>C662*E662</f>
        <v>0</v>
      </c>
      <c r="M662" s="714"/>
      <c r="N662" s="714">
        <f>L662+M662</f>
        <v>0</v>
      </c>
      <c r="O662" s="753">
        <f>N662+K662+H662</f>
        <v>0</v>
      </c>
      <c r="P662" s="754"/>
    </row>
    <row r="663" spans="1:89" ht="17.25" customHeight="1" x14ac:dyDescent="0.25">
      <c r="A663" s="742"/>
      <c r="B663" s="893" t="s">
        <v>659</v>
      </c>
      <c r="C663" s="713">
        <v>4</v>
      </c>
      <c r="D663" s="739" t="s">
        <v>660</v>
      </c>
      <c r="E663" s="714">
        <v>0</v>
      </c>
      <c r="F663" s="714"/>
      <c r="G663" s="714"/>
      <c r="H663" s="714"/>
      <c r="I663" s="714"/>
      <c r="J663" s="714"/>
      <c r="K663" s="714"/>
      <c r="L663" s="714">
        <f>C663*E663</f>
        <v>0</v>
      </c>
      <c r="M663" s="714"/>
      <c r="N663" s="714">
        <f>L663+M663</f>
        <v>0</v>
      </c>
      <c r="O663" s="753">
        <f>N663+K663+H663</f>
        <v>0</v>
      </c>
      <c r="P663" s="754"/>
    </row>
    <row r="664" spans="1:89" ht="17.25" customHeight="1" x14ac:dyDescent="0.25">
      <c r="A664" s="820"/>
      <c r="B664" s="894"/>
      <c r="C664" s="830"/>
      <c r="D664" s="831"/>
      <c r="E664" s="821"/>
      <c r="F664" s="821"/>
      <c r="G664" s="821"/>
      <c r="H664" s="821"/>
      <c r="I664" s="821"/>
      <c r="J664" s="821"/>
      <c r="K664" s="821"/>
      <c r="L664" s="821"/>
      <c r="M664" s="821"/>
      <c r="N664" s="821"/>
      <c r="O664" s="822"/>
      <c r="P664" s="687"/>
    </row>
    <row r="665" spans="1:89" ht="23.25" customHeight="1" x14ac:dyDescent="0.25">
      <c r="A665" s="1352" t="s">
        <v>111</v>
      </c>
      <c r="B665" s="1367" t="s">
        <v>112</v>
      </c>
      <c r="C665" s="1212"/>
      <c r="D665" s="1213"/>
      <c r="E665" s="1214"/>
      <c r="F665" s="1290">
        <f>F667+F676+F679+F682+F685+F694</f>
        <v>0</v>
      </c>
      <c r="G665" s="1290">
        <f>G667+G676+G679+G682+G685+G694</f>
        <v>0</v>
      </c>
      <c r="H665" s="1214">
        <f>G665+F665</f>
        <v>0</v>
      </c>
      <c r="I665" s="1290">
        <f>I667+I676+I679+I682+I685+I694</f>
        <v>0</v>
      </c>
      <c r="J665" s="1290">
        <f>J667+J676+J679+J682+J685+J694</f>
        <v>21029375</v>
      </c>
      <c r="K665" s="1214">
        <f>J665+I665</f>
        <v>21029375</v>
      </c>
      <c r="L665" s="1290">
        <f>L667+L676+L679+L682+L685+L694</f>
        <v>8633400</v>
      </c>
      <c r="M665" s="1290">
        <f>M667+M676+M679+M682+M685+M694</f>
        <v>0</v>
      </c>
      <c r="N665" s="1214">
        <f>M665+L665</f>
        <v>8633400</v>
      </c>
      <c r="O665" s="1215">
        <f>N665+K665+H665</f>
        <v>29662775</v>
      </c>
      <c r="P665" s="680"/>
    </row>
    <row r="666" spans="1:89" ht="17.25" customHeight="1" x14ac:dyDescent="0.25">
      <c r="A666" s="730"/>
      <c r="B666" s="873"/>
      <c r="C666" s="682"/>
      <c r="D666" s="683"/>
      <c r="E666" s="685"/>
      <c r="F666" s="685"/>
      <c r="G666" s="685"/>
      <c r="H666" s="685"/>
      <c r="I666" s="685"/>
      <c r="J666" s="685"/>
      <c r="K666" s="685"/>
      <c r="L666" s="685"/>
      <c r="M666" s="685"/>
      <c r="N666" s="685"/>
      <c r="O666" s="686">
        <f t="shared" ref="O666:O672" si="48">N666+K666+H666</f>
        <v>0</v>
      </c>
      <c r="P666" s="687"/>
    </row>
    <row r="667" spans="1:89" s="672" customFormat="1" ht="30.75" customHeight="1" x14ac:dyDescent="0.25">
      <c r="A667" s="737" t="s">
        <v>15</v>
      </c>
      <c r="B667" s="1368" t="s">
        <v>639</v>
      </c>
      <c r="C667" s="828"/>
      <c r="D667" s="738"/>
      <c r="E667" s="705"/>
      <c r="F667" s="874">
        <f>SUM(F668:F675)</f>
        <v>0</v>
      </c>
      <c r="G667" s="874">
        <f>SUM(G668:G675)</f>
        <v>0</v>
      </c>
      <c r="H667" s="705">
        <f>F667+G667</f>
        <v>0</v>
      </c>
      <c r="I667" s="874">
        <f>SUM(I668:I675)</f>
        <v>0</v>
      </c>
      <c r="J667" s="874">
        <f>SUM(J668:J675)</f>
        <v>0</v>
      </c>
      <c r="K667" s="705">
        <f>I667+J667</f>
        <v>0</v>
      </c>
      <c r="L667" s="874">
        <f>SUM(L668:L675)</f>
        <v>8633400</v>
      </c>
      <c r="M667" s="874">
        <f>SUM(M668:M675)</f>
        <v>0</v>
      </c>
      <c r="N667" s="705">
        <f t="shared" ref="N667:N672" si="49">L667+M667</f>
        <v>8633400</v>
      </c>
      <c r="O667" s="1370">
        <f t="shared" si="48"/>
        <v>8633400</v>
      </c>
      <c r="P667" s="829"/>
      <c r="Q667" s="1581"/>
      <c r="R667" s="1581"/>
      <c r="S667" s="1581"/>
      <c r="T667" s="1581"/>
      <c r="U667" s="1581"/>
      <c r="V667" s="1581"/>
      <c r="W667" s="1581"/>
      <c r="X667" s="1581"/>
      <c r="Y667" s="1581"/>
      <c r="Z667" s="1581"/>
      <c r="AA667" s="1581"/>
      <c r="AB667" s="1581"/>
      <c r="AC667" s="1581"/>
      <c r="AD667" s="1581"/>
      <c r="AE667" s="1581"/>
      <c r="AF667" s="1581"/>
      <c r="AG667" s="1581"/>
      <c r="AH667" s="1581"/>
      <c r="AI667" s="1581"/>
      <c r="AJ667" s="1581"/>
      <c r="AK667" s="1581"/>
      <c r="AL667" s="1581"/>
      <c r="AM667" s="1581"/>
      <c r="AN667" s="1581"/>
      <c r="AO667" s="1581"/>
      <c r="AP667" s="1581"/>
      <c r="AQ667" s="1581"/>
      <c r="AR667" s="1581"/>
      <c r="AS667" s="1581"/>
      <c r="AT667" s="1581"/>
      <c r="AU667" s="1581"/>
      <c r="AV667" s="1581"/>
      <c r="AW667" s="1581"/>
      <c r="AX667" s="1581"/>
      <c r="AY667" s="1581"/>
      <c r="AZ667" s="1581"/>
      <c r="BA667" s="1581"/>
      <c r="BB667" s="1581"/>
      <c r="BC667" s="1581"/>
      <c r="BD667" s="1581"/>
      <c r="BE667" s="1581"/>
      <c r="BF667" s="1581"/>
      <c r="BG667" s="1581"/>
      <c r="BH667" s="1581"/>
      <c r="BI667" s="1581"/>
      <c r="BJ667" s="1581"/>
      <c r="BK667" s="1581"/>
      <c r="BL667" s="1581"/>
      <c r="BM667" s="1581"/>
      <c r="BN667" s="1581"/>
      <c r="BO667" s="1581"/>
      <c r="BP667" s="1581"/>
      <c r="BQ667" s="1581"/>
      <c r="BR667" s="1581"/>
      <c r="BS667" s="1581"/>
      <c r="BT667" s="1581"/>
      <c r="BU667" s="1581"/>
      <c r="BV667" s="1581"/>
      <c r="BW667" s="1581"/>
      <c r="BX667" s="1581"/>
      <c r="BY667" s="1581"/>
      <c r="BZ667" s="1581"/>
      <c r="CA667" s="1581"/>
      <c r="CB667" s="1581"/>
      <c r="CC667" s="1581"/>
      <c r="CD667" s="1581"/>
      <c r="CE667" s="1581"/>
      <c r="CF667" s="1581"/>
      <c r="CG667" s="1581"/>
      <c r="CH667" s="1581"/>
      <c r="CI667" s="1581"/>
      <c r="CJ667" s="1581"/>
      <c r="CK667" s="1581"/>
    </row>
    <row r="668" spans="1:89" ht="17.25" customHeight="1" x14ac:dyDescent="0.25">
      <c r="A668" s="692">
        <v>1</v>
      </c>
      <c r="B668" s="1420" t="s">
        <v>634</v>
      </c>
      <c r="C668" s="789">
        <v>1</v>
      </c>
      <c r="D668" s="1405" t="s">
        <v>60</v>
      </c>
      <c r="E668" s="895">
        <f>1625400-500000</f>
        <v>1125400</v>
      </c>
      <c r="F668" s="1421"/>
      <c r="G668" s="1421"/>
      <c r="H668" s="1421"/>
      <c r="I668" s="1421"/>
      <c r="J668" s="1421"/>
      <c r="K668" s="1421"/>
      <c r="L668" s="1421">
        <f t="shared" ref="L668:L674" si="50">E668*C668</f>
        <v>1125400</v>
      </c>
      <c r="M668" s="1421"/>
      <c r="N668" s="1421">
        <f t="shared" si="49"/>
        <v>1125400</v>
      </c>
      <c r="O668" s="1422">
        <f t="shared" si="48"/>
        <v>1125400</v>
      </c>
      <c r="P668" s="1423"/>
    </row>
    <row r="669" spans="1:89" ht="20.25" customHeight="1" x14ac:dyDescent="0.25">
      <c r="A669" s="692">
        <v>2</v>
      </c>
      <c r="B669" s="1420" t="s">
        <v>635</v>
      </c>
      <c r="C669" s="789">
        <v>1</v>
      </c>
      <c r="D669" s="1405" t="s">
        <v>60</v>
      </c>
      <c r="E669" s="895">
        <f>2000000-500000</f>
        <v>1500000</v>
      </c>
      <c r="F669" s="1421"/>
      <c r="G669" s="1421"/>
      <c r="H669" s="1421"/>
      <c r="I669" s="1421"/>
      <c r="J669" s="1421"/>
      <c r="K669" s="1421"/>
      <c r="L669" s="1421">
        <f t="shared" si="50"/>
        <v>1500000</v>
      </c>
      <c r="M669" s="1421"/>
      <c r="N669" s="1421">
        <f t="shared" si="49"/>
        <v>1500000</v>
      </c>
      <c r="O669" s="1422">
        <f t="shared" si="48"/>
        <v>1500000</v>
      </c>
      <c r="P669" s="1423"/>
    </row>
    <row r="670" spans="1:89" s="672" customFormat="1" ht="18" customHeight="1" x14ac:dyDescent="0.25">
      <c r="A670" s="692">
        <v>3</v>
      </c>
      <c r="B670" s="1420" t="s">
        <v>636</v>
      </c>
      <c r="C670" s="789">
        <v>1</v>
      </c>
      <c r="D670" s="1405" t="s">
        <v>60</v>
      </c>
      <c r="E670" s="895">
        <f>2000000-500000</f>
        <v>1500000</v>
      </c>
      <c r="F670" s="1421"/>
      <c r="G670" s="1421"/>
      <c r="H670" s="1421"/>
      <c r="I670" s="1421"/>
      <c r="J670" s="1421"/>
      <c r="K670" s="1421"/>
      <c r="L670" s="1421">
        <f t="shared" si="50"/>
        <v>1500000</v>
      </c>
      <c r="M670" s="1421"/>
      <c r="N670" s="1421">
        <f t="shared" si="49"/>
        <v>1500000</v>
      </c>
      <c r="O670" s="1422">
        <f t="shared" si="48"/>
        <v>1500000</v>
      </c>
      <c r="P670" s="1423"/>
      <c r="Q670" s="1581"/>
      <c r="R670" s="1581"/>
      <c r="S670" s="1581"/>
      <c r="T670" s="1581"/>
      <c r="U670" s="1581"/>
      <c r="V670" s="1581"/>
      <c r="W670" s="1581"/>
      <c r="X670" s="1581"/>
      <c r="Y670" s="1581"/>
      <c r="Z670" s="1581"/>
      <c r="AA670" s="1581"/>
      <c r="AB670" s="1581"/>
      <c r="AC670" s="1581"/>
      <c r="AD670" s="1581"/>
      <c r="AE670" s="1581"/>
      <c r="AF670" s="1581"/>
      <c r="AG670" s="1581"/>
      <c r="AH670" s="1581"/>
      <c r="AI670" s="1581"/>
      <c r="AJ670" s="1581"/>
      <c r="AK670" s="1581"/>
      <c r="AL670" s="1581"/>
      <c r="AM670" s="1581"/>
      <c r="AN670" s="1581"/>
      <c r="AO670" s="1581"/>
      <c r="AP670" s="1581"/>
      <c r="AQ670" s="1581"/>
      <c r="AR670" s="1581"/>
      <c r="AS670" s="1581"/>
      <c r="AT670" s="1581"/>
      <c r="AU670" s="1581"/>
      <c r="AV670" s="1581"/>
      <c r="AW670" s="1581"/>
      <c r="AX670" s="1581"/>
      <c r="AY670" s="1581"/>
      <c r="AZ670" s="1581"/>
      <c r="BA670" s="1581"/>
      <c r="BB670" s="1581"/>
      <c r="BC670" s="1581"/>
      <c r="BD670" s="1581"/>
      <c r="BE670" s="1581"/>
      <c r="BF670" s="1581"/>
      <c r="BG670" s="1581"/>
      <c r="BH670" s="1581"/>
      <c r="BI670" s="1581"/>
      <c r="BJ670" s="1581"/>
      <c r="BK670" s="1581"/>
      <c r="BL670" s="1581"/>
      <c r="BM670" s="1581"/>
      <c r="BN670" s="1581"/>
      <c r="BO670" s="1581"/>
      <c r="BP670" s="1581"/>
      <c r="BQ670" s="1581"/>
      <c r="BR670" s="1581"/>
      <c r="BS670" s="1581"/>
      <c r="BT670" s="1581"/>
      <c r="BU670" s="1581"/>
      <c r="BV670" s="1581"/>
      <c r="BW670" s="1581"/>
      <c r="BX670" s="1581"/>
      <c r="BY670" s="1581"/>
      <c r="BZ670" s="1581"/>
      <c r="CA670" s="1581"/>
      <c r="CB670" s="1581"/>
      <c r="CC670" s="1581"/>
      <c r="CD670" s="1581"/>
      <c r="CE670" s="1581"/>
      <c r="CF670" s="1581"/>
      <c r="CG670" s="1581"/>
      <c r="CH670" s="1581"/>
      <c r="CI670" s="1581"/>
      <c r="CJ670" s="1581"/>
      <c r="CK670" s="1581"/>
    </row>
    <row r="671" spans="1:89" s="672" customFormat="1" ht="18" customHeight="1" x14ac:dyDescent="0.25">
      <c r="A671" s="692">
        <v>4</v>
      </c>
      <c r="B671" s="1420" t="s">
        <v>637</v>
      </c>
      <c r="C671" s="789">
        <v>1</v>
      </c>
      <c r="D671" s="1405" t="s">
        <v>60</v>
      </c>
      <c r="E671" s="895">
        <f>2000000-500000</f>
        <v>1500000</v>
      </c>
      <c r="F671" s="1421"/>
      <c r="G671" s="1421"/>
      <c r="H671" s="1421"/>
      <c r="I671" s="1421"/>
      <c r="J671" s="1421"/>
      <c r="K671" s="1421"/>
      <c r="L671" s="1421">
        <f t="shared" si="50"/>
        <v>1500000</v>
      </c>
      <c r="M671" s="1421"/>
      <c r="N671" s="1421">
        <f t="shared" si="49"/>
        <v>1500000</v>
      </c>
      <c r="O671" s="1422">
        <f t="shared" si="48"/>
        <v>1500000</v>
      </c>
      <c r="P671" s="1423"/>
      <c r="Q671" s="1581"/>
      <c r="R671" s="1581"/>
      <c r="S671" s="1581"/>
      <c r="T671" s="1581"/>
      <c r="U671" s="1581"/>
      <c r="V671" s="1581"/>
      <c r="W671" s="1581"/>
      <c r="X671" s="1581"/>
      <c r="Y671" s="1581"/>
      <c r="Z671" s="1581"/>
      <c r="AA671" s="1581"/>
      <c r="AB671" s="1581"/>
      <c r="AC671" s="1581"/>
      <c r="AD671" s="1581"/>
      <c r="AE671" s="1581"/>
      <c r="AF671" s="1581"/>
      <c r="AG671" s="1581"/>
      <c r="AH671" s="1581"/>
      <c r="AI671" s="1581"/>
      <c r="AJ671" s="1581"/>
      <c r="AK671" s="1581"/>
      <c r="AL671" s="1581"/>
      <c r="AM671" s="1581"/>
      <c r="AN671" s="1581"/>
      <c r="AO671" s="1581"/>
      <c r="AP671" s="1581"/>
      <c r="AQ671" s="1581"/>
      <c r="AR671" s="1581"/>
      <c r="AS671" s="1581"/>
      <c r="AT671" s="1581"/>
      <c r="AU671" s="1581"/>
      <c r="AV671" s="1581"/>
      <c r="AW671" s="1581"/>
      <c r="AX671" s="1581"/>
      <c r="AY671" s="1581"/>
      <c r="AZ671" s="1581"/>
      <c r="BA671" s="1581"/>
      <c r="BB671" s="1581"/>
      <c r="BC671" s="1581"/>
      <c r="BD671" s="1581"/>
      <c r="BE671" s="1581"/>
      <c r="BF671" s="1581"/>
      <c r="BG671" s="1581"/>
      <c r="BH671" s="1581"/>
      <c r="BI671" s="1581"/>
      <c r="BJ671" s="1581"/>
      <c r="BK671" s="1581"/>
      <c r="BL671" s="1581"/>
      <c r="BM671" s="1581"/>
      <c r="BN671" s="1581"/>
      <c r="BO671" s="1581"/>
      <c r="BP671" s="1581"/>
      <c r="BQ671" s="1581"/>
      <c r="BR671" s="1581"/>
      <c r="BS671" s="1581"/>
      <c r="BT671" s="1581"/>
      <c r="BU671" s="1581"/>
      <c r="BV671" s="1581"/>
      <c r="BW671" s="1581"/>
      <c r="BX671" s="1581"/>
      <c r="BY671" s="1581"/>
      <c r="BZ671" s="1581"/>
      <c r="CA671" s="1581"/>
      <c r="CB671" s="1581"/>
      <c r="CC671" s="1581"/>
      <c r="CD671" s="1581"/>
      <c r="CE671" s="1581"/>
      <c r="CF671" s="1581"/>
      <c r="CG671" s="1581"/>
      <c r="CH671" s="1581"/>
      <c r="CI671" s="1581"/>
      <c r="CJ671" s="1581"/>
      <c r="CK671" s="1581"/>
    </row>
    <row r="672" spans="1:89" ht="21.75" customHeight="1" x14ac:dyDescent="0.25">
      <c r="A672" s="692">
        <v>5</v>
      </c>
      <c r="B672" s="1420" t="s">
        <v>638</v>
      </c>
      <c r="C672" s="789">
        <v>1</v>
      </c>
      <c r="D672" s="1405" t="s">
        <v>60</v>
      </c>
      <c r="E672" s="895">
        <f>2008000-1000000</f>
        <v>1008000</v>
      </c>
      <c r="F672" s="1421"/>
      <c r="G672" s="1421"/>
      <c r="H672" s="1421"/>
      <c r="I672" s="1421"/>
      <c r="J672" s="1421"/>
      <c r="K672" s="1421"/>
      <c r="L672" s="1421">
        <f t="shared" si="50"/>
        <v>1008000</v>
      </c>
      <c r="M672" s="1421"/>
      <c r="N672" s="1421">
        <f t="shared" si="49"/>
        <v>1008000</v>
      </c>
      <c r="O672" s="1422">
        <f t="shared" si="48"/>
        <v>1008000</v>
      </c>
      <c r="P672" s="1423"/>
    </row>
    <row r="673" spans="1:89" ht="21.75" customHeight="1" x14ac:dyDescent="0.25">
      <c r="A673" s="692">
        <v>6</v>
      </c>
      <c r="B673" s="1420" t="s">
        <v>1744</v>
      </c>
      <c r="C673" s="789">
        <v>1</v>
      </c>
      <c r="D673" s="1405" t="s">
        <v>60</v>
      </c>
      <c r="E673" s="895">
        <v>1000000</v>
      </c>
      <c r="F673" s="1421"/>
      <c r="G673" s="1421"/>
      <c r="H673" s="1421"/>
      <c r="I673" s="1421"/>
      <c r="J673" s="1421"/>
      <c r="K673" s="1421"/>
      <c r="L673" s="1421">
        <f t="shared" si="50"/>
        <v>1000000</v>
      </c>
      <c r="M673" s="1421"/>
      <c r="N673" s="1421">
        <f>L673+M673</f>
        <v>1000000</v>
      </c>
      <c r="O673" s="1422">
        <f>N673+K673+H673</f>
        <v>1000000</v>
      </c>
      <c r="P673" s="1423"/>
    </row>
    <row r="674" spans="1:89" ht="21.75" customHeight="1" x14ac:dyDescent="0.25">
      <c r="A674" s="692">
        <v>7</v>
      </c>
      <c r="B674" s="1420" t="s">
        <v>1765</v>
      </c>
      <c r="C674" s="789">
        <v>1</v>
      </c>
      <c r="D674" s="1405" t="s">
        <v>60</v>
      </c>
      <c r="E674" s="895">
        <v>1000000</v>
      </c>
      <c r="F674" s="1421"/>
      <c r="G674" s="1421"/>
      <c r="H674" s="1421"/>
      <c r="I674" s="1421"/>
      <c r="J674" s="1421"/>
      <c r="K674" s="1421"/>
      <c r="L674" s="1421">
        <f t="shared" si="50"/>
        <v>1000000</v>
      </c>
      <c r="M674" s="1421"/>
      <c r="N674" s="1421">
        <f>L674+M674</f>
        <v>1000000</v>
      </c>
      <c r="O674" s="1422">
        <f>N674+K674+H674</f>
        <v>1000000</v>
      </c>
      <c r="P674" s="1423"/>
    </row>
    <row r="675" spans="1:89" ht="17.25" customHeight="1" x14ac:dyDescent="0.25">
      <c r="A675" s="692"/>
      <c r="B675" s="757"/>
      <c r="C675" s="713"/>
      <c r="D675" s="727"/>
      <c r="E675" s="695"/>
      <c r="F675" s="695"/>
      <c r="G675" s="695"/>
      <c r="H675" s="695"/>
      <c r="I675" s="695"/>
      <c r="J675" s="695"/>
      <c r="K675" s="695"/>
      <c r="L675" s="695"/>
      <c r="M675" s="695"/>
      <c r="N675" s="695"/>
      <c r="O675" s="696"/>
      <c r="P675" s="687"/>
    </row>
    <row r="676" spans="1:89" s="1263" customFormat="1" ht="17.25" customHeight="1" x14ac:dyDescent="0.25">
      <c r="A676" s="740"/>
      <c r="B676" s="1368" t="s">
        <v>640</v>
      </c>
      <c r="C676" s="828"/>
      <c r="D676" s="1369"/>
      <c r="E676" s="705"/>
      <c r="F676" s="705">
        <f>SUM(F677:F677)</f>
        <v>0</v>
      </c>
      <c r="G676" s="705">
        <f>SUM(G677:G677)</f>
        <v>0</v>
      </c>
      <c r="H676" s="705">
        <f>F676+G676</f>
        <v>0</v>
      </c>
      <c r="I676" s="705">
        <f>SUM(I677:I677)</f>
        <v>0</v>
      </c>
      <c r="J676" s="705">
        <f>SUM(J677:J677)</f>
        <v>7500000</v>
      </c>
      <c r="K676" s="705">
        <f>I676+J676</f>
        <v>7500000</v>
      </c>
      <c r="L676" s="705">
        <f>SUM(L677:L677)</f>
        <v>0</v>
      </c>
      <c r="M676" s="705">
        <f>SUM(M677:M677)</f>
        <v>0</v>
      </c>
      <c r="N676" s="705">
        <f>L676+M676</f>
        <v>0</v>
      </c>
      <c r="O676" s="1370">
        <f>N676+K676+H676</f>
        <v>7500000</v>
      </c>
      <c r="P676" s="829"/>
      <c r="Q676" s="1823"/>
      <c r="R676" s="1823"/>
      <c r="S676" s="1823"/>
      <c r="T676" s="1823"/>
      <c r="U676" s="1823"/>
      <c r="V676" s="1823"/>
      <c r="W676" s="1823"/>
      <c r="X676" s="1823"/>
      <c r="Y676" s="1823"/>
      <c r="Z676" s="1823"/>
      <c r="AA676" s="1823"/>
      <c r="AB676" s="1823"/>
      <c r="AC676" s="1823"/>
      <c r="AD676" s="1823"/>
      <c r="AE676" s="1823"/>
      <c r="AF676" s="1823"/>
      <c r="AG676" s="1823"/>
      <c r="AH676" s="1823"/>
      <c r="AI676" s="1823"/>
      <c r="AJ676" s="1823"/>
      <c r="AK676" s="1823"/>
      <c r="AL676" s="1823"/>
      <c r="AM676" s="1823"/>
      <c r="AN676" s="1823"/>
      <c r="AO676" s="1823"/>
      <c r="AP676" s="1823"/>
      <c r="AQ676" s="1823"/>
      <c r="AR676" s="1823"/>
      <c r="AS676" s="1823"/>
      <c r="AT676" s="1823"/>
      <c r="AU676" s="1823"/>
      <c r="AV676" s="1823"/>
      <c r="AW676" s="1823"/>
      <c r="AX676" s="1823"/>
      <c r="AY676" s="1823"/>
      <c r="AZ676" s="1823"/>
      <c r="BA676" s="1823"/>
      <c r="BB676" s="1823"/>
      <c r="BC676" s="1823"/>
      <c r="BD676" s="1823"/>
      <c r="BE676" s="1823"/>
      <c r="BF676" s="1823"/>
      <c r="BG676" s="1823"/>
      <c r="BH676" s="1823"/>
      <c r="BI676" s="1823"/>
      <c r="BJ676" s="1823"/>
      <c r="BK676" s="1823"/>
      <c r="BL676" s="1823"/>
      <c r="BM676" s="1823"/>
      <c r="BN676" s="1823"/>
      <c r="BO676" s="1823"/>
      <c r="BP676" s="1823"/>
      <c r="BQ676" s="1823"/>
      <c r="BR676" s="1823"/>
      <c r="BS676" s="1823"/>
      <c r="BT676" s="1823"/>
      <c r="BU676" s="1823"/>
      <c r="BV676" s="1823"/>
      <c r="BW676" s="1823"/>
      <c r="BX676" s="1823"/>
      <c r="BY676" s="1823"/>
      <c r="BZ676" s="1823"/>
      <c r="CA676" s="1823"/>
      <c r="CB676" s="1823"/>
      <c r="CC676" s="1823"/>
      <c r="CD676" s="1823"/>
      <c r="CE676" s="1823"/>
      <c r="CF676" s="1823"/>
      <c r="CG676" s="1823"/>
      <c r="CH676" s="1823"/>
      <c r="CI676" s="1823"/>
      <c r="CJ676" s="1823"/>
      <c r="CK676" s="1823"/>
    </row>
    <row r="677" spans="1:89" s="673" customFormat="1" ht="17.25" customHeight="1" x14ac:dyDescent="0.25">
      <c r="A677" s="692">
        <v>1</v>
      </c>
      <c r="B677" s="757" t="s">
        <v>641</v>
      </c>
      <c r="C677" s="789">
        <v>1</v>
      </c>
      <c r="D677" s="1405" t="s">
        <v>16</v>
      </c>
      <c r="E677" s="712">
        <f>13899850-6399850</f>
        <v>7500000</v>
      </c>
      <c r="F677" s="695"/>
      <c r="G677" s="695"/>
      <c r="H677" s="695"/>
      <c r="I677" s="695"/>
      <c r="J677" s="695">
        <f>E677*C677</f>
        <v>7500000</v>
      </c>
      <c r="K677" s="695">
        <f>J677+I677</f>
        <v>7500000</v>
      </c>
      <c r="L677" s="695"/>
      <c r="M677" s="695"/>
      <c r="N677" s="695">
        <f>M677+L677</f>
        <v>0</v>
      </c>
      <c r="O677" s="696">
        <f>N677+K677+H677</f>
        <v>7500000</v>
      </c>
      <c r="P677" s="687"/>
      <c r="Q677" s="783"/>
      <c r="R677" s="783"/>
      <c r="S677" s="783"/>
      <c r="T677" s="783"/>
      <c r="U677" s="783"/>
      <c r="V677" s="783"/>
      <c r="W677" s="783"/>
      <c r="X677" s="783"/>
      <c r="Y677" s="783"/>
      <c r="Z677" s="783"/>
      <c r="AA677" s="783"/>
      <c r="AB677" s="783"/>
      <c r="AC677" s="783"/>
      <c r="AD677" s="783"/>
      <c r="AE677" s="783"/>
      <c r="AF677" s="783"/>
      <c r="AG677" s="783"/>
      <c r="AH677" s="783"/>
      <c r="AI677" s="783"/>
      <c r="AJ677" s="783"/>
      <c r="AK677" s="783"/>
      <c r="AL677" s="783"/>
      <c r="AM677" s="783"/>
      <c r="AN677" s="783"/>
      <c r="AO677" s="783"/>
      <c r="AP677" s="783"/>
      <c r="AQ677" s="783"/>
      <c r="AR677" s="783"/>
      <c r="AS677" s="783"/>
      <c r="AT677" s="783"/>
      <c r="AU677" s="783"/>
      <c r="AV677" s="783"/>
      <c r="AW677" s="783"/>
      <c r="AX677" s="783"/>
      <c r="AY677" s="783"/>
      <c r="AZ677" s="783"/>
      <c r="BA677" s="783"/>
      <c r="BB677" s="783"/>
      <c r="BC677" s="783"/>
      <c r="BD677" s="783"/>
      <c r="BE677" s="783"/>
      <c r="BF677" s="783"/>
      <c r="BG677" s="783"/>
      <c r="BH677" s="783"/>
      <c r="BI677" s="783"/>
      <c r="BJ677" s="783"/>
      <c r="BK677" s="783"/>
      <c r="BL677" s="783"/>
      <c r="BM677" s="783"/>
      <c r="BN677" s="783"/>
      <c r="BO677" s="783"/>
      <c r="BP677" s="783"/>
      <c r="BQ677" s="783"/>
      <c r="BR677" s="783"/>
      <c r="BS677" s="783"/>
      <c r="BT677" s="783"/>
      <c r="BU677" s="783"/>
      <c r="BV677" s="783"/>
      <c r="BW677" s="783"/>
      <c r="BX677" s="783"/>
      <c r="BY677" s="783"/>
      <c r="BZ677" s="783"/>
      <c r="CA677" s="783"/>
      <c r="CB677" s="783"/>
      <c r="CC677" s="783"/>
      <c r="CD677" s="783"/>
      <c r="CE677" s="783"/>
      <c r="CF677" s="783"/>
      <c r="CG677" s="783"/>
      <c r="CH677" s="783"/>
      <c r="CI677" s="783"/>
      <c r="CJ677" s="783"/>
      <c r="CK677" s="783"/>
    </row>
    <row r="678" spans="1:89" ht="17.25" customHeight="1" x14ac:dyDescent="0.25">
      <c r="A678" s="740"/>
      <c r="B678" s="891"/>
      <c r="C678" s="828"/>
      <c r="D678" s="738"/>
      <c r="E678" s="705"/>
      <c r="F678" s="705"/>
      <c r="G678" s="705"/>
      <c r="H678" s="705"/>
      <c r="I678" s="705"/>
      <c r="J678" s="705"/>
      <c r="K678" s="705"/>
      <c r="L678" s="705"/>
      <c r="M678" s="705"/>
      <c r="N678" s="705"/>
      <c r="O678" s="1370"/>
      <c r="P678" s="829"/>
    </row>
    <row r="679" spans="1:89" s="672" customFormat="1" ht="24" customHeight="1" x14ac:dyDescent="0.25">
      <c r="A679" s="740"/>
      <c r="B679" s="741" t="s">
        <v>61</v>
      </c>
      <c r="C679" s="828"/>
      <c r="D679" s="1369"/>
      <c r="E679" s="705"/>
      <c r="F679" s="705">
        <f>SUM(F680:F680)</f>
        <v>0</v>
      </c>
      <c r="G679" s="705">
        <f>SUM(G680:G680)</f>
        <v>0</v>
      </c>
      <c r="H679" s="705">
        <f>F679+G679</f>
        <v>0</v>
      </c>
      <c r="I679" s="705">
        <f>SUM(I680:I680)</f>
        <v>0</v>
      </c>
      <c r="J679" s="705">
        <f>SUM(J680:J680)</f>
        <v>5000000</v>
      </c>
      <c r="K679" s="705">
        <f>I679+J679</f>
        <v>5000000</v>
      </c>
      <c r="L679" s="705">
        <f>SUM(L680:L680)</f>
        <v>0</v>
      </c>
      <c r="M679" s="705">
        <f>SUM(M680:M680)</f>
        <v>0</v>
      </c>
      <c r="N679" s="705">
        <f>L679+M679</f>
        <v>0</v>
      </c>
      <c r="O679" s="1370">
        <f>N679+K679+H679</f>
        <v>5000000</v>
      </c>
      <c r="P679" s="829"/>
      <c r="Q679" s="1581"/>
      <c r="R679" s="1581"/>
      <c r="S679" s="1581"/>
      <c r="T679" s="1581"/>
      <c r="U679" s="1581"/>
      <c r="V679" s="1581"/>
      <c r="W679" s="1581"/>
      <c r="X679" s="1581"/>
      <c r="Y679" s="1581"/>
      <c r="Z679" s="1581"/>
      <c r="AA679" s="1581"/>
      <c r="AB679" s="1581"/>
      <c r="AC679" s="1581"/>
      <c r="AD679" s="1581"/>
      <c r="AE679" s="1581"/>
      <c r="AF679" s="1581"/>
      <c r="AG679" s="1581"/>
      <c r="AH679" s="1581"/>
      <c r="AI679" s="1581"/>
      <c r="AJ679" s="1581"/>
      <c r="AK679" s="1581"/>
      <c r="AL679" s="1581"/>
      <c r="AM679" s="1581"/>
      <c r="AN679" s="1581"/>
      <c r="AO679" s="1581"/>
      <c r="AP679" s="1581"/>
      <c r="AQ679" s="1581"/>
      <c r="AR679" s="1581"/>
      <c r="AS679" s="1581"/>
      <c r="AT679" s="1581"/>
      <c r="AU679" s="1581"/>
      <c r="AV679" s="1581"/>
      <c r="AW679" s="1581"/>
      <c r="AX679" s="1581"/>
      <c r="AY679" s="1581"/>
      <c r="AZ679" s="1581"/>
      <c r="BA679" s="1581"/>
      <c r="BB679" s="1581"/>
      <c r="BC679" s="1581"/>
      <c r="BD679" s="1581"/>
      <c r="BE679" s="1581"/>
      <c r="BF679" s="1581"/>
      <c r="BG679" s="1581"/>
      <c r="BH679" s="1581"/>
      <c r="BI679" s="1581"/>
      <c r="BJ679" s="1581"/>
      <c r="BK679" s="1581"/>
      <c r="BL679" s="1581"/>
      <c r="BM679" s="1581"/>
      <c r="BN679" s="1581"/>
      <c r="BO679" s="1581"/>
      <c r="BP679" s="1581"/>
      <c r="BQ679" s="1581"/>
      <c r="BR679" s="1581"/>
      <c r="BS679" s="1581"/>
      <c r="BT679" s="1581"/>
      <c r="BU679" s="1581"/>
      <c r="BV679" s="1581"/>
      <c r="BW679" s="1581"/>
      <c r="BX679" s="1581"/>
      <c r="BY679" s="1581"/>
      <c r="BZ679" s="1581"/>
      <c r="CA679" s="1581"/>
      <c r="CB679" s="1581"/>
      <c r="CC679" s="1581"/>
      <c r="CD679" s="1581"/>
      <c r="CE679" s="1581"/>
      <c r="CF679" s="1581"/>
      <c r="CG679" s="1581"/>
      <c r="CH679" s="1581"/>
      <c r="CI679" s="1581"/>
      <c r="CJ679" s="1581"/>
      <c r="CK679" s="1581"/>
    </row>
    <row r="680" spans="1:89" s="673" customFormat="1" ht="17.25" customHeight="1" x14ac:dyDescent="0.25">
      <c r="A680" s="692"/>
      <c r="B680" s="744" t="s">
        <v>1526</v>
      </c>
      <c r="C680" s="713">
        <v>1</v>
      </c>
      <c r="D680" s="880" t="s">
        <v>16</v>
      </c>
      <c r="E680" s="714">
        <v>5000000</v>
      </c>
      <c r="F680" s="695"/>
      <c r="G680" s="695"/>
      <c r="H680" s="695"/>
      <c r="I680" s="695"/>
      <c r="J680" s="695">
        <f>E680*C680</f>
        <v>5000000</v>
      </c>
      <c r="K680" s="695">
        <f>J680+I680</f>
        <v>5000000</v>
      </c>
      <c r="L680" s="695"/>
      <c r="M680" s="695"/>
      <c r="N680" s="695"/>
      <c r="O680" s="696">
        <f>N680+K680+H680</f>
        <v>5000000</v>
      </c>
      <c r="P680" s="687"/>
      <c r="Q680" s="783"/>
      <c r="R680" s="783"/>
      <c r="S680" s="783"/>
      <c r="T680" s="783"/>
      <c r="U680" s="783"/>
      <c r="V680" s="783"/>
      <c r="W680" s="783"/>
      <c r="X680" s="783"/>
      <c r="Y680" s="783"/>
      <c r="Z680" s="783"/>
      <c r="AA680" s="783"/>
      <c r="AB680" s="783"/>
      <c r="AC680" s="783"/>
      <c r="AD680" s="783"/>
      <c r="AE680" s="783"/>
      <c r="AF680" s="783"/>
      <c r="AG680" s="783"/>
      <c r="AH680" s="783"/>
      <c r="AI680" s="783"/>
      <c r="AJ680" s="783"/>
      <c r="AK680" s="783"/>
      <c r="AL680" s="783"/>
      <c r="AM680" s="783"/>
      <c r="AN680" s="783"/>
      <c r="AO680" s="783"/>
      <c r="AP680" s="783"/>
      <c r="AQ680" s="783"/>
      <c r="AR680" s="783"/>
      <c r="AS680" s="783"/>
      <c r="AT680" s="783"/>
      <c r="AU680" s="783"/>
      <c r="AV680" s="783"/>
      <c r="AW680" s="783"/>
      <c r="AX680" s="783"/>
      <c r="AY680" s="783"/>
      <c r="AZ680" s="783"/>
      <c r="BA680" s="783"/>
      <c r="BB680" s="783"/>
      <c r="BC680" s="783"/>
      <c r="BD680" s="783"/>
      <c r="BE680" s="783"/>
      <c r="BF680" s="783"/>
      <c r="BG680" s="783"/>
      <c r="BH680" s="783"/>
      <c r="BI680" s="783"/>
      <c r="BJ680" s="783"/>
      <c r="BK680" s="783"/>
      <c r="BL680" s="783"/>
      <c r="BM680" s="783"/>
      <c r="BN680" s="783"/>
      <c r="BO680" s="783"/>
      <c r="BP680" s="783"/>
      <c r="BQ680" s="783"/>
      <c r="BR680" s="783"/>
      <c r="BS680" s="783"/>
      <c r="BT680" s="783"/>
      <c r="BU680" s="783"/>
      <c r="BV680" s="783"/>
      <c r="BW680" s="783"/>
      <c r="BX680" s="783"/>
      <c r="BY680" s="783"/>
      <c r="BZ680" s="783"/>
      <c r="CA680" s="783"/>
      <c r="CB680" s="783"/>
      <c r="CC680" s="783"/>
      <c r="CD680" s="783"/>
      <c r="CE680" s="783"/>
      <c r="CF680" s="783"/>
      <c r="CG680" s="783"/>
      <c r="CH680" s="783"/>
      <c r="CI680" s="783"/>
      <c r="CJ680" s="783"/>
      <c r="CK680" s="783"/>
    </row>
    <row r="681" spans="1:89" ht="24" customHeight="1" x14ac:dyDescent="0.25">
      <c r="A681" s="692"/>
      <c r="B681" s="1371"/>
      <c r="C681" s="693"/>
      <c r="D681" s="727"/>
      <c r="E681" s="705"/>
      <c r="F681" s="695"/>
      <c r="G681" s="695"/>
      <c r="H681" s="695"/>
      <c r="I681" s="695"/>
      <c r="J681" s="695"/>
      <c r="K681" s="695"/>
      <c r="L681" s="695"/>
      <c r="M681" s="695"/>
      <c r="N681" s="695"/>
      <c r="O681" s="696"/>
      <c r="P681" s="687"/>
    </row>
    <row r="682" spans="1:89" s="1263" customFormat="1" ht="17.25" customHeight="1" x14ac:dyDescent="0.25">
      <c r="A682" s="740"/>
      <c r="B682" s="795" t="s">
        <v>1457</v>
      </c>
      <c r="C682" s="886"/>
      <c r="D682" s="1403"/>
      <c r="E682" s="874"/>
      <c r="F682" s="705">
        <f>SUM(F683:F684)</f>
        <v>0</v>
      </c>
      <c r="G682" s="705">
        <f>SUM(G683:G684)</f>
        <v>0</v>
      </c>
      <c r="H682" s="705">
        <f>F682+G682</f>
        <v>0</v>
      </c>
      <c r="I682" s="705">
        <f>SUM(I683:I684)</f>
        <v>0</v>
      </c>
      <c r="J682" s="705">
        <f>SUM(J683:J684)</f>
        <v>7000000</v>
      </c>
      <c r="K682" s="705">
        <f>I682+J682</f>
        <v>7000000</v>
      </c>
      <c r="L682" s="705">
        <f>SUM(L683:L684)</f>
        <v>0</v>
      </c>
      <c r="M682" s="705">
        <f>SUM(M683:M684)</f>
        <v>0</v>
      </c>
      <c r="N682" s="705">
        <f>L682+M682</f>
        <v>0</v>
      </c>
      <c r="O682" s="1370">
        <f>N682+K682+H682</f>
        <v>7000000</v>
      </c>
      <c r="P682" s="829"/>
      <c r="Q682" s="1823"/>
      <c r="R682" s="1823"/>
      <c r="S682" s="1823"/>
      <c r="T682" s="1823"/>
      <c r="U682" s="1823"/>
      <c r="V682" s="1823"/>
      <c r="W682" s="1823"/>
      <c r="X682" s="1823"/>
      <c r="Y682" s="1823"/>
      <c r="Z682" s="1823"/>
      <c r="AA682" s="1823"/>
      <c r="AB682" s="1823"/>
      <c r="AC682" s="1823"/>
      <c r="AD682" s="1823"/>
      <c r="AE682" s="1823"/>
      <c r="AF682" s="1823"/>
      <c r="AG682" s="1823"/>
      <c r="AH682" s="1823"/>
      <c r="AI682" s="1823"/>
      <c r="AJ682" s="1823"/>
      <c r="AK682" s="1823"/>
      <c r="AL682" s="1823"/>
      <c r="AM682" s="1823"/>
      <c r="AN682" s="1823"/>
      <c r="AO682" s="1823"/>
      <c r="AP682" s="1823"/>
      <c r="AQ682" s="1823"/>
      <c r="AR682" s="1823"/>
      <c r="AS682" s="1823"/>
      <c r="AT682" s="1823"/>
      <c r="AU682" s="1823"/>
      <c r="AV682" s="1823"/>
      <c r="AW682" s="1823"/>
      <c r="AX682" s="1823"/>
      <c r="AY682" s="1823"/>
      <c r="AZ682" s="1823"/>
      <c r="BA682" s="1823"/>
      <c r="BB682" s="1823"/>
      <c r="BC682" s="1823"/>
      <c r="BD682" s="1823"/>
      <c r="BE682" s="1823"/>
      <c r="BF682" s="1823"/>
      <c r="BG682" s="1823"/>
      <c r="BH682" s="1823"/>
      <c r="BI682" s="1823"/>
      <c r="BJ682" s="1823"/>
      <c r="BK682" s="1823"/>
      <c r="BL682" s="1823"/>
      <c r="BM682" s="1823"/>
      <c r="BN682" s="1823"/>
      <c r="BO682" s="1823"/>
      <c r="BP682" s="1823"/>
      <c r="BQ682" s="1823"/>
      <c r="BR682" s="1823"/>
      <c r="BS682" s="1823"/>
      <c r="BT682" s="1823"/>
      <c r="BU682" s="1823"/>
      <c r="BV682" s="1823"/>
      <c r="BW682" s="1823"/>
      <c r="BX682" s="1823"/>
      <c r="BY682" s="1823"/>
      <c r="BZ682" s="1823"/>
      <c r="CA682" s="1823"/>
      <c r="CB682" s="1823"/>
      <c r="CC682" s="1823"/>
      <c r="CD682" s="1823"/>
      <c r="CE682" s="1823"/>
      <c r="CF682" s="1823"/>
      <c r="CG682" s="1823"/>
      <c r="CH682" s="1823"/>
      <c r="CI682" s="1823"/>
      <c r="CJ682" s="1823"/>
      <c r="CK682" s="1823"/>
    </row>
    <row r="683" spans="1:89" ht="17.25" customHeight="1" x14ac:dyDescent="0.25">
      <c r="A683" s="692"/>
      <c r="B683" s="756" t="s">
        <v>1527</v>
      </c>
      <c r="C683" s="713">
        <v>1</v>
      </c>
      <c r="D683" s="880" t="s">
        <v>16</v>
      </c>
      <c r="E683" s="714">
        <f>7500000-500000</f>
        <v>7000000</v>
      </c>
      <c r="F683" s="714"/>
      <c r="G683" s="714"/>
      <c r="H683" s="714"/>
      <c r="I683" s="714"/>
      <c r="J683" s="714">
        <f>E683*C683</f>
        <v>7000000</v>
      </c>
      <c r="K683" s="714">
        <f>J683+I683</f>
        <v>7000000</v>
      </c>
      <c r="L683" s="714"/>
      <c r="M683" s="714"/>
      <c r="N683" s="714"/>
      <c r="O683" s="753">
        <f>N683+K683+H683</f>
        <v>7000000</v>
      </c>
      <c r="P683" s="754"/>
    </row>
    <row r="684" spans="1:89" ht="17.25" customHeight="1" x14ac:dyDescent="0.25">
      <c r="A684" s="692"/>
      <c r="B684" s="756"/>
      <c r="C684" s="713"/>
      <c r="D684" s="880"/>
      <c r="E684" s="714"/>
      <c r="F684" s="714"/>
      <c r="G684" s="714"/>
      <c r="H684" s="714"/>
      <c r="I684" s="714"/>
      <c r="J684" s="714"/>
      <c r="K684" s="714"/>
      <c r="L684" s="714"/>
      <c r="M684" s="714"/>
      <c r="N684" s="714"/>
      <c r="O684" s="753"/>
      <c r="P684" s="754"/>
    </row>
    <row r="685" spans="1:89" s="672" customFormat="1" ht="17.25" customHeight="1" x14ac:dyDescent="0.25">
      <c r="A685" s="740" t="s">
        <v>22</v>
      </c>
      <c r="B685" s="752" t="s">
        <v>23</v>
      </c>
      <c r="C685" s="886"/>
      <c r="D685" s="1403"/>
      <c r="E685" s="874"/>
      <c r="F685" s="874">
        <f>SUM(F686:F692)</f>
        <v>0</v>
      </c>
      <c r="G685" s="874">
        <f>SUM(G686:G692)</f>
        <v>0</v>
      </c>
      <c r="H685" s="874">
        <f>F685+G685</f>
        <v>0</v>
      </c>
      <c r="I685" s="874">
        <f>SUM(I686:I692)</f>
        <v>0</v>
      </c>
      <c r="J685" s="874">
        <f>SUM(J686:J692)</f>
        <v>1040000</v>
      </c>
      <c r="K685" s="874">
        <f>I685+J685</f>
        <v>1040000</v>
      </c>
      <c r="L685" s="874">
        <f>SUM(L686:L692)</f>
        <v>0</v>
      </c>
      <c r="M685" s="874">
        <f>SUM(M686:M692)</f>
        <v>0</v>
      </c>
      <c r="N685" s="874">
        <f>L685+M685</f>
        <v>0</v>
      </c>
      <c r="O685" s="775">
        <f>N685+K685+H685</f>
        <v>1040000</v>
      </c>
      <c r="P685" s="776"/>
      <c r="Q685" s="1581"/>
      <c r="R685" s="1581"/>
      <c r="S685" s="1581"/>
      <c r="T685" s="1581"/>
      <c r="U685" s="1581"/>
      <c r="V685" s="1581"/>
      <c r="W685" s="1581"/>
      <c r="X685" s="1581"/>
      <c r="Y685" s="1581"/>
      <c r="Z685" s="1581"/>
      <c r="AA685" s="1581"/>
      <c r="AB685" s="1581"/>
      <c r="AC685" s="1581"/>
      <c r="AD685" s="1581"/>
      <c r="AE685" s="1581"/>
      <c r="AF685" s="1581"/>
      <c r="AG685" s="1581"/>
      <c r="AH685" s="1581"/>
      <c r="AI685" s="1581"/>
      <c r="AJ685" s="1581"/>
      <c r="AK685" s="1581"/>
      <c r="AL685" s="1581"/>
      <c r="AM685" s="1581"/>
      <c r="AN685" s="1581"/>
      <c r="AO685" s="1581"/>
      <c r="AP685" s="1581"/>
      <c r="AQ685" s="1581"/>
      <c r="AR685" s="1581"/>
      <c r="AS685" s="1581"/>
      <c r="AT685" s="1581"/>
      <c r="AU685" s="1581"/>
      <c r="AV685" s="1581"/>
      <c r="AW685" s="1581"/>
      <c r="AX685" s="1581"/>
      <c r="AY685" s="1581"/>
      <c r="AZ685" s="1581"/>
      <c r="BA685" s="1581"/>
      <c r="BB685" s="1581"/>
      <c r="BC685" s="1581"/>
      <c r="BD685" s="1581"/>
      <c r="BE685" s="1581"/>
      <c r="BF685" s="1581"/>
      <c r="BG685" s="1581"/>
      <c r="BH685" s="1581"/>
      <c r="BI685" s="1581"/>
      <c r="BJ685" s="1581"/>
      <c r="BK685" s="1581"/>
      <c r="BL685" s="1581"/>
      <c r="BM685" s="1581"/>
      <c r="BN685" s="1581"/>
      <c r="BO685" s="1581"/>
      <c r="BP685" s="1581"/>
      <c r="BQ685" s="1581"/>
      <c r="BR685" s="1581"/>
      <c r="BS685" s="1581"/>
      <c r="BT685" s="1581"/>
      <c r="BU685" s="1581"/>
      <c r="BV685" s="1581"/>
      <c r="BW685" s="1581"/>
      <c r="BX685" s="1581"/>
      <c r="BY685" s="1581"/>
      <c r="BZ685" s="1581"/>
      <c r="CA685" s="1581"/>
      <c r="CB685" s="1581"/>
      <c r="CC685" s="1581"/>
      <c r="CD685" s="1581"/>
      <c r="CE685" s="1581"/>
      <c r="CF685" s="1581"/>
      <c r="CG685" s="1581"/>
      <c r="CH685" s="1581"/>
      <c r="CI685" s="1581"/>
      <c r="CJ685" s="1581"/>
      <c r="CK685" s="1581"/>
    </row>
    <row r="686" spans="1:89" ht="17.25" customHeight="1" x14ac:dyDescent="0.25">
      <c r="A686" s="692">
        <v>1</v>
      </c>
      <c r="B686" s="1402" t="s">
        <v>21</v>
      </c>
      <c r="C686" s="713"/>
      <c r="D686" s="880"/>
      <c r="E686" s="714"/>
      <c r="F686" s="714"/>
      <c r="G686" s="714"/>
      <c r="H686" s="714"/>
      <c r="I686" s="714"/>
      <c r="J686" s="714"/>
      <c r="K686" s="714"/>
      <c r="L686" s="714"/>
      <c r="M686" s="714"/>
      <c r="N686" s="714"/>
      <c r="O686" s="753">
        <f>N686+K686+H686</f>
        <v>0</v>
      </c>
      <c r="P686" s="754"/>
    </row>
    <row r="687" spans="1:89" ht="17.25" customHeight="1" x14ac:dyDescent="0.25">
      <c r="A687" s="692"/>
      <c r="B687" s="757" t="s">
        <v>691</v>
      </c>
      <c r="C687" s="713">
        <v>1</v>
      </c>
      <c r="D687" s="880" t="s">
        <v>25</v>
      </c>
      <c r="E687" s="714">
        <v>1000000</v>
      </c>
      <c r="F687" s="714"/>
      <c r="G687" s="714"/>
      <c r="H687" s="714"/>
      <c r="I687" s="714"/>
      <c r="J687" s="714">
        <f>E687*C687</f>
        <v>1000000</v>
      </c>
      <c r="K687" s="714">
        <f>I687+J687</f>
        <v>1000000</v>
      </c>
      <c r="L687" s="714"/>
      <c r="M687" s="714"/>
      <c r="N687" s="714"/>
      <c r="O687" s="753">
        <f>N687+K687+H687</f>
        <v>1000000</v>
      </c>
      <c r="P687" s="754"/>
    </row>
    <row r="688" spans="1:89" ht="17.25" customHeight="1" x14ac:dyDescent="0.25">
      <c r="A688" s="692"/>
      <c r="B688" s="756" t="s">
        <v>1931</v>
      </c>
      <c r="C688" s="713"/>
      <c r="D688" s="880"/>
      <c r="E688" s="714"/>
      <c r="F688" s="714"/>
      <c r="G688" s="714"/>
      <c r="H688" s="714"/>
      <c r="I688" s="714"/>
      <c r="J688" s="714"/>
      <c r="K688" s="714"/>
      <c r="L688" s="714"/>
      <c r="M688" s="714"/>
      <c r="N688" s="714"/>
      <c r="O688" s="753"/>
      <c r="P688" s="754"/>
    </row>
    <row r="689" spans="1:89" ht="17.25" customHeight="1" x14ac:dyDescent="0.25">
      <c r="A689" s="692"/>
      <c r="B689" s="756" t="s">
        <v>1932</v>
      </c>
      <c r="C689" s="713"/>
      <c r="D689" s="880"/>
      <c r="E689" s="714"/>
      <c r="F689" s="714"/>
      <c r="G689" s="714"/>
      <c r="H689" s="714"/>
      <c r="I689" s="714"/>
      <c r="J689" s="714"/>
      <c r="K689" s="714"/>
      <c r="L689" s="714"/>
      <c r="M689" s="714"/>
      <c r="N689" s="714"/>
      <c r="O689" s="753"/>
      <c r="P689" s="754"/>
    </row>
    <row r="690" spans="1:89" ht="17.25" customHeight="1" x14ac:dyDescent="0.25">
      <c r="A690" s="692"/>
      <c r="B690" s="756"/>
      <c r="C690" s="713"/>
      <c r="D690" s="880"/>
      <c r="E690" s="714"/>
      <c r="F690" s="714"/>
      <c r="G690" s="714"/>
      <c r="H690" s="714"/>
      <c r="I690" s="714"/>
      <c r="J690" s="714"/>
      <c r="K690" s="714"/>
      <c r="L690" s="714"/>
      <c r="M690" s="714"/>
      <c r="N690" s="714"/>
      <c r="O690" s="753"/>
      <c r="P690" s="754"/>
    </row>
    <row r="691" spans="1:89" s="673" customFormat="1" ht="17.25" customHeight="1" x14ac:dyDescent="0.25">
      <c r="A691" s="692">
        <v>2</v>
      </c>
      <c r="B691" s="756" t="s">
        <v>19</v>
      </c>
      <c r="C691" s="713"/>
      <c r="D691" s="1424"/>
      <c r="E691" s="714"/>
      <c r="F691" s="695"/>
      <c r="G691" s="695"/>
      <c r="H691" s="695"/>
      <c r="I691" s="695"/>
      <c r="J691" s="695"/>
      <c r="K691" s="695"/>
      <c r="L691" s="695"/>
      <c r="M691" s="695"/>
      <c r="N691" s="695"/>
      <c r="O691" s="696">
        <f>N691+K691+H691</f>
        <v>0</v>
      </c>
      <c r="P691" s="687"/>
      <c r="Q691" s="783"/>
      <c r="R691" s="783"/>
      <c r="S691" s="783"/>
      <c r="T691" s="783"/>
      <c r="U691" s="783"/>
      <c r="V691" s="783"/>
      <c r="W691" s="783"/>
      <c r="X691" s="783"/>
      <c r="Y691" s="783"/>
      <c r="Z691" s="783"/>
      <c r="AA691" s="783"/>
      <c r="AB691" s="783"/>
      <c r="AC691" s="783"/>
      <c r="AD691" s="783"/>
      <c r="AE691" s="783"/>
      <c r="AF691" s="783"/>
      <c r="AG691" s="783"/>
      <c r="AH691" s="783"/>
      <c r="AI691" s="783"/>
      <c r="AJ691" s="783"/>
      <c r="AK691" s="783"/>
      <c r="AL691" s="783"/>
      <c r="AM691" s="783"/>
      <c r="AN691" s="783"/>
      <c r="AO691" s="783"/>
      <c r="AP691" s="783"/>
      <c r="AQ691" s="783"/>
      <c r="AR691" s="783"/>
      <c r="AS691" s="783"/>
      <c r="AT691" s="783"/>
      <c r="AU691" s="783"/>
      <c r="AV691" s="783"/>
      <c r="AW691" s="783"/>
      <c r="AX691" s="783"/>
      <c r="AY691" s="783"/>
      <c r="AZ691" s="783"/>
      <c r="BA691" s="783"/>
      <c r="BB691" s="783"/>
      <c r="BC691" s="783"/>
      <c r="BD691" s="783"/>
      <c r="BE691" s="783"/>
      <c r="BF691" s="783"/>
      <c r="BG691" s="783"/>
      <c r="BH691" s="783"/>
      <c r="BI691" s="783"/>
      <c r="BJ691" s="783"/>
      <c r="BK691" s="783"/>
      <c r="BL691" s="783"/>
      <c r="BM691" s="783"/>
      <c r="BN691" s="783"/>
      <c r="BO691" s="783"/>
      <c r="BP691" s="783"/>
      <c r="BQ691" s="783"/>
      <c r="BR691" s="783"/>
      <c r="BS691" s="783"/>
      <c r="BT691" s="783"/>
      <c r="BU691" s="783"/>
      <c r="BV691" s="783"/>
      <c r="BW691" s="783"/>
      <c r="BX691" s="783"/>
      <c r="BY691" s="783"/>
      <c r="BZ691" s="783"/>
      <c r="CA691" s="783"/>
      <c r="CB691" s="783"/>
      <c r="CC691" s="783"/>
      <c r="CD691" s="783"/>
      <c r="CE691" s="783"/>
      <c r="CF691" s="783"/>
      <c r="CG691" s="783"/>
      <c r="CH691" s="783"/>
      <c r="CI691" s="783"/>
      <c r="CJ691" s="783"/>
      <c r="CK691" s="783"/>
    </row>
    <row r="692" spans="1:89" s="673" customFormat="1" ht="17.25" customHeight="1" x14ac:dyDescent="0.25">
      <c r="A692" s="692"/>
      <c r="B692" s="1341" t="s">
        <v>26</v>
      </c>
      <c r="C692" s="693">
        <v>1</v>
      </c>
      <c r="D692" s="694" t="s">
        <v>25</v>
      </c>
      <c r="E692" s="695">
        <v>40000</v>
      </c>
      <c r="F692" s="695"/>
      <c r="G692" s="695"/>
      <c r="H692" s="695"/>
      <c r="I692" s="695"/>
      <c r="J692" s="695">
        <f>C692*E692</f>
        <v>40000</v>
      </c>
      <c r="K692" s="695">
        <f>I692+J692</f>
        <v>40000</v>
      </c>
      <c r="L692" s="695"/>
      <c r="M692" s="695"/>
      <c r="N692" s="695"/>
      <c r="O692" s="696">
        <f>N692+K692+H692</f>
        <v>40000</v>
      </c>
      <c r="P692" s="687"/>
      <c r="Q692" s="783"/>
      <c r="R692" s="783"/>
      <c r="S692" s="783"/>
      <c r="T692" s="783"/>
      <c r="U692" s="783"/>
      <c r="V692" s="783"/>
      <c r="W692" s="783"/>
      <c r="X692" s="783"/>
      <c r="Y692" s="783"/>
      <c r="Z692" s="783"/>
      <c r="AA692" s="783"/>
      <c r="AB692" s="783"/>
      <c r="AC692" s="783"/>
      <c r="AD692" s="783"/>
      <c r="AE692" s="783"/>
      <c r="AF692" s="783"/>
      <c r="AG692" s="783"/>
      <c r="AH692" s="783"/>
      <c r="AI692" s="783"/>
      <c r="AJ692" s="783"/>
      <c r="AK692" s="783"/>
      <c r="AL692" s="783"/>
      <c r="AM692" s="783"/>
      <c r="AN692" s="783"/>
      <c r="AO692" s="783"/>
      <c r="AP692" s="783"/>
      <c r="AQ692" s="783"/>
      <c r="AR692" s="783"/>
      <c r="AS692" s="783"/>
      <c r="AT692" s="783"/>
      <c r="AU692" s="783"/>
      <c r="AV692" s="783"/>
      <c r="AW692" s="783"/>
      <c r="AX692" s="783"/>
      <c r="AY692" s="783"/>
      <c r="AZ692" s="783"/>
      <c r="BA692" s="783"/>
      <c r="BB692" s="783"/>
      <c r="BC692" s="783"/>
      <c r="BD692" s="783"/>
      <c r="BE692" s="783"/>
      <c r="BF692" s="783"/>
      <c r="BG692" s="783"/>
      <c r="BH692" s="783"/>
      <c r="BI692" s="783"/>
      <c r="BJ692" s="783"/>
      <c r="BK692" s="783"/>
      <c r="BL692" s="783"/>
      <c r="BM692" s="783"/>
      <c r="BN692" s="783"/>
      <c r="BO692" s="783"/>
      <c r="BP692" s="783"/>
      <c r="BQ692" s="783"/>
      <c r="BR692" s="783"/>
      <c r="BS692" s="783"/>
      <c r="BT692" s="783"/>
      <c r="BU692" s="783"/>
      <c r="BV692" s="783"/>
      <c r="BW692" s="783"/>
      <c r="BX692" s="783"/>
      <c r="BY692" s="783"/>
      <c r="BZ692" s="783"/>
      <c r="CA692" s="783"/>
      <c r="CB692" s="783"/>
      <c r="CC692" s="783"/>
      <c r="CD692" s="783"/>
      <c r="CE692" s="783"/>
      <c r="CF692" s="783"/>
      <c r="CG692" s="783"/>
      <c r="CH692" s="783"/>
      <c r="CI692" s="783"/>
      <c r="CJ692" s="783"/>
      <c r="CK692" s="783"/>
    </row>
    <row r="693" spans="1:89" s="673" customFormat="1" ht="17.25" customHeight="1" x14ac:dyDescent="0.25">
      <c r="A693" s="697"/>
      <c r="B693" s="698"/>
      <c r="C693" s="699"/>
      <c r="D693" s="694"/>
      <c r="E693" s="695"/>
      <c r="F693" s="700"/>
      <c r="G693" s="700"/>
      <c r="H693" s="700"/>
      <c r="I693" s="700"/>
      <c r="J693" s="700"/>
      <c r="K693" s="700"/>
      <c r="L693" s="700"/>
      <c r="M693" s="700"/>
      <c r="N693" s="700"/>
      <c r="O693" s="701"/>
      <c r="P693" s="702"/>
      <c r="Q693" s="783"/>
      <c r="R693" s="783"/>
      <c r="S693" s="783"/>
      <c r="T693" s="783"/>
      <c r="U693" s="783"/>
      <c r="V693" s="783"/>
      <c r="W693" s="783"/>
      <c r="X693" s="783"/>
      <c r="Y693" s="783"/>
      <c r="Z693" s="783"/>
      <c r="AA693" s="783"/>
      <c r="AB693" s="783"/>
      <c r="AC693" s="783"/>
      <c r="AD693" s="783"/>
      <c r="AE693" s="783"/>
      <c r="AF693" s="783"/>
      <c r="AG693" s="783"/>
      <c r="AH693" s="783"/>
      <c r="AI693" s="783"/>
      <c r="AJ693" s="783"/>
      <c r="AK693" s="783"/>
      <c r="AL693" s="783"/>
      <c r="AM693" s="783"/>
      <c r="AN693" s="783"/>
      <c r="AO693" s="783"/>
      <c r="AP693" s="783"/>
      <c r="AQ693" s="783"/>
      <c r="AR693" s="783"/>
      <c r="AS693" s="783"/>
      <c r="AT693" s="783"/>
      <c r="AU693" s="783"/>
      <c r="AV693" s="783"/>
      <c r="AW693" s="783"/>
      <c r="AX693" s="783"/>
      <c r="AY693" s="783"/>
      <c r="AZ693" s="783"/>
      <c r="BA693" s="783"/>
      <c r="BB693" s="783"/>
      <c r="BC693" s="783"/>
      <c r="BD693" s="783"/>
      <c r="BE693" s="783"/>
      <c r="BF693" s="783"/>
      <c r="BG693" s="783"/>
      <c r="BH693" s="783"/>
      <c r="BI693" s="783"/>
      <c r="BJ693" s="783"/>
      <c r="BK693" s="783"/>
      <c r="BL693" s="783"/>
      <c r="BM693" s="783"/>
      <c r="BN693" s="783"/>
      <c r="BO693" s="783"/>
      <c r="BP693" s="783"/>
      <c r="BQ693" s="783"/>
      <c r="BR693" s="783"/>
      <c r="BS693" s="783"/>
      <c r="BT693" s="783"/>
      <c r="BU693" s="783"/>
      <c r="BV693" s="783"/>
      <c r="BW693" s="783"/>
      <c r="BX693" s="783"/>
      <c r="BY693" s="783"/>
      <c r="BZ693" s="783"/>
      <c r="CA693" s="783"/>
      <c r="CB693" s="783"/>
      <c r="CC693" s="783"/>
      <c r="CD693" s="783"/>
      <c r="CE693" s="783"/>
      <c r="CF693" s="783"/>
      <c r="CG693" s="783"/>
      <c r="CH693" s="783"/>
      <c r="CI693" s="783"/>
      <c r="CJ693" s="783"/>
      <c r="CK693" s="783"/>
    </row>
    <row r="694" spans="1:89" s="1263" customFormat="1" ht="17.25" customHeight="1" x14ac:dyDescent="0.25">
      <c r="A694" s="1425" t="s">
        <v>28</v>
      </c>
      <c r="B694" s="703" t="s">
        <v>29</v>
      </c>
      <c r="C694" s="1377"/>
      <c r="D694" s="704"/>
      <c r="E694" s="705"/>
      <c r="F694" s="706">
        <f>SUM(F695:F721)</f>
        <v>0</v>
      </c>
      <c r="G694" s="706">
        <f>SUM(G695:G721)</f>
        <v>0</v>
      </c>
      <c r="H694" s="706">
        <f>F694+G694</f>
        <v>0</v>
      </c>
      <c r="I694" s="706">
        <f>SUM(I695:I721)</f>
        <v>0</v>
      </c>
      <c r="J694" s="706">
        <f>SUM(J695:J721)</f>
        <v>489375</v>
      </c>
      <c r="K694" s="706">
        <f>I694+J694</f>
        <v>489375</v>
      </c>
      <c r="L694" s="706">
        <f>SUM(L695:L721)</f>
        <v>0</v>
      </c>
      <c r="M694" s="706">
        <f>SUM(M695:M721)</f>
        <v>0</v>
      </c>
      <c r="N694" s="706">
        <f>L694+M694</f>
        <v>0</v>
      </c>
      <c r="O694" s="707">
        <f t="shared" ref="O694:O703" si="51">N694+K694+H694</f>
        <v>489375</v>
      </c>
      <c r="P694" s="708"/>
      <c r="Q694" s="1823"/>
      <c r="R694" s="1823"/>
      <c r="S694" s="1823"/>
      <c r="T694" s="1823"/>
      <c r="U694" s="1823"/>
      <c r="V694" s="1823"/>
      <c r="W694" s="1823"/>
      <c r="X694" s="1823"/>
      <c r="Y694" s="1823"/>
      <c r="Z694" s="1823"/>
      <c r="AA694" s="1823"/>
      <c r="AB694" s="1823"/>
      <c r="AC694" s="1823"/>
      <c r="AD694" s="1823"/>
      <c r="AE694" s="1823"/>
      <c r="AF694" s="1823"/>
      <c r="AG694" s="1823"/>
      <c r="AH694" s="1823"/>
      <c r="AI694" s="1823"/>
      <c r="AJ694" s="1823"/>
      <c r="AK694" s="1823"/>
      <c r="AL694" s="1823"/>
      <c r="AM694" s="1823"/>
      <c r="AN694" s="1823"/>
      <c r="AO694" s="1823"/>
      <c r="AP694" s="1823"/>
      <c r="AQ694" s="1823"/>
      <c r="AR694" s="1823"/>
      <c r="AS694" s="1823"/>
      <c r="AT694" s="1823"/>
      <c r="AU694" s="1823"/>
      <c r="AV694" s="1823"/>
      <c r="AW694" s="1823"/>
      <c r="AX694" s="1823"/>
      <c r="AY694" s="1823"/>
      <c r="AZ694" s="1823"/>
      <c r="BA694" s="1823"/>
      <c r="BB694" s="1823"/>
      <c r="BC694" s="1823"/>
      <c r="BD694" s="1823"/>
      <c r="BE694" s="1823"/>
      <c r="BF694" s="1823"/>
      <c r="BG694" s="1823"/>
      <c r="BH694" s="1823"/>
      <c r="BI694" s="1823"/>
      <c r="BJ694" s="1823"/>
      <c r="BK694" s="1823"/>
      <c r="BL694" s="1823"/>
      <c r="BM694" s="1823"/>
      <c r="BN694" s="1823"/>
      <c r="BO694" s="1823"/>
      <c r="BP694" s="1823"/>
      <c r="BQ694" s="1823"/>
      <c r="BR694" s="1823"/>
      <c r="BS694" s="1823"/>
      <c r="BT694" s="1823"/>
      <c r="BU694" s="1823"/>
      <c r="BV694" s="1823"/>
      <c r="BW694" s="1823"/>
      <c r="BX694" s="1823"/>
      <c r="BY694" s="1823"/>
      <c r="BZ694" s="1823"/>
      <c r="CA694" s="1823"/>
      <c r="CB694" s="1823"/>
      <c r="CC694" s="1823"/>
      <c r="CD694" s="1823"/>
      <c r="CE694" s="1823"/>
      <c r="CF694" s="1823"/>
      <c r="CG694" s="1823"/>
      <c r="CH694" s="1823"/>
      <c r="CI694" s="1823"/>
      <c r="CJ694" s="1823"/>
      <c r="CK694" s="1823"/>
    </row>
    <row r="695" spans="1:89" s="673" customFormat="1" ht="17.25" customHeight="1" x14ac:dyDescent="0.25">
      <c r="A695" s="697">
        <v>1</v>
      </c>
      <c r="B695" s="698" t="s">
        <v>19</v>
      </c>
      <c r="C695" s="699"/>
      <c r="D695" s="694"/>
      <c r="E695" s="695"/>
      <c r="F695" s="700"/>
      <c r="G695" s="700"/>
      <c r="H695" s="700"/>
      <c r="I695" s="700"/>
      <c r="J695" s="700"/>
      <c r="K695" s="700"/>
      <c r="L695" s="700"/>
      <c r="M695" s="700"/>
      <c r="N695" s="700"/>
      <c r="O695" s="701">
        <f t="shared" si="51"/>
        <v>0</v>
      </c>
      <c r="P695" s="702"/>
      <c r="Q695" s="783"/>
      <c r="R695" s="783"/>
      <c r="S695" s="783"/>
      <c r="T695" s="783"/>
      <c r="U695" s="783"/>
      <c r="V695" s="783"/>
      <c r="W695" s="783"/>
      <c r="X695" s="783"/>
      <c r="Y695" s="783"/>
      <c r="Z695" s="783"/>
      <c r="AA695" s="783"/>
      <c r="AB695" s="783"/>
      <c r="AC695" s="783"/>
      <c r="AD695" s="783"/>
      <c r="AE695" s="783"/>
      <c r="AF695" s="783"/>
      <c r="AG695" s="783"/>
      <c r="AH695" s="783"/>
      <c r="AI695" s="783"/>
      <c r="AJ695" s="783"/>
      <c r="AK695" s="783"/>
      <c r="AL695" s="783"/>
      <c r="AM695" s="783"/>
      <c r="AN695" s="783"/>
      <c r="AO695" s="783"/>
      <c r="AP695" s="783"/>
      <c r="AQ695" s="783"/>
      <c r="AR695" s="783"/>
      <c r="AS695" s="783"/>
      <c r="AT695" s="783"/>
      <c r="AU695" s="783"/>
      <c r="AV695" s="783"/>
      <c r="AW695" s="783"/>
      <c r="AX695" s="783"/>
      <c r="AY695" s="783"/>
      <c r="AZ695" s="783"/>
      <c r="BA695" s="783"/>
      <c r="BB695" s="783"/>
      <c r="BC695" s="783"/>
      <c r="BD695" s="783"/>
      <c r="BE695" s="783"/>
      <c r="BF695" s="783"/>
      <c r="BG695" s="783"/>
      <c r="BH695" s="783"/>
      <c r="BI695" s="783"/>
      <c r="BJ695" s="783"/>
      <c r="BK695" s="783"/>
      <c r="BL695" s="783"/>
      <c r="BM695" s="783"/>
      <c r="BN695" s="783"/>
      <c r="BO695" s="783"/>
      <c r="BP695" s="783"/>
      <c r="BQ695" s="783"/>
      <c r="BR695" s="783"/>
      <c r="BS695" s="783"/>
      <c r="BT695" s="783"/>
      <c r="BU695" s="783"/>
      <c r="BV695" s="783"/>
      <c r="BW695" s="783"/>
      <c r="BX695" s="783"/>
      <c r="BY695" s="783"/>
      <c r="BZ695" s="783"/>
      <c r="CA695" s="783"/>
      <c r="CB695" s="783"/>
      <c r="CC695" s="783"/>
      <c r="CD695" s="783"/>
      <c r="CE695" s="783"/>
      <c r="CF695" s="783"/>
      <c r="CG695" s="783"/>
      <c r="CH695" s="783"/>
      <c r="CI695" s="783"/>
      <c r="CJ695" s="783"/>
      <c r="CK695" s="783"/>
    </row>
    <row r="696" spans="1:89" s="673" customFormat="1" ht="17.25" customHeight="1" x14ac:dyDescent="0.25">
      <c r="A696" s="697"/>
      <c r="B696" s="698" t="s">
        <v>115</v>
      </c>
      <c r="C696" s="699">
        <v>12</v>
      </c>
      <c r="D696" s="694" t="s">
        <v>20</v>
      </c>
      <c r="E696" s="695">
        <v>1500</v>
      </c>
      <c r="F696" s="700"/>
      <c r="G696" s="700"/>
      <c r="H696" s="700"/>
      <c r="I696" s="700"/>
      <c r="J696" s="700">
        <f>C696*E696</f>
        <v>18000</v>
      </c>
      <c r="K696" s="700">
        <f>I696+J696</f>
        <v>18000</v>
      </c>
      <c r="L696" s="700"/>
      <c r="M696" s="700"/>
      <c r="N696" s="700"/>
      <c r="O696" s="701">
        <f t="shared" si="51"/>
        <v>18000</v>
      </c>
      <c r="P696" s="702"/>
      <c r="Q696" s="783"/>
      <c r="R696" s="783"/>
      <c r="S696" s="783"/>
      <c r="T696" s="783"/>
      <c r="U696" s="783"/>
      <c r="V696" s="783"/>
      <c r="W696" s="783"/>
      <c r="X696" s="783"/>
      <c r="Y696" s="783"/>
      <c r="Z696" s="783"/>
      <c r="AA696" s="783"/>
      <c r="AB696" s="783"/>
      <c r="AC696" s="783"/>
      <c r="AD696" s="783"/>
      <c r="AE696" s="783"/>
      <c r="AF696" s="783"/>
      <c r="AG696" s="783"/>
      <c r="AH696" s="783"/>
      <c r="AI696" s="783"/>
      <c r="AJ696" s="783"/>
      <c r="AK696" s="783"/>
      <c r="AL696" s="783"/>
      <c r="AM696" s="783"/>
      <c r="AN696" s="783"/>
      <c r="AO696" s="783"/>
      <c r="AP696" s="783"/>
      <c r="AQ696" s="783"/>
      <c r="AR696" s="783"/>
      <c r="AS696" s="783"/>
      <c r="AT696" s="783"/>
      <c r="AU696" s="783"/>
      <c r="AV696" s="783"/>
      <c r="AW696" s="783"/>
      <c r="AX696" s="783"/>
      <c r="AY696" s="783"/>
      <c r="AZ696" s="783"/>
      <c r="BA696" s="783"/>
      <c r="BB696" s="783"/>
      <c r="BC696" s="783"/>
      <c r="BD696" s="783"/>
      <c r="BE696" s="783"/>
      <c r="BF696" s="783"/>
      <c r="BG696" s="783"/>
      <c r="BH696" s="783"/>
      <c r="BI696" s="783"/>
      <c r="BJ696" s="783"/>
      <c r="BK696" s="783"/>
      <c r="BL696" s="783"/>
      <c r="BM696" s="783"/>
      <c r="BN696" s="783"/>
      <c r="BO696" s="783"/>
      <c r="BP696" s="783"/>
      <c r="BQ696" s="783"/>
      <c r="BR696" s="783"/>
      <c r="BS696" s="783"/>
      <c r="BT696" s="783"/>
      <c r="BU696" s="783"/>
      <c r="BV696" s="783"/>
      <c r="BW696" s="783"/>
      <c r="BX696" s="783"/>
      <c r="BY696" s="783"/>
      <c r="BZ696" s="783"/>
      <c r="CA696" s="783"/>
      <c r="CB696" s="783"/>
      <c r="CC696" s="783"/>
      <c r="CD696" s="783"/>
      <c r="CE696" s="783"/>
      <c r="CF696" s="783"/>
      <c r="CG696" s="783"/>
      <c r="CH696" s="783"/>
      <c r="CI696" s="783"/>
      <c r="CJ696" s="783"/>
      <c r="CK696" s="783"/>
    </row>
    <row r="697" spans="1:89" ht="17.25" customHeight="1" x14ac:dyDescent="0.25">
      <c r="A697" s="697"/>
      <c r="B697" s="698" t="s">
        <v>31</v>
      </c>
      <c r="C697" s="699">
        <v>12</v>
      </c>
      <c r="D697" s="694" t="s">
        <v>20</v>
      </c>
      <c r="E697" s="695">
        <v>1250</v>
      </c>
      <c r="F697" s="700"/>
      <c r="G697" s="700"/>
      <c r="H697" s="700"/>
      <c r="I697" s="700"/>
      <c r="J697" s="700">
        <f>C697*E697</f>
        <v>15000</v>
      </c>
      <c r="K697" s="700">
        <f t="shared" ref="K697:K706" si="52">I697+J697</f>
        <v>15000</v>
      </c>
      <c r="L697" s="700"/>
      <c r="M697" s="700"/>
      <c r="N697" s="700"/>
      <c r="O697" s="701">
        <f t="shared" si="51"/>
        <v>15000</v>
      </c>
      <c r="P697" s="702"/>
    </row>
    <row r="698" spans="1:89" ht="17.25" customHeight="1" x14ac:dyDescent="0.25">
      <c r="A698" s="697"/>
      <c r="B698" s="698" t="s">
        <v>32</v>
      </c>
      <c r="C698" s="699">
        <v>12</v>
      </c>
      <c r="D698" s="694" t="s">
        <v>20</v>
      </c>
      <c r="E698" s="695">
        <v>1000</v>
      </c>
      <c r="F698" s="700"/>
      <c r="G698" s="700"/>
      <c r="H698" s="700"/>
      <c r="I698" s="700"/>
      <c r="J698" s="700">
        <f>C698*E698</f>
        <v>12000</v>
      </c>
      <c r="K698" s="700">
        <f t="shared" si="52"/>
        <v>12000</v>
      </c>
      <c r="L698" s="700"/>
      <c r="M698" s="700"/>
      <c r="N698" s="700"/>
      <c r="O698" s="701">
        <f t="shared" si="51"/>
        <v>12000</v>
      </c>
      <c r="P698" s="702"/>
    </row>
    <row r="699" spans="1:89" ht="17.25" customHeight="1" x14ac:dyDescent="0.25">
      <c r="A699" s="697"/>
      <c r="B699" s="698" t="s">
        <v>33</v>
      </c>
      <c r="C699" s="699">
        <v>60</v>
      </c>
      <c r="D699" s="694" t="s">
        <v>20</v>
      </c>
      <c r="E699" s="695">
        <v>800</v>
      </c>
      <c r="F699" s="700"/>
      <c r="G699" s="700"/>
      <c r="H699" s="700"/>
      <c r="I699" s="700"/>
      <c r="J699" s="700">
        <f>C699*E699</f>
        <v>48000</v>
      </c>
      <c r="K699" s="700">
        <f t="shared" si="52"/>
        <v>48000</v>
      </c>
      <c r="L699" s="700"/>
      <c r="M699" s="700"/>
      <c r="N699" s="700"/>
      <c r="O699" s="701">
        <f t="shared" si="51"/>
        <v>48000</v>
      </c>
      <c r="P699" s="702"/>
    </row>
    <row r="700" spans="1:89" ht="17.25" customHeight="1" x14ac:dyDescent="0.25">
      <c r="A700" s="697"/>
      <c r="B700" s="698" t="s">
        <v>34</v>
      </c>
      <c r="C700" s="699"/>
      <c r="D700" s="694"/>
      <c r="E700" s="695"/>
      <c r="F700" s="700"/>
      <c r="G700" s="700"/>
      <c r="H700" s="700"/>
      <c r="I700" s="700"/>
      <c r="J700" s="700"/>
      <c r="K700" s="700"/>
      <c r="L700" s="700"/>
      <c r="M700" s="700"/>
      <c r="N700" s="700"/>
      <c r="O700" s="701">
        <f t="shared" si="51"/>
        <v>0</v>
      </c>
      <c r="P700" s="702"/>
    </row>
    <row r="701" spans="1:89" ht="17.25" customHeight="1" x14ac:dyDescent="0.25">
      <c r="A701" s="697"/>
      <c r="B701" s="698" t="s">
        <v>35</v>
      </c>
      <c r="C701" s="699">
        <v>12</v>
      </c>
      <c r="D701" s="694" t="s">
        <v>20</v>
      </c>
      <c r="E701" s="695">
        <v>400</v>
      </c>
      <c r="F701" s="700"/>
      <c r="G701" s="700"/>
      <c r="H701" s="700"/>
      <c r="I701" s="700"/>
      <c r="J701" s="700">
        <f>C701*E701</f>
        <v>4800</v>
      </c>
      <c r="K701" s="700">
        <f t="shared" si="52"/>
        <v>4800</v>
      </c>
      <c r="L701" s="700"/>
      <c r="M701" s="700"/>
      <c r="N701" s="700"/>
      <c r="O701" s="701">
        <f t="shared" si="51"/>
        <v>4800</v>
      </c>
      <c r="P701" s="702"/>
    </row>
    <row r="702" spans="1:89" ht="17.25" customHeight="1" x14ac:dyDescent="0.25">
      <c r="A702" s="697"/>
      <c r="B702" s="698" t="s">
        <v>36</v>
      </c>
      <c r="C702" s="699">
        <v>48</v>
      </c>
      <c r="D702" s="694" t="s">
        <v>20</v>
      </c>
      <c r="E702" s="695">
        <v>300</v>
      </c>
      <c r="F702" s="700"/>
      <c r="G702" s="700"/>
      <c r="H702" s="700"/>
      <c r="I702" s="700"/>
      <c r="J702" s="700">
        <f>C702*E702</f>
        <v>14400</v>
      </c>
      <c r="K702" s="700">
        <f t="shared" si="52"/>
        <v>14400</v>
      </c>
      <c r="L702" s="700"/>
      <c r="M702" s="700"/>
      <c r="N702" s="700"/>
      <c r="O702" s="701">
        <f t="shared" si="51"/>
        <v>14400</v>
      </c>
      <c r="P702" s="702"/>
    </row>
    <row r="703" spans="1:89" ht="17.25" customHeight="1" x14ac:dyDescent="0.25">
      <c r="A703" s="697"/>
      <c r="B703" s="709"/>
      <c r="C703" s="699"/>
      <c r="D703" s="694"/>
      <c r="E703" s="695"/>
      <c r="F703" s="700"/>
      <c r="G703" s="700"/>
      <c r="H703" s="700"/>
      <c r="I703" s="700"/>
      <c r="J703" s="700"/>
      <c r="K703" s="700"/>
      <c r="L703" s="700"/>
      <c r="M703" s="700"/>
      <c r="N703" s="700"/>
      <c r="O703" s="701">
        <f t="shared" si="51"/>
        <v>0</v>
      </c>
      <c r="P703" s="702"/>
    </row>
    <row r="704" spans="1:89" ht="17.25" customHeight="1" x14ac:dyDescent="0.25">
      <c r="A704" s="697">
        <v>2</v>
      </c>
      <c r="B704" s="709" t="s">
        <v>116</v>
      </c>
      <c r="C704" s="699"/>
      <c r="D704" s="694"/>
      <c r="E704" s="695"/>
      <c r="F704" s="700"/>
      <c r="G704" s="700"/>
      <c r="H704" s="700"/>
      <c r="I704" s="700"/>
      <c r="J704" s="700"/>
      <c r="K704" s="700"/>
      <c r="L704" s="700"/>
      <c r="M704" s="700"/>
      <c r="N704" s="700"/>
      <c r="O704" s="701"/>
      <c r="P704" s="702"/>
    </row>
    <row r="705" spans="1:89" s="675" customFormat="1" ht="18" customHeight="1" x14ac:dyDescent="0.25">
      <c r="A705" s="697"/>
      <c r="B705" s="709" t="s">
        <v>687</v>
      </c>
      <c r="C705" s="699">
        <v>1</v>
      </c>
      <c r="D705" s="694" t="s">
        <v>47</v>
      </c>
      <c r="E705" s="695">
        <f>63495-4600</f>
        <v>58895</v>
      </c>
      <c r="F705" s="700"/>
      <c r="G705" s="700"/>
      <c r="H705" s="700"/>
      <c r="I705" s="700"/>
      <c r="J705" s="700">
        <f>C705*E705</f>
        <v>58895</v>
      </c>
      <c r="K705" s="700">
        <f>I705+J705</f>
        <v>58895</v>
      </c>
      <c r="L705" s="700"/>
      <c r="M705" s="700"/>
      <c r="N705" s="700"/>
      <c r="O705" s="701">
        <f t="shared" ref="O705:O721" si="53">N705+K705+H705</f>
        <v>58895</v>
      </c>
      <c r="P705" s="702"/>
      <c r="Q705" s="1821"/>
      <c r="R705" s="1821"/>
      <c r="S705" s="1821"/>
      <c r="T705" s="1821"/>
      <c r="U705" s="1821"/>
      <c r="V705" s="1821"/>
      <c r="W705" s="1821"/>
      <c r="X705" s="1821"/>
      <c r="Y705" s="1821"/>
      <c r="Z705" s="1821"/>
      <c r="AA705" s="1821"/>
      <c r="AB705" s="1821"/>
      <c r="AC705" s="1821"/>
      <c r="AD705" s="1821"/>
      <c r="AE705" s="1821"/>
      <c r="AF705" s="1821"/>
      <c r="AG705" s="1821"/>
      <c r="AH705" s="1821"/>
      <c r="AI705" s="1821"/>
      <c r="AJ705" s="1821"/>
      <c r="AK705" s="1821"/>
      <c r="AL705" s="1821"/>
      <c r="AM705" s="1821"/>
      <c r="AN705" s="1821"/>
      <c r="AO705" s="1821"/>
      <c r="AP705" s="1821"/>
      <c r="AQ705" s="1821"/>
      <c r="AR705" s="1821"/>
      <c r="AS705" s="1821"/>
      <c r="AT705" s="1821"/>
      <c r="AU705" s="1821"/>
      <c r="AV705" s="1821"/>
      <c r="AW705" s="1821"/>
      <c r="AX705" s="1821"/>
      <c r="AY705" s="1821"/>
      <c r="AZ705" s="1821"/>
      <c r="BA705" s="1821"/>
      <c r="BB705" s="1821"/>
      <c r="BC705" s="1821"/>
      <c r="BD705" s="1821"/>
      <c r="BE705" s="1821"/>
      <c r="BF705" s="1821"/>
      <c r="BG705" s="1821"/>
      <c r="BH705" s="1821"/>
      <c r="BI705" s="1821"/>
      <c r="BJ705" s="1821"/>
      <c r="BK705" s="1821"/>
      <c r="BL705" s="1821"/>
      <c r="BM705" s="1821"/>
      <c r="BN705" s="1821"/>
      <c r="BO705" s="1821"/>
      <c r="BP705" s="1821"/>
      <c r="BQ705" s="1821"/>
      <c r="BR705" s="1821"/>
      <c r="BS705" s="1821"/>
      <c r="BT705" s="1821"/>
      <c r="BU705" s="1821"/>
      <c r="BV705" s="1821"/>
      <c r="BW705" s="1821"/>
      <c r="BX705" s="1821"/>
      <c r="BY705" s="1821"/>
      <c r="BZ705" s="1821"/>
      <c r="CA705" s="1821"/>
      <c r="CB705" s="1821"/>
      <c r="CC705" s="1821"/>
      <c r="CD705" s="1821"/>
      <c r="CE705" s="1821"/>
      <c r="CF705" s="1821"/>
      <c r="CG705" s="1821"/>
      <c r="CH705" s="1821"/>
      <c r="CI705" s="1821"/>
      <c r="CJ705" s="1821"/>
      <c r="CK705" s="1821"/>
    </row>
    <row r="706" spans="1:89" s="675" customFormat="1" ht="17.25" customHeight="1" x14ac:dyDescent="0.25">
      <c r="A706" s="697"/>
      <c r="B706" s="698" t="s">
        <v>39</v>
      </c>
      <c r="C706" s="699">
        <v>1</v>
      </c>
      <c r="D706" s="694" t="s">
        <v>25</v>
      </c>
      <c r="E706" s="695">
        <v>4600</v>
      </c>
      <c r="F706" s="700"/>
      <c r="G706" s="700"/>
      <c r="H706" s="700"/>
      <c r="I706" s="700"/>
      <c r="J706" s="700">
        <f>C706*E706</f>
        <v>4600</v>
      </c>
      <c r="K706" s="700">
        <f t="shared" si="52"/>
        <v>4600</v>
      </c>
      <c r="L706" s="700"/>
      <c r="M706" s="700"/>
      <c r="N706" s="700"/>
      <c r="O706" s="701">
        <f t="shared" si="53"/>
        <v>4600</v>
      </c>
      <c r="P706" s="702"/>
      <c r="Q706" s="1821"/>
      <c r="R706" s="1821"/>
      <c r="S706" s="1821"/>
      <c r="T706" s="1821"/>
      <c r="U706" s="1821"/>
      <c r="V706" s="1821"/>
      <c r="W706" s="1821"/>
      <c r="X706" s="1821"/>
      <c r="Y706" s="1821"/>
      <c r="Z706" s="1821"/>
      <c r="AA706" s="1821"/>
      <c r="AB706" s="1821"/>
      <c r="AC706" s="1821"/>
      <c r="AD706" s="1821"/>
      <c r="AE706" s="1821"/>
      <c r="AF706" s="1821"/>
      <c r="AG706" s="1821"/>
      <c r="AH706" s="1821"/>
      <c r="AI706" s="1821"/>
      <c r="AJ706" s="1821"/>
      <c r="AK706" s="1821"/>
      <c r="AL706" s="1821"/>
      <c r="AM706" s="1821"/>
      <c r="AN706" s="1821"/>
      <c r="AO706" s="1821"/>
      <c r="AP706" s="1821"/>
      <c r="AQ706" s="1821"/>
      <c r="AR706" s="1821"/>
      <c r="AS706" s="1821"/>
      <c r="AT706" s="1821"/>
      <c r="AU706" s="1821"/>
      <c r="AV706" s="1821"/>
      <c r="AW706" s="1821"/>
      <c r="AX706" s="1821"/>
      <c r="AY706" s="1821"/>
      <c r="AZ706" s="1821"/>
      <c r="BA706" s="1821"/>
      <c r="BB706" s="1821"/>
      <c r="BC706" s="1821"/>
      <c r="BD706" s="1821"/>
      <c r="BE706" s="1821"/>
      <c r="BF706" s="1821"/>
      <c r="BG706" s="1821"/>
      <c r="BH706" s="1821"/>
      <c r="BI706" s="1821"/>
      <c r="BJ706" s="1821"/>
      <c r="BK706" s="1821"/>
      <c r="BL706" s="1821"/>
      <c r="BM706" s="1821"/>
      <c r="BN706" s="1821"/>
      <c r="BO706" s="1821"/>
      <c r="BP706" s="1821"/>
      <c r="BQ706" s="1821"/>
      <c r="BR706" s="1821"/>
      <c r="BS706" s="1821"/>
      <c r="BT706" s="1821"/>
      <c r="BU706" s="1821"/>
      <c r="BV706" s="1821"/>
      <c r="BW706" s="1821"/>
      <c r="BX706" s="1821"/>
      <c r="BY706" s="1821"/>
      <c r="BZ706" s="1821"/>
      <c r="CA706" s="1821"/>
      <c r="CB706" s="1821"/>
      <c r="CC706" s="1821"/>
      <c r="CD706" s="1821"/>
      <c r="CE706" s="1821"/>
      <c r="CF706" s="1821"/>
      <c r="CG706" s="1821"/>
      <c r="CH706" s="1821"/>
      <c r="CI706" s="1821"/>
      <c r="CJ706" s="1821"/>
      <c r="CK706" s="1821"/>
    </row>
    <row r="707" spans="1:89" ht="17.25" customHeight="1" x14ac:dyDescent="0.25">
      <c r="A707" s="697"/>
      <c r="B707" s="698"/>
      <c r="C707" s="699"/>
      <c r="D707" s="694"/>
      <c r="E707" s="695"/>
      <c r="F707" s="700"/>
      <c r="G707" s="700"/>
      <c r="H707" s="700"/>
      <c r="I707" s="700"/>
      <c r="J707" s="700"/>
      <c r="K707" s="700"/>
      <c r="L707" s="700"/>
      <c r="M707" s="700"/>
      <c r="N707" s="700"/>
      <c r="O707" s="701">
        <f t="shared" si="53"/>
        <v>0</v>
      </c>
      <c r="P707" s="702"/>
    </row>
    <row r="708" spans="1:89" ht="17.25" customHeight="1" x14ac:dyDescent="0.25">
      <c r="A708" s="697">
        <v>3</v>
      </c>
      <c r="B708" s="698" t="s">
        <v>27</v>
      </c>
      <c r="C708" s="699"/>
      <c r="D708" s="694"/>
      <c r="E708" s="695"/>
      <c r="F708" s="700"/>
      <c r="G708" s="700"/>
      <c r="H708" s="700"/>
      <c r="I708" s="700"/>
      <c r="J708" s="700"/>
      <c r="K708" s="700"/>
      <c r="L708" s="700"/>
      <c r="M708" s="700"/>
      <c r="N708" s="700"/>
      <c r="O708" s="701">
        <f t="shared" si="53"/>
        <v>0</v>
      </c>
      <c r="P708" s="702"/>
    </row>
    <row r="709" spans="1:89" ht="17.25" customHeight="1" x14ac:dyDescent="0.25">
      <c r="A709" s="697"/>
      <c r="B709" s="698" t="s">
        <v>42</v>
      </c>
      <c r="C709" s="699">
        <v>1</v>
      </c>
      <c r="D709" s="694" t="s">
        <v>25</v>
      </c>
      <c r="E709" s="695">
        <v>20000</v>
      </c>
      <c r="F709" s="700"/>
      <c r="G709" s="700"/>
      <c r="H709" s="700"/>
      <c r="I709" s="700"/>
      <c r="J709" s="700">
        <f>C709*E709</f>
        <v>20000</v>
      </c>
      <c r="K709" s="700">
        <f>I709+J709</f>
        <v>20000</v>
      </c>
      <c r="L709" s="700"/>
      <c r="M709" s="700"/>
      <c r="N709" s="700"/>
      <c r="O709" s="701">
        <f t="shared" si="53"/>
        <v>20000</v>
      </c>
      <c r="P709" s="702"/>
    </row>
    <row r="710" spans="1:89" ht="17.25" customHeight="1" x14ac:dyDescent="0.25">
      <c r="A710" s="697"/>
      <c r="B710" s="698"/>
      <c r="C710" s="699"/>
      <c r="D710" s="694"/>
      <c r="E710" s="695"/>
      <c r="F710" s="700"/>
      <c r="G710" s="700"/>
      <c r="H710" s="700"/>
      <c r="I710" s="700"/>
      <c r="J710" s="700"/>
      <c r="K710" s="700"/>
      <c r="L710" s="700"/>
      <c r="M710" s="700"/>
      <c r="N710" s="700"/>
      <c r="O710" s="701">
        <f t="shared" si="53"/>
        <v>0</v>
      </c>
      <c r="P710" s="702"/>
    </row>
    <row r="711" spans="1:89" ht="17.25" customHeight="1" x14ac:dyDescent="0.25">
      <c r="A711" s="710">
        <v>4</v>
      </c>
      <c r="B711" s="711" t="s">
        <v>40</v>
      </c>
      <c r="C711" s="699"/>
      <c r="D711" s="694"/>
      <c r="E711" s="695"/>
      <c r="F711" s="700"/>
      <c r="G711" s="700"/>
      <c r="H711" s="700"/>
      <c r="I711" s="700"/>
      <c r="J711" s="700"/>
      <c r="K711" s="700"/>
      <c r="L711" s="700"/>
      <c r="M711" s="700"/>
      <c r="N711" s="700"/>
      <c r="O711" s="701">
        <f t="shared" si="53"/>
        <v>0</v>
      </c>
      <c r="P711" s="702"/>
    </row>
    <row r="712" spans="1:89" s="675" customFormat="1" ht="17.25" customHeight="1" x14ac:dyDescent="0.25">
      <c r="A712" s="710"/>
      <c r="B712" s="711" t="s">
        <v>41</v>
      </c>
      <c r="C712" s="699">
        <v>1</v>
      </c>
      <c r="D712" s="694" t="s">
        <v>25</v>
      </c>
      <c r="E712" s="695">
        <v>25000</v>
      </c>
      <c r="F712" s="700"/>
      <c r="G712" s="700"/>
      <c r="H712" s="700"/>
      <c r="I712" s="700"/>
      <c r="J712" s="700">
        <f>C712*E712</f>
        <v>25000</v>
      </c>
      <c r="K712" s="700">
        <f>I712+J712</f>
        <v>25000</v>
      </c>
      <c r="L712" s="700"/>
      <c r="M712" s="700"/>
      <c r="N712" s="700"/>
      <c r="O712" s="701">
        <f t="shared" si="53"/>
        <v>25000</v>
      </c>
      <c r="P712" s="702"/>
      <c r="Q712" s="1821"/>
      <c r="R712" s="1821"/>
      <c r="S712" s="1821"/>
      <c r="T712" s="1821"/>
      <c r="U712" s="1821"/>
      <c r="V712" s="1821"/>
      <c r="W712" s="1821"/>
      <c r="X712" s="1821"/>
      <c r="Y712" s="1821"/>
      <c r="Z712" s="1821"/>
      <c r="AA712" s="1821"/>
      <c r="AB712" s="1821"/>
      <c r="AC712" s="1821"/>
      <c r="AD712" s="1821"/>
      <c r="AE712" s="1821"/>
      <c r="AF712" s="1821"/>
      <c r="AG712" s="1821"/>
      <c r="AH712" s="1821"/>
      <c r="AI712" s="1821"/>
      <c r="AJ712" s="1821"/>
      <c r="AK712" s="1821"/>
      <c r="AL712" s="1821"/>
      <c r="AM712" s="1821"/>
      <c r="AN712" s="1821"/>
      <c r="AO712" s="1821"/>
      <c r="AP712" s="1821"/>
      <c r="AQ712" s="1821"/>
      <c r="AR712" s="1821"/>
      <c r="AS712" s="1821"/>
      <c r="AT712" s="1821"/>
      <c r="AU712" s="1821"/>
      <c r="AV712" s="1821"/>
      <c r="AW712" s="1821"/>
      <c r="AX712" s="1821"/>
      <c r="AY712" s="1821"/>
      <c r="AZ712" s="1821"/>
      <c r="BA712" s="1821"/>
      <c r="BB712" s="1821"/>
      <c r="BC712" s="1821"/>
      <c r="BD712" s="1821"/>
      <c r="BE712" s="1821"/>
      <c r="BF712" s="1821"/>
      <c r="BG712" s="1821"/>
      <c r="BH712" s="1821"/>
      <c r="BI712" s="1821"/>
      <c r="BJ712" s="1821"/>
      <c r="BK712" s="1821"/>
      <c r="BL712" s="1821"/>
      <c r="BM712" s="1821"/>
      <c r="BN712" s="1821"/>
      <c r="BO712" s="1821"/>
      <c r="BP712" s="1821"/>
      <c r="BQ712" s="1821"/>
      <c r="BR712" s="1821"/>
      <c r="BS712" s="1821"/>
      <c r="BT712" s="1821"/>
      <c r="BU712" s="1821"/>
      <c r="BV712" s="1821"/>
      <c r="BW712" s="1821"/>
      <c r="BX712" s="1821"/>
      <c r="BY712" s="1821"/>
      <c r="BZ712" s="1821"/>
      <c r="CA712" s="1821"/>
      <c r="CB712" s="1821"/>
      <c r="CC712" s="1821"/>
      <c r="CD712" s="1821"/>
      <c r="CE712" s="1821"/>
      <c r="CF712" s="1821"/>
      <c r="CG712" s="1821"/>
      <c r="CH712" s="1821"/>
      <c r="CI712" s="1821"/>
      <c r="CJ712" s="1821"/>
      <c r="CK712" s="1821"/>
    </row>
    <row r="713" spans="1:89" s="675" customFormat="1" ht="17.25" customHeight="1" x14ac:dyDescent="0.25">
      <c r="A713" s="697"/>
      <c r="B713" s="698"/>
      <c r="C713" s="699"/>
      <c r="D713" s="694"/>
      <c r="E713" s="695"/>
      <c r="F713" s="712"/>
      <c r="G713" s="712"/>
      <c r="H713" s="712"/>
      <c r="I713" s="712"/>
      <c r="J713" s="700"/>
      <c r="K713" s="700"/>
      <c r="L713" s="712"/>
      <c r="M713" s="712"/>
      <c r="N713" s="712"/>
      <c r="O713" s="701">
        <f t="shared" si="53"/>
        <v>0</v>
      </c>
      <c r="P713" s="702"/>
      <c r="Q713" s="1821"/>
      <c r="R713" s="1821"/>
      <c r="S713" s="1821"/>
      <c r="T713" s="1821"/>
      <c r="U713" s="1821"/>
      <c r="V713" s="1821"/>
      <c r="W713" s="1821"/>
      <c r="X713" s="1821"/>
      <c r="Y713" s="1821"/>
      <c r="Z713" s="1821"/>
      <c r="AA713" s="1821"/>
      <c r="AB713" s="1821"/>
      <c r="AC713" s="1821"/>
      <c r="AD713" s="1821"/>
      <c r="AE713" s="1821"/>
      <c r="AF713" s="1821"/>
      <c r="AG713" s="1821"/>
      <c r="AH713" s="1821"/>
      <c r="AI713" s="1821"/>
      <c r="AJ713" s="1821"/>
      <c r="AK713" s="1821"/>
      <c r="AL713" s="1821"/>
      <c r="AM713" s="1821"/>
      <c r="AN713" s="1821"/>
      <c r="AO713" s="1821"/>
      <c r="AP713" s="1821"/>
      <c r="AQ713" s="1821"/>
      <c r="AR713" s="1821"/>
      <c r="AS713" s="1821"/>
      <c r="AT713" s="1821"/>
      <c r="AU713" s="1821"/>
      <c r="AV713" s="1821"/>
      <c r="AW713" s="1821"/>
      <c r="AX713" s="1821"/>
      <c r="AY713" s="1821"/>
      <c r="AZ713" s="1821"/>
      <c r="BA713" s="1821"/>
      <c r="BB713" s="1821"/>
      <c r="BC713" s="1821"/>
      <c r="BD713" s="1821"/>
      <c r="BE713" s="1821"/>
      <c r="BF713" s="1821"/>
      <c r="BG713" s="1821"/>
      <c r="BH713" s="1821"/>
      <c r="BI713" s="1821"/>
      <c r="BJ713" s="1821"/>
      <c r="BK713" s="1821"/>
      <c r="BL713" s="1821"/>
      <c r="BM713" s="1821"/>
      <c r="BN713" s="1821"/>
      <c r="BO713" s="1821"/>
      <c r="BP713" s="1821"/>
      <c r="BQ713" s="1821"/>
      <c r="BR713" s="1821"/>
      <c r="BS713" s="1821"/>
      <c r="BT713" s="1821"/>
      <c r="BU713" s="1821"/>
      <c r="BV713" s="1821"/>
      <c r="BW713" s="1821"/>
      <c r="BX713" s="1821"/>
      <c r="BY713" s="1821"/>
      <c r="BZ713" s="1821"/>
      <c r="CA713" s="1821"/>
      <c r="CB713" s="1821"/>
      <c r="CC713" s="1821"/>
      <c r="CD713" s="1821"/>
      <c r="CE713" s="1821"/>
      <c r="CF713" s="1821"/>
      <c r="CG713" s="1821"/>
      <c r="CH713" s="1821"/>
      <c r="CI713" s="1821"/>
      <c r="CJ713" s="1821"/>
      <c r="CK713" s="1821"/>
    </row>
    <row r="714" spans="1:89" s="675" customFormat="1" ht="17.25" customHeight="1" x14ac:dyDescent="0.25">
      <c r="A714" s="697">
        <v>5</v>
      </c>
      <c r="B714" s="711" t="s">
        <v>43</v>
      </c>
      <c r="C714" s="699"/>
      <c r="D714" s="694"/>
      <c r="E714" s="695"/>
      <c r="F714" s="712"/>
      <c r="G714" s="712"/>
      <c r="H714" s="712"/>
      <c r="I714" s="712"/>
      <c r="J714" s="700"/>
      <c r="K714" s="700"/>
      <c r="L714" s="712"/>
      <c r="M714" s="712"/>
      <c r="N714" s="712"/>
      <c r="O714" s="701">
        <f t="shared" si="53"/>
        <v>0</v>
      </c>
      <c r="P714" s="702"/>
      <c r="Q714" s="1821"/>
      <c r="R714" s="1821"/>
      <c r="S714" s="1821"/>
      <c r="T714" s="1821"/>
      <c r="U714" s="1821"/>
      <c r="V714" s="1821"/>
      <c r="W714" s="1821"/>
      <c r="X714" s="1821"/>
      <c r="Y714" s="1821"/>
      <c r="Z714" s="1821"/>
      <c r="AA714" s="1821"/>
      <c r="AB714" s="1821"/>
      <c r="AC714" s="1821"/>
      <c r="AD714" s="1821"/>
      <c r="AE714" s="1821"/>
      <c r="AF714" s="1821"/>
      <c r="AG714" s="1821"/>
      <c r="AH714" s="1821"/>
      <c r="AI714" s="1821"/>
      <c r="AJ714" s="1821"/>
      <c r="AK714" s="1821"/>
      <c r="AL714" s="1821"/>
      <c r="AM714" s="1821"/>
      <c r="AN714" s="1821"/>
      <c r="AO714" s="1821"/>
      <c r="AP714" s="1821"/>
      <c r="AQ714" s="1821"/>
      <c r="AR714" s="1821"/>
      <c r="AS714" s="1821"/>
      <c r="AT714" s="1821"/>
      <c r="AU714" s="1821"/>
      <c r="AV714" s="1821"/>
      <c r="AW714" s="1821"/>
      <c r="AX714" s="1821"/>
      <c r="AY714" s="1821"/>
      <c r="AZ714" s="1821"/>
      <c r="BA714" s="1821"/>
      <c r="BB714" s="1821"/>
      <c r="BC714" s="1821"/>
      <c r="BD714" s="1821"/>
      <c r="BE714" s="1821"/>
      <c r="BF714" s="1821"/>
      <c r="BG714" s="1821"/>
      <c r="BH714" s="1821"/>
      <c r="BI714" s="1821"/>
      <c r="BJ714" s="1821"/>
      <c r="BK714" s="1821"/>
      <c r="BL714" s="1821"/>
      <c r="BM714" s="1821"/>
      <c r="BN714" s="1821"/>
      <c r="BO714" s="1821"/>
      <c r="BP714" s="1821"/>
      <c r="BQ714" s="1821"/>
      <c r="BR714" s="1821"/>
      <c r="BS714" s="1821"/>
      <c r="BT714" s="1821"/>
      <c r="BU714" s="1821"/>
      <c r="BV714" s="1821"/>
      <c r="BW714" s="1821"/>
      <c r="BX714" s="1821"/>
      <c r="BY714" s="1821"/>
      <c r="BZ714" s="1821"/>
      <c r="CA714" s="1821"/>
      <c r="CB714" s="1821"/>
      <c r="CC714" s="1821"/>
      <c r="CD714" s="1821"/>
      <c r="CE714" s="1821"/>
      <c r="CF714" s="1821"/>
      <c r="CG714" s="1821"/>
      <c r="CH714" s="1821"/>
      <c r="CI714" s="1821"/>
      <c r="CJ714" s="1821"/>
      <c r="CK714" s="1821"/>
    </row>
    <row r="715" spans="1:89" s="675" customFormat="1" ht="17.25" customHeight="1" x14ac:dyDescent="0.25">
      <c r="A715" s="697"/>
      <c r="B715" s="711" t="s">
        <v>44</v>
      </c>
      <c r="C715" s="699">
        <v>9</v>
      </c>
      <c r="D715" s="694" t="s">
        <v>45</v>
      </c>
      <c r="E715" s="695">
        <v>5000</v>
      </c>
      <c r="F715" s="700"/>
      <c r="G715" s="700"/>
      <c r="H715" s="700"/>
      <c r="I715" s="700"/>
      <c r="J715" s="700">
        <f>C715*E715</f>
        <v>45000</v>
      </c>
      <c r="K715" s="700">
        <f>I715+J715</f>
        <v>45000</v>
      </c>
      <c r="L715" s="700"/>
      <c r="M715" s="700"/>
      <c r="N715" s="700"/>
      <c r="O715" s="701">
        <f t="shared" si="53"/>
        <v>45000</v>
      </c>
      <c r="P715" s="702"/>
      <c r="Q715" s="1821"/>
      <c r="R715" s="1821"/>
      <c r="S715" s="1821"/>
      <c r="T715" s="1821"/>
      <c r="U715" s="1821"/>
      <c r="V715" s="1821"/>
      <c r="W715" s="1821"/>
      <c r="X715" s="1821"/>
      <c r="Y715" s="1821"/>
      <c r="Z715" s="1821"/>
      <c r="AA715" s="1821"/>
      <c r="AB715" s="1821"/>
      <c r="AC715" s="1821"/>
      <c r="AD715" s="1821"/>
      <c r="AE715" s="1821"/>
      <c r="AF715" s="1821"/>
      <c r="AG715" s="1821"/>
      <c r="AH715" s="1821"/>
      <c r="AI715" s="1821"/>
      <c r="AJ715" s="1821"/>
      <c r="AK715" s="1821"/>
      <c r="AL715" s="1821"/>
      <c r="AM715" s="1821"/>
      <c r="AN715" s="1821"/>
      <c r="AO715" s="1821"/>
      <c r="AP715" s="1821"/>
      <c r="AQ715" s="1821"/>
      <c r="AR715" s="1821"/>
      <c r="AS715" s="1821"/>
      <c r="AT715" s="1821"/>
      <c r="AU715" s="1821"/>
      <c r="AV715" s="1821"/>
      <c r="AW715" s="1821"/>
      <c r="AX715" s="1821"/>
      <c r="AY715" s="1821"/>
      <c r="AZ715" s="1821"/>
      <c r="BA715" s="1821"/>
      <c r="BB715" s="1821"/>
      <c r="BC715" s="1821"/>
      <c r="BD715" s="1821"/>
      <c r="BE715" s="1821"/>
      <c r="BF715" s="1821"/>
      <c r="BG715" s="1821"/>
      <c r="BH715" s="1821"/>
      <c r="BI715" s="1821"/>
      <c r="BJ715" s="1821"/>
      <c r="BK715" s="1821"/>
      <c r="BL715" s="1821"/>
      <c r="BM715" s="1821"/>
      <c r="BN715" s="1821"/>
      <c r="BO715" s="1821"/>
      <c r="BP715" s="1821"/>
      <c r="BQ715" s="1821"/>
      <c r="BR715" s="1821"/>
      <c r="BS715" s="1821"/>
      <c r="BT715" s="1821"/>
      <c r="BU715" s="1821"/>
      <c r="BV715" s="1821"/>
      <c r="BW715" s="1821"/>
      <c r="BX715" s="1821"/>
      <c r="BY715" s="1821"/>
      <c r="BZ715" s="1821"/>
      <c r="CA715" s="1821"/>
      <c r="CB715" s="1821"/>
      <c r="CC715" s="1821"/>
      <c r="CD715" s="1821"/>
      <c r="CE715" s="1821"/>
      <c r="CF715" s="1821"/>
      <c r="CG715" s="1821"/>
      <c r="CH715" s="1821"/>
      <c r="CI715" s="1821"/>
      <c r="CJ715" s="1821"/>
      <c r="CK715" s="1821"/>
    </row>
    <row r="716" spans="1:89" s="675" customFormat="1" ht="17.25" customHeight="1" x14ac:dyDescent="0.25">
      <c r="A716" s="697"/>
      <c r="B716" s="711"/>
      <c r="C716" s="699"/>
      <c r="D716" s="694"/>
      <c r="E716" s="695"/>
      <c r="F716" s="700"/>
      <c r="G716" s="700"/>
      <c r="H716" s="700"/>
      <c r="I716" s="700"/>
      <c r="J716" s="700"/>
      <c r="K716" s="700"/>
      <c r="L716" s="700"/>
      <c r="M716" s="700"/>
      <c r="N716" s="700"/>
      <c r="O716" s="701">
        <f t="shared" si="53"/>
        <v>0</v>
      </c>
      <c r="P716" s="702"/>
      <c r="Q716" s="1821"/>
      <c r="R716" s="1821"/>
      <c r="S716" s="1821"/>
      <c r="T716" s="1821"/>
      <c r="U716" s="1821"/>
      <c r="V716" s="1821"/>
      <c r="W716" s="1821"/>
      <c r="X716" s="1821"/>
      <c r="Y716" s="1821"/>
      <c r="Z716" s="1821"/>
      <c r="AA716" s="1821"/>
      <c r="AB716" s="1821"/>
      <c r="AC716" s="1821"/>
      <c r="AD716" s="1821"/>
      <c r="AE716" s="1821"/>
      <c r="AF716" s="1821"/>
      <c r="AG716" s="1821"/>
      <c r="AH716" s="1821"/>
      <c r="AI716" s="1821"/>
      <c r="AJ716" s="1821"/>
      <c r="AK716" s="1821"/>
      <c r="AL716" s="1821"/>
      <c r="AM716" s="1821"/>
      <c r="AN716" s="1821"/>
      <c r="AO716" s="1821"/>
      <c r="AP716" s="1821"/>
      <c r="AQ716" s="1821"/>
      <c r="AR716" s="1821"/>
      <c r="AS716" s="1821"/>
      <c r="AT716" s="1821"/>
      <c r="AU716" s="1821"/>
      <c r="AV716" s="1821"/>
      <c r="AW716" s="1821"/>
      <c r="AX716" s="1821"/>
      <c r="AY716" s="1821"/>
      <c r="AZ716" s="1821"/>
      <c r="BA716" s="1821"/>
      <c r="BB716" s="1821"/>
      <c r="BC716" s="1821"/>
      <c r="BD716" s="1821"/>
      <c r="BE716" s="1821"/>
      <c r="BF716" s="1821"/>
      <c r="BG716" s="1821"/>
      <c r="BH716" s="1821"/>
      <c r="BI716" s="1821"/>
      <c r="BJ716" s="1821"/>
      <c r="BK716" s="1821"/>
      <c r="BL716" s="1821"/>
      <c r="BM716" s="1821"/>
      <c r="BN716" s="1821"/>
      <c r="BO716" s="1821"/>
      <c r="BP716" s="1821"/>
      <c r="BQ716" s="1821"/>
      <c r="BR716" s="1821"/>
      <c r="BS716" s="1821"/>
      <c r="BT716" s="1821"/>
      <c r="BU716" s="1821"/>
      <c r="BV716" s="1821"/>
      <c r="BW716" s="1821"/>
      <c r="BX716" s="1821"/>
      <c r="BY716" s="1821"/>
      <c r="BZ716" s="1821"/>
      <c r="CA716" s="1821"/>
      <c r="CB716" s="1821"/>
      <c r="CC716" s="1821"/>
      <c r="CD716" s="1821"/>
      <c r="CE716" s="1821"/>
      <c r="CF716" s="1821"/>
      <c r="CG716" s="1821"/>
      <c r="CH716" s="1821"/>
      <c r="CI716" s="1821"/>
      <c r="CJ716" s="1821"/>
      <c r="CK716" s="1821"/>
    </row>
    <row r="717" spans="1:89" ht="17.25" customHeight="1" x14ac:dyDescent="0.25">
      <c r="A717" s="697">
        <v>6</v>
      </c>
      <c r="B717" s="698" t="s">
        <v>48</v>
      </c>
      <c r="C717" s="699"/>
      <c r="D717" s="694"/>
      <c r="E717" s="695" t="s">
        <v>49</v>
      </c>
      <c r="F717" s="700"/>
      <c r="G717" s="700"/>
      <c r="H717" s="700"/>
      <c r="I717" s="700"/>
      <c r="J717" s="700" t="s">
        <v>49</v>
      </c>
      <c r="K717" s="700"/>
      <c r="L717" s="700"/>
      <c r="M717" s="700"/>
      <c r="N717" s="700"/>
      <c r="O717" s="701">
        <f t="shared" si="53"/>
        <v>0</v>
      </c>
      <c r="P717" s="702"/>
    </row>
    <row r="718" spans="1:89" ht="17.25" customHeight="1" x14ac:dyDescent="0.25">
      <c r="A718" s="697"/>
      <c r="B718" s="698" t="s">
        <v>50</v>
      </c>
      <c r="C718" s="699">
        <v>102</v>
      </c>
      <c r="D718" s="694" t="s">
        <v>51</v>
      </c>
      <c r="E718" s="695">
        <v>340</v>
      </c>
      <c r="F718" s="700"/>
      <c r="G718" s="700"/>
      <c r="H718" s="700"/>
      <c r="I718" s="700"/>
      <c r="J718" s="700">
        <f>C718*E718</f>
        <v>34680</v>
      </c>
      <c r="K718" s="700">
        <f>I718+J718</f>
        <v>34680</v>
      </c>
      <c r="L718" s="700"/>
      <c r="M718" s="700"/>
      <c r="N718" s="700"/>
      <c r="O718" s="701">
        <f t="shared" si="53"/>
        <v>34680</v>
      </c>
      <c r="P718" s="702"/>
    </row>
    <row r="719" spans="1:89" ht="17.25" customHeight="1" x14ac:dyDescent="0.25">
      <c r="A719" s="697"/>
      <c r="B719" s="711" t="s">
        <v>52</v>
      </c>
      <c r="C719" s="713">
        <v>136</v>
      </c>
      <c r="D719" s="694" t="s">
        <v>53</v>
      </c>
      <c r="E719" s="714">
        <v>450</v>
      </c>
      <c r="F719" s="700"/>
      <c r="G719" s="700"/>
      <c r="H719" s="700"/>
      <c r="I719" s="700"/>
      <c r="J719" s="700">
        <f>C719*E719</f>
        <v>61200</v>
      </c>
      <c r="K719" s="700">
        <f>I719+J719</f>
        <v>61200</v>
      </c>
      <c r="L719" s="700"/>
      <c r="M719" s="700"/>
      <c r="N719" s="700"/>
      <c r="O719" s="701">
        <f t="shared" si="53"/>
        <v>61200</v>
      </c>
      <c r="P719" s="702"/>
    </row>
    <row r="720" spans="1:89" ht="17.25" customHeight="1" x14ac:dyDescent="0.25">
      <c r="A720" s="697"/>
      <c r="B720" s="715" t="s">
        <v>54</v>
      </c>
      <c r="C720" s="713">
        <v>204</v>
      </c>
      <c r="D720" s="716" t="s">
        <v>55</v>
      </c>
      <c r="E720" s="714">
        <v>450</v>
      </c>
      <c r="F720" s="700"/>
      <c r="G720" s="700"/>
      <c r="H720" s="700"/>
      <c r="I720" s="700"/>
      <c r="J720" s="700">
        <f>C720*E720</f>
        <v>91800</v>
      </c>
      <c r="K720" s="700">
        <f>I720+J720</f>
        <v>91800</v>
      </c>
      <c r="L720" s="700"/>
      <c r="M720" s="700"/>
      <c r="N720" s="700"/>
      <c r="O720" s="701">
        <f t="shared" si="53"/>
        <v>91800</v>
      </c>
      <c r="P720" s="702"/>
    </row>
    <row r="721" spans="1:89" ht="17.25" customHeight="1" x14ac:dyDescent="0.25">
      <c r="A721" s="697"/>
      <c r="B721" s="715" t="s">
        <v>56</v>
      </c>
      <c r="C721" s="713">
        <v>120</v>
      </c>
      <c r="D721" s="716" t="s">
        <v>55</v>
      </c>
      <c r="E721" s="714">
        <v>300</v>
      </c>
      <c r="F721" s="700"/>
      <c r="G721" s="700"/>
      <c r="H721" s="700"/>
      <c r="I721" s="700"/>
      <c r="J721" s="700">
        <f>C721*E721</f>
        <v>36000</v>
      </c>
      <c r="K721" s="700">
        <f>I721+J721</f>
        <v>36000</v>
      </c>
      <c r="L721" s="700"/>
      <c r="M721" s="700"/>
      <c r="N721" s="700"/>
      <c r="O721" s="701">
        <f t="shared" si="53"/>
        <v>36000</v>
      </c>
      <c r="P721" s="702"/>
    </row>
    <row r="722" spans="1:89" ht="17.25" customHeight="1" x14ac:dyDescent="0.25">
      <c r="A722" s="717"/>
      <c r="B722" s="718"/>
      <c r="C722" s="719"/>
      <c r="D722" s="720"/>
      <c r="E722" s="721"/>
      <c r="F722" s="722"/>
      <c r="G722" s="722"/>
      <c r="H722" s="722"/>
      <c r="I722" s="722"/>
      <c r="J722" s="722"/>
      <c r="K722" s="722"/>
      <c r="L722" s="722"/>
      <c r="M722" s="722"/>
      <c r="N722" s="722"/>
      <c r="O722" s="723"/>
      <c r="P722" s="702"/>
    </row>
    <row r="723" spans="1:89" ht="23.25" customHeight="1" x14ac:dyDescent="0.25">
      <c r="A723" s="1210" t="s">
        <v>117</v>
      </c>
      <c r="B723" s="1211" t="s">
        <v>118</v>
      </c>
      <c r="C723" s="1212"/>
      <c r="D723" s="1316"/>
      <c r="E723" s="1214"/>
      <c r="F723" s="1214">
        <f>F725+F733+F736</f>
        <v>0</v>
      </c>
      <c r="G723" s="1214">
        <f>G725+G733+G736</f>
        <v>0</v>
      </c>
      <c r="H723" s="1214">
        <f>G723+F723</f>
        <v>0</v>
      </c>
      <c r="I723" s="1214">
        <f>I725+I733+I736</f>
        <v>0</v>
      </c>
      <c r="J723" s="1214">
        <f>J725+J733+J736</f>
        <v>5623636</v>
      </c>
      <c r="K723" s="1214">
        <f>J723+I723</f>
        <v>5623636</v>
      </c>
      <c r="L723" s="1214">
        <f>L725+L733+L736</f>
        <v>7500000</v>
      </c>
      <c r="M723" s="1214">
        <f>M725+M733+M736</f>
        <v>0</v>
      </c>
      <c r="N723" s="1214">
        <f>M723+L723</f>
        <v>7500000</v>
      </c>
      <c r="O723" s="1215">
        <f t="shared" ref="O723:O731" si="54">N723+K723+H723</f>
        <v>13123636</v>
      </c>
      <c r="P723" s="680"/>
    </row>
    <row r="724" spans="1:89" ht="17.25" customHeight="1" x14ac:dyDescent="0.25">
      <c r="A724" s="681"/>
      <c r="B724" s="876"/>
      <c r="C724" s="682"/>
      <c r="D724" s="683"/>
      <c r="E724" s="685"/>
      <c r="F724" s="685"/>
      <c r="G724" s="685"/>
      <c r="H724" s="685"/>
      <c r="I724" s="685"/>
      <c r="J724" s="685"/>
      <c r="K724" s="685"/>
      <c r="L724" s="685"/>
      <c r="M724" s="685"/>
      <c r="N724" s="685"/>
      <c r="O724" s="686">
        <f t="shared" si="54"/>
        <v>0</v>
      </c>
      <c r="P724" s="687"/>
    </row>
    <row r="725" spans="1:89" s="672" customFormat="1" ht="32.25" customHeight="1" x14ac:dyDescent="0.25">
      <c r="A725" s="740" t="s">
        <v>64</v>
      </c>
      <c r="B725" s="1372" t="s">
        <v>1156</v>
      </c>
      <c r="C725" s="828"/>
      <c r="D725" s="1369"/>
      <c r="E725" s="705"/>
      <c r="F725" s="705">
        <f>SUM(F726:F732)</f>
        <v>0</v>
      </c>
      <c r="G725" s="705">
        <f>SUM(G726:G732)</f>
        <v>0</v>
      </c>
      <c r="H725" s="705">
        <f>F725+G725</f>
        <v>0</v>
      </c>
      <c r="I725" s="705">
        <f>SUM(I726:I732)</f>
        <v>0</v>
      </c>
      <c r="J725" s="705">
        <f>SUM(J726:J732)</f>
        <v>0</v>
      </c>
      <c r="K725" s="705">
        <f>I725+J725</f>
        <v>0</v>
      </c>
      <c r="L725" s="705">
        <f>SUM(L726:L732)</f>
        <v>7500000</v>
      </c>
      <c r="M725" s="705">
        <f>SUM(M726:M732)</f>
        <v>0</v>
      </c>
      <c r="N725" s="705">
        <f>L725+M725</f>
        <v>7500000</v>
      </c>
      <c r="O725" s="1370">
        <f>N725+K725+H725</f>
        <v>7500000</v>
      </c>
      <c r="P725" s="829"/>
      <c r="Q725" s="1581"/>
      <c r="R725" s="1581"/>
      <c r="S725" s="1581"/>
      <c r="T725" s="1581"/>
      <c r="U725" s="1581"/>
      <c r="V725" s="1581"/>
      <c r="W725" s="1581"/>
      <c r="X725" s="1581"/>
      <c r="Y725" s="1581"/>
      <c r="Z725" s="1581"/>
      <c r="AA725" s="1581"/>
      <c r="AB725" s="1581"/>
      <c r="AC725" s="1581"/>
      <c r="AD725" s="1581"/>
      <c r="AE725" s="1581"/>
      <c r="AF725" s="1581"/>
      <c r="AG725" s="1581"/>
      <c r="AH725" s="1581"/>
      <c r="AI725" s="1581"/>
      <c r="AJ725" s="1581"/>
      <c r="AK725" s="1581"/>
      <c r="AL725" s="1581"/>
      <c r="AM725" s="1581"/>
      <c r="AN725" s="1581"/>
      <c r="AO725" s="1581"/>
      <c r="AP725" s="1581"/>
      <c r="AQ725" s="1581"/>
      <c r="AR725" s="1581"/>
      <c r="AS725" s="1581"/>
      <c r="AT725" s="1581"/>
      <c r="AU725" s="1581"/>
      <c r="AV725" s="1581"/>
      <c r="AW725" s="1581"/>
      <c r="AX725" s="1581"/>
      <c r="AY725" s="1581"/>
      <c r="AZ725" s="1581"/>
      <c r="BA725" s="1581"/>
      <c r="BB725" s="1581"/>
      <c r="BC725" s="1581"/>
      <c r="BD725" s="1581"/>
      <c r="BE725" s="1581"/>
      <c r="BF725" s="1581"/>
      <c r="BG725" s="1581"/>
      <c r="BH725" s="1581"/>
      <c r="BI725" s="1581"/>
      <c r="BJ725" s="1581"/>
      <c r="BK725" s="1581"/>
      <c r="BL725" s="1581"/>
      <c r="BM725" s="1581"/>
      <c r="BN725" s="1581"/>
      <c r="BO725" s="1581"/>
      <c r="BP725" s="1581"/>
      <c r="BQ725" s="1581"/>
      <c r="BR725" s="1581"/>
      <c r="BS725" s="1581"/>
      <c r="BT725" s="1581"/>
      <c r="BU725" s="1581"/>
      <c r="BV725" s="1581"/>
      <c r="BW725" s="1581"/>
      <c r="BX725" s="1581"/>
      <c r="BY725" s="1581"/>
      <c r="BZ725" s="1581"/>
      <c r="CA725" s="1581"/>
      <c r="CB725" s="1581"/>
      <c r="CC725" s="1581"/>
      <c r="CD725" s="1581"/>
      <c r="CE725" s="1581"/>
      <c r="CF725" s="1581"/>
      <c r="CG725" s="1581"/>
      <c r="CH725" s="1581"/>
      <c r="CI725" s="1581"/>
      <c r="CJ725" s="1581"/>
      <c r="CK725" s="1581"/>
    </row>
    <row r="726" spans="1:89" ht="17.25" customHeight="1" x14ac:dyDescent="0.25">
      <c r="A726" s="692">
        <v>1</v>
      </c>
      <c r="B726" s="1248" t="s">
        <v>628</v>
      </c>
      <c r="C726" s="693">
        <v>1</v>
      </c>
      <c r="D726" s="727" t="s">
        <v>16</v>
      </c>
      <c r="E726" s="695">
        <v>1500000</v>
      </c>
      <c r="F726" s="695"/>
      <c r="G726" s="695"/>
      <c r="H726" s="695"/>
      <c r="I726" s="695"/>
      <c r="J726" s="695"/>
      <c r="K726" s="695"/>
      <c r="L726" s="695">
        <f t="shared" ref="L726:L731" si="55">C726*E726</f>
        <v>1500000</v>
      </c>
      <c r="M726" s="695"/>
      <c r="N726" s="695">
        <f t="shared" ref="N726:N731" si="56">L726+M726</f>
        <v>1500000</v>
      </c>
      <c r="O726" s="696">
        <f t="shared" si="54"/>
        <v>1500000</v>
      </c>
      <c r="P726" s="687"/>
    </row>
    <row r="727" spans="1:89" ht="17.25" customHeight="1" x14ac:dyDescent="0.25">
      <c r="A727" s="692">
        <v>2</v>
      </c>
      <c r="B727" s="1248" t="s">
        <v>629</v>
      </c>
      <c r="C727" s="693">
        <v>1</v>
      </c>
      <c r="D727" s="727" t="s">
        <v>16</v>
      </c>
      <c r="E727" s="695">
        <f>2000000-500000</f>
        <v>1500000</v>
      </c>
      <c r="F727" s="695"/>
      <c r="G727" s="695"/>
      <c r="H727" s="695"/>
      <c r="I727" s="695"/>
      <c r="J727" s="695"/>
      <c r="K727" s="695"/>
      <c r="L727" s="695">
        <f t="shared" si="55"/>
        <v>1500000</v>
      </c>
      <c r="M727" s="695"/>
      <c r="N727" s="695">
        <f t="shared" si="56"/>
        <v>1500000</v>
      </c>
      <c r="O727" s="696">
        <f t="shared" si="54"/>
        <v>1500000</v>
      </c>
      <c r="P727" s="687"/>
    </row>
    <row r="728" spans="1:89" ht="17.25" customHeight="1" x14ac:dyDescent="0.25">
      <c r="A728" s="692">
        <v>3</v>
      </c>
      <c r="B728" s="1248" t="s">
        <v>630</v>
      </c>
      <c r="C728" s="693">
        <v>1</v>
      </c>
      <c r="D728" s="727" t="s">
        <v>16</v>
      </c>
      <c r="E728" s="695">
        <v>2000000</v>
      </c>
      <c r="F728" s="695"/>
      <c r="G728" s="695"/>
      <c r="H728" s="695"/>
      <c r="I728" s="695"/>
      <c r="J728" s="695"/>
      <c r="K728" s="695"/>
      <c r="L728" s="695">
        <f t="shared" si="55"/>
        <v>2000000</v>
      </c>
      <c r="M728" s="695"/>
      <c r="N728" s="695">
        <f t="shared" si="56"/>
        <v>2000000</v>
      </c>
      <c r="O728" s="696">
        <f t="shared" si="54"/>
        <v>2000000</v>
      </c>
      <c r="P728" s="687"/>
    </row>
    <row r="729" spans="1:89" ht="17.25" customHeight="1" x14ac:dyDescent="0.25">
      <c r="A729" s="692">
        <v>4</v>
      </c>
      <c r="B729" s="1248" t="s">
        <v>631</v>
      </c>
      <c r="C729" s="693">
        <v>1</v>
      </c>
      <c r="D729" s="727" t="s">
        <v>16</v>
      </c>
      <c r="E729" s="695">
        <v>1500000</v>
      </c>
      <c r="F729" s="695"/>
      <c r="G729" s="695"/>
      <c r="H729" s="695"/>
      <c r="I729" s="695"/>
      <c r="J729" s="695"/>
      <c r="K729" s="695"/>
      <c r="L729" s="695">
        <f t="shared" si="55"/>
        <v>1500000</v>
      </c>
      <c r="M729" s="695"/>
      <c r="N729" s="695">
        <f t="shared" si="56"/>
        <v>1500000</v>
      </c>
      <c r="O729" s="696">
        <f t="shared" si="54"/>
        <v>1500000</v>
      </c>
      <c r="P729" s="687"/>
    </row>
    <row r="730" spans="1:89" ht="17.25" customHeight="1" x14ac:dyDescent="0.25">
      <c r="A730" s="692">
        <v>5</v>
      </c>
      <c r="B730" s="1248" t="s">
        <v>632</v>
      </c>
      <c r="C730" s="693">
        <v>0</v>
      </c>
      <c r="D730" s="727" t="s">
        <v>16</v>
      </c>
      <c r="E730" s="695">
        <v>1758053</v>
      </c>
      <c r="F730" s="695"/>
      <c r="G730" s="695"/>
      <c r="H730" s="695"/>
      <c r="I730" s="695"/>
      <c r="J730" s="695"/>
      <c r="K730" s="695"/>
      <c r="L730" s="695">
        <f t="shared" si="55"/>
        <v>0</v>
      </c>
      <c r="M730" s="695"/>
      <c r="N730" s="695">
        <f t="shared" si="56"/>
        <v>0</v>
      </c>
      <c r="O730" s="696">
        <f t="shared" si="54"/>
        <v>0</v>
      </c>
      <c r="P730" s="687"/>
    </row>
    <row r="731" spans="1:89" ht="27.75" customHeight="1" x14ac:dyDescent="0.25">
      <c r="A731" s="692">
        <v>6</v>
      </c>
      <c r="B731" s="1248" t="s">
        <v>633</v>
      </c>
      <c r="C731" s="693">
        <v>1</v>
      </c>
      <c r="D731" s="727" t="s">
        <v>16</v>
      </c>
      <c r="E731" s="695">
        <v>1000000</v>
      </c>
      <c r="F731" s="695"/>
      <c r="G731" s="695"/>
      <c r="H731" s="695"/>
      <c r="I731" s="695"/>
      <c r="J731" s="695"/>
      <c r="K731" s="695"/>
      <c r="L731" s="695">
        <f t="shared" si="55"/>
        <v>1000000</v>
      </c>
      <c r="M731" s="695"/>
      <c r="N731" s="695">
        <f t="shared" si="56"/>
        <v>1000000</v>
      </c>
      <c r="O731" s="696">
        <f t="shared" si="54"/>
        <v>1000000</v>
      </c>
      <c r="P731" s="687"/>
    </row>
    <row r="732" spans="1:89" ht="17.25" customHeight="1" x14ac:dyDescent="0.25">
      <c r="A732" s="692"/>
      <c r="B732" s="1248"/>
      <c r="C732" s="693"/>
      <c r="D732" s="727"/>
      <c r="E732" s="695"/>
      <c r="F732" s="695"/>
      <c r="G732" s="695"/>
      <c r="H732" s="695"/>
      <c r="I732" s="695"/>
      <c r="J732" s="695"/>
      <c r="K732" s="695"/>
      <c r="L732" s="695"/>
      <c r="M732" s="695"/>
      <c r="N732" s="695"/>
      <c r="O732" s="696"/>
      <c r="P732" s="687"/>
    </row>
    <row r="733" spans="1:89" ht="30.75" customHeight="1" x14ac:dyDescent="0.25">
      <c r="A733" s="740"/>
      <c r="B733" s="795" t="s">
        <v>61</v>
      </c>
      <c r="C733" s="1426"/>
      <c r="D733" s="1403"/>
      <c r="E733" s="874"/>
      <c r="F733" s="705">
        <f>SUM(F734:F735)</f>
        <v>0</v>
      </c>
      <c r="G733" s="705">
        <f>SUM(G734:G735)</f>
        <v>0</v>
      </c>
      <c r="H733" s="705">
        <f>G733+F733</f>
        <v>0</v>
      </c>
      <c r="I733" s="705">
        <f>SUM(I734:I735)</f>
        <v>0</v>
      </c>
      <c r="J733" s="705">
        <f>SUM(J734)</f>
        <v>5123736</v>
      </c>
      <c r="K733" s="705">
        <f>J733+I733</f>
        <v>5123736</v>
      </c>
      <c r="L733" s="705">
        <f>SUM(L734:L735)</f>
        <v>0</v>
      </c>
      <c r="M733" s="705">
        <f>SUM(M734:M735)</f>
        <v>0</v>
      </c>
      <c r="N733" s="705">
        <f>M733+L733</f>
        <v>0</v>
      </c>
      <c r="O733" s="1370">
        <f>N733+K733+H733</f>
        <v>5123736</v>
      </c>
      <c r="P733" s="829"/>
    </row>
    <row r="734" spans="1:89" ht="30.75" customHeight="1" x14ac:dyDescent="0.25">
      <c r="A734" s="692" t="s">
        <v>62</v>
      </c>
      <c r="B734" s="1248" t="s">
        <v>1678</v>
      </c>
      <c r="C734" s="693">
        <v>1</v>
      </c>
      <c r="D734" s="739" t="s">
        <v>16</v>
      </c>
      <c r="E734" s="1427">
        <f>10123736-5000000</f>
        <v>5123736</v>
      </c>
      <c r="F734" s="695"/>
      <c r="G734" s="695"/>
      <c r="H734" s="695"/>
      <c r="I734" s="695"/>
      <c r="J734" s="695">
        <f>C734*E734</f>
        <v>5123736</v>
      </c>
      <c r="K734" s="695">
        <f>I734+J734</f>
        <v>5123736</v>
      </c>
      <c r="L734" s="695"/>
      <c r="M734" s="695"/>
      <c r="N734" s="695"/>
      <c r="O734" s="696">
        <f>N734+K734+H734</f>
        <v>5123736</v>
      </c>
      <c r="P734" s="687"/>
    </row>
    <row r="735" spans="1:89" ht="30.75" customHeight="1" x14ac:dyDescent="0.25">
      <c r="A735" s="692"/>
      <c r="B735" s="1248"/>
      <c r="C735" s="693"/>
      <c r="D735" s="739"/>
      <c r="E735" s="1427"/>
      <c r="F735" s="695"/>
      <c r="G735" s="695"/>
      <c r="H735" s="695"/>
      <c r="I735" s="695"/>
      <c r="J735" s="695"/>
      <c r="K735" s="695"/>
      <c r="L735" s="695"/>
      <c r="M735" s="695"/>
      <c r="N735" s="695"/>
      <c r="O735" s="696"/>
      <c r="P735" s="687"/>
    </row>
    <row r="736" spans="1:89" ht="17.25" customHeight="1" x14ac:dyDescent="0.25">
      <c r="A736" s="740" t="s">
        <v>28</v>
      </c>
      <c r="B736" s="1368" t="s">
        <v>29</v>
      </c>
      <c r="C736" s="828"/>
      <c r="D736" s="1369"/>
      <c r="E736" s="705"/>
      <c r="F736" s="705">
        <f>SUM(F738:F757)</f>
        <v>0</v>
      </c>
      <c r="G736" s="705">
        <f>SUM(G738:G757)</f>
        <v>0</v>
      </c>
      <c r="H736" s="705">
        <f>F736+G736</f>
        <v>0</v>
      </c>
      <c r="I736" s="705">
        <f>SUM(I738:I757)</f>
        <v>0</v>
      </c>
      <c r="J736" s="705">
        <f>SUM(J738:J757)</f>
        <v>499900</v>
      </c>
      <c r="K736" s="705">
        <f>I736+J736</f>
        <v>499900</v>
      </c>
      <c r="L736" s="705">
        <f>SUM(L738:L757)</f>
        <v>0</v>
      </c>
      <c r="M736" s="705">
        <f>SUM(M738:M757)</f>
        <v>0</v>
      </c>
      <c r="N736" s="705">
        <f>L736+M736</f>
        <v>0</v>
      </c>
      <c r="O736" s="1370">
        <f t="shared" ref="O736:O757" si="57">N736+K736+H736</f>
        <v>499900</v>
      </c>
      <c r="P736" s="829"/>
    </row>
    <row r="737" spans="1:16" ht="17.25" customHeight="1" x14ac:dyDescent="0.25">
      <c r="A737" s="692">
        <v>1</v>
      </c>
      <c r="B737" s="1344" t="s">
        <v>19</v>
      </c>
      <c r="C737" s="693"/>
      <c r="D737" s="727"/>
      <c r="E737" s="695"/>
      <c r="F737" s="695"/>
      <c r="G737" s="695"/>
      <c r="H737" s="695"/>
      <c r="I737" s="695"/>
      <c r="J737" s="695"/>
      <c r="K737" s="695"/>
      <c r="L737" s="695"/>
      <c r="M737" s="695"/>
      <c r="N737" s="695"/>
      <c r="O737" s="696">
        <f t="shared" si="57"/>
        <v>0</v>
      </c>
      <c r="P737" s="687"/>
    </row>
    <row r="738" spans="1:16" ht="17.25" customHeight="1" x14ac:dyDescent="0.25">
      <c r="A738" s="692"/>
      <c r="B738" s="1344" t="s">
        <v>30</v>
      </c>
      <c r="C738" s="693">
        <v>12</v>
      </c>
      <c r="D738" s="727" t="s">
        <v>20</v>
      </c>
      <c r="E738" s="695">
        <v>2000</v>
      </c>
      <c r="F738" s="695"/>
      <c r="G738" s="695"/>
      <c r="H738" s="695"/>
      <c r="I738" s="695"/>
      <c r="J738" s="695">
        <f>C738*E738</f>
        <v>24000</v>
      </c>
      <c r="K738" s="695">
        <f>I738+J738</f>
        <v>24000</v>
      </c>
      <c r="L738" s="695"/>
      <c r="M738" s="695"/>
      <c r="N738" s="695"/>
      <c r="O738" s="696">
        <f t="shared" si="57"/>
        <v>24000</v>
      </c>
      <c r="P738" s="687"/>
    </row>
    <row r="739" spans="1:16" ht="17.25" customHeight="1" x14ac:dyDescent="0.25">
      <c r="A739" s="692"/>
      <c r="B739" s="1344" t="s">
        <v>31</v>
      </c>
      <c r="C739" s="693">
        <v>12</v>
      </c>
      <c r="D739" s="727" t="s">
        <v>20</v>
      </c>
      <c r="E739" s="695">
        <v>1500</v>
      </c>
      <c r="F739" s="695"/>
      <c r="G739" s="695"/>
      <c r="H739" s="695"/>
      <c r="I739" s="695"/>
      <c r="J739" s="695">
        <f>C739*E739</f>
        <v>18000</v>
      </c>
      <c r="K739" s="695">
        <f>I739+J739</f>
        <v>18000</v>
      </c>
      <c r="L739" s="695"/>
      <c r="M739" s="695"/>
      <c r="N739" s="695"/>
      <c r="O739" s="696">
        <f t="shared" si="57"/>
        <v>18000</v>
      </c>
      <c r="P739" s="687"/>
    </row>
    <row r="740" spans="1:16" ht="17.25" customHeight="1" x14ac:dyDescent="0.25">
      <c r="A740" s="692"/>
      <c r="B740" s="1344" t="s">
        <v>32</v>
      </c>
      <c r="C740" s="693">
        <v>12</v>
      </c>
      <c r="D740" s="727" t="s">
        <v>20</v>
      </c>
      <c r="E740" s="695">
        <v>1250</v>
      </c>
      <c r="F740" s="695"/>
      <c r="G740" s="695"/>
      <c r="H740" s="695"/>
      <c r="I740" s="695"/>
      <c r="J740" s="695">
        <f>C740*E740</f>
        <v>15000</v>
      </c>
      <c r="K740" s="695">
        <f>I740+J740</f>
        <v>15000</v>
      </c>
      <c r="L740" s="695"/>
      <c r="M740" s="695"/>
      <c r="N740" s="695"/>
      <c r="O740" s="696">
        <f t="shared" si="57"/>
        <v>15000</v>
      </c>
      <c r="P740" s="687"/>
    </row>
    <row r="741" spans="1:16" ht="17.25" customHeight="1" x14ac:dyDescent="0.25">
      <c r="A741" s="692"/>
      <c r="B741" s="1344" t="s">
        <v>33</v>
      </c>
      <c r="C741" s="693">
        <v>60</v>
      </c>
      <c r="D741" s="727" t="s">
        <v>20</v>
      </c>
      <c r="E741" s="695">
        <v>1000</v>
      </c>
      <c r="F741" s="695"/>
      <c r="G741" s="695"/>
      <c r="H741" s="695"/>
      <c r="I741" s="695"/>
      <c r="J741" s="695">
        <f>C741*E741</f>
        <v>60000</v>
      </c>
      <c r="K741" s="695">
        <f>I741+J741</f>
        <v>60000</v>
      </c>
      <c r="L741" s="695"/>
      <c r="M741" s="695"/>
      <c r="N741" s="695"/>
      <c r="O741" s="696">
        <f t="shared" si="57"/>
        <v>60000</v>
      </c>
      <c r="P741" s="687"/>
    </row>
    <row r="742" spans="1:16" ht="17.25" customHeight="1" x14ac:dyDescent="0.25">
      <c r="A742" s="692"/>
      <c r="B742" s="1344" t="s">
        <v>34</v>
      </c>
      <c r="C742" s="693"/>
      <c r="D742" s="727"/>
      <c r="E742" s="695"/>
      <c r="F742" s="695"/>
      <c r="G742" s="695"/>
      <c r="H742" s="695"/>
      <c r="I742" s="695"/>
      <c r="J742" s="695"/>
      <c r="K742" s="695"/>
      <c r="L742" s="695"/>
      <c r="M742" s="695"/>
      <c r="N742" s="695"/>
      <c r="O742" s="696">
        <f t="shared" si="57"/>
        <v>0</v>
      </c>
      <c r="P742" s="687"/>
    </row>
    <row r="743" spans="1:16" ht="17.25" customHeight="1" x14ac:dyDescent="0.25">
      <c r="A743" s="692"/>
      <c r="B743" s="1344" t="s">
        <v>35</v>
      </c>
      <c r="C743" s="693">
        <v>12</v>
      </c>
      <c r="D743" s="727" t="s">
        <v>20</v>
      </c>
      <c r="E743" s="695">
        <v>500</v>
      </c>
      <c r="F743" s="695"/>
      <c r="G743" s="695"/>
      <c r="H743" s="695"/>
      <c r="I743" s="695"/>
      <c r="J743" s="695">
        <f>C743*E743</f>
        <v>6000</v>
      </c>
      <c r="K743" s="695">
        <f>I743+J743</f>
        <v>6000</v>
      </c>
      <c r="L743" s="695"/>
      <c r="M743" s="695"/>
      <c r="N743" s="695"/>
      <c r="O743" s="696">
        <f t="shared" si="57"/>
        <v>6000</v>
      </c>
      <c r="P743" s="687"/>
    </row>
    <row r="744" spans="1:16" ht="17.25" customHeight="1" x14ac:dyDescent="0.25">
      <c r="A744" s="692"/>
      <c r="B744" s="1344" t="s">
        <v>36</v>
      </c>
      <c r="C744" s="693">
        <v>36</v>
      </c>
      <c r="D744" s="727" t="s">
        <v>20</v>
      </c>
      <c r="E744" s="695">
        <v>400</v>
      </c>
      <c r="F744" s="695"/>
      <c r="G744" s="695"/>
      <c r="H744" s="695"/>
      <c r="I744" s="695"/>
      <c r="J744" s="695">
        <f>C744*E744</f>
        <v>14400</v>
      </c>
      <c r="K744" s="695">
        <f>I744+J744</f>
        <v>14400</v>
      </c>
      <c r="L744" s="695"/>
      <c r="M744" s="695"/>
      <c r="N744" s="695"/>
      <c r="O744" s="696">
        <f t="shared" si="57"/>
        <v>14400</v>
      </c>
      <c r="P744" s="687"/>
    </row>
    <row r="745" spans="1:16" ht="17.25" customHeight="1" x14ac:dyDescent="0.25">
      <c r="A745" s="692"/>
      <c r="B745" s="1344" t="s">
        <v>38</v>
      </c>
      <c r="C745" s="693">
        <v>1</v>
      </c>
      <c r="D745" s="727" t="s">
        <v>25</v>
      </c>
      <c r="E745" s="695">
        <v>50000</v>
      </c>
      <c r="F745" s="695"/>
      <c r="G745" s="695"/>
      <c r="H745" s="695"/>
      <c r="I745" s="695"/>
      <c r="J745" s="695">
        <f>C745*E745</f>
        <v>50000</v>
      </c>
      <c r="K745" s="695">
        <f>I745+J745</f>
        <v>50000</v>
      </c>
      <c r="L745" s="695"/>
      <c r="M745" s="695"/>
      <c r="N745" s="695"/>
      <c r="O745" s="696">
        <f t="shared" si="57"/>
        <v>50000</v>
      </c>
      <c r="P745" s="687"/>
    </row>
    <row r="746" spans="1:16" ht="17.25" customHeight="1" x14ac:dyDescent="0.25">
      <c r="A746" s="692"/>
      <c r="B746" s="1345" t="s">
        <v>39</v>
      </c>
      <c r="C746" s="693">
        <v>1</v>
      </c>
      <c r="D746" s="727" t="s">
        <v>25</v>
      </c>
      <c r="E746" s="695">
        <v>10000</v>
      </c>
      <c r="F746" s="695"/>
      <c r="G746" s="695"/>
      <c r="H746" s="695"/>
      <c r="I746" s="695"/>
      <c r="J746" s="695">
        <f>C746*E746</f>
        <v>10000</v>
      </c>
      <c r="K746" s="695">
        <f>I746+J746</f>
        <v>10000</v>
      </c>
      <c r="L746" s="695"/>
      <c r="M746" s="695"/>
      <c r="N746" s="695"/>
      <c r="O746" s="696">
        <f t="shared" si="57"/>
        <v>10000</v>
      </c>
      <c r="P746" s="687"/>
    </row>
    <row r="747" spans="1:16" ht="17.25" customHeight="1" x14ac:dyDescent="0.25">
      <c r="A747" s="692">
        <v>2</v>
      </c>
      <c r="B747" s="1344" t="s">
        <v>40</v>
      </c>
      <c r="C747" s="693"/>
      <c r="D747" s="727"/>
      <c r="E747" s="695"/>
      <c r="F747" s="695"/>
      <c r="G747" s="695"/>
      <c r="H747" s="695"/>
      <c r="I747" s="695"/>
      <c r="J747" s="695"/>
      <c r="K747" s="695"/>
      <c r="L747" s="695"/>
      <c r="M747" s="695"/>
      <c r="N747" s="695"/>
      <c r="O747" s="696">
        <f t="shared" si="57"/>
        <v>0</v>
      </c>
      <c r="P747" s="687"/>
    </row>
    <row r="748" spans="1:16" ht="17.25" customHeight="1" x14ac:dyDescent="0.25">
      <c r="A748" s="692"/>
      <c r="B748" s="1344" t="s">
        <v>41</v>
      </c>
      <c r="C748" s="693">
        <v>1</v>
      </c>
      <c r="D748" s="727" t="s">
        <v>25</v>
      </c>
      <c r="E748" s="695">
        <v>50000</v>
      </c>
      <c r="F748" s="695"/>
      <c r="G748" s="695"/>
      <c r="H748" s="695"/>
      <c r="I748" s="695"/>
      <c r="J748" s="695">
        <f>C748*E748</f>
        <v>50000</v>
      </c>
      <c r="K748" s="695">
        <f>I748+J748</f>
        <v>50000</v>
      </c>
      <c r="L748" s="695"/>
      <c r="M748" s="695"/>
      <c r="N748" s="695"/>
      <c r="O748" s="696">
        <f t="shared" si="57"/>
        <v>50000</v>
      </c>
      <c r="P748" s="687"/>
    </row>
    <row r="749" spans="1:16" ht="17.25" customHeight="1" x14ac:dyDescent="0.25">
      <c r="A749" s="692"/>
      <c r="B749" s="1344" t="s">
        <v>42</v>
      </c>
      <c r="C749" s="693">
        <v>1</v>
      </c>
      <c r="D749" s="727" t="s">
        <v>25</v>
      </c>
      <c r="E749" s="695">
        <v>50000</v>
      </c>
      <c r="F749" s="695"/>
      <c r="G749" s="695"/>
      <c r="H749" s="695"/>
      <c r="I749" s="695"/>
      <c r="J749" s="695">
        <f>C749*E749</f>
        <v>50000</v>
      </c>
      <c r="K749" s="695">
        <f>I749+J749</f>
        <v>50000</v>
      </c>
      <c r="L749" s="695"/>
      <c r="M749" s="695"/>
      <c r="N749" s="695"/>
      <c r="O749" s="696">
        <f t="shared" si="57"/>
        <v>50000</v>
      </c>
      <c r="P749" s="687"/>
    </row>
    <row r="750" spans="1:16" ht="17.25" customHeight="1" x14ac:dyDescent="0.25">
      <c r="A750" s="692">
        <v>3</v>
      </c>
      <c r="B750" s="1344" t="s">
        <v>43</v>
      </c>
      <c r="C750" s="693"/>
      <c r="D750" s="727"/>
      <c r="E750" s="695"/>
      <c r="F750" s="695"/>
      <c r="G750" s="695"/>
      <c r="H750" s="695"/>
      <c r="I750" s="695"/>
      <c r="J750" s="695"/>
      <c r="K750" s="695"/>
      <c r="L750" s="695"/>
      <c r="M750" s="695"/>
      <c r="N750" s="695"/>
      <c r="O750" s="696">
        <f t="shared" si="57"/>
        <v>0</v>
      </c>
      <c r="P750" s="687"/>
    </row>
    <row r="751" spans="1:16" ht="17.25" customHeight="1" x14ac:dyDescent="0.25">
      <c r="A751" s="692"/>
      <c r="B751" s="1344" t="s">
        <v>44</v>
      </c>
      <c r="C751" s="693">
        <v>10</v>
      </c>
      <c r="D751" s="727" t="s">
        <v>45</v>
      </c>
      <c r="E751" s="695">
        <v>8000</v>
      </c>
      <c r="F751" s="714"/>
      <c r="G751" s="714"/>
      <c r="H751" s="714"/>
      <c r="I751" s="714"/>
      <c r="J751" s="695">
        <f>C751*E751</f>
        <v>80000</v>
      </c>
      <c r="K751" s="695">
        <f>I751+J751</f>
        <v>80000</v>
      </c>
      <c r="L751" s="714"/>
      <c r="M751" s="714"/>
      <c r="N751" s="714"/>
      <c r="O751" s="696">
        <f t="shared" si="57"/>
        <v>80000</v>
      </c>
      <c r="P751" s="687"/>
    </row>
    <row r="752" spans="1:16" ht="17.25" customHeight="1" x14ac:dyDescent="0.25">
      <c r="A752" s="692"/>
      <c r="B752" s="1344"/>
      <c r="C752" s="693"/>
      <c r="D752" s="880"/>
      <c r="E752" s="695"/>
      <c r="F752" s="714"/>
      <c r="G752" s="714"/>
      <c r="H752" s="714"/>
      <c r="I752" s="714"/>
      <c r="J752" s="695"/>
      <c r="K752" s="695"/>
      <c r="L752" s="714"/>
      <c r="M752" s="714"/>
      <c r="N752" s="714"/>
      <c r="O752" s="696">
        <f t="shared" si="57"/>
        <v>0</v>
      </c>
      <c r="P752" s="687"/>
    </row>
    <row r="753" spans="1:89" ht="17.25" customHeight="1" x14ac:dyDescent="0.25">
      <c r="A753" s="692">
        <v>5</v>
      </c>
      <c r="B753" s="1344" t="s">
        <v>48</v>
      </c>
      <c r="C753" s="693"/>
      <c r="D753" s="727"/>
      <c r="E753" s="695" t="s">
        <v>49</v>
      </c>
      <c r="F753" s="695"/>
      <c r="G753" s="695"/>
      <c r="H753" s="695"/>
      <c r="I753" s="695"/>
      <c r="J753" s="695"/>
      <c r="K753" s="695">
        <f>J753+I753</f>
        <v>0</v>
      </c>
      <c r="L753" s="695"/>
      <c r="M753" s="695"/>
      <c r="N753" s="695"/>
      <c r="O753" s="696">
        <f t="shared" si="57"/>
        <v>0</v>
      </c>
      <c r="P753" s="687"/>
    </row>
    <row r="754" spans="1:89" ht="17.25" customHeight="1" x14ac:dyDescent="0.25">
      <c r="A754" s="692"/>
      <c r="B754" s="1345" t="s">
        <v>50</v>
      </c>
      <c r="C754" s="699">
        <v>25</v>
      </c>
      <c r="D754" s="836" t="s">
        <v>51</v>
      </c>
      <c r="E754" s="695">
        <v>800</v>
      </c>
      <c r="F754" s="695"/>
      <c r="G754" s="695"/>
      <c r="H754" s="695"/>
      <c r="I754" s="695"/>
      <c r="J754" s="695">
        <f>C754*E754</f>
        <v>20000</v>
      </c>
      <c r="K754" s="695">
        <f>I754+J754</f>
        <v>20000</v>
      </c>
      <c r="L754" s="695"/>
      <c r="M754" s="695"/>
      <c r="N754" s="695"/>
      <c r="O754" s="696">
        <f t="shared" si="57"/>
        <v>20000</v>
      </c>
      <c r="P754" s="687"/>
    </row>
    <row r="755" spans="1:89" ht="17.25" customHeight="1" x14ac:dyDescent="0.25">
      <c r="A755" s="692"/>
      <c r="B755" s="1344" t="s">
        <v>52</v>
      </c>
      <c r="C755" s="699">
        <v>50</v>
      </c>
      <c r="D755" s="836" t="s">
        <v>53</v>
      </c>
      <c r="E755" s="695">
        <v>750</v>
      </c>
      <c r="F755" s="695"/>
      <c r="G755" s="695"/>
      <c r="H755" s="695"/>
      <c r="I755" s="695"/>
      <c r="J755" s="695">
        <f>C755*E755</f>
        <v>37500</v>
      </c>
      <c r="K755" s="695">
        <f>I755+J755</f>
        <v>37500</v>
      </c>
      <c r="L755" s="695"/>
      <c r="M755" s="695"/>
      <c r="N755" s="695"/>
      <c r="O755" s="696">
        <f t="shared" si="57"/>
        <v>37500</v>
      </c>
      <c r="P755" s="687"/>
    </row>
    <row r="756" spans="1:89" ht="17.25" customHeight="1" x14ac:dyDescent="0.25">
      <c r="A756" s="692"/>
      <c r="B756" s="1344" t="s">
        <v>54</v>
      </c>
      <c r="C756" s="699">
        <v>75</v>
      </c>
      <c r="D756" s="836" t="s">
        <v>55</v>
      </c>
      <c r="E756" s="695">
        <v>600</v>
      </c>
      <c r="F756" s="695"/>
      <c r="G756" s="695"/>
      <c r="H756" s="695"/>
      <c r="I756" s="695"/>
      <c r="J756" s="695">
        <f>C756*E756</f>
        <v>45000</v>
      </c>
      <c r="K756" s="695">
        <f>I756+J756</f>
        <v>45000</v>
      </c>
      <c r="L756" s="695"/>
      <c r="M756" s="695"/>
      <c r="N756" s="695"/>
      <c r="O756" s="696">
        <f t="shared" si="57"/>
        <v>45000</v>
      </c>
      <c r="P756" s="687"/>
    </row>
    <row r="757" spans="1:89" ht="17.25" customHeight="1" x14ac:dyDescent="0.25">
      <c r="A757" s="692"/>
      <c r="B757" s="1345" t="s">
        <v>56</v>
      </c>
      <c r="C757" s="699">
        <v>50</v>
      </c>
      <c r="D757" s="836" t="s">
        <v>55</v>
      </c>
      <c r="E757" s="695">
        <v>400</v>
      </c>
      <c r="F757" s="695"/>
      <c r="G757" s="695"/>
      <c r="H757" s="695"/>
      <c r="I757" s="695"/>
      <c r="J757" s="695">
        <f>C757*E757</f>
        <v>20000</v>
      </c>
      <c r="K757" s="695">
        <f>I757+J757</f>
        <v>20000</v>
      </c>
      <c r="L757" s="695"/>
      <c r="M757" s="695"/>
      <c r="N757" s="695"/>
      <c r="O757" s="696">
        <f t="shared" si="57"/>
        <v>20000</v>
      </c>
      <c r="P757" s="687"/>
    </row>
    <row r="758" spans="1:89" ht="17.25" customHeight="1" x14ac:dyDescent="0.25">
      <c r="A758" s="820"/>
      <c r="B758" s="856"/>
      <c r="C758" s="830"/>
      <c r="D758" s="831"/>
      <c r="E758" s="821"/>
      <c r="F758" s="821"/>
      <c r="G758" s="821"/>
      <c r="H758" s="821"/>
      <c r="I758" s="821"/>
      <c r="J758" s="821"/>
      <c r="K758" s="821"/>
      <c r="L758" s="821"/>
      <c r="M758" s="821"/>
      <c r="N758" s="821"/>
      <c r="O758" s="822"/>
      <c r="P758" s="687"/>
    </row>
    <row r="759" spans="1:89" ht="24.75" customHeight="1" x14ac:dyDescent="0.25">
      <c r="A759" s="1210" t="s">
        <v>120</v>
      </c>
      <c r="B759" s="1211" t="s">
        <v>121</v>
      </c>
      <c r="C759" s="1212"/>
      <c r="D759" s="1213"/>
      <c r="E759" s="1214"/>
      <c r="F759" s="1214">
        <f>F761+F784+F787+F790+F794+F798+F807</f>
        <v>0</v>
      </c>
      <c r="G759" s="1214">
        <f>G761+G784+G787+G790+G794+G798+G807</f>
        <v>0</v>
      </c>
      <c r="H759" s="1214">
        <f>G759+F759</f>
        <v>0</v>
      </c>
      <c r="I759" s="1214">
        <f>I761+I784+I787+I790+I794+I798+I807</f>
        <v>0</v>
      </c>
      <c r="J759" s="1214">
        <f>J761+J784+J787+J790+J794+J798+J807</f>
        <v>80080840</v>
      </c>
      <c r="K759" s="1214">
        <f>J759+I759</f>
        <v>80080840</v>
      </c>
      <c r="L759" s="1214">
        <f>L761+L784+L787+L790+L794+L798+L807</f>
        <v>37821768</v>
      </c>
      <c r="M759" s="1214">
        <f>M761+M784+M787+M790+M794+M798+M807</f>
        <v>0</v>
      </c>
      <c r="N759" s="1214">
        <f>M759+L759</f>
        <v>37821768</v>
      </c>
      <c r="O759" s="1215">
        <f t="shared" ref="O759:O768" si="58">N759+K759+H759</f>
        <v>117902608</v>
      </c>
      <c r="P759" s="680"/>
    </row>
    <row r="760" spans="1:89" ht="24.75" customHeight="1" x14ac:dyDescent="0.25">
      <c r="A760" s="897"/>
      <c r="B760" s="898"/>
      <c r="C760" s="899"/>
      <c r="D760" s="900"/>
      <c r="E760" s="901"/>
      <c r="F760" s="901"/>
      <c r="G760" s="901"/>
      <c r="H760" s="901"/>
      <c r="I760" s="901"/>
      <c r="J760" s="901"/>
      <c r="K760" s="901"/>
      <c r="L760" s="901"/>
      <c r="M760" s="901"/>
      <c r="N760" s="901"/>
      <c r="O760" s="902"/>
      <c r="P760" s="903"/>
    </row>
    <row r="761" spans="1:89" s="672" customFormat="1" ht="30.75" customHeight="1" x14ac:dyDescent="0.25">
      <c r="A761" s="740" t="s">
        <v>64</v>
      </c>
      <c r="B761" s="1368" t="s">
        <v>1156</v>
      </c>
      <c r="C761" s="828"/>
      <c r="D761" s="1369"/>
      <c r="E761" s="705"/>
      <c r="F761" s="705">
        <f>SUM(F762:F782)</f>
        <v>0</v>
      </c>
      <c r="G761" s="705">
        <f>SUM(G762:G782)</f>
        <v>0</v>
      </c>
      <c r="H761" s="705">
        <f>F761+G761</f>
        <v>0</v>
      </c>
      <c r="I761" s="705">
        <f>SUM(I762:I782)</f>
        <v>0</v>
      </c>
      <c r="J761" s="705">
        <f>SUM(J762:J782)</f>
        <v>0</v>
      </c>
      <c r="K761" s="705">
        <f>I761+J761</f>
        <v>0</v>
      </c>
      <c r="L761" s="705">
        <f>SUM(L762:L782)</f>
        <v>37821768</v>
      </c>
      <c r="M761" s="705">
        <f>SUM(M762:M782)</f>
        <v>0</v>
      </c>
      <c r="N761" s="705">
        <f>L761+M761</f>
        <v>37821768</v>
      </c>
      <c r="O761" s="1370">
        <f t="shared" si="58"/>
        <v>37821768</v>
      </c>
      <c r="P761" s="829"/>
      <c r="Q761" s="1581"/>
      <c r="R761" s="1581"/>
      <c r="S761" s="1581"/>
      <c r="T761" s="1581"/>
      <c r="U761" s="1581"/>
      <c r="V761" s="1581"/>
      <c r="W761" s="1581"/>
      <c r="X761" s="1581"/>
      <c r="Y761" s="1581"/>
      <c r="Z761" s="1581"/>
      <c r="AA761" s="1581"/>
      <c r="AB761" s="1581"/>
      <c r="AC761" s="1581"/>
      <c r="AD761" s="1581"/>
      <c r="AE761" s="1581"/>
      <c r="AF761" s="1581"/>
      <c r="AG761" s="1581"/>
      <c r="AH761" s="1581"/>
      <c r="AI761" s="1581"/>
      <c r="AJ761" s="1581"/>
      <c r="AK761" s="1581"/>
      <c r="AL761" s="1581"/>
      <c r="AM761" s="1581"/>
      <c r="AN761" s="1581"/>
      <c r="AO761" s="1581"/>
      <c r="AP761" s="1581"/>
      <c r="AQ761" s="1581"/>
      <c r="AR761" s="1581"/>
      <c r="AS761" s="1581"/>
      <c r="AT761" s="1581"/>
      <c r="AU761" s="1581"/>
      <c r="AV761" s="1581"/>
      <c r="AW761" s="1581"/>
      <c r="AX761" s="1581"/>
      <c r="AY761" s="1581"/>
      <c r="AZ761" s="1581"/>
      <c r="BA761" s="1581"/>
      <c r="BB761" s="1581"/>
      <c r="BC761" s="1581"/>
      <c r="BD761" s="1581"/>
      <c r="BE761" s="1581"/>
      <c r="BF761" s="1581"/>
      <c r="BG761" s="1581"/>
      <c r="BH761" s="1581"/>
      <c r="BI761" s="1581"/>
      <c r="BJ761" s="1581"/>
      <c r="BK761" s="1581"/>
      <c r="BL761" s="1581"/>
      <c r="BM761" s="1581"/>
      <c r="BN761" s="1581"/>
      <c r="BO761" s="1581"/>
      <c r="BP761" s="1581"/>
      <c r="BQ761" s="1581"/>
      <c r="BR761" s="1581"/>
      <c r="BS761" s="1581"/>
      <c r="BT761" s="1581"/>
      <c r="BU761" s="1581"/>
      <c r="BV761" s="1581"/>
      <c r="BW761" s="1581"/>
      <c r="BX761" s="1581"/>
      <c r="BY761" s="1581"/>
      <c r="BZ761" s="1581"/>
      <c r="CA761" s="1581"/>
      <c r="CB761" s="1581"/>
      <c r="CC761" s="1581"/>
      <c r="CD761" s="1581"/>
      <c r="CE761" s="1581"/>
      <c r="CF761" s="1581"/>
      <c r="CG761" s="1581"/>
      <c r="CH761" s="1581"/>
      <c r="CI761" s="1581"/>
      <c r="CJ761" s="1581"/>
      <c r="CK761" s="1581"/>
    </row>
    <row r="762" spans="1:89" ht="40.5" customHeight="1" x14ac:dyDescent="0.25">
      <c r="A762" s="692">
        <v>1</v>
      </c>
      <c r="B762" s="1341" t="s">
        <v>1773</v>
      </c>
      <c r="C762" s="693">
        <v>1</v>
      </c>
      <c r="D762" s="727" t="s">
        <v>16</v>
      </c>
      <c r="E762" s="695">
        <v>4452975</v>
      </c>
      <c r="F762" s="695"/>
      <c r="G762" s="695"/>
      <c r="H762" s="695"/>
      <c r="I762" s="695"/>
      <c r="J762" s="695"/>
      <c r="K762" s="695"/>
      <c r="L762" s="695">
        <f t="shared" ref="L762:L768" si="59">E762*C762</f>
        <v>4452975</v>
      </c>
      <c r="M762" s="695"/>
      <c r="N762" s="695">
        <f t="shared" ref="N762:N768" si="60">L762+M762</f>
        <v>4452975</v>
      </c>
      <c r="O762" s="696">
        <f t="shared" si="58"/>
        <v>4452975</v>
      </c>
      <c r="P762" s="687"/>
    </row>
    <row r="763" spans="1:89" ht="17.25" customHeight="1" x14ac:dyDescent="0.25">
      <c r="A763" s="692">
        <v>2</v>
      </c>
      <c r="B763" s="677" t="s">
        <v>1774</v>
      </c>
      <c r="C763" s="693">
        <v>1</v>
      </c>
      <c r="D763" s="727" t="s">
        <v>16</v>
      </c>
      <c r="E763" s="695">
        <v>1713282</v>
      </c>
      <c r="F763" s="695"/>
      <c r="G763" s="695"/>
      <c r="H763" s="695"/>
      <c r="I763" s="695"/>
      <c r="J763" s="695"/>
      <c r="K763" s="695"/>
      <c r="L763" s="695">
        <f t="shared" si="59"/>
        <v>1713282</v>
      </c>
      <c r="M763" s="695"/>
      <c r="N763" s="695">
        <f t="shared" si="60"/>
        <v>1713282</v>
      </c>
      <c r="O763" s="696">
        <f t="shared" si="58"/>
        <v>1713282</v>
      </c>
      <c r="P763" s="687"/>
    </row>
    <row r="764" spans="1:89" ht="17.25" customHeight="1" x14ac:dyDescent="0.25">
      <c r="A764" s="692">
        <v>3</v>
      </c>
      <c r="B764" s="677" t="s">
        <v>1775</v>
      </c>
      <c r="C764" s="693">
        <v>1</v>
      </c>
      <c r="D764" s="727" t="s">
        <v>16</v>
      </c>
      <c r="E764" s="695">
        <v>5000000</v>
      </c>
      <c r="F764" s="695"/>
      <c r="G764" s="695"/>
      <c r="H764" s="695"/>
      <c r="I764" s="695"/>
      <c r="J764" s="695"/>
      <c r="K764" s="695"/>
      <c r="L764" s="695">
        <f t="shared" si="59"/>
        <v>5000000</v>
      </c>
      <c r="M764" s="695"/>
      <c r="N764" s="695">
        <f t="shared" si="60"/>
        <v>5000000</v>
      </c>
      <c r="O764" s="696">
        <f t="shared" si="58"/>
        <v>5000000</v>
      </c>
      <c r="P764" s="687"/>
    </row>
    <row r="765" spans="1:89" ht="17.25" customHeight="1" x14ac:dyDescent="0.25">
      <c r="A765" s="692">
        <v>4</v>
      </c>
      <c r="B765" s="724" t="s">
        <v>1776</v>
      </c>
      <c r="C765" s="693">
        <v>1</v>
      </c>
      <c r="D765" s="727" t="s">
        <v>16</v>
      </c>
      <c r="E765" s="695">
        <v>3000000</v>
      </c>
      <c r="F765" s="695"/>
      <c r="G765" s="695"/>
      <c r="H765" s="695"/>
      <c r="I765" s="695"/>
      <c r="J765" s="695"/>
      <c r="K765" s="695"/>
      <c r="L765" s="695">
        <f t="shared" si="59"/>
        <v>3000000</v>
      </c>
      <c r="M765" s="695"/>
      <c r="N765" s="695">
        <f t="shared" si="60"/>
        <v>3000000</v>
      </c>
      <c r="O765" s="696">
        <f t="shared" si="58"/>
        <v>3000000</v>
      </c>
      <c r="P765" s="687"/>
    </row>
    <row r="766" spans="1:89" ht="17.25" customHeight="1" x14ac:dyDescent="0.25">
      <c r="A766" s="692">
        <v>5</v>
      </c>
      <c r="B766" s="677" t="s">
        <v>1777</v>
      </c>
      <c r="C766" s="693">
        <v>1</v>
      </c>
      <c r="D766" s="727" t="s">
        <v>16</v>
      </c>
      <c r="E766" s="695">
        <v>3176332</v>
      </c>
      <c r="F766" s="695"/>
      <c r="G766" s="695"/>
      <c r="H766" s="695"/>
      <c r="I766" s="695"/>
      <c r="J766" s="695"/>
      <c r="K766" s="695"/>
      <c r="L766" s="695">
        <f t="shared" si="59"/>
        <v>3176332</v>
      </c>
      <c r="M766" s="695"/>
      <c r="N766" s="695">
        <f t="shared" si="60"/>
        <v>3176332</v>
      </c>
      <c r="O766" s="696">
        <f t="shared" si="58"/>
        <v>3176332</v>
      </c>
      <c r="P766" s="687"/>
    </row>
    <row r="767" spans="1:89" ht="17.25" customHeight="1" x14ac:dyDescent="0.25">
      <c r="A767" s="692">
        <v>6</v>
      </c>
      <c r="B767" s="677" t="s">
        <v>1778</v>
      </c>
      <c r="C767" s="693">
        <v>1</v>
      </c>
      <c r="D767" s="727" t="s">
        <v>16</v>
      </c>
      <c r="E767" s="695">
        <v>2000000</v>
      </c>
      <c r="F767" s="695"/>
      <c r="G767" s="695"/>
      <c r="H767" s="695"/>
      <c r="I767" s="695"/>
      <c r="J767" s="695"/>
      <c r="K767" s="695"/>
      <c r="L767" s="695">
        <f t="shared" si="59"/>
        <v>2000000</v>
      </c>
      <c r="M767" s="695"/>
      <c r="N767" s="695">
        <f t="shared" si="60"/>
        <v>2000000</v>
      </c>
      <c r="O767" s="696">
        <f t="shared" si="58"/>
        <v>2000000</v>
      </c>
      <c r="P767" s="687"/>
    </row>
    <row r="768" spans="1:89" ht="17.25" customHeight="1" x14ac:dyDescent="0.25">
      <c r="A768" s="692">
        <v>7</v>
      </c>
      <c r="B768" s="677" t="s">
        <v>1779</v>
      </c>
      <c r="C768" s="693">
        <v>1</v>
      </c>
      <c r="D768" s="727" t="s">
        <v>16</v>
      </c>
      <c r="E768" s="695">
        <v>3568716</v>
      </c>
      <c r="F768" s="695"/>
      <c r="G768" s="695"/>
      <c r="H768" s="695"/>
      <c r="I768" s="695"/>
      <c r="J768" s="695"/>
      <c r="K768" s="695"/>
      <c r="L768" s="695">
        <f t="shared" si="59"/>
        <v>3568716</v>
      </c>
      <c r="M768" s="695"/>
      <c r="N768" s="695">
        <f t="shared" si="60"/>
        <v>3568716</v>
      </c>
      <c r="O768" s="696">
        <f t="shared" si="58"/>
        <v>3568716</v>
      </c>
      <c r="P768" s="687"/>
    </row>
    <row r="769" spans="1:89" ht="17.25" customHeight="1" x14ac:dyDescent="0.25">
      <c r="A769" s="692">
        <v>8</v>
      </c>
      <c r="B769" s="677" t="s">
        <v>1780</v>
      </c>
      <c r="C769" s="693">
        <v>1</v>
      </c>
      <c r="D769" s="727" t="s">
        <v>16</v>
      </c>
      <c r="E769" s="695">
        <v>2500000</v>
      </c>
      <c r="F769" s="695"/>
      <c r="G769" s="695"/>
      <c r="H769" s="695"/>
      <c r="I769" s="695"/>
      <c r="J769" s="695"/>
      <c r="K769" s="695"/>
      <c r="L769" s="695">
        <f>E769*C769</f>
        <v>2500000</v>
      </c>
      <c r="M769" s="695"/>
      <c r="N769" s="695">
        <f>L769+M769</f>
        <v>2500000</v>
      </c>
      <c r="O769" s="696">
        <f>N769+K769+H769</f>
        <v>2500000</v>
      </c>
      <c r="P769" s="687"/>
    </row>
    <row r="770" spans="1:89" ht="17.25" customHeight="1" x14ac:dyDescent="0.25">
      <c r="A770" s="692">
        <v>9</v>
      </c>
      <c r="B770" s="677" t="s">
        <v>1781</v>
      </c>
      <c r="C770" s="693">
        <v>1</v>
      </c>
      <c r="D770" s="727" t="s">
        <v>16</v>
      </c>
      <c r="E770" s="695">
        <v>2174117</v>
      </c>
      <c r="F770" s="695"/>
      <c r="G770" s="695"/>
      <c r="H770" s="695"/>
      <c r="I770" s="695"/>
      <c r="J770" s="695"/>
      <c r="K770" s="695"/>
      <c r="L770" s="695">
        <f>E770*C770</f>
        <v>2174117</v>
      </c>
      <c r="M770" s="695"/>
      <c r="N770" s="695">
        <f>L770+M770</f>
        <v>2174117</v>
      </c>
      <c r="O770" s="696">
        <f>N770+K770+H770</f>
        <v>2174117</v>
      </c>
      <c r="P770" s="687"/>
    </row>
    <row r="771" spans="1:89" ht="17.25" customHeight="1" x14ac:dyDescent="0.25">
      <c r="A771" s="692">
        <v>10</v>
      </c>
      <c r="B771" s="677" t="s">
        <v>1782</v>
      </c>
      <c r="C771" s="693">
        <v>1</v>
      </c>
      <c r="D771" s="727" t="s">
        <v>16</v>
      </c>
      <c r="E771" s="695">
        <v>1745646</v>
      </c>
      <c r="F771" s="695"/>
      <c r="G771" s="695"/>
      <c r="H771" s="695"/>
      <c r="I771" s="695"/>
      <c r="J771" s="695"/>
      <c r="K771" s="695"/>
      <c r="L771" s="695">
        <f>E771*C771</f>
        <v>1745646</v>
      </c>
      <c r="M771" s="695"/>
      <c r="N771" s="695">
        <f>L771+M771</f>
        <v>1745646</v>
      </c>
      <c r="O771" s="696">
        <f>N771+K771+H771</f>
        <v>1745646</v>
      </c>
      <c r="P771" s="687"/>
    </row>
    <row r="772" spans="1:89" ht="17.25" customHeight="1" x14ac:dyDescent="0.25">
      <c r="A772" s="692">
        <v>11</v>
      </c>
      <c r="B772" s="677" t="s">
        <v>1783</v>
      </c>
      <c r="C772" s="693">
        <v>1</v>
      </c>
      <c r="D772" s="727" t="s">
        <v>16</v>
      </c>
      <c r="E772" s="695">
        <f>2153419-662719</f>
        <v>1490700</v>
      </c>
      <c r="F772" s="695"/>
      <c r="G772" s="695"/>
      <c r="H772" s="695"/>
      <c r="I772" s="695"/>
      <c r="J772" s="695"/>
      <c r="K772" s="695"/>
      <c r="L772" s="695">
        <f>E772*C772</f>
        <v>1490700</v>
      </c>
      <c r="M772" s="695"/>
      <c r="N772" s="695">
        <f>L772+M772</f>
        <v>1490700</v>
      </c>
      <c r="O772" s="696">
        <f>N772+K772+H772</f>
        <v>1490700</v>
      </c>
      <c r="P772" s="687"/>
    </row>
    <row r="773" spans="1:89" ht="17.25" customHeight="1" x14ac:dyDescent="0.25">
      <c r="A773" s="692">
        <v>12</v>
      </c>
      <c r="B773" s="677" t="s">
        <v>1878</v>
      </c>
      <c r="C773" s="693">
        <v>1</v>
      </c>
      <c r="D773" s="727" t="s">
        <v>16</v>
      </c>
      <c r="E773" s="695">
        <v>1340133</v>
      </c>
      <c r="F773" s="695"/>
      <c r="G773" s="695"/>
      <c r="H773" s="695"/>
      <c r="I773" s="695"/>
      <c r="J773" s="695"/>
      <c r="K773" s="695"/>
      <c r="L773" s="695">
        <f t="shared" ref="L773:L782" si="61">E773*C773</f>
        <v>1340133</v>
      </c>
      <c r="M773" s="695"/>
      <c r="N773" s="695">
        <f t="shared" ref="N773:N782" si="62">L773+M773</f>
        <v>1340133</v>
      </c>
      <c r="O773" s="696">
        <f t="shared" ref="O773:O782" si="63">N773+K773+H773</f>
        <v>1340133</v>
      </c>
      <c r="P773" s="687"/>
    </row>
    <row r="774" spans="1:89" ht="17.25" customHeight="1" x14ac:dyDescent="0.25">
      <c r="A774" s="692">
        <v>13</v>
      </c>
      <c r="B774" s="725" t="s">
        <v>1879</v>
      </c>
      <c r="C774" s="693">
        <v>1</v>
      </c>
      <c r="D774" s="727" t="s">
        <v>16</v>
      </c>
      <c r="E774" s="695">
        <v>85590</v>
      </c>
      <c r="F774" s="695"/>
      <c r="G774" s="695"/>
      <c r="H774" s="695"/>
      <c r="I774" s="695"/>
      <c r="J774" s="695"/>
      <c r="K774" s="695"/>
      <c r="L774" s="695">
        <f t="shared" si="61"/>
        <v>85590</v>
      </c>
      <c r="M774" s="695"/>
      <c r="N774" s="695">
        <f t="shared" si="62"/>
        <v>85590</v>
      </c>
      <c r="O774" s="696">
        <f t="shared" si="63"/>
        <v>85590</v>
      </c>
      <c r="P774" s="687"/>
    </row>
    <row r="775" spans="1:89" ht="17.25" customHeight="1" x14ac:dyDescent="0.25">
      <c r="A775" s="692">
        <v>14</v>
      </c>
      <c r="B775" s="715" t="s">
        <v>1880</v>
      </c>
      <c r="C775" s="693">
        <v>1</v>
      </c>
      <c r="D775" s="727" t="s">
        <v>16</v>
      </c>
      <c r="E775" s="695">
        <v>741532</v>
      </c>
      <c r="F775" s="695"/>
      <c r="G775" s="695"/>
      <c r="H775" s="695"/>
      <c r="I775" s="695"/>
      <c r="J775" s="695"/>
      <c r="K775" s="695"/>
      <c r="L775" s="695">
        <f t="shared" si="61"/>
        <v>741532</v>
      </c>
      <c r="M775" s="695"/>
      <c r="N775" s="695">
        <f t="shared" si="62"/>
        <v>741532</v>
      </c>
      <c r="O775" s="696">
        <f t="shared" si="63"/>
        <v>741532</v>
      </c>
      <c r="P775" s="687"/>
    </row>
    <row r="776" spans="1:89" ht="17.25" customHeight="1" x14ac:dyDescent="0.25">
      <c r="A776" s="692">
        <v>15</v>
      </c>
      <c r="B776" s="1428" t="s">
        <v>1881</v>
      </c>
      <c r="C776" s="693">
        <v>1</v>
      </c>
      <c r="D776" s="727" t="s">
        <v>16</v>
      </c>
      <c r="E776" s="695">
        <v>1260945</v>
      </c>
      <c r="F776" s="695"/>
      <c r="G776" s="695"/>
      <c r="H776" s="695"/>
      <c r="I776" s="695"/>
      <c r="J776" s="695"/>
      <c r="K776" s="695"/>
      <c r="L776" s="695">
        <f t="shared" si="61"/>
        <v>1260945</v>
      </c>
      <c r="M776" s="695"/>
      <c r="N776" s="695">
        <f t="shared" si="62"/>
        <v>1260945</v>
      </c>
      <c r="O776" s="696">
        <f t="shared" si="63"/>
        <v>1260945</v>
      </c>
      <c r="P776" s="687"/>
    </row>
    <row r="777" spans="1:89" ht="17.25" customHeight="1" x14ac:dyDescent="0.25">
      <c r="A777" s="692">
        <v>16</v>
      </c>
      <c r="B777" s="715" t="s">
        <v>1882</v>
      </c>
      <c r="C777" s="693">
        <v>1</v>
      </c>
      <c r="D777" s="727" t="s">
        <v>16</v>
      </c>
      <c r="E777" s="695">
        <v>511157</v>
      </c>
      <c r="F777" s="695"/>
      <c r="G777" s="695"/>
      <c r="H777" s="695"/>
      <c r="I777" s="695"/>
      <c r="J777" s="695"/>
      <c r="K777" s="695"/>
      <c r="L777" s="695">
        <f t="shared" si="61"/>
        <v>511157</v>
      </c>
      <c r="M777" s="695"/>
      <c r="N777" s="695">
        <f t="shared" si="62"/>
        <v>511157</v>
      </c>
      <c r="O777" s="696">
        <f t="shared" si="63"/>
        <v>511157</v>
      </c>
      <c r="P777" s="687"/>
    </row>
    <row r="778" spans="1:89" ht="17.25" customHeight="1" x14ac:dyDescent="0.25">
      <c r="A778" s="692">
        <v>17</v>
      </c>
      <c r="B778" s="715" t="s">
        <v>1883</v>
      </c>
      <c r="C778" s="693">
        <v>1</v>
      </c>
      <c r="D778" s="727" t="s">
        <v>16</v>
      </c>
      <c r="E778" s="695">
        <v>150723</v>
      </c>
      <c r="F778" s="695"/>
      <c r="G778" s="695"/>
      <c r="H778" s="695"/>
      <c r="I778" s="695"/>
      <c r="J778" s="695"/>
      <c r="K778" s="695"/>
      <c r="L778" s="695">
        <f t="shared" si="61"/>
        <v>150723</v>
      </c>
      <c r="M778" s="695"/>
      <c r="N778" s="695">
        <f t="shared" si="62"/>
        <v>150723</v>
      </c>
      <c r="O778" s="696">
        <f t="shared" si="63"/>
        <v>150723</v>
      </c>
      <c r="P778" s="687"/>
    </row>
    <row r="779" spans="1:89" ht="17.25" customHeight="1" x14ac:dyDescent="0.25">
      <c r="A779" s="692">
        <v>18</v>
      </c>
      <c r="B779" s="715" t="s">
        <v>1884</v>
      </c>
      <c r="C779" s="693">
        <v>1</v>
      </c>
      <c r="D779" s="727" t="s">
        <v>16</v>
      </c>
      <c r="E779" s="695">
        <v>116242</v>
      </c>
      <c r="F779" s="695"/>
      <c r="G779" s="695"/>
      <c r="H779" s="695"/>
      <c r="I779" s="695"/>
      <c r="J779" s="695"/>
      <c r="K779" s="695"/>
      <c r="L779" s="695">
        <f t="shared" si="61"/>
        <v>116242</v>
      </c>
      <c r="M779" s="695"/>
      <c r="N779" s="695">
        <f t="shared" si="62"/>
        <v>116242</v>
      </c>
      <c r="O779" s="696">
        <f t="shared" si="63"/>
        <v>116242</v>
      </c>
      <c r="P779" s="687"/>
    </row>
    <row r="780" spans="1:89" ht="17.25" customHeight="1" x14ac:dyDescent="0.25">
      <c r="A780" s="692">
        <v>19</v>
      </c>
      <c r="B780" s="715" t="s">
        <v>1885</v>
      </c>
      <c r="C780" s="693">
        <v>1</v>
      </c>
      <c r="D780" s="727" t="s">
        <v>16</v>
      </c>
      <c r="E780" s="695">
        <v>589655</v>
      </c>
      <c r="F780" s="695"/>
      <c r="G780" s="695"/>
      <c r="H780" s="695"/>
      <c r="I780" s="695"/>
      <c r="J780" s="695"/>
      <c r="K780" s="695"/>
      <c r="L780" s="695">
        <f t="shared" si="61"/>
        <v>589655</v>
      </c>
      <c r="M780" s="695"/>
      <c r="N780" s="695">
        <f t="shared" si="62"/>
        <v>589655</v>
      </c>
      <c r="O780" s="696">
        <f t="shared" si="63"/>
        <v>589655</v>
      </c>
      <c r="P780" s="687"/>
    </row>
    <row r="781" spans="1:89" ht="17.25" customHeight="1" x14ac:dyDescent="0.25">
      <c r="A781" s="692">
        <v>20</v>
      </c>
      <c r="B781" s="715" t="s">
        <v>1886</v>
      </c>
      <c r="C781" s="693">
        <v>1</v>
      </c>
      <c r="D781" s="727" t="s">
        <v>16</v>
      </c>
      <c r="E781" s="695">
        <v>911097</v>
      </c>
      <c r="F781" s="695"/>
      <c r="G781" s="695"/>
      <c r="H781" s="695"/>
      <c r="I781" s="695"/>
      <c r="J781" s="695"/>
      <c r="K781" s="695"/>
      <c r="L781" s="695">
        <f t="shared" si="61"/>
        <v>911097</v>
      </c>
      <c r="M781" s="695"/>
      <c r="N781" s="695">
        <f t="shared" si="62"/>
        <v>911097</v>
      </c>
      <c r="O781" s="696">
        <f t="shared" si="63"/>
        <v>911097</v>
      </c>
      <c r="P781" s="687"/>
    </row>
    <row r="782" spans="1:89" ht="17.25" customHeight="1" x14ac:dyDescent="0.25">
      <c r="A782" s="692">
        <v>21</v>
      </c>
      <c r="B782" s="715" t="s">
        <v>1887</v>
      </c>
      <c r="C782" s="693">
        <v>1</v>
      </c>
      <c r="D782" s="727" t="s">
        <v>16</v>
      </c>
      <c r="E782" s="695">
        <f>2047975-755049</f>
        <v>1292926</v>
      </c>
      <c r="F782" s="695"/>
      <c r="G782" s="695"/>
      <c r="H782" s="695"/>
      <c r="I782" s="695"/>
      <c r="J782" s="695"/>
      <c r="K782" s="695"/>
      <c r="L782" s="695">
        <f t="shared" si="61"/>
        <v>1292926</v>
      </c>
      <c r="M782" s="695"/>
      <c r="N782" s="695">
        <f t="shared" si="62"/>
        <v>1292926</v>
      </c>
      <c r="O782" s="696">
        <f t="shared" si="63"/>
        <v>1292926</v>
      </c>
      <c r="P782" s="687"/>
    </row>
    <row r="783" spans="1:89" ht="17.25" customHeight="1" x14ac:dyDescent="0.25">
      <c r="A783" s="692"/>
      <c r="B783" s="677"/>
      <c r="C783" s="693"/>
      <c r="D783" s="727"/>
      <c r="E783" s="695"/>
      <c r="F783" s="695"/>
      <c r="G783" s="695"/>
      <c r="H783" s="695"/>
      <c r="I783" s="695"/>
      <c r="J783" s="695"/>
      <c r="K783" s="695"/>
      <c r="L783" s="695"/>
      <c r="M783" s="695"/>
      <c r="N783" s="695"/>
      <c r="O783" s="696"/>
      <c r="P783" s="687"/>
    </row>
    <row r="784" spans="1:89" s="672" customFormat="1" ht="17.25" customHeight="1" x14ac:dyDescent="0.25">
      <c r="A784" s="740"/>
      <c r="B784" s="1415" t="s">
        <v>122</v>
      </c>
      <c r="C784" s="828"/>
      <c r="D784" s="1369"/>
      <c r="E784" s="705"/>
      <c r="F784" s="705">
        <f>SUM(F785:F785)</f>
        <v>0</v>
      </c>
      <c r="G784" s="705">
        <f>SUM(G785:G785)</f>
        <v>0</v>
      </c>
      <c r="H784" s="705">
        <f>G784+F784</f>
        <v>0</v>
      </c>
      <c r="I784" s="705">
        <f>SUM(I785:I785)</f>
        <v>0</v>
      </c>
      <c r="J784" s="705">
        <f>SUM(J785:J785)</f>
        <v>5000000</v>
      </c>
      <c r="K784" s="705">
        <f>J784+I784</f>
        <v>5000000</v>
      </c>
      <c r="L784" s="705">
        <f>SUM(L785:L785)</f>
        <v>0</v>
      </c>
      <c r="M784" s="705">
        <f>SUM(M785:M785)</f>
        <v>0</v>
      </c>
      <c r="N784" s="705">
        <f>M784+L784</f>
        <v>0</v>
      </c>
      <c r="O784" s="1370">
        <f>N784+K784+H784</f>
        <v>5000000</v>
      </c>
      <c r="P784" s="829"/>
      <c r="Q784" s="1581"/>
      <c r="R784" s="1581"/>
      <c r="S784" s="1581"/>
      <c r="T784" s="1581"/>
      <c r="U784" s="1581"/>
      <c r="V784" s="1581"/>
      <c r="W784" s="1581"/>
      <c r="X784" s="1581"/>
      <c r="Y784" s="1581"/>
      <c r="Z784" s="1581"/>
      <c r="AA784" s="1581"/>
      <c r="AB784" s="1581"/>
      <c r="AC784" s="1581"/>
      <c r="AD784" s="1581"/>
      <c r="AE784" s="1581"/>
      <c r="AF784" s="1581"/>
      <c r="AG784" s="1581"/>
      <c r="AH784" s="1581"/>
      <c r="AI784" s="1581"/>
      <c r="AJ784" s="1581"/>
      <c r="AK784" s="1581"/>
      <c r="AL784" s="1581"/>
      <c r="AM784" s="1581"/>
      <c r="AN784" s="1581"/>
      <c r="AO784" s="1581"/>
      <c r="AP784" s="1581"/>
      <c r="AQ784" s="1581"/>
      <c r="AR784" s="1581"/>
      <c r="AS784" s="1581"/>
      <c r="AT784" s="1581"/>
      <c r="AU784" s="1581"/>
      <c r="AV784" s="1581"/>
      <c r="AW784" s="1581"/>
      <c r="AX784" s="1581"/>
      <c r="AY784" s="1581"/>
      <c r="AZ784" s="1581"/>
      <c r="BA784" s="1581"/>
      <c r="BB784" s="1581"/>
      <c r="BC784" s="1581"/>
      <c r="BD784" s="1581"/>
      <c r="BE784" s="1581"/>
      <c r="BF784" s="1581"/>
      <c r="BG784" s="1581"/>
      <c r="BH784" s="1581"/>
      <c r="BI784" s="1581"/>
      <c r="BJ784" s="1581"/>
      <c r="BK784" s="1581"/>
      <c r="BL784" s="1581"/>
      <c r="BM784" s="1581"/>
      <c r="BN784" s="1581"/>
      <c r="BO784" s="1581"/>
      <c r="BP784" s="1581"/>
      <c r="BQ784" s="1581"/>
      <c r="BR784" s="1581"/>
      <c r="BS784" s="1581"/>
      <c r="BT784" s="1581"/>
      <c r="BU784" s="1581"/>
      <c r="BV784" s="1581"/>
      <c r="BW784" s="1581"/>
      <c r="BX784" s="1581"/>
      <c r="BY784" s="1581"/>
      <c r="BZ784" s="1581"/>
      <c r="CA784" s="1581"/>
      <c r="CB784" s="1581"/>
      <c r="CC784" s="1581"/>
      <c r="CD784" s="1581"/>
      <c r="CE784" s="1581"/>
      <c r="CF784" s="1581"/>
      <c r="CG784" s="1581"/>
      <c r="CH784" s="1581"/>
      <c r="CI784" s="1581"/>
      <c r="CJ784" s="1581"/>
      <c r="CK784" s="1581"/>
    </row>
    <row r="785" spans="1:89" ht="17.25" customHeight="1" x14ac:dyDescent="0.25">
      <c r="A785" s="692" t="s">
        <v>62</v>
      </c>
      <c r="B785" s="1236" t="s">
        <v>689</v>
      </c>
      <c r="C785" s="693">
        <v>1</v>
      </c>
      <c r="D785" s="727" t="s">
        <v>16</v>
      </c>
      <c r="E785" s="695">
        <v>5000000</v>
      </c>
      <c r="F785" s="695"/>
      <c r="G785" s="695"/>
      <c r="H785" s="695"/>
      <c r="I785" s="695"/>
      <c r="J785" s="695">
        <f>C785*E785</f>
        <v>5000000</v>
      </c>
      <c r="K785" s="695">
        <f>I785+J785</f>
        <v>5000000</v>
      </c>
      <c r="L785" s="695"/>
      <c r="M785" s="695"/>
      <c r="N785" s="695"/>
      <c r="O785" s="696">
        <f>N785+K785+H785</f>
        <v>5000000</v>
      </c>
      <c r="P785" s="687"/>
    </row>
    <row r="786" spans="1:89" ht="17.25" customHeight="1" x14ac:dyDescent="0.25">
      <c r="A786" s="740"/>
      <c r="B786" s="1368"/>
      <c r="C786" s="828"/>
      <c r="D786" s="1369"/>
      <c r="E786" s="705"/>
      <c r="F786" s="705"/>
      <c r="G786" s="705"/>
      <c r="H786" s="705"/>
      <c r="I786" s="705"/>
      <c r="J786" s="705"/>
      <c r="K786" s="705"/>
      <c r="L786" s="705"/>
      <c r="M786" s="705"/>
      <c r="N786" s="705"/>
      <c r="O786" s="1370"/>
      <c r="P786" s="829"/>
    </row>
    <row r="787" spans="1:89" s="672" customFormat="1" ht="17.25" customHeight="1" x14ac:dyDescent="0.25">
      <c r="A787" s="740"/>
      <c r="B787" s="1368" t="s">
        <v>123</v>
      </c>
      <c r="C787" s="828"/>
      <c r="D787" s="1369"/>
      <c r="E787" s="705"/>
      <c r="F787" s="705">
        <f>SUM(F788:F788)</f>
        <v>0</v>
      </c>
      <c r="G787" s="705">
        <f>SUM(G788:G788)</f>
        <v>0</v>
      </c>
      <c r="H787" s="705">
        <f>G787+F787</f>
        <v>0</v>
      </c>
      <c r="I787" s="705">
        <f>SUM(I788:I788)</f>
        <v>0</v>
      </c>
      <c r="J787" s="705">
        <f>SUM(J788:J788)</f>
        <v>10000000</v>
      </c>
      <c r="K787" s="705">
        <f>J787+I787</f>
        <v>10000000</v>
      </c>
      <c r="L787" s="705">
        <f>SUM(L788:L788)</f>
        <v>0</v>
      </c>
      <c r="M787" s="705">
        <f>SUM(M788:M788)</f>
        <v>0</v>
      </c>
      <c r="N787" s="705">
        <f>M787+L787</f>
        <v>0</v>
      </c>
      <c r="O787" s="1370">
        <f>N787+K787+H787</f>
        <v>10000000</v>
      </c>
      <c r="P787" s="829"/>
      <c r="Q787" s="1581"/>
      <c r="R787" s="1581"/>
      <c r="S787" s="1581"/>
      <c r="T787" s="1581"/>
      <c r="U787" s="1581"/>
      <c r="V787" s="1581"/>
      <c r="W787" s="1581"/>
      <c r="X787" s="1581"/>
      <c r="Y787" s="1581"/>
      <c r="Z787" s="1581"/>
      <c r="AA787" s="1581"/>
      <c r="AB787" s="1581"/>
      <c r="AC787" s="1581"/>
      <c r="AD787" s="1581"/>
      <c r="AE787" s="1581"/>
      <c r="AF787" s="1581"/>
      <c r="AG787" s="1581"/>
      <c r="AH787" s="1581"/>
      <c r="AI787" s="1581"/>
      <c r="AJ787" s="1581"/>
      <c r="AK787" s="1581"/>
      <c r="AL787" s="1581"/>
      <c r="AM787" s="1581"/>
      <c r="AN787" s="1581"/>
      <c r="AO787" s="1581"/>
      <c r="AP787" s="1581"/>
      <c r="AQ787" s="1581"/>
      <c r="AR787" s="1581"/>
      <c r="AS787" s="1581"/>
      <c r="AT787" s="1581"/>
      <c r="AU787" s="1581"/>
      <c r="AV787" s="1581"/>
      <c r="AW787" s="1581"/>
      <c r="AX787" s="1581"/>
      <c r="AY787" s="1581"/>
      <c r="AZ787" s="1581"/>
      <c r="BA787" s="1581"/>
      <c r="BB787" s="1581"/>
      <c r="BC787" s="1581"/>
      <c r="BD787" s="1581"/>
      <c r="BE787" s="1581"/>
      <c r="BF787" s="1581"/>
      <c r="BG787" s="1581"/>
      <c r="BH787" s="1581"/>
      <c r="BI787" s="1581"/>
      <c r="BJ787" s="1581"/>
      <c r="BK787" s="1581"/>
      <c r="BL787" s="1581"/>
      <c r="BM787" s="1581"/>
      <c r="BN787" s="1581"/>
      <c r="BO787" s="1581"/>
      <c r="BP787" s="1581"/>
      <c r="BQ787" s="1581"/>
      <c r="BR787" s="1581"/>
      <c r="BS787" s="1581"/>
      <c r="BT787" s="1581"/>
      <c r="BU787" s="1581"/>
      <c r="BV787" s="1581"/>
      <c r="BW787" s="1581"/>
      <c r="BX787" s="1581"/>
      <c r="BY787" s="1581"/>
      <c r="BZ787" s="1581"/>
      <c r="CA787" s="1581"/>
      <c r="CB787" s="1581"/>
      <c r="CC787" s="1581"/>
      <c r="CD787" s="1581"/>
      <c r="CE787" s="1581"/>
      <c r="CF787" s="1581"/>
      <c r="CG787" s="1581"/>
      <c r="CH787" s="1581"/>
      <c r="CI787" s="1581"/>
      <c r="CJ787" s="1581"/>
      <c r="CK787" s="1581"/>
    </row>
    <row r="788" spans="1:89" ht="17.25" customHeight="1" x14ac:dyDescent="0.25">
      <c r="A788" s="692" t="s">
        <v>124</v>
      </c>
      <c r="B788" s="1341" t="s">
        <v>1681</v>
      </c>
      <c r="C788" s="693">
        <v>1</v>
      </c>
      <c r="D788" s="727" t="s">
        <v>16</v>
      </c>
      <c r="E788" s="695">
        <v>10000000</v>
      </c>
      <c r="F788" s="695"/>
      <c r="G788" s="695"/>
      <c r="H788" s="695"/>
      <c r="I788" s="695"/>
      <c r="J788" s="695">
        <f>C788*E788</f>
        <v>10000000</v>
      </c>
      <c r="K788" s="695">
        <f>I788+J788</f>
        <v>10000000</v>
      </c>
      <c r="L788" s="695"/>
      <c r="M788" s="695"/>
      <c r="N788" s="695"/>
      <c r="O788" s="696">
        <f>N788+K788+H788</f>
        <v>10000000</v>
      </c>
      <c r="P788" s="687"/>
    </row>
    <row r="789" spans="1:89" ht="17.25" customHeight="1" x14ac:dyDescent="0.25">
      <c r="A789" s="740"/>
      <c r="B789" s="1368"/>
      <c r="C789" s="828"/>
      <c r="D789" s="1369"/>
      <c r="E789" s="705"/>
      <c r="F789" s="705"/>
      <c r="G789" s="705"/>
      <c r="H789" s="705"/>
      <c r="I789" s="705"/>
      <c r="J789" s="705"/>
      <c r="K789" s="705"/>
      <c r="L789" s="705"/>
      <c r="M789" s="705"/>
      <c r="N789" s="705"/>
      <c r="O789" s="1370"/>
      <c r="P789" s="829"/>
    </row>
    <row r="790" spans="1:89" s="672" customFormat="1" ht="17.25" customHeight="1" x14ac:dyDescent="0.25">
      <c r="A790" s="740"/>
      <c r="B790" s="1429" t="s">
        <v>113</v>
      </c>
      <c r="C790" s="828"/>
      <c r="D790" s="738"/>
      <c r="E790" s="1430"/>
      <c r="F790" s="705">
        <f>SUM(F791:F792)</f>
        <v>0</v>
      </c>
      <c r="G790" s="705">
        <f>SUM(G791:G792)</f>
        <v>0</v>
      </c>
      <c r="H790" s="705">
        <f>G790+F790</f>
        <v>0</v>
      </c>
      <c r="I790" s="705">
        <f>SUM(I791:I792)</f>
        <v>0</v>
      </c>
      <c r="J790" s="705">
        <f>SUM(J791:J792)</f>
        <v>57500000</v>
      </c>
      <c r="K790" s="705">
        <f>J790+I790</f>
        <v>57500000</v>
      </c>
      <c r="L790" s="705">
        <f>SUM(L791:L792)</f>
        <v>0</v>
      </c>
      <c r="M790" s="705">
        <f>SUM(M791:M792)</f>
        <v>0</v>
      </c>
      <c r="N790" s="705">
        <f>M790+L790</f>
        <v>0</v>
      </c>
      <c r="O790" s="1370">
        <f t="shared" ref="O790:O800" si="64">N790+K790+H790</f>
        <v>57500000</v>
      </c>
      <c r="P790" s="829"/>
      <c r="Q790" s="1581"/>
      <c r="R790" s="1581"/>
      <c r="S790" s="1581"/>
      <c r="T790" s="1581"/>
      <c r="U790" s="1581"/>
      <c r="V790" s="1581"/>
      <c r="W790" s="1581"/>
      <c r="X790" s="1581"/>
      <c r="Y790" s="1581"/>
      <c r="Z790" s="1581"/>
      <c r="AA790" s="1581"/>
      <c r="AB790" s="1581"/>
      <c r="AC790" s="1581"/>
      <c r="AD790" s="1581"/>
      <c r="AE790" s="1581"/>
      <c r="AF790" s="1581"/>
      <c r="AG790" s="1581"/>
      <c r="AH790" s="1581"/>
      <c r="AI790" s="1581"/>
      <c r="AJ790" s="1581"/>
      <c r="AK790" s="1581"/>
      <c r="AL790" s="1581"/>
      <c r="AM790" s="1581"/>
      <c r="AN790" s="1581"/>
      <c r="AO790" s="1581"/>
      <c r="AP790" s="1581"/>
      <c r="AQ790" s="1581"/>
      <c r="AR790" s="1581"/>
      <c r="AS790" s="1581"/>
      <c r="AT790" s="1581"/>
      <c r="AU790" s="1581"/>
      <c r="AV790" s="1581"/>
      <c r="AW790" s="1581"/>
      <c r="AX790" s="1581"/>
      <c r="AY790" s="1581"/>
      <c r="AZ790" s="1581"/>
      <c r="BA790" s="1581"/>
      <c r="BB790" s="1581"/>
      <c r="BC790" s="1581"/>
      <c r="BD790" s="1581"/>
      <c r="BE790" s="1581"/>
      <c r="BF790" s="1581"/>
      <c r="BG790" s="1581"/>
      <c r="BH790" s="1581"/>
      <c r="BI790" s="1581"/>
      <c r="BJ790" s="1581"/>
      <c r="BK790" s="1581"/>
      <c r="BL790" s="1581"/>
      <c r="BM790" s="1581"/>
      <c r="BN790" s="1581"/>
      <c r="BO790" s="1581"/>
      <c r="BP790" s="1581"/>
      <c r="BQ790" s="1581"/>
      <c r="BR790" s="1581"/>
      <c r="BS790" s="1581"/>
      <c r="BT790" s="1581"/>
      <c r="BU790" s="1581"/>
      <c r="BV790" s="1581"/>
      <c r="BW790" s="1581"/>
      <c r="BX790" s="1581"/>
      <c r="BY790" s="1581"/>
      <c r="BZ790" s="1581"/>
      <c r="CA790" s="1581"/>
      <c r="CB790" s="1581"/>
      <c r="CC790" s="1581"/>
      <c r="CD790" s="1581"/>
      <c r="CE790" s="1581"/>
      <c r="CF790" s="1581"/>
      <c r="CG790" s="1581"/>
      <c r="CH790" s="1581"/>
      <c r="CI790" s="1581"/>
      <c r="CJ790" s="1581"/>
      <c r="CK790" s="1581"/>
    </row>
    <row r="791" spans="1:89" ht="17.25" customHeight="1" x14ac:dyDescent="0.25">
      <c r="A791" s="692" t="s">
        <v>125</v>
      </c>
      <c r="B791" s="1248" t="s">
        <v>688</v>
      </c>
      <c r="C791" s="693">
        <v>1</v>
      </c>
      <c r="D791" s="739" t="s">
        <v>16</v>
      </c>
      <c r="E791" s="1400">
        <f>10000000+17500000</f>
        <v>27500000</v>
      </c>
      <c r="F791" s="695"/>
      <c r="G791" s="695"/>
      <c r="H791" s="695"/>
      <c r="I791" s="695"/>
      <c r="J791" s="695">
        <f>C791*E791</f>
        <v>27500000</v>
      </c>
      <c r="K791" s="695">
        <f t="shared" ref="K791:K798" si="65">I791+J791</f>
        <v>27500000</v>
      </c>
      <c r="L791" s="695"/>
      <c r="M791" s="695"/>
      <c r="N791" s="695"/>
      <c r="O791" s="696">
        <f t="shared" si="64"/>
        <v>27500000</v>
      </c>
      <c r="P791" s="687"/>
    </row>
    <row r="792" spans="1:89" ht="17.25" customHeight="1" x14ac:dyDescent="0.25">
      <c r="A792" s="692"/>
      <c r="B792" s="1248" t="s">
        <v>1680</v>
      </c>
      <c r="C792" s="693">
        <v>1</v>
      </c>
      <c r="D792" s="727" t="s">
        <v>16</v>
      </c>
      <c r="E792" s="695">
        <v>30000000</v>
      </c>
      <c r="F792" s="695"/>
      <c r="G792" s="695"/>
      <c r="H792" s="695"/>
      <c r="I792" s="695"/>
      <c r="J792" s="695">
        <f>C792*E792</f>
        <v>30000000</v>
      </c>
      <c r="K792" s="695">
        <f t="shared" si="65"/>
        <v>30000000</v>
      </c>
      <c r="L792" s="695"/>
      <c r="M792" s="695"/>
      <c r="N792" s="695"/>
      <c r="O792" s="696">
        <f t="shared" si="64"/>
        <v>30000000</v>
      </c>
      <c r="P792" s="687"/>
    </row>
    <row r="793" spans="1:89" ht="17.25" customHeight="1" x14ac:dyDescent="0.25">
      <c r="A793" s="692"/>
      <c r="B793" s="1248"/>
      <c r="C793" s="693"/>
      <c r="D793" s="727"/>
      <c r="E793" s="695"/>
      <c r="F793" s="695"/>
      <c r="G793" s="695"/>
      <c r="H793" s="695"/>
      <c r="I793" s="695"/>
      <c r="J793" s="695"/>
      <c r="K793" s="695"/>
      <c r="L793" s="695"/>
      <c r="M793" s="695"/>
      <c r="N793" s="695"/>
      <c r="O793" s="696"/>
      <c r="P793" s="687"/>
    </row>
    <row r="794" spans="1:89" ht="17.25" customHeight="1" x14ac:dyDescent="0.25">
      <c r="A794" s="692"/>
      <c r="B794" s="1248" t="s">
        <v>74</v>
      </c>
      <c r="C794" s="693"/>
      <c r="D794" s="727"/>
      <c r="E794" s="695"/>
      <c r="F794" s="695">
        <f>SUM(F795:F795)</f>
        <v>0</v>
      </c>
      <c r="G794" s="695">
        <f>SUM(G795:G795)</f>
        <v>0</v>
      </c>
      <c r="H794" s="695">
        <f>F794+G794</f>
        <v>0</v>
      </c>
      <c r="I794" s="695">
        <f>SUM(I795:I795)</f>
        <v>0</v>
      </c>
      <c r="J794" s="695">
        <f>SUM(J795:J796)</f>
        <v>6000000</v>
      </c>
      <c r="K794" s="695">
        <f t="shared" si="65"/>
        <v>6000000</v>
      </c>
      <c r="L794" s="695">
        <f>SUM(L795:L795)</f>
        <v>0</v>
      </c>
      <c r="M794" s="695">
        <f>SUM(M795:M795)</f>
        <v>0</v>
      </c>
      <c r="N794" s="695">
        <f>L794+M794</f>
        <v>0</v>
      </c>
      <c r="O794" s="696">
        <f t="shared" si="64"/>
        <v>6000000</v>
      </c>
      <c r="P794" s="687"/>
    </row>
    <row r="795" spans="1:89" ht="17.25" customHeight="1" x14ac:dyDescent="0.25">
      <c r="A795" s="692"/>
      <c r="B795" s="1248" t="s">
        <v>1679</v>
      </c>
      <c r="C795" s="693">
        <v>1</v>
      </c>
      <c r="D795" s="727" t="s">
        <v>16</v>
      </c>
      <c r="E795" s="695">
        <f>5000000-2000000</f>
        <v>3000000</v>
      </c>
      <c r="F795" s="695"/>
      <c r="G795" s="695"/>
      <c r="H795" s="695"/>
      <c r="I795" s="695"/>
      <c r="J795" s="695">
        <f>C795*E795</f>
        <v>3000000</v>
      </c>
      <c r="K795" s="695">
        <f t="shared" si="65"/>
        <v>3000000</v>
      </c>
      <c r="L795" s="695"/>
      <c r="M795" s="695"/>
      <c r="N795" s="695"/>
      <c r="O795" s="696">
        <f t="shared" si="64"/>
        <v>3000000</v>
      </c>
      <c r="P795" s="687"/>
    </row>
    <row r="796" spans="1:89" ht="17.25" customHeight="1" x14ac:dyDescent="0.25">
      <c r="A796" s="692"/>
      <c r="B796" s="1248" t="s">
        <v>2063</v>
      </c>
      <c r="C796" s="693">
        <v>1</v>
      </c>
      <c r="D796" s="727" t="s">
        <v>16</v>
      </c>
      <c r="E796" s="695">
        <v>3000000</v>
      </c>
      <c r="F796" s="695"/>
      <c r="G796" s="695"/>
      <c r="H796" s="695"/>
      <c r="I796" s="695"/>
      <c r="J796" s="695">
        <f>C796*E796</f>
        <v>3000000</v>
      </c>
      <c r="K796" s="695">
        <f t="shared" si="65"/>
        <v>3000000</v>
      </c>
      <c r="L796" s="695"/>
      <c r="M796" s="695"/>
      <c r="N796" s="695"/>
      <c r="O796" s="696">
        <f t="shared" si="64"/>
        <v>3000000</v>
      </c>
      <c r="P796" s="687"/>
    </row>
    <row r="797" spans="1:89" ht="17.25" customHeight="1" x14ac:dyDescent="0.25">
      <c r="A797" s="692"/>
      <c r="B797" s="1248"/>
      <c r="C797" s="693"/>
      <c r="D797" s="727"/>
      <c r="E797" s="695"/>
      <c r="F797" s="695"/>
      <c r="G797" s="695"/>
      <c r="H797" s="695"/>
      <c r="I797" s="695"/>
      <c r="J797" s="695"/>
      <c r="K797" s="695"/>
      <c r="L797" s="695"/>
      <c r="M797" s="695"/>
      <c r="N797" s="695"/>
      <c r="O797" s="696"/>
      <c r="P797" s="687"/>
    </row>
    <row r="798" spans="1:89" s="672" customFormat="1" ht="17.25" customHeight="1" x14ac:dyDescent="0.25">
      <c r="A798" s="740" t="s">
        <v>22</v>
      </c>
      <c r="B798" s="1368" t="s">
        <v>23</v>
      </c>
      <c r="C798" s="828"/>
      <c r="D798" s="1369"/>
      <c r="E798" s="705"/>
      <c r="F798" s="705">
        <f>SUM(F799:F805)</f>
        <v>0</v>
      </c>
      <c r="G798" s="705">
        <f>SUM(G799:G805)</f>
        <v>0</v>
      </c>
      <c r="H798" s="705">
        <f>F798+G798</f>
        <v>0</v>
      </c>
      <c r="I798" s="705">
        <f>SUM(I799:I805)</f>
        <v>0</v>
      </c>
      <c r="J798" s="705">
        <f>SUM(J799:J805)</f>
        <v>1040000</v>
      </c>
      <c r="K798" s="705">
        <f t="shared" si="65"/>
        <v>1040000</v>
      </c>
      <c r="L798" s="705">
        <f>SUM(L799:L805)</f>
        <v>0</v>
      </c>
      <c r="M798" s="705">
        <f>SUM(M799:M805)</f>
        <v>0</v>
      </c>
      <c r="N798" s="705">
        <f>L798+M798</f>
        <v>0</v>
      </c>
      <c r="O798" s="1370">
        <f t="shared" si="64"/>
        <v>1040000</v>
      </c>
      <c r="P798" s="829"/>
      <c r="Q798" s="1581"/>
      <c r="R798" s="1581"/>
      <c r="S798" s="1581"/>
      <c r="T798" s="1581"/>
      <c r="U798" s="1581"/>
      <c r="V798" s="1581"/>
      <c r="W798" s="1581"/>
      <c r="X798" s="1581"/>
      <c r="Y798" s="1581"/>
      <c r="Z798" s="1581"/>
      <c r="AA798" s="1581"/>
      <c r="AB798" s="1581"/>
      <c r="AC798" s="1581"/>
      <c r="AD798" s="1581"/>
      <c r="AE798" s="1581"/>
      <c r="AF798" s="1581"/>
      <c r="AG798" s="1581"/>
      <c r="AH798" s="1581"/>
      <c r="AI798" s="1581"/>
      <c r="AJ798" s="1581"/>
      <c r="AK798" s="1581"/>
      <c r="AL798" s="1581"/>
      <c r="AM798" s="1581"/>
      <c r="AN798" s="1581"/>
      <c r="AO798" s="1581"/>
      <c r="AP798" s="1581"/>
      <c r="AQ798" s="1581"/>
      <c r="AR798" s="1581"/>
      <c r="AS798" s="1581"/>
      <c r="AT798" s="1581"/>
      <c r="AU798" s="1581"/>
      <c r="AV798" s="1581"/>
      <c r="AW798" s="1581"/>
      <c r="AX798" s="1581"/>
      <c r="AY798" s="1581"/>
      <c r="AZ798" s="1581"/>
      <c r="BA798" s="1581"/>
      <c r="BB798" s="1581"/>
      <c r="BC798" s="1581"/>
      <c r="BD798" s="1581"/>
      <c r="BE798" s="1581"/>
      <c r="BF798" s="1581"/>
      <c r="BG798" s="1581"/>
      <c r="BH798" s="1581"/>
      <c r="BI798" s="1581"/>
      <c r="BJ798" s="1581"/>
      <c r="BK798" s="1581"/>
      <c r="BL798" s="1581"/>
      <c r="BM798" s="1581"/>
      <c r="BN798" s="1581"/>
      <c r="BO798" s="1581"/>
      <c r="BP798" s="1581"/>
      <c r="BQ798" s="1581"/>
      <c r="BR798" s="1581"/>
      <c r="BS798" s="1581"/>
      <c r="BT798" s="1581"/>
      <c r="BU798" s="1581"/>
      <c r="BV798" s="1581"/>
      <c r="BW798" s="1581"/>
      <c r="BX798" s="1581"/>
      <c r="BY798" s="1581"/>
      <c r="BZ798" s="1581"/>
      <c r="CA798" s="1581"/>
      <c r="CB798" s="1581"/>
      <c r="CC798" s="1581"/>
      <c r="CD798" s="1581"/>
      <c r="CE798" s="1581"/>
      <c r="CF798" s="1581"/>
      <c r="CG798" s="1581"/>
      <c r="CH798" s="1581"/>
      <c r="CI798" s="1581"/>
      <c r="CJ798" s="1581"/>
      <c r="CK798" s="1581"/>
    </row>
    <row r="799" spans="1:89" ht="17.25" customHeight="1" x14ac:dyDescent="0.25">
      <c r="A799" s="692">
        <v>1</v>
      </c>
      <c r="B799" s="726" t="s">
        <v>21</v>
      </c>
      <c r="C799" s="693"/>
      <c r="D799" s="727"/>
      <c r="E799" s="1431"/>
      <c r="F799" s="695"/>
      <c r="G799" s="695"/>
      <c r="H799" s="695"/>
      <c r="I799" s="695"/>
      <c r="J799" s="695"/>
      <c r="K799" s="695"/>
      <c r="L799" s="695"/>
      <c r="M799" s="695"/>
      <c r="N799" s="695"/>
      <c r="O799" s="696">
        <f t="shared" si="64"/>
        <v>0</v>
      </c>
      <c r="P799" s="687"/>
    </row>
    <row r="800" spans="1:89" ht="17.25" customHeight="1" x14ac:dyDescent="0.25">
      <c r="A800" s="692"/>
      <c r="B800" s="1432" t="s">
        <v>690</v>
      </c>
      <c r="C800" s="693">
        <v>1</v>
      </c>
      <c r="D800" s="739" t="s">
        <v>25</v>
      </c>
      <c r="E800" s="1431">
        <v>1000000</v>
      </c>
      <c r="F800" s="695"/>
      <c r="G800" s="695"/>
      <c r="H800" s="695"/>
      <c r="I800" s="695"/>
      <c r="J800" s="695">
        <f>E800*C800</f>
        <v>1000000</v>
      </c>
      <c r="K800" s="695">
        <f>I800+J800</f>
        <v>1000000</v>
      </c>
      <c r="L800" s="695"/>
      <c r="M800" s="695"/>
      <c r="N800" s="695"/>
      <c r="O800" s="696">
        <f t="shared" si="64"/>
        <v>1000000</v>
      </c>
      <c r="P800" s="687"/>
    </row>
    <row r="801" spans="1:89" ht="17.25" customHeight="1" x14ac:dyDescent="0.25">
      <c r="A801" s="740"/>
      <c r="B801" s="756" t="s">
        <v>692</v>
      </c>
      <c r="C801" s="886"/>
      <c r="D801" s="1403"/>
      <c r="E801" s="874"/>
      <c r="F801" s="874"/>
      <c r="G801" s="874"/>
      <c r="H801" s="874"/>
      <c r="I801" s="874"/>
      <c r="J801" s="874"/>
      <c r="K801" s="874"/>
      <c r="L801" s="874"/>
      <c r="M801" s="874"/>
      <c r="N801" s="874"/>
      <c r="O801" s="775"/>
      <c r="P801" s="776"/>
    </row>
    <row r="802" spans="1:89" ht="17.25" customHeight="1" x14ac:dyDescent="0.25">
      <c r="A802" s="692"/>
      <c r="B802" s="756" t="s">
        <v>693</v>
      </c>
      <c r="C802" s="713"/>
      <c r="D802" s="880"/>
      <c r="E802" s="714"/>
      <c r="F802" s="714"/>
      <c r="G802" s="714"/>
      <c r="H802" s="714"/>
      <c r="I802" s="714"/>
      <c r="J802" s="714"/>
      <c r="K802" s="714"/>
      <c r="L802" s="714"/>
      <c r="M802" s="714"/>
      <c r="N802" s="714"/>
      <c r="O802" s="753"/>
      <c r="P802" s="754"/>
    </row>
    <row r="803" spans="1:89" ht="17.25" customHeight="1" x14ac:dyDescent="0.25">
      <c r="A803" s="692"/>
      <c r="B803" s="756" t="s">
        <v>694</v>
      </c>
      <c r="C803" s="713"/>
      <c r="D803" s="880"/>
      <c r="E803" s="714"/>
      <c r="F803" s="714"/>
      <c r="G803" s="714"/>
      <c r="H803" s="714"/>
      <c r="I803" s="714"/>
      <c r="J803" s="714"/>
      <c r="K803" s="714"/>
      <c r="L803" s="714"/>
      <c r="M803" s="714"/>
      <c r="N803" s="714"/>
      <c r="O803" s="753"/>
      <c r="P803" s="754"/>
    </row>
    <row r="804" spans="1:89" ht="17.25" customHeight="1" x14ac:dyDescent="0.25">
      <c r="A804" s="692">
        <v>2</v>
      </c>
      <c r="B804" s="1402" t="s">
        <v>19</v>
      </c>
      <c r="C804" s="713"/>
      <c r="D804" s="880"/>
      <c r="E804" s="714"/>
      <c r="F804" s="714"/>
      <c r="G804" s="714"/>
      <c r="H804" s="714"/>
      <c r="I804" s="714"/>
      <c r="J804" s="714"/>
      <c r="K804" s="714"/>
      <c r="L804" s="714"/>
      <c r="M804" s="714"/>
      <c r="N804" s="714"/>
      <c r="O804" s="753">
        <f>N804+K804+H804</f>
        <v>0</v>
      </c>
      <c r="P804" s="754"/>
    </row>
    <row r="805" spans="1:89" ht="17.25" customHeight="1" x14ac:dyDescent="0.25">
      <c r="A805" s="692"/>
      <c r="B805" s="757" t="s">
        <v>26</v>
      </c>
      <c r="C805" s="713">
        <v>1</v>
      </c>
      <c r="D805" s="880" t="s">
        <v>25</v>
      </c>
      <c r="E805" s="714">
        <v>40000</v>
      </c>
      <c r="F805" s="714"/>
      <c r="G805" s="714"/>
      <c r="H805" s="714"/>
      <c r="I805" s="714"/>
      <c r="J805" s="714">
        <f>C805*E805</f>
        <v>40000</v>
      </c>
      <c r="K805" s="714">
        <f>I805+J805</f>
        <v>40000</v>
      </c>
      <c r="L805" s="714"/>
      <c r="M805" s="714"/>
      <c r="N805" s="714"/>
      <c r="O805" s="753">
        <f>N805+K805+H805</f>
        <v>40000</v>
      </c>
      <c r="P805" s="754"/>
    </row>
    <row r="806" spans="1:89" ht="17.25" customHeight="1" x14ac:dyDescent="0.25">
      <c r="A806" s="692"/>
      <c r="B806" s="757"/>
      <c r="C806" s="713"/>
      <c r="D806" s="880"/>
      <c r="E806" s="714"/>
      <c r="F806" s="714"/>
      <c r="G806" s="714"/>
      <c r="H806" s="714"/>
      <c r="I806" s="714"/>
      <c r="J806" s="714"/>
      <c r="K806" s="714"/>
      <c r="L806" s="714"/>
      <c r="M806" s="714"/>
      <c r="N806" s="714"/>
      <c r="O806" s="753"/>
      <c r="P806" s="754"/>
    </row>
    <row r="807" spans="1:89" s="672" customFormat="1" ht="17.25" customHeight="1" x14ac:dyDescent="0.25">
      <c r="A807" s="740" t="s">
        <v>28</v>
      </c>
      <c r="B807" s="891" t="s">
        <v>29</v>
      </c>
      <c r="C807" s="886"/>
      <c r="D807" s="1403"/>
      <c r="E807" s="874"/>
      <c r="F807" s="874">
        <f>SUM(F809:F827)</f>
        <v>0</v>
      </c>
      <c r="G807" s="874">
        <f>SUM(G809:G827)</f>
        <v>0</v>
      </c>
      <c r="H807" s="874">
        <f>F807+G807</f>
        <v>0</v>
      </c>
      <c r="I807" s="874">
        <f>SUM(I809:I827)</f>
        <v>0</v>
      </c>
      <c r="J807" s="874">
        <f>SUM(J809:J827)</f>
        <v>540840</v>
      </c>
      <c r="K807" s="874">
        <f>I807+J807</f>
        <v>540840</v>
      </c>
      <c r="L807" s="874">
        <f>SUM(L809:L827)</f>
        <v>0</v>
      </c>
      <c r="M807" s="874">
        <f>SUM(M809:M827)</f>
        <v>0</v>
      </c>
      <c r="N807" s="874">
        <f>L807+M807</f>
        <v>0</v>
      </c>
      <c r="O807" s="775">
        <f t="shared" ref="O807:O827" si="66">N807+K807+H807</f>
        <v>540840</v>
      </c>
      <c r="P807" s="776"/>
      <c r="Q807" s="1581"/>
      <c r="R807" s="1581"/>
      <c r="S807" s="1581"/>
      <c r="T807" s="1581"/>
      <c r="U807" s="1581"/>
      <c r="V807" s="1581"/>
      <c r="W807" s="1581"/>
      <c r="X807" s="1581"/>
      <c r="Y807" s="1581"/>
      <c r="Z807" s="1581"/>
      <c r="AA807" s="1581"/>
      <c r="AB807" s="1581"/>
      <c r="AC807" s="1581"/>
      <c r="AD807" s="1581"/>
      <c r="AE807" s="1581"/>
      <c r="AF807" s="1581"/>
      <c r="AG807" s="1581"/>
      <c r="AH807" s="1581"/>
      <c r="AI807" s="1581"/>
      <c r="AJ807" s="1581"/>
      <c r="AK807" s="1581"/>
      <c r="AL807" s="1581"/>
      <c r="AM807" s="1581"/>
      <c r="AN807" s="1581"/>
      <c r="AO807" s="1581"/>
      <c r="AP807" s="1581"/>
      <c r="AQ807" s="1581"/>
      <c r="AR807" s="1581"/>
      <c r="AS807" s="1581"/>
      <c r="AT807" s="1581"/>
      <c r="AU807" s="1581"/>
      <c r="AV807" s="1581"/>
      <c r="AW807" s="1581"/>
      <c r="AX807" s="1581"/>
      <c r="AY807" s="1581"/>
      <c r="AZ807" s="1581"/>
      <c r="BA807" s="1581"/>
      <c r="BB807" s="1581"/>
      <c r="BC807" s="1581"/>
      <c r="BD807" s="1581"/>
      <c r="BE807" s="1581"/>
      <c r="BF807" s="1581"/>
      <c r="BG807" s="1581"/>
      <c r="BH807" s="1581"/>
      <c r="BI807" s="1581"/>
      <c r="BJ807" s="1581"/>
      <c r="BK807" s="1581"/>
      <c r="BL807" s="1581"/>
      <c r="BM807" s="1581"/>
      <c r="BN807" s="1581"/>
      <c r="BO807" s="1581"/>
      <c r="BP807" s="1581"/>
      <c r="BQ807" s="1581"/>
      <c r="BR807" s="1581"/>
      <c r="BS807" s="1581"/>
      <c r="BT807" s="1581"/>
      <c r="BU807" s="1581"/>
      <c r="BV807" s="1581"/>
      <c r="BW807" s="1581"/>
      <c r="BX807" s="1581"/>
      <c r="BY807" s="1581"/>
      <c r="BZ807" s="1581"/>
      <c r="CA807" s="1581"/>
      <c r="CB807" s="1581"/>
      <c r="CC807" s="1581"/>
      <c r="CD807" s="1581"/>
      <c r="CE807" s="1581"/>
      <c r="CF807" s="1581"/>
      <c r="CG807" s="1581"/>
      <c r="CH807" s="1581"/>
      <c r="CI807" s="1581"/>
      <c r="CJ807" s="1581"/>
      <c r="CK807" s="1581"/>
    </row>
    <row r="808" spans="1:89" ht="17.25" customHeight="1" x14ac:dyDescent="0.25">
      <c r="A808" s="692">
        <v>1</v>
      </c>
      <c r="B808" s="756" t="s">
        <v>19</v>
      </c>
      <c r="C808" s="713"/>
      <c r="D808" s="880"/>
      <c r="E808" s="714"/>
      <c r="F808" s="714"/>
      <c r="G808" s="714"/>
      <c r="H808" s="714"/>
      <c r="I808" s="714"/>
      <c r="J808" s="714"/>
      <c r="K808" s="714"/>
      <c r="L808" s="714"/>
      <c r="M808" s="714"/>
      <c r="N808" s="714"/>
      <c r="O808" s="753">
        <f t="shared" si="66"/>
        <v>0</v>
      </c>
      <c r="P808" s="754"/>
    </row>
    <row r="809" spans="1:89" ht="17.25" customHeight="1" x14ac:dyDescent="0.25">
      <c r="A809" s="692"/>
      <c r="B809" s="756" t="s">
        <v>30</v>
      </c>
      <c r="C809" s="713">
        <v>12</v>
      </c>
      <c r="D809" s="880" t="s">
        <v>20</v>
      </c>
      <c r="E809" s="714">
        <v>1900</v>
      </c>
      <c r="F809" s="714"/>
      <c r="G809" s="714"/>
      <c r="H809" s="714"/>
      <c r="I809" s="714"/>
      <c r="J809" s="714">
        <f>C809*E809</f>
        <v>22800</v>
      </c>
      <c r="K809" s="714">
        <f>I809+J809</f>
        <v>22800</v>
      </c>
      <c r="L809" s="714"/>
      <c r="M809" s="714"/>
      <c r="N809" s="714"/>
      <c r="O809" s="753">
        <f t="shared" si="66"/>
        <v>22800</v>
      </c>
      <c r="P809" s="754"/>
    </row>
    <row r="810" spans="1:89" ht="17.25" customHeight="1" x14ac:dyDescent="0.25">
      <c r="A810" s="692"/>
      <c r="B810" s="1391" t="s">
        <v>31</v>
      </c>
      <c r="C810" s="693">
        <v>12</v>
      </c>
      <c r="D810" s="727" t="s">
        <v>20</v>
      </c>
      <c r="E810" s="1431">
        <v>1520</v>
      </c>
      <c r="F810" s="695"/>
      <c r="G810" s="695"/>
      <c r="H810" s="695"/>
      <c r="I810" s="695"/>
      <c r="J810" s="695">
        <f>C810*E810</f>
        <v>18240</v>
      </c>
      <c r="K810" s="695">
        <f>I810+J810</f>
        <v>18240</v>
      </c>
      <c r="L810" s="695"/>
      <c r="M810" s="695"/>
      <c r="N810" s="695"/>
      <c r="O810" s="696">
        <f t="shared" si="66"/>
        <v>18240</v>
      </c>
      <c r="P810" s="687"/>
    </row>
    <row r="811" spans="1:89" ht="17.25" customHeight="1" x14ac:dyDescent="0.25">
      <c r="A811" s="692"/>
      <c r="B811" s="1391" t="s">
        <v>32</v>
      </c>
      <c r="C811" s="693">
        <v>12</v>
      </c>
      <c r="D811" s="727" t="s">
        <v>20</v>
      </c>
      <c r="E811" s="1431">
        <v>1300</v>
      </c>
      <c r="F811" s="695"/>
      <c r="G811" s="695"/>
      <c r="H811" s="695"/>
      <c r="I811" s="695"/>
      <c r="J811" s="695">
        <f>C811*E811</f>
        <v>15600</v>
      </c>
      <c r="K811" s="695">
        <f>I811+J811</f>
        <v>15600</v>
      </c>
      <c r="L811" s="695"/>
      <c r="M811" s="695"/>
      <c r="N811" s="695"/>
      <c r="O811" s="696">
        <f t="shared" si="66"/>
        <v>15600</v>
      </c>
      <c r="P811" s="687"/>
    </row>
    <row r="812" spans="1:89" ht="17.25" customHeight="1" x14ac:dyDescent="0.25">
      <c r="A812" s="740"/>
      <c r="B812" s="1248" t="s">
        <v>33</v>
      </c>
      <c r="C812" s="828">
        <v>60</v>
      </c>
      <c r="D812" s="1369" t="s">
        <v>20</v>
      </c>
      <c r="E812" s="705">
        <v>900</v>
      </c>
      <c r="F812" s="705"/>
      <c r="G812" s="705"/>
      <c r="H812" s="705"/>
      <c r="I812" s="705"/>
      <c r="J812" s="705">
        <f>C812*E812</f>
        <v>54000</v>
      </c>
      <c r="K812" s="705">
        <f>I812+J812</f>
        <v>54000</v>
      </c>
      <c r="L812" s="705"/>
      <c r="M812" s="705"/>
      <c r="N812" s="705"/>
      <c r="O812" s="1370">
        <f t="shared" si="66"/>
        <v>54000</v>
      </c>
      <c r="P812" s="829"/>
    </row>
    <row r="813" spans="1:89" ht="17.25" customHeight="1" x14ac:dyDescent="0.25">
      <c r="A813" s="692"/>
      <c r="B813" s="1248" t="s">
        <v>34</v>
      </c>
      <c r="C813" s="693"/>
      <c r="D813" s="727"/>
      <c r="E813" s="695"/>
      <c r="F813" s="695"/>
      <c r="G813" s="695"/>
      <c r="H813" s="695"/>
      <c r="I813" s="695"/>
      <c r="J813" s="695"/>
      <c r="K813" s="695"/>
      <c r="L813" s="695"/>
      <c r="M813" s="695"/>
      <c r="N813" s="695"/>
      <c r="O813" s="696">
        <f t="shared" si="66"/>
        <v>0</v>
      </c>
      <c r="P813" s="687"/>
    </row>
    <row r="814" spans="1:89" ht="17.25" customHeight="1" x14ac:dyDescent="0.25">
      <c r="A814" s="692"/>
      <c r="B814" s="1237" t="s">
        <v>35</v>
      </c>
      <c r="C814" s="693">
        <v>12</v>
      </c>
      <c r="D814" s="727" t="s">
        <v>20</v>
      </c>
      <c r="E814" s="695">
        <v>300</v>
      </c>
      <c r="F814" s="695"/>
      <c r="G814" s="695"/>
      <c r="H814" s="695"/>
      <c r="I814" s="695"/>
      <c r="J814" s="695">
        <f>C814*E814</f>
        <v>3600</v>
      </c>
      <c r="K814" s="695">
        <f>I814+J814</f>
        <v>3600</v>
      </c>
      <c r="L814" s="695"/>
      <c r="M814" s="695"/>
      <c r="N814" s="695"/>
      <c r="O814" s="696">
        <f t="shared" si="66"/>
        <v>3600</v>
      </c>
      <c r="P814" s="687"/>
    </row>
    <row r="815" spans="1:89" ht="17.25" customHeight="1" x14ac:dyDescent="0.25">
      <c r="A815" s="692"/>
      <c r="B815" s="1237" t="s">
        <v>36</v>
      </c>
      <c r="C815" s="693">
        <v>36</v>
      </c>
      <c r="D815" s="727" t="s">
        <v>20</v>
      </c>
      <c r="E815" s="695">
        <v>150</v>
      </c>
      <c r="F815" s="695"/>
      <c r="G815" s="695"/>
      <c r="H815" s="695"/>
      <c r="I815" s="695"/>
      <c r="J815" s="695">
        <f>C815*E815</f>
        <v>5400</v>
      </c>
      <c r="K815" s="695">
        <f>I815+J815</f>
        <v>5400</v>
      </c>
      <c r="L815" s="695"/>
      <c r="M815" s="695"/>
      <c r="N815" s="695"/>
      <c r="O815" s="696">
        <f t="shared" si="66"/>
        <v>5400</v>
      </c>
      <c r="P815" s="687"/>
    </row>
    <row r="816" spans="1:89" ht="17.25" customHeight="1" x14ac:dyDescent="0.25">
      <c r="A816" s="692"/>
      <c r="B816" s="1237" t="s">
        <v>38</v>
      </c>
      <c r="C816" s="693">
        <v>1</v>
      </c>
      <c r="D816" s="727" t="s">
        <v>25</v>
      </c>
      <c r="E816" s="695">
        <v>20000</v>
      </c>
      <c r="F816" s="695"/>
      <c r="G816" s="695"/>
      <c r="H816" s="695"/>
      <c r="I816" s="695"/>
      <c r="J816" s="695">
        <f>C816*E816</f>
        <v>20000</v>
      </c>
      <c r="K816" s="695">
        <f>I816+J816</f>
        <v>20000</v>
      </c>
      <c r="L816" s="695"/>
      <c r="M816" s="695"/>
      <c r="N816" s="695"/>
      <c r="O816" s="696">
        <f t="shared" si="66"/>
        <v>20000</v>
      </c>
      <c r="P816" s="687"/>
    </row>
    <row r="817" spans="1:89" ht="17.25" customHeight="1" x14ac:dyDescent="0.25">
      <c r="A817" s="692"/>
      <c r="B817" s="1237" t="s">
        <v>39</v>
      </c>
      <c r="C817" s="693">
        <v>1</v>
      </c>
      <c r="D817" s="727" t="s">
        <v>25</v>
      </c>
      <c r="E817" s="695">
        <v>4600</v>
      </c>
      <c r="F817" s="695"/>
      <c r="G817" s="695"/>
      <c r="H817" s="695"/>
      <c r="I817" s="695"/>
      <c r="J817" s="695">
        <f>C817*E817</f>
        <v>4600</v>
      </c>
      <c r="K817" s="695">
        <f>I817+J817</f>
        <v>4600</v>
      </c>
      <c r="L817" s="695"/>
      <c r="M817" s="695"/>
      <c r="N817" s="695"/>
      <c r="O817" s="696">
        <f t="shared" si="66"/>
        <v>4600</v>
      </c>
      <c r="P817" s="687"/>
    </row>
    <row r="818" spans="1:89" ht="17.25" customHeight="1" x14ac:dyDescent="0.25">
      <c r="A818" s="692">
        <v>2</v>
      </c>
      <c r="B818" s="1237" t="s">
        <v>40</v>
      </c>
      <c r="C818" s="693"/>
      <c r="D818" s="727"/>
      <c r="E818" s="695"/>
      <c r="F818" s="695"/>
      <c r="G818" s="695"/>
      <c r="H818" s="695"/>
      <c r="I818" s="695"/>
      <c r="J818" s="695"/>
      <c r="K818" s="695"/>
      <c r="L818" s="695"/>
      <c r="M818" s="695"/>
      <c r="N818" s="695"/>
      <c r="O818" s="696">
        <f t="shared" si="66"/>
        <v>0</v>
      </c>
      <c r="P818" s="687"/>
    </row>
    <row r="819" spans="1:89" ht="17.25" customHeight="1" x14ac:dyDescent="0.25">
      <c r="A819" s="692"/>
      <c r="B819" s="1237" t="s">
        <v>41</v>
      </c>
      <c r="C819" s="693">
        <v>1</v>
      </c>
      <c r="D819" s="727" t="s">
        <v>25</v>
      </c>
      <c r="E819" s="695">
        <v>50000</v>
      </c>
      <c r="F819" s="695"/>
      <c r="G819" s="695"/>
      <c r="H819" s="695"/>
      <c r="I819" s="695"/>
      <c r="J819" s="695">
        <f>C819*E819</f>
        <v>50000</v>
      </c>
      <c r="K819" s="695">
        <f>I819+J819</f>
        <v>50000</v>
      </c>
      <c r="L819" s="695"/>
      <c r="M819" s="695"/>
      <c r="N819" s="695"/>
      <c r="O819" s="696">
        <f t="shared" si="66"/>
        <v>50000</v>
      </c>
      <c r="P819" s="687"/>
    </row>
    <row r="820" spans="1:89" ht="17.25" customHeight="1" x14ac:dyDescent="0.25">
      <c r="A820" s="692"/>
      <c r="B820" s="1237" t="s">
        <v>42</v>
      </c>
      <c r="C820" s="693">
        <v>1</v>
      </c>
      <c r="D820" s="727" t="s">
        <v>25</v>
      </c>
      <c r="E820" s="695">
        <v>50000</v>
      </c>
      <c r="F820" s="695"/>
      <c r="G820" s="695"/>
      <c r="H820" s="695"/>
      <c r="I820" s="695"/>
      <c r="J820" s="695">
        <f>C820*E820</f>
        <v>50000</v>
      </c>
      <c r="K820" s="695">
        <f>I820+J820</f>
        <v>50000</v>
      </c>
      <c r="L820" s="695"/>
      <c r="M820" s="695"/>
      <c r="N820" s="695"/>
      <c r="O820" s="696">
        <f t="shared" si="66"/>
        <v>50000</v>
      </c>
      <c r="P820" s="687"/>
    </row>
    <row r="821" spans="1:89" ht="17.25" customHeight="1" x14ac:dyDescent="0.25">
      <c r="A821" s="692">
        <v>3</v>
      </c>
      <c r="B821" s="1237" t="s">
        <v>43</v>
      </c>
      <c r="C821" s="693"/>
      <c r="D821" s="727"/>
      <c r="E821" s="695"/>
      <c r="F821" s="695"/>
      <c r="G821" s="695"/>
      <c r="H821" s="695"/>
      <c r="I821" s="695"/>
      <c r="J821" s="695"/>
      <c r="K821" s="695"/>
      <c r="L821" s="695"/>
      <c r="M821" s="695"/>
      <c r="N821" s="695"/>
      <c r="O821" s="696">
        <f t="shared" si="66"/>
        <v>0</v>
      </c>
      <c r="P821" s="687"/>
    </row>
    <row r="822" spans="1:89" ht="17.25" customHeight="1" x14ac:dyDescent="0.25">
      <c r="A822" s="692"/>
      <c r="B822" s="1237" t="s">
        <v>44</v>
      </c>
      <c r="C822" s="693">
        <v>9</v>
      </c>
      <c r="D822" s="727" t="s">
        <v>45</v>
      </c>
      <c r="E822" s="695">
        <v>6000</v>
      </c>
      <c r="F822" s="695"/>
      <c r="G822" s="695"/>
      <c r="H822" s="695"/>
      <c r="I822" s="695"/>
      <c r="J822" s="695">
        <f>C822*E822</f>
        <v>54000</v>
      </c>
      <c r="K822" s="695">
        <f>I822+J822</f>
        <v>54000</v>
      </c>
      <c r="L822" s="695"/>
      <c r="M822" s="695"/>
      <c r="N822" s="695"/>
      <c r="O822" s="696">
        <f t="shared" si="66"/>
        <v>54000</v>
      </c>
      <c r="P822" s="687"/>
    </row>
    <row r="823" spans="1:89" ht="17.25" customHeight="1" x14ac:dyDescent="0.25">
      <c r="A823" s="692">
        <v>5</v>
      </c>
      <c r="B823" s="1241" t="s">
        <v>48</v>
      </c>
      <c r="C823" s="693"/>
      <c r="D823" s="727"/>
      <c r="E823" s="695" t="s">
        <v>49</v>
      </c>
      <c r="F823" s="695"/>
      <c r="G823" s="695"/>
      <c r="H823" s="695"/>
      <c r="I823" s="695"/>
      <c r="J823" s="695"/>
      <c r="K823" s="695">
        <f>J823+I823</f>
        <v>0</v>
      </c>
      <c r="L823" s="695"/>
      <c r="M823" s="695"/>
      <c r="N823" s="695"/>
      <c r="O823" s="696">
        <f t="shared" si="66"/>
        <v>0</v>
      </c>
      <c r="P823" s="687"/>
    </row>
    <row r="824" spans="1:89" ht="17.25" customHeight="1" x14ac:dyDescent="0.25">
      <c r="A824" s="692"/>
      <c r="B824" s="1237" t="s">
        <v>50</v>
      </c>
      <c r="C824" s="693">
        <v>50</v>
      </c>
      <c r="D824" s="727" t="s">
        <v>51</v>
      </c>
      <c r="E824" s="695">
        <v>2700</v>
      </c>
      <c r="F824" s="695"/>
      <c r="G824" s="695"/>
      <c r="H824" s="695"/>
      <c r="I824" s="695"/>
      <c r="J824" s="695">
        <f>C824*E824</f>
        <v>135000</v>
      </c>
      <c r="K824" s="695">
        <f>I824+J824</f>
        <v>135000</v>
      </c>
      <c r="L824" s="695"/>
      <c r="M824" s="695"/>
      <c r="N824" s="695"/>
      <c r="O824" s="696">
        <f t="shared" si="66"/>
        <v>135000</v>
      </c>
      <c r="P824" s="687"/>
    </row>
    <row r="825" spans="1:89" ht="17.25" customHeight="1" x14ac:dyDescent="0.25">
      <c r="A825" s="692"/>
      <c r="B825" s="1237" t="s">
        <v>52</v>
      </c>
      <c r="C825" s="693">
        <v>80</v>
      </c>
      <c r="D825" s="727" t="s">
        <v>53</v>
      </c>
      <c r="E825" s="695">
        <v>495</v>
      </c>
      <c r="F825" s="695"/>
      <c r="G825" s="695"/>
      <c r="H825" s="695"/>
      <c r="I825" s="695"/>
      <c r="J825" s="695">
        <f>C825*E825</f>
        <v>39600</v>
      </c>
      <c r="K825" s="695">
        <f>I825+J825</f>
        <v>39600</v>
      </c>
      <c r="L825" s="695"/>
      <c r="M825" s="695"/>
      <c r="N825" s="695"/>
      <c r="O825" s="696">
        <f t="shared" si="66"/>
        <v>39600</v>
      </c>
      <c r="P825" s="687"/>
    </row>
    <row r="826" spans="1:89" ht="17.25" customHeight="1" x14ac:dyDescent="0.25">
      <c r="A826" s="692"/>
      <c r="B826" s="1237" t="s">
        <v>54</v>
      </c>
      <c r="C826" s="693">
        <v>80</v>
      </c>
      <c r="D826" s="727" t="s">
        <v>55</v>
      </c>
      <c r="E826" s="695">
        <v>450</v>
      </c>
      <c r="F826" s="695"/>
      <c r="G826" s="695"/>
      <c r="H826" s="695"/>
      <c r="I826" s="695"/>
      <c r="J826" s="695">
        <f>C826*E826</f>
        <v>36000</v>
      </c>
      <c r="K826" s="695">
        <f>I826+J826</f>
        <v>36000</v>
      </c>
      <c r="L826" s="695"/>
      <c r="M826" s="695"/>
      <c r="N826" s="695"/>
      <c r="O826" s="696">
        <f t="shared" si="66"/>
        <v>36000</v>
      </c>
      <c r="P826" s="687"/>
    </row>
    <row r="827" spans="1:89" ht="17.25" customHeight="1" x14ac:dyDescent="0.25">
      <c r="A827" s="692"/>
      <c r="B827" s="1237" t="s">
        <v>56</v>
      </c>
      <c r="C827" s="693">
        <v>80</v>
      </c>
      <c r="D827" s="727" t="s">
        <v>55</v>
      </c>
      <c r="E827" s="695">
        <v>400</v>
      </c>
      <c r="F827" s="695"/>
      <c r="G827" s="695"/>
      <c r="H827" s="695"/>
      <c r="I827" s="695"/>
      <c r="J827" s="695">
        <f>C827*E827</f>
        <v>32000</v>
      </c>
      <c r="K827" s="695">
        <f>I827+J827</f>
        <v>32000</v>
      </c>
      <c r="L827" s="695"/>
      <c r="M827" s="695"/>
      <c r="N827" s="695"/>
      <c r="O827" s="696">
        <f t="shared" si="66"/>
        <v>32000</v>
      </c>
      <c r="P827" s="687"/>
    </row>
    <row r="828" spans="1:89" ht="17.25" customHeight="1" x14ac:dyDescent="0.25">
      <c r="A828" s="692"/>
      <c r="B828" s="1237"/>
      <c r="C828" s="693"/>
      <c r="D828" s="727"/>
      <c r="E828" s="695"/>
      <c r="F828" s="695"/>
      <c r="G828" s="695"/>
      <c r="H828" s="695"/>
      <c r="I828" s="695"/>
      <c r="J828" s="695"/>
      <c r="K828" s="695"/>
      <c r="L828" s="695"/>
      <c r="M828" s="695"/>
      <c r="N828" s="695"/>
      <c r="O828" s="696"/>
      <c r="P828" s="687"/>
    </row>
    <row r="829" spans="1:89" ht="17.25" customHeight="1" x14ac:dyDescent="0.25">
      <c r="A829" s="820"/>
      <c r="B829" s="856"/>
      <c r="C829" s="830"/>
      <c r="D829" s="831"/>
      <c r="E829" s="821"/>
      <c r="F829" s="821"/>
      <c r="G829" s="821"/>
      <c r="H829" s="821"/>
      <c r="I829" s="866"/>
      <c r="J829" s="821"/>
      <c r="K829" s="821"/>
      <c r="L829" s="821"/>
      <c r="M829" s="821"/>
      <c r="N829" s="821"/>
      <c r="O829" s="822"/>
      <c r="P829" s="687"/>
    </row>
    <row r="830" spans="1:89" ht="24.75" customHeight="1" x14ac:dyDescent="0.25">
      <c r="A830" s="1210">
        <v>16</v>
      </c>
      <c r="B830" s="1211" t="s">
        <v>126</v>
      </c>
      <c r="C830" s="1212"/>
      <c r="D830" s="1316"/>
      <c r="E830" s="1214"/>
      <c r="F830" s="1214">
        <f>F832+F839</f>
        <v>0</v>
      </c>
      <c r="G830" s="1214">
        <f>G832+G839</f>
        <v>0</v>
      </c>
      <c r="H830" s="1214">
        <f>G830+F830</f>
        <v>0</v>
      </c>
      <c r="I830" s="1214">
        <f>I832+I839</f>
        <v>0</v>
      </c>
      <c r="J830" s="1214">
        <f>J832+J839</f>
        <v>595400</v>
      </c>
      <c r="K830" s="1214">
        <f>J830+I830</f>
        <v>595400</v>
      </c>
      <c r="L830" s="1214">
        <f>L832+L839</f>
        <v>2500000</v>
      </c>
      <c r="M830" s="1214">
        <f>M832+M839</f>
        <v>0</v>
      </c>
      <c r="N830" s="1214">
        <f>M830+L830</f>
        <v>2500000</v>
      </c>
      <c r="O830" s="1215">
        <f>N830+K830+H830</f>
        <v>3095400</v>
      </c>
      <c r="P830" s="680"/>
    </row>
    <row r="831" spans="1:89" ht="17.25" customHeight="1" x14ac:dyDescent="0.25">
      <c r="A831" s="681"/>
      <c r="B831" s="876"/>
      <c r="C831" s="682"/>
      <c r="D831" s="683"/>
      <c r="E831" s="685"/>
      <c r="F831" s="685"/>
      <c r="G831" s="685"/>
      <c r="H831" s="685"/>
      <c r="I831" s="685"/>
      <c r="J831" s="685"/>
      <c r="K831" s="685"/>
      <c r="L831" s="685"/>
      <c r="M831" s="685"/>
      <c r="N831" s="685"/>
      <c r="O831" s="686">
        <f>N831+K831+H831</f>
        <v>0</v>
      </c>
      <c r="P831" s="687"/>
    </row>
    <row r="832" spans="1:89" s="672" customFormat="1" ht="33.75" customHeight="1" x14ac:dyDescent="0.25">
      <c r="A832" s="740" t="s">
        <v>64</v>
      </c>
      <c r="B832" s="1372" t="s">
        <v>1156</v>
      </c>
      <c r="C832" s="828"/>
      <c r="D832" s="1369"/>
      <c r="E832" s="705"/>
      <c r="F832" s="705">
        <f>SUM(F833:F837)</f>
        <v>0</v>
      </c>
      <c r="G832" s="705">
        <f>SUM(G833:G837)</f>
        <v>0</v>
      </c>
      <c r="H832" s="705">
        <f>G832+F832</f>
        <v>0</v>
      </c>
      <c r="I832" s="705">
        <f>SUM(I833:I837)</f>
        <v>0</v>
      </c>
      <c r="J832" s="705">
        <f>SUM(J833:J837)</f>
        <v>0</v>
      </c>
      <c r="K832" s="705">
        <f>J832+I832</f>
        <v>0</v>
      </c>
      <c r="L832" s="705">
        <f>SUM(L833:L837)</f>
        <v>2500000</v>
      </c>
      <c r="M832" s="705">
        <f>SUM(M833:M837)</f>
        <v>0</v>
      </c>
      <c r="N832" s="705">
        <f>M832+L832</f>
        <v>2500000</v>
      </c>
      <c r="O832" s="1370">
        <f>N832+K832+H832</f>
        <v>2500000</v>
      </c>
      <c r="P832" s="829"/>
      <c r="Q832" s="1581"/>
      <c r="R832" s="1581"/>
      <c r="S832" s="1581"/>
      <c r="T832" s="1581"/>
      <c r="U832" s="1581"/>
      <c r="V832" s="1581"/>
      <c r="W832" s="1581"/>
      <c r="X832" s="1581"/>
      <c r="Y832" s="1581"/>
      <c r="Z832" s="1581"/>
      <c r="AA832" s="1581"/>
      <c r="AB832" s="1581"/>
      <c r="AC832" s="1581"/>
      <c r="AD832" s="1581"/>
      <c r="AE832" s="1581"/>
      <c r="AF832" s="1581"/>
      <c r="AG832" s="1581"/>
      <c r="AH832" s="1581"/>
      <c r="AI832" s="1581"/>
      <c r="AJ832" s="1581"/>
      <c r="AK832" s="1581"/>
      <c r="AL832" s="1581"/>
      <c r="AM832" s="1581"/>
      <c r="AN832" s="1581"/>
      <c r="AO832" s="1581"/>
      <c r="AP832" s="1581"/>
      <c r="AQ832" s="1581"/>
      <c r="AR832" s="1581"/>
      <c r="AS832" s="1581"/>
      <c r="AT832" s="1581"/>
      <c r="AU832" s="1581"/>
      <c r="AV832" s="1581"/>
      <c r="AW832" s="1581"/>
      <c r="AX832" s="1581"/>
      <c r="AY832" s="1581"/>
      <c r="AZ832" s="1581"/>
      <c r="BA832" s="1581"/>
      <c r="BB832" s="1581"/>
      <c r="BC832" s="1581"/>
      <c r="BD832" s="1581"/>
      <c r="BE832" s="1581"/>
      <c r="BF832" s="1581"/>
      <c r="BG832" s="1581"/>
      <c r="BH832" s="1581"/>
      <c r="BI832" s="1581"/>
      <c r="BJ832" s="1581"/>
      <c r="BK832" s="1581"/>
      <c r="BL832" s="1581"/>
      <c r="BM832" s="1581"/>
      <c r="BN832" s="1581"/>
      <c r="BO832" s="1581"/>
      <c r="BP832" s="1581"/>
      <c r="BQ832" s="1581"/>
      <c r="BR832" s="1581"/>
      <c r="BS832" s="1581"/>
      <c r="BT832" s="1581"/>
      <c r="BU832" s="1581"/>
      <c r="BV832" s="1581"/>
      <c r="BW832" s="1581"/>
      <c r="BX832" s="1581"/>
      <c r="BY832" s="1581"/>
      <c r="BZ832" s="1581"/>
      <c r="CA832" s="1581"/>
      <c r="CB832" s="1581"/>
      <c r="CC832" s="1581"/>
      <c r="CD832" s="1581"/>
      <c r="CE832" s="1581"/>
      <c r="CF832" s="1581"/>
      <c r="CG832" s="1581"/>
      <c r="CH832" s="1581"/>
      <c r="CI832" s="1581"/>
      <c r="CJ832" s="1581"/>
      <c r="CK832" s="1581"/>
    </row>
    <row r="833" spans="1:16" ht="17.25" customHeight="1" x14ac:dyDescent="0.25">
      <c r="A833" s="692">
        <v>1</v>
      </c>
      <c r="B833" s="744" t="s">
        <v>625</v>
      </c>
      <c r="C833" s="693">
        <v>1</v>
      </c>
      <c r="D833" s="727" t="s">
        <v>16</v>
      </c>
      <c r="E833" s="695">
        <v>1500000</v>
      </c>
      <c r="F833" s="695"/>
      <c r="G833" s="695"/>
      <c r="H833" s="695"/>
      <c r="I833" s="695"/>
      <c r="J833" s="695"/>
      <c r="K833" s="695"/>
      <c r="L833" s="695">
        <f>E833*C833</f>
        <v>1500000</v>
      </c>
      <c r="M833" s="695"/>
      <c r="N833" s="695">
        <f>L833+M833</f>
        <v>1500000</v>
      </c>
      <c r="O833" s="696">
        <f>N833+K833+H833</f>
        <v>1500000</v>
      </c>
      <c r="P833" s="687"/>
    </row>
    <row r="834" spans="1:16" ht="17.25" customHeight="1" x14ac:dyDescent="0.25">
      <c r="A834" s="692">
        <v>2</v>
      </c>
      <c r="B834" s="904" t="s">
        <v>626</v>
      </c>
      <c r="C834" s="1433">
        <v>0</v>
      </c>
      <c r="D834" s="880" t="s">
        <v>16</v>
      </c>
      <c r="E834" s="1434">
        <v>2667313</v>
      </c>
      <c r="F834" s="695"/>
      <c r="G834" s="695"/>
      <c r="H834" s="695"/>
      <c r="I834" s="695"/>
      <c r="J834" s="695"/>
      <c r="K834" s="695"/>
      <c r="L834" s="695">
        <f>C834*E834</f>
        <v>0</v>
      </c>
      <c r="M834" s="695"/>
      <c r="N834" s="695">
        <f>L834+M834</f>
        <v>0</v>
      </c>
      <c r="O834" s="696">
        <f>N834+K834+H834</f>
        <v>0</v>
      </c>
      <c r="P834" s="687"/>
    </row>
    <row r="835" spans="1:16" ht="17.25" customHeight="1" x14ac:dyDescent="0.25">
      <c r="A835" s="692"/>
      <c r="B835" s="904"/>
      <c r="C835" s="1433"/>
      <c r="D835" s="880"/>
      <c r="E835" s="1434"/>
      <c r="F835" s="695"/>
      <c r="G835" s="695"/>
      <c r="H835" s="695"/>
      <c r="I835" s="695"/>
      <c r="J835" s="695"/>
      <c r="K835" s="695"/>
      <c r="L835" s="695"/>
      <c r="M835" s="695"/>
      <c r="N835" s="695"/>
      <c r="O835" s="696"/>
      <c r="P835" s="687"/>
    </row>
    <row r="836" spans="1:16" ht="17.25" customHeight="1" x14ac:dyDescent="0.25">
      <c r="A836" s="740"/>
      <c r="B836" s="1368" t="s">
        <v>127</v>
      </c>
      <c r="C836" s="828"/>
      <c r="D836" s="1369"/>
      <c r="E836" s="705"/>
      <c r="F836" s="705">
        <f>F837</f>
        <v>0</v>
      </c>
      <c r="G836" s="705">
        <f>G837</f>
        <v>0</v>
      </c>
      <c r="H836" s="705">
        <f>G836+F836</f>
        <v>0</v>
      </c>
      <c r="I836" s="705"/>
      <c r="J836" s="705"/>
      <c r="K836" s="705"/>
      <c r="L836" s="705"/>
      <c r="M836" s="705"/>
      <c r="N836" s="705"/>
      <c r="O836" s="1370"/>
      <c r="P836" s="829"/>
    </row>
    <row r="837" spans="1:16" ht="40.5" customHeight="1" x14ac:dyDescent="0.25">
      <c r="A837" s="692">
        <v>1</v>
      </c>
      <c r="B837" s="1237" t="s">
        <v>128</v>
      </c>
      <c r="C837" s="693">
        <v>1</v>
      </c>
      <c r="D837" s="727" t="s">
        <v>60</v>
      </c>
      <c r="E837" s="695">
        <v>1000000</v>
      </c>
      <c r="F837" s="695"/>
      <c r="G837" s="695"/>
      <c r="H837" s="695"/>
      <c r="I837" s="695"/>
      <c r="J837" s="695"/>
      <c r="K837" s="695"/>
      <c r="L837" s="695">
        <f>C837*E837</f>
        <v>1000000</v>
      </c>
      <c r="M837" s="695"/>
      <c r="N837" s="695">
        <f>L837+M837</f>
        <v>1000000</v>
      </c>
      <c r="O837" s="696">
        <f>N837+K837+H837</f>
        <v>1000000</v>
      </c>
      <c r="P837" s="687"/>
    </row>
    <row r="838" spans="1:16" ht="21.75" customHeight="1" x14ac:dyDescent="0.25">
      <c r="A838" s="692"/>
      <c r="B838" s="1237"/>
      <c r="C838" s="693"/>
      <c r="D838" s="727"/>
      <c r="E838" s="695"/>
      <c r="F838" s="695"/>
      <c r="G838" s="695"/>
      <c r="H838" s="695"/>
      <c r="I838" s="695"/>
      <c r="J838" s="695"/>
      <c r="K838" s="695"/>
      <c r="L838" s="695"/>
      <c r="M838" s="695"/>
      <c r="N838" s="695"/>
      <c r="O838" s="696"/>
      <c r="P838" s="687"/>
    </row>
    <row r="839" spans="1:16" ht="17.25" customHeight="1" x14ac:dyDescent="0.25">
      <c r="A839" s="740" t="s">
        <v>28</v>
      </c>
      <c r="B839" s="1368" t="s">
        <v>29</v>
      </c>
      <c r="C839" s="828"/>
      <c r="D839" s="1369"/>
      <c r="E839" s="705"/>
      <c r="F839" s="705">
        <f>SUM(F842:F867)</f>
        <v>0</v>
      </c>
      <c r="G839" s="705">
        <f>SUM(G842:G867)</f>
        <v>0</v>
      </c>
      <c r="H839" s="705">
        <f>F839+G839</f>
        <v>0</v>
      </c>
      <c r="I839" s="705">
        <f>SUM(I842:I867)</f>
        <v>0</v>
      </c>
      <c r="J839" s="705">
        <f>SUM(J842:J867)</f>
        <v>595400</v>
      </c>
      <c r="K839" s="705">
        <f>I839+J839</f>
        <v>595400</v>
      </c>
      <c r="L839" s="705">
        <f>SUM(L842:L867)</f>
        <v>0</v>
      </c>
      <c r="M839" s="705">
        <f>SUM(M842:M867)</f>
        <v>0</v>
      </c>
      <c r="N839" s="705">
        <f>L839+M839</f>
        <v>0</v>
      </c>
      <c r="O839" s="1370">
        <f>N839+K839+H839</f>
        <v>595400</v>
      </c>
      <c r="P839" s="829"/>
    </row>
    <row r="840" spans="1:16" ht="17.25" customHeight="1" x14ac:dyDescent="0.25">
      <c r="A840" s="692"/>
      <c r="B840" s="1248"/>
      <c r="C840" s="693"/>
      <c r="D840" s="727"/>
      <c r="E840" s="695"/>
      <c r="F840" s="695"/>
      <c r="G840" s="695"/>
      <c r="H840" s="695"/>
      <c r="I840" s="695"/>
      <c r="J840" s="695"/>
      <c r="K840" s="695"/>
      <c r="L840" s="695"/>
      <c r="M840" s="695"/>
      <c r="N840" s="695"/>
      <c r="O840" s="696"/>
      <c r="P840" s="687"/>
    </row>
    <row r="841" spans="1:16" ht="17.25" customHeight="1" x14ac:dyDescent="0.25">
      <c r="A841" s="692">
        <v>1</v>
      </c>
      <c r="B841" s="1237" t="s">
        <v>19</v>
      </c>
      <c r="C841" s="693"/>
      <c r="D841" s="727"/>
      <c r="E841" s="695"/>
      <c r="F841" s="695"/>
      <c r="G841" s="695"/>
      <c r="H841" s="695"/>
      <c r="I841" s="695"/>
      <c r="J841" s="695"/>
      <c r="K841" s="695"/>
      <c r="L841" s="695"/>
      <c r="M841" s="695"/>
      <c r="N841" s="695"/>
      <c r="O841" s="696">
        <f>N841+K841+H841</f>
        <v>0</v>
      </c>
      <c r="P841" s="687"/>
    </row>
    <row r="842" spans="1:16" ht="17.25" customHeight="1" x14ac:dyDescent="0.25">
      <c r="A842" s="692"/>
      <c r="B842" s="1237" t="s">
        <v>30</v>
      </c>
      <c r="C842" s="693">
        <v>12</v>
      </c>
      <c r="D842" s="727" t="s">
        <v>20</v>
      </c>
      <c r="E842" s="695">
        <v>1080</v>
      </c>
      <c r="F842" s="695"/>
      <c r="G842" s="695"/>
      <c r="H842" s="695"/>
      <c r="I842" s="695"/>
      <c r="J842" s="695">
        <f>C842*E842</f>
        <v>12960</v>
      </c>
      <c r="K842" s="695">
        <f>I842+J842</f>
        <v>12960</v>
      </c>
      <c r="L842" s="695"/>
      <c r="M842" s="695"/>
      <c r="N842" s="695"/>
      <c r="O842" s="696">
        <f t="shared" ref="O842:O865" si="67">N842+K842+H842</f>
        <v>12960</v>
      </c>
      <c r="P842" s="687"/>
    </row>
    <row r="843" spans="1:16" ht="17.25" customHeight="1" x14ac:dyDescent="0.25">
      <c r="A843" s="692"/>
      <c r="B843" s="1237" t="s">
        <v>31</v>
      </c>
      <c r="C843" s="693">
        <v>12</v>
      </c>
      <c r="D843" s="727" t="s">
        <v>20</v>
      </c>
      <c r="E843" s="695">
        <v>855</v>
      </c>
      <c r="F843" s="695"/>
      <c r="G843" s="695"/>
      <c r="H843" s="695"/>
      <c r="I843" s="695"/>
      <c r="J843" s="695">
        <f>C843*E843</f>
        <v>10260</v>
      </c>
      <c r="K843" s="695">
        <f>I843+J843</f>
        <v>10260</v>
      </c>
      <c r="L843" s="695"/>
      <c r="M843" s="695"/>
      <c r="N843" s="695"/>
      <c r="O843" s="696">
        <f t="shared" si="67"/>
        <v>10260</v>
      </c>
      <c r="P843" s="687"/>
    </row>
    <row r="844" spans="1:16" ht="17.25" customHeight="1" x14ac:dyDescent="0.25">
      <c r="A844" s="692"/>
      <c r="B844" s="1237" t="s">
        <v>32</v>
      </c>
      <c r="C844" s="693">
        <v>12</v>
      </c>
      <c r="D844" s="727" t="s">
        <v>20</v>
      </c>
      <c r="E844" s="695">
        <v>740</v>
      </c>
      <c r="F844" s="695"/>
      <c r="G844" s="695"/>
      <c r="H844" s="695"/>
      <c r="I844" s="695"/>
      <c r="J844" s="695">
        <f>C844*E844</f>
        <v>8880</v>
      </c>
      <c r="K844" s="695">
        <f>I844+J844</f>
        <v>8880</v>
      </c>
      <c r="L844" s="695"/>
      <c r="M844" s="695"/>
      <c r="N844" s="695"/>
      <c r="O844" s="696">
        <f t="shared" si="67"/>
        <v>8880</v>
      </c>
      <c r="P844" s="687"/>
    </row>
    <row r="845" spans="1:16" ht="17.25" customHeight="1" x14ac:dyDescent="0.25">
      <c r="A845" s="692"/>
      <c r="B845" s="1237" t="s">
        <v>33</v>
      </c>
      <c r="C845" s="693">
        <v>60</v>
      </c>
      <c r="D845" s="727" t="s">
        <v>20</v>
      </c>
      <c r="E845" s="695">
        <v>545</v>
      </c>
      <c r="F845" s="695"/>
      <c r="G845" s="695"/>
      <c r="H845" s="695"/>
      <c r="I845" s="695"/>
      <c r="J845" s="695">
        <f>C845*E845</f>
        <v>32700</v>
      </c>
      <c r="K845" s="695">
        <f>I845+J845</f>
        <v>32700</v>
      </c>
      <c r="L845" s="695"/>
      <c r="M845" s="695"/>
      <c r="N845" s="695"/>
      <c r="O845" s="696">
        <f t="shared" si="67"/>
        <v>32700</v>
      </c>
      <c r="P845" s="687"/>
    </row>
    <row r="846" spans="1:16" ht="17.25" customHeight="1" x14ac:dyDescent="0.25">
      <c r="A846" s="692"/>
      <c r="B846" s="1237" t="s">
        <v>34</v>
      </c>
      <c r="C846" s="693"/>
      <c r="D846" s="727"/>
      <c r="E846" s="695"/>
      <c r="F846" s="695"/>
      <c r="G846" s="695"/>
      <c r="H846" s="695"/>
      <c r="I846" s="695"/>
      <c r="J846" s="695"/>
      <c r="K846" s="695"/>
      <c r="L846" s="695"/>
      <c r="M846" s="695"/>
      <c r="N846" s="695"/>
      <c r="O846" s="696">
        <f t="shared" si="67"/>
        <v>0</v>
      </c>
      <c r="P846" s="687"/>
    </row>
    <row r="847" spans="1:16" ht="17.25" customHeight="1" x14ac:dyDescent="0.25">
      <c r="A847" s="692"/>
      <c r="B847" s="1237" t="s">
        <v>35</v>
      </c>
      <c r="C847" s="693">
        <v>12</v>
      </c>
      <c r="D847" s="727" t="s">
        <v>20</v>
      </c>
      <c r="E847" s="695">
        <v>400</v>
      </c>
      <c r="F847" s="695"/>
      <c r="G847" s="695"/>
      <c r="H847" s="695"/>
      <c r="I847" s="695"/>
      <c r="J847" s="695">
        <f t="shared" ref="J847:J852" si="68">C847*E847</f>
        <v>4800</v>
      </c>
      <c r="K847" s="695">
        <f t="shared" ref="K847:K852" si="69">I847+J847</f>
        <v>4800</v>
      </c>
      <c r="L847" s="695"/>
      <c r="M847" s="695"/>
      <c r="N847" s="695"/>
      <c r="O847" s="696">
        <f t="shared" si="67"/>
        <v>4800</v>
      </c>
      <c r="P847" s="687"/>
    </row>
    <row r="848" spans="1:16" ht="17.25" customHeight="1" x14ac:dyDescent="0.25">
      <c r="A848" s="692"/>
      <c r="B848" s="1237" t="s">
        <v>36</v>
      </c>
      <c r="C848" s="693">
        <v>36</v>
      </c>
      <c r="D848" s="727" t="s">
        <v>20</v>
      </c>
      <c r="E848" s="695">
        <v>300</v>
      </c>
      <c r="F848" s="695"/>
      <c r="G848" s="695"/>
      <c r="H848" s="695"/>
      <c r="I848" s="695"/>
      <c r="J848" s="695">
        <f t="shared" si="68"/>
        <v>10800</v>
      </c>
      <c r="K848" s="695">
        <f t="shared" si="69"/>
        <v>10800</v>
      </c>
      <c r="L848" s="695"/>
      <c r="M848" s="695"/>
      <c r="N848" s="695"/>
      <c r="O848" s="696">
        <f t="shared" si="67"/>
        <v>10800</v>
      </c>
      <c r="P848" s="687"/>
    </row>
    <row r="849" spans="1:16" ht="17.25" customHeight="1" x14ac:dyDescent="0.25">
      <c r="A849" s="692"/>
      <c r="B849" s="1237" t="s">
        <v>38</v>
      </c>
      <c r="C849" s="693">
        <v>1</v>
      </c>
      <c r="D849" s="727" t="s">
        <v>25</v>
      </c>
      <c r="E849" s="695">
        <v>32200</v>
      </c>
      <c r="F849" s="695"/>
      <c r="G849" s="695"/>
      <c r="H849" s="695"/>
      <c r="I849" s="695"/>
      <c r="J849" s="695">
        <f t="shared" si="68"/>
        <v>32200</v>
      </c>
      <c r="K849" s="695">
        <f t="shared" si="69"/>
        <v>32200</v>
      </c>
      <c r="L849" s="695"/>
      <c r="M849" s="695"/>
      <c r="N849" s="695"/>
      <c r="O849" s="696">
        <f t="shared" si="67"/>
        <v>32200</v>
      </c>
      <c r="P849" s="687"/>
    </row>
    <row r="850" spans="1:16" ht="17.25" customHeight="1" x14ac:dyDescent="0.25">
      <c r="A850" s="692"/>
      <c r="B850" s="1241" t="s">
        <v>39</v>
      </c>
      <c r="C850" s="693">
        <v>1</v>
      </c>
      <c r="D850" s="727" t="s">
        <v>25</v>
      </c>
      <c r="E850" s="695">
        <v>4600</v>
      </c>
      <c r="F850" s="695"/>
      <c r="G850" s="695"/>
      <c r="H850" s="695"/>
      <c r="I850" s="695"/>
      <c r="J850" s="695">
        <f t="shared" si="68"/>
        <v>4600</v>
      </c>
      <c r="K850" s="695">
        <f t="shared" si="69"/>
        <v>4600</v>
      </c>
      <c r="L850" s="695"/>
      <c r="M850" s="695"/>
      <c r="N850" s="695"/>
      <c r="O850" s="696">
        <f t="shared" si="67"/>
        <v>4600</v>
      </c>
      <c r="P850" s="687"/>
    </row>
    <row r="851" spans="1:16" ht="17.25" customHeight="1" x14ac:dyDescent="0.25">
      <c r="A851" s="692"/>
      <c r="B851" s="1237" t="s">
        <v>38</v>
      </c>
      <c r="C851" s="693">
        <v>12</v>
      </c>
      <c r="D851" s="727" t="s">
        <v>45</v>
      </c>
      <c r="E851" s="695">
        <v>1800</v>
      </c>
      <c r="F851" s="695"/>
      <c r="G851" s="695"/>
      <c r="H851" s="695"/>
      <c r="I851" s="695"/>
      <c r="J851" s="695">
        <f t="shared" si="68"/>
        <v>21600</v>
      </c>
      <c r="K851" s="695">
        <f t="shared" si="69"/>
        <v>21600</v>
      </c>
      <c r="L851" s="695"/>
      <c r="M851" s="695"/>
      <c r="N851" s="695"/>
      <c r="O851" s="696">
        <f t="shared" si="67"/>
        <v>21600</v>
      </c>
      <c r="P851" s="687"/>
    </row>
    <row r="852" spans="1:16" ht="17.25" customHeight="1" x14ac:dyDescent="0.25">
      <c r="A852" s="692"/>
      <c r="B852" s="1241" t="s">
        <v>39</v>
      </c>
      <c r="C852" s="693">
        <v>12</v>
      </c>
      <c r="D852" s="727" t="s">
        <v>45</v>
      </c>
      <c r="E852" s="695">
        <v>1500</v>
      </c>
      <c r="F852" s="695"/>
      <c r="G852" s="695"/>
      <c r="H852" s="695"/>
      <c r="I852" s="695"/>
      <c r="J852" s="695">
        <f t="shared" si="68"/>
        <v>18000</v>
      </c>
      <c r="K852" s="695">
        <f t="shared" si="69"/>
        <v>18000</v>
      </c>
      <c r="L852" s="695"/>
      <c r="M852" s="695"/>
      <c r="N852" s="695"/>
      <c r="O852" s="696">
        <f t="shared" si="67"/>
        <v>18000</v>
      </c>
      <c r="P852" s="687"/>
    </row>
    <row r="853" spans="1:16" ht="17.25" customHeight="1" x14ac:dyDescent="0.25">
      <c r="A853" s="692"/>
      <c r="B853" s="1241"/>
      <c r="C853" s="693"/>
      <c r="D853" s="727"/>
      <c r="E853" s="695"/>
      <c r="F853" s="695"/>
      <c r="G853" s="695"/>
      <c r="H853" s="695"/>
      <c r="I853" s="695"/>
      <c r="J853" s="695"/>
      <c r="K853" s="695"/>
      <c r="L853" s="695"/>
      <c r="M853" s="695"/>
      <c r="N853" s="695"/>
      <c r="O853" s="696"/>
      <c r="P853" s="687"/>
    </row>
    <row r="854" spans="1:16" ht="17.25" customHeight="1" x14ac:dyDescent="0.25">
      <c r="A854" s="692">
        <v>2</v>
      </c>
      <c r="B854" s="1237" t="s">
        <v>40</v>
      </c>
      <c r="C854" s="693"/>
      <c r="D854" s="727"/>
      <c r="E854" s="695"/>
      <c r="F854" s="695"/>
      <c r="G854" s="695"/>
      <c r="H854" s="695"/>
      <c r="I854" s="695"/>
      <c r="J854" s="695"/>
      <c r="K854" s="695"/>
      <c r="L854" s="695"/>
      <c r="M854" s="695"/>
      <c r="N854" s="695"/>
      <c r="O854" s="696">
        <f t="shared" si="67"/>
        <v>0</v>
      </c>
      <c r="P854" s="687"/>
    </row>
    <row r="855" spans="1:16" ht="17.25" customHeight="1" x14ac:dyDescent="0.25">
      <c r="A855" s="692"/>
      <c r="B855" s="1237" t="s">
        <v>41</v>
      </c>
      <c r="C855" s="693">
        <v>1</v>
      </c>
      <c r="D855" s="727" t="s">
        <v>25</v>
      </c>
      <c r="E855" s="695">
        <v>50000</v>
      </c>
      <c r="F855" s="695"/>
      <c r="G855" s="695"/>
      <c r="H855" s="695"/>
      <c r="I855" s="695"/>
      <c r="J855" s="695">
        <f>C855*E855</f>
        <v>50000</v>
      </c>
      <c r="K855" s="695">
        <f>I855+J855</f>
        <v>50000</v>
      </c>
      <c r="L855" s="695"/>
      <c r="M855" s="695"/>
      <c r="N855" s="695"/>
      <c r="O855" s="696">
        <f t="shared" si="67"/>
        <v>50000</v>
      </c>
      <c r="P855" s="687"/>
    </row>
    <row r="856" spans="1:16" ht="17.25" customHeight="1" x14ac:dyDescent="0.25">
      <c r="A856" s="692"/>
      <c r="B856" s="1237" t="s">
        <v>42</v>
      </c>
      <c r="C856" s="693">
        <v>1</v>
      </c>
      <c r="D856" s="727" t="s">
        <v>25</v>
      </c>
      <c r="E856" s="695">
        <v>50000</v>
      </c>
      <c r="F856" s="695"/>
      <c r="G856" s="695"/>
      <c r="H856" s="695"/>
      <c r="I856" s="695"/>
      <c r="J856" s="695">
        <f>C856*E856</f>
        <v>50000</v>
      </c>
      <c r="K856" s="695">
        <f>I856+J856</f>
        <v>50000</v>
      </c>
      <c r="L856" s="695"/>
      <c r="M856" s="695"/>
      <c r="N856" s="695"/>
      <c r="O856" s="696">
        <f t="shared" si="67"/>
        <v>50000</v>
      </c>
      <c r="P856" s="687"/>
    </row>
    <row r="857" spans="1:16" ht="17.25" customHeight="1" x14ac:dyDescent="0.25">
      <c r="A857" s="692">
        <v>3</v>
      </c>
      <c r="B857" s="1237" t="s">
        <v>43</v>
      </c>
      <c r="C857" s="693"/>
      <c r="D857" s="727"/>
      <c r="E857" s="695"/>
      <c r="F857" s="695"/>
      <c r="G857" s="695"/>
      <c r="H857" s="695"/>
      <c r="I857" s="695"/>
      <c r="J857" s="695"/>
      <c r="K857" s="695"/>
      <c r="L857" s="695"/>
      <c r="M857" s="695"/>
      <c r="N857" s="695"/>
      <c r="O857" s="696">
        <f t="shared" si="67"/>
        <v>0</v>
      </c>
      <c r="P857" s="687"/>
    </row>
    <row r="858" spans="1:16" ht="17.25" customHeight="1" x14ac:dyDescent="0.25">
      <c r="A858" s="692"/>
      <c r="B858" s="1237" t="s">
        <v>44</v>
      </c>
      <c r="C858" s="693">
        <v>12</v>
      </c>
      <c r="D858" s="727" t="s">
        <v>45</v>
      </c>
      <c r="E858" s="695">
        <v>6500</v>
      </c>
      <c r="F858" s="714"/>
      <c r="G858" s="714"/>
      <c r="H858" s="714"/>
      <c r="I858" s="714"/>
      <c r="J858" s="695">
        <f>C858*E858</f>
        <v>78000</v>
      </c>
      <c r="K858" s="695">
        <f>I858+J858</f>
        <v>78000</v>
      </c>
      <c r="L858" s="714"/>
      <c r="M858" s="714"/>
      <c r="N858" s="714"/>
      <c r="O858" s="696">
        <f t="shared" si="67"/>
        <v>78000</v>
      </c>
      <c r="P858" s="687"/>
    </row>
    <row r="859" spans="1:16" ht="17.25" hidden="1" customHeight="1" x14ac:dyDescent="0.25">
      <c r="A859" s="692"/>
      <c r="B859" s="1241" t="s">
        <v>627</v>
      </c>
      <c r="C859" s="693">
        <v>0</v>
      </c>
      <c r="D859" s="727" t="s">
        <v>25</v>
      </c>
      <c r="E859" s="695">
        <v>100000</v>
      </c>
      <c r="F859" s="714"/>
      <c r="G859" s="714"/>
      <c r="H859" s="714"/>
      <c r="I859" s="714"/>
      <c r="J859" s="695">
        <f>C859*E859</f>
        <v>0</v>
      </c>
      <c r="K859" s="695">
        <f>I859+J859</f>
        <v>0</v>
      </c>
      <c r="L859" s="714"/>
      <c r="M859" s="714"/>
      <c r="N859" s="714"/>
      <c r="O859" s="696">
        <f t="shared" si="67"/>
        <v>0</v>
      </c>
      <c r="P859" s="687"/>
    </row>
    <row r="860" spans="1:16" ht="17.25" customHeight="1" x14ac:dyDescent="0.25">
      <c r="A860" s="692"/>
      <c r="B860" s="1237"/>
      <c r="C860" s="693"/>
      <c r="D860" s="727"/>
      <c r="E860" s="695"/>
      <c r="F860" s="714"/>
      <c r="G860" s="714"/>
      <c r="H860" s="714"/>
      <c r="I860" s="714"/>
      <c r="J860" s="695"/>
      <c r="K860" s="695"/>
      <c r="L860" s="714"/>
      <c r="M860" s="714"/>
      <c r="N860" s="714"/>
      <c r="O860" s="696">
        <f t="shared" si="67"/>
        <v>0</v>
      </c>
      <c r="P860" s="687"/>
    </row>
    <row r="861" spans="1:16" ht="17.25" customHeight="1" x14ac:dyDescent="0.25">
      <c r="A861" s="692">
        <v>4</v>
      </c>
      <c r="B861" s="1237" t="s">
        <v>48</v>
      </c>
      <c r="C861" s="693"/>
      <c r="D861" s="727"/>
      <c r="E861" s="695" t="s">
        <v>49</v>
      </c>
      <c r="F861" s="695"/>
      <c r="G861" s="695"/>
      <c r="H861" s="695"/>
      <c r="I861" s="695"/>
      <c r="J861" s="695"/>
      <c r="K861" s="695">
        <f>J861+I861</f>
        <v>0</v>
      </c>
      <c r="L861" s="695"/>
      <c r="M861" s="695"/>
      <c r="N861" s="695"/>
      <c r="O861" s="696">
        <f t="shared" si="67"/>
        <v>0</v>
      </c>
      <c r="P861" s="687"/>
    </row>
    <row r="862" spans="1:16" ht="17.25" customHeight="1" x14ac:dyDescent="0.25">
      <c r="A862" s="692"/>
      <c r="B862" s="1241" t="s">
        <v>50</v>
      </c>
      <c r="C862" s="1435">
        <v>45</v>
      </c>
      <c r="D862" s="1424" t="s">
        <v>129</v>
      </c>
      <c r="E862" s="714">
        <v>3400</v>
      </c>
      <c r="F862" s="695"/>
      <c r="G862" s="695"/>
      <c r="H862" s="695"/>
      <c r="I862" s="695"/>
      <c r="J862" s="695">
        <f>C862*E862</f>
        <v>153000</v>
      </c>
      <c r="K862" s="695">
        <f>I862+J862</f>
        <v>153000</v>
      </c>
      <c r="L862" s="695"/>
      <c r="M862" s="695"/>
      <c r="N862" s="695"/>
      <c r="O862" s="696">
        <f t="shared" si="67"/>
        <v>153000</v>
      </c>
      <c r="P862" s="687"/>
    </row>
    <row r="863" spans="1:16" ht="17.25" customHeight="1" x14ac:dyDescent="0.25">
      <c r="A863" s="692"/>
      <c r="B863" s="1237" t="s">
        <v>52</v>
      </c>
      <c r="C863" s="1435">
        <v>88</v>
      </c>
      <c r="D863" s="1424" t="s">
        <v>130</v>
      </c>
      <c r="E863" s="714">
        <v>450</v>
      </c>
      <c r="F863" s="695"/>
      <c r="G863" s="695"/>
      <c r="H863" s="695"/>
      <c r="I863" s="695"/>
      <c r="J863" s="695">
        <f>C863*E863</f>
        <v>39600</v>
      </c>
      <c r="K863" s="695">
        <f>I863+J863</f>
        <v>39600</v>
      </c>
      <c r="L863" s="695"/>
      <c r="M863" s="695"/>
      <c r="N863" s="695"/>
      <c r="O863" s="696">
        <f t="shared" si="67"/>
        <v>39600</v>
      </c>
      <c r="P863" s="687"/>
    </row>
    <row r="864" spans="1:16" ht="17.25" customHeight="1" x14ac:dyDescent="0.25">
      <c r="A864" s="692"/>
      <c r="B864" s="1237" t="s">
        <v>54</v>
      </c>
      <c r="C864" s="1435">
        <v>80</v>
      </c>
      <c r="D864" s="1424" t="s">
        <v>131</v>
      </c>
      <c r="E864" s="714">
        <v>450</v>
      </c>
      <c r="F864" s="695"/>
      <c r="G864" s="695"/>
      <c r="H864" s="695"/>
      <c r="I864" s="695"/>
      <c r="J864" s="695">
        <f>C864*E864</f>
        <v>36000</v>
      </c>
      <c r="K864" s="695">
        <f>I864+J864</f>
        <v>36000</v>
      </c>
      <c r="L864" s="695"/>
      <c r="M864" s="695"/>
      <c r="N864" s="695"/>
      <c r="O864" s="696">
        <f t="shared" si="67"/>
        <v>36000</v>
      </c>
      <c r="P864" s="687"/>
    </row>
    <row r="865" spans="1:89" ht="17.25" customHeight="1" x14ac:dyDescent="0.25">
      <c r="A865" s="692"/>
      <c r="B865" s="1241" t="s">
        <v>56</v>
      </c>
      <c r="C865" s="1435">
        <v>80</v>
      </c>
      <c r="D865" s="1424" t="s">
        <v>131</v>
      </c>
      <c r="E865" s="714">
        <v>400</v>
      </c>
      <c r="F865" s="695"/>
      <c r="G865" s="695"/>
      <c r="H865" s="695"/>
      <c r="I865" s="695"/>
      <c r="J865" s="695">
        <f>C865*E865</f>
        <v>32000</v>
      </c>
      <c r="K865" s="695">
        <f>I865+J865</f>
        <v>32000</v>
      </c>
      <c r="L865" s="695"/>
      <c r="M865" s="695"/>
      <c r="N865" s="695"/>
      <c r="O865" s="696">
        <f t="shared" si="67"/>
        <v>32000</v>
      </c>
      <c r="P865" s="687"/>
    </row>
    <row r="866" spans="1:89" ht="17.25" hidden="1" customHeight="1" x14ac:dyDescent="0.25">
      <c r="A866" s="692">
        <v>6</v>
      </c>
      <c r="B866" s="1436" t="s">
        <v>57</v>
      </c>
      <c r="C866" s="699"/>
      <c r="D866" s="739"/>
      <c r="E866" s="695"/>
      <c r="F866" s="695"/>
      <c r="G866" s="695"/>
      <c r="H866" s="695"/>
      <c r="I866" s="695"/>
      <c r="J866" s="695"/>
      <c r="K866" s="695"/>
      <c r="L866" s="695"/>
      <c r="M866" s="695"/>
      <c r="N866" s="695"/>
      <c r="O866" s="696">
        <f>N866+K866+H866</f>
        <v>0</v>
      </c>
      <c r="P866" s="687"/>
    </row>
    <row r="867" spans="1:89" ht="17.25" hidden="1" customHeight="1" x14ac:dyDescent="0.25">
      <c r="A867" s="742"/>
      <c r="B867" s="756" t="s">
        <v>58</v>
      </c>
      <c r="C867" s="713">
        <v>0</v>
      </c>
      <c r="D867" s="880" t="s">
        <v>16</v>
      </c>
      <c r="E867" s="714">
        <v>18000</v>
      </c>
      <c r="F867" s="714"/>
      <c r="G867" s="714"/>
      <c r="H867" s="714"/>
      <c r="I867" s="714"/>
      <c r="J867" s="714"/>
      <c r="K867" s="714"/>
      <c r="L867" s="714">
        <f>C867*E867</f>
        <v>0</v>
      </c>
      <c r="M867" s="714"/>
      <c r="N867" s="714">
        <f>L867+M867</f>
        <v>0</v>
      </c>
      <c r="O867" s="753">
        <f>N867+K867+H867</f>
        <v>0</v>
      </c>
      <c r="P867" s="754"/>
    </row>
    <row r="868" spans="1:89" ht="17.25" customHeight="1" x14ac:dyDescent="0.25">
      <c r="A868" s="820"/>
      <c r="B868" s="856"/>
      <c r="C868" s="830"/>
      <c r="D868" s="720"/>
      <c r="E868" s="821"/>
      <c r="F868" s="821"/>
      <c r="G868" s="821"/>
      <c r="H868" s="821"/>
      <c r="I868" s="821"/>
      <c r="J868" s="821"/>
      <c r="K868" s="821"/>
      <c r="L868" s="821"/>
      <c r="M868" s="821"/>
      <c r="N868" s="821"/>
      <c r="O868" s="822"/>
      <c r="P868" s="687"/>
    </row>
    <row r="869" spans="1:89" ht="26.25" customHeight="1" x14ac:dyDescent="0.25">
      <c r="A869" s="1210">
        <v>17</v>
      </c>
      <c r="B869" s="1211" t="s">
        <v>132</v>
      </c>
      <c r="C869" s="1212"/>
      <c r="D869" s="1213"/>
      <c r="E869" s="1214"/>
      <c r="F869" s="1214">
        <f>F871+F878+F893</f>
        <v>0</v>
      </c>
      <c r="G869" s="1214">
        <f>G871+G878+G893</f>
        <v>0</v>
      </c>
      <c r="H869" s="1214">
        <f>G869+F869</f>
        <v>0</v>
      </c>
      <c r="I869" s="1214">
        <f>I871+I878+I893</f>
        <v>0</v>
      </c>
      <c r="J869" s="1214">
        <f>J871+J878+J893</f>
        <v>3321500</v>
      </c>
      <c r="K869" s="1214">
        <f>J869+I869</f>
        <v>3321500</v>
      </c>
      <c r="L869" s="1214">
        <f>L871+L878+L893</f>
        <v>6400700</v>
      </c>
      <c r="M869" s="1214">
        <f>M871+M878+M893</f>
        <v>0</v>
      </c>
      <c r="N869" s="1214">
        <f>M869+L869</f>
        <v>6400700</v>
      </c>
      <c r="O869" s="1215">
        <f>N869+K869+H869</f>
        <v>9722200</v>
      </c>
      <c r="P869" s="680"/>
    </row>
    <row r="870" spans="1:89" ht="17.25" customHeight="1" x14ac:dyDescent="0.25">
      <c r="A870" s="681"/>
      <c r="B870" s="876"/>
      <c r="C870" s="682"/>
      <c r="D870" s="683"/>
      <c r="E870" s="685"/>
      <c r="F870" s="685"/>
      <c r="G870" s="685"/>
      <c r="H870" s="685"/>
      <c r="I870" s="685"/>
      <c r="J870" s="685"/>
      <c r="K870" s="685"/>
      <c r="L870" s="685"/>
      <c r="M870" s="685"/>
      <c r="N870" s="685"/>
      <c r="O870" s="686">
        <f t="shared" ref="O870:O876" si="70">N870+K870+H870</f>
        <v>0</v>
      </c>
      <c r="P870" s="687"/>
    </row>
    <row r="871" spans="1:89" s="672" customFormat="1" ht="28.5" customHeight="1" x14ac:dyDescent="0.25">
      <c r="A871" s="740" t="s">
        <v>15</v>
      </c>
      <c r="B871" s="1372" t="s">
        <v>1156</v>
      </c>
      <c r="C871" s="828"/>
      <c r="D871" s="1369"/>
      <c r="E871" s="705"/>
      <c r="F871" s="705">
        <f>SUM(F872:F876)</f>
        <v>0</v>
      </c>
      <c r="G871" s="705">
        <f>SUM(G872:G876)</f>
        <v>0</v>
      </c>
      <c r="H871" s="705">
        <f>G871+F871</f>
        <v>0</v>
      </c>
      <c r="I871" s="705">
        <f>SUM(I872:I876)</f>
        <v>0</v>
      </c>
      <c r="J871" s="705">
        <f>SUM(J872:J876)</f>
        <v>0</v>
      </c>
      <c r="K871" s="705">
        <f>J871+I871</f>
        <v>0</v>
      </c>
      <c r="L871" s="705">
        <f>SUM(L872:L876)</f>
        <v>6400700</v>
      </c>
      <c r="M871" s="705">
        <f>SUM(M872:M876)</f>
        <v>0</v>
      </c>
      <c r="N871" s="705">
        <f>M871+L871</f>
        <v>6400700</v>
      </c>
      <c r="O871" s="1370">
        <f t="shared" si="70"/>
        <v>6400700</v>
      </c>
      <c r="P871" s="829"/>
      <c r="Q871" s="1581"/>
      <c r="R871" s="1581"/>
      <c r="S871" s="1581"/>
      <c r="T871" s="1581"/>
      <c r="U871" s="1581"/>
      <c r="V871" s="1581"/>
      <c r="W871" s="1581"/>
      <c r="X871" s="1581"/>
      <c r="Y871" s="1581"/>
      <c r="Z871" s="1581"/>
      <c r="AA871" s="1581"/>
      <c r="AB871" s="1581"/>
      <c r="AC871" s="1581"/>
      <c r="AD871" s="1581"/>
      <c r="AE871" s="1581"/>
      <c r="AF871" s="1581"/>
      <c r="AG871" s="1581"/>
      <c r="AH871" s="1581"/>
      <c r="AI871" s="1581"/>
      <c r="AJ871" s="1581"/>
      <c r="AK871" s="1581"/>
      <c r="AL871" s="1581"/>
      <c r="AM871" s="1581"/>
      <c r="AN871" s="1581"/>
      <c r="AO871" s="1581"/>
      <c r="AP871" s="1581"/>
      <c r="AQ871" s="1581"/>
      <c r="AR871" s="1581"/>
      <c r="AS871" s="1581"/>
      <c r="AT871" s="1581"/>
      <c r="AU871" s="1581"/>
      <c r="AV871" s="1581"/>
      <c r="AW871" s="1581"/>
      <c r="AX871" s="1581"/>
      <c r="AY871" s="1581"/>
      <c r="AZ871" s="1581"/>
      <c r="BA871" s="1581"/>
      <c r="BB871" s="1581"/>
      <c r="BC871" s="1581"/>
      <c r="BD871" s="1581"/>
      <c r="BE871" s="1581"/>
      <c r="BF871" s="1581"/>
      <c r="BG871" s="1581"/>
      <c r="BH871" s="1581"/>
      <c r="BI871" s="1581"/>
      <c r="BJ871" s="1581"/>
      <c r="BK871" s="1581"/>
      <c r="BL871" s="1581"/>
      <c r="BM871" s="1581"/>
      <c r="BN871" s="1581"/>
      <c r="BO871" s="1581"/>
      <c r="BP871" s="1581"/>
      <c r="BQ871" s="1581"/>
      <c r="BR871" s="1581"/>
      <c r="BS871" s="1581"/>
      <c r="BT871" s="1581"/>
      <c r="BU871" s="1581"/>
      <c r="BV871" s="1581"/>
      <c r="BW871" s="1581"/>
      <c r="BX871" s="1581"/>
      <c r="BY871" s="1581"/>
      <c r="BZ871" s="1581"/>
      <c r="CA871" s="1581"/>
      <c r="CB871" s="1581"/>
      <c r="CC871" s="1581"/>
      <c r="CD871" s="1581"/>
      <c r="CE871" s="1581"/>
      <c r="CF871" s="1581"/>
      <c r="CG871" s="1581"/>
      <c r="CH871" s="1581"/>
      <c r="CI871" s="1581"/>
      <c r="CJ871" s="1581"/>
      <c r="CK871" s="1581"/>
    </row>
    <row r="872" spans="1:89" ht="17.25" customHeight="1" x14ac:dyDescent="0.25">
      <c r="A872" s="692">
        <v>1</v>
      </c>
      <c r="B872" s="905" t="s">
        <v>661</v>
      </c>
      <c r="C872" s="693">
        <v>1</v>
      </c>
      <c r="D872" s="716" t="s">
        <v>16</v>
      </c>
      <c r="E872" s="695">
        <v>835100</v>
      </c>
      <c r="F872" s="695"/>
      <c r="G872" s="695"/>
      <c r="H872" s="695"/>
      <c r="I872" s="695"/>
      <c r="J872" s="695"/>
      <c r="K872" s="695"/>
      <c r="L872" s="695">
        <f>E872*C872</f>
        <v>835100</v>
      </c>
      <c r="M872" s="695"/>
      <c r="N872" s="695">
        <f>L872+M872</f>
        <v>835100</v>
      </c>
      <c r="O872" s="696">
        <f>N872+K872+H872</f>
        <v>835100</v>
      </c>
      <c r="P872" s="687"/>
    </row>
    <row r="873" spans="1:89" ht="17.25" customHeight="1" x14ac:dyDescent="0.25">
      <c r="A873" s="692">
        <v>2</v>
      </c>
      <c r="B873" s="905" t="s">
        <v>662</v>
      </c>
      <c r="C873" s="693">
        <v>1</v>
      </c>
      <c r="D873" s="727" t="s">
        <v>16</v>
      </c>
      <c r="E873" s="695">
        <v>682200</v>
      </c>
      <c r="F873" s="695"/>
      <c r="G873" s="695"/>
      <c r="H873" s="695"/>
      <c r="I873" s="695"/>
      <c r="J873" s="695"/>
      <c r="K873" s="695"/>
      <c r="L873" s="695">
        <f>E873*C873</f>
        <v>682200</v>
      </c>
      <c r="M873" s="695"/>
      <c r="N873" s="695">
        <f>L873+M873</f>
        <v>682200</v>
      </c>
      <c r="O873" s="696">
        <f t="shared" si="70"/>
        <v>682200</v>
      </c>
      <c r="P873" s="687"/>
    </row>
    <row r="874" spans="1:89" ht="17.25" customHeight="1" x14ac:dyDescent="0.25">
      <c r="A874" s="692">
        <v>3</v>
      </c>
      <c r="B874" s="905" t="s">
        <v>663</v>
      </c>
      <c r="C874" s="693">
        <v>1</v>
      </c>
      <c r="D874" s="727" t="s">
        <v>16</v>
      </c>
      <c r="E874" s="695">
        <v>1073300</v>
      </c>
      <c r="F874" s="695"/>
      <c r="G874" s="695"/>
      <c r="H874" s="695"/>
      <c r="I874" s="695"/>
      <c r="J874" s="695"/>
      <c r="K874" s="695"/>
      <c r="L874" s="695">
        <f>E874*C874</f>
        <v>1073300</v>
      </c>
      <c r="M874" s="695"/>
      <c r="N874" s="695">
        <f>L874+M874</f>
        <v>1073300</v>
      </c>
      <c r="O874" s="696">
        <f t="shared" si="70"/>
        <v>1073300</v>
      </c>
      <c r="P874" s="687"/>
    </row>
    <row r="875" spans="1:89" ht="15.75" customHeight="1" x14ac:dyDescent="0.25">
      <c r="A875" s="692">
        <v>4</v>
      </c>
      <c r="B875" s="905" t="s">
        <v>664</v>
      </c>
      <c r="C875" s="693">
        <v>1</v>
      </c>
      <c r="D875" s="727" t="s">
        <v>16</v>
      </c>
      <c r="E875" s="695">
        <f>1847500</f>
        <v>1847500</v>
      </c>
      <c r="F875" s="695"/>
      <c r="G875" s="695"/>
      <c r="H875" s="695"/>
      <c r="I875" s="695"/>
      <c r="J875" s="695"/>
      <c r="K875" s="695"/>
      <c r="L875" s="695">
        <f>E875*C875</f>
        <v>1847500</v>
      </c>
      <c r="M875" s="695"/>
      <c r="N875" s="695">
        <f>L875+M875</f>
        <v>1847500</v>
      </c>
      <c r="O875" s="696">
        <f t="shared" si="70"/>
        <v>1847500</v>
      </c>
      <c r="P875" s="687"/>
    </row>
    <row r="876" spans="1:89" ht="17.25" customHeight="1" x14ac:dyDescent="0.25">
      <c r="A876" s="692">
        <v>5</v>
      </c>
      <c r="B876" s="905" t="s">
        <v>665</v>
      </c>
      <c r="C876" s="693">
        <v>1</v>
      </c>
      <c r="D876" s="727" t="s">
        <v>16</v>
      </c>
      <c r="E876" s="695">
        <f>1562600+400000</f>
        <v>1962600</v>
      </c>
      <c r="F876" s="695"/>
      <c r="G876" s="695"/>
      <c r="H876" s="695"/>
      <c r="I876" s="695"/>
      <c r="J876" s="695"/>
      <c r="K876" s="695"/>
      <c r="L876" s="695">
        <f>E876*C876</f>
        <v>1962600</v>
      </c>
      <c r="M876" s="695"/>
      <c r="N876" s="695">
        <f>L876+M876</f>
        <v>1962600</v>
      </c>
      <c r="O876" s="696">
        <f t="shared" si="70"/>
        <v>1962600</v>
      </c>
      <c r="P876" s="687"/>
    </row>
    <row r="877" spans="1:89" ht="17.25" customHeight="1" x14ac:dyDescent="0.25">
      <c r="A877" s="692"/>
      <c r="B877" s="1248"/>
      <c r="C877" s="693"/>
      <c r="D877" s="727"/>
      <c r="E877" s="695"/>
      <c r="F877" s="695"/>
      <c r="G877" s="695"/>
      <c r="H877" s="695"/>
      <c r="I877" s="695"/>
      <c r="J877" s="695"/>
      <c r="K877" s="695"/>
      <c r="L877" s="695"/>
      <c r="M877" s="695"/>
      <c r="N877" s="695"/>
      <c r="O877" s="696"/>
      <c r="P877" s="687"/>
    </row>
    <row r="878" spans="1:89" s="672" customFormat="1" ht="17.25" customHeight="1" x14ac:dyDescent="0.25">
      <c r="A878" s="740" t="s">
        <v>22</v>
      </c>
      <c r="B878" s="1368" t="s">
        <v>23</v>
      </c>
      <c r="C878" s="828"/>
      <c r="D878" s="1369"/>
      <c r="E878" s="705"/>
      <c r="F878" s="705">
        <f>SUM(F879:F891)</f>
        <v>0</v>
      </c>
      <c r="G878" s="705">
        <f>SUM(G879:G891)</f>
        <v>0</v>
      </c>
      <c r="H878" s="705">
        <f>F878+G878</f>
        <v>0</v>
      </c>
      <c r="I878" s="705">
        <f>SUM(I879:I891)</f>
        <v>0</v>
      </c>
      <c r="J878" s="705">
        <f>SUM(J879:J891)</f>
        <v>2833600</v>
      </c>
      <c r="K878" s="705">
        <f>I878+J878</f>
        <v>2833600</v>
      </c>
      <c r="L878" s="705">
        <f>SUM(L879:L891)</f>
        <v>0</v>
      </c>
      <c r="M878" s="705">
        <f>SUM(M879:M891)</f>
        <v>0</v>
      </c>
      <c r="N878" s="705">
        <f>L878+M878</f>
        <v>0</v>
      </c>
      <c r="O878" s="1370">
        <f>N878+K878+H878</f>
        <v>2833600</v>
      </c>
      <c r="P878" s="829"/>
      <c r="Q878" s="1581"/>
      <c r="R878" s="1581"/>
      <c r="S878" s="1581"/>
      <c r="T878" s="1581"/>
      <c r="U878" s="1581"/>
      <c r="V878" s="1581"/>
      <c r="W878" s="1581"/>
      <c r="X878" s="1581"/>
      <c r="Y878" s="1581"/>
      <c r="Z878" s="1581"/>
      <c r="AA878" s="1581"/>
      <c r="AB878" s="1581"/>
      <c r="AC878" s="1581"/>
      <c r="AD878" s="1581"/>
      <c r="AE878" s="1581"/>
      <c r="AF878" s="1581"/>
      <c r="AG878" s="1581"/>
      <c r="AH878" s="1581"/>
      <c r="AI878" s="1581"/>
      <c r="AJ878" s="1581"/>
      <c r="AK878" s="1581"/>
      <c r="AL878" s="1581"/>
      <c r="AM878" s="1581"/>
      <c r="AN878" s="1581"/>
      <c r="AO878" s="1581"/>
      <c r="AP878" s="1581"/>
      <c r="AQ878" s="1581"/>
      <c r="AR878" s="1581"/>
      <c r="AS878" s="1581"/>
      <c r="AT878" s="1581"/>
      <c r="AU878" s="1581"/>
      <c r="AV878" s="1581"/>
      <c r="AW878" s="1581"/>
      <c r="AX878" s="1581"/>
      <c r="AY878" s="1581"/>
      <c r="AZ878" s="1581"/>
      <c r="BA878" s="1581"/>
      <c r="BB878" s="1581"/>
      <c r="BC878" s="1581"/>
      <c r="BD878" s="1581"/>
      <c r="BE878" s="1581"/>
      <c r="BF878" s="1581"/>
      <c r="BG878" s="1581"/>
      <c r="BH878" s="1581"/>
      <c r="BI878" s="1581"/>
      <c r="BJ878" s="1581"/>
      <c r="BK878" s="1581"/>
      <c r="BL878" s="1581"/>
      <c r="BM878" s="1581"/>
      <c r="BN878" s="1581"/>
      <c r="BO878" s="1581"/>
      <c r="BP878" s="1581"/>
      <c r="BQ878" s="1581"/>
      <c r="BR878" s="1581"/>
      <c r="BS878" s="1581"/>
      <c r="BT878" s="1581"/>
      <c r="BU878" s="1581"/>
      <c r="BV878" s="1581"/>
      <c r="BW878" s="1581"/>
      <c r="BX878" s="1581"/>
      <c r="BY878" s="1581"/>
      <c r="BZ878" s="1581"/>
      <c r="CA878" s="1581"/>
      <c r="CB878" s="1581"/>
      <c r="CC878" s="1581"/>
      <c r="CD878" s="1581"/>
      <c r="CE878" s="1581"/>
      <c r="CF878" s="1581"/>
      <c r="CG878" s="1581"/>
      <c r="CH878" s="1581"/>
      <c r="CI878" s="1581"/>
      <c r="CJ878" s="1581"/>
      <c r="CK878" s="1581"/>
    </row>
    <row r="879" spans="1:89" ht="17.25" customHeight="1" x14ac:dyDescent="0.25">
      <c r="A879" s="692">
        <v>1</v>
      </c>
      <c r="B879" s="1248" t="s">
        <v>21</v>
      </c>
      <c r="C879" s="693"/>
      <c r="D879" s="727"/>
      <c r="E879" s="695"/>
      <c r="F879" s="695"/>
      <c r="G879" s="695"/>
      <c r="H879" s="695"/>
      <c r="I879" s="695"/>
      <c r="J879" s="695"/>
      <c r="K879" s="695"/>
      <c r="L879" s="695"/>
      <c r="M879" s="695"/>
      <c r="N879" s="695"/>
      <c r="O879" s="696">
        <f>N879+K879+H879</f>
        <v>0</v>
      </c>
      <c r="P879" s="687"/>
    </row>
    <row r="880" spans="1:89" ht="17.25" customHeight="1" x14ac:dyDescent="0.25">
      <c r="A880" s="692"/>
      <c r="B880" s="1248" t="s">
        <v>1844</v>
      </c>
      <c r="C880" s="693">
        <v>1</v>
      </c>
      <c r="D880" s="727" t="s">
        <v>25</v>
      </c>
      <c r="E880" s="695">
        <v>2800000</v>
      </c>
      <c r="F880" s="695"/>
      <c r="G880" s="695"/>
      <c r="H880" s="695"/>
      <c r="I880" s="695"/>
      <c r="J880" s="695">
        <f>E880*C880</f>
        <v>2800000</v>
      </c>
      <c r="K880" s="695">
        <f>I880+J880</f>
        <v>2800000</v>
      </c>
      <c r="L880" s="695"/>
      <c r="M880" s="695"/>
      <c r="N880" s="695"/>
      <c r="O880" s="696">
        <f>N880+K880+H880</f>
        <v>2800000</v>
      </c>
      <c r="P880" s="687"/>
    </row>
    <row r="881" spans="1:16" ht="17.25" customHeight="1" x14ac:dyDescent="0.25">
      <c r="A881" s="692"/>
      <c r="B881" s="1792" t="s">
        <v>1933</v>
      </c>
      <c r="C881" s="693"/>
      <c r="D881" s="727"/>
      <c r="E881" s="695"/>
      <c r="F881" s="695"/>
      <c r="G881" s="695"/>
      <c r="H881" s="695"/>
      <c r="I881" s="695"/>
      <c r="J881" s="695"/>
      <c r="K881" s="695"/>
      <c r="L881" s="695"/>
      <c r="M881" s="695"/>
      <c r="N881" s="695"/>
      <c r="O881" s="696">
        <f>N881+K881+H881</f>
        <v>0</v>
      </c>
      <c r="P881" s="687"/>
    </row>
    <row r="882" spans="1:16" ht="17.25" customHeight="1" x14ac:dyDescent="0.25">
      <c r="A882" s="692"/>
      <c r="B882" s="1792" t="s">
        <v>1934</v>
      </c>
      <c r="C882" s="693"/>
      <c r="D882" s="727"/>
      <c r="E882" s="695"/>
      <c r="F882" s="695"/>
      <c r="G882" s="695"/>
      <c r="H882" s="695"/>
      <c r="I882" s="695"/>
      <c r="J882" s="695"/>
      <c r="K882" s="695"/>
      <c r="L882" s="695"/>
      <c r="M882" s="695"/>
      <c r="N882" s="695"/>
      <c r="O882" s="696"/>
      <c r="P882" s="687"/>
    </row>
    <row r="883" spans="1:16" ht="17.25" customHeight="1" x14ac:dyDescent="0.25">
      <c r="A883" s="692"/>
      <c r="B883" s="1792" t="s">
        <v>1935</v>
      </c>
      <c r="C883" s="693"/>
      <c r="D883" s="727"/>
      <c r="E883" s="695"/>
      <c r="F883" s="695"/>
      <c r="G883" s="695"/>
      <c r="H883" s="695"/>
      <c r="I883" s="695"/>
      <c r="J883" s="695"/>
      <c r="K883" s="695"/>
      <c r="L883" s="695"/>
      <c r="M883" s="695"/>
      <c r="N883" s="695"/>
      <c r="O883" s="696"/>
      <c r="P883" s="687"/>
    </row>
    <row r="884" spans="1:16" ht="17.25" customHeight="1" x14ac:dyDescent="0.25">
      <c r="A884" s="692"/>
      <c r="B884" s="1792" t="s">
        <v>1936</v>
      </c>
      <c r="C884" s="693"/>
      <c r="D884" s="727"/>
      <c r="E884" s="695"/>
      <c r="F884" s="695"/>
      <c r="G884" s="695"/>
      <c r="H884" s="695"/>
      <c r="I884" s="695"/>
      <c r="J884" s="695"/>
      <c r="K884" s="695"/>
      <c r="L884" s="695"/>
      <c r="M884" s="695"/>
      <c r="N884" s="695"/>
      <c r="O884" s="696"/>
      <c r="P884" s="687"/>
    </row>
    <row r="885" spans="1:16" ht="17.25" customHeight="1" x14ac:dyDescent="0.25">
      <c r="A885" s="692"/>
      <c r="B885" s="1792" t="s">
        <v>1937</v>
      </c>
      <c r="C885" s="693"/>
      <c r="D885" s="727"/>
      <c r="E885" s="695"/>
      <c r="F885" s="695"/>
      <c r="G885" s="695"/>
      <c r="H885" s="695"/>
      <c r="I885" s="695"/>
      <c r="J885" s="695"/>
      <c r="K885" s="695"/>
      <c r="L885" s="695"/>
      <c r="M885" s="695"/>
      <c r="N885" s="695"/>
      <c r="O885" s="696">
        <f>N885+K885+H885</f>
        <v>0</v>
      </c>
      <c r="P885" s="687"/>
    </row>
    <row r="886" spans="1:16" ht="17.25" customHeight="1" x14ac:dyDescent="0.25">
      <c r="A886" s="692"/>
      <c r="B886" s="1792" t="s">
        <v>1938</v>
      </c>
      <c r="C886" s="693"/>
      <c r="D886" s="727"/>
      <c r="E886" s="695"/>
      <c r="F886" s="695"/>
      <c r="G886" s="695"/>
      <c r="H886" s="695"/>
      <c r="I886" s="695"/>
      <c r="J886" s="695"/>
      <c r="K886" s="695"/>
      <c r="L886" s="695"/>
      <c r="M886" s="695"/>
      <c r="N886" s="695"/>
      <c r="O886" s="696"/>
      <c r="P886" s="687"/>
    </row>
    <row r="887" spans="1:16" ht="17.25" customHeight="1" x14ac:dyDescent="0.25">
      <c r="A887" s="692"/>
      <c r="B887" s="1792" t="s">
        <v>1939</v>
      </c>
      <c r="C887" s="693"/>
      <c r="D887" s="727"/>
      <c r="E887" s="695"/>
      <c r="F887" s="695"/>
      <c r="G887" s="695"/>
      <c r="H887" s="695"/>
      <c r="I887" s="695"/>
      <c r="J887" s="695"/>
      <c r="K887" s="695"/>
      <c r="L887" s="695"/>
      <c r="M887" s="695"/>
      <c r="N887" s="695"/>
      <c r="O887" s="696"/>
      <c r="P887" s="687"/>
    </row>
    <row r="888" spans="1:16" ht="17.25" customHeight="1" x14ac:dyDescent="0.25">
      <c r="A888" s="692"/>
      <c r="B888" s="1248"/>
      <c r="C888" s="693"/>
      <c r="D888" s="727"/>
      <c r="E888" s="695"/>
      <c r="F888" s="695"/>
      <c r="G888" s="695"/>
      <c r="H888" s="695"/>
      <c r="I888" s="695"/>
      <c r="J888" s="695"/>
      <c r="K888" s="695"/>
      <c r="L888" s="695"/>
      <c r="M888" s="695"/>
      <c r="N888" s="695"/>
      <c r="O888" s="696"/>
      <c r="P888" s="687"/>
    </row>
    <row r="889" spans="1:16" ht="17.25" customHeight="1" x14ac:dyDescent="0.25">
      <c r="A889" s="692"/>
      <c r="B889" s="1248"/>
      <c r="C889" s="693"/>
      <c r="D889" s="727"/>
      <c r="E889" s="695"/>
      <c r="F889" s="695"/>
      <c r="G889" s="695"/>
      <c r="H889" s="695"/>
      <c r="I889" s="695"/>
      <c r="J889" s="695"/>
      <c r="K889" s="695"/>
      <c r="L889" s="695"/>
      <c r="M889" s="695"/>
      <c r="N889" s="695"/>
      <c r="O889" s="696"/>
      <c r="P889" s="687"/>
    </row>
    <row r="890" spans="1:16" ht="17.25" customHeight="1" x14ac:dyDescent="0.25">
      <c r="A890" s="692">
        <v>2</v>
      </c>
      <c r="B890" s="1248" t="s">
        <v>19</v>
      </c>
      <c r="C890" s="693"/>
      <c r="D890" s="727"/>
      <c r="E890" s="695"/>
      <c r="F890" s="695"/>
      <c r="G890" s="695"/>
      <c r="H890" s="695"/>
      <c r="I890" s="695"/>
      <c r="J890" s="695"/>
      <c r="K890" s="695"/>
      <c r="L890" s="695"/>
      <c r="M890" s="695"/>
      <c r="N890" s="695"/>
      <c r="O890" s="696">
        <f>N890+K890+H890</f>
        <v>0</v>
      </c>
      <c r="P890" s="687"/>
    </row>
    <row r="891" spans="1:16" ht="17.25" customHeight="1" x14ac:dyDescent="0.25">
      <c r="A891" s="692"/>
      <c r="B891" s="1248" t="s">
        <v>26</v>
      </c>
      <c r="C891" s="693">
        <v>1</v>
      </c>
      <c r="D891" s="727" t="s">
        <v>25</v>
      </c>
      <c r="E891" s="695">
        <v>33600</v>
      </c>
      <c r="F891" s="695"/>
      <c r="G891" s="695"/>
      <c r="H891" s="695"/>
      <c r="I891" s="695"/>
      <c r="J891" s="695">
        <f>C891*E891</f>
        <v>33600</v>
      </c>
      <c r="K891" s="695">
        <f>I891+J891</f>
        <v>33600</v>
      </c>
      <c r="L891" s="695"/>
      <c r="M891" s="695"/>
      <c r="N891" s="695"/>
      <c r="O891" s="696">
        <f>N891+K891+H891</f>
        <v>33600</v>
      </c>
      <c r="P891" s="687"/>
    </row>
    <row r="892" spans="1:16" ht="17.25" customHeight="1" x14ac:dyDescent="0.25">
      <c r="A892" s="740"/>
      <c r="B892" s="1368"/>
      <c r="C892" s="828"/>
      <c r="D892" s="1369"/>
      <c r="E892" s="705"/>
      <c r="F892" s="705"/>
      <c r="G892" s="705"/>
      <c r="H892" s="705"/>
      <c r="I892" s="705"/>
      <c r="J892" s="705"/>
      <c r="K892" s="705"/>
      <c r="L892" s="705"/>
      <c r="M892" s="705"/>
      <c r="N892" s="705"/>
      <c r="O892" s="1370"/>
      <c r="P892" s="829"/>
    </row>
    <row r="893" spans="1:16" ht="17.25" customHeight="1" x14ac:dyDescent="0.25">
      <c r="A893" s="740" t="s">
        <v>28</v>
      </c>
      <c r="B893" s="1368" t="s">
        <v>29</v>
      </c>
      <c r="C893" s="828"/>
      <c r="D893" s="1369"/>
      <c r="E893" s="705"/>
      <c r="F893" s="705">
        <f>SUM(F896:F915)</f>
        <v>0</v>
      </c>
      <c r="G893" s="705">
        <f>SUM(G896:G915)</f>
        <v>0</v>
      </c>
      <c r="H893" s="705">
        <f>F893+G893</f>
        <v>0</v>
      </c>
      <c r="I893" s="705">
        <f>SUM(I896:I915)</f>
        <v>0</v>
      </c>
      <c r="J893" s="705">
        <f>SUM(J896:J915)</f>
        <v>487900</v>
      </c>
      <c r="K893" s="705">
        <f>I893+J893</f>
        <v>487900</v>
      </c>
      <c r="L893" s="705">
        <f>SUM(L896:L915)</f>
        <v>0</v>
      </c>
      <c r="M893" s="705">
        <f>SUM(M896:M915)</f>
        <v>0</v>
      </c>
      <c r="N893" s="705">
        <f>L893+M893</f>
        <v>0</v>
      </c>
      <c r="O893" s="1370">
        <f>N893+K893+H893</f>
        <v>487900</v>
      </c>
      <c r="P893" s="829"/>
    </row>
    <row r="894" spans="1:16" ht="17.25" customHeight="1" x14ac:dyDescent="0.25">
      <c r="A894" s="692"/>
      <c r="B894" s="1237"/>
      <c r="C894" s="693"/>
      <c r="D894" s="727"/>
      <c r="E894" s="695"/>
      <c r="F894" s="695"/>
      <c r="G894" s="695"/>
      <c r="H894" s="695"/>
      <c r="I894" s="695"/>
      <c r="J894" s="695"/>
      <c r="K894" s="695"/>
      <c r="L894" s="695"/>
      <c r="M894" s="695"/>
      <c r="N894" s="695"/>
      <c r="O894" s="696"/>
      <c r="P894" s="687"/>
    </row>
    <row r="895" spans="1:16" ht="17.25" customHeight="1" x14ac:dyDescent="0.25">
      <c r="A895" s="692">
        <v>1</v>
      </c>
      <c r="B895" s="1237" t="s">
        <v>19</v>
      </c>
      <c r="C895" s="693"/>
      <c r="D895" s="727"/>
      <c r="E895" s="695"/>
      <c r="F895" s="695"/>
      <c r="G895" s="695"/>
      <c r="H895" s="695"/>
      <c r="I895" s="695"/>
      <c r="J895" s="695"/>
      <c r="K895" s="695"/>
      <c r="L895" s="695"/>
      <c r="M895" s="695"/>
      <c r="N895" s="695"/>
      <c r="O895" s="696">
        <f t="shared" ref="O895:O915" si="71">N895+K895+H895</f>
        <v>0</v>
      </c>
      <c r="P895" s="687"/>
    </row>
    <row r="896" spans="1:16" ht="17.25" customHeight="1" x14ac:dyDescent="0.25">
      <c r="A896" s="692"/>
      <c r="B896" s="1237" t="s">
        <v>30</v>
      </c>
      <c r="C896" s="693">
        <v>12</v>
      </c>
      <c r="D896" s="727" t="s">
        <v>20</v>
      </c>
      <c r="E896" s="695">
        <v>1900</v>
      </c>
      <c r="F896" s="695"/>
      <c r="G896" s="695"/>
      <c r="H896" s="695"/>
      <c r="I896" s="695"/>
      <c r="J896" s="695">
        <f>C896*E896</f>
        <v>22800</v>
      </c>
      <c r="K896" s="695">
        <f>I896+J896</f>
        <v>22800</v>
      </c>
      <c r="L896" s="695"/>
      <c r="M896" s="695"/>
      <c r="N896" s="695"/>
      <c r="O896" s="696">
        <f t="shared" si="71"/>
        <v>22800</v>
      </c>
      <c r="P896" s="687"/>
    </row>
    <row r="897" spans="1:16" ht="17.25" customHeight="1" x14ac:dyDescent="0.25">
      <c r="A897" s="692"/>
      <c r="B897" s="1237" t="s">
        <v>31</v>
      </c>
      <c r="C897" s="693">
        <v>12</v>
      </c>
      <c r="D897" s="727" t="s">
        <v>20</v>
      </c>
      <c r="E897" s="695">
        <v>1500</v>
      </c>
      <c r="F897" s="695"/>
      <c r="G897" s="695"/>
      <c r="H897" s="695"/>
      <c r="I897" s="695"/>
      <c r="J897" s="695">
        <f>C897*E897</f>
        <v>18000</v>
      </c>
      <c r="K897" s="695">
        <f>I897+J897</f>
        <v>18000</v>
      </c>
      <c r="L897" s="695"/>
      <c r="M897" s="695"/>
      <c r="N897" s="695"/>
      <c r="O897" s="696">
        <f t="shared" si="71"/>
        <v>18000</v>
      </c>
      <c r="P897" s="687"/>
    </row>
    <row r="898" spans="1:16" ht="17.25" customHeight="1" x14ac:dyDescent="0.25">
      <c r="A898" s="692"/>
      <c r="B898" s="1237" t="s">
        <v>32</v>
      </c>
      <c r="C898" s="693">
        <v>12</v>
      </c>
      <c r="D898" s="727" t="s">
        <v>20</v>
      </c>
      <c r="E898" s="695">
        <v>1300</v>
      </c>
      <c r="F898" s="695"/>
      <c r="G898" s="695"/>
      <c r="H898" s="695"/>
      <c r="I898" s="695"/>
      <c r="J898" s="695">
        <f>C898*E898</f>
        <v>15600</v>
      </c>
      <c r="K898" s="695">
        <f>I898+J898</f>
        <v>15600</v>
      </c>
      <c r="L898" s="695"/>
      <c r="M898" s="695"/>
      <c r="N898" s="695"/>
      <c r="O898" s="696">
        <f t="shared" si="71"/>
        <v>15600</v>
      </c>
      <c r="P898" s="687"/>
    </row>
    <row r="899" spans="1:16" ht="17.25" customHeight="1" x14ac:dyDescent="0.25">
      <c r="A899" s="692"/>
      <c r="B899" s="1237" t="s">
        <v>33</v>
      </c>
      <c r="C899" s="693">
        <v>60</v>
      </c>
      <c r="D899" s="727" t="s">
        <v>20</v>
      </c>
      <c r="E899" s="695">
        <v>900</v>
      </c>
      <c r="F899" s="695"/>
      <c r="G899" s="695"/>
      <c r="H899" s="695"/>
      <c r="I899" s="695"/>
      <c r="J899" s="695">
        <f>C899*E899</f>
        <v>54000</v>
      </c>
      <c r="K899" s="695">
        <f>I899+J899</f>
        <v>54000</v>
      </c>
      <c r="L899" s="695"/>
      <c r="M899" s="695"/>
      <c r="N899" s="695"/>
      <c r="O899" s="696">
        <f t="shared" si="71"/>
        <v>54000</v>
      </c>
      <c r="P899" s="687"/>
    </row>
    <row r="900" spans="1:16" ht="17.25" customHeight="1" x14ac:dyDescent="0.25">
      <c r="A900" s="692"/>
      <c r="B900" s="1237" t="s">
        <v>34</v>
      </c>
      <c r="C900" s="693"/>
      <c r="D900" s="727"/>
      <c r="E900" s="695"/>
      <c r="F900" s="695"/>
      <c r="G900" s="695"/>
      <c r="H900" s="695"/>
      <c r="I900" s="695"/>
      <c r="J900" s="695"/>
      <c r="K900" s="695"/>
      <c r="L900" s="695"/>
      <c r="M900" s="695"/>
      <c r="N900" s="695"/>
      <c r="O900" s="696">
        <f t="shared" si="71"/>
        <v>0</v>
      </c>
      <c r="P900" s="687"/>
    </row>
    <row r="901" spans="1:16" ht="17.25" customHeight="1" x14ac:dyDescent="0.25">
      <c r="A901" s="692"/>
      <c r="B901" s="1237" t="s">
        <v>35</v>
      </c>
      <c r="C901" s="693">
        <v>12</v>
      </c>
      <c r="D901" s="727" t="s">
        <v>20</v>
      </c>
      <c r="E901" s="695">
        <v>400</v>
      </c>
      <c r="F901" s="695"/>
      <c r="G901" s="695"/>
      <c r="H901" s="695"/>
      <c r="I901" s="695"/>
      <c r="J901" s="695">
        <f>C901*E901</f>
        <v>4800</v>
      </c>
      <c r="K901" s="695">
        <f>I901+J901</f>
        <v>4800</v>
      </c>
      <c r="L901" s="695"/>
      <c r="M901" s="695"/>
      <c r="N901" s="695"/>
      <c r="O901" s="696">
        <f t="shared" si="71"/>
        <v>4800</v>
      </c>
      <c r="P901" s="687"/>
    </row>
    <row r="902" spans="1:16" ht="17.25" customHeight="1" x14ac:dyDescent="0.25">
      <c r="A902" s="692"/>
      <c r="B902" s="1237" t="s">
        <v>36</v>
      </c>
      <c r="C902" s="693">
        <v>36</v>
      </c>
      <c r="D902" s="727" t="s">
        <v>20</v>
      </c>
      <c r="E902" s="695">
        <v>300</v>
      </c>
      <c r="F902" s="695"/>
      <c r="G902" s="695"/>
      <c r="H902" s="695"/>
      <c r="I902" s="695"/>
      <c r="J902" s="695">
        <f>C902*E902</f>
        <v>10800</v>
      </c>
      <c r="K902" s="695">
        <f>I902+J902</f>
        <v>10800</v>
      </c>
      <c r="L902" s="695"/>
      <c r="M902" s="695"/>
      <c r="N902" s="695"/>
      <c r="O902" s="696">
        <f t="shared" si="71"/>
        <v>10800</v>
      </c>
      <c r="P902" s="687"/>
    </row>
    <row r="903" spans="1:16" ht="17.25" customHeight="1" x14ac:dyDescent="0.25">
      <c r="A903" s="692"/>
      <c r="B903" s="1241" t="s">
        <v>38</v>
      </c>
      <c r="C903" s="693">
        <v>1</v>
      </c>
      <c r="D903" s="727" t="s">
        <v>25</v>
      </c>
      <c r="E903" s="695">
        <v>20000</v>
      </c>
      <c r="F903" s="695"/>
      <c r="G903" s="695"/>
      <c r="H903" s="695"/>
      <c r="I903" s="695"/>
      <c r="J903" s="695">
        <f>C903*E903</f>
        <v>20000</v>
      </c>
      <c r="K903" s="695">
        <f>I903+J903</f>
        <v>20000</v>
      </c>
      <c r="L903" s="695"/>
      <c r="M903" s="695"/>
      <c r="N903" s="695"/>
      <c r="O903" s="696">
        <f t="shared" si="71"/>
        <v>20000</v>
      </c>
      <c r="P903" s="687"/>
    </row>
    <row r="904" spans="1:16" ht="17.25" customHeight="1" x14ac:dyDescent="0.25">
      <c r="A904" s="692"/>
      <c r="B904" s="1237" t="s">
        <v>39</v>
      </c>
      <c r="C904" s="693">
        <v>1</v>
      </c>
      <c r="D904" s="727" t="s">
        <v>25</v>
      </c>
      <c r="E904" s="695">
        <v>4800</v>
      </c>
      <c r="F904" s="695"/>
      <c r="G904" s="695"/>
      <c r="H904" s="695"/>
      <c r="I904" s="695"/>
      <c r="J904" s="695">
        <f>C904*E904</f>
        <v>4800</v>
      </c>
      <c r="K904" s="695">
        <f>I904+J904</f>
        <v>4800</v>
      </c>
      <c r="L904" s="695"/>
      <c r="M904" s="695"/>
      <c r="N904" s="695"/>
      <c r="O904" s="696">
        <f t="shared" si="71"/>
        <v>4800</v>
      </c>
      <c r="P904" s="687"/>
    </row>
    <row r="905" spans="1:16" ht="17.25" customHeight="1" x14ac:dyDescent="0.25">
      <c r="A905" s="692">
        <v>2</v>
      </c>
      <c r="B905" s="1237" t="s">
        <v>40</v>
      </c>
      <c r="C905" s="693"/>
      <c r="D905" s="727"/>
      <c r="E905" s="695"/>
      <c r="F905" s="695"/>
      <c r="G905" s="695"/>
      <c r="H905" s="695"/>
      <c r="I905" s="695"/>
      <c r="J905" s="695"/>
      <c r="K905" s="695"/>
      <c r="L905" s="695"/>
      <c r="M905" s="695"/>
      <c r="N905" s="695"/>
      <c r="O905" s="696">
        <f t="shared" si="71"/>
        <v>0</v>
      </c>
      <c r="P905" s="687"/>
    </row>
    <row r="906" spans="1:16" ht="17.25" customHeight="1" x14ac:dyDescent="0.25">
      <c r="A906" s="692"/>
      <c r="B906" s="1237" t="s">
        <v>41</v>
      </c>
      <c r="C906" s="693">
        <v>1</v>
      </c>
      <c r="D906" s="727" t="s">
        <v>25</v>
      </c>
      <c r="E906" s="695">
        <v>25000</v>
      </c>
      <c r="F906" s="695"/>
      <c r="G906" s="695"/>
      <c r="H906" s="695"/>
      <c r="I906" s="695"/>
      <c r="J906" s="695">
        <f>C906*E906</f>
        <v>25000</v>
      </c>
      <c r="K906" s="695">
        <f>I906+J906</f>
        <v>25000</v>
      </c>
      <c r="L906" s="695"/>
      <c r="M906" s="695"/>
      <c r="N906" s="695"/>
      <c r="O906" s="696">
        <f t="shared" si="71"/>
        <v>25000</v>
      </c>
      <c r="P906" s="687"/>
    </row>
    <row r="907" spans="1:16" ht="17.25" customHeight="1" x14ac:dyDescent="0.25">
      <c r="A907" s="692"/>
      <c r="B907" s="1237" t="s">
        <v>42</v>
      </c>
      <c r="C907" s="693">
        <v>1</v>
      </c>
      <c r="D907" s="727" t="s">
        <v>25</v>
      </c>
      <c r="E907" s="695">
        <v>20000</v>
      </c>
      <c r="F907" s="695"/>
      <c r="G907" s="695"/>
      <c r="H907" s="695"/>
      <c r="I907" s="695"/>
      <c r="J907" s="695">
        <f>C907*E907</f>
        <v>20000</v>
      </c>
      <c r="K907" s="695">
        <f>I907+J907</f>
        <v>20000</v>
      </c>
      <c r="L907" s="695"/>
      <c r="M907" s="695"/>
      <c r="N907" s="695"/>
      <c r="O907" s="696">
        <f t="shared" si="71"/>
        <v>20000</v>
      </c>
      <c r="P907" s="687"/>
    </row>
    <row r="908" spans="1:16" ht="17.25" customHeight="1" x14ac:dyDescent="0.25">
      <c r="A908" s="692">
        <v>3</v>
      </c>
      <c r="B908" s="1237" t="s">
        <v>43</v>
      </c>
      <c r="C908" s="693"/>
      <c r="D908" s="727"/>
      <c r="E908" s="695"/>
      <c r="F908" s="714"/>
      <c r="G908" s="714"/>
      <c r="H908" s="714"/>
      <c r="I908" s="714"/>
      <c r="J908" s="695"/>
      <c r="K908" s="695"/>
      <c r="L908" s="714"/>
      <c r="M908" s="714"/>
      <c r="N908" s="714"/>
      <c r="O908" s="696">
        <f t="shared" si="71"/>
        <v>0</v>
      </c>
      <c r="P908" s="687"/>
    </row>
    <row r="909" spans="1:16" ht="17.25" customHeight="1" x14ac:dyDescent="0.25">
      <c r="A909" s="692"/>
      <c r="B909" s="1237" t="s">
        <v>44</v>
      </c>
      <c r="C909" s="693">
        <v>6</v>
      </c>
      <c r="D909" s="727" t="s">
        <v>45</v>
      </c>
      <c r="E909" s="695">
        <v>6000</v>
      </c>
      <c r="F909" s="714"/>
      <c r="G909" s="714"/>
      <c r="H909" s="714"/>
      <c r="I909" s="714"/>
      <c r="J909" s="695">
        <f>C909*E909</f>
        <v>36000</v>
      </c>
      <c r="K909" s="695">
        <f>I909+J909</f>
        <v>36000</v>
      </c>
      <c r="L909" s="714"/>
      <c r="M909" s="714"/>
      <c r="N909" s="714"/>
      <c r="O909" s="696">
        <f t="shared" si="71"/>
        <v>36000</v>
      </c>
      <c r="P909" s="687"/>
    </row>
    <row r="910" spans="1:16" ht="17.25" customHeight="1" x14ac:dyDescent="0.25">
      <c r="A910" s="692"/>
      <c r="B910" s="1344"/>
      <c r="C910" s="693"/>
      <c r="D910" s="727"/>
      <c r="E910" s="695"/>
      <c r="F910" s="695"/>
      <c r="G910" s="695"/>
      <c r="H910" s="695"/>
      <c r="I910" s="695"/>
      <c r="J910" s="695"/>
      <c r="K910" s="695"/>
      <c r="L910" s="695"/>
      <c r="M910" s="695"/>
      <c r="N910" s="695"/>
      <c r="O910" s="696">
        <f t="shared" si="71"/>
        <v>0</v>
      </c>
      <c r="P910" s="687"/>
    </row>
    <row r="911" spans="1:16" ht="17.25" customHeight="1" x14ac:dyDescent="0.25">
      <c r="A911" s="692">
        <v>5</v>
      </c>
      <c r="B911" s="1345" t="s">
        <v>48</v>
      </c>
      <c r="C911" s="699"/>
      <c r="D911" s="727"/>
      <c r="E911" s="695" t="s">
        <v>49</v>
      </c>
      <c r="F911" s="695"/>
      <c r="G911" s="695"/>
      <c r="H911" s="695"/>
      <c r="I911" s="695"/>
      <c r="J911" s="695"/>
      <c r="K911" s="695">
        <f>J911+I911</f>
        <v>0</v>
      </c>
      <c r="L911" s="695"/>
      <c r="M911" s="695"/>
      <c r="N911" s="695"/>
      <c r="O911" s="696">
        <f t="shared" si="71"/>
        <v>0</v>
      </c>
      <c r="P911" s="687"/>
    </row>
    <row r="912" spans="1:16" ht="17.25" customHeight="1" x14ac:dyDescent="0.25">
      <c r="A912" s="692"/>
      <c r="B912" s="1344" t="s">
        <v>50</v>
      </c>
      <c r="C912" s="699">
        <v>50</v>
      </c>
      <c r="D912" s="727" t="s">
        <v>51</v>
      </c>
      <c r="E912" s="695">
        <v>2472</v>
      </c>
      <c r="F912" s="695"/>
      <c r="G912" s="695"/>
      <c r="H912" s="695"/>
      <c r="I912" s="695"/>
      <c r="J912" s="695">
        <f>C912*E912</f>
        <v>123600</v>
      </c>
      <c r="K912" s="695">
        <f>I912+J912</f>
        <v>123600</v>
      </c>
      <c r="L912" s="695"/>
      <c r="M912" s="695"/>
      <c r="N912" s="695"/>
      <c r="O912" s="696">
        <f t="shared" si="71"/>
        <v>123600</v>
      </c>
      <c r="P912" s="687"/>
    </row>
    <row r="913" spans="1:89" ht="17.25" customHeight="1" x14ac:dyDescent="0.25">
      <c r="A913" s="692"/>
      <c r="B913" s="1237" t="s">
        <v>52</v>
      </c>
      <c r="C913" s="699">
        <v>150</v>
      </c>
      <c r="D913" s="727" t="s">
        <v>53</v>
      </c>
      <c r="E913" s="695">
        <v>450</v>
      </c>
      <c r="F913" s="695"/>
      <c r="G913" s="695"/>
      <c r="H913" s="695"/>
      <c r="I913" s="695"/>
      <c r="J913" s="695">
        <f>C913*E913</f>
        <v>67500</v>
      </c>
      <c r="K913" s="695">
        <f>I913+J913</f>
        <v>67500</v>
      </c>
      <c r="L913" s="695"/>
      <c r="M913" s="695"/>
      <c r="N913" s="695"/>
      <c r="O913" s="696">
        <f t="shared" si="71"/>
        <v>67500</v>
      </c>
      <c r="P913" s="687"/>
    </row>
    <row r="914" spans="1:89" ht="17.25" customHeight="1" x14ac:dyDescent="0.25">
      <c r="A914" s="692"/>
      <c r="B914" s="1241" t="s">
        <v>54</v>
      </c>
      <c r="C914" s="699">
        <v>100</v>
      </c>
      <c r="D914" s="727" t="s">
        <v>55</v>
      </c>
      <c r="E914" s="695">
        <v>450</v>
      </c>
      <c r="F914" s="695"/>
      <c r="G914" s="695"/>
      <c r="H914" s="695"/>
      <c r="I914" s="695"/>
      <c r="J914" s="695">
        <f>C914*E914</f>
        <v>45000</v>
      </c>
      <c r="K914" s="695">
        <f>I914+J914</f>
        <v>45000</v>
      </c>
      <c r="L914" s="695"/>
      <c r="M914" s="695"/>
      <c r="N914" s="695"/>
      <c r="O914" s="696">
        <f t="shared" si="71"/>
        <v>45000</v>
      </c>
      <c r="P914" s="687"/>
    </row>
    <row r="915" spans="1:89" ht="17.25" customHeight="1" x14ac:dyDescent="0.25">
      <c r="A915" s="692"/>
      <c r="B915" s="1241" t="s">
        <v>56</v>
      </c>
      <c r="C915" s="699">
        <v>50</v>
      </c>
      <c r="D915" s="727" t="s">
        <v>55</v>
      </c>
      <c r="E915" s="695">
        <v>400</v>
      </c>
      <c r="F915" s="695"/>
      <c r="G915" s="695"/>
      <c r="H915" s="695"/>
      <c r="I915" s="695"/>
      <c r="J915" s="695">
        <f>C915*E915</f>
        <v>20000</v>
      </c>
      <c r="K915" s="695">
        <f>I915+J915</f>
        <v>20000</v>
      </c>
      <c r="L915" s="695"/>
      <c r="M915" s="695"/>
      <c r="N915" s="695"/>
      <c r="O915" s="696">
        <f t="shared" si="71"/>
        <v>20000</v>
      </c>
      <c r="P915" s="687"/>
    </row>
    <row r="916" spans="1:89" ht="17.25" customHeight="1" x14ac:dyDescent="0.25">
      <c r="A916" s="692"/>
      <c r="B916" s="1241"/>
      <c r="C916" s="699"/>
      <c r="D916" s="727"/>
      <c r="E916" s="695"/>
      <c r="F916" s="695"/>
      <c r="G916" s="695"/>
      <c r="H916" s="695"/>
      <c r="I916" s="695"/>
      <c r="J916" s="695"/>
      <c r="K916" s="695"/>
      <c r="L916" s="695"/>
      <c r="M916" s="695"/>
      <c r="N916" s="695"/>
      <c r="O916" s="696"/>
      <c r="P916" s="687"/>
    </row>
    <row r="917" spans="1:89" ht="17.25" customHeight="1" x14ac:dyDescent="0.25">
      <c r="A917" s="820"/>
      <c r="B917" s="832"/>
      <c r="C917" s="834"/>
      <c r="D917" s="831"/>
      <c r="E917" s="821"/>
      <c r="F917" s="821"/>
      <c r="G917" s="821"/>
      <c r="H917" s="821"/>
      <c r="I917" s="821"/>
      <c r="J917" s="821"/>
      <c r="K917" s="821"/>
      <c r="L917" s="821"/>
      <c r="M917" s="821"/>
      <c r="N917" s="821"/>
      <c r="O917" s="822"/>
      <c r="P917" s="687"/>
    </row>
    <row r="918" spans="1:89" ht="24" customHeight="1" x14ac:dyDescent="0.25">
      <c r="A918" s="1210">
        <v>18</v>
      </c>
      <c r="B918" s="1211" t="s">
        <v>133</v>
      </c>
      <c r="C918" s="1212"/>
      <c r="D918" s="1213"/>
      <c r="E918" s="1214"/>
      <c r="F918" s="1214">
        <f>F920+F939+F986</f>
        <v>0</v>
      </c>
      <c r="G918" s="1214">
        <f>G920+G939+G986</f>
        <v>0</v>
      </c>
      <c r="H918" s="1214">
        <f>G918+F918</f>
        <v>0</v>
      </c>
      <c r="I918" s="1214">
        <f>I920+I939+I986+I935</f>
        <v>0</v>
      </c>
      <c r="J918" s="1214">
        <f>J920+J939+J986+J935</f>
        <v>15222620</v>
      </c>
      <c r="K918" s="1214">
        <f>J918+I918</f>
        <v>15222620</v>
      </c>
      <c r="L918" s="1214">
        <f>L920+L939+L986</f>
        <v>30314629</v>
      </c>
      <c r="M918" s="1214">
        <f>M920+M939+M986</f>
        <v>0</v>
      </c>
      <c r="N918" s="1214">
        <f>M918+L918</f>
        <v>30314629</v>
      </c>
      <c r="O918" s="1215">
        <f t="shared" ref="O918:O933" si="72">N918+K918+H918</f>
        <v>45537249</v>
      </c>
      <c r="P918" s="680"/>
    </row>
    <row r="919" spans="1:89" ht="17.25" customHeight="1" x14ac:dyDescent="0.25">
      <c r="A919" s="681"/>
      <c r="B919" s="876"/>
      <c r="C919" s="682"/>
      <c r="D919" s="683"/>
      <c r="E919" s="685"/>
      <c r="F919" s="685"/>
      <c r="G919" s="685"/>
      <c r="H919" s="685"/>
      <c r="I919" s="685"/>
      <c r="J919" s="685"/>
      <c r="K919" s="685"/>
      <c r="L919" s="685"/>
      <c r="M919" s="685"/>
      <c r="N919" s="685"/>
      <c r="O919" s="686">
        <f t="shared" si="72"/>
        <v>0</v>
      </c>
      <c r="P919" s="687"/>
    </row>
    <row r="920" spans="1:89" s="672" customFormat="1" ht="41.25" customHeight="1" x14ac:dyDescent="0.25">
      <c r="A920" s="740" t="s">
        <v>15</v>
      </c>
      <c r="B920" s="1372" t="s">
        <v>1156</v>
      </c>
      <c r="C920" s="828"/>
      <c r="D920" s="1369"/>
      <c r="E920" s="705"/>
      <c r="F920" s="705">
        <f>SUM(F921:F933)</f>
        <v>0</v>
      </c>
      <c r="G920" s="705">
        <f>SUM(G921:G933)</f>
        <v>0</v>
      </c>
      <c r="H920" s="705">
        <f>F920+G920</f>
        <v>0</v>
      </c>
      <c r="I920" s="705">
        <f>SUM(I921:I933)</f>
        <v>0</v>
      </c>
      <c r="J920" s="705">
        <f>SUM(J921:J933)</f>
        <v>0</v>
      </c>
      <c r="K920" s="705">
        <f>I920+J920</f>
        <v>0</v>
      </c>
      <c r="L920" s="705">
        <f>SUM(L921:L933)</f>
        <v>30299629</v>
      </c>
      <c r="M920" s="705">
        <f>SUM(M921:M933)</f>
        <v>0</v>
      </c>
      <c r="N920" s="705">
        <f>L920+M920</f>
        <v>30299629</v>
      </c>
      <c r="O920" s="1370">
        <f t="shared" si="72"/>
        <v>30299629</v>
      </c>
      <c r="P920" s="829"/>
      <c r="Q920" s="1581"/>
      <c r="R920" s="1581"/>
      <c r="S920" s="1581"/>
      <c r="T920" s="1581"/>
      <c r="U920" s="1581"/>
      <c r="V920" s="1581"/>
      <c r="W920" s="1581"/>
      <c r="X920" s="1581"/>
      <c r="Y920" s="1581"/>
      <c r="Z920" s="1581"/>
      <c r="AA920" s="1581"/>
      <c r="AB920" s="1581"/>
      <c r="AC920" s="1581"/>
      <c r="AD920" s="1581"/>
      <c r="AE920" s="1581"/>
      <c r="AF920" s="1581"/>
      <c r="AG920" s="1581"/>
      <c r="AH920" s="1581"/>
      <c r="AI920" s="1581"/>
      <c r="AJ920" s="1581"/>
      <c r="AK920" s="1581"/>
      <c r="AL920" s="1581"/>
      <c r="AM920" s="1581"/>
      <c r="AN920" s="1581"/>
      <c r="AO920" s="1581"/>
      <c r="AP920" s="1581"/>
      <c r="AQ920" s="1581"/>
      <c r="AR920" s="1581"/>
      <c r="AS920" s="1581"/>
      <c r="AT920" s="1581"/>
      <c r="AU920" s="1581"/>
      <c r="AV920" s="1581"/>
      <c r="AW920" s="1581"/>
      <c r="AX920" s="1581"/>
      <c r="AY920" s="1581"/>
      <c r="AZ920" s="1581"/>
      <c r="BA920" s="1581"/>
      <c r="BB920" s="1581"/>
      <c r="BC920" s="1581"/>
      <c r="BD920" s="1581"/>
      <c r="BE920" s="1581"/>
      <c r="BF920" s="1581"/>
      <c r="BG920" s="1581"/>
      <c r="BH920" s="1581"/>
      <c r="BI920" s="1581"/>
      <c r="BJ920" s="1581"/>
      <c r="BK920" s="1581"/>
      <c r="BL920" s="1581"/>
      <c r="BM920" s="1581"/>
      <c r="BN920" s="1581"/>
      <c r="BO920" s="1581"/>
      <c r="BP920" s="1581"/>
      <c r="BQ920" s="1581"/>
      <c r="BR920" s="1581"/>
      <c r="BS920" s="1581"/>
      <c r="BT920" s="1581"/>
      <c r="BU920" s="1581"/>
      <c r="BV920" s="1581"/>
      <c r="BW920" s="1581"/>
      <c r="BX920" s="1581"/>
      <c r="BY920" s="1581"/>
      <c r="BZ920" s="1581"/>
      <c r="CA920" s="1581"/>
      <c r="CB920" s="1581"/>
      <c r="CC920" s="1581"/>
      <c r="CD920" s="1581"/>
      <c r="CE920" s="1581"/>
      <c r="CF920" s="1581"/>
      <c r="CG920" s="1581"/>
      <c r="CH920" s="1581"/>
      <c r="CI920" s="1581"/>
      <c r="CJ920" s="1581"/>
      <c r="CK920" s="1581"/>
    </row>
    <row r="921" spans="1:89" ht="17.25" customHeight="1" x14ac:dyDescent="0.25">
      <c r="A921" s="692">
        <v>1</v>
      </c>
      <c r="B921" s="711" t="s">
        <v>1528</v>
      </c>
      <c r="C921" s="1437">
        <v>1</v>
      </c>
      <c r="D921" s="727" t="s">
        <v>16</v>
      </c>
      <c r="E921" s="695">
        <f>1551604-500000+500000</f>
        <v>1551604</v>
      </c>
      <c r="F921" s="695"/>
      <c r="G921" s="695"/>
      <c r="H921" s="695"/>
      <c r="I921" s="695"/>
      <c r="J921" s="695"/>
      <c r="K921" s="695"/>
      <c r="L921" s="695">
        <f t="shared" ref="L921:L933" si="73">E921*C921</f>
        <v>1551604</v>
      </c>
      <c r="M921" s="695"/>
      <c r="N921" s="695">
        <f t="shared" ref="N921:N933" si="74">L921+M921</f>
        <v>1551604</v>
      </c>
      <c r="O921" s="696">
        <f t="shared" si="72"/>
        <v>1551604</v>
      </c>
      <c r="P921" s="687"/>
    </row>
    <row r="922" spans="1:89" ht="17.25" customHeight="1" x14ac:dyDescent="0.25">
      <c r="A922" s="692">
        <v>2</v>
      </c>
      <c r="B922" s="711" t="s">
        <v>1529</v>
      </c>
      <c r="C922" s="1437">
        <v>1</v>
      </c>
      <c r="D922" s="727" t="s">
        <v>16</v>
      </c>
      <c r="E922" s="695">
        <f>1491089-300000+500000</f>
        <v>1691089</v>
      </c>
      <c r="F922" s="695"/>
      <c r="G922" s="695"/>
      <c r="H922" s="695"/>
      <c r="I922" s="695"/>
      <c r="J922" s="695"/>
      <c r="K922" s="695"/>
      <c r="L922" s="695">
        <f t="shared" si="73"/>
        <v>1691089</v>
      </c>
      <c r="M922" s="695"/>
      <c r="N922" s="695">
        <f t="shared" si="74"/>
        <v>1691089</v>
      </c>
      <c r="O922" s="696">
        <f t="shared" si="72"/>
        <v>1691089</v>
      </c>
      <c r="P922" s="687"/>
    </row>
    <row r="923" spans="1:89" ht="17.25" customHeight="1" x14ac:dyDescent="0.25">
      <c r="A923" s="692">
        <v>3</v>
      </c>
      <c r="B923" s="711" t="s">
        <v>1530</v>
      </c>
      <c r="C923" s="1437">
        <v>1</v>
      </c>
      <c r="D923" s="727" t="s">
        <v>16</v>
      </c>
      <c r="E923" s="695">
        <f>1963653-500000+500000</f>
        <v>1963653</v>
      </c>
      <c r="F923" s="695"/>
      <c r="G923" s="695"/>
      <c r="H923" s="695"/>
      <c r="I923" s="695"/>
      <c r="J923" s="695"/>
      <c r="K923" s="695"/>
      <c r="L923" s="695">
        <f t="shared" si="73"/>
        <v>1963653</v>
      </c>
      <c r="M923" s="695"/>
      <c r="N923" s="695">
        <f t="shared" si="74"/>
        <v>1963653</v>
      </c>
      <c r="O923" s="696">
        <f t="shared" si="72"/>
        <v>1963653</v>
      </c>
      <c r="P923" s="687"/>
    </row>
    <row r="924" spans="1:89" ht="17.25" customHeight="1" x14ac:dyDescent="0.25">
      <c r="A924" s="692">
        <v>4</v>
      </c>
      <c r="B924" s="711" t="s">
        <v>1531</v>
      </c>
      <c r="C924" s="1437">
        <v>1</v>
      </c>
      <c r="D924" s="727" t="s">
        <v>16</v>
      </c>
      <c r="E924" s="695">
        <f>1144998+500000</f>
        <v>1644998</v>
      </c>
      <c r="F924" s="695"/>
      <c r="G924" s="695"/>
      <c r="H924" s="695"/>
      <c r="I924" s="695"/>
      <c r="J924" s="695"/>
      <c r="K924" s="695"/>
      <c r="L924" s="695">
        <f t="shared" si="73"/>
        <v>1644998</v>
      </c>
      <c r="M924" s="695"/>
      <c r="N924" s="695">
        <f t="shared" si="74"/>
        <v>1644998</v>
      </c>
      <c r="O924" s="696">
        <f t="shared" si="72"/>
        <v>1644998</v>
      </c>
      <c r="P924" s="687"/>
    </row>
    <row r="925" spans="1:89" ht="17.25" customHeight="1" x14ac:dyDescent="0.25">
      <c r="A925" s="692">
        <v>5</v>
      </c>
      <c r="B925" s="711" t="s">
        <v>1532</v>
      </c>
      <c r="C925" s="1437">
        <v>1</v>
      </c>
      <c r="D925" s="727" t="s">
        <v>16</v>
      </c>
      <c r="E925" s="695">
        <f>1293945-200000+500000</f>
        <v>1593945</v>
      </c>
      <c r="F925" s="695"/>
      <c r="G925" s="695"/>
      <c r="H925" s="695"/>
      <c r="I925" s="695"/>
      <c r="J925" s="695"/>
      <c r="K925" s="695"/>
      <c r="L925" s="695">
        <f t="shared" si="73"/>
        <v>1593945</v>
      </c>
      <c r="M925" s="695"/>
      <c r="N925" s="695">
        <f t="shared" si="74"/>
        <v>1593945</v>
      </c>
      <c r="O925" s="696">
        <f t="shared" si="72"/>
        <v>1593945</v>
      </c>
      <c r="P925" s="687"/>
    </row>
    <row r="926" spans="1:89" ht="17.25" customHeight="1" x14ac:dyDescent="0.25">
      <c r="A926" s="692">
        <v>6</v>
      </c>
      <c r="B926" s="711" t="s">
        <v>1533</v>
      </c>
      <c r="C926" s="1437">
        <v>1</v>
      </c>
      <c r="D926" s="727" t="s">
        <v>16</v>
      </c>
      <c r="E926" s="695">
        <f>1015487+1000000-1000000+500000</f>
        <v>1515487</v>
      </c>
      <c r="F926" s="695"/>
      <c r="G926" s="695"/>
      <c r="H926" s="695"/>
      <c r="I926" s="695"/>
      <c r="J926" s="695"/>
      <c r="K926" s="695"/>
      <c r="L926" s="695">
        <f t="shared" si="73"/>
        <v>1515487</v>
      </c>
      <c r="M926" s="695"/>
      <c r="N926" s="695">
        <f t="shared" si="74"/>
        <v>1515487</v>
      </c>
      <c r="O926" s="696">
        <f t="shared" si="72"/>
        <v>1515487</v>
      </c>
      <c r="P926" s="687"/>
    </row>
    <row r="927" spans="1:89" ht="17.25" customHeight="1" x14ac:dyDescent="0.25">
      <c r="A927" s="820">
        <v>7</v>
      </c>
      <c r="B927" s="1438" t="s">
        <v>1534</v>
      </c>
      <c r="C927" s="1439">
        <v>1</v>
      </c>
      <c r="D927" s="831" t="s">
        <v>16</v>
      </c>
      <c r="E927" s="821">
        <f>1838853-500000</f>
        <v>1338853</v>
      </c>
      <c r="F927" s="695"/>
      <c r="G927" s="695"/>
      <c r="H927" s="695"/>
      <c r="I927" s="695"/>
      <c r="J927" s="695"/>
      <c r="K927" s="695"/>
      <c r="L927" s="695">
        <f t="shared" si="73"/>
        <v>1338853</v>
      </c>
      <c r="M927" s="695"/>
      <c r="N927" s="695">
        <f t="shared" si="74"/>
        <v>1338853</v>
      </c>
      <c r="O927" s="696">
        <f t="shared" si="72"/>
        <v>1338853</v>
      </c>
      <c r="P927" s="687"/>
    </row>
    <row r="928" spans="1:89" ht="72" customHeight="1" x14ac:dyDescent="0.25">
      <c r="A928" s="692">
        <v>8</v>
      </c>
      <c r="B928" s="1440" t="s">
        <v>1888</v>
      </c>
      <c r="C928" s="1441">
        <v>1</v>
      </c>
      <c r="D928" s="727" t="s">
        <v>16</v>
      </c>
      <c r="E928" s="695">
        <f>3761174-518113</f>
        <v>3243061</v>
      </c>
      <c r="F928" s="1442"/>
      <c r="G928" s="1443"/>
      <c r="H928" s="1444"/>
      <c r="I928" s="1442"/>
      <c r="J928" s="1444"/>
      <c r="K928" s="1442"/>
      <c r="L928" s="1443">
        <f t="shared" si="73"/>
        <v>3243061</v>
      </c>
      <c r="M928" s="1442"/>
      <c r="N928" s="1444">
        <f t="shared" si="74"/>
        <v>3243061</v>
      </c>
      <c r="O928" s="1445">
        <f t="shared" si="72"/>
        <v>3243061</v>
      </c>
      <c r="P928" s="687"/>
    </row>
    <row r="929" spans="1:89" ht="78.75" customHeight="1" x14ac:dyDescent="0.25">
      <c r="A929" s="692">
        <v>9</v>
      </c>
      <c r="B929" s="1440" t="s">
        <v>1889</v>
      </c>
      <c r="C929" s="1441">
        <v>1</v>
      </c>
      <c r="D929" s="727" t="s">
        <v>16</v>
      </c>
      <c r="E929" s="695">
        <v>2302049</v>
      </c>
      <c r="F929" s="695"/>
      <c r="G929" s="1400"/>
      <c r="H929" s="1450"/>
      <c r="I929" s="695"/>
      <c r="J929" s="1450"/>
      <c r="K929" s="695"/>
      <c r="L929" s="1400">
        <f t="shared" si="73"/>
        <v>2302049</v>
      </c>
      <c r="M929" s="695"/>
      <c r="N929" s="1450">
        <f t="shared" si="74"/>
        <v>2302049</v>
      </c>
      <c r="O929" s="696">
        <f t="shared" si="72"/>
        <v>2302049</v>
      </c>
      <c r="P929" s="687"/>
    </row>
    <row r="930" spans="1:89" ht="58.5" customHeight="1" x14ac:dyDescent="0.25">
      <c r="A930" s="692">
        <v>10</v>
      </c>
      <c r="B930" s="1440" t="s">
        <v>1890</v>
      </c>
      <c r="C930" s="1441">
        <v>1</v>
      </c>
      <c r="D930" s="727" t="s">
        <v>16</v>
      </c>
      <c r="E930" s="695">
        <v>3454890</v>
      </c>
      <c r="F930" s="695"/>
      <c r="G930" s="1400"/>
      <c r="H930" s="1450"/>
      <c r="I930" s="695"/>
      <c r="J930" s="1450"/>
      <c r="K930" s="695"/>
      <c r="L930" s="1400">
        <f t="shared" si="73"/>
        <v>3454890</v>
      </c>
      <c r="M930" s="695"/>
      <c r="N930" s="1450">
        <f t="shared" si="74"/>
        <v>3454890</v>
      </c>
      <c r="O930" s="696">
        <f t="shared" si="72"/>
        <v>3454890</v>
      </c>
      <c r="P930" s="687"/>
    </row>
    <row r="931" spans="1:89" ht="58.5" customHeight="1" x14ac:dyDescent="0.25">
      <c r="A931" s="692">
        <v>11</v>
      </c>
      <c r="B931" s="1440" t="s">
        <v>1891</v>
      </c>
      <c r="C931" s="1441">
        <v>1</v>
      </c>
      <c r="D931" s="727" t="s">
        <v>16</v>
      </c>
      <c r="E931" s="695">
        <v>4000000</v>
      </c>
      <c r="F931" s="695"/>
      <c r="G931" s="1400"/>
      <c r="H931" s="1450"/>
      <c r="I931" s="695"/>
      <c r="J931" s="1450"/>
      <c r="K931" s="695"/>
      <c r="L931" s="1400">
        <f t="shared" si="73"/>
        <v>4000000</v>
      </c>
      <c r="M931" s="695"/>
      <c r="N931" s="1450">
        <f t="shared" si="74"/>
        <v>4000000</v>
      </c>
      <c r="O931" s="696">
        <f t="shared" si="72"/>
        <v>4000000</v>
      </c>
      <c r="P931" s="687"/>
    </row>
    <row r="932" spans="1:89" ht="58.5" customHeight="1" x14ac:dyDescent="0.25">
      <c r="A932" s="692">
        <v>12</v>
      </c>
      <c r="B932" s="1440" t="s">
        <v>1892</v>
      </c>
      <c r="C932" s="1441">
        <v>1</v>
      </c>
      <c r="D932" s="727" t="s">
        <v>16</v>
      </c>
      <c r="E932" s="695">
        <v>3000000</v>
      </c>
      <c r="F932" s="695"/>
      <c r="G932" s="1400"/>
      <c r="H932" s="1450"/>
      <c r="I932" s="695"/>
      <c r="J932" s="1450"/>
      <c r="K932" s="695"/>
      <c r="L932" s="1400">
        <f t="shared" si="73"/>
        <v>3000000</v>
      </c>
      <c r="M932" s="695"/>
      <c r="N932" s="1450">
        <f t="shared" si="74"/>
        <v>3000000</v>
      </c>
      <c r="O932" s="696">
        <f t="shared" si="72"/>
        <v>3000000</v>
      </c>
      <c r="P932" s="687"/>
    </row>
    <row r="933" spans="1:89" ht="58.5" customHeight="1" x14ac:dyDescent="0.25">
      <c r="A933" s="692">
        <v>13</v>
      </c>
      <c r="B933" s="1440" t="s">
        <v>1893</v>
      </c>
      <c r="C933" s="1441">
        <v>1</v>
      </c>
      <c r="D933" s="727" t="s">
        <v>16</v>
      </c>
      <c r="E933" s="695">
        <v>3000000</v>
      </c>
      <c r="F933" s="695"/>
      <c r="G933" s="1400"/>
      <c r="H933" s="1450"/>
      <c r="I933" s="695"/>
      <c r="J933" s="1450"/>
      <c r="K933" s="695"/>
      <c r="L933" s="1400">
        <f t="shared" si="73"/>
        <v>3000000</v>
      </c>
      <c r="M933" s="695"/>
      <c r="N933" s="1450">
        <f t="shared" si="74"/>
        <v>3000000</v>
      </c>
      <c r="O933" s="696">
        <f t="shared" si="72"/>
        <v>3000000</v>
      </c>
      <c r="P933" s="687"/>
    </row>
    <row r="934" spans="1:89" ht="17.25" customHeight="1" x14ac:dyDescent="0.25">
      <c r="A934" s="692"/>
      <c r="B934" s="715"/>
      <c r="C934" s="1437"/>
      <c r="D934" s="727"/>
      <c r="E934" s="1400"/>
      <c r="F934" s="695"/>
      <c r="G934" s="695"/>
      <c r="H934" s="695"/>
      <c r="I934" s="695"/>
      <c r="J934" s="695"/>
      <c r="K934" s="695"/>
      <c r="L934" s="695"/>
      <c r="M934" s="695"/>
      <c r="N934" s="695"/>
      <c r="O934" s="696"/>
      <c r="P934" s="687"/>
    </row>
    <row r="935" spans="1:89" ht="17.25" customHeight="1" x14ac:dyDescent="0.25">
      <c r="A935" s="692"/>
      <c r="B935" s="1368" t="s">
        <v>123</v>
      </c>
      <c r="C935" s="1437"/>
      <c r="D935" s="727"/>
      <c r="E935" s="1400"/>
      <c r="F935" s="695"/>
      <c r="G935" s="695"/>
      <c r="H935" s="695"/>
      <c r="I935" s="695">
        <f>I936</f>
        <v>0</v>
      </c>
      <c r="J935" s="695">
        <f>J936</f>
        <v>10000000</v>
      </c>
      <c r="K935" s="695">
        <f>J935+I935</f>
        <v>10000000</v>
      </c>
      <c r="L935" s="695"/>
      <c r="M935" s="695"/>
      <c r="N935" s="695"/>
      <c r="O935" s="696"/>
      <c r="P935" s="687"/>
    </row>
    <row r="936" spans="1:89" ht="17.25" customHeight="1" x14ac:dyDescent="0.25">
      <c r="A936" s="692"/>
      <c r="B936" s="715" t="s">
        <v>1786</v>
      </c>
      <c r="C936" s="1437">
        <v>1</v>
      </c>
      <c r="D936" s="727" t="s">
        <v>16</v>
      </c>
      <c r="E936" s="1400">
        <v>10000000</v>
      </c>
      <c r="F936" s="695"/>
      <c r="G936" s="695"/>
      <c r="H936" s="695"/>
      <c r="I936" s="695"/>
      <c r="J936" s="695">
        <f>E936*C936</f>
        <v>10000000</v>
      </c>
      <c r="K936" s="695">
        <f>J936+I936</f>
        <v>10000000</v>
      </c>
      <c r="L936" s="695"/>
      <c r="M936" s="695"/>
      <c r="N936" s="695"/>
      <c r="O936" s="696">
        <f>N936+K936+H936</f>
        <v>10000000</v>
      </c>
      <c r="P936" s="687"/>
    </row>
    <row r="937" spans="1:89" ht="17.25" customHeight="1" x14ac:dyDescent="0.25">
      <c r="A937" s="692"/>
      <c r="B937" s="715"/>
      <c r="C937" s="1437"/>
      <c r="D937" s="727"/>
      <c r="E937" s="1400"/>
      <c r="F937" s="695"/>
      <c r="G937" s="695"/>
      <c r="H937" s="695"/>
      <c r="I937" s="695"/>
      <c r="J937" s="695"/>
      <c r="K937" s="695"/>
      <c r="L937" s="695"/>
      <c r="M937" s="695"/>
      <c r="N937" s="695"/>
      <c r="O937" s="696"/>
      <c r="P937" s="687"/>
    </row>
    <row r="938" spans="1:89" ht="17.25" customHeight="1" x14ac:dyDescent="0.25">
      <c r="A938" s="692"/>
      <c r="B938" s="1236"/>
      <c r="C938" s="693"/>
      <c r="D938" s="727"/>
      <c r="E938" s="1400"/>
      <c r="F938" s="695"/>
      <c r="G938" s="695"/>
      <c r="H938" s="695"/>
      <c r="I938" s="695"/>
      <c r="J938" s="695"/>
      <c r="K938" s="695"/>
      <c r="L938" s="695"/>
      <c r="M938" s="695"/>
      <c r="N938" s="695"/>
      <c r="O938" s="696"/>
      <c r="P938" s="687"/>
    </row>
    <row r="939" spans="1:89" s="672" customFormat="1" ht="17.25" customHeight="1" x14ac:dyDescent="0.25">
      <c r="A939" s="740" t="s">
        <v>22</v>
      </c>
      <c r="B939" s="1446" t="s">
        <v>23</v>
      </c>
      <c r="C939" s="886"/>
      <c r="D939" s="1403"/>
      <c r="E939" s="874"/>
      <c r="F939" s="874">
        <f>SUM(F940:F984)</f>
        <v>0</v>
      </c>
      <c r="G939" s="874">
        <f>SUM(G940:G984)</f>
        <v>0</v>
      </c>
      <c r="H939" s="874">
        <f>F939+G939</f>
        <v>0</v>
      </c>
      <c r="I939" s="874">
        <f>SUM(I940:I984)</f>
        <v>0</v>
      </c>
      <c r="J939" s="874">
        <f>SUM(J940:J984)</f>
        <v>4875000</v>
      </c>
      <c r="K939" s="874">
        <f>I939+J939</f>
        <v>4875000</v>
      </c>
      <c r="L939" s="874">
        <f>SUM(L940:L984)</f>
        <v>0</v>
      </c>
      <c r="M939" s="874">
        <f>SUM(M940:M984)</f>
        <v>0</v>
      </c>
      <c r="N939" s="874">
        <f>L939+M939</f>
        <v>0</v>
      </c>
      <c r="O939" s="775">
        <f>N939+K939+H939</f>
        <v>4875000</v>
      </c>
      <c r="P939" s="776"/>
      <c r="Q939" s="1581"/>
      <c r="R939" s="1581"/>
      <c r="S939" s="1581"/>
      <c r="T939" s="1581"/>
      <c r="U939" s="1581"/>
      <c r="V939" s="1581"/>
      <c r="W939" s="1581"/>
      <c r="X939" s="1581"/>
      <c r="Y939" s="1581"/>
      <c r="Z939" s="1581"/>
      <c r="AA939" s="1581"/>
      <c r="AB939" s="1581"/>
      <c r="AC939" s="1581"/>
      <c r="AD939" s="1581"/>
      <c r="AE939" s="1581"/>
      <c r="AF939" s="1581"/>
      <c r="AG939" s="1581"/>
      <c r="AH939" s="1581"/>
      <c r="AI939" s="1581"/>
      <c r="AJ939" s="1581"/>
      <c r="AK939" s="1581"/>
      <c r="AL939" s="1581"/>
      <c r="AM939" s="1581"/>
      <c r="AN939" s="1581"/>
      <c r="AO939" s="1581"/>
      <c r="AP939" s="1581"/>
      <c r="AQ939" s="1581"/>
      <c r="AR939" s="1581"/>
      <c r="AS939" s="1581"/>
      <c r="AT939" s="1581"/>
      <c r="AU939" s="1581"/>
      <c r="AV939" s="1581"/>
      <c r="AW939" s="1581"/>
      <c r="AX939" s="1581"/>
      <c r="AY939" s="1581"/>
      <c r="AZ939" s="1581"/>
      <c r="BA939" s="1581"/>
      <c r="BB939" s="1581"/>
      <c r="BC939" s="1581"/>
      <c r="BD939" s="1581"/>
      <c r="BE939" s="1581"/>
      <c r="BF939" s="1581"/>
      <c r="BG939" s="1581"/>
      <c r="BH939" s="1581"/>
      <c r="BI939" s="1581"/>
      <c r="BJ939" s="1581"/>
      <c r="BK939" s="1581"/>
      <c r="BL939" s="1581"/>
      <c r="BM939" s="1581"/>
      <c r="BN939" s="1581"/>
      <c r="BO939" s="1581"/>
      <c r="BP939" s="1581"/>
      <c r="BQ939" s="1581"/>
      <c r="BR939" s="1581"/>
      <c r="BS939" s="1581"/>
      <c r="BT939" s="1581"/>
      <c r="BU939" s="1581"/>
      <c r="BV939" s="1581"/>
      <c r="BW939" s="1581"/>
      <c r="BX939" s="1581"/>
      <c r="BY939" s="1581"/>
      <c r="BZ939" s="1581"/>
      <c r="CA939" s="1581"/>
      <c r="CB939" s="1581"/>
      <c r="CC939" s="1581"/>
      <c r="CD939" s="1581"/>
      <c r="CE939" s="1581"/>
      <c r="CF939" s="1581"/>
      <c r="CG939" s="1581"/>
      <c r="CH939" s="1581"/>
      <c r="CI939" s="1581"/>
      <c r="CJ939" s="1581"/>
      <c r="CK939" s="1581"/>
    </row>
    <row r="940" spans="1:89" ht="17.25" customHeight="1" x14ac:dyDescent="0.25">
      <c r="A940" s="692">
        <v>1</v>
      </c>
      <c r="B940" s="1447" t="s">
        <v>21</v>
      </c>
      <c r="C940" s="693"/>
      <c r="D940" s="727"/>
      <c r="E940" s="695"/>
      <c r="F940" s="695"/>
      <c r="G940" s="695"/>
      <c r="H940" s="695"/>
      <c r="I940" s="695"/>
      <c r="J940" s="695"/>
      <c r="K940" s="695"/>
      <c r="L940" s="695"/>
      <c r="M940" s="695"/>
      <c r="N940" s="695"/>
      <c r="O940" s="696">
        <f>N940+K940+H940</f>
        <v>0</v>
      </c>
      <c r="P940" s="687"/>
    </row>
    <row r="941" spans="1:89" ht="17.25" customHeight="1" x14ac:dyDescent="0.25">
      <c r="A941" s="692"/>
      <c r="B941" s="1447" t="s">
        <v>134</v>
      </c>
      <c r="C941" s="693">
        <v>1</v>
      </c>
      <c r="D941" s="727" t="s">
        <v>25</v>
      </c>
      <c r="E941" s="695">
        <f>5671737-871737</f>
        <v>4800000</v>
      </c>
      <c r="F941" s="695"/>
      <c r="G941" s="695"/>
      <c r="H941" s="695"/>
      <c r="I941" s="695"/>
      <c r="J941" s="695">
        <f>E941*C941</f>
        <v>4800000</v>
      </c>
      <c r="K941" s="695">
        <f>I941+J941</f>
        <v>4800000</v>
      </c>
      <c r="L941" s="695"/>
      <c r="M941" s="695"/>
      <c r="N941" s="695"/>
      <c r="O941" s="696">
        <f>N941+K941+H941</f>
        <v>4800000</v>
      </c>
      <c r="P941" s="687"/>
    </row>
    <row r="942" spans="1:89" ht="17.25" customHeight="1" x14ac:dyDescent="0.25">
      <c r="A942" s="692"/>
      <c r="B942" s="1446" t="s">
        <v>1965</v>
      </c>
      <c r="C942" s="693"/>
      <c r="D942" s="727"/>
      <c r="E942" s="695"/>
      <c r="F942" s="695"/>
      <c r="G942" s="695"/>
      <c r="H942" s="695"/>
      <c r="I942" s="695"/>
      <c r="J942" s="695"/>
      <c r="K942" s="695"/>
      <c r="L942" s="695"/>
      <c r="M942" s="695"/>
      <c r="N942" s="695"/>
      <c r="O942" s="696"/>
      <c r="P942" s="687"/>
    </row>
    <row r="943" spans="1:89" ht="17.25" customHeight="1" x14ac:dyDescent="0.25">
      <c r="A943" s="692"/>
      <c r="B943" s="1780" t="s">
        <v>1940</v>
      </c>
      <c r="C943" s="693"/>
      <c r="D943" s="727"/>
      <c r="E943" s="695"/>
      <c r="F943" s="695"/>
      <c r="G943" s="695"/>
      <c r="H943" s="695"/>
      <c r="I943" s="695"/>
      <c r="J943" s="695"/>
      <c r="K943" s="695"/>
      <c r="L943" s="695"/>
      <c r="M943" s="695"/>
      <c r="N943" s="695"/>
      <c r="O943" s="696"/>
      <c r="P943" s="687"/>
    </row>
    <row r="944" spans="1:89" ht="17.25" customHeight="1" x14ac:dyDescent="0.25">
      <c r="A944" s="692"/>
      <c r="B944" s="1780" t="s">
        <v>1941</v>
      </c>
      <c r="C944" s="693"/>
      <c r="D944" s="727"/>
      <c r="E944" s="695"/>
      <c r="F944" s="695"/>
      <c r="G944" s="695"/>
      <c r="H944" s="695"/>
      <c r="I944" s="695"/>
      <c r="J944" s="695"/>
      <c r="K944" s="695"/>
      <c r="L944" s="695"/>
      <c r="M944" s="695"/>
      <c r="N944" s="695"/>
      <c r="O944" s="696"/>
      <c r="P944" s="687"/>
    </row>
    <row r="945" spans="1:16" ht="17.25" customHeight="1" x14ac:dyDescent="0.25">
      <c r="A945" s="692"/>
      <c r="B945" s="1780" t="s">
        <v>1942</v>
      </c>
      <c r="C945" s="693"/>
      <c r="D945" s="727"/>
      <c r="E945" s="695"/>
      <c r="F945" s="695"/>
      <c r="G945" s="695"/>
      <c r="H945" s="695"/>
      <c r="I945" s="695"/>
      <c r="J945" s="695"/>
      <c r="K945" s="695"/>
      <c r="L945" s="695"/>
      <c r="M945" s="695"/>
      <c r="N945" s="695"/>
      <c r="O945" s="696"/>
      <c r="P945" s="687"/>
    </row>
    <row r="946" spans="1:16" ht="17.25" customHeight="1" x14ac:dyDescent="0.25">
      <c r="A946" s="692"/>
      <c r="B946" s="1780" t="s">
        <v>1943</v>
      </c>
      <c r="C946" s="693"/>
      <c r="D946" s="727"/>
      <c r="E946" s="695"/>
      <c r="F946" s="695"/>
      <c r="G946" s="695"/>
      <c r="H946" s="695"/>
      <c r="I946" s="695"/>
      <c r="J946" s="695"/>
      <c r="K946" s="695"/>
      <c r="L946" s="695"/>
      <c r="M946" s="695"/>
      <c r="N946" s="695"/>
      <c r="O946" s="696"/>
      <c r="P946" s="687"/>
    </row>
    <row r="947" spans="1:16" ht="17.25" customHeight="1" x14ac:dyDescent="0.25">
      <c r="A947" s="692"/>
      <c r="B947" s="1780" t="s">
        <v>1944</v>
      </c>
      <c r="C947" s="693"/>
      <c r="D947" s="727"/>
      <c r="E947" s="695"/>
      <c r="F947" s="695"/>
      <c r="G947" s="695"/>
      <c r="H947" s="695"/>
      <c r="I947" s="695"/>
      <c r="J947" s="695"/>
      <c r="K947" s="695"/>
      <c r="L947" s="695"/>
      <c r="M947" s="695"/>
      <c r="N947" s="695"/>
      <c r="O947" s="696"/>
      <c r="P947" s="687"/>
    </row>
    <row r="948" spans="1:16" ht="17.25" customHeight="1" x14ac:dyDescent="0.25">
      <c r="A948" s="692"/>
      <c r="B948" s="1780" t="s">
        <v>1945</v>
      </c>
      <c r="C948" s="693"/>
      <c r="D948" s="727"/>
      <c r="E948" s="695"/>
      <c r="F948" s="695"/>
      <c r="G948" s="695"/>
      <c r="H948" s="695"/>
      <c r="I948" s="695"/>
      <c r="J948" s="695"/>
      <c r="K948" s="695"/>
      <c r="L948" s="695"/>
      <c r="M948" s="695"/>
      <c r="N948" s="695"/>
      <c r="O948" s="696"/>
      <c r="P948" s="687"/>
    </row>
    <row r="949" spans="1:16" ht="17.25" customHeight="1" x14ac:dyDescent="0.25">
      <c r="A949" s="692"/>
      <c r="B949" s="1447"/>
      <c r="C949" s="693"/>
      <c r="D949" s="727"/>
      <c r="E949" s="695"/>
      <c r="F949" s="695"/>
      <c r="G949" s="695"/>
      <c r="H949" s="695"/>
      <c r="I949" s="695"/>
      <c r="J949" s="695"/>
      <c r="K949" s="695"/>
      <c r="L949" s="695"/>
      <c r="M949" s="695"/>
      <c r="N949" s="695"/>
      <c r="O949" s="696"/>
      <c r="P949" s="687"/>
    </row>
    <row r="950" spans="1:16" ht="17.25" customHeight="1" x14ac:dyDescent="0.25">
      <c r="A950" s="692"/>
      <c r="B950" s="1368" t="s">
        <v>1535</v>
      </c>
      <c r="C950" s="693"/>
      <c r="D950" s="727"/>
      <c r="E950" s="695"/>
      <c r="F950" s="695"/>
      <c r="G950" s="695"/>
      <c r="H950" s="695"/>
      <c r="I950" s="695"/>
      <c r="J950" s="695"/>
      <c r="K950" s="695"/>
      <c r="L950" s="695"/>
      <c r="M950" s="695"/>
      <c r="N950" s="695"/>
      <c r="O950" s="696"/>
      <c r="P950" s="687"/>
    </row>
    <row r="951" spans="1:16" ht="17.25" customHeight="1" x14ac:dyDescent="0.25">
      <c r="A951" s="692"/>
      <c r="B951" s="1780" t="s">
        <v>1946</v>
      </c>
      <c r="C951" s="693"/>
      <c r="D951" s="727"/>
      <c r="E951" s="695"/>
      <c r="F951" s="695"/>
      <c r="G951" s="695"/>
      <c r="H951" s="695"/>
      <c r="I951" s="695"/>
      <c r="J951" s="695"/>
      <c r="K951" s="695"/>
      <c r="L951" s="695"/>
      <c r="M951" s="695"/>
      <c r="N951" s="695"/>
      <c r="O951" s="696"/>
      <c r="P951" s="687"/>
    </row>
    <row r="952" spans="1:16" ht="17.25" customHeight="1" x14ac:dyDescent="0.25">
      <c r="A952" s="692"/>
      <c r="B952" s="1780" t="s">
        <v>1947</v>
      </c>
      <c r="C952" s="693"/>
      <c r="D952" s="727"/>
      <c r="E952" s="695"/>
      <c r="F952" s="695"/>
      <c r="G952" s="695"/>
      <c r="H952" s="695"/>
      <c r="I952" s="695"/>
      <c r="J952" s="695"/>
      <c r="K952" s="695"/>
      <c r="L952" s="695"/>
      <c r="M952" s="695"/>
      <c r="N952" s="695"/>
      <c r="O952" s="696"/>
      <c r="P952" s="687"/>
    </row>
    <row r="953" spans="1:16" ht="17.25" customHeight="1" x14ac:dyDescent="0.25">
      <c r="A953" s="692"/>
      <c r="B953" s="1780" t="s">
        <v>1948</v>
      </c>
      <c r="C953" s="693"/>
      <c r="D953" s="727"/>
      <c r="E953" s="695"/>
      <c r="F953" s="695"/>
      <c r="G953" s="695"/>
      <c r="H953" s="695"/>
      <c r="I953" s="695"/>
      <c r="J953" s="695"/>
      <c r="K953" s="695"/>
      <c r="L953" s="695"/>
      <c r="M953" s="695"/>
      <c r="N953" s="695"/>
      <c r="O953" s="696"/>
      <c r="P953" s="687"/>
    </row>
    <row r="954" spans="1:16" ht="17.25" customHeight="1" x14ac:dyDescent="0.25">
      <c r="A954" s="692"/>
      <c r="B954" s="1780" t="s">
        <v>1949</v>
      </c>
      <c r="C954" s="693"/>
      <c r="D954" s="727"/>
      <c r="E954" s="695"/>
      <c r="F954" s="695"/>
      <c r="G954" s="695"/>
      <c r="H954" s="695"/>
      <c r="I954" s="695"/>
      <c r="J954" s="695"/>
      <c r="K954" s="695"/>
      <c r="L954" s="695"/>
      <c r="M954" s="695"/>
      <c r="N954" s="695"/>
      <c r="O954" s="696"/>
      <c r="P954" s="687"/>
    </row>
    <row r="955" spans="1:16" ht="17.25" customHeight="1" x14ac:dyDescent="0.25">
      <c r="A955" s="692"/>
      <c r="B955" s="1780" t="s">
        <v>1950</v>
      </c>
      <c r="C955" s="693"/>
      <c r="D955" s="727"/>
      <c r="E955" s="695"/>
      <c r="F955" s="695"/>
      <c r="G955" s="695"/>
      <c r="H955" s="695"/>
      <c r="I955" s="695"/>
      <c r="J955" s="695"/>
      <c r="K955" s="695"/>
      <c r="L955" s="695"/>
      <c r="M955" s="695"/>
      <c r="N955" s="695"/>
      <c r="O955" s="696"/>
      <c r="P955" s="687"/>
    </row>
    <row r="956" spans="1:16" ht="17.25" customHeight="1" x14ac:dyDescent="0.25">
      <c r="A956" s="692"/>
      <c r="B956" s="1780" t="s">
        <v>1951</v>
      </c>
      <c r="C956" s="693"/>
      <c r="D956" s="727"/>
      <c r="E956" s="695"/>
      <c r="F956" s="695"/>
      <c r="G956" s="695"/>
      <c r="H956" s="695"/>
      <c r="I956" s="695"/>
      <c r="J956" s="695"/>
      <c r="K956" s="695"/>
      <c r="L956" s="695"/>
      <c r="M956" s="695"/>
      <c r="N956" s="695"/>
      <c r="O956" s="696"/>
      <c r="P956" s="687"/>
    </row>
    <row r="957" spans="1:16" ht="17.25" customHeight="1" x14ac:dyDescent="0.25">
      <c r="A957" s="692"/>
      <c r="B957" s="1780" t="s">
        <v>1952</v>
      </c>
      <c r="C957" s="693"/>
      <c r="D957" s="727"/>
      <c r="E957" s="695"/>
      <c r="F957" s="695"/>
      <c r="G957" s="695"/>
      <c r="H957" s="695"/>
      <c r="I957" s="695"/>
      <c r="J957" s="695"/>
      <c r="K957" s="695"/>
      <c r="L957" s="695"/>
      <c r="M957" s="695"/>
      <c r="N957" s="695"/>
      <c r="O957" s="696"/>
      <c r="P957" s="687"/>
    </row>
    <row r="958" spans="1:16" ht="17.25" customHeight="1" x14ac:dyDescent="0.25">
      <c r="A958" s="692"/>
      <c r="B958" s="1780" t="s">
        <v>1953</v>
      </c>
      <c r="C958" s="693"/>
      <c r="D958" s="727"/>
      <c r="E958" s="695"/>
      <c r="F958" s="695"/>
      <c r="G958" s="695"/>
      <c r="H958" s="695"/>
      <c r="I958" s="695"/>
      <c r="J958" s="695"/>
      <c r="K958" s="695"/>
      <c r="L958" s="695"/>
      <c r="M958" s="695"/>
      <c r="N958" s="695"/>
      <c r="O958" s="696"/>
      <c r="P958" s="687"/>
    </row>
    <row r="959" spans="1:16" ht="17.25" customHeight="1" x14ac:dyDescent="0.25">
      <c r="A959" s="692"/>
      <c r="B959" s="1780" t="s">
        <v>1954</v>
      </c>
      <c r="C959" s="693"/>
      <c r="D959" s="727"/>
      <c r="E959" s="695"/>
      <c r="F959" s="695"/>
      <c r="G959" s="695"/>
      <c r="H959" s="695"/>
      <c r="I959" s="695"/>
      <c r="J959" s="695"/>
      <c r="K959" s="695"/>
      <c r="L959" s="695"/>
      <c r="M959" s="695"/>
      <c r="N959" s="695"/>
      <c r="O959" s="696"/>
      <c r="P959" s="687"/>
    </row>
    <row r="960" spans="1:16" ht="17.25" customHeight="1" x14ac:dyDescent="0.25">
      <c r="A960" s="692"/>
      <c r="B960" s="1780" t="s">
        <v>1955</v>
      </c>
      <c r="C960" s="693"/>
      <c r="D960" s="727"/>
      <c r="E960" s="695"/>
      <c r="F960" s="695"/>
      <c r="G960" s="695"/>
      <c r="H960" s="695"/>
      <c r="I960" s="695"/>
      <c r="J960" s="695"/>
      <c r="K960" s="695"/>
      <c r="L960" s="695"/>
      <c r="M960" s="695"/>
      <c r="N960" s="695"/>
      <c r="O960" s="696"/>
      <c r="P960" s="687"/>
    </row>
    <row r="961" spans="1:16" ht="17.25" customHeight="1" x14ac:dyDescent="0.25">
      <c r="A961" s="692"/>
      <c r="B961" s="1780" t="s">
        <v>1956</v>
      </c>
      <c r="C961" s="693"/>
      <c r="D961" s="727"/>
      <c r="E961" s="695"/>
      <c r="F961" s="695"/>
      <c r="G961" s="695"/>
      <c r="H961" s="695"/>
      <c r="I961" s="695"/>
      <c r="J961" s="695"/>
      <c r="K961" s="695"/>
      <c r="L961" s="695"/>
      <c r="M961" s="695"/>
      <c r="N961" s="695"/>
      <c r="O961" s="696"/>
      <c r="P961" s="687"/>
    </row>
    <row r="962" spans="1:16" ht="17.25" customHeight="1" x14ac:dyDescent="0.25">
      <c r="A962" s="692"/>
      <c r="B962" s="1780" t="s">
        <v>1957</v>
      </c>
      <c r="C962" s="693"/>
      <c r="D962" s="727"/>
      <c r="E962" s="695"/>
      <c r="F962" s="695"/>
      <c r="G962" s="695"/>
      <c r="H962" s="695"/>
      <c r="I962" s="695"/>
      <c r="J962" s="695"/>
      <c r="K962" s="695"/>
      <c r="L962" s="695"/>
      <c r="M962" s="695"/>
      <c r="N962" s="695"/>
      <c r="O962" s="696"/>
      <c r="P962" s="687"/>
    </row>
    <row r="963" spans="1:16" ht="17.25" customHeight="1" x14ac:dyDescent="0.25">
      <c r="A963" s="692"/>
      <c r="B963" s="1248"/>
      <c r="C963" s="693"/>
      <c r="D963" s="727"/>
      <c r="E963" s="695"/>
      <c r="F963" s="695"/>
      <c r="G963" s="695"/>
      <c r="H963" s="695"/>
      <c r="I963" s="695"/>
      <c r="J963" s="695"/>
      <c r="K963" s="695"/>
      <c r="L963" s="695"/>
      <c r="M963" s="695"/>
      <c r="N963" s="695"/>
      <c r="O963" s="696"/>
      <c r="P963" s="687"/>
    </row>
    <row r="964" spans="1:16" ht="17.25" customHeight="1" x14ac:dyDescent="0.25">
      <c r="A964" s="692"/>
      <c r="B964" s="1415" t="s">
        <v>1966</v>
      </c>
      <c r="C964" s="693"/>
      <c r="D964" s="727"/>
      <c r="E964" s="695"/>
      <c r="F964" s="695"/>
      <c r="G964" s="695"/>
      <c r="H964" s="695"/>
      <c r="I964" s="695"/>
      <c r="J964" s="695"/>
      <c r="K964" s="695"/>
      <c r="L964" s="695"/>
      <c r="M964" s="695"/>
      <c r="N964" s="695"/>
      <c r="O964" s="696"/>
      <c r="P964" s="687"/>
    </row>
    <row r="965" spans="1:16" ht="17.25" customHeight="1" x14ac:dyDescent="0.25">
      <c r="A965" s="692"/>
      <c r="B965" s="1793" t="s">
        <v>1967</v>
      </c>
      <c r="C965" s="693"/>
      <c r="D965" s="727"/>
      <c r="E965" s="695"/>
      <c r="F965" s="695"/>
      <c r="G965" s="695"/>
      <c r="H965" s="695"/>
      <c r="I965" s="695"/>
      <c r="J965" s="695"/>
      <c r="K965" s="695"/>
      <c r="L965" s="695"/>
      <c r="M965" s="695"/>
      <c r="N965" s="695"/>
      <c r="O965" s="696"/>
      <c r="P965" s="687"/>
    </row>
    <row r="966" spans="1:16" ht="17.25" customHeight="1" x14ac:dyDescent="0.25">
      <c r="A966" s="692"/>
      <c r="B966" s="1780" t="s">
        <v>1968</v>
      </c>
      <c r="C966" s="693"/>
      <c r="D966" s="727"/>
      <c r="E966" s="695"/>
      <c r="F966" s="695"/>
      <c r="G966" s="695"/>
      <c r="H966" s="695"/>
      <c r="I966" s="695"/>
      <c r="J966" s="695"/>
      <c r="K966" s="695"/>
      <c r="L966" s="695"/>
      <c r="M966" s="695"/>
      <c r="N966" s="695"/>
      <c r="O966" s="696"/>
      <c r="P966" s="687"/>
    </row>
    <row r="967" spans="1:16" ht="17.25" customHeight="1" x14ac:dyDescent="0.25">
      <c r="A967" s="692"/>
      <c r="B967" s="1780" t="s">
        <v>1969</v>
      </c>
      <c r="C967" s="693"/>
      <c r="D967" s="727"/>
      <c r="E967" s="695"/>
      <c r="F967" s="695"/>
      <c r="G967" s="695"/>
      <c r="H967" s="695"/>
      <c r="I967" s="695"/>
      <c r="J967" s="695"/>
      <c r="K967" s="695"/>
      <c r="L967" s="695"/>
      <c r="M967" s="695"/>
      <c r="N967" s="695"/>
      <c r="O967" s="696"/>
      <c r="P967" s="687"/>
    </row>
    <row r="968" spans="1:16" ht="17.25" customHeight="1" x14ac:dyDescent="0.25">
      <c r="A968" s="692"/>
      <c r="B968" s="1780" t="s">
        <v>1970</v>
      </c>
      <c r="C968" s="693"/>
      <c r="D968" s="727"/>
      <c r="E968" s="695"/>
      <c r="F968" s="695"/>
      <c r="G968" s="695"/>
      <c r="H968" s="695"/>
      <c r="I968" s="695"/>
      <c r="J968" s="695"/>
      <c r="K968" s="695"/>
      <c r="L968" s="695"/>
      <c r="M968" s="695"/>
      <c r="N968" s="695"/>
      <c r="O968" s="696"/>
      <c r="P968" s="687"/>
    </row>
    <row r="969" spans="1:16" ht="17.25" customHeight="1" x14ac:dyDescent="0.25">
      <c r="A969" s="692"/>
      <c r="B969" s="1780" t="s">
        <v>1971</v>
      </c>
      <c r="C969" s="693"/>
      <c r="D969" s="727"/>
      <c r="E969" s="695"/>
      <c r="F969" s="695"/>
      <c r="G969" s="695"/>
      <c r="H969" s="695"/>
      <c r="I969" s="695"/>
      <c r="J969" s="695"/>
      <c r="K969" s="695"/>
      <c r="L969" s="695"/>
      <c r="M969" s="695"/>
      <c r="N969" s="695"/>
      <c r="O969" s="696"/>
      <c r="P969" s="687"/>
    </row>
    <row r="970" spans="1:16" ht="17.25" customHeight="1" x14ac:dyDescent="0.25">
      <c r="A970" s="692"/>
      <c r="B970" s="1780" t="s">
        <v>1972</v>
      </c>
      <c r="C970" s="693"/>
      <c r="D970" s="727"/>
      <c r="E970" s="695"/>
      <c r="F970" s="695"/>
      <c r="G970" s="695"/>
      <c r="H970" s="695"/>
      <c r="I970" s="695"/>
      <c r="J970" s="695"/>
      <c r="K970" s="695"/>
      <c r="L970" s="695"/>
      <c r="M970" s="695"/>
      <c r="N970" s="695"/>
      <c r="O970" s="696"/>
      <c r="P970" s="687"/>
    </row>
    <row r="971" spans="1:16" ht="17.25" customHeight="1" x14ac:dyDescent="0.25">
      <c r="A971" s="692"/>
      <c r="B971" s="1780" t="s">
        <v>1973</v>
      </c>
      <c r="C971" s="693"/>
      <c r="D971" s="727"/>
      <c r="E971" s="695"/>
      <c r="F971" s="695"/>
      <c r="G971" s="695"/>
      <c r="H971" s="695"/>
      <c r="I971" s="695"/>
      <c r="J971" s="695"/>
      <c r="K971" s="695"/>
      <c r="L971" s="695"/>
      <c r="M971" s="695"/>
      <c r="N971" s="695"/>
      <c r="O971" s="696"/>
      <c r="P971" s="687"/>
    </row>
    <row r="972" spans="1:16" ht="17.25" customHeight="1" x14ac:dyDescent="0.25">
      <c r="A972" s="692"/>
      <c r="B972" s="1780" t="s">
        <v>1974</v>
      </c>
      <c r="C972" s="693"/>
      <c r="D972" s="727"/>
      <c r="E972" s="695"/>
      <c r="F972" s="695"/>
      <c r="G972" s="695"/>
      <c r="H972" s="695"/>
      <c r="I972" s="695"/>
      <c r="J972" s="695"/>
      <c r="K972" s="695"/>
      <c r="L972" s="695"/>
      <c r="M972" s="695"/>
      <c r="N972" s="695"/>
      <c r="O972" s="696"/>
      <c r="P972" s="687"/>
    </row>
    <row r="973" spans="1:16" ht="17.25" customHeight="1" x14ac:dyDescent="0.25">
      <c r="A973" s="692"/>
      <c r="B973" s="1248"/>
      <c r="C973" s="693"/>
      <c r="D973" s="727"/>
      <c r="E973" s="695"/>
      <c r="F973" s="695"/>
      <c r="G973" s="695"/>
      <c r="H973" s="695"/>
      <c r="I973" s="695"/>
      <c r="J973" s="695"/>
      <c r="K973" s="695"/>
      <c r="L973" s="695"/>
      <c r="M973" s="695"/>
      <c r="N973" s="695"/>
      <c r="O973" s="696"/>
      <c r="P973" s="687"/>
    </row>
    <row r="974" spans="1:16" ht="17.25" customHeight="1" x14ac:dyDescent="0.25">
      <c r="A974" s="692"/>
      <c r="B974" s="1368" t="s">
        <v>1536</v>
      </c>
      <c r="C974" s="693"/>
      <c r="D974" s="727"/>
      <c r="E974" s="695"/>
      <c r="F974" s="695"/>
      <c r="G974" s="695"/>
      <c r="H974" s="695"/>
      <c r="I974" s="695"/>
      <c r="J974" s="695"/>
      <c r="K974" s="695"/>
      <c r="L974" s="695"/>
      <c r="M974" s="695"/>
      <c r="N974" s="695"/>
      <c r="O974" s="696"/>
      <c r="P974" s="687"/>
    </row>
    <row r="975" spans="1:16" ht="17.25" customHeight="1" x14ac:dyDescent="0.25">
      <c r="A975" s="692"/>
      <c r="B975" s="1780" t="s">
        <v>1958</v>
      </c>
      <c r="C975" s="693"/>
      <c r="D975" s="727"/>
      <c r="E975" s="695"/>
      <c r="F975" s="695"/>
      <c r="G975" s="695"/>
      <c r="H975" s="695"/>
      <c r="I975" s="695"/>
      <c r="J975" s="695"/>
      <c r="K975" s="695"/>
      <c r="L975" s="695"/>
      <c r="M975" s="695"/>
      <c r="N975" s="695"/>
      <c r="O975" s="696"/>
      <c r="P975" s="687"/>
    </row>
    <row r="976" spans="1:16" ht="17.25" customHeight="1" x14ac:dyDescent="0.25">
      <c r="A976" s="692"/>
      <c r="B976" s="1780" t="s">
        <v>1959</v>
      </c>
      <c r="C976" s="693"/>
      <c r="D976" s="727"/>
      <c r="E976" s="695"/>
      <c r="F976" s="695"/>
      <c r="G976" s="695"/>
      <c r="H976" s="695"/>
      <c r="I976" s="695"/>
      <c r="J976" s="695"/>
      <c r="K976" s="695"/>
      <c r="L976" s="695"/>
      <c r="M976" s="695"/>
      <c r="N976" s="695"/>
      <c r="O976" s="696"/>
      <c r="P976" s="687"/>
    </row>
    <row r="977" spans="1:89" ht="17.25" customHeight="1" x14ac:dyDescent="0.25">
      <c r="A977" s="692"/>
      <c r="B977" s="1780" t="s">
        <v>1960</v>
      </c>
      <c r="C977" s="693"/>
      <c r="D977" s="727"/>
      <c r="E977" s="695"/>
      <c r="F977" s="695"/>
      <c r="G977" s="695"/>
      <c r="H977" s="695"/>
      <c r="I977" s="695"/>
      <c r="J977" s="695"/>
      <c r="K977" s="695"/>
      <c r="L977" s="695"/>
      <c r="M977" s="695"/>
      <c r="N977" s="695"/>
      <c r="O977" s="696"/>
      <c r="P977" s="687"/>
    </row>
    <row r="978" spans="1:89" ht="17.25" customHeight="1" x14ac:dyDescent="0.25">
      <c r="A978" s="692"/>
      <c r="B978" s="1780" t="s">
        <v>1961</v>
      </c>
      <c r="C978" s="693"/>
      <c r="D978" s="727"/>
      <c r="E978" s="695"/>
      <c r="F978" s="695"/>
      <c r="G978" s="695"/>
      <c r="H978" s="695"/>
      <c r="I978" s="695"/>
      <c r="J978" s="695"/>
      <c r="K978" s="695"/>
      <c r="L978" s="695"/>
      <c r="M978" s="695"/>
      <c r="N978" s="695"/>
      <c r="O978" s="696"/>
      <c r="P978" s="687"/>
    </row>
    <row r="979" spans="1:89" ht="17.25" customHeight="1" x14ac:dyDescent="0.25">
      <c r="A979" s="692"/>
      <c r="B979" s="1780" t="s">
        <v>1962</v>
      </c>
      <c r="C979" s="693"/>
      <c r="D979" s="727"/>
      <c r="E979" s="695"/>
      <c r="F979" s="695"/>
      <c r="G979" s="695"/>
      <c r="H979" s="695"/>
      <c r="I979" s="695"/>
      <c r="J979" s="695"/>
      <c r="K979" s="695"/>
      <c r="L979" s="695"/>
      <c r="M979" s="695"/>
      <c r="N979" s="695"/>
      <c r="O979" s="696"/>
      <c r="P979" s="687"/>
    </row>
    <row r="980" spans="1:89" ht="17.25" customHeight="1" x14ac:dyDescent="0.25">
      <c r="A980" s="692"/>
      <c r="B980" s="1780" t="s">
        <v>1963</v>
      </c>
      <c r="C980" s="693"/>
      <c r="D980" s="727"/>
      <c r="E980" s="695"/>
      <c r="F980" s="695"/>
      <c r="G980" s="695"/>
      <c r="H980" s="695"/>
      <c r="I980" s="695"/>
      <c r="J980" s="695"/>
      <c r="K980" s="695"/>
      <c r="L980" s="695"/>
      <c r="M980" s="695"/>
      <c r="N980" s="695"/>
      <c r="O980" s="696"/>
      <c r="P980" s="687"/>
    </row>
    <row r="981" spans="1:89" ht="17.25" customHeight="1" x14ac:dyDescent="0.25">
      <c r="A981" s="692"/>
      <c r="B981" s="1780" t="s">
        <v>1964</v>
      </c>
      <c r="C981" s="693"/>
      <c r="D981" s="727"/>
      <c r="E981" s="695"/>
      <c r="F981" s="695"/>
      <c r="G981" s="695"/>
      <c r="H981" s="695"/>
      <c r="I981" s="695"/>
      <c r="J981" s="695"/>
      <c r="K981" s="695"/>
      <c r="L981" s="695"/>
      <c r="M981" s="695"/>
      <c r="N981" s="695"/>
      <c r="O981" s="696"/>
      <c r="P981" s="687"/>
    </row>
    <row r="982" spans="1:89" ht="17.25" customHeight="1" x14ac:dyDescent="0.25">
      <c r="A982" s="692"/>
      <c r="B982" s="1248"/>
      <c r="C982" s="693"/>
      <c r="D982" s="727"/>
      <c r="E982" s="695"/>
      <c r="F982" s="695"/>
      <c r="G982" s="695"/>
      <c r="H982" s="695"/>
      <c r="I982" s="695"/>
      <c r="J982" s="695"/>
      <c r="K982" s="695"/>
      <c r="L982" s="695"/>
      <c r="M982" s="695"/>
      <c r="N982" s="695"/>
      <c r="O982" s="696">
        <f>N982+K982+H982</f>
        <v>0</v>
      </c>
      <c r="P982" s="687"/>
    </row>
    <row r="983" spans="1:89" ht="17.25" customHeight="1" x14ac:dyDescent="0.25">
      <c r="A983" s="692">
        <v>2</v>
      </c>
      <c r="B983" s="1248" t="s">
        <v>19</v>
      </c>
      <c r="C983" s="693"/>
      <c r="D983" s="727"/>
      <c r="E983" s="695"/>
      <c r="F983" s="695"/>
      <c r="G983" s="695"/>
      <c r="H983" s="695"/>
      <c r="I983" s="695"/>
      <c r="J983" s="695"/>
      <c r="K983" s="695"/>
      <c r="L983" s="695"/>
      <c r="M983" s="695"/>
      <c r="N983" s="695"/>
      <c r="O983" s="696">
        <f>N983+K983+H983</f>
        <v>0</v>
      </c>
      <c r="P983" s="687"/>
    </row>
    <row r="984" spans="1:89" ht="17.25" customHeight="1" x14ac:dyDescent="0.25">
      <c r="A984" s="692"/>
      <c r="B984" s="1248" t="s">
        <v>26</v>
      </c>
      <c r="C984" s="693">
        <v>1</v>
      </c>
      <c r="D984" s="727" t="s">
        <v>25</v>
      </c>
      <c r="E984" s="695">
        <v>75000</v>
      </c>
      <c r="F984" s="695"/>
      <c r="G984" s="695"/>
      <c r="H984" s="695"/>
      <c r="I984" s="695"/>
      <c r="J984" s="695">
        <f>C984*E984</f>
        <v>75000</v>
      </c>
      <c r="K984" s="695">
        <f>I984+J984</f>
        <v>75000</v>
      </c>
      <c r="L984" s="695"/>
      <c r="M984" s="695"/>
      <c r="N984" s="695"/>
      <c r="O984" s="696">
        <f>N984+K984+H984</f>
        <v>75000</v>
      </c>
      <c r="P984" s="687"/>
    </row>
    <row r="985" spans="1:89" ht="17.25" customHeight="1" x14ac:dyDescent="0.25">
      <c r="A985" s="692"/>
      <c r="B985" s="1237"/>
      <c r="C985" s="693"/>
      <c r="D985" s="727"/>
      <c r="E985" s="695"/>
      <c r="F985" s="695"/>
      <c r="G985" s="695"/>
      <c r="H985" s="695"/>
      <c r="I985" s="695"/>
      <c r="J985" s="695"/>
      <c r="K985" s="695"/>
      <c r="L985" s="695"/>
      <c r="M985" s="695"/>
      <c r="N985" s="695"/>
      <c r="O985" s="696"/>
      <c r="P985" s="687"/>
    </row>
    <row r="986" spans="1:89" s="672" customFormat="1" ht="17.25" customHeight="1" x14ac:dyDescent="0.25">
      <c r="A986" s="740" t="s">
        <v>28</v>
      </c>
      <c r="B986" s="1448" t="s">
        <v>29</v>
      </c>
      <c r="C986" s="828"/>
      <c r="D986" s="1369"/>
      <c r="E986" s="705"/>
      <c r="F986" s="705">
        <f>SUM(F989:F1014)</f>
        <v>0</v>
      </c>
      <c r="G986" s="705">
        <f>SUM(G989:G1014)</f>
        <v>0</v>
      </c>
      <c r="H986" s="705">
        <f>F986+G986</f>
        <v>0</v>
      </c>
      <c r="I986" s="705">
        <f>SUM(I989:I1014)</f>
        <v>0</v>
      </c>
      <c r="J986" s="705">
        <f>SUM(J989:J1014)</f>
        <v>347620</v>
      </c>
      <c r="K986" s="705">
        <f>SUM(K989:K1014)</f>
        <v>347620</v>
      </c>
      <c r="L986" s="705">
        <f>SUM(L989:L1014)</f>
        <v>15000</v>
      </c>
      <c r="M986" s="705">
        <f>SUM(M989:M1014)</f>
        <v>0</v>
      </c>
      <c r="N986" s="705">
        <f>L986+M986</f>
        <v>15000</v>
      </c>
      <c r="O986" s="1370">
        <f>N986+K986+H986</f>
        <v>362620</v>
      </c>
      <c r="P986" s="829"/>
      <c r="Q986" s="1581"/>
      <c r="R986" s="1581"/>
      <c r="S986" s="1581"/>
      <c r="T986" s="1581"/>
      <c r="U986" s="1581"/>
      <c r="V986" s="1581"/>
      <c r="W986" s="1581"/>
      <c r="X986" s="1581"/>
      <c r="Y986" s="1581"/>
      <c r="Z986" s="1581"/>
      <c r="AA986" s="1581"/>
      <c r="AB986" s="1581"/>
      <c r="AC986" s="1581"/>
      <c r="AD986" s="1581"/>
      <c r="AE986" s="1581"/>
      <c r="AF986" s="1581"/>
      <c r="AG986" s="1581"/>
      <c r="AH986" s="1581"/>
      <c r="AI986" s="1581"/>
      <c r="AJ986" s="1581"/>
      <c r="AK986" s="1581"/>
      <c r="AL986" s="1581"/>
      <c r="AM986" s="1581"/>
      <c r="AN986" s="1581"/>
      <c r="AO986" s="1581"/>
      <c r="AP986" s="1581"/>
      <c r="AQ986" s="1581"/>
      <c r="AR986" s="1581"/>
      <c r="AS986" s="1581"/>
      <c r="AT986" s="1581"/>
      <c r="AU986" s="1581"/>
      <c r="AV986" s="1581"/>
      <c r="AW986" s="1581"/>
      <c r="AX986" s="1581"/>
      <c r="AY986" s="1581"/>
      <c r="AZ986" s="1581"/>
      <c r="BA986" s="1581"/>
      <c r="BB986" s="1581"/>
      <c r="BC986" s="1581"/>
      <c r="BD986" s="1581"/>
      <c r="BE986" s="1581"/>
      <c r="BF986" s="1581"/>
      <c r="BG986" s="1581"/>
      <c r="BH986" s="1581"/>
      <c r="BI986" s="1581"/>
      <c r="BJ986" s="1581"/>
      <c r="BK986" s="1581"/>
      <c r="BL986" s="1581"/>
      <c r="BM986" s="1581"/>
      <c r="BN986" s="1581"/>
      <c r="BO986" s="1581"/>
      <c r="BP986" s="1581"/>
      <c r="BQ986" s="1581"/>
      <c r="BR986" s="1581"/>
      <c r="BS986" s="1581"/>
      <c r="BT986" s="1581"/>
      <c r="BU986" s="1581"/>
      <c r="BV986" s="1581"/>
      <c r="BW986" s="1581"/>
      <c r="BX986" s="1581"/>
      <c r="BY986" s="1581"/>
      <c r="BZ986" s="1581"/>
      <c r="CA986" s="1581"/>
      <c r="CB986" s="1581"/>
      <c r="CC986" s="1581"/>
      <c r="CD986" s="1581"/>
      <c r="CE986" s="1581"/>
      <c r="CF986" s="1581"/>
      <c r="CG986" s="1581"/>
      <c r="CH986" s="1581"/>
      <c r="CI986" s="1581"/>
      <c r="CJ986" s="1581"/>
      <c r="CK986" s="1581"/>
    </row>
    <row r="987" spans="1:89" ht="17.25" customHeight="1" x14ac:dyDescent="0.25">
      <c r="A987" s="692"/>
      <c r="B987" s="1237"/>
      <c r="C987" s="693"/>
      <c r="D987" s="727"/>
      <c r="E987" s="695"/>
      <c r="F987" s="695"/>
      <c r="G987" s="695"/>
      <c r="H987" s="695"/>
      <c r="I987" s="695"/>
      <c r="J987" s="695"/>
      <c r="K987" s="695"/>
      <c r="L987" s="695"/>
      <c r="M987" s="695"/>
      <c r="N987" s="695"/>
      <c r="O987" s="696"/>
      <c r="P987" s="687"/>
    </row>
    <row r="988" spans="1:89" ht="17.25" customHeight="1" x14ac:dyDescent="0.25">
      <c r="A988" s="692">
        <v>1</v>
      </c>
      <c r="B988" s="1237" t="s">
        <v>19</v>
      </c>
      <c r="C988" s="693"/>
      <c r="D988" s="727"/>
      <c r="E988" s="695"/>
      <c r="F988" s="695"/>
      <c r="G988" s="695"/>
      <c r="H988" s="695"/>
      <c r="I988" s="695"/>
      <c r="J988" s="695"/>
      <c r="K988" s="695"/>
      <c r="L988" s="695"/>
      <c r="M988" s="695"/>
      <c r="N988" s="695"/>
      <c r="O988" s="696">
        <f t="shared" ref="O988:O1011" si="75">N988+K988+H988</f>
        <v>0</v>
      </c>
      <c r="P988" s="687"/>
    </row>
    <row r="989" spans="1:89" ht="17.25" customHeight="1" x14ac:dyDescent="0.25">
      <c r="A989" s="692"/>
      <c r="B989" s="1237" t="s">
        <v>30</v>
      </c>
      <c r="C989" s="693">
        <v>12</v>
      </c>
      <c r="D989" s="727" t="s">
        <v>20</v>
      </c>
      <c r="E989" s="695">
        <v>1500</v>
      </c>
      <c r="F989" s="695"/>
      <c r="G989" s="695"/>
      <c r="H989" s="695"/>
      <c r="I989" s="695"/>
      <c r="J989" s="695">
        <f>C989*E989</f>
        <v>18000</v>
      </c>
      <c r="K989" s="695">
        <f>I989+J989</f>
        <v>18000</v>
      </c>
      <c r="L989" s="695"/>
      <c r="M989" s="695"/>
      <c r="N989" s="695"/>
      <c r="O989" s="696">
        <f t="shared" si="75"/>
        <v>18000</v>
      </c>
      <c r="P989" s="687"/>
    </row>
    <row r="990" spans="1:89" ht="17.25" customHeight="1" x14ac:dyDescent="0.25">
      <c r="A990" s="692"/>
      <c r="B990" s="1237" t="s">
        <v>31</v>
      </c>
      <c r="C990" s="693">
        <v>12</v>
      </c>
      <c r="D990" s="727" t="s">
        <v>20</v>
      </c>
      <c r="E990" s="695">
        <v>1000</v>
      </c>
      <c r="F990" s="695"/>
      <c r="G990" s="695"/>
      <c r="H990" s="695"/>
      <c r="I990" s="695"/>
      <c r="J990" s="695">
        <f>E990*C990</f>
        <v>12000</v>
      </c>
      <c r="K990" s="695">
        <f>I990+J990</f>
        <v>12000</v>
      </c>
      <c r="L990" s="695"/>
      <c r="M990" s="695"/>
      <c r="N990" s="695"/>
      <c r="O990" s="696">
        <f t="shared" si="75"/>
        <v>12000</v>
      </c>
      <c r="P990" s="687"/>
    </row>
    <row r="991" spans="1:89" ht="17.25" customHeight="1" x14ac:dyDescent="0.25">
      <c r="A991" s="692"/>
      <c r="B991" s="1237" t="s">
        <v>32</v>
      </c>
      <c r="C991" s="693">
        <v>12</v>
      </c>
      <c r="D991" s="727" t="s">
        <v>20</v>
      </c>
      <c r="E991" s="695">
        <v>800</v>
      </c>
      <c r="F991" s="695"/>
      <c r="G991" s="695"/>
      <c r="H991" s="695"/>
      <c r="I991" s="695"/>
      <c r="J991" s="695">
        <f>E991*C991</f>
        <v>9600</v>
      </c>
      <c r="K991" s="695">
        <f>I991+J991</f>
        <v>9600</v>
      </c>
      <c r="L991" s="695"/>
      <c r="M991" s="695"/>
      <c r="N991" s="695"/>
      <c r="O991" s="696">
        <f t="shared" si="75"/>
        <v>9600</v>
      </c>
      <c r="P991" s="687"/>
    </row>
    <row r="992" spans="1:89" ht="17.25" customHeight="1" x14ac:dyDescent="0.25">
      <c r="A992" s="692"/>
      <c r="B992" s="1237" t="s">
        <v>33</v>
      </c>
      <c r="C992" s="693">
        <v>70</v>
      </c>
      <c r="D992" s="727" t="s">
        <v>20</v>
      </c>
      <c r="E992" s="695">
        <v>600</v>
      </c>
      <c r="F992" s="695"/>
      <c r="G992" s="695"/>
      <c r="H992" s="695"/>
      <c r="I992" s="695"/>
      <c r="J992" s="695">
        <f>C992*E992</f>
        <v>42000</v>
      </c>
      <c r="K992" s="695">
        <f>I992+J992</f>
        <v>42000</v>
      </c>
      <c r="L992" s="695"/>
      <c r="M992" s="695"/>
      <c r="N992" s="695"/>
      <c r="O992" s="696">
        <f t="shared" si="75"/>
        <v>42000</v>
      </c>
      <c r="P992" s="687"/>
    </row>
    <row r="993" spans="1:16" ht="17.25" customHeight="1" x14ac:dyDescent="0.25">
      <c r="A993" s="692"/>
      <c r="B993" s="1237" t="s">
        <v>34</v>
      </c>
      <c r="C993" s="693"/>
      <c r="D993" s="727"/>
      <c r="E993" s="695"/>
      <c r="F993" s="695"/>
      <c r="G993" s="695"/>
      <c r="H993" s="695"/>
      <c r="I993" s="695"/>
      <c r="J993" s="695"/>
      <c r="K993" s="695"/>
      <c r="L993" s="695"/>
      <c r="M993" s="695"/>
      <c r="N993" s="695"/>
      <c r="O993" s="696">
        <f t="shared" si="75"/>
        <v>0</v>
      </c>
      <c r="P993" s="687"/>
    </row>
    <row r="994" spans="1:16" ht="17.25" customHeight="1" x14ac:dyDescent="0.25">
      <c r="A994" s="692"/>
      <c r="B994" s="1241" t="s">
        <v>35</v>
      </c>
      <c r="C994" s="693">
        <v>12</v>
      </c>
      <c r="D994" s="727" t="s">
        <v>20</v>
      </c>
      <c r="E994" s="695">
        <v>400</v>
      </c>
      <c r="F994" s="695"/>
      <c r="G994" s="695"/>
      <c r="H994" s="695"/>
      <c r="I994" s="695"/>
      <c r="J994" s="695">
        <f>C994*E994</f>
        <v>4800</v>
      </c>
      <c r="K994" s="695">
        <f>I994+J994</f>
        <v>4800</v>
      </c>
      <c r="L994" s="695"/>
      <c r="M994" s="695"/>
      <c r="N994" s="695"/>
      <c r="O994" s="696">
        <f t="shared" si="75"/>
        <v>4800</v>
      </c>
      <c r="P994" s="687"/>
    </row>
    <row r="995" spans="1:16" ht="17.25" customHeight="1" x14ac:dyDescent="0.25">
      <c r="A995" s="692"/>
      <c r="B995" s="1237" t="s">
        <v>36</v>
      </c>
      <c r="C995" s="693">
        <v>48</v>
      </c>
      <c r="D995" s="727" t="s">
        <v>20</v>
      </c>
      <c r="E995" s="695">
        <v>300</v>
      </c>
      <c r="F995" s="695"/>
      <c r="G995" s="695"/>
      <c r="H995" s="695"/>
      <c r="I995" s="695"/>
      <c r="J995" s="695">
        <f>C995*E995</f>
        <v>14400</v>
      </c>
      <c r="K995" s="695">
        <f>I995+J995</f>
        <v>14400</v>
      </c>
      <c r="L995" s="695"/>
      <c r="M995" s="695"/>
      <c r="N995" s="695"/>
      <c r="O995" s="696">
        <f t="shared" si="75"/>
        <v>14400</v>
      </c>
      <c r="P995" s="687"/>
    </row>
    <row r="996" spans="1:16" ht="17.25" customHeight="1" x14ac:dyDescent="0.25">
      <c r="A996" s="692"/>
      <c r="B996" s="1237" t="s">
        <v>38</v>
      </c>
      <c r="C996" s="693">
        <v>1</v>
      </c>
      <c r="D996" s="727" t="s">
        <v>25</v>
      </c>
      <c r="E996" s="695">
        <v>20000</v>
      </c>
      <c r="F996" s="695"/>
      <c r="G996" s="695"/>
      <c r="H996" s="695"/>
      <c r="I996" s="695"/>
      <c r="J996" s="695">
        <f>C996*E996</f>
        <v>20000</v>
      </c>
      <c r="K996" s="695">
        <f>I996+J996</f>
        <v>20000</v>
      </c>
      <c r="L996" s="695"/>
      <c r="M996" s="695"/>
      <c r="N996" s="695"/>
      <c r="O996" s="696">
        <f t="shared" si="75"/>
        <v>20000</v>
      </c>
      <c r="P996" s="687"/>
    </row>
    <row r="997" spans="1:16" ht="17.25" customHeight="1" x14ac:dyDescent="0.25">
      <c r="A997" s="692"/>
      <c r="B997" s="1237" t="s">
        <v>39</v>
      </c>
      <c r="C997" s="693">
        <v>1</v>
      </c>
      <c r="D997" s="727" t="s">
        <v>25</v>
      </c>
      <c r="E997" s="695">
        <v>4600</v>
      </c>
      <c r="F997" s="695"/>
      <c r="G997" s="695"/>
      <c r="H997" s="695"/>
      <c r="I997" s="695"/>
      <c r="J997" s="695">
        <f>C997*E997</f>
        <v>4600</v>
      </c>
      <c r="K997" s="695">
        <f>I997+J997</f>
        <v>4600</v>
      </c>
      <c r="L997" s="695"/>
      <c r="M997" s="695"/>
      <c r="N997" s="695"/>
      <c r="O997" s="696">
        <f t="shared" si="75"/>
        <v>4600</v>
      </c>
      <c r="P997" s="687"/>
    </row>
    <row r="998" spans="1:16" ht="17.25" customHeight="1" x14ac:dyDescent="0.25">
      <c r="A998" s="692">
        <v>2</v>
      </c>
      <c r="B998" s="1237" t="s">
        <v>40</v>
      </c>
      <c r="C998" s="693"/>
      <c r="D998" s="727"/>
      <c r="E998" s="695"/>
      <c r="F998" s="695"/>
      <c r="G998" s="695"/>
      <c r="H998" s="695"/>
      <c r="I998" s="695"/>
      <c r="J998" s="695"/>
      <c r="K998" s="695"/>
      <c r="L998" s="695"/>
      <c r="M998" s="695"/>
      <c r="N998" s="695"/>
      <c r="O998" s="696">
        <f t="shared" si="75"/>
        <v>0</v>
      </c>
      <c r="P998" s="687"/>
    </row>
    <row r="999" spans="1:16" ht="17.25" customHeight="1" x14ac:dyDescent="0.25">
      <c r="A999" s="692"/>
      <c r="B999" s="1237" t="s">
        <v>41</v>
      </c>
      <c r="C999" s="693">
        <v>1</v>
      </c>
      <c r="D999" s="727" t="s">
        <v>25</v>
      </c>
      <c r="E999" s="695">
        <v>25000</v>
      </c>
      <c r="F999" s="695"/>
      <c r="G999" s="695"/>
      <c r="H999" s="695"/>
      <c r="I999" s="695"/>
      <c r="J999" s="695">
        <f>C999*E999</f>
        <v>25000</v>
      </c>
      <c r="K999" s="695">
        <f>I999+J999</f>
        <v>25000</v>
      </c>
      <c r="L999" s="695"/>
      <c r="M999" s="695"/>
      <c r="N999" s="695"/>
      <c r="O999" s="696">
        <f t="shared" si="75"/>
        <v>25000</v>
      </c>
      <c r="P999" s="687"/>
    </row>
    <row r="1000" spans="1:16" ht="17.25" customHeight="1" x14ac:dyDescent="0.25">
      <c r="A1000" s="692"/>
      <c r="B1000" s="1237" t="s">
        <v>42</v>
      </c>
      <c r="C1000" s="693">
        <v>1</v>
      </c>
      <c r="D1000" s="727" t="s">
        <v>25</v>
      </c>
      <c r="E1000" s="695">
        <v>20000</v>
      </c>
      <c r="F1000" s="695"/>
      <c r="G1000" s="695"/>
      <c r="H1000" s="695"/>
      <c r="I1000" s="695"/>
      <c r="J1000" s="695">
        <f>C1000*E1000</f>
        <v>20000</v>
      </c>
      <c r="K1000" s="695">
        <f>I1000+J1000</f>
        <v>20000</v>
      </c>
      <c r="L1000" s="695"/>
      <c r="M1000" s="695"/>
      <c r="N1000" s="695"/>
      <c r="O1000" s="696">
        <f t="shared" si="75"/>
        <v>20000</v>
      </c>
      <c r="P1000" s="687"/>
    </row>
    <row r="1001" spans="1:16" ht="17.25" customHeight="1" x14ac:dyDescent="0.25">
      <c r="A1001" s="692"/>
      <c r="B1001" s="1237"/>
      <c r="C1001" s="693"/>
      <c r="D1001" s="727"/>
      <c r="E1001" s="695"/>
      <c r="F1001" s="695"/>
      <c r="G1001" s="695"/>
      <c r="H1001" s="695"/>
      <c r="I1001" s="695"/>
      <c r="J1001" s="695">
        <f>C1001*E1001</f>
        <v>0</v>
      </c>
      <c r="K1001" s="695">
        <f>I1001+J1001</f>
        <v>0</v>
      </c>
      <c r="L1001" s="695"/>
      <c r="M1001" s="695"/>
      <c r="N1001" s="695"/>
      <c r="O1001" s="696">
        <f>N1001+K1001+H1001</f>
        <v>0</v>
      </c>
      <c r="P1001" s="687"/>
    </row>
    <row r="1002" spans="1:16" ht="17.25" customHeight="1" x14ac:dyDescent="0.25">
      <c r="A1002" s="692">
        <v>3</v>
      </c>
      <c r="B1002" s="1237" t="s">
        <v>135</v>
      </c>
      <c r="C1002" s="693">
        <v>1</v>
      </c>
      <c r="D1002" s="727" t="s">
        <v>47</v>
      </c>
      <c r="E1002" s="695">
        <v>13500</v>
      </c>
      <c r="F1002" s="714"/>
      <c r="G1002" s="714"/>
      <c r="H1002" s="714"/>
      <c r="I1002" s="714"/>
      <c r="J1002" s="695">
        <f>C1002*E1002</f>
        <v>13500</v>
      </c>
      <c r="K1002" s="695">
        <f>I1002+J1002</f>
        <v>13500</v>
      </c>
      <c r="L1002" s="714"/>
      <c r="M1002" s="714"/>
      <c r="N1002" s="714"/>
      <c r="O1002" s="696">
        <f>N1002+K1002+H1002</f>
        <v>13500</v>
      </c>
      <c r="P1002" s="687"/>
    </row>
    <row r="1003" spans="1:16" ht="17.25" customHeight="1" x14ac:dyDescent="0.25">
      <c r="A1003" s="692"/>
      <c r="B1003" s="1237"/>
      <c r="C1003" s="693"/>
      <c r="D1003" s="727"/>
      <c r="E1003" s="695"/>
      <c r="F1003" s="714"/>
      <c r="G1003" s="714"/>
      <c r="H1003" s="714"/>
      <c r="I1003" s="714"/>
      <c r="J1003" s="695">
        <f>C1003*E1003</f>
        <v>0</v>
      </c>
      <c r="K1003" s="695">
        <f>I1003+J1003</f>
        <v>0</v>
      </c>
      <c r="L1003" s="714"/>
      <c r="M1003" s="714"/>
      <c r="N1003" s="714"/>
      <c r="O1003" s="696">
        <f>N1003+K1003+H1003</f>
        <v>0</v>
      </c>
      <c r="P1003" s="687"/>
    </row>
    <row r="1004" spans="1:16" ht="17.25" customHeight="1" x14ac:dyDescent="0.25">
      <c r="A1004" s="692">
        <v>4</v>
      </c>
      <c r="B1004" s="1237" t="s">
        <v>43</v>
      </c>
      <c r="C1004" s="693"/>
      <c r="D1004" s="727"/>
      <c r="E1004" s="695"/>
      <c r="F1004" s="695"/>
      <c r="G1004" s="695"/>
      <c r="H1004" s="695"/>
      <c r="I1004" s="695"/>
      <c r="J1004" s="695"/>
      <c r="K1004" s="695"/>
      <c r="L1004" s="695"/>
      <c r="M1004" s="695"/>
      <c r="N1004" s="695"/>
      <c r="O1004" s="696">
        <f t="shared" si="75"/>
        <v>0</v>
      </c>
      <c r="P1004" s="687"/>
    </row>
    <row r="1005" spans="1:16" ht="17.25" customHeight="1" x14ac:dyDescent="0.25">
      <c r="A1005" s="692"/>
      <c r="B1005" s="1241" t="s">
        <v>44</v>
      </c>
      <c r="C1005" s="699">
        <v>8</v>
      </c>
      <c r="D1005" s="836" t="s">
        <v>45</v>
      </c>
      <c r="E1005" s="695">
        <v>6000</v>
      </c>
      <c r="F1005" s="695"/>
      <c r="G1005" s="695"/>
      <c r="H1005" s="695"/>
      <c r="I1005" s="695"/>
      <c r="J1005" s="695">
        <f>C1005*E1005</f>
        <v>48000</v>
      </c>
      <c r="K1005" s="695">
        <f>I1005+J1005</f>
        <v>48000</v>
      </c>
      <c r="L1005" s="695"/>
      <c r="M1005" s="695"/>
      <c r="N1005" s="695"/>
      <c r="O1005" s="696">
        <f t="shared" si="75"/>
        <v>48000</v>
      </c>
      <c r="P1005" s="687"/>
    </row>
    <row r="1006" spans="1:16" ht="17.25" customHeight="1" x14ac:dyDescent="0.25">
      <c r="A1006" s="692"/>
      <c r="B1006" s="1237"/>
      <c r="C1006" s="699"/>
      <c r="D1006" s="836"/>
      <c r="E1006" s="695"/>
      <c r="F1006" s="695"/>
      <c r="G1006" s="695"/>
      <c r="H1006" s="695"/>
      <c r="I1006" s="695"/>
      <c r="J1006" s="695"/>
      <c r="K1006" s="695"/>
      <c r="L1006" s="695"/>
      <c r="M1006" s="695"/>
      <c r="N1006" s="695"/>
      <c r="O1006" s="696">
        <f t="shared" si="75"/>
        <v>0</v>
      </c>
      <c r="P1006" s="687"/>
    </row>
    <row r="1007" spans="1:16" ht="17.25" customHeight="1" x14ac:dyDescent="0.25">
      <c r="A1007" s="692">
        <v>5</v>
      </c>
      <c r="B1007" s="1237" t="s">
        <v>48</v>
      </c>
      <c r="C1007" s="699"/>
      <c r="D1007" s="836"/>
      <c r="E1007" s="695" t="s">
        <v>49</v>
      </c>
      <c r="F1007" s="695"/>
      <c r="G1007" s="695"/>
      <c r="H1007" s="695"/>
      <c r="I1007" s="695"/>
      <c r="J1007" s="695"/>
      <c r="K1007" s="695">
        <f>J1007+I1007</f>
        <v>0</v>
      </c>
      <c r="L1007" s="695"/>
      <c r="M1007" s="695"/>
      <c r="N1007" s="695"/>
      <c r="O1007" s="696">
        <f t="shared" si="75"/>
        <v>0</v>
      </c>
      <c r="P1007" s="687"/>
    </row>
    <row r="1008" spans="1:16" ht="17.25" customHeight="1" x14ac:dyDescent="0.25">
      <c r="A1008" s="692"/>
      <c r="B1008" s="1241" t="s">
        <v>50</v>
      </c>
      <c r="C1008" s="699">
        <v>20</v>
      </c>
      <c r="D1008" s="836" t="s">
        <v>51</v>
      </c>
      <c r="E1008" s="695">
        <v>2786</v>
      </c>
      <c r="F1008" s="695"/>
      <c r="G1008" s="695"/>
      <c r="H1008" s="695"/>
      <c r="I1008" s="695"/>
      <c r="J1008" s="695">
        <f>C1008*E1008</f>
        <v>55720</v>
      </c>
      <c r="K1008" s="695">
        <f>I1008+J1008</f>
        <v>55720</v>
      </c>
      <c r="L1008" s="695"/>
      <c r="M1008" s="695"/>
      <c r="N1008" s="695"/>
      <c r="O1008" s="696">
        <f t="shared" si="75"/>
        <v>55720</v>
      </c>
      <c r="P1008" s="687"/>
    </row>
    <row r="1009" spans="1:89" s="673" customFormat="1" ht="17.25" customHeight="1" x14ac:dyDescent="0.25">
      <c r="A1009" s="692"/>
      <c r="B1009" s="1241" t="s">
        <v>52</v>
      </c>
      <c r="C1009" s="713">
        <v>40</v>
      </c>
      <c r="D1009" s="716" t="s">
        <v>53</v>
      </c>
      <c r="E1009" s="714">
        <v>450</v>
      </c>
      <c r="F1009" s="695"/>
      <c r="G1009" s="695"/>
      <c r="H1009" s="695"/>
      <c r="I1009" s="695"/>
      <c r="J1009" s="695">
        <f>C1009*E1009</f>
        <v>18000</v>
      </c>
      <c r="K1009" s="695">
        <f>I1009+J1009</f>
        <v>18000</v>
      </c>
      <c r="L1009" s="695"/>
      <c r="M1009" s="695"/>
      <c r="N1009" s="695"/>
      <c r="O1009" s="696">
        <f t="shared" si="75"/>
        <v>18000</v>
      </c>
      <c r="P1009" s="687"/>
      <c r="Q1009" s="783"/>
      <c r="R1009" s="783"/>
      <c r="S1009" s="783"/>
      <c r="T1009" s="783"/>
      <c r="U1009" s="783"/>
      <c r="V1009" s="783"/>
      <c r="W1009" s="783"/>
      <c r="X1009" s="783"/>
      <c r="Y1009" s="783"/>
      <c r="Z1009" s="783"/>
      <c r="AA1009" s="783"/>
      <c r="AB1009" s="783"/>
      <c r="AC1009" s="783"/>
      <c r="AD1009" s="783"/>
      <c r="AE1009" s="783"/>
      <c r="AF1009" s="783"/>
      <c r="AG1009" s="783"/>
      <c r="AH1009" s="783"/>
      <c r="AI1009" s="783"/>
      <c r="AJ1009" s="783"/>
      <c r="AK1009" s="783"/>
      <c r="AL1009" s="783"/>
      <c r="AM1009" s="783"/>
      <c r="AN1009" s="783"/>
      <c r="AO1009" s="783"/>
      <c r="AP1009" s="783"/>
      <c r="AQ1009" s="783"/>
      <c r="AR1009" s="783"/>
      <c r="AS1009" s="783"/>
      <c r="AT1009" s="783"/>
      <c r="AU1009" s="783"/>
      <c r="AV1009" s="783"/>
      <c r="AW1009" s="783"/>
      <c r="AX1009" s="783"/>
      <c r="AY1009" s="783"/>
      <c r="AZ1009" s="783"/>
      <c r="BA1009" s="783"/>
      <c r="BB1009" s="783"/>
      <c r="BC1009" s="783"/>
      <c r="BD1009" s="783"/>
      <c r="BE1009" s="783"/>
      <c r="BF1009" s="783"/>
      <c r="BG1009" s="783"/>
      <c r="BH1009" s="783"/>
      <c r="BI1009" s="783"/>
      <c r="BJ1009" s="783"/>
      <c r="BK1009" s="783"/>
      <c r="BL1009" s="783"/>
      <c r="BM1009" s="783"/>
      <c r="BN1009" s="783"/>
      <c r="BO1009" s="783"/>
      <c r="BP1009" s="783"/>
      <c r="BQ1009" s="783"/>
      <c r="BR1009" s="783"/>
      <c r="BS1009" s="783"/>
      <c r="BT1009" s="783"/>
      <c r="BU1009" s="783"/>
      <c r="BV1009" s="783"/>
      <c r="BW1009" s="783"/>
      <c r="BX1009" s="783"/>
      <c r="BY1009" s="783"/>
      <c r="BZ1009" s="783"/>
      <c r="CA1009" s="783"/>
      <c r="CB1009" s="783"/>
      <c r="CC1009" s="783"/>
      <c r="CD1009" s="783"/>
      <c r="CE1009" s="783"/>
      <c r="CF1009" s="783"/>
      <c r="CG1009" s="783"/>
      <c r="CH1009" s="783"/>
      <c r="CI1009" s="783"/>
      <c r="CJ1009" s="783"/>
      <c r="CK1009" s="783"/>
    </row>
    <row r="1010" spans="1:89" ht="17.25" customHeight="1" x14ac:dyDescent="0.25">
      <c r="A1010" s="692"/>
      <c r="B1010" s="1436" t="s">
        <v>54</v>
      </c>
      <c r="C1010" s="699">
        <v>60</v>
      </c>
      <c r="D1010" s="739" t="s">
        <v>55</v>
      </c>
      <c r="E1010" s="695">
        <v>450</v>
      </c>
      <c r="F1010" s="695"/>
      <c r="G1010" s="695"/>
      <c r="H1010" s="695"/>
      <c r="I1010" s="695"/>
      <c r="J1010" s="695">
        <f>C1010*E1010</f>
        <v>27000</v>
      </c>
      <c r="K1010" s="695">
        <f>I1010+J1010</f>
        <v>27000</v>
      </c>
      <c r="L1010" s="695"/>
      <c r="M1010" s="695"/>
      <c r="N1010" s="695"/>
      <c r="O1010" s="696">
        <f t="shared" si="75"/>
        <v>27000</v>
      </c>
      <c r="P1010" s="687"/>
    </row>
    <row r="1011" spans="1:89" ht="17.25" customHeight="1" x14ac:dyDescent="0.25">
      <c r="A1011" s="742"/>
      <c r="B1011" s="756" t="s">
        <v>56</v>
      </c>
      <c r="C1011" s="713">
        <v>50</v>
      </c>
      <c r="D1011" s="880" t="s">
        <v>55</v>
      </c>
      <c r="E1011" s="714">
        <v>300</v>
      </c>
      <c r="F1011" s="714"/>
      <c r="G1011" s="714"/>
      <c r="H1011" s="714"/>
      <c r="I1011" s="714"/>
      <c r="J1011" s="714">
        <f>C1011*E1011</f>
        <v>15000</v>
      </c>
      <c r="K1011" s="714">
        <f>I1011+J1011</f>
        <v>15000</v>
      </c>
      <c r="L1011" s="714"/>
      <c r="M1011" s="714"/>
      <c r="N1011" s="714"/>
      <c r="O1011" s="753">
        <f t="shared" si="75"/>
        <v>15000</v>
      </c>
      <c r="P1011" s="754"/>
    </row>
    <row r="1012" spans="1:89" ht="17.25" customHeight="1" x14ac:dyDescent="0.25">
      <c r="A1012" s="742"/>
      <c r="B1012" s="744"/>
      <c r="C1012" s="713"/>
      <c r="D1012" s="880"/>
      <c r="E1012" s="714"/>
      <c r="F1012" s="714"/>
      <c r="G1012" s="714"/>
      <c r="H1012" s="714"/>
      <c r="I1012" s="714"/>
      <c r="J1012" s="714"/>
      <c r="K1012" s="714"/>
      <c r="L1012" s="714"/>
      <c r="M1012" s="714"/>
      <c r="N1012" s="714"/>
      <c r="O1012" s="753"/>
      <c r="P1012" s="754"/>
    </row>
    <row r="1013" spans="1:89" ht="17.25" customHeight="1" x14ac:dyDescent="0.25">
      <c r="A1013" s="742">
        <v>6</v>
      </c>
      <c r="B1013" s="744" t="s">
        <v>57</v>
      </c>
      <c r="C1013" s="713"/>
      <c r="D1013" s="880"/>
      <c r="E1013" s="714"/>
      <c r="F1013" s="714"/>
      <c r="G1013" s="714"/>
      <c r="H1013" s="714"/>
      <c r="I1013" s="714"/>
      <c r="J1013" s="714"/>
      <c r="K1013" s="714"/>
      <c r="L1013" s="714"/>
      <c r="M1013" s="714"/>
      <c r="N1013" s="714"/>
      <c r="O1013" s="753">
        <f>N1013+K1013+H1013</f>
        <v>0</v>
      </c>
      <c r="P1013" s="754"/>
    </row>
    <row r="1014" spans="1:89" ht="17.25" customHeight="1" x14ac:dyDescent="0.25">
      <c r="A1014" s="742"/>
      <c r="B1014" s="744" t="s">
        <v>58</v>
      </c>
      <c r="C1014" s="713">
        <v>1</v>
      </c>
      <c r="D1014" s="880" t="s">
        <v>16</v>
      </c>
      <c r="E1014" s="714">
        <v>15000</v>
      </c>
      <c r="F1014" s="714"/>
      <c r="G1014" s="714"/>
      <c r="H1014" s="714"/>
      <c r="I1014" s="714"/>
      <c r="J1014" s="714"/>
      <c r="K1014" s="714"/>
      <c r="L1014" s="714">
        <f>C1014*E1014</f>
        <v>15000</v>
      </c>
      <c r="M1014" s="714"/>
      <c r="N1014" s="714">
        <f>L1014+M1014</f>
        <v>15000</v>
      </c>
      <c r="O1014" s="753">
        <f>N1014+K1014+H1014</f>
        <v>15000</v>
      </c>
      <c r="P1014" s="754"/>
    </row>
    <row r="1015" spans="1:89" ht="17.25" customHeight="1" x14ac:dyDescent="0.25">
      <c r="A1015" s="881"/>
      <c r="B1015" s="797"/>
      <c r="C1015" s="719"/>
      <c r="D1015" s="883"/>
      <c r="E1015" s="721"/>
      <c r="F1015" s="721"/>
      <c r="G1015" s="721"/>
      <c r="H1015" s="721"/>
      <c r="I1015" s="721"/>
      <c r="J1015" s="721"/>
      <c r="K1015" s="721"/>
      <c r="L1015" s="721"/>
      <c r="M1015" s="721"/>
      <c r="N1015" s="721"/>
      <c r="O1015" s="884"/>
      <c r="P1015" s="754"/>
    </row>
    <row r="1016" spans="1:89" ht="22.5" customHeight="1" x14ac:dyDescent="0.25">
      <c r="A1016" s="1210">
        <v>19</v>
      </c>
      <c r="B1016" s="1211" t="s">
        <v>136</v>
      </c>
      <c r="C1016" s="1212"/>
      <c r="D1016" s="1213"/>
      <c r="E1016" s="1214"/>
      <c r="F1016" s="1214">
        <f>F1018+F1030+F1041</f>
        <v>0</v>
      </c>
      <c r="G1016" s="1214">
        <f>G1018+G1030+G1041</f>
        <v>0</v>
      </c>
      <c r="H1016" s="1214">
        <f>G1016+F1016</f>
        <v>0</v>
      </c>
      <c r="I1016" s="1214">
        <f>I1018+I1030+I1041</f>
        <v>0</v>
      </c>
      <c r="J1016" s="1214">
        <f>J1018+J1030+J1041</f>
        <v>3616917</v>
      </c>
      <c r="K1016" s="1214">
        <f>J1016+I1016</f>
        <v>3616917</v>
      </c>
      <c r="L1016" s="1214">
        <f>L1018+L1030+L1041</f>
        <v>40562000</v>
      </c>
      <c r="M1016" s="1214">
        <f>M1018+M1030+M1041</f>
        <v>0</v>
      </c>
      <c r="N1016" s="1214">
        <f>M1016+L1016</f>
        <v>40562000</v>
      </c>
      <c r="O1016" s="1215">
        <f t="shared" ref="O1016:O1025" si="76">N1016+K1016+H1016</f>
        <v>44178917</v>
      </c>
      <c r="P1016" s="680"/>
    </row>
    <row r="1017" spans="1:89" ht="17.25" customHeight="1" x14ac:dyDescent="0.25">
      <c r="A1017" s="681"/>
      <c r="B1017" s="876"/>
      <c r="C1017" s="682"/>
      <c r="D1017" s="683"/>
      <c r="E1017" s="685"/>
      <c r="F1017" s="685"/>
      <c r="G1017" s="685"/>
      <c r="H1017" s="685"/>
      <c r="I1017" s="685"/>
      <c r="J1017" s="685"/>
      <c r="K1017" s="685"/>
      <c r="L1017" s="685"/>
      <c r="M1017" s="685"/>
      <c r="N1017" s="685"/>
      <c r="O1017" s="686">
        <f t="shared" si="76"/>
        <v>0</v>
      </c>
      <c r="P1017" s="687"/>
    </row>
    <row r="1018" spans="1:89" s="672" customFormat="1" ht="31.5" customHeight="1" x14ac:dyDescent="0.25">
      <c r="A1018" s="740" t="s">
        <v>15</v>
      </c>
      <c r="B1018" s="1372" t="s">
        <v>1156</v>
      </c>
      <c r="C1018" s="828"/>
      <c r="D1018" s="1369"/>
      <c r="E1018" s="705"/>
      <c r="F1018" s="705">
        <f>SUM(F1019:F1029)</f>
        <v>0</v>
      </c>
      <c r="G1018" s="705">
        <f>SUM(G1019:G1029)</f>
        <v>0</v>
      </c>
      <c r="H1018" s="705">
        <f>F1018+G1018</f>
        <v>0</v>
      </c>
      <c r="I1018" s="705">
        <f>SUM(I1019:I1029)</f>
        <v>0</v>
      </c>
      <c r="J1018" s="705">
        <f>SUM(J1019:J1029)</f>
        <v>0</v>
      </c>
      <c r="K1018" s="705">
        <f>I1018+J1018</f>
        <v>0</v>
      </c>
      <c r="L1018" s="705">
        <f>SUM(L1019:L1029)</f>
        <v>40562000</v>
      </c>
      <c r="M1018" s="705">
        <f>SUM(M1019:M1029)</f>
        <v>0</v>
      </c>
      <c r="N1018" s="705">
        <f>L1018+M1018</f>
        <v>40562000</v>
      </c>
      <c r="O1018" s="1370">
        <f t="shared" si="76"/>
        <v>40562000</v>
      </c>
      <c r="P1018" s="829"/>
      <c r="Q1018" s="1581"/>
      <c r="R1018" s="1581"/>
      <c r="S1018" s="1581"/>
      <c r="T1018" s="1581"/>
      <c r="U1018" s="1581"/>
      <c r="V1018" s="1581"/>
      <c r="W1018" s="1581"/>
      <c r="X1018" s="1581"/>
      <c r="Y1018" s="1581"/>
      <c r="Z1018" s="1581"/>
      <c r="AA1018" s="1581"/>
      <c r="AB1018" s="1581"/>
      <c r="AC1018" s="1581"/>
      <c r="AD1018" s="1581"/>
      <c r="AE1018" s="1581"/>
      <c r="AF1018" s="1581"/>
      <c r="AG1018" s="1581"/>
      <c r="AH1018" s="1581"/>
      <c r="AI1018" s="1581"/>
      <c r="AJ1018" s="1581"/>
      <c r="AK1018" s="1581"/>
      <c r="AL1018" s="1581"/>
      <c r="AM1018" s="1581"/>
      <c r="AN1018" s="1581"/>
      <c r="AO1018" s="1581"/>
      <c r="AP1018" s="1581"/>
      <c r="AQ1018" s="1581"/>
      <c r="AR1018" s="1581"/>
      <c r="AS1018" s="1581"/>
      <c r="AT1018" s="1581"/>
      <c r="AU1018" s="1581"/>
      <c r="AV1018" s="1581"/>
      <c r="AW1018" s="1581"/>
      <c r="AX1018" s="1581"/>
      <c r="AY1018" s="1581"/>
      <c r="AZ1018" s="1581"/>
      <c r="BA1018" s="1581"/>
      <c r="BB1018" s="1581"/>
      <c r="BC1018" s="1581"/>
      <c r="BD1018" s="1581"/>
      <c r="BE1018" s="1581"/>
      <c r="BF1018" s="1581"/>
      <c r="BG1018" s="1581"/>
      <c r="BH1018" s="1581"/>
      <c r="BI1018" s="1581"/>
      <c r="BJ1018" s="1581"/>
      <c r="BK1018" s="1581"/>
      <c r="BL1018" s="1581"/>
      <c r="BM1018" s="1581"/>
      <c r="BN1018" s="1581"/>
      <c r="BO1018" s="1581"/>
      <c r="BP1018" s="1581"/>
      <c r="BQ1018" s="1581"/>
      <c r="BR1018" s="1581"/>
      <c r="BS1018" s="1581"/>
      <c r="BT1018" s="1581"/>
      <c r="BU1018" s="1581"/>
      <c r="BV1018" s="1581"/>
      <c r="BW1018" s="1581"/>
      <c r="BX1018" s="1581"/>
      <c r="BY1018" s="1581"/>
      <c r="BZ1018" s="1581"/>
      <c r="CA1018" s="1581"/>
      <c r="CB1018" s="1581"/>
      <c r="CC1018" s="1581"/>
      <c r="CD1018" s="1581"/>
      <c r="CE1018" s="1581"/>
      <c r="CF1018" s="1581"/>
      <c r="CG1018" s="1581"/>
      <c r="CH1018" s="1581"/>
      <c r="CI1018" s="1581"/>
      <c r="CJ1018" s="1581"/>
      <c r="CK1018" s="1581"/>
    </row>
    <row r="1019" spans="1:89" ht="17.25" customHeight="1" x14ac:dyDescent="0.2">
      <c r="A1019" s="692">
        <v>1</v>
      </c>
      <c r="B1019" s="1412" t="s">
        <v>1537</v>
      </c>
      <c r="C1019" s="1437">
        <v>1</v>
      </c>
      <c r="D1019" s="727" t="s">
        <v>16</v>
      </c>
      <c r="E1019" s="695">
        <v>3542000</v>
      </c>
      <c r="F1019" s="695"/>
      <c r="G1019" s="695"/>
      <c r="H1019" s="695"/>
      <c r="I1019" s="695"/>
      <c r="J1019" s="695"/>
      <c r="K1019" s="695"/>
      <c r="L1019" s="695">
        <f t="shared" ref="L1019:L1025" si="77">E1019*C1019</f>
        <v>3542000</v>
      </c>
      <c r="M1019" s="695"/>
      <c r="N1019" s="695">
        <f t="shared" ref="N1019:N1025" si="78">L1019+M1019</f>
        <v>3542000</v>
      </c>
      <c r="O1019" s="696">
        <f t="shared" si="76"/>
        <v>3542000</v>
      </c>
      <c r="P1019" s="687"/>
    </row>
    <row r="1020" spans="1:89" ht="17.25" customHeight="1" x14ac:dyDescent="0.2">
      <c r="A1020" s="692">
        <v>2</v>
      </c>
      <c r="B1020" s="1412" t="s">
        <v>1538</v>
      </c>
      <c r="C1020" s="1437">
        <v>1</v>
      </c>
      <c r="D1020" s="727" t="s">
        <v>16</v>
      </c>
      <c r="E1020" s="695">
        <v>4251000</v>
      </c>
      <c r="F1020" s="695"/>
      <c r="G1020" s="695"/>
      <c r="H1020" s="695"/>
      <c r="I1020" s="695"/>
      <c r="J1020" s="695"/>
      <c r="K1020" s="695"/>
      <c r="L1020" s="695">
        <f t="shared" si="77"/>
        <v>4251000</v>
      </c>
      <c r="M1020" s="695"/>
      <c r="N1020" s="695">
        <f t="shared" si="78"/>
        <v>4251000</v>
      </c>
      <c r="O1020" s="696">
        <f>N1020+K1020+H1020</f>
        <v>4251000</v>
      </c>
      <c r="P1020" s="687"/>
    </row>
    <row r="1021" spans="1:89" ht="17.25" customHeight="1" x14ac:dyDescent="0.2">
      <c r="A1021" s="692">
        <v>3</v>
      </c>
      <c r="B1021" s="1412" t="s">
        <v>1539</v>
      </c>
      <c r="C1021" s="1437">
        <v>1</v>
      </c>
      <c r="D1021" s="727" t="s">
        <v>16</v>
      </c>
      <c r="E1021" s="695">
        <v>4187000</v>
      </c>
      <c r="F1021" s="695"/>
      <c r="G1021" s="695"/>
      <c r="H1021" s="695"/>
      <c r="I1021" s="695"/>
      <c r="J1021" s="695"/>
      <c r="K1021" s="695"/>
      <c r="L1021" s="695">
        <f t="shared" si="77"/>
        <v>4187000</v>
      </c>
      <c r="M1021" s="695"/>
      <c r="N1021" s="695">
        <f t="shared" si="78"/>
        <v>4187000</v>
      </c>
      <c r="O1021" s="696">
        <f t="shared" si="76"/>
        <v>4187000</v>
      </c>
      <c r="P1021" s="687"/>
    </row>
    <row r="1022" spans="1:89" ht="17.25" customHeight="1" x14ac:dyDescent="0.2">
      <c r="A1022" s="692">
        <v>4</v>
      </c>
      <c r="B1022" s="1412" t="s">
        <v>1540</v>
      </c>
      <c r="C1022" s="1437">
        <v>1</v>
      </c>
      <c r="D1022" s="727" t="s">
        <v>16</v>
      </c>
      <c r="E1022" s="695">
        <v>2951000</v>
      </c>
      <c r="F1022" s="695"/>
      <c r="G1022" s="695"/>
      <c r="H1022" s="695"/>
      <c r="I1022" s="695"/>
      <c r="J1022" s="695"/>
      <c r="K1022" s="695"/>
      <c r="L1022" s="695">
        <f t="shared" si="77"/>
        <v>2951000</v>
      </c>
      <c r="M1022" s="695"/>
      <c r="N1022" s="695">
        <f t="shared" si="78"/>
        <v>2951000</v>
      </c>
      <c r="O1022" s="696">
        <f t="shared" si="76"/>
        <v>2951000</v>
      </c>
      <c r="P1022" s="687"/>
    </row>
    <row r="1023" spans="1:89" ht="17.25" customHeight="1" x14ac:dyDescent="0.2">
      <c r="A1023" s="692">
        <v>5</v>
      </c>
      <c r="B1023" s="1412" t="s">
        <v>1541</v>
      </c>
      <c r="C1023" s="1437">
        <v>1</v>
      </c>
      <c r="D1023" s="727" t="s">
        <v>16</v>
      </c>
      <c r="E1023" s="695">
        <v>3649000</v>
      </c>
      <c r="F1023" s="695"/>
      <c r="G1023" s="695"/>
      <c r="H1023" s="695"/>
      <c r="I1023" s="695"/>
      <c r="J1023" s="695"/>
      <c r="K1023" s="695"/>
      <c r="L1023" s="695">
        <f t="shared" si="77"/>
        <v>3649000</v>
      </c>
      <c r="M1023" s="695"/>
      <c r="N1023" s="695">
        <f t="shared" si="78"/>
        <v>3649000</v>
      </c>
      <c r="O1023" s="696">
        <f t="shared" si="76"/>
        <v>3649000</v>
      </c>
      <c r="P1023" s="687"/>
    </row>
    <row r="1024" spans="1:89" ht="17.25" customHeight="1" x14ac:dyDescent="0.2">
      <c r="A1024" s="692">
        <v>6</v>
      </c>
      <c r="B1024" s="1412" t="s">
        <v>1542</v>
      </c>
      <c r="C1024" s="1437">
        <v>1</v>
      </c>
      <c r="D1024" s="727" t="s">
        <v>16</v>
      </c>
      <c r="E1024" s="695">
        <v>3795000</v>
      </c>
      <c r="F1024" s="695"/>
      <c r="G1024" s="695"/>
      <c r="H1024" s="695"/>
      <c r="I1024" s="695"/>
      <c r="J1024" s="695"/>
      <c r="K1024" s="695"/>
      <c r="L1024" s="695">
        <f t="shared" si="77"/>
        <v>3795000</v>
      </c>
      <c r="M1024" s="695"/>
      <c r="N1024" s="695">
        <f t="shared" si="78"/>
        <v>3795000</v>
      </c>
      <c r="O1024" s="696">
        <f t="shared" si="76"/>
        <v>3795000</v>
      </c>
      <c r="P1024" s="687"/>
    </row>
    <row r="1025" spans="1:89" ht="17.25" customHeight="1" x14ac:dyDescent="0.2">
      <c r="A1025" s="692">
        <v>7</v>
      </c>
      <c r="B1025" s="1412" t="s">
        <v>1766</v>
      </c>
      <c r="C1025" s="1437">
        <v>1</v>
      </c>
      <c r="D1025" s="727" t="s">
        <v>16</v>
      </c>
      <c r="E1025" s="695">
        <v>6000000</v>
      </c>
      <c r="F1025" s="695"/>
      <c r="G1025" s="695"/>
      <c r="H1025" s="695"/>
      <c r="I1025" s="695"/>
      <c r="J1025" s="695"/>
      <c r="K1025" s="695"/>
      <c r="L1025" s="695">
        <f t="shared" si="77"/>
        <v>6000000</v>
      </c>
      <c r="M1025" s="695"/>
      <c r="N1025" s="695">
        <f t="shared" si="78"/>
        <v>6000000</v>
      </c>
      <c r="O1025" s="696">
        <f t="shared" si="76"/>
        <v>6000000</v>
      </c>
      <c r="P1025" s="687"/>
    </row>
    <row r="1026" spans="1:89" ht="17.25" customHeight="1" x14ac:dyDescent="0.2">
      <c r="A1026" s="692">
        <v>8</v>
      </c>
      <c r="B1026" s="1412" t="s">
        <v>1543</v>
      </c>
      <c r="C1026" s="1437">
        <v>1</v>
      </c>
      <c r="D1026" s="727" t="s">
        <v>16</v>
      </c>
      <c r="E1026" s="695">
        <v>4187000</v>
      </c>
      <c r="F1026" s="695"/>
      <c r="G1026" s="695"/>
      <c r="H1026" s="695"/>
      <c r="I1026" s="695"/>
      <c r="J1026" s="695"/>
      <c r="K1026" s="695"/>
      <c r="L1026" s="695">
        <f>E1026*C1026</f>
        <v>4187000</v>
      </c>
      <c r="M1026" s="695"/>
      <c r="N1026" s="695">
        <f>L1026+M1026</f>
        <v>4187000</v>
      </c>
      <c r="O1026" s="696">
        <f>N1026+K1026+H1026</f>
        <v>4187000</v>
      </c>
      <c r="P1026" s="687"/>
    </row>
    <row r="1027" spans="1:89" ht="17.25" customHeight="1" x14ac:dyDescent="0.25">
      <c r="A1027" s="692">
        <v>9</v>
      </c>
      <c r="B1027" s="711" t="s">
        <v>1767</v>
      </c>
      <c r="C1027" s="1449">
        <v>1</v>
      </c>
      <c r="D1027" s="727" t="s">
        <v>16</v>
      </c>
      <c r="E1027" s="695">
        <v>4000000</v>
      </c>
      <c r="F1027" s="695"/>
      <c r="G1027" s="1400"/>
      <c r="H1027" s="1450"/>
      <c r="I1027" s="695"/>
      <c r="J1027" s="1450"/>
      <c r="K1027" s="695"/>
      <c r="L1027" s="1400">
        <f>E1027*C1027</f>
        <v>4000000</v>
      </c>
      <c r="M1027" s="695"/>
      <c r="N1027" s="1450">
        <f>L1027+M1027</f>
        <v>4000000</v>
      </c>
      <c r="O1027" s="696">
        <f>N1027+K1027+H1027</f>
        <v>4000000</v>
      </c>
      <c r="P1027" s="687"/>
    </row>
    <row r="1028" spans="1:89" ht="17.25" customHeight="1" x14ac:dyDescent="0.2">
      <c r="A1028" s="692">
        <v>10</v>
      </c>
      <c r="B1028" s="1412" t="s">
        <v>1768</v>
      </c>
      <c r="C1028" s="1437">
        <v>1</v>
      </c>
      <c r="D1028" s="727" t="s">
        <v>16</v>
      </c>
      <c r="E1028" s="695">
        <v>4000000</v>
      </c>
      <c r="F1028" s="695"/>
      <c r="G1028" s="695"/>
      <c r="H1028" s="695"/>
      <c r="I1028" s="695"/>
      <c r="J1028" s="695"/>
      <c r="K1028" s="695"/>
      <c r="L1028" s="695">
        <f>E1028*C1028</f>
        <v>4000000</v>
      </c>
      <c r="M1028" s="695"/>
      <c r="N1028" s="695">
        <f>L1028+M1028</f>
        <v>4000000</v>
      </c>
      <c r="O1028" s="696">
        <f>N1028+K1028+H1028</f>
        <v>4000000</v>
      </c>
      <c r="P1028" s="687"/>
    </row>
    <row r="1029" spans="1:89" ht="17.25" customHeight="1" x14ac:dyDescent="0.25">
      <c r="A1029" s="692"/>
      <c r="B1029" s="1451"/>
      <c r="C1029" s="1437"/>
      <c r="D1029" s="1424"/>
      <c r="E1029" s="714"/>
      <c r="F1029" s="695"/>
      <c r="G1029" s="695"/>
      <c r="H1029" s="695"/>
      <c r="I1029" s="695"/>
      <c r="J1029" s="695"/>
      <c r="K1029" s="695"/>
      <c r="L1029" s="695"/>
      <c r="M1029" s="695"/>
      <c r="N1029" s="695"/>
      <c r="O1029" s="696"/>
      <c r="P1029" s="687"/>
    </row>
    <row r="1030" spans="1:89" s="672" customFormat="1" ht="17.25" customHeight="1" x14ac:dyDescent="0.25">
      <c r="A1030" s="740" t="s">
        <v>22</v>
      </c>
      <c r="B1030" s="1368" t="s">
        <v>23</v>
      </c>
      <c r="C1030" s="828"/>
      <c r="D1030" s="1369"/>
      <c r="E1030" s="705"/>
      <c r="F1030" s="705">
        <f>SUM(F1031:F1039)</f>
        <v>0</v>
      </c>
      <c r="G1030" s="705">
        <f>SUM(G1031:G1039)</f>
        <v>0</v>
      </c>
      <c r="H1030" s="705">
        <f>F1030+G1030</f>
        <v>0</v>
      </c>
      <c r="I1030" s="705">
        <f>SUM(I1031:I1039)</f>
        <v>0</v>
      </c>
      <c r="J1030" s="705">
        <f>SUM(J1031:J1039)</f>
        <v>2927734</v>
      </c>
      <c r="K1030" s="705">
        <f>I1030+J1030</f>
        <v>2927734</v>
      </c>
      <c r="L1030" s="705">
        <f>SUM(L1031:L1039)</f>
        <v>0</v>
      </c>
      <c r="M1030" s="705">
        <f>SUM(M1031:M1039)</f>
        <v>0</v>
      </c>
      <c r="N1030" s="705">
        <f>L1030+M1030</f>
        <v>0</v>
      </c>
      <c r="O1030" s="1370">
        <f>N1030+K1030+H1030</f>
        <v>2927734</v>
      </c>
      <c r="P1030" s="829"/>
      <c r="Q1030" s="1581"/>
      <c r="R1030" s="1581"/>
      <c r="S1030" s="1581"/>
      <c r="T1030" s="1581"/>
      <c r="U1030" s="1581"/>
      <c r="V1030" s="1581"/>
      <c r="W1030" s="1581"/>
      <c r="X1030" s="1581"/>
      <c r="Y1030" s="1581"/>
      <c r="Z1030" s="1581"/>
      <c r="AA1030" s="1581"/>
      <c r="AB1030" s="1581"/>
      <c r="AC1030" s="1581"/>
      <c r="AD1030" s="1581"/>
      <c r="AE1030" s="1581"/>
      <c r="AF1030" s="1581"/>
      <c r="AG1030" s="1581"/>
      <c r="AH1030" s="1581"/>
      <c r="AI1030" s="1581"/>
      <c r="AJ1030" s="1581"/>
      <c r="AK1030" s="1581"/>
      <c r="AL1030" s="1581"/>
      <c r="AM1030" s="1581"/>
      <c r="AN1030" s="1581"/>
      <c r="AO1030" s="1581"/>
      <c r="AP1030" s="1581"/>
      <c r="AQ1030" s="1581"/>
      <c r="AR1030" s="1581"/>
      <c r="AS1030" s="1581"/>
      <c r="AT1030" s="1581"/>
      <c r="AU1030" s="1581"/>
      <c r="AV1030" s="1581"/>
      <c r="AW1030" s="1581"/>
      <c r="AX1030" s="1581"/>
      <c r="AY1030" s="1581"/>
      <c r="AZ1030" s="1581"/>
      <c r="BA1030" s="1581"/>
      <c r="BB1030" s="1581"/>
      <c r="BC1030" s="1581"/>
      <c r="BD1030" s="1581"/>
      <c r="BE1030" s="1581"/>
      <c r="BF1030" s="1581"/>
      <c r="BG1030" s="1581"/>
      <c r="BH1030" s="1581"/>
      <c r="BI1030" s="1581"/>
      <c r="BJ1030" s="1581"/>
      <c r="BK1030" s="1581"/>
      <c r="BL1030" s="1581"/>
      <c r="BM1030" s="1581"/>
      <c r="BN1030" s="1581"/>
      <c r="BO1030" s="1581"/>
      <c r="BP1030" s="1581"/>
      <c r="BQ1030" s="1581"/>
      <c r="BR1030" s="1581"/>
      <c r="BS1030" s="1581"/>
      <c r="BT1030" s="1581"/>
      <c r="BU1030" s="1581"/>
      <c r="BV1030" s="1581"/>
      <c r="BW1030" s="1581"/>
      <c r="BX1030" s="1581"/>
      <c r="BY1030" s="1581"/>
      <c r="BZ1030" s="1581"/>
      <c r="CA1030" s="1581"/>
      <c r="CB1030" s="1581"/>
      <c r="CC1030" s="1581"/>
      <c r="CD1030" s="1581"/>
      <c r="CE1030" s="1581"/>
      <c r="CF1030" s="1581"/>
      <c r="CG1030" s="1581"/>
      <c r="CH1030" s="1581"/>
      <c r="CI1030" s="1581"/>
      <c r="CJ1030" s="1581"/>
      <c r="CK1030" s="1581"/>
    </row>
    <row r="1031" spans="1:89" ht="17.25" customHeight="1" x14ac:dyDescent="0.25">
      <c r="A1031" s="692">
        <v>1</v>
      </c>
      <c r="B1031" s="1248" t="s">
        <v>21</v>
      </c>
      <c r="C1031" s="693"/>
      <c r="D1031" s="727"/>
      <c r="E1031" s="695"/>
      <c r="F1031" s="695"/>
      <c r="G1031" s="695"/>
      <c r="H1031" s="695"/>
      <c r="I1031" s="695"/>
      <c r="J1031" s="695"/>
      <c r="K1031" s="695"/>
      <c r="L1031" s="695"/>
      <c r="M1031" s="695"/>
      <c r="N1031" s="695"/>
      <c r="O1031" s="696">
        <f>N1031+K1031+H1031</f>
        <v>0</v>
      </c>
      <c r="P1031" s="687"/>
    </row>
    <row r="1032" spans="1:89" ht="17.25" customHeight="1" x14ac:dyDescent="0.25">
      <c r="A1032" s="740"/>
      <c r="B1032" s="1368" t="s">
        <v>137</v>
      </c>
      <c r="C1032" s="828">
        <v>1</v>
      </c>
      <c r="D1032" s="1369" t="s">
        <v>25</v>
      </c>
      <c r="E1032" s="705">
        <f>SUM(E1033:E1036)</f>
        <v>2831734</v>
      </c>
      <c r="F1032" s="705"/>
      <c r="G1032" s="705"/>
      <c r="H1032" s="705"/>
      <c r="I1032" s="705"/>
      <c r="J1032" s="705">
        <f>E1032*C1032</f>
        <v>2831734</v>
      </c>
      <c r="K1032" s="705">
        <f>I1032+J1032</f>
        <v>2831734</v>
      </c>
      <c r="L1032" s="705"/>
      <c r="M1032" s="705"/>
      <c r="N1032" s="705"/>
      <c r="O1032" s="1370">
        <f>N1032+K1032+H1032</f>
        <v>2831734</v>
      </c>
      <c r="P1032" s="829"/>
    </row>
    <row r="1033" spans="1:89" ht="17.25" customHeight="1" x14ac:dyDescent="0.25">
      <c r="A1033" s="692"/>
      <c r="B1033" s="1248" t="s">
        <v>138</v>
      </c>
      <c r="C1033" s="693"/>
      <c r="D1033" s="727"/>
      <c r="E1033" s="695">
        <v>768269</v>
      </c>
      <c r="F1033" s="695"/>
      <c r="G1033" s="695"/>
      <c r="H1033" s="695"/>
      <c r="I1033" s="695"/>
      <c r="J1033" s="695"/>
      <c r="K1033" s="695"/>
      <c r="L1033" s="695"/>
      <c r="M1033" s="695"/>
      <c r="N1033" s="695"/>
      <c r="O1033" s="696"/>
      <c r="P1033" s="687"/>
    </row>
    <row r="1034" spans="1:89" ht="17.25" customHeight="1" x14ac:dyDescent="0.25">
      <c r="A1034" s="692"/>
      <c r="B1034" s="1237" t="s">
        <v>139</v>
      </c>
      <c r="C1034" s="693"/>
      <c r="D1034" s="727"/>
      <c r="E1034" s="695">
        <v>489290</v>
      </c>
      <c r="F1034" s="695"/>
      <c r="G1034" s="695"/>
      <c r="H1034" s="695"/>
      <c r="I1034" s="695"/>
      <c r="J1034" s="695"/>
      <c r="K1034" s="695"/>
      <c r="L1034" s="695"/>
      <c r="M1034" s="695"/>
      <c r="N1034" s="695"/>
      <c r="O1034" s="696"/>
      <c r="P1034" s="687"/>
    </row>
    <row r="1035" spans="1:89" ht="17.25" customHeight="1" x14ac:dyDescent="0.25">
      <c r="A1035" s="692"/>
      <c r="B1035" s="1241" t="s">
        <v>140</v>
      </c>
      <c r="C1035" s="693"/>
      <c r="D1035" s="727"/>
      <c r="E1035" s="695">
        <v>559268</v>
      </c>
      <c r="F1035" s="695"/>
      <c r="G1035" s="695"/>
      <c r="H1035" s="695"/>
      <c r="I1035" s="695"/>
      <c r="J1035" s="695"/>
      <c r="K1035" s="695"/>
      <c r="L1035" s="695"/>
      <c r="M1035" s="695"/>
      <c r="N1035" s="695"/>
      <c r="O1035" s="696"/>
      <c r="P1035" s="687"/>
    </row>
    <row r="1036" spans="1:89" ht="17.25" customHeight="1" x14ac:dyDescent="0.25">
      <c r="A1036" s="692"/>
      <c r="B1036" s="1237" t="s">
        <v>141</v>
      </c>
      <c r="C1036" s="693"/>
      <c r="D1036" s="727"/>
      <c r="E1036" s="695">
        <f>814907+200000</f>
        <v>1014907</v>
      </c>
      <c r="F1036" s="695"/>
      <c r="G1036" s="695"/>
      <c r="H1036" s="695"/>
      <c r="I1036" s="695"/>
      <c r="J1036" s="695"/>
      <c r="K1036" s="695"/>
      <c r="L1036" s="695"/>
      <c r="M1036" s="695"/>
      <c r="N1036" s="695"/>
      <c r="O1036" s="696"/>
      <c r="P1036" s="687"/>
    </row>
    <row r="1037" spans="1:89" ht="17.25" customHeight="1" x14ac:dyDescent="0.25">
      <c r="A1037" s="692"/>
      <c r="B1037" s="1237"/>
      <c r="C1037" s="693"/>
      <c r="D1037" s="727"/>
      <c r="E1037" s="695"/>
      <c r="F1037" s="695"/>
      <c r="G1037" s="695"/>
      <c r="H1037" s="695"/>
      <c r="I1037" s="695"/>
      <c r="J1037" s="695"/>
      <c r="K1037" s="695"/>
      <c r="L1037" s="695"/>
      <c r="M1037" s="695"/>
      <c r="N1037" s="695"/>
      <c r="O1037" s="696">
        <f>N1037+K1037+H1037</f>
        <v>0</v>
      </c>
      <c r="P1037" s="687"/>
    </row>
    <row r="1038" spans="1:89" ht="17.25" customHeight="1" x14ac:dyDescent="0.25">
      <c r="A1038" s="692">
        <v>2</v>
      </c>
      <c r="B1038" s="1237" t="s">
        <v>19</v>
      </c>
      <c r="C1038" s="693"/>
      <c r="D1038" s="727"/>
      <c r="E1038" s="695"/>
      <c r="F1038" s="695"/>
      <c r="G1038" s="695"/>
      <c r="H1038" s="695"/>
      <c r="I1038" s="695"/>
      <c r="J1038" s="695"/>
      <c r="K1038" s="695"/>
      <c r="L1038" s="695"/>
      <c r="M1038" s="695"/>
      <c r="N1038" s="695"/>
      <c r="O1038" s="696">
        <f>N1038+K1038+H1038</f>
        <v>0</v>
      </c>
      <c r="P1038" s="687"/>
    </row>
    <row r="1039" spans="1:89" ht="17.25" customHeight="1" x14ac:dyDescent="0.25">
      <c r="A1039" s="692"/>
      <c r="B1039" s="1237" t="s">
        <v>26</v>
      </c>
      <c r="C1039" s="693">
        <v>1</v>
      </c>
      <c r="D1039" s="727" t="s">
        <v>25</v>
      </c>
      <c r="E1039" s="695">
        <v>96000</v>
      </c>
      <c r="F1039" s="695"/>
      <c r="G1039" s="695"/>
      <c r="H1039" s="695"/>
      <c r="I1039" s="695"/>
      <c r="J1039" s="695">
        <f>C1039*E1039</f>
        <v>96000</v>
      </c>
      <c r="K1039" s="695">
        <f>I1039+J1039</f>
        <v>96000</v>
      </c>
      <c r="L1039" s="695"/>
      <c r="M1039" s="695"/>
      <c r="N1039" s="695"/>
      <c r="O1039" s="696">
        <f>N1039+K1039+H1039</f>
        <v>96000</v>
      </c>
      <c r="P1039" s="687"/>
    </row>
    <row r="1040" spans="1:89" ht="17.25" customHeight="1" x14ac:dyDescent="0.25">
      <c r="A1040" s="692"/>
      <c r="B1040" s="1237"/>
      <c r="C1040" s="693"/>
      <c r="D1040" s="727"/>
      <c r="E1040" s="695"/>
      <c r="F1040" s="695"/>
      <c r="G1040" s="695"/>
      <c r="H1040" s="695"/>
      <c r="I1040" s="695"/>
      <c r="J1040" s="695"/>
      <c r="K1040" s="695"/>
      <c r="L1040" s="695"/>
      <c r="M1040" s="695"/>
      <c r="N1040" s="695"/>
      <c r="O1040" s="696">
        <f>N1040+K1040+H1040</f>
        <v>0</v>
      </c>
      <c r="P1040" s="687"/>
    </row>
    <row r="1041" spans="1:89" s="672" customFormat="1" ht="17.25" customHeight="1" x14ac:dyDescent="0.25">
      <c r="A1041" s="740" t="s">
        <v>28</v>
      </c>
      <c r="B1041" s="1448" t="s">
        <v>29</v>
      </c>
      <c r="C1041" s="828"/>
      <c r="D1041" s="1369"/>
      <c r="E1041" s="705"/>
      <c r="F1041" s="705">
        <f>SUM(F1043:F1068)</f>
        <v>0</v>
      </c>
      <c r="G1041" s="705">
        <f>SUM(G1044:G1068)</f>
        <v>0</v>
      </c>
      <c r="H1041" s="705">
        <f>F1041+G1041</f>
        <v>0</v>
      </c>
      <c r="I1041" s="705">
        <f>SUM(I1044:I1068)</f>
        <v>0</v>
      </c>
      <c r="J1041" s="705">
        <f>SUM(J1044:J1068)</f>
        <v>689183</v>
      </c>
      <c r="K1041" s="705">
        <f>I1041+J1041</f>
        <v>689183</v>
      </c>
      <c r="L1041" s="705">
        <f>SUM(L1044:L1068)</f>
        <v>0</v>
      </c>
      <c r="M1041" s="705">
        <f>SUM(M1044:M1068)</f>
        <v>0</v>
      </c>
      <c r="N1041" s="705">
        <f>L1041+M1041</f>
        <v>0</v>
      </c>
      <c r="O1041" s="1370">
        <f>N1041+K1041+H1041</f>
        <v>689183</v>
      </c>
      <c r="P1041" s="829"/>
      <c r="Q1041" s="1581"/>
      <c r="R1041" s="1581"/>
      <c r="S1041" s="1581"/>
      <c r="T1041" s="1581"/>
      <c r="U1041" s="1581"/>
      <c r="V1041" s="1581"/>
      <c r="W1041" s="1581"/>
      <c r="X1041" s="1581"/>
      <c r="Y1041" s="1581"/>
      <c r="Z1041" s="1581"/>
      <c r="AA1041" s="1581"/>
      <c r="AB1041" s="1581"/>
      <c r="AC1041" s="1581"/>
      <c r="AD1041" s="1581"/>
      <c r="AE1041" s="1581"/>
      <c r="AF1041" s="1581"/>
      <c r="AG1041" s="1581"/>
      <c r="AH1041" s="1581"/>
      <c r="AI1041" s="1581"/>
      <c r="AJ1041" s="1581"/>
      <c r="AK1041" s="1581"/>
      <c r="AL1041" s="1581"/>
      <c r="AM1041" s="1581"/>
      <c r="AN1041" s="1581"/>
      <c r="AO1041" s="1581"/>
      <c r="AP1041" s="1581"/>
      <c r="AQ1041" s="1581"/>
      <c r="AR1041" s="1581"/>
      <c r="AS1041" s="1581"/>
      <c r="AT1041" s="1581"/>
      <c r="AU1041" s="1581"/>
      <c r="AV1041" s="1581"/>
      <c r="AW1041" s="1581"/>
      <c r="AX1041" s="1581"/>
      <c r="AY1041" s="1581"/>
      <c r="AZ1041" s="1581"/>
      <c r="BA1041" s="1581"/>
      <c r="BB1041" s="1581"/>
      <c r="BC1041" s="1581"/>
      <c r="BD1041" s="1581"/>
      <c r="BE1041" s="1581"/>
      <c r="BF1041" s="1581"/>
      <c r="BG1041" s="1581"/>
      <c r="BH1041" s="1581"/>
      <c r="BI1041" s="1581"/>
      <c r="BJ1041" s="1581"/>
      <c r="BK1041" s="1581"/>
      <c r="BL1041" s="1581"/>
      <c r="BM1041" s="1581"/>
      <c r="BN1041" s="1581"/>
      <c r="BO1041" s="1581"/>
      <c r="BP1041" s="1581"/>
      <c r="BQ1041" s="1581"/>
      <c r="BR1041" s="1581"/>
      <c r="BS1041" s="1581"/>
      <c r="BT1041" s="1581"/>
      <c r="BU1041" s="1581"/>
      <c r="BV1041" s="1581"/>
      <c r="BW1041" s="1581"/>
      <c r="BX1041" s="1581"/>
      <c r="BY1041" s="1581"/>
      <c r="BZ1041" s="1581"/>
      <c r="CA1041" s="1581"/>
      <c r="CB1041" s="1581"/>
      <c r="CC1041" s="1581"/>
      <c r="CD1041" s="1581"/>
      <c r="CE1041" s="1581"/>
      <c r="CF1041" s="1581"/>
      <c r="CG1041" s="1581"/>
      <c r="CH1041" s="1581"/>
      <c r="CI1041" s="1581"/>
      <c r="CJ1041" s="1581"/>
      <c r="CK1041" s="1581"/>
    </row>
    <row r="1042" spans="1:89" ht="17.25" customHeight="1" x14ac:dyDescent="0.25">
      <c r="A1042" s="692"/>
      <c r="B1042" s="1241"/>
      <c r="C1042" s="693"/>
      <c r="D1042" s="727"/>
      <c r="E1042" s="695"/>
      <c r="F1042" s="695"/>
      <c r="G1042" s="695"/>
      <c r="H1042" s="695"/>
      <c r="I1042" s="695"/>
      <c r="J1042" s="695"/>
      <c r="K1042" s="695"/>
      <c r="L1042" s="695"/>
      <c r="M1042" s="695"/>
      <c r="N1042" s="695"/>
      <c r="O1042" s="696"/>
      <c r="P1042" s="687"/>
    </row>
    <row r="1043" spans="1:89" ht="17.25" customHeight="1" x14ac:dyDescent="0.25">
      <c r="A1043" s="692">
        <v>1</v>
      </c>
      <c r="B1043" s="1241" t="s">
        <v>19</v>
      </c>
      <c r="C1043" s="693"/>
      <c r="D1043" s="727"/>
      <c r="E1043" s="695"/>
      <c r="F1043" s="695"/>
      <c r="G1043" s="695"/>
      <c r="H1043" s="695"/>
      <c r="I1043" s="695"/>
      <c r="J1043" s="695"/>
      <c r="K1043" s="695"/>
      <c r="L1043" s="695"/>
      <c r="M1043" s="695"/>
      <c r="N1043" s="695"/>
      <c r="O1043" s="696">
        <f t="shared" ref="O1043:O1065" si="79">N1043+K1043+H1043</f>
        <v>0</v>
      </c>
      <c r="P1043" s="687"/>
    </row>
    <row r="1044" spans="1:89" ht="17.25" customHeight="1" x14ac:dyDescent="0.25">
      <c r="A1044" s="692"/>
      <c r="B1044" s="1237" t="s">
        <v>142</v>
      </c>
      <c r="C1044" s="693">
        <v>12</v>
      </c>
      <c r="D1044" s="727" t="s">
        <v>20</v>
      </c>
      <c r="E1044" s="695">
        <v>3080</v>
      </c>
      <c r="F1044" s="695"/>
      <c r="G1044" s="695"/>
      <c r="H1044" s="695"/>
      <c r="I1044" s="695"/>
      <c r="J1044" s="695">
        <f>C1044*E1044</f>
        <v>36960</v>
      </c>
      <c r="K1044" s="695">
        <f>I1044+J1044</f>
        <v>36960</v>
      </c>
      <c r="L1044" s="695"/>
      <c r="M1044" s="695"/>
      <c r="N1044" s="695"/>
      <c r="O1044" s="696">
        <f t="shared" si="79"/>
        <v>36960</v>
      </c>
      <c r="P1044" s="687"/>
    </row>
    <row r="1045" spans="1:89" ht="17.25" customHeight="1" x14ac:dyDescent="0.25">
      <c r="A1045" s="692"/>
      <c r="B1045" s="1237" t="s">
        <v>31</v>
      </c>
      <c r="C1045" s="693">
        <v>12</v>
      </c>
      <c r="D1045" s="727" t="s">
        <v>20</v>
      </c>
      <c r="E1045" s="695">
        <v>2440</v>
      </c>
      <c r="F1045" s="695"/>
      <c r="G1045" s="695"/>
      <c r="H1045" s="695"/>
      <c r="I1045" s="695"/>
      <c r="J1045" s="695">
        <f>C1045*E1045</f>
        <v>29280</v>
      </c>
      <c r="K1045" s="695">
        <f>I1045+J1045</f>
        <v>29280</v>
      </c>
      <c r="L1045" s="695"/>
      <c r="M1045" s="695"/>
      <c r="N1045" s="695"/>
      <c r="O1045" s="696">
        <f t="shared" si="79"/>
        <v>29280</v>
      </c>
      <c r="P1045" s="687"/>
    </row>
    <row r="1046" spans="1:89" ht="15.75" customHeight="1" x14ac:dyDescent="0.25">
      <c r="A1046" s="692"/>
      <c r="B1046" s="1237" t="s">
        <v>32</v>
      </c>
      <c r="C1046" s="693">
        <v>12</v>
      </c>
      <c r="D1046" s="727" t="s">
        <v>20</v>
      </c>
      <c r="E1046" s="695">
        <v>2120</v>
      </c>
      <c r="F1046" s="695"/>
      <c r="G1046" s="695"/>
      <c r="H1046" s="695"/>
      <c r="I1046" s="695"/>
      <c r="J1046" s="695">
        <f>C1046*E1046</f>
        <v>25440</v>
      </c>
      <c r="K1046" s="695">
        <f>I1046+J1046</f>
        <v>25440</v>
      </c>
      <c r="L1046" s="695"/>
      <c r="M1046" s="695"/>
      <c r="N1046" s="695"/>
      <c r="O1046" s="696">
        <f t="shared" si="79"/>
        <v>25440</v>
      </c>
      <c r="P1046" s="687"/>
    </row>
    <row r="1047" spans="1:89" ht="15.75" customHeight="1" x14ac:dyDescent="0.25">
      <c r="A1047" s="692"/>
      <c r="B1047" s="1237" t="s">
        <v>33</v>
      </c>
      <c r="C1047" s="693">
        <v>60</v>
      </c>
      <c r="D1047" s="727" t="s">
        <v>20</v>
      </c>
      <c r="E1047" s="695">
        <v>1580</v>
      </c>
      <c r="F1047" s="695"/>
      <c r="G1047" s="695"/>
      <c r="H1047" s="695"/>
      <c r="I1047" s="695"/>
      <c r="J1047" s="695">
        <f>C1047*E1047</f>
        <v>94800</v>
      </c>
      <c r="K1047" s="695">
        <f>I1047+J1047</f>
        <v>94800</v>
      </c>
      <c r="L1047" s="695"/>
      <c r="M1047" s="695"/>
      <c r="N1047" s="695"/>
      <c r="O1047" s="696">
        <f t="shared" si="79"/>
        <v>94800</v>
      </c>
      <c r="P1047" s="687"/>
    </row>
    <row r="1048" spans="1:89" ht="17.25" customHeight="1" x14ac:dyDescent="0.25">
      <c r="A1048" s="692"/>
      <c r="B1048" s="1237" t="s">
        <v>34</v>
      </c>
      <c r="C1048" s="693"/>
      <c r="D1048" s="727"/>
      <c r="E1048" s="695"/>
      <c r="F1048" s="695"/>
      <c r="G1048" s="695"/>
      <c r="H1048" s="695"/>
      <c r="I1048" s="695"/>
      <c r="J1048" s="695"/>
      <c r="K1048" s="695"/>
      <c r="L1048" s="695"/>
      <c r="M1048" s="695"/>
      <c r="N1048" s="695"/>
      <c r="O1048" s="696">
        <f t="shared" si="79"/>
        <v>0</v>
      </c>
      <c r="P1048" s="687"/>
    </row>
    <row r="1049" spans="1:89" ht="17.25" customHeight="1" x14ac:dyDescent="0.25">
      <c r="A1049" s="692"/>
      <c r="B1049" s="1237" t="s">
        <v>35</v>
      </c>
      <c r="C1049" s="693">
        <v>12</v>
      </c>
      <c r="D1049" s="727" t="s">
        <v>20</v>
      </c>
      <c r="E1049" s="695">
        <v>200</v>
      </c>
      <c r="F1049" s="714"/>
      <c r="G1049" s="714"/>
      <c r="H1049" s="714"/>
      <c r="I1049" s="714"/>
      <c r="J1049" s="695">
        <f>C1049*E1049</f>
        <v>2400</v>
      </c>
      <c r="K1049" s="695">
        <f>I1049+J1049</f>
        <v>2400</v>
      </c>
      <c r="L1049" s="714"/>
      <c r="M1049" s="714"/>
      <c r="N1049" s="714"/>
      <c r="O1049" s="696">
        <f t="shared" si="79"/>
        <v>2400</v>
      </c>
      <c r="P1049" s="687"/>
    </row>
    <row r="1050" spans="1:89" ht="17.25" customHeight="1" x14ac:dyDescent="0.25">
      <c r="A1050" s="692"/>
      <c r="B1050" s="1237" t="s">
        <v>36</v>
      </c>
      <c r="C1050" s="693">
        <v>48</v>
      </c>
      <c r="D1050" s="727" t="s">
        <v>20</v>
      </c>
      <c r="E1050" s="695">
        <v>150</v>
      </c>
      <c r="F1050" s="714"/>
      <c r="G1050" s="714"/>
      <c r="H1050" s="714"/>
      <c r="I1050" s="714"/>
      <c r="J1050" s="695">
        <f>C1050*E1050</f>
        <v>7200</v>
      </c>
      <c r="K1050" s="695">
        <f>I1050+J1050</f>
        <v>7200</v>
      </c>
      <c r="L1050" s="714"/>
      <c r="M1050" s="714"/>
      <c r="N1050" s="714"/>
      <c r="O1050" s="696">
        <f t="shared" si="79"/>
        <v>7200</v>
      </c>
      <c r="P1050" s="687"/>
    </row>
    <row r="1051" spans="1:89" ht="17.25" customHeight="1" x14ac:dyDescent="0.25">
      <c r="A1051" s="692"/>
      <c r="B1051" s="1237" t="s">
        <v>38</v>
      </c>
      <c r="C1051" s="693">
        <v>1</v>
      </c>
      <c r="D1051" s="727" t="s">
        <v>25</v>
      </c>
      <c r="E1051" s="695">
        <v>50000</v>
      </c>
      <c r="F1051" s="695"/>
      <c r="G1051" s="695"/>
      <c r="H1051" s="695"/>
      <c r="I1051" s="695"/>
      <c r="J1051" s="695">
        <f>C1051*E1051</f>
        <v>50000</v>
      </c>
      <c r="K1051" s="695">
        <f>I1051+J1051</f>
        <v>50000</v>
      </c>
      <c r="L1051" s="695"/>
      <c r="M1051" s="695"/>
      <c r="N1051" s="695"/>
      <c r="O1051" s="696">
        <f t="shared" si="79"/>
        <v>50000</v>
      </c>
      <c r="P1051" s="687"/>
    </row>
    <row r="1052" spans="1:89" ht="17.25" customHeight="1" x14ac:dyDescent="0.25">
      <c r="A1052" s="692"/>
      <c r="B1052" s="1241" t="s">
        <v>590</v>
      </c>
      <c r="C1052" s="699">
        <v>1</v>
      </c>
      <c r="D1052" s="727" t="s">
        <v>25</v>
      </c>
      <c r="E1052" s="695">
        <v>75030</v>
      </c>
      <c r="F1052" s="695"/>
      <c r="G1052" s="695"/>
      <c r="H1052" s="695"/>
      <c r="I1052" s="695"/>
      <c r="J1052" s="695">
        <f>C1052*E1052</f>
        <v>75030</v>
      </c>
      <c r="K1052" s="695">
        <f>I1052+J1052</f>
        <v>75030</v>
      </c>
      <c r="L1052" s="695"/>
      <c r="M1052" s="695"/>
      <c r="N1052" s="695"/>
      <c r="O1052" s="696">
        <f t="shared" si="79"/>
        <v>75030</v>
      </c>
      <c r="P1052" s="687"/>
    </row>
    <row r="1053" spans="1:89" ht="17.25" customHeight="1" x14ac:dyDescent="0.25">
      <c r="A1053" s="692"/>
      <c r="B1053" s="1237"/>
      <c r="C1053" s="699"/>
      <c r="D1053" s="727"/>
      <c r="E1053" s="695"/>
      <c r="F1053" s="695"/>
      <c r="G1053" s="695"/>
      <c r="H1053" s="695"/>
      <c r="I1053" s="695"/>
      <c r="J1053" s="695"/>
      <c r="K1053" s="695"/>
      <c r="L1053" s="695"/>
      <c r="M1053" s="695"/>
      <c r="N1053" s="695"/>
      <c r="O1053" s="696"/>
      <c r="P1053" s="687"/>
    </row>
    <row r="1054" spans="1:89" ht="17.25" customHeight="1" x14ac:dyDescent="0.25">
      <c r="A1054" s="692">
        <v>2</v>
      </c>
      <c r="B1054" s="1237" t="s">
        <v>40</v>
      </c>
      <c r="C1054" s="699"/>
      <c r="D1054" s="727"/>
      <c r="E1054" s="695"/>
      <c r="F1054" s="695"/>
      <c r="G1054" s="695"/>
      <c r="H1054" s="695"/>
      <c r="I1054" s="695"/>
      <c r="J1054" s="695"/>
      <c r="K1054" s="695"/>
      <c r="L1054" s="695"/>
      <c r="M1054" s="695"/>
      <c r="N1054" s="695"/>
      <c r="O1054" s="696">
        <f t="shared" si="79"/>
        <v>0</v>
      </c>
      <c r="P1054" s="687"/>
    </row>
    <row r="1055" spans="1:89" ht="17.25" customHeight="1" x14ac:dyDescent="0.25">
      <c r="A1055" s="692"/>
      <c r="B1055" s="1241" t="s">
        <v>41</v>
      </c>
      <c r="C1055" s="699">
        <v>1</v>
      </c>
      <c r="D1055" s="727" t="s">
        <v>25</v>
      </c>
      <c r="E1055" s="695">
        <f>50000-5676</f>
        <v>44324</v>
      </c>
      <c r="F1055" s="695"/>
      <c r="G1055" s="695"/>
      <c r="H1055" s="695"/>
      <c r="I1055" s="695"/>
      <c r="J1055" s="695">
        <f>C1055*E1055</f>
        <v>44324</v>
      </c>
      <c r="K1055" s="695">
        <f>I1055+J1055</f>
        <v>44324</v>
      </c>
      <c r="L1055" s="695"/>
      <c r="M1055" s="695"/>
      <c r="N1055" s="695"/>
      <c r="O1055" s="696">
        <f t="shared" si="79"/>
        <v>44324</v>
      </c>
      <c r="P1055" s="687"/>
    </row>
    <row r="1056" spans="1:89" ht="17.25" customHeight="1" x14ac:dyDescent="0.25">
      <c r="A1056" s="692"/>
      <c r="B1056" s="1241" t="s">
        <v>42</v>
      </c>
      <c r="C1056" s="699">
        <v>1</v>
      </c>
      <c r="D1056" s="739" t="s">
        <v>25</v>
      </c>
      <c r="E1056" s="695">
        <v>26249</v>
      </c>
      <c r="F1056" s="695"/>
      <c r="G1056" s="695"/>
      <c r="H1056" s="695"/>
      <c r="I1056" s="695"/>
      <c r="J1056" s="695">
        <f>C1056*E1056</f>
        <v>26249</v>
      </c>
      <c r="K1056" s="695">
        <f>I1056+J1056</f>
        <v>26249</v>
      </c>
      <c r="L1056" s="695"/>
      <c r="M1056" s="695"/>
      <c r="N1056" s="695"/>
      <c r="O1056" s="696">
        <f t="shared" si="79"/>
        <v>26249</v>
      </c>
      <c r="P1056" s="687"/>
    </row>
    <row r="1057" spans="1:16" ht="17.25" customHeight="1" x14ac:dyDescent="0.25">
      <c r="A1057" s="692"/>
      <c r="B1057" s="1241"/>
      <c r="C1057" s="699"/>
      <c r="D1057" s="739"/>
      <c r="E1057" s="695"/>
      <c r="F1057" s="695"/>
      <c r="G1057" s="695"/>
      <c r="H1057" s="695"/>
      <c r="I1057" s="695"/>
      <c r="J1057" s="695"/>
      <c r="K1057" s="695"/>
      <c r="L1057" s="695"/>
      <c r="M1057" s="695"/>
      <c r="N1057" s="695"/>
      <c r="O1057" s="696"/>
      <c r="P1057" s="687"/>
    </row>
    <row r="1058" spans="1:16" ht="17.25" customHeight="1" x14ac:dyDescent="0.25">
      <c r="A1058" s="692">
        <v>3</v>
      </c>
      <c r="B1058" s="1241" t="s">
        <v>43</v>
      </c>
      <c r="C1058" s="713"/>
      <c r="D1058" s="1424"/>
      <c r="E1058" s="714"/>
      <c r="F1058" s="714"/>
      <c r="G1058" s="714"/>
      <c r="H1058" s="714"/>
      <c r="I1058" s="714"/>
      <c r="J1058" s="714"/>
      <c r="K1058" s="714"/>
      <c r="L1058" s="714"/>
      <c r="M1058" s="714"/>
      <c r="N1058" s="714"/>
      <c r="O1058" s="753">
        <f t="shared" si="79"/>
        <v>0</v>
      </c>
      <c r="P1058" s="754"/>
    </row>
    <row r="1059" spans="1:16" ht="17.25" customHeight="1" x14ac:dyDescent="0.25">
      <c r="A1059" s="692"/>
      <c r="B1059" s="1241" t="s">
        <v>44</v>
      </c>
      <c r="C1059" s="713">
        <v>10</v>
      </c>
      <c r="D1059" s="880" t="s">
        <v>45</v>
      </c>
      <c r="E1059" s="714">
        <v>6000</v>
      </c>
      <c r="F1059" s="714"/>
      <c r="G1059" s="714"/>
      <c r="H1059" s="714"/>
      <c r="I1059" s="714"/>
      <c r="J1059" s="714">
        <f>C1059*E1059</f>
        <v>60000</v>
      </c>
      <c r="K1059" s="714">
        <f>I1059+J1059</f>
        <v>60000</v>
      </c>
      <c r="L1059" s="714"/>
      <c r="M1059" s="714"/>
      <c r="N1059" s="714"/>
      <c r="O1059" s="753">
        <f t="shared" si="79"/>
        <v>60000</v>
      </c>
      <c r="P1059" s="754"/>
    </row>
    <row r="1060" spans="1:16" ht="17.25" customHeight="1" x14ac:dyDescent="0.25">
      <c r="A1060" s="692"/>
      <c r="B1060" s="1241"/>
      <c r="C1060" s="713"/>
      <c r="D1060" s="880"/>
      <c r="E1060" s="714"/>
      <c r="F1060" s="714"/>
      <c r="G1060" s="714"/>
      <c r="H1060" s="714"/>
      <c r="I1060" s="714"/>
      <c r="J1060" s="714"/>
      <c r="K1060" s="714"/>
      <c r="L1060" s="714"/>
      <c r="M1060" s="714"/>
      <c r="N1060" s="714"/>
      <c r="O1060" s="753">
        <f t="shared" si="79"/>
        <v>0</v>
      </c>
      <c r="P1060" s="754"/>
    </row>
    <row r="1061" spans="1:16" ht="17.25" customHeight="1" x14ac:dyDescent="0.25">
      <c r="A1061" s="692">
        <v>5</v>
      </c>
      <c r="B1061" s="1241" t="s">
        <v>48</v>
      </c>
      <c r="C1061" s="713"/>
      <c r="D1061" s="880"/>
      <c r="E1061" s="714" t="s">
        <v>49</v>
      </c>
      <c r="F1061" s="714"/>
      <c r="G1061" s="714"/>
      <c r="H1061" s="714"/>
      <c r="I1061" s="714"/>
      <c r="J1061" s="714"/>
      <c r="K1061" s="714">
        <f>J1061+I1061</f>
        <v>0</v>
      </c>
      <c r="L1061" s="714"/>
      <c r="M1061" s="714"/>
      <c r="N1061" s="714"/>
      <c r="O1061" s="753">
        <f t="shared" si="79"/>
        <v>0</v>
      </c>
      <c r="P1061" s="754"/>
    </row>
    <row r="1062" spans="1:16" ht="17.25" customHeight="1" x14ac:dyDescent="0.25">
      <c r="A1062" s="692"/>
      <c r="B1062" s="1241" t="s">
        <v>50</v>
      </c>
      <c r="C1062" s="713">
        <v>50</v>
      </c>
      <c r="D1062" s="880" t="s">
        <v>51</v>
      </c>
      <c r="E1062" s="714">
        <v>2000</v>
      </c>
      <c r="F1062" s="714"/>
      <c r="G1062" s="714"/>
      <c r="H1062" s="714"/>
      <c r="I1062" s="714"/>
      <c r="J1062" s="714">
        <f>C1062*E1062</f>
        <v>100000</v>
      </c>
      <c r="K1062" s="714">
        <f>I1062+J1062</f>
        <v>100000</v>
      </c>
      <c r="L1062" s="714"/>
      <c r="M1062" s="714"/>
      <c r="N1062" s="714"/>
      <c r="O1062" s="753">
        <f t="shared" si="79"/>
        <v>100000</v>
      </c>
      <c r="P1062" s="754"/>
    </row>
    <row r="1063" spans="1:16" ht="17.25" customHeight="1" x14ac:dyDescent="0.25">
      <c r="A1063" s="692"/>
      <c r="B1063" s="1241" t="s">
        <v>52</v>
      </c>
      <c r="C1063" s="713">
        <v>150</v>
      </c>
      <c r="D1063" s="880" t="s">
        <v>53</v>
      </c>
      <c r="E1063" s="714">
        <v>450</v>
      </c>
      <c r="F1063" s="714"/>
      <c r="G1063" s="714"/>
      <c r="H1063" s="714"/>
      <c r="I1063" s="714"/>
      <c r="J1063" s="714">
        <f>C1063*E1063</f>
        <v>67500</v>
      </c>
      <c r="K1063" s="714">
        <f>I1063+J1063</f>
        <v>67500</v>
      </c>
      <c r="L1063" s="714"/>
      <c r="M1063" s="714"/>
      <c r="N1063" s="714"/>
      <c r="O1063" s="753">
        <f t="shared" si="79"/>
        <v>67500</v>
      </c>
      <c r="P1063" s="754"/>
    </row>
    <row r="1064" spans="1:16" ht="17.25" customHeight="1" x14ac:dyDescent="0.25">
      <c r="A1064" s="692"/>
      <c r="B1064" s="1241" t="s">
        <v>54</v>
      </c>
      <c r="C1064" s="713">
        <v>100</v>
      </c>
      <c r="D1064" s="880" t="s">
        <v>55</v>
      </c>
      <c r="E1064" s="714">
        <v>450</v>
      </c>
      <c r="F1064" s="714"/>
      <c r="G1064" s="714"/>
      <c r="H1064" s="714"/>
      <c r="I1064" s="714"/>
      <c r="J1064" s="714">
        <f>C1064*E1064</f>
        <v>45000</v>
      </c>
      <c r="K1064" s="714">
        <f>I1064+J1064</f>
        <v>45000</v>
      </c>
      <c r="L1064" s="714"/>
      <c r="M1064" s="714"/>
      <c r="N1064" s="714"/>
      <c r="O1064" s="753">
        <f t="shared" si="79"/>
        <v>45000</v>
      </c>
      <c r="P1064" s="754"/>
    </row>
    <row r="1065" spans="1:16" ht="17.25" customHeight="1" x14ac:dyDescent="0.25">
      <c r="A1065" s="692"/>
      <c r="B1065" s="1241" t="s">
        <v>56</v>
      </c>
      <c r="C1065" s="713">
        <v>50</v>
      </c>
      <c r="D1065" s="880" t="s">
        <v>55</v>
      </c>
      <c r="E1065" s="714">
        <v>500</v>
      </c>
      <c r="F1065" s="714"/>
      <c r="G1065" s="714"/>
      <c r="H1065" s="714"/>
      <c r="I1065" s="714"/>
      <c r="J1065" s="714">
        <f>C1065*E1065</f>
        <v>25000</v>
      </c>
      <c r="K1065" s="714">
        <f>I1065+J1065</f>
        <v>25000</v>
      </c>
      <c r="L1065" s="714"/>
      <c r="M1065" s="714"/>
      <c r="N1065" s="714"/>
      <c r="O1065" s="753">
        <f t="shared" si="79"/>
        <v>25000</v>
      </c>
      <c r="P1065" s="754"/>
    </row>
    <row r="1066" spans="1:16" ht="17.25" customHeight="1" x14ac:dyDescent="0.25">
      <c r="A1066" s="692"/>
      <c r="B1066" s="1241"/>
      <c r="C1066" s="713"/>
      <c r="D1066" s="880"/>
      <c r="E1066" s="714"/>
      <c r="F1066" s="714"/>
      <c r="G1066" s="714"/>
      <c r="H1066" s="714"/>
      <c r="I1066" s="714"/>
      <c r="J1066" s="714"/>
      <c r="K1066" s="714"/>
      <c r="L1066" s="714"/>
      <c r="M1066" s="714"/>
      <c r="N1066" s="714"/>
      <c r="O1066" s="753"/>
      <c r="P1066" s="754"/>
    </row>
    <row r="1067" spans="1:16" ht="17.25" customHeight="1" x14ac:dyDescent="0.25">
      <c r="A1067" s="692">
        <v>6</v>
      </c>
      <c r="B1067" s="1241" t="s">
        <v>57</v>
      </c>
      <c r="C1067" s="713"/>
      <c r="D1067" s="880"/>
      <c r="E1067" s="714"/>
      <c r="F1067" s="714"/>
      <c r="G1067" s="714"/>
      <c r="H1067" s="714"/>
      <c r="I1067" s="714"/>
      <c r="J1067" s="714"/>
      <c r="K1067" s="714"/>
      <c r="L1067" s="714"/>
      <c r="M1067" s="714"/>
      <c r="N1067" s="714"/>
      <c r="O1067" s="753"/>
      <c r="P1067" s="754"/>
    </row>
    <row r="1068" spans="1:16" ht="17.25" customHeight="1" x14ac:dyDescent="0.25">
      <c r="A1068" s="692"/>
      <c r="B1068" s="1241" t="s">
        <v>143</v>
      </c>
      <c r="C1068" s="713">
        <v>0</v>
      </c>
      <c r="D1068" s="880" t="s">
        <v>16</v>
      </c>
      <c r="E1068" s="714">
        <v>15000</v>
      </c>
      <c r="F1068" s="714"/>
      <c r="G1068" s="714"/>
      <c r="H1068" s="714"/>
      <c r="I1068" s="714"/>
      <c r="J1068" s="714"/>
      <c r="K1068" s="714"/>
      <c r="L1068" s="714">
        <f>C1068*E1068</f>
        <v>0</v>
      </c>
      <c r="M1068" s="714"/>
      <c r="N1068" s="714">
        <f>L1068+M1068</f>
        <v>0</v>
      </c>
      <c r="O1068" s="753">
        <f>N1068+K1068+H1068</f>
        <v>0</v>
      </c>
      <c r="P1068" s="754"/>
    </row>
    <row r="1069" spans="1:16" ht="17.25" customHeight="1" x14ac:dyDescent="0.25">
      <c r="A1069" s="692"/>
      <c r="B1069" s="1241"/>
      <c r="C1069" s="713"/>
      <c r="D1069" s="880"/>
      <c r="E1069" s="714"/>
      <c r="F1069" s="714"/>
      <c r="G1069" s="714"/>
      <c r="H1069" s="714"/>
      <c r="I1069" s="714"/>
      <c r="J1069" s="714"/>
      <c r="K1069" s="714"/>
      <c r="L1069" s="714"/>
      <c r="M1069" s="714"/>
      <c r="N1069" s="714"/>
      <c r="O1069" s="753"/>
      <c r="P1069" s="754"/>
    </row>
    <row r="1070" spans="1:16" ht="17.25" customHeight="1" x14ac:dyDescent="0.25">
      <c r="A1070" s="820"/>
      <c r="B1070" s="894"/>
      <c r="C1070" s="830"/>
      <c r="D1070" s="865"/>
      <c r="E1070" s="821"/>
      <c r="F1070" s="821"/>
      <c r="G1070" s="821"/>
      <c r="H1070" s="821"/>
      <c r="I1070" s="821"/>
      <c r="J1070" s="821"/>
      <c r="K1070" s="821"/>
      <c r="L1070" s="821"/>
      <c r="M1070" s="821"/>
      <c r="N1070" s="821"/>
      <c r="O1070" s="822"/>
      <c r="P1070" s="687"/>
    </row>
    <row r="1071" spans="1:16" ht="26.25" customHeight="1" x14ac:dyDescent="0.25">
      <c r="A1071" s="1352" t="s">
        <v>144</v>
      </c>
      <c r="B1071" s="1367" t="s">
        <v>145</v>
      </c>
      <c r="C1071" s="1212"/>
      <c r="D1071" s="1316"/>
      <c r="E1071" s="1214"/>
      <c r="F1071" s="1290">
        <f>F1073+F1091+F1094+F1099+F1112</f>
        <v>0</v>
      </c>
      <c r="G1071" s="1290">
        <f>G1073+G1091+G1094+G1099+G1112</f>
        <v>0</v>
      </c>
      <c r="H1071" s="1214">
        <f>G1071+F1071</f>
        <v>0</v>
      </c>
      <c r="I1071" s="1290">
        <f>I1073+I1091+I1094+I1099+I1112</f>
        <v>0</v>
      </c>
      <c r="J1071" s="1290">
        <f>J1073+J1091+J1094+J1099+J1112</f>
        <v>17396725</v>
      </c>
      <c r="K1071" s="1214">
        <f>J1071+I1071</f>
        <v>17396725</v>
      </c>
      <c r="L1071" s="1290">
        <f>L1073+L1091+L1094+L1099+L1112</f>
        <v>35000000</v>
      </c>
      <c r="M1071" s="1290">
        <f>M1073+M1091+M1094+M1099+M1112</f>
        <v>0</v>
      </c>
      <c r="N1071" s="1214">
        <f>M1071+L1071</f>
        <v>35000000</v>
      </c>
      <c r="O1071" s="1215">
        <f t="shared" ref="O1071:O1086" si="80">N1071+K1071+H1071</f>
        <v>52396725</v>
      </c>
      <c r="P1071" s="680"/>
    </row>
    <row r="1072" spans="1:16" ht="17.25" customHeight="1" x14ac:dyDescent="0.25">
      <c r="A1072" s="730"/>
      <c r="B1072" s="873"/>
      <c r="C1072" s="682"/>
      <c r="D1072" s="863"/>
      <c r="E1072" s="685"/>
      <c r="F1072" s="685"/>
      <c r="G1072" s="685"/>
      <c r="H1072" s="685"/>
      <c r="I1072" s="685"/>
      <c r="J1072" s="685"/>
      <c r="K1072" s="685"/>
      <c r="L1072" s="685"/>
      <c r="M1072" s="685"/>
      <c r="N1072" s="685"/>
      <c r="O1072" s="686">
        <f t="shared" si="80"/>
        <v>0</v>
      </c>
      <c r="P1072" s="687"/>
    </row>
    <row r="1073" spans="1:89" s="672" customFormat="1" ht="32.25" customHeight="1" x14ac:dyDescent="0.25">
      <c r="A1073" s="737" t="s">
        <v>15</v>
      </c>
      <c r="B1073" s="1372" t="s">
        <v>1156</v>
      </c>
      <c r="C1073" s="828"/>
      <c r="D1073" s="738"/>
      <c r="E1073" s="705"/>
      <c r="F1073" s="874">
        <f>SUM(F1074:F1090)</f>
        <v>0</v>
      </c>
      <c r="G1073" s="874">
        <f>SUM(G1074:G1090)</f>
        <v>0</v>
      </c>
      <c r="H1073" s="705">
        <f>G1073+F1073</f>
        <v>0</v>
      </c>
      <c r="I1073" s="874">
        <f>SUM(I1074:I1090)</f>
        <v>0</v>
      </c>
      <c r="J1073" s="874">
        <f>SUM(J1074:J1090)</f>
        <v>0</v>
      </c>
      <c r="K1073" s="705">
        <f>J1073+I1073</f>
        <v>0</v>
      </c>
      <c r="L1073" s="874">
        <f>SUM(L1074:L1090)</f>
        <v>35000000</v>
      </c>
      <c r="M1073" s="874">
        <f>SUM(M1074:M1090)</f>
        <v>0</v>
      </c>
      <c r="N1073" s="705">
        <f>M1073+L1073</f>
        <v>35000000</v>
      </c>
      <c r="O1073" s="1370">
        <f t="shared" si="80"/>
        <v>35000000</v>
      </c>
      <c r="P1073" s="829"/>
      <c r="Q1073" s="1581"/>
      <c r="R1073" s="1581"/>
      <c r="S1073" s="1581"/>
      <c r="T1073" s="1581"/>
      <c r="U1073" s="1581"/>
      <c r="V1073" s="1581"/>
      <c r="W1073" s="1581"/>
      <c r="X1073" s="1581"/>
      <c r="Y1073" s="1581"/>
      <c r="Z1073" s="1581"/>
      <c r="AA1073" s="1581"/>
      <c r="AB1073" s="1581"/>
      <c r="AC1073" s="1581"/>
      <c r="AD1073" s="1581"/>
      <c r="AE1073" s="1581"/>
      <c r="AF1073" s="1581"/>
      <c r="AG1073" s="1581"/>
      <c r="AH1073" s="1581"/>
      <c r="AI1073" s="1581"/>
      <c r="AJ1073" s="1581"/>
      <c r="AK1073" s="1581"/>
      <c r="AL1073" s="1581"/>
      <c r="AM1073" s="1581"/>
      <c r="AN1073" s="1581"/>
      <c r="AO1073" s="1581"/>
      <c r="AP1073" s="1581"/>
      <c r="AQ1073" s="1581"/>
      <c r="AR1073" s="1581"/>
      <c r="AS1073" s="1581"/>
      <c r="AT1073" s="1581"/>
      <c r="AU1073" s="1581"/>
      <c r="AV1073" s="1581"/>
      <c r="AW1073" s="1581"/>
      <c r="AX1073" s="1581"/>
      <c r="AY1073" s="1581"/>
      <c r="AZ1073" s="1581"/>
      <c r="BA1073" s="1581"/>
      <c r="BB1073" s="1581"/>
      <c r="BC1073" s="1581"/>
      <c r="BD1073" s="1581"/>
      <c r="BE1073" s="1581"/>
      <c r="BF1073" s="1581"/>
      <c r="BG1073" s="1581"/>
      <c r="BH1073" s="1581"/>
      <c r="BI1073" s="1581"/>
      <c r="BJ1073" s="1581"/>
      <c r="BK1073" s="1581"/>
      <c r="BL1073" s="1581"/>
      <c r="BM1073" s="1581"/>
      <c r="BN1073" s="1581"/>
      <c r="BO1073" s="1581"/>
      <c r="BP1073" s="1581"/>
      <c r="BQ1073" s="1581"/>
      <c r="BR1073" s="1581"/>
      <c r="BS1073" s="1581"/>
      <c r="BT1073" s="1581"/>
      <c r="BU1073" s="1581"/>
      <c r="BV1073" s="1581"/>
      <c r="BW1073" s="1581"/>
      <c r="BX1073" s="1581"/>
      <c r="BY1073" s="1581"/>
      <c r="BZ1073" s="1581"/>
      <c r="CA1073" s="1581"/>
      <c r="CB1073" s="1581"/>
      <c r="CC1073" s="1581"/>
      <c r="CD1073" s="1581"/>
      <c r="CE1073" s="1581"/>
      <c r="CF1073" s="1581"/>
      <c r="CG1073" s="1581"/>
      <c r="CH1073" s="1581"/>
      <c r="CI1073" s="1581"/>
      <c r="CJ1073" s="1581"/>
      <c r="CK1073" s="1581"/>
    </row>
    <row r="1074" spans="1:89" ht="20.25" customHeight="1" x14ac:dyDescent="0.25">
      <c r="A1074" s="692">
        <v>1</v>
      </c>
      <c r="B1074" s="1452" t="s">
        <v>1544</v>
      </c>
      <c r="C1074" s="906">
        <v>1</v>
      </c>
      <c r="D1074" s="727" t="s">
        <v>16</v>
      </c>
      <c r="E1074" s="695">
        <v>2000000</v>
      </c>
      <c r="F1074" s="695"/>
      <c r="G1074" s="695"/>
      <c r="H1074" s="695"/>
      <c r="I1074" s="695"/>
      <c r="J1074" s="695"/>
      <c r="K1074" s="695"/>
      <c r="L1074" s="695">
        <f t="shared" ref="L1074:L1086" si="81">E1074*C1074</f>
        <v>2000000</v>
      </c>
      <c r="M1074" s="695"/>
      <c r="N1074" s="695">
        <f t="shared" ref="N1074:N1086" si="82">L1074+M1074</f>
        <v>2000000</v>
      </c>
      <c r="O1074" s="696">
        <f t="shared" si="80"/>
        <v>2000000</v>
      </c>
      <c r="P1074" s="687"/>
    </row>
    <row r="1075" spans="1:89" ht="20.25" customHeight="1" x14ac:dyDescent="0.25">
      <c r="A1075" s="692">
        <v>2</v>
      </c>
      <c r="B1075" s="1452" t="s">
        <v>675</v>
      </c>
      <c r="C1075" s="906">
        <v>1</v>
      </c>
      <c r="D1075" s="727" t="s">
        <v>16</v>
      </c>
      <c r="E1075" s="695">
        <v>3000000</v>
      </c>
      <c r="F1075" s="695"/>
      <c r="G1075" s="695"/>
      <c r="H1075" s="695"/>
      <c r="I1075" s="695"/>
      <c r="J1075" s="695"/>
      <c r="K1075" s="695"/>
      <c r="L1075" s="695">
        <f t="shared" si="81"/>
        <v>3000000</v>
      </c>
      <c r="M1075" s="695"/>
      <c r="N1075" s="695">
        <f t="shared" si="82"/>
        <v>3000000</v>
      </c>
      <c r="O1075" s="696">
        <f t="shared" si="80"/>
        <v>3000000</v>
      </c>
      <c r="P1075" s="687"/>
    </row>
    <row r="1076" spans="1:89" ht="20.25" customHeight="1" x14ac:dyDescent="0.25">
      <c r="A1076" s="692">
        <v>3</v>
      </c>
      <c r="B1076" s="1452" t="s">
        <v>1545</v>
      </c>
      <c r="C1076" s="906">
        <v>1</v>
      </c>
      <c r="D1076" s="727" t="s">
        <v>16</v>
      </c>
      <c r="E1076" s="695">
        <v>3000000</v>
      </c>
      <c r="F1076" s="695"/>
      <c r="G1076" s="695"/>
      <c r="H1076" s="695"/>
      <c r="I1076" s="695"/>
      <c r="J1076" s="695"/>
      <c r="K1076" s="695"/>
      <c r="L1076" s="695">
        <f t="shared" si="81"/>
        <v>3000000</v>
      </c>
      <c r="M1076" s="695"/>
      <c r="N1076" s="695">
        <f t="shared" si="82"/>
        <v>3000000</v>
      </c>
      <c r="O1076" s="696">
        <f t="shared" si="80"/>
        <v>3000000</v>
      </c>
      <c r="P1076" s="687"/>
    </row>
    <row r="1077" spans="1:89" ht="20.25" customHeight="1" x14ac:dyDescent="0.25">
      <c r="A1077" s="692">
        <v>4</v>
      </c>
      <c r="B1077" s="1452" t="s">
        <v>1546</v>
      </c>
      <c r="C1077" s="906">
        <v>1</v>
      </c>
      <c r="D1077" s="727" t="s">
        <v>16</v>
      </c>
      <c r="E1077" s="695">
        <v>3000000</v>
      </c>
      <c r="F1077" s="695"/>
      <c r="G1077" s="695"/>
      <c r="H1077" s="695"/>
      <c r="I1077" s="695"/>
      <c r="J1077" s="695"/>
      <c r="K1077" s="695"/>
      <c r="L1077" s="695">
        <f t="shared" si="81"/>
        <v>3000000</v>
      </c>
      <c r="M1077" s="695"/>
      <c r="N1077" s="695">
        <f t="shared" si="82"/>
        <v>3000000</v>
      </c>
      <c r="O1077" s="696">
        <f t="shared" si="80"/>
        <v>3000000</v>
      </c>
      <c r="P1077" s="687"/>
    </row>
    <row r="1078" spans="1:89" ht="20.25" customHeight="1" x14ac:dyDescent="0.25">
      <c r="A1078" s="692">
        <v>5</v>
      </c>
      <c r="B1078" s="1452" t="s">
        <v>1787</v>
      </c>
      <c r="C1078" s="906">
        <v>1</v>
      </c>
      <c r="D1078" s="739" t="s">
        <v>16</v>
      </c>
      <c r="E1078" s="695">
        <v>2000000</v>
      </c>
      <c r="F1078" s="695"/>
      <c r="G1078" s="695"/>
      <c r="H1078" s="695"/>
      <c r="I1078" s="695"/>
      <c r="J1078" s="695"/>
      <c r="K1078" s="695"/>
      <c r="L1078" s="695">
        <f t="shared" si="81"/>
        <v>2000000</v>
      </c>
      <c r="M1078" s="695"/>
      <c r="N1078" s="695">
        <f t="shared" si="82"/>
        <v>2000000</v>
      </c>
      <c r="O1078" s="696">
        <f t="shared" si="80"/>
        <v>2000000</v>
      </c>
      <c r="P1078" s="687"/>
    </row>
    <row r="1079" spans="1:89" ht="20.25" customHeight="1" x14ac:dyDescent="0.25">
      <c r="A1079" s="692">
        <v>6</v>
      </c>
      <c r="B1079" s="1452" t="s">
        <v>1788</v>
      </c>
      <c r="C1079" s="906">
        <v>1</v>
      </c>
      <c r="D1079" s="739" t="s">
        <v>16</v>
      </c>
      <c r="E1079" s="695">
        <v>2000000</v>
      </c>
      <c r="F1079" s="695"/>
      <c r="G1079" s="695"/>
      <c r="H1079" s="695"/>
      <c r="I1079" s="695"/>
      <c r="J1079" s="695"/>
      <c r="K1079" s="695"/>
      <c r="L1079" s="695">
        <f t="shared" si="81"/>
        <v>2000000</v>
      </c>
      <c r="M1079" s="695"/>
      <c r="N1079" s="695">
        <f t="shared" si="82"/>
        <v>2000000</v>
      </c>
      <c r="O1079" s="696">
        <f t="shared" si="80"/>
        <v>2000000</v>
      </c>
      <c r="P1079" s="687"/>
    </row>
    <row r="1080" spans="1:89" ht="20.25" customHeight="1" x14ac:dyDescent="0.25">
      <c r="A1080" s="692">
        <v>7</v>
      </c>
      <c r="B1080" s="1452" t="s">
        <v>1789</v>
      </c>
      <c r="C1080" s="906">
        <v>1</v>
      </c>
      <c r="D1080" s="739" t="s">
        <v>16</v>
      </c>
      <c r="E1080" s="695">
        <v>4000000</v>
      </c>
      <c r="F1080" s="695"/>
      <c r="G1080" s="695"/>
      <c r="H1080" s="695"/>
      <c r="I1080" s="695"/>
      <c r="J1080" s="695"/>
      <c r="K1080" s="695"/>
      <c r="L1080" s="695">
        <f t="shared" si="81"/>
        <v>4000000</v>
      </c>
      <c r="M1080" s="695"/>
      <c r="N1080" s="695">
        <f t="shared" si="82"/>
        <v>4000000</v>
      </c>
      <c r="O1080" s="696">
        <f t="shared" si="80"/>
        <v>4000000</v>
      </c>
      <c r="P1080" s="687"/>
    </row>
    <row r="1081" spans="1:89" ht="20.25" customHeight="1" x14ac:dyDescent="0.25">
      <c r="A1081" s="692">
        <v>8</v>
      </c>
      <c r="B1081" s="1452" t="s">
        <v>1790</v>
      </c>
      <c r="C1081" s="906">
        <v>1</v>
      </c>
      <c r="D1081" s="739" t="s">
        <v>16</v>
      </c>
      <c r="E1081" s="695">
        <v>2000000</v>
      </c>
      <c r="F1081" s="695"/>
      <c r="G1081" s="695"/>
      <c r="H1081" s="695"/>
      <c r="I1081" s="695"/>
      <c r="J1081" s="695"/>
      <c r="K1081" s="695"/>
      <c r="L1081" s="695">
        <f t="shared" si="81"/>
        <v>2000000</v>
      </c>
      <c r="M1081" s="695"/>
      <c r="N1081" s="695">
        <f t="shared" si="82"/>
        <v>2000000</v>
      </c>
      <c r="O1081" s="696">
        <f t="shared" si="80"/>
        <v>2000000</v>
      </c>
      <c r="P1081" s="687"/>
    </row>
    <row r="1082" spans="1:89" ht="20.25" customHeight="1" x14ac:dyDescent="0.25">
      <c r="A1082" s="692">
        <v>9</v>
      </c>
      <c r="B1082" s="1452" t="s">
        <v>1791</v>
      </c>
      <c r="C1082" s="906">
        <v>1</v>
      </c>
      <c r="D1082" s="739" t="s">
        <v>16</v>
      </c>
      <c r="E1082" s="695">
        <v>3000000</v>
      </c>
      <c r="F1082" s="695"/>
      <c r="G1082" s="695"/>
      <c r="H1082" s="695"/>
      <c r="I1082" s="695"/>
      <c r="J1082" s="695"/>
      <c r="K1082" s="695"/>
      <c r="L1082" s="695">
        <f t="shared" si="81"/>
        <v>3000000</v>
      </c>
      <c r="M1082" s="695"/>
      <c r="N1082" s="695">
        <f t="shared" si="82"/>
        <v>3000000</v>
      </c>
      <c r="O1082" s="696">
        <f t="shared" si="80"/>
        <v>3000000</v>
      </c>
      <c r="P1082" s="687"/>
    </row>
    <row r="1083" spans="1:89" ht="20.25" customHeight="1" x14ac:dyDescent="0.25">
      <c r="A1083" s="692">
        <v>10</v>
      </c>
      <c r="B1083" s="1452" t="s">
        <v>1792</v>
      </c>
      <c r="C1083" s="906">
        <v>1</v>
      </c>
      <c r="D1083" s="739" t="s">
        <v>16</v>
      </c>
      <c r="E1083" s="695">
        <v>3000000</v>
      </c>
      <c r="F1083" s="695"/>
      <c r="G1083" s="695"/>
      <c r="H1083" s="695"/>
      <c r="I1083" s="695"/>
      <c r="J1083" s="695"/>
      <c r="K1083" s="695"/>
      <c r="L1083" s="695">
        <f t="shared" si="81"/>
        <v>3000000</v>
      </c>
      <c r="M1083" s="695"/>
      <c r="N1083" s="695">
        <f t="shared" si="82"/>
        <v>3000000</v>
      </c>
      <c r="O1083" s="696">
        <f t="shared" si="80"/>
        <v>3000000</v>
      </c>
      <c r="P1083" s="687"/>
    </row>
    <row r="1084" spans="1:89" ht="20.25" customHeight="1" x14ac:dyDescent="0.25">
      <c r="A1084" s="692">
        <v>11</v>
      </c>
      <c r="B1084" s="1452" t="s">
        <v>1793</v>
      </c>
      <c r="C1084" s="906">
        <v>1</v>
      </c>
      <c r="D1084" s="739" t="s">
        <v>16</v>
      </c>
      <c r="E1084" s="695">
        <v>2000000</v>
      </c>
      <c r="F1084" s="695"/>
      <c r="G1084" s="695"/>
      <c r="H1084" s="695"/>
      <c r="I1084" s="695"/>
      <c r="J1084" s="695"/>
      <c r="K1084" s="695"/>
      <c r="L1084" s="695">
        <f t="shared" si="81"/>
        <v>2000000</v>
      </c>
      <c r="M1084" s="695"/>
      <c r="N1084" s="695">
        <f t="shared" si="82"/>
        <v>2000000</v>
      </c>
      <c r="O1084" s="696">
        <f t="shared" si="80"/>
        <v>2000000</v>
      </c>
      <c r="P1084" s="687"/>
    </row>
    <row r="1085" spans="1:89" ht="20.25" customHeight="1" x14ac:dyDescent="0.25">
      <c r="A1085" s="692">
        <v>12</v>
      </c>
      <c r="B1085" s="1452" t="s">
        <v>1794</v>
      </c>
      <c r="C1085" s="906">
        <v>1</v>
      </c>
      <c r="D1085" s="739" t="s">
        <v>16</v>
      </c>
      <c r="E1085" s="695">
        <v>4000000</v>
      </c>
      <c r="F1085" s="695"/>
      <c r="G1085" s="695"/>
      <c r="H1085" s="695"/>
      <c r="I1085" s="695"/>
      <c r="J1085" s="695"/>
      <c r="K1085" s="695"/>
      <c r="L1085" s="695">
        <f t="shared" si="81"/>
        <v>4000000</v>
      </c>
      <c r="M1085" s="695"/>
      <c r="N1085" s="695">
        <f t="shared" si="82"/>
        <v>4000000</v>
      </c>
      <c r="O1085" s="696">
        <f t="shared" si="80"/>
        <v>4000000</v>
      </c>
      <c r="P1085" s="687"/>
    </row>
    <row r="1086" spans="1:89" ht="20.25" customHeight="1" x14ac:dyDescent="0.25">
      <c r="A1086" s="692">
        <v>13</v>
      </c>
      <c r="B1086" s="1452" t="s">
        <v>1795</v>
      </c>
      <c r="C1086" s="906">
        <v>1</v>
      </c>
      <c r="D1086" s="739" t="s">
        <v>16</v>
      </c>
      <c r="E1086" s="695">
        <v>1000000</v>
      </c>
      <c r="F1086" s="695"/>
      <c r="G1086" s="695"/>
      <c r="H1086" s="695"/>
      <c r="I1086" s="695"/>
      <c r="J1086" s="695"/>
      <c r="K1086" s="695"/>
      <c r="L1086" s="695">
        <f t="shared" si="81"/>
        <v>1000000</v>
      </c>
      <c r="M1086" s="695"/>
      <c r="N1086" s="695">
        <f t="shared" si="82"/>
        <v>1000000</v>
      </c>
      <c r="O1086" s="696">
        <f t="shared" si="80"/>
        <v>1000000</v>
      </c>
      <c r="P1086" s="687"/>
    </row>
    <row r="1087" spans="1:89" ht="20.25" customHeight="1" x14ac:dyDescent="0.25">
      <c r="A1087" s="692"/>
      <c r="B1087" s="1452"/>
      <c r="C1087" s="906"/>
      <c r="D1087" s="739"/>
      <c r="E1087" s="695"/>
      <c r="F1087" s="695"/>
      <c r="G1087" s="695"/>
      <c r="H1087" s="695"/>
      <c r="I1087" s="695"/>
      <c r="J1087" s="695"/>
      <c r="K1087" s="695"/>
      <c r="L1087" s="695"/>
      <c r="M1087" s="695"/>
      <c r="N1087" s="695"/>
      <c r="O1087" s="696"/>
      <c r="P1087" s="687"/>
    </row>
    <row r="1088" spans="1:89" ht="17.25" customHeight="1" x14ac:dyDescent="0.25">
      <c r="A1088" s="692"/>
      <c r="B1088" s="711" t="s">
        <v>676</v>
      </c>
      <c r="C1088" s="691"/>
      <c r="D1088" s="880"/>
      <c r="E1088" s="714"/>
      <c r="F1088" s="714"/>
      <c r="G1088" s="714"/>
      <c r="H1088" s="714"/>
      <c r="I1088" s="714"/>
      <c r="J1088" s="714"/>
      <c r="K1088" s="714"/>
      <c r="L1088" s="714"/>
      <c r="M1088" s="714"/>
      <c r="N1088" s="714"/>
      <c r="O1088" s="753"/>
      <c r="P1088" s="754"/>
    </row>
    <row r="1089" spans="1:89" ht="17.25" customHeight="1" x14ac:dyDescent="0.25">
      <c r="A1089" s="692">
        <v>7</v>
      </c>
      <c r="B1089" s="711" t="s">
        <v>677</v>
      </c>
      <c r="C1089" s="691">
        <v>1</v>
      </c>
      <c r="D1089" s="880" t="s">
        <v>16</v>
      </c>
      <c r="E1089" s="714">
        <v>1000000</v>
      </c>
      <c r="F1089" s="695"/>
      <c r="G1089" s="695"/>
      <c r="H1089" s="695"/>
      <c r="I1089" s="695"/>
      <c r="J1089" s="695"/>
      <c r="K1089" s="695"/>
      <c r="L1089" s="695">
        <f>E1089*C1089</f>
        <v>1000000</v>
      </c>
      <c r="M1089" s="695"/>
      <c r="N1089" s="695">
        <f>L1089+M1089</f>
        <v>1000000</v>
      </c>
      <c r="O1089" s="696">
        <f>N1089+K1089+H1089</f>
        <v>1000000</v>
      </c>
      <c r="P1089" s="687"/>
    </row>
    <row r="1090" spans="1:89" s="679" customFormat="1" ht="17.25" customHeight="1" x14ac:dyDescent="0.25">
      <c r="A1090" s="692"/>
      <c r="B1090" s="756"/>
      <c r="C1090" s="693"/>
      <c r="D1090" s="739"/>
      <c r="E1090" s="695"/>
      <c r="F1090" s="695"/>
      <c r="G1090" s="695"/>
      <c r="H1090" s="695"/>
      <c r="I1090" s="714"/>
      <c r="J1090" s="695"/>
      <c r="K1090" s="714"/>
      <c r="L1090" s="695"/>
      <c r="M1090" s="695"/>
      <c r="N1090" s="695"/>
      <c r="O1090" s="696"/>
      <c r="P1090" s="687"/>
    </row>
    <row r="1091" spans="1:89" ht="17.25" customHeight="1" x14ac:dyDescent="0.25">
      <c r="A1091" s="692"/>
      <c r="B1091" s="756" t="s">
        <v>146</v>
      </c>
      <c r="C1091" s="693"/>
      <c r="D1091" s="880"/>
      <c r="E1091" s="695"/>
      <c r="F1091" s="695">
        <f>SUM(F1092:F1092)</f>
        <v>0</v>
      </c>
      <c r="G1091" s="695">
        <f>SUM(G1092:G1092)</f>
        <v>0</v>
      </c>
      <c r="H1091" s="695">
        <f>G1091+F1091</f>
        <v>0</v>
      </c>
      <c r="I1091" s="714">
        <f>SUM(I1092:I1092)</f>
        <v>0</v>
      </c>
      <c r="J1091" s="695">
        <f>SUM(J1092:J1092)</f>
        <v>8250115</v>
      </c>
      <c r="K1091" s="714">
        <f>J1091+I1091</f>
        <v>8250115</v>
      </c>
      <c r="L1091" s="695">
        <f>SUM(L1092:L1092)</f>
        <v>0</v>
      </c>
      <c r="M1091" s="695">
        <f>SUM(M1092:M1092)</f>
        <v>0</v>
      </c>
      <c r="N1091" s="695">
        <f>M1091+L1091</f>
        <v>0</v>
      </c>
      <c r="O1091" s="696">
        <f>N1091+K1091+H1091</f>
        <v>8250115</v>
      </c>
      <c r="P1091" s="687"/>
    </row>
    <row r="1092" spans="1:89" s="672" customFormat="1" ht="17.25" customHeight="1" x14ac:dyDescent="0.25">
      <c r="A1092" s="740"/>
      <c r="B1092" s="752" t="s">
        <v>1547</v>
      </c>
      <c r="C1092" s="828">
        <v>1</v>
      </c>
      <c r="D1092" s="1403" t="s">
        <v>16</v>
      </c>
      <c r="E1092" s="705">
        <f>8250115</f>
        <v>8250115</v>
      </c>
      <c r="F1092" s="705"/>
      <c r="G1092" s="705"/>
      <c r="H1092" s="705"/>
      <c r="I1092" s="705"/>
      <c r="J1092" s="705">
        <f>E1092*C1092</f>
        <v>8250115</v>
      </c>
      <c r="K1092" s="705">
        <f>J1092+I1092</f>
        <v>8250115</v>
      </c>
      <c r="L1092" s="705"/>
      <c r="M1092" s="705"/>
      <c r="N1092" s="705">
        <f>M1092+L1092</f>
        <v>0</v>
      </c>
      <c r="O1092" s="1370">
        <f>N1092+K1092+H1092</f>
        <v>8250115</v>
      </c>
      <c r="P1092" s="829"/>
      <c r="Q1092" s="1581"/>
      <c r="R1092" s="1581"/>
      <c r="S1092" s="1581"/>
      <c r="T1092" s="1581"/>
      <c r="U1092" s="1581"/>
      <c r="V1092" s="1581"/>
      <c r="W1092" s="1581"/>
      <c r="X1092" s="1581"/>
      <c r="Y1092" s="1581"/>
      <c r="Z1092" s="1581"/>
      <c r="AA1092" s="1581"/>
      <c r="AB1092" s="1581"/>
      <c r="AC1092" s="1581"/>
      <c r="AD1092" s="1581"/>
      <c r="AE1092" s="1581"/>
      <c r="AF1092" s="1581"/>
      <c r="AG1092" s="1581"/>
      <c r="AH1092" s="1581"/>
      <c r="AI1092" s="1581"/>
      <c r="AJ1092" s="1581"/>
      <c r="AK1092" s="1581"/>
      <c r="AL1092" s="1581"/>
      <c r="AM1092" s="1581"/>
      <c r="AN1092" s="1581"/>
      <c r="AO1092" s="1581"/>
      <c r="AP1092" s="1581"/>
      <c r="AQ1092" s="1581"/>
      <c r="AR1092" s="1581"/>
      <c r="AS1092" s="1581"/>
      <c r="AT1092" s="1581"/>
      <c r="AU1092" s="1581"/>
      <c r="AV1092" s="1581"/>
      <c r="AW1092" s="1581"/>
      <c r="AX1092" s="1581"/>
      <c r="AY1092" s="1581"/>
      <c r="AZ1092" s="1581"/>
      <c r="BA1092" s="1581"/>
      <c r="BB1092" s="1581"/>
      <c r="BC1092" s="1581"/>
      <c r="BD1092" s="1581"/>
      <c r="BE1092" s="1581"/>
      <c r="BF1092" s="1581"/>
      <c r="BG1092" s="1581"/>
      <c r="BH1092" s="1581"/>
      <c r="BI1092" s="1581"/>
      <c r="BJ1092" s="1581"/>
      <c r="BK1092" s="1581"/>
      <c r="BL1092" s="1581"/>
      <c r="BM1092" s="1581"/>
      <c r="BN1092" s="1581"/>
      <c r="BO1092" s="1581"/>
      <c r="BP1092" s="1581"/>
      <c r="BQ1092" s="1581"/>
      <c r="BR1092" s="1581"/>
      <c r="BS1092" s="1581"/>
      <c r="BT1092" s="1581"/>
      <c r="BU1092" s="1581"/>
      <c r="BV1092" s="1581"/>
      <c r="BW1092" s="1581"/>
      <c r="BX1092" s="1581"/>
      <c r="BY1092" s="1581"/>
      <c r="BZ1092" s="1581"/>
      <c r="CA1092" s="1581"/>
      <c r="CB1092" s="1581"/>
      <c r="CC1092" s="1581"/>
      <c r="CD1092" s="1581"/>
      <c r="CE1092" s="1581"/>
      <c r="CF1092" s="1581"/>
      <c r="CG1092" s="1581"/>
      <c r="CH1092" s="1581"/>
      <c r="CI1092" s="1581"/>
      <c r="CJ1092" s="1581"/>
      <c r="CK1092" s="1581"/>
    </row>
    <row r="1093" spans="1:89" ht="14.25" customHeight="1" x14ac:dyDescent="0.25">
      <c r="A1093" s="692"/>
      <c r="B1093" s="763"/>
      <c r="C1093" s="699"/>
      <c r="D1093" s="836"/>
      <c r="E1093" s="700"/>
      <c r="F1093" s="695"/>
      <c r="G1093" s="695"/>
      <c r="H1093" s="695"/>
      <c r="I1093" s="714"/>
      <c r="J1093" s="695"/>
      <c r="K1093" s="714"/>
      <c r="L1093" s="695"/>
      <c r="M1093" s="695"/>
      <c r="N1093" s="695"/>
      <c r="O1093" s="696"/>
      <c r="P1093" s="687"/>
    </row>
    <row r="1094" spans="1:89" s="672" customFormat="1" ht="17.25" customHeight="1" x14ac:dyDescent="0.25">
      <c r="A1094" s="740"/>
      <c r="B1094" s="752" t="s">
        <v>147</v>
      </c>
      <c r="C1094" s="886"/>
      <c r="D1094" s="1403"/>
      <c r="E1094" s="874"/>
      <c r="F1094" s="874">
        <f>SUM(F1095:F1096)</f>
        <v>0</v>
      </c>
      <c r="G1094" s="874">
        <f>SUM(G1095:G1096)</f>
        <v>0</v>
      </c>
      <c r="H1094" s="874">
        <f>G1094+F1094</f>
        <v>0</v>
      </c>
      <c r="I1094" s="874">
        <f>SUM(I1095:I1096)</f>
        <v>0</v>
      </c>
      <c r="J1094" s="874">
        <f>SUM(J1095:J1096)</f>
        <v>6000000</v>
      </c>
      <c r="K1094" s="874">
        <f>J1094+I1094</f>
        <v>6000000</v>
      </c>
      <c r="L1094" s="874">
        <f>SUM(L1095:L1096)</f>
        <v>0</v>
      </c>
      <c r="M1094" s="874">
        <f>SUM(M1095:M1096)</f>
        <v>0</v>
      </c>
      <c r="N1094" s="874">
        <f>M1094+L1094</f>
        <v>0</v>
      </c>
      <c r="O1094" s="775">
        <f>N1094+K1094+H1094</f>
        <v>6000000</v>
      </c>
      <c r="P1094" s="776"/>
      <c r="Q1094" s="1581"/>
      <c r="R1094" s="1581"/>
      <c r="S1094" s="1581"/>
      <c r="T1094" s="1581"/>
      <c r="U1094" s="1581"/>
      <c r="V1094" s="1581"/>
      <c r="W1094" s="1581"/>
      <c r="X1094" s="1581"/>
      <c r="Y1094" s="1581"/>
      <c r="Z1094" s="1581"/>
      <c r="AA1094" s="1581"/>
      <c r="AB1094" s="1581"/>
      <c r="AC1094" s="1581"/>
      <c r="AD1094" s="1581"/>
      <c r="AE1094" s="1581"/>
      <c r="AF1094" s="1581"/>
      <c r="AG1094" s="1581"/>
      <c r="AH1094" s="1581"/>
      <c r="AI1094" s="1581"/>
      <c r="AJ1094" s="1581"/>
      <c r="AK1094" s="1581"/>
      <c r="AL1094" s="1581"/>
      <c r="AM1094" s="1581"/>
      <c r="AN1094" s="1581"/>
      <c r="AO1094" s="1581"/>
      <c r="AP1094" s="1581"/>
      <c r="AQ1094" s="1581"/>
      <c r="AR1094" s="1581"/>
      <c r="AS1094" s="1581"/>
      <c r="AT1094" s="1581"/>
      <c r="AU1094" s="1581"/>
      <c r="AV1094" s="1581"/>
      <c r="AW1094" s="1581"/>
      <c r="AX1094" s="1581"/>
      <c r="AY1094" s="1581"/>
      <c r="AZ1094" s="1581"/>
      <c r="BA1094" s="1581"/>
      <c r="BB1094" s="1581"/>
      <c r="BC1094" s="1581"/>
      <c r="BD1094" s="1581"/>
      <c r="BE1094" s="1581"/>
      <c r="BF1094" s="1581"/>
      <c r="BG1094" s="1581"/>
      <c r="BH1094" s="1581"/>
      <c r="BI1094" s="1581"/>
      <c r="BJ1094" s="1581"/>
      <c r="BK1094" s="1581"/>
      <c r="BL1094" s="1581"/>
      <c r="BM1094" s="1581"/>
      <c r="BN1094" s="1581"/>
      <c r="BO1094" s="1581"/>
      <c r="BP1094" s="1581"/>
      <c r="BQ1094" s="1581"/>
      <c r="BR1094" s="1581"/>
      <c r="BS1094" s="1581"/>
      <c r="BT1094" s="1581"/>
      <c r="BU1094" s="1581"/>
      <c r="BV1094" s="1581"/>
      <c r="BW1094" s="1581"/>
      <c r="BX1094" s="1581"/>
      <c r="BY1094" s="1581"/>
      <c r="BZ1094" s="1581"/>
      <c r="CA1094" s="1581"/>
      <c r="CB1094" s="1581"/>
      <c r="CC1094" s="1581"/>
      <c r="CD1094" s="1581"/>
      <c r="CE1094" s="1581"/>
      <c r="CF1094" s="1581"/>
      <c r="CG1094" s="1581"/>
      <c r="CH1094" s="1581"/>
      <c r="CI1094" s="1581"/>
      <c r="CJ1094" s="1581"/>
      <c r="CK1094" s="1581"/>
    </row>
    <row r="1095" spans="1:89" ht="17.25" customHeight="1" x14ac:dyDescent="0.25">
      <c r="A1095" s="692"/>
      <c r="B1095" s="1373" t="s">
        <v>1682</v>
      </c>
      <c r="C1095" s="691">
        <v>1</v>
      </c>
      <c r="D1095" s="880"/>
      <c r="E1095" s="714">
        <v>3500000</v>
      </c>
      <c r="F1095" s="714"/>
      <c r="G1095" s="714"/>
      <c r="H1095" s="714"/>
      <c r="I1095" s="714"/>
      <c r="J1095" s="714">
        <f>E1095*C1095</f>
        <v>3500000</v>
      </c>
      <c r="K1095" s="714">
        <f>J1095+I1095</f>
        <v>3500000</v>
      </c>
      <c r="L1095" s="714"/>
      <c r="M1095" s="714"/>
      <c r="N1095" s="714">
        <f>M1095+L1095</f>
        <v>0</v>
      </c>
      <c r="O1095" s="753">
        <f>N1095+K1095+H1095</f>
        <v>3500000</v>
      </c>
      <c r="P1095" s="754"/>
    </row>
    <row r="1096" spans="1:89" ht="17.25" customHeight="1" x14ac:dyDescent="0.25">
      <c r="A1096" s="692"/>
      <c r="B1096" s="1373" t="s">
        <v>674</v>
      </c>
      <c r="C1096" s="691">
        <v>1</v>
      </c>
      <c r="D1096" s="880" t="s">
        <v>16</v>
      </c>
      <c r="E1096" s="714">
        <v>2500000</v>
      </c>
      <c r="F1096" s="714"/>
      <c r="G1096" s="714"/>
      <c r="H1096" s="714"/>
      <c r="I1096" s="714"/>
      <c r="J1096" s="714">
        <f>E1096*C1096</f>
        <v>2500000</v>
      </c>
      <c r="K1096" s="714">
        <f>J1096+I1096</f>
        <v>2500000</v>
      </c>
      <c r="L1096" s="714"/>
      <c r="M1096" s="714"/>
      <c r="N1096" s="714">
        <f>M1096+L1096</f>
        <v>0</v>
      </c>
      <c r="O1096" s="753">
        <f>N1096+K1096+H1096</f>
        <v>2500000</v>
      </c>
      <c r="P1096" s="754"/>
    </row>
    <row r="1097" spans="1:89" ht="17.25" customHeight="1" x14ac:dyDescent="0.25">
      <c r="A1097" s="692"/>
      <c r="B1097" s="711"/>
      <c r="C1097" s="691"/>
      <c r="D1097" s="880"/>
      <c r="E1097" s="714"/>
      <c r="F1097" s="714"/>
      <c r="G1097" s="714"/>
      <c r="H1097" s="714"/>
      <c r="I1097" s="714"/>
      <c r="J1097" s="714"/>
      <c r="K1097" s="714"/>
      <c r="L1097" s="714"/>
      <c r="M1097" s="714"/>
      <c r="N1097" s="714"/>
      <c r="O1097" s="753"/>
      <c r="P1097" s="754"/>
    </row>
    <row r="1098" spans="1:89" ht="17.25" customHeight="1" x14ac:dyDescent="0.25">
      <c r="A1098" s="692"/>
      <c r="B1098" s="711"/>
      <c r="C1098" s="691"/>
      <c r="D1098" s="880"/>
      <c r="E1098" s="714"/>
      <c r="F1098" s="714"/>
      <c r="G1098" s="714"/>
      <c r="H1098" s="714"/>
      <c r="I1098" s="714"/>
      <c r="J1098" s="714"/>
      <c r="K1098" s="714"/>
      <c r="L1098" s="714"/>
      <c r="M1098" s="714"/>
      <c r="N1098" s="714"/>
      <c r="O1098" s="753"/>
      <c r="P1098" s="754"/>
    </row>
    <row r="1099" spans="1:89" s="672" customFormat="1" ht="17.25" customHeight="1" x14ac:dyDescent="0.25">
      <c r="A1099" s="740" t="s">
        <v>22</v>
      </c>
      <c r="B1099" s="759" t="s">
        <v>23</v>
      </c>
      <c r="C1099" s="1416"/>
      <c r="D1099" s="1403"/>
      <c r="E1099" s="874"/>
      <c r="F1099" s="874">
        <f>SUM(F1100:F1111)</f>
        <v>0</v>
      </c>
      <c r="G1099" s="874">
        <f>SUM(G1100:G1111)</f>
        <v>0</v>
      </c>
      <c r="H1099" s="874">
        <f>F1099+G1099</f>
        <v>0</v>
      </c>
      <c r="I1099" s="874">
        <f>SUM(I1100:I1111)</f>
        <v>0</v>
      </c>
      <c r="J1099" s="874">
        <f>SUM(J1100:J1111)</f>
        <v>2349430</v>
      </c>
      <c r="K1099" s="874">
        <f>I1099+J1099</f>
        <v>2349430</v>
      </c>
      <c r="L1099" s="874">
        <f>SUM(L1100:L1111)</f>
        <v>0</v>
      </c>
      <c r="M1099" s="874">
        <f>SUM(M1100:M1111)</f>
        <v>0</v>
      </c>
      <c r="N1099" s="874">
        <f>L1099+M1099</f>
        <v>0</v>
      </c>
      <c r="O1099" s="775">
        <f>N1099+K1099+H1099</f>
        <v>2349430</v>
      </c>
      <c r="P1099" s="776"/>
      <c r="Q1099" s="1581"/>
      <c r="R1099" s="1581"/>
      <c r="S1099" s="1581"/>
      <c r="T1099" s="1581"/>
      <c r="U1099" s="1581"/>
      <c r="V1099" s="1581"/>
      <c r="W1099" s="1581"/>
      <c r="X1099" s="1581"/>
      <c r="Y1099" s="1581"/>
      <c r="Z1099" s="1581"/>
      <c r="AA1099" s="1581"/>
      <c r="AB1099" s="1581"/>
      <c r="AC1099" s="1581"/>
      <c r="AD1099" s="1581"/>
      <c r="AE1099" s="1581"/>
      <c r="AF1099" s="1581"/>
      <c r="AG1099" s="1581"/>
      <c r="AH1099" s="1581"/>
      <c r="AI1099" s="1581"/>
      <c r="AJ1099" s="1581"/>
      <c r="AK1099" s="1581"/>
      <c r="AL1099" s="1581"/>
      <c r="AM1099" s="1581"/>
      <c r="AN1099" s="1581"/>
      <c r="AO1099" s="1581"/>
      <c r="AP1099" s="1581"/>
      <c r="AQ1099" s="1581"/>
      <c r="AR1099" s="1581"/>
      <c r="AS1099" s="1581"/>
      <c r="AT1099" s="1581"/>
      <c r="AU1099" s="1581"/>
      <c r="AV1099" s="1581"/>
      <c r="AW1099" s="1581"/>
      <c r="AX1099" s="1581"/>
      <c r="AY1099" s="1581"/>
      <c r="AZ1099" s="1581"/>
      <c r="BA1099" s="1581"/>
      <c r="BB1099" s="1581"/>
      <c r="BC1099" s="1581"/>
      <c r="BD1099" s="1581"/>
      <c r="BE1099" s="1581"/>
      <c r="BF1099" s="1581"/>
      <c r="BG1099" s="1581"/>
      <c r="BH1099" s="1581"/>
      <c r="BI1099" s="1581"/>
      <c r="BJ1099" s="1581"/>
      <c r="BK1099" s="1581"/>
      <c r="BL1099" s="1581"/>
      <c r="BM1099" s="1581"/>
      <c r="BN1099" s="1581"/>
      <c r="BO1099" s="1581"/>
      <c r="BP1099" s="1581"/>
      <c r="BQ1099" s="1581"/>
      <c r="BR1099" s="1581"/>
      <c r="BS1099" s="1581"/>
      <c r="BT1099" s="1581"/>
      <c r="BU1099" s="1581"/>
      <c r="BV1099" s="1581"/>
      <c r="BW1099" s="1581"/>
      <c r="BX1099" s="1581"/>
      <c r="BY1099" s="1581"/>
      <c r="BZ1099" s="1581"/>
      <c r="CA1099" s="1581"/>
      <c r="CB1099" s="1581"/>
      <c r="CC1099" s="1581"/>
      <c r="CD1099" s="1581"/>
      <c r="CE1099" s="1581"/>
      <c r="CF1099" s="1581"/>
      <c r="CG1099" s="1581"/>
      <c r="CH1099" s="1581"/>
      <c r="CI1099" s="1581"/>
      <c r="CJ1099" s="1581"/>
      <c r="CK1099" s="1581"/>
    </row>
    <row r="1100" spans="1:89" ht="17.25" customHeight="1" x14ac:dyDescent="0.25">
      <c r="A1100" s="692">
        <v>1</v>
      </c>
      <c r="B1100" s="711" t="s">
        <v>21</v>
      </c>
      <c r="C1100" s="691"/>
      <c r="D1100" s="880"/>
      <c r="E1100" s="714"/>
      <c r="F1100" s="714"/>
      <c r="G1100" s="714"/>
      <c r="H1100" s="714"/>
      <c r="I1100" s="714"/>
      <c r="J1100" s="714"/>
      <c r="K1100" s="714"/>
      <c r="L1100" s="714"/>
      <c r="M1100" s="714"/>
      <c r="N1100" s="714"/>
      <c r="O1100" s="753">
        <f>N1100+K1100+H1100</f>
        <v>0</v>
      </c>
      <c r="P1100" s="754"/>
    </row>
    <row r="1101" spans="1:89" ht="17.25" customHeight="1" x14ac:dyDescent="0.25">
      <c r="A1101" s="692"/>
      <c r="B1101" s="711" t="s">
        <v>24</v>
      </c>
      <c r="C1101" s="691">
        <v>1</v>
      </c>
      <c r="D1101" s="880" t="s">
        <v>25</v>
      </c>
      <c r="E1101" s="714">
        <v>2281000</v>
      </c>
      <c r="F1101" s="714"/>
      <c r="G1101" s="714"/>
      <c r="H1101" s="714"/>
      <c r="I1101" s="714"/>
      <c r="J1101" s="714">
        <f>E1101*C1101</f>
        <v>2281000</v>
      </c>
      <c r="K1101" s="714">
        <f>I1101+J1101</f>
        <v>2281000</v>
      </c>
      <c r="L1101" s="714"/>
      <c r="M1101" s="714"/>
      <c r="N1101" s="714"/>
      <c r="O1101" s="753">
        <f>N1101+K1101+H1101</f>
        <v>2281000</v>
      </c>
      <c r="P1101" s="754"/>
    </row>
    <row r="1102" spans="1:89" ht="17.25" customHeight="1" x14ac:dyDescent="0.25">
      <c r="A1102" s="692"/>
      <c r="B1102" s="1788" t="s">
        <v>1975</v>
      </c>
      <c r="C1102" s="691"/>
      <c r="D1102" s="880"/>
      <c r="E1102" s="714"/>
      <c r="F1102" s="714"/>
      <c r="G1102" s="714"/>
      <c r="H1102" s="714"/>
      <c r="I1102" s="714"/>
      <c r="J1102" s="714"/>
      <c r="K1102" s="714"/>
      <c r="L1102" s="714"/>
      <c r="M1102" s="714"/>
      <c r="N1102" s="714"/>
      <c r="O1102" s="753"/>
      <c r="P1102" s="754"/>
    </row>
    <row r="1103" spans="1:89" ht="17.25" customHeight="1" x14ac:dyDescent="0.25">
      <c r="A1103" s="692"/>
      <c r="B1103" s="1788" t="s">
        <v>1976</v>
      </c>
      <c r="C1103" s="691"/>
      <c r="D1103" s="880"/>
      <c r="E1103" s="714"/>
      <c r="F1103" s="714"/>
      <c r="G1103" s="714"/>
      <c r="H1103" s="714"/>
      <c r="I1103" s="714"/>
      <c r="J1103" s="714"/>
      <c r="K1103" s="714"/>
      <c r="L1103" s="714"/>
      <c r="M1103" s="714"/>
      <c r="N1103" s="714"/>
      <c r="O1103" s="753"/>
      <c r="P1103" s="754"/>
    </row>
    <row r="1104" spans="1:89" ht="17.25" customHeight="1" x14ac:dyDescent="0.25">
      <c r="A1104" s="692"/>
      <c r="B1104" s="1780" t="s">
        <v>1977</v>
      </c>
      <c r="C1104" s="691"/>
      <c r="D1104" s="880"/>
      <c r="E1104" s="714"/>
      <c r="F1104" s="714"/>
      <c r="G1104" s="714"/>
      <c r="H1104" s="714"/>
      <c r="I1104" s="714"/>
      <c r="J1104" s="714"/>
      <c r="K1104" s="714"/>
      <c r="L1104" s="714"/>
      <c r="M1104" s="714"/>
      <c r="N1104" s="714"/>
      <c r="O1104" s="753">
        <f>N1104+K1104+H1104</f>
        <v>0</v>
      </c>
      <c r="P1104" s="754"/>
    </row>
    <row r="1105" spans="1:89" ht="17.25" customHeight="1" x14ac:dyDescent="0.25">
      <c r="A1105" s="692"/>
      <c r="B1105" s="1794" t="s">
        <v>1980</v>
      </c>
      <c r="C1105" s="691"/>
      <c r="D1105" s="880"/>
      <c r="E1105" s="714"/>
      <c r="F1105" s="714"/>
      <c r="G1105" s="714"/>
      <c r="H1105" s="714"/>
      <c r="I1105" s="714"/>
      <c r="J1105" s="714"/>
      <c r="K1105" s="714"/>
      <c r="L1105" s="714"/>
      <c r="M1105" s="714"/>
      <c r="N1105" s="714"/>
      <c r="O1105" s="753"/>
      <c r="P1105" s="754"/>
    </row>
    <row r="1106" spans="1:89" ht="17.25" customHeight="1" x14ac:dyDescent="0.25">
      <c r="A1106" s="692"/>
      <c r="B1106" s="1788" t="s">
        <v>1978</v>
      </c>
      <c r="C1106" s="691"/>
      <c r="D1106" s="880"/>
      <c r="E1106" s="714"/>
      <c r="F1106" s="714"/>
      <c r="G1106" s="714"/>
      <c r="H1106" s="714"/>
      <c r="I1106" s="714"/>
      <c r="J1106" s="714"/>
      <c r="K1106" s="714"/>
      <c r="L1106" s="714"/>
      <c r="M1106" s="714"/>
      <c r="N1106" s="714"/>
      <c r="O1106" s="753"/>
      <c r="P1106" s="754"/>
    </row>
    <row r="1107" spans="1:89" ht="17.25" customHeight="1" x14ac:dyDescent="0.25">
      <c r="A1107" s="740"/>
      <c r="B1107" s="1788" t="s">
        <v>1979</v>
      </c>
      <c r="C1107" s="828"/>
      <c r="D1107" s="738"/>
      <c r="E1107" s="705"/>
      <c r="F1107" s="705"/>
      <c r="G1107" s="705"/>
      <c r="H1107" s="705"/>
      <c r="I1107" s="705"/>
      <c r="J1107" s="705"/>
      <c r="K1107" s="705"/>
      <c r="L1107" s="705"/>
      <c r="M1107" s="705"/>
      <c r="N1107" s="705"/>
      <c r="O1107" s="1370"/>
      <c r="P1107" s="829"/>
    </row>
    <row r="1108" spans="1:89" ht="17.25" customHeight="1" x14ac:dyDescent="0.25">
      <c r="A1108" s="742"/>
      <c r="B1108" s="756"/>
      <c r="C1108" s="699"/>
      <c r="D1108" s="739"/>
      <c r="E1108" s="695"/>
      <c r="F1108" s="714"/>
      <c r="G1108" s="714"/>
      <c r="H1108" s="714"/>
      <c r="I1108" s="714"/>
      <c r="J1108" s="714"/>
      <c r="K1108" s="714"/>
      <c r="L1108" s="714"/>
      <c r="M1108" s="714"/>
      <c r="N1108" s="714"/>
      <c r="O1108" s="753"/>
      <c r="P1108" s="754"/>
    </row>
    <row r="1109" spans="1:89" ht="17.25" customHeight="1" x14ac:dyDescent="0.25">
      <c r="A1109" s="742">
        <v>2</v>
      </c>
      <c r="B1109" s="756" t="s">
        <v>19</v>
      </c>
      <c r="C1109" s="699"/>
      <c r="D1109" s="739"/>
      <c r="E1109" s="695"/>
      <c r="F1109" s="714"/>
      <c r="G1109" s="714"/>
      <c r="H1109" s="714"/>
      <c r="I1109" s="714"/>
      <c r="J1109" s="714"/>
      <c r="K1109" s="714"/>
      <c r="L1109" s="714"/>
      <c r="M1109" s="714"/>
      <c r="N1109" s="714"/>
      <c r="O1109" s="753">
        <f>N1109+K1109+H1109</f>
        <v>0</v>
      </c>
      <c r="P1109" s="754"/>
    </row>
    <row r="1110" spans="1:89" ht="17.25" customHeight="1" x14ac:dyDescent="0.25">
      <c r="A1110" s="742"/>
      <c r="B1110" s="756" t="s">
        <v>26</v>
      </c>
      <c r="C1110" s="699">
        <v>1</v>
      </c>
      <c r="D1110" s="739" t="s">
        <v>25</v>
      </c>
      <c r="E1110" s="695">
        <v>68430</v>
      </c>
      <c r="F1110" s="714"/>
      <c r="G1110" s="714"/>
      <c r="H1110" s="714"/>
      <c r="I1110" s="714"/>
      <c r="J1110" s="714">
        <f>C1110*E1110</f>
        <v>68430</v>
      </c>
      <c r="K1110" s="714">
        <f>I1110+J1110</f>
        <v>68430</v>
      </c>
      <c r="L1110" s="714"/>
      <c r="M1110" s="714"/>
      <c r="N1110" s="714"/>
      <c r="O1110" s="753">
        <f>N1110+K1110+H1110</f>
        <v>68430</v>
      </c>
      <c r="P1110" s="754"/>
    </row>
    <row r="1111" spans="1:89" ht="17.25" customHeight="1" x14ac:dyDescent="0.25">
      <c r="A1111" s="742"/>
      <c r="B1111" s="756"/>
      <c r="C1111" s="699"/>
      <c r="D1111" s="739"/>
      <c r="E1111" s="695"/>
      <c r="F1111" s="714"/>
      <c r="G1111" s="714"/>
      <c r="H1111" s="714"/>
      <c r="I1111" s="714"/>
      <c r="J1111" s="714"/>
      <c r="K1111" s="714"/>
      <c r="L1111" s="714"/>
      <c r="M1111" s="714"/>
      <c r="N1111" s="714"/>
      <c r="O1111" s="753"/>
      <c r="P1111" s="754"/>
    </row>
    <row r="1112" spans="1:89" s="672" customFormat="1" ht="17.25" customHeight="1" x14ac:dyDescent="0.25">
      <c r="A1112" s="737" t="s">
        <v>28</v>
      </c>
      <c r="B1112" s="752" t="s">
        <v>29</v>
      </c>
      <c r="C1112" s="1377"/>
      <c r="D1112" s="738"/>
      <c r="E1112" s="705"/>
      <c r="F1112" s="874">
        <f>SUM(F1115:F1144)</f>
        <v>0</v>
      </c>
      <c r="G1112" s="874">
        <f>SUM(G1115:G1144)</f>
        <v>0</v>
      </c>
      <c r="H1112" s="874">
        <f>F1112+G1112</f>
        <v>0</v>
      </c>
      <c r="I1112" s="874">
        <f>SUM(I1115:I1144)</f>
        <v>0</v>
      </c>
      <c r="J1112" s="874">
        <f>SUM(J1115:J1144)</f>
        <v>797180</v>
      </c>
      <c r="K1112" s="874">
        <f>I1112+J1112</f>
        <v>797180</v>
      </c>
      <c r="L1112" s="874">
        <f>SUM(L1115:L1144)</f>
        <v>0</v>
      </c>
      <c r="M1112" s="874">
        <f>SUM(M1114:M1144)</f>
        <v>0</v>
      </c>
      <c r="N1112" s="874">
        <f>L1112+M1112</f>
        <v>0</v>
      </c>
      <c r="O1112" s="775" t="s">
        <v>49</v>
      </c>
      <c r="P1112" s="776"/>
      <c r="Q1112" s="1581"/>
      <c r="R1112" s="1581"/>
      <c r="S1112" s="1581"/>
      <c r="T1112" s="1581"/>
      <c r="U1112" s="1581"/>
      <c r="V1112" s="1581"/>
      <c r="W1112" s="1581"/>
      <c r="X1112" s="1581"/>
      <c r="Y1112" s="1581"/>
      <c r="Z1112" s="1581"/>
      <c r="AA1112" s="1581"/>
      <c r="AB1112" s="1581"/>
      <c r="AC1112" s="1581"/>
      <c r="AD1112" s="1581"/>
      <c r="AE1112" s="1581"/>
      <c r="AF1112" s="1581"/>
      <c r="AG1112" s="1581"/>
      <c r="AH1112" s="1581"/>
      <c r="AI1112" s="1581"/>
      <c r="AJ1112" s="1581"/>
      <c r="AK1112" s="1581"/>
      <c r="AL1112" s="1581"/>
      <c r="AM1112" s="1581"/>
      <c r="AN1112" s="1581"/>
      <c r="AO1112" s="1581"/>
      <c r="AP1112" s="1581"/>
      <c r="AQ1112" s="1581"/>
      <c r="AR1112" s="1581"/>
      <c r="AS1112" s="1581"/>
      <c r="AT1112" s="1581"/>
      <c r="AU1112" s="1581"/>
      <c r="AV1112" s="1581"/>
      <c r="AW1112" s="1581"/>
      <c r="AX1112" s="1581"/>
      <c r="AY1112" s="1581"/>
      <c r="AZ1112" s="1581"/>
      <c r="BA1112" s="1581"/>
      <c r="BB1112" s="1581"/>
      <c r="BC1112" s="1581"/>
      <c r="BD1112" s="1581"/>
      <c r="BE1112" s="1581"/>
      <c r="BF1112" s="1581"/>
      <c r="BG1112" s="1581"/>
      <c r="BH1112" s="1581"/>
      <c r="BI1112" s="1581"/>
      <c r="BJ1112" s="1581"/>
      <c r="BK1112" s="1581"/>
      <c r="BL1112" s="1581"/>
      <c r="BM1112" s="1581"/>
      <c r="BN1112" s="1581"/>
      <c r="BO1112" s="1581"/>
      <c r="BP1112" s="1581"/>
      <c r="BQ1112" s="1581"/>
      <c r="BR1112" s="1581"/>
      <c r="BS1112" s="1581"/>
      <c r="BT1112" s="1581"/>
      <c r="BU1112" s="1581"/>
      <c r="BV1112" s="1581"/>
      <c r="BW1112" s="1581"/>
      <c r="BX1112" s="1581"/>
      <c r="BY1112" s="1581"/>
      <c r="BZ1112" s="1581"/>
      <c r="CA1112" s="1581"/>
      <c r="CB1112" s="1581"/>
      <c r="CC1112" s="1581"/>
      <c r="CD1112" s="1581"/>
      <c r="CE1112" s="1581"/>
      <c r="CF1112" s="1581"/>
      <c r="CG1112" s="1581"/>
      <c r="CH1112" s="1581"/>
      <c r="CI1112" s="1581"/>
      <c r="CJ1112" s="1581"/>
      <c r="CK1112" s="1581"/>
    </row>
    <row r="1113" spans="1:89" s="679" customFormat="1" ht="17.25" customHeight="1" x14ac:dyDescent="0.25">
      <c r="A1113" s="742"/>
      <c r="B1113" s="756"/>
      <c r="C1113" s="699"/>
      <c r="D1113" s="739"/>
      <c r="E1113" s="695"/>
      <c r="F1113" s="714"/>
      <c r="G1113" s="714"/>
      <c r="H1113" s="714"/>
      <c r="I1113" s="714"/>
      <c r="J1113" s="714"/>
      <c r="K1113" s="714"/>
      <c r="L1113" s="714"/>
      <c r="M1113" s="714"/>
      <c r="N1113" s="714"/>
      <c r="O1113" s="753"/>
      <c r="P1113" s="754"/>
    </row>
    <row r="1114" spans="1:89" s="679" customFormat="1" ht="17.25" customHeight="1" x14ac:dyDescent="0.25">
      <c r="A1114" s="742" t="s">
        <v>148</v>
      </c>
      <c r="B1114" s="756" t="s">
        <v>149</v>
      </c>
      <c r="C1114" s="699"/>
      <c r="D1114" s="739"/>
      <c r="E1114" s="695"/>
      <c r="F1114" s="714"/>
      <c r="G1114" s="714"/>
      <c r="H1114" s="714"/>
      <c r="I1114" s="714"/>
      <c r="J1114" s="714"/>
      <c r="K1114" s="714"/>
      <c r="L1114" s="714"/>
      <c r="M1114" s="714"/>
      <c r="N1114" s="714"/>
      <c r="O1114" s="753"/>
      <c r="P1114" s="754"/>
    </row>
    <row r="1115" spans="1:89" ht="17.25" customHeight="1" x14ac:dyDescent="0.25">
      <c r="A1115" s="742">
        <v>1</v>
      </c>
      <c r="B1115" s="756" t="s">
        <v>19</v>
      </c>
      <c r="C1115" s="699"/>
      <c r="D1115" s="739"/>
      <c r="E1115" s="695"/>
      <c r="F1115" s="714"/>
      <c r="G1115" s="714"/>
      <c r="H1115" s="714"/>
      <c r="I1115" s="714"/>
      <c r="J1115" s="714"/>
      <c r="K1115" s="714"/>
      <c r="L1115" s="714"/>
      <c r="M1115" s="714"/>
      <c r="N1115" s="714"/>
      <c r="O1115" s="753">
        <f t="shared" ref="O1115:O1141" si="83">N1115+K1115+H1115</f>
        <v>0</v>
      </c>
      <c r="P1115" s="754"/>
    </row>
    <row r="1116" spans="1:89" ht="17.25" customHeight="1" x14ac:dyDescent="0.25">
      <c r="A1116" s="742"/>
      <c r="B1116" s="756" t="s">
        <v>30</v>
      </c>
      <c r="C1116" s="699">
        <v>12</v>
      </c>
      <c r="D1116" s="739" t="s">
        <v>20</v>
      </c>
      <c r="E1116" s="695">
        <v>1910</v>
      </c>
      <c r="F1116" s="714"/>
      <c r="G1116" s="714"/>
      <c r="H1116" s="714"/>
      <c r="I1116" s="714"/>
      <c r="J1116" s="714">
        <f>C1116*E1116</f>
        <v>22920</v>
      </c>
      <c r="K1116" s="714">
        <f>I1116+J1116</f>
        <v>22920</v>
      </c>
      <c r="L1116" s="714"/>
      <c r="M1116" s="714"/>
      <c r="N1116" s="714"/>
      <c r="O1116" s="753">
        <f t="shared" si="83"/>
        <v>22920</v>
      </c>
      <c r="P1116" s="754"/>
    </row>
    <row r="1117" spans="1:89" ht="17.25" customHeight="1" x14ac:dyDescent="0.25">
      <c r="A1117" s="742"/>
      <c r="B1117" s="756" t="s">
        <v>31</v>
      </c>
      <c r="C1117" s="699">
        <v>12</v>
      </c>
      <c r="D1117" s="739" t="s">
        <v>20</v>
      </c>
      <c r="E1117" s="695">
        <v>1520</v>
      </c>
      <c r="F1117" s="714"/>
      <c r="G1117" s="714"/>
      <c r="H1117" s="714"/>
      <c r="I1117" s="714"/>
      <c r="J1117" s="714">
        <f>C1117*E1117</f>
        <v>18240</v>
      </c>
      <c r="K1117" s="714">
        <f>I1117+J1117</f>
        <v>18240</v>
      </c>
      <c r="L1117" s="714"/>
      <c r="M1117" s="714"/>
      <c r="N1117" s="714"/>
      <c r="O1117" s="753">
        <f t="shared" si="83"/>
        <v>18240</v>
      </c>
      <c r="P1117" s="754"/>
    </row>
    <row r="1118" spans="1:89" ht="17.25" customHeight="1" x14ac:dyDescent="0.25">
      <c r="A1118" s="742"/>
      <c r="B1118" s="756" t="s">
        <v>32</v>
      </c>
      <c r="C1118" s="699">
        <v>12</v>
      </c>
      <c r="D1118" s="739" t="s">
        <v>20</v>
      </c>
      <c r="E1118" s="695">
        <v>1320</v>
      </c>
      <c r="F1118" s="714"/>
      <c r="G1118" s="714"/>
      <c r="H1118" s="714"/>
      <c r="I1118" s="714"/>
      <c r="J1118" s="714">
        <f>C1118*E1118</f>
        <v>15840</v>
      </c>
      <c r="K1118" s="714">
        <f>I1118+J1118</f>
        <v>15840</v>
      </c>
      <c r="L1118" s="714"/>
      <c r="M1118" s="714"/>
      <c r="N1118" s="714"/>
      <c r="O1118" s="753">
        <f t="shared" si="83"/>
        <v>15840</v>
      </c>
      <c r="P1118" s="754"/>
    </row>
    <row r="1119" spans="1:89" ht="17.25" customHeight="1" x14ac:dyDescent="0.25">
      <c r="A1119" s="742"/>
      <c r="B1119" s="756" t="s">
        <v>33</v>
      </c>
      <c r="C1119" s="699">
        <v>60</v>
      </c>
      <c r="D1119" s="739" t="s">
        <v>20</v>
      </c>
      <c r="E1119" s="695">
        <v>920</v>
      </c>
      <c r="F1119" s="714"/>
      <c r="G1119" s="714"/>
      <c r="H1119" s="714"/>
      <c r="I1119" s="714"/>
      <c r="J1119" s="714">
        <f>C1119*E1119</f>
        <v>55200</v>
      </c>
      <c r="K1119" s="714">
        <f>I1119+J1119</f>
        <v>55200</v>
      </c>
      <c r="L1119" s="714"/>
      <c r="M1119" s="714"/>
      <c r="N1119" s="714"/>
      <c r="O1119" s="753">
        <f t="shared" si="83"/>
        <v>55200</v>
      </c>
      <c r="P1119" s="754"/>
    </row>
    <row r="1120" spans="1:89" ht="17.25" customHeight="1" x14ac:dyDescent="0.25">
      <c r="A1120" s="742"/>
      <c r="B1120" s="756"/>
      <c r="C1120" s="699"/>
      <c r="D1120" s="739"/>
      <c r="E1120" s="695"/>
      <c r="F1120" s="714"/>
      <c r="G1120" s="714"/>
      <c r="H1120" s="714"/>
      <c r="I1120" s="714"/>
      <c r="J1120" s="714"/>
      <c r="K1120" s="714"/>
      <c r="L1120" s="714"/>
      <c r="M1120" s="714"/>
      <c r="N1120" s="714"/>
      <c r="O1120" s="753"/>
      <c r="P1120" s="754"/>
    </row>
    <row r="1121" spans="1:89" ht="17.25" customHeight="1" x14ac:dyDescent="0.25">
      <c r="A1121" s="742"/>
      <c r="B1121" s="756" t="s">
        <v>34</v>
      </c>
      <c r="C1121" s="699"/>
      <c r="D1121" s="739"/>
      <c r="E1121" s="695"/>
      <c r="F1121" s="714"/>
      <c r="G1121" s="714"/>
      <c r="H1121" s="714"/>
      <c r="I1121" s="714"/>
      <c r="J1121" s="714"/>
      <c r="K1121" s="714"/>
      <c r="L1121" s="714"/>
      <c r="M1121" s="714"/>
      <c r="N1121" s="714"/>
      <c r="O1121" s="753">
        <f t="shared" si="83"/>
        <v>0</v>
      </c>
      <c r="P1121" s="754"/>
    </row>
    <row r="1122" spans="1:89" ht="17.25" customHeight="1" x14ac:dyDescent="0.25">
      <c r="A1122" s="742"/>
      <c r="B1122" s="756" t="s">
        <v>35</v>
      </c>
      <c r="C1122" s="699">
        <v>12</v>
      </c>
      <c r="D1122" s="739" t="s">
        <v>20</v>
      </c>
      <c r="E1122" s="695">
        <v>300</v>
      </c>
      <c r="F1122" s="714"/>
      <c r="G1122" s="714"/>
      <c r="H1122" s="714"/>
      <c r="I1122" s="714"/>
      <c r="J1122" s="714">
        <f>C1122*E1122</f>
        <v>3600</v>
      </c>
      <c r="K1122" s="714">
        <f>I1122+J1122</f>
        <v>3600</v>
      </c>
      <c r="L1122" s="714"/>
      <c r="M1122" s="714"/>
      <c r="N1122" s="714"/>
      <c r="O1122" s="753">
        <f t="shared" si="83"/>
        <v>3600</v>
      </c>
      <c r="P1122" s="754"/>
    </row>
    <row r="1123" spans="1:89" ht="17.25" customHeight="1" x14ac:dyDescent="0.25">
      <c r="A1123" s="742"/>
      <c r="B1123" s="756" t="s">
        <v>36</v>
      </c>
      <c r="C1123" s="699">
        <v>36</v>
      </c>
      <c r="D1123" s="739" t="s">
        <v>20</v>
      </c>
      <c r="E1123" s="695">
        <v>150</v>
      </c>
      <c r="F1123" s="714"/>
      <c r="G1123" s="714"/>
      <c r="H1123" s="714"/>
      <c r="I1123" s="714"/>
      <c r="J1123" s="714">
        <f>C1123*E1123</f>
        <v>5400</v>
      </c>
      <c r="K1123" s="714">
        <f>I1123+J1123</f>
        <v>5400</v>
      </c>
      <c r="L1123" s="714"/>
      <c r="M1123" s="714"/>
      <c r="N1123" s="714"/>
      <c r="O1123" s="753">
        <f t="shared" si="83"/>
        <v>5400</v>
      </c>
      <c r="P1123" s="754"/>
    </row>
    <row r="1124" spans="1:89" s="672" customFormat="1" ht="17.25" customHeight="1" x14ac:dyDescent="0.25">
      <c r="A1124" s="742"/>
      <c r="B1124" s="756"/>
      <c r="C1124" s="699"/>
      <c r="D1124" s="739"/>
      <c r="E1124" s="695"/>
      <c r="F1124" s="714"/>
      <c r="G1124" s="714"/>
      <c r="H1124" s="714"/>
      <c r="I1124" s="714"/>
      <c r="J1124" s="714"/>
      <c r="K1124" s="714"/>
      <c r="L1124" s="714"/>
      <c r="M1124" s="714"/>
      <c r="N1124" s="714"/>
      <c r="O1124" s="753">
        <f t="shared" si="83"/>
        <v>0</v>
      </c>
      <c r="P1124" s="754"/>
      <c r="Q1124" s="1581"/>
      <c r="R1124" s="1581"/>
      <c r="S1124" s="1581"/>
      <c r="T1124" s="1581"/>
      <c r="U1124" s="1581"/>
      <c r="V1124" s="1581"/>
      <c r="W1124" s="1581"/>
      <c r="X1124" s="1581"/>
      <c r="Y1124" s="1581"/>
      <c r="Z1124" s="1581"/>
      <c r="AA1124" s="1581"/>
      <c r="AB1124" s="1581"/>
      <c r="AC1124" s="1581"/>
      <c r="AD1124" s="1581"/>
      <c r="AE1124" s="1581"/>
      <c r="AF1124" s="1581"/>
      <c r="AG1124" s="1581"/>
      <c r="AH1124" s="1581"/>
      <c r="AI1124" s="1581"/>
      <c r="AJ1124" s="1581"/>
      <c r="AK1124" s="1581"/>
      <c r="AL1124" s="1581"/>
      <c r="AM1124" s="1581"/>
      <c r="AN1124" s="1581"/>
      <c r="AO1124" s="1581"/>
      <c r="AP1124" s="1581"/>
      <c r="AQ1124" s="1581"/>
      <c r="AR1124" s="1581"/>
      <c r="AS1124" s="1581"/>
      <c r="AT1124" s="1581"/>
      <c r="AU1124" s="1581"/>
      <c r="AV1124" s="1581"/>
      <c r="AW1124" s="1581"/>
      <c r="AX1124" s="1581"/>
      <c r="AY1124" s="1581"/>
      <c r="AZ1124" s="1581"/>
      <c r="BA1124" s="1581"/>
      <c r="BB1124" s="1581"/>
      <c r="BC1124" s="1581"/>
      <c r="BD1124" s="1581"/>
      <c r="BE1124" s="1581"/>
      <c r="BF1124" s="1581"/>
      <c r="BG1124" s="1581"/>
      <c r="BH1124" s="1581"/>
      <c r="BI1124" s="1581"/>
      <c r="BJ1124" s="1581"/>
      <c r="BK1124" s="1581"/>
      <c r="BL1124" s="1581"/>
      <c r="BM1124" s="1581"/>
      <c r="BN1124" s="1581"/>
      <c r="BO1124" s="1581"/>
      <c r="BP1124" s="1581"/>
      <c r="BQ1124" s="1581"/>
      <c r="BR1124" s="1581"/>
      <c r="BS1124" s="1581"/>
      <c r="BT1124" s="1581"/>
      <c r="BU1124" s="1581"/>
      <c r="BV1124" s="1581"/>
      <c r="BW1124" s="1581"/>
      <c r="BX1124" s="1581"/>
      <c r="BY1124" s="1581"/>
      <c r="BZ1124" s="1581"/>
      <c r="CA1124" s="1581"/>
      <c r="CB1124" s="1581"/>
      <c r="CC1124" s="1581"/>
      <c r="CD1124" s="1581"/>
      <c r="CE1124" s="1581"/>
      <c r="CF1124" s="1581"/>
      <c r="CG1124" s="1581"/>
      <c r="CH1124" s="1581"/>
      <c r="CI1124" s="1581"/>
      <c r="CJ1124" s="1581"/>
      <c r="CK1124" s="1581"/>
    </row>
    <row r="1125" spans="1:89" ht="17.25" customHeight="1" x14ac:dyDescent="0.25">
      <c r="A1125" s="742">
        <v>2</v>
      </c>
      <c r="B1125" s="756" t="s">
        <v>38</v>
      </c>
      <c r="C1125" s="699">
        <v>1</v>
      </c>
      <c r="D1125" s="739" t="s">
        <v>25</v>
      </c>
      <c r="E1125" s="695">
        <v>30000</v>
      </c>
      <c r="F1125" s="714"/>
      <c r="G1125" s="714"/>
      <c r="H1125" s="714"/>
      <c r="I1125" s="714"/>
      <c r="J1125" s="714">
        <f>C1125*E1125</f>
        <v>30000</v>
      </c>
      <c r="K1125" s="714">
        <f>I1125+J1125</f>
        <v>30000</v>
      </c>
      <c r="L1125" s="714"/>
      <c r="M1125" s="714"/>
      <c r="N1125" s="714"/>
      <c r="O1125" s="753">
        <f t="shared" si="83"/>
        <v>30000</v>
      </c>
      <c r="P1125" s="754"/>
    </row>
    <row r="1126" spans="1:89" ht="17.25" customHeight="1" x14ac:dyDescent="0.25">
      <c r="A1126" s="742"/>
      <c r="B1126" s="756" t="s">
        <v>39</v>
      </c>
      <c r="C1126" s="699">
        <v>1</v>
      </c>
      <c r="D1126" s="739" t="s">
        <v>25</v>
      </c>
      <c r="E1126" s="695">
        <v>30000</v>
      </c>
      <c r="F1126" s="714"/>
      <c r="G1126" s="714"/>
      <c r="H1126" s="714"/>
      <c r="I1126" s="714"/>
      <c r="J1126" s="714">
        <f>C1126*E1126</f>
        <v>30000</v>
      </c>
      <c r="K1126" s="714">
        <f>I1126+J1126</f>
        <v>30000</v>
      </c>
      <c r="L1126" s="714"/>
      <c r="M1126" s="714"/>
      <c r="N1126" s="714"/>
      <c r="O1126" s="753">
        <f t="shared" si="83"/>
        <v>30000</v>
      </c>
      <c r="P1126" s="754"/>
    </row>
    <row r="1127" spans="1:89" ht="17.25" customHeight="1" x14ac:dyDescent="0.25">
      <c r="A1127" s="742"/>
      <c r="B1127" s="756"/>
      <c r="C1127" s="699"/>
      <c r="D1127" s="739"/>
      <c r="E1127" s="695"/>
      <c r="F1127" s="714"/>
      <c r="G1127" s="714"/>
      <c r="H1127" s="714"/>
      <c r="I1127" s="714"/>
      <c r="J1127" s="714"/>
      <c r="K1127" s="714"/>
      <c r="L1127" s="714"/>
      <c r="M1127" s="714"/>
      <c r="N1127" s="714"/>
      <c r="O1127" s="753">
        <f t="shared" si="83"/>
        <v>0</v>
      </c>
      <c r="P1127" s="754"/>
    </row>
    <row r="1128" spans="1:89" ht="17.25" customHeight="1" x14ac:dyDescent="0.25">
      <c r="A1128" s="742">
        <v>3</v>
      </c>
      <c r="B1128" s="756" t="s">
        <v>27</v>
      </c>
      <c r="C1128" s="699"/>
      <c r="D1128" s="739"/>
      <c r="E1128" s="695"/>
      <c r="F1128" s="714"/>
      <c r="G1128" s="714"/>
      <c r="H1128" s="714"/>
      <c r="I1128" s="714"/>
      <c r="J1128" s="714"/>
      <c r="K1128" s="714"/>
      <c r="L1128" s="714"/>
      <c r="M1128" s="714"/>
      <c r="N1128" s="714"/>
      <c r="O1128" s="753">
        <f t="shared" si="83"/>
        <v>0</v>
      </c>
      <c r="P1128" s="754"/>
    </row>
    <row r="1129" spans="1:89" ht="17.25" customHeight="1" x14ac:dyDescent="0.25">
      <c r="A1129" s="742"/>
      <c r="B1129" s="756" t="s">
        <v>42</v>
      </c>
      <c r="C1129" s="699">
        <v>1</v>
      </c>
      <c r="D1129" s="739" t="s">
        <v>25</v>
      </c>
      <c r="E1129" s="695">
        <v>25000</v>
      </c>
      <c r="F1129" s="714"/>
      <c r="G1129" s="714"/>
      <c r="H1129" s="714"/>
      <c r="I1129" s="714"/>
      <c r="J1129" s="714">
        <f>C1129*E1129</f>
        <v>25000</v>
      </c>
      <c r="K1129" s="714">
        <f>I1129+J1129</f>
        <v>25000</v>
      </c>
      <c r="L1129" s="714"/>
      <c r="M1129" s="714"/>
      <c r="N1129" s="714"/>
      <c r="O1129" s="753">
        <f t="shared" si="83"/>
        <v>25000</v>
      </c>
      <c r="P1129" s="754"/>
    </row>
    <row r="1130" spans="1:89" ht="17.25" customHeight="1" x14ac:dyDescent="0.25">
      <c r="A1130" s="742"/>
      <c r="B1130" s="756"/>
      <c r="C1130" s="699"/>
      <c r="D1130" s="739"/>
      <c r="E1130" s="695"/>
      <c r="F1130" s="714"/>
      <c r="G1130" s="714"/>
      <c r="H1130" s="714"/>
      <c r="I1130" s="714"/>
      <c r="J1130" s="714"/>
      <c r="K1130" s="714"/>
      <c r="L1130" s="714"/>
      <c r="M1130" s="714"/>
      <c r="N1130" s="714"/>
      <c r="O1130" s="753">
        <f t="shared" si="83"/>
        <v>0</v>
      </c>
      <c r="P1130" s="754"/>
    </row>
    <row r="1131" spans="1:89" ht="17.25" customHeight="1" x14ac:dyDescent="0.25">
      <c r="A1131" s="742">
        <v>4</v>
      </c>
      <c r="B1131" s="756" t="s">
        <v>40</v>
      </c>
      <c r="C1131" s="699"/>
      <c r="D1131" s="739"/>
      <c r="E1131" s="695"/>
      <c r="F1131" s="714"/>
      <c r="G1131" s="714"/>
      <c r="H1131" s="714"/>
      <c r="I1131" s="714"/>
      <c r="J1131" s="714"/>
      <c r="K1131" s="714"/>
      <c r="L1131" s="714"/>
      <c r="M1131" s="714"/>
      <c r="N1131" s="714"/>
      <c r="O1131" s="753">
        <f t="shared" si="83"/>
        <v>0</v>
      </c>
      <c r="P1131" s="754"/>
    </row>
    <row r="1132" spans="1:89" ht="17.25" customHeight="1" x14ac:dyDescent="0.25">
      <c r="A1132" s="742"/>
      <c r="B1132" s="756" t="s">
        <v>41</v>
      </c>
      <c r="C1132" s="699">
        <v>1</v>
      </c>
      <c r="D1132" s="739" t="s">
        <v>25</v>
      </c>
      <c r="E1132" s="695">
        <v>25000</v>
      </c>
      <c r="F1132" s="714"/>
      <c r="G1132" s="714"/>
      <c r="H1132" s="714"/>
      <c r="I1132" s="714"/>
      <c r="J1132" s="714">
        <f>C1132*E1132</f>
        <v>25000</v>
      </c>
      <c r="K1132" s="714">
        <f>I1132+J1132</f>
        <v>25000</v>
      </c>
      <c r="L1132" s="714"/>
      <c r="M1132" s="714"/>
      <c r="N1132" s="714"/>
      <c r="O1132" s="753">
        <f t="shared" si="83"/>
        <v>25000</v>
      </c>
      <c r="P1132" s="754"/>
    </row>
    <row r="1133" spans="1:89" ht="17.25" customHeight="1" x14ac:dyDescent="0.25">
      <c r="A1133" s="742"/>
      <c r="B1133" s="756"/>
      <c r="C1133" s="699"/>
      <c r="D1133" s="739"/>
      <c r="E1133" s="695"/>
      <c r="F1133" s="714"/>
      <c r="G1133" s="714"/>
      <c r="H1133" s="714"/>
      <c r="I1133" s="714"/>
      <c r="J1133" s="714"/>
      <c r="K1133" s="714"/>
      <c r="L1133" s="714"/>
      <c r="M1133" s="714"/>
      <c r="N1133" s="714"/>
      <c r="O1133" s="753">
        <f t="shared" si="83"/>
        <v>0</v>
      </c>
      <c r="P1133" s="754"/>
    </row>
    <row r="1134" spans="1:89" ht="17.25" customHeight="1" x14ac:dyDescent="0.25">
      <c r="A1134" s="742">
        <v>5</v>
      </c>
      <c r="B1134" s="756" t="s">
        <v>43</v>
      </c>
      <c r="C1134" s="699"/>
      <c r="D1134" s="739"/>
      <c r="E1134" s="695"/>
      <c r="F1134" s="714"/>
      <c r="G1134" s="714"/>
      <c r="H1134" s="714"/>
      <c r="I1134" s="714"/>
      <c r="J1134" s="714"/>
      <c r="K1134" s="714"/>
      <c r="L1134" s="714"/>
      <c r="M1134" s="714"/>
      <c r="N1134" s="714"/>
      <c r="O1134" s="753">
        <f t="shared" si="83"/>
        <v>0</v>
      </c>
      <c r="P1134" s="754"/>
    </row>
    <row r="1135" spans="1:89" ht="17.25" customHeight="1" x14ac:dyDescent="0.25">
      <c r="A1135" s="742"/>
      <c r="B1135" s="756" t="s">
        <v>44</v>
      </c>
      <c r="C1135" s="699">
        <v>10</v>
      </c>
      <c r="D1135" s="739" t="s">
        <v>45</v>
      </c>
      <c r="E1135" s="695">
        <v>6000</v>
      </c>
      <c r="F1135" s="714"/>
      <c r="G1135" s="714"/>
      <c r="H1135" s="714"/>
      <c r="I1135" s="714"/>
      <c r="J1135" s="714">
        <f>C1135*E1135</f>
        <v>60000</v>
      </c>
      <c r="K1135" s="714">
        <f>I1135+J1135</f>
        <v>60000</v>
      </c>
      <c r="L1135" s="714"/>
      <c r="M1135" s="714"/>
      <c r="N1135" s="714"/>
      <c r="O1135" s="753">
        <f t="shared" si="83"/>
        <v>60000</v>
      </c>
      <c r="P1135" s="754"/>
    </row>
    <row r="1136" spans="1:89" ht="17.25" customHeight="1" x14ac:dyDescent="0.25">
      <c r="A1136" s="742"/>
      <c r="B1136" s="1453"/>
      <c r="C1136" s="713"/>
      <c r="D1136" s="880"/>
      <c r="E1136" s="695"/>
      <c r="F1136" s="695"/>
      <c r="G1136" s="695"/>
      <c r="H1136" s="695"/>
      <c r="I1136" s="695"/>
      <c r="J1136" s="695"/>
      <c r="K1136" s="695"/>
      <c r="L1136" s="695"/>
      <c r="M1136" s="695"/>
      <c r="N1136" s="695"/>
      <c r="O1136" s="696">
        <f t="shared" si="83"/>
        <v>0</v>
      </c>
      <c r="P1136" s="687"/>
    </row>
    <row r="1137" spans="1:89" ht="17.25" customHeight="1" x14ac:dyDescent="0.25">
      <c r="A1137" s="692">
        <v>6</v>
      </c>
      <c r="B1137" s="1436" t="s">
        <v>48</v>
      </c>
      <c r="C1137" s="699"/>
      <c r="D1137" s="739"/>
      <c r="E1137" s="695" t="s">
        <v>49</v>
      </c>
      <c r="F1137" s="695"/>
      <c r="G1137" s="695"/>
      <c r="H1137" s="695"/>
      <c r="I1137" s="695"/>
      <c r="J1137" s="695"/>
      <c r="K1137" s="695">
        <f>J1137+I1137</f>
        <v>0</v>
      </c>
      <c r="L1137" s="695"/>
      <c r="M1137" s="695"/>
      <c r="N1137" s="695"/>
      <c r="O1137" s="696">
        <f t="shared" si="83"/>
        <v>0</v>
      </c>
      <c r="P1137" s="687"/>
    </row>
    <row r="1138" spans="1:89" ht="17.25" customHeight="1" x14ac:dyDescent="0.25">
      <c r="A1138" s="742"/>
      <c r="B1138" s="756" t="s">
        <v>50</v>
      </c>
      <c r="C1138" s="713">
        <v>90</v>
      </c>
      <c r="D1138" s="1424" t="s">
        <v>51</v>
      </c>
      <c r="E1138" s="714">
        <v>2012</v>
      </c>
      <c r="F1138" s="714"/>
      <c r="G1138" s="714"/>
      <c r="H1138" s="714"/>
      <c r="I1138" s="714"/>
      <c r="J1138" s="714">
        <f>C1138*E1138</f>
        <v>181080</v>
      </c>
      <c r="K1138" s="714">
        <f>I1138+J1138</f>
        <v>181080</v>
      </c>
      <c r="L1138" s="714"/>
      <c r="M1138" s="714"/>
      <c r="N1138" s="714"/>
      <c r="O1138" s="753">
        <f t="shared" si="83"/>
        <v>181080</v>
      </c>
      <c r="P1138" s="754"/>
    </row>
    <row r="1139" spans="1:89" ht="17.25" customHeight="1" x14ac:dyDescent="0.25">
      <c r="A1139" s="742"/>
      <c r="B1139" s="756" t="s">
        <v>52</v>
      </c>
      <c r="C1139" s="713">
        <v>180</v>
      </c>
      <c r="D1139" s="1424" t="s">
        <v>53</v>
      </c>
      <c r="E1139" s="714">
        <v>610</v>
      </c>
      <c r="F1139" s="714"/>
      <c r="G1139" s="714"/>
      <c r="H1139" s="714"/>
      <c r="I1139" s="714"/>
      <c r="J1139" s="714">
        <f>C1139*E1139</f>
        <v>109800</v>
      </c>
      <c r="K1139" s="714">
        <f>I1139+J1139</f>
        <v>109800</v>
      </c>
      <c r="L1139" s="714"/>
      <c r="M1139" s="714"/>
      <c r="N1139" s="714"/>
      <c r="O1139" s="753">
        <f t="shared" si="83"/>
        <v>109800</v>
      </c>
      <c r="P1139" s="754"/>
    </row>
    <row r="1140" spans="1:89" ht="17.25" customHeight="1" x14ac:dyDescent="0.25">
      <c r="A1140" s="742"/>
      <c r="B1140" s="756" t="s">
        <v>54</v>
      </c>
      <c r="C1140" s="713">
        <v>270</v>
      </c>
      <c r="D1140" s="1424" t="s">
        <v>55</v>
      </c>
      <c r="E1140" s="714">
        <v>530</v>
      </c>
      <c r="F1140" s="714"/>
      <c r="G1140" s="714"/>
      <c r="H1140" s="714"/>
      <c r="I1140" s="714"/>
      <c r="J1140" s="714">
        <f>C1140*E1140</f>
        <v>143100</v>
      </c>
      <c r="K1140" s="714">
        <f>I1140+J1140</f>
        <v>143100</v>
      </c>
      <c r="L1140" s="714"/>
      <c r="M1140" s="714"/>
      <c r="N1140" s="714"/>
      <c r="O1140" s="753">
        <f t="shared" si="83"/>
        <v>143100</v>
      </c>
      <c r="P1140" s="754"/>
    </row>
    <row r="1141" spans="1:89" ht="17.25" customHeight="1" x14ac:dyDescent="0.25">
      <c r="A1141" s="742"/>
      <c r="B1141" s="756" t="s">
        <v>56</v>
      </c>
      <c r="C1141" s="713">
        <v>200</v>
      </c>
      <c r="D1141" s="1424" t="s">
        <v>55</v>
      </c>
      <c r="E1141" s="714">
        <v>360</v>
      </c>
      <c r="F1141" s="714"/>
      <c r="G1141" s="714"/>
      <c r="H1141" s="714"/>
      <c r="I1141" s="714"/>
      <c r="J1141" s="714">
        <f>C1141*E1141</f>
        <v>72000</v>
      </c>
      <c r="K1141" s="714">
        <f>I1141+J1141</f>
        <v>72000</v>
      </c>
      <c r="L1141" s="714"/>
      <c r="M1141" s="714"/>
      <c r="N1141" s="714"/>
      <c r="O1141" s="753">
        <f t="shared" si="83"/>
        <v>72000</v>
      </c>
      <c r="P1141" s="754"/>
    </row>
    <row r="1142" spans="1:89" ht="17.25" customHeight="1" x14ac:dyDescent="0.25">
      <c r="A1142" s="742"/>
      <c r="B1142" s="756"/>
      <c r="C1142" s="713"/>
      <c r="D1142" s="1424"/>
      <c r="E1142" s="714"/>
      <c r="F1142" s="714"/>
      <c r="G1142" s="714"/>
      <c r="H1142" s="714"/>
      <c r="I1142" s="714"/>
      <c r="J1142" s="714"/>
      <c r="K1142" s="714"/>
      <c r="L1142" s="714"/>
      <c r="M1142" s="714"/>
      <c r="N1142" s="714"/>
      <c r="O1142" s="753"/>
      <c r="P1142" s="754"/>
    </row>
    <row r="1143" spans="1:89" ht="17.25" customHeight="1" x14ac:dyDescent="0.25">
      <c r="A1143" s="742">
        <v>7</v>
      </c>
      <c r="B1143" s="756" t="s">
        <v>57</v>
      </c>
      <c r="C1143" s="713"/>
      <c r="D1143" s="1424"/>
      <c r="E1143" s="714"/>
      <c r="F1143" s="714"/>
      <c r="G1143" s="714"/>
      <c r="H1143" s="714"/>
      <c r="I1143" s="714"/>
      <c r="J1143" s="714"/>
      <c r="K1143" s="714"/>
      <c r="L1143" s="714"/>
      <c r="M1143" s="714"/>
      <c r="N1143" s="714"/>
      <c r="O1143" s="753">
        <f>N1143+K1143+H1143</f>
        <v>0</v>
      </c>
      <c r="P1143" s="754"/>
    </row>
    <row r="1144" spans="1:89" ht="17.25" customHeight="1" x14ac:dyDescent="0.25">
      <c r="A1144" s="742"/>
      <c r="B1144" s="756" t="s">
        <v>58</v>
      </c>
      <c r="C1144" s="713">
        <v>0</v>
      </c>
      <c r="D1144" s="1424" t="s">
        <v>16</v>
      </c>
      <c r="E1144" s="714">
        <v>15000</v>
      </c>
      <c r="F1144" s="714"/>
      <c r="G1144" s="714"/>
      <c r="H1144" s="714"/>
      <c r="I1144" s="714"/>
      <c r="J1144" s="714"/>
      <c r="K1144" s="714"/>
      <c r="L1144" s="714">
        <f>C1144*E1144</f>
        <v>0</v>
      </c>
      <c r="M1144" s="714"/>
      <c r="N1144" s="714">
        <f>L1144+M1144</f>
        <v>0</v>
      </c>
      <c r="O1144" s="753">
        <f>N1144+K1144+H1144</f>
        <v>0</v>
      </c>
      <c r="P1144" s="754"/>
    </row>
    <row r="1145" spans="1:89" ht="17.25" customHeight="1" x14ac:dyDescent="0.25">
      <c r="A1145" s="881"/>
      <c r="B1145" s="907"/>
      <c r="C1145" s="719"/>
      <c r="D1145" s="908"/>
      <c r="E1145" s="721"/>
      <c r="F1145" s="721"/>
      <c r="G1145" s="721"/>
      <c r="H1145" s="721"/>
      <c r="I1145" s="721"/>
      <c r="J1145" s="721"/>
      <c r="K1145" s="721"/>
      <c r="L1145" s="721"/>
      <c r="M1145" s="721"/>
      <c r="N1145" s="721"/>
      <c r="O1145" s="884"/>
      <c r="P1145" s="754"/>
    </row>
    <row r="1146" spans="1:89" s="729" customFormat="1" ht="20.25" customHeight="1" x14ac:dyDescent="0.2">
      <c r="A1146" s="1352" t="s">
        <v>847</v>
      </c>
      <c r="B1146" s="1454" t="s">
        <v>150</v>
      </c>
      <c r="C1146" s="1455"/>
      <c r="D1146" s="1213"/>
      <c r="E1146" s="1456"/>
      <c r="F1146" s="1457">
        <f>F1148+F1158+F1171</f>
        <v>0</v>
      </c>
      <c r="G1146" s="1457">
        <f>G1148+G1158+G1171</f>
        <v>0</v>
      </c>
      <c r="H1146" s="1456">
        <f>G1146+F1146</f>
        <v>0</v>
      </c>
      <c r="I1146" s="1457">
        <f>I1148+I1158+I1171</f>
        <v>0</v>
      </c>
      <c r="J1146" s="1457">
        <f>J1148+J1158+J1171</f>
        <v>3126061</v>
      </c>
      <c r="K1146" s="1456">
        <f>J1146+I1146</f>
        <v>3126061</v>
      </c>
      <c r="L1146" s="1457">
        <f>L1148+L1158+L1171</f>
        <v>7576410</v>
      </c>
      <c r="M1146" s="1457">
        <f>M1148+M1158+M1171</f>
        <v>0</v>
      </c>
      <c r="N1146" s="1456">
        <f>M1146+L1146</f>
        <v>7576410</v>
      </c>
      <c r="O1146" s="1458">
        <f t="shared" ref="O1146:O1153" si="84">N1146+K1146+H1146</f>
        <v>10702471</v>
      </c>
      <c r="P1146" s="728"/>
      <c r="Q1146" s="1825"/>
      <c r="R1146" s="1825"/>
      <c r="S1146" s="1825"/>
      <c r="T1146" s="1825"/>
      <c r="U1146" s="1825"/>
      <c r="V1146" s="1825"/>
      <c r="W1146" s="1825"/>
      <c r="X1146" s="1825"/>
      <c r="Y1146" s="1825"/>
      <c r="Z1146" s="1825"/>
      <c r="AA1146" s="1825"/>
      <c r="AB1146" s="1825"/>
      <c r="AC1146" s="1825"/>
      <c r="AD1146" s="1825"/>
      <c r="AE1146" s="1825"/>
      <c r="AF1146" s="1825"/>
      <c r="AG1146" s="1825"/>
      <c r="AH1146" s="1825"/>
      <c r="AI1146" s="1825"/>
      <c r="AJ1146" s="1825"/>
      <c r="AK1146" s="1825"/>
      <c r="AL1146" s="1825"/>
      <c r="AM1146" s="1825"/>
      <c r="AN1146" s="1825"/>
      <c r="AO1146" s="1825"/>
      <c r="AP1146" s="1825"/>
      <c r="AQ1146" s="1825"/>
      <c r="AR1146" s="1825"/>
      <c r="AS1146" s="1825"/>
      <c r="AT1146" s="1825"/>
      <c r="AU1146" s="1825"/>
      <c r="AV1146" s="1825"/>
      <c r="AW1146" s="1825"/>
      <c r="AX1146" s="1825"/>
      <c r="AY1146" s="1825"/>
      <c r="AZ1146" s="1825"/>
      <c r="BA1146" s="1825"/>
      <c r="BB1146" s="1825"/>
      <c r="BC1146" s="1825"/>
      <c r="BD1146" s="1825"/>
      <c r="BE1146" s="1825"/>
      <c r="BF1146" s="1825"/>
      <c r="BG1146" s="1825"/>
      <c r="BH1146" s="1825"/>
      <c r="BI1146" s="1825"/>
      <c r="BJ1146" s="1825"/>
      <c r="BK1146" s="1825"/>
      <c r="BL1146" s="1825"/>
      <c r="BM1146" s="1825"/>
      <c r="BN1146" s="1825"/>
      <c r="BO1146" s="1825"/>
      <c r="BP1146" s="1825"/>
      <c r="BQ1146" s="1825"/>
      <c r="BR1146" s="1825"/>
      <c r="BS1146" s="1825"/>
      <c r="BT1146" s="1825"/>
      <c r="BU1146" s="1825"/>
      <c r="BV1146" s="1825"/>
      <c r="BW1146" s="1825"/>
      <c r="BX1146" s="1825"/>
      <c r="BY1146" s="1825"/>
      <c r="BZ1146" s="1825"/>
      <c r="CA1146" s="1825"/>
      <c r="CB1146" s="1825"/>
      <c r="CC1146" s="1825"/>
      <c r="CD1146" s="1825"/>
      <c r="CE1146" s="1825"/>
      <c r="CF1146" s="1825"/>
      <c r="CG1146" s="1825"/>
      <c r="CH1146" s="1825"/>
      <c r="CI1146" s="1825"/>
      <c r="CJ1146" s="1825"/>
      <c r="CK1146" s="1825"/>
    </row>
    <row r="1147" spans="1:89" s="729" customFormat="1" ht="16.5" customHeight="1" x14ac:dyDescent="0.2">
      <c r="A1147" s="730"/>
      <c r="B1147" s="731"/>
      <c r="C1147" s="732"/>
      <c r="D1147" s="683"/>
      <c r="E1147" s="733"/>
      <c r="F1147" s="734"/>
      <c r="G1147" s="734"/>
      <c r="H1147" s="734"/>
      <c r="I1147" s="734"/>
      <c r="J1147" s="734"/>
      <c r="K1147" s="734"/>
      <c r="L1147" s="734"/>
      <c r="M1147" s="734"/>
      <c r="N1147" s="734"/>
      <c r="O1147" s="735">
        <f t="shared" si="84"/>
        <v>0</v>
      </c>
      <c r="P1147" s="736"/>
      <c r="Q1147" s="1825"/>
      <c r="R1147" s="1825"/>
      <c r="S1147" s="1825"/>
      <c r="T1147" s="1825"/>
      <c r="U1147" s="1825"/>
      <c r="V1147" s="1825"/>
      <c r="W1147" s="1825"/>
      <c r="X1147" s="1825"/>
      <c r="Y1147" s="1825"/>
      <c r="Z1147" s="1825"/>
      <c r="AA1147" s="1825"/>
      <c r="AB1147" s="1825"/>
      <c r="AC1147" s="1825"/>
      <c r="AD1147" s="1825"/>
      <c r="AE1147" s="1825"/>
      <c r="AF1147" s="1825"/>
      <c r="AG1147" s="1825"/>
      <c r="AH1147" s="1825"/>
      <c r="AI1147" s="1825"/>
      <c r="AJ1147" s="1825"/>
      <c r="AK1147" s="1825"/>
      <c r="AL1147" s="1825"/>
      <c r="AM1147" s="1825"/>
      <c r="AN1147" s="1825"/>
      <c r="AO1147" s="1825"/>
      <c r="AP1147" s="1825"/>
      <c r="AQ1147" s="1825"/>
      <c r="AR1147" s="1825"/>
      <c r="AS1147" s="1825"/>
      <c r="AT1147" s="1825"/>
      <c r="AU1147" s="1825"/>
      <c r="AV1147" s="1825"/>
      <c r="AW1147" s="1825"/>
      <c r="AX1147" s="1825"/>
      <c r="AY1147" s="1825"/>
      <c r="AZ1147" s="1825"/>
      <c r="BA1147" s="1825"/>
      <c r="BB1147" s="1825"/>
      <c r="BC1147" s="1825"/>
      <c r="BD1147" s="1825"/>
      <c r="BE1147" s="1825"/>
      <c r="BF1147" s="1825"/>
      <c r="BG1147" s="1825"/>
      <c r="BH1147" s="1825"/>
      <c r="BI1147" s="1825"/>
      <c r="BJ1147" s="1825"/>
      <c r="BK1147" s="1825"/>
      <c r="BL1147" s="1825"/>
      <c r="BM1147" s="1825"/>
      <c r="BN1147" s="1825"/>
      <c r="BO1147" s="1825"/>
      <c r="BP1147" s="1825"/>
      <c r="BQ1147" s="1825"/>
      <c r="BR1147" s="1825"/>
      <c r="BS1147" s="1825"/>
      <c r="BT1147" s="1825"/>
      <c r="BU1147" s="1825"/>
      <c r="BV1147" s="1825"/>
      <c r="BW1147" s="1825"/>
      <c r="BX1147" s="1825"/>
      <c r="BY1147" s="1825"/>
      <c r="BZ1147" s="1825"/>
      <c r="CA1147" s="1825"/>
      <c r="CB1147" s="1825"/>
      <c r="CC1147" s="1825"/>
      <c r="CD1147" s="1825"/>
      <c r="CE1147" s="1825"/>
      <c r="CF1147" s="1825"/>
      <c r="CG1147" s="1825"/>
      <c r="CH1147" s="1825"/>
      <c r="CI1147" s="1825"/>
      <c r="CJ1147" s="1825"/>
      <c r="CK1147" s="1825"/>
    </row>
    <row r="1148" spans="1:89" s="1464" customFormat="1" ht="39" customHeight="1" x14ac:dyDescent="0.2">
      <c r="A1148" s="737" t="s">
        <v>575</v>
      </c>
      <c r="B1148" s="1372" t="s">
        <v>1156</v>
      </c>
      <c r="C1148" s="1459"/>
      <c r="D1148" s="738"/>
      <c r="E1148" s="1460"/>
      <c r="F1148" s="1461">
        <f>SUM(F1149:F1157)</f>
        <v>0</v>
      </c>
      <c r="G1148" s="1461">
        <f>SUM(G1149:G1157)</f>
        <v>0</v>
      </c>
      <c r="H1148" s="1460">
        <f>F1148+G1148</f>
        <v>0</v>
      </c>
      <c r="I1148" s="1461">
        <f>SUM(I1149:I1157)</f>
        <v>0</v>
      </c>
      <c r="J1148" s="1461">
        <f>SUM(J1149:J1157)</f>
        <v>0</v>
      </c>
      <c r="K1148" s="1460">
        <f>I1148+J1148</f>
        <v>0</v>
      </c>
      <c r="L1148" s="1461">
        <f>SUM(L1149:L1156)</f>
        <v>7576410</v>
      </c>
      <c r="M1148" s="1461">
        <f>SUM(M1149:M1157)</f>
        <v>0</v>
      </c>
      <c r="N1148" s="1460">
        <f t="shared" ref="N1148:N1153" si="85">L1148+M1148</f>
        <v>7576410</v>
      </c>
      <c r="O1148" s="1462">
        <f t="shared" si="84"/>
        <v>7576410</v>
      </c>
      <c r="P1148" s="1463"/>
      <c r="Q1148" s="1826"/>
      <c r="R1148" s="1826"/>
      <c r="S1148" s="1826"/>
      <c r="T1148" s="1826"/>
      <c r="U1148" s="1826"/>
      <c r="V1148" s="1826"/>
      <c r="W1148" s="1826"/>
      <c r="X1148" s="1826"/>
      <c r="Y1148" s="1826"/>
      <c r="Z1148" s="1826"/>
      <c r="AA1148" s="1826"/>
      <c r="AB1148" s="1826"/>
      <c r="AC1148" s="1826"/>
      <c r="AD1148" s="1826"/>
      <c r="AE1148" s="1826"/>
      <c r="AF1148" s="1826"/>
      <c r="AG1148" s="1826"/>
      <c r="AH1148" s="1826"/>
      <c r="AI1148" s="1826"/>
      <c r="AJ1148" s="1826"/>
      <c r="AK1148" s="1826"/>
      <c r="AL1148" s="1826"/>
      <c r="AM1148" s="1826"/>
      <c r="AN1148" s="1826"/>
      <c r="AO1148" s="1826"/>
      <c r="AP1148" s="1826"/>
      <c r="AQ1148" s="1826"/>
      <c r="AR1148" s="1826"/>
      <c r="AS1148" s="1826"/>
      <c r="AT1148" s="1826"/>
      <c r="AU1148" s="1826"/>
      <c r="AV1148" s="1826"/>
      <c r="AW1148" s="1826"/>
      <c r="AX1148" s="1826"/>
      <c r="AY1148" s="1826"/>
      <c r="AZ1148" s="1826"/>
      <c r="BA1148" s="1826"/>
      <c r="BB1148" s="1826"/>
      <c r="BC1148" s="1826"/>
      <c r="BD1148" s="1826"/>
      <c r="BE1148" s="1826"/>
      <c r="BF1148" s="1826"/>
      <c r="BG1148" s="1826"/>
      <c r="BH1148" s="1826"/>
      <c r="BI1148" s="1826"/>
      <c r="BJ1148" s="1826"/>
      <c r="BK1148" s="1826"/>
      <c r="BL1148" s="1826"/>
      <c r="BM1148" s="1826"/>
      <c r="BN1148" s="1826"/>
      <c r="BO1148" s="1826"/>
      <c r="BP1148" s="1826"/>
      <c r="BQ1148" s="1826"/>
      <c r="BR1148" s="1826"/>
      <c r="BS1148" s="1826"/>
      <c r="BT1148" s="1826"/>
      <c r="BU1148" s="1826"/>
      <c r="BV1148" s="1826"/>
      <c r="BW1148" s="1826"/>
      <c r="BX1148" s="1826"/>
      <c r="BY1148" s="1826"/>
      <c r="BZ1148" s="1826"/>
      <c r="CA1148" s="1826"/>
      <c r="CB1148" s="1826"/>
      <c r="CC1148" s="1826"/>
      <c r="CD1148" s="1826"/>
      <c r="CE1148" s="1826"/>
      <c r="CF1148" s="1826"/>
      <c r="CG1148" s="1826"/>
      <c r="CH1148" s="1826"/>
      <c r="CI1148" s="1826"/>
      <c r="CJ1148" s="1826"/>
      <c r="CK1148" s="1826"/>
    </row>
    <row r="1149" spans="1:89" s="729" customFormat="1" ht="16.5" customHeight="1" x14ac:dyDescent="0.2">
      <c r="A1149" s="692">
        <v>1</v>
      </c>
      <c r="B1149" s="1285" t="s">
        <v>1548</v>
      </c>
      <c r="C1149" s="1284">
        <v>1</v>
      </c>
      <c r="D1149" s="739" t="s">
        <v>16</v>
      </c>
      <c r="E1149" s="1465">
        <v>746620</v>
      </c>
      <c r="F1149" s="1466"/>
      <c r="G1149" s="1466"/>
      <c r="H1149" s="1466"/>
      <c r="I1149" s="1466"/>
      <c r="J1149" s="1466"/>
      <c r="K1149" s="1466"/>
      <c r="L1149" s="1466"/>
      <c r="M1149" s="1466"/>
      <c r="N1149" s="1466">
        <f t="shared" si="85"/>
        <v>0</v>
      </c>
      <c r="O1149" s="1467">
        <f t="shared" si="84"/>
        <v>0</v>
      </c>
      <c r="P1149" s="736"/>
      <c r="Q1149" s="1825"/>
      <c r="R1149" s="1825"/>
      <c r="S1149" s="1825"/>
      <c r="T1149" s="1825"/>
      <c r="U1149" s="1825"/>
      <c r="V1149" s="1825"/>
      <c r="W1149" s="1825"/>
      <c r="X1149" s="1825"/>
      <c r="Y1149" s="1825"/>
      <c r="Z1149" s="1825"/>
      <c r="AA1149" s="1825"/>
      <c r="AB1149" s="1825"/>
      <c r="AC1149" s="1825"/>
      <c r="AD1149" s="1825"/>
      <c r="AE1149" s="1825"/>
      <c r="AF1149" s="1825"/>
      <c r="AG1149" s="1825"/>
      <c r="AH1149" s="1825"/>
      <c r="AI1149" s="1825"/>
      <c r="AJ1149" s="1825"/>
      <c r="AK1149" s="1825"/>
      <c r="AL1149" s="1825"/>
      <c r="AM1149" s="1825"/>
      <c r="AN1149" s="1825"/>
      <c r="AO1149" s="1825"/>
      <c r="AP1149" s="1825"/>
      <c r="AQ1149" s="1825"/>
      <c r="AR1149" s="1825"/>
      <c r="AS1149" s="1825"/>
      <c r="AT1149" s="1825"/>
      <c r="AU1149" s="1825"/>
      <c r="AV1149" s="1825"/>
      <c r="AW1149" s="1825"/>
      <c r="AX1149" s="1825"/>
      <c r="AY1149" s="1825"/>
      <c r="AZ1149" s="1825"/>
      <c r="BA1149" s="1825"/>
      <c r="BB1149" s="1825"/>
      <c r="BC1149" s="1825"/>
      <c r="BD1149" s="1825"/>
      <c r="BE1149" s="1825"/>
      <c r="BF1149" s="1825"/>
      <c r="BG1149" s="1825"/>
      <c r="BH1149" s="1825"/>
      <c r="BI1149" s="1825"/>
      <c r="BJ1149" s="1825"/>
      <c r="BK1149" s="1825"/>
      <c r="BL1149" s="1825"/>
      <c r="BM1149" s="1825"/>
      <c r="BN1149" s="1825"/>
      <c r="BO1149" s="1825"/>
      <c r="BP1149" s="1825"/>
      <c r="BQ1149" s="1825"/>
      <c r="BR1149" s="1825"/>
      <c r="BS1149" s="1825"/>
      <c r="BT1149" s="1825"/>
      <c r="BU1149" s="1825"/>
      <c r="BV1149" s="1825"/>
      <c r="BW1149" s="1825"/>
      <c r="BX1149" s="1825"/>
      <c r="BY1149" s="1825"/>
      <c r="BZ1149" s="1825"/>
      <c r="CA1149" s="1825"/>
      <c r="CB1149" s="1825"/>
      <c r="CC1149" s="1825"/>
      <c r="CD1149" s="1825"/>
      <c r="CE1149" s="1825"/>
      <c r="CF1149" s="1825"/>
      <c r="CG1149" s="1825"/>
      <c r="CH1149" s="1825"/>
      <c r="CI1149" s="1825"/>
      <c r="CJ1149" s="1825"/>
      <c r="CK1149" s="1825"/>
    </row>
    <row r="1150" spans="1:89" s="729" customFormat="1" ht="16.5" customHeight="1" x14ac:dyDescent="0.2">
      <c r="A1150" s="692">
        <v>2</v>
      </c>
      <c r="B1150" s="1285" t="s">
        <v>1549</v>
      </c>
      <c r="C1150" s="1284">
        <v>1</v>
      </c>
      <c r="D1150" s="739" t="s">
        <v>16</v>
      </c>
      <c r="E1150" s="1465">
        <f>2945200-1500000</f>
        <v>1445200</v>
      </c>
      <c r="F1150" s="1466"/>
      <c r="G1150" s="1466"/>
      <c r="H1150" s="1466"/>
      <c r="I1150" s="1466"/>
      <c r="J1150" s="1466"/>
      <c r="K1150" s="1466"/>
      <c r="L1150" s="1466">
        <f>C1150*E1150</f>
        <v>1445200</v>
      </c>
      <c r="M1150" s="1466"/>
      <c r="N1150" s="1466">
        <f t="shared" si="85"/>
        <v>1445200</v>
      </c>
      <c r="O1150" s="1467">
        <f t="shared" si="84"/>
        <v>1445200</v>
      </c>
      <c r="P1150" s="736"/>
      <c r="Q1150" s="1825"/>
      <c r="R1150" s="1825"/>
      <c r="S1150" s="1825"/>
      <c r="T1150" s="1825"/>
      <c r="U1150" s="1825"/>
      <c r="V1150" s="1825"/>
      <c r="W1150" s="1825"/>
      <c r="X1150" s="1825"/>
      <c r="Y1150" s="1825"/>
      <c r="Z1150" s="1825"/>
      <c r="AA1150" s="1825"/>
      <c r="AB1150" s="1825"/>
      <c r="AC1150" s="1825"/>
      <c r="AD1150" s="1825"/>
      <c r="AE1150" s="1825"/>
      <c r="AF1150" s="1825"/>
      <c r="AG1150" s="1825"/>
      <c r="AH1150" s="1825"/>
      <c r="AI1150" s="1825"/>
      <c r="AJ1150" s="1825"/>
      <c r="AK1150" s="1825"/>
      <c r="AL1150" s="1825"/>
      <c r="AM1150" s="1825"/>
      <c r="AN1150" s="1825"/>
      <c r="AO1150" s="1825"/>
      <c r="AP1150" s="1825"/>
      <c r="AQ1150" s="1825"/>
      <c r="AR1150" s="1825"/>
      <c r="AS1150" s="1825"/>
      <c r="AT1150" s="1825"/>
      <c r="AU1150" s="1825"/>
      <c r="AV1150" s="1825"/>
      <c r="AW1150" s="1825"/>
      <c r="AX1150" s="1825"/>
      <c r="AY1150" s="1825"/>
      <c r="AZ1150" s="1825"/>
      <c r="BA1150" s="1825"/>
      <c r="BB1150" s="1825"/>
      <c r="BC1150" s="1825"/>
      <c r="BD1150" s="1825"/>
      <c r="BE1150" s="1825"/>
      <c r="BF1150" s="1825"/>
      <c r="BG1150" s="1825"/>
      <c r="BH1150" s="1825"/>
      <c r="BI1150" s="1825"/>
      <c r="BJ1150" s="1825"/>
      <c r="BK1150" s="1825"/>
      <c r="BL1150" s="1825"/>
      <c r="BM1150" s="1825"/>
      <c r="BN1150" s="1825"/>
      <c r="BO1150" s="1825"/>
      <c r="BP1150" s="1825"/>
      <c r="BQ1150" s="1825"/>
      <c r="BR1150" s="1825"/>
      <c r="BS1150" s="1825"/>
      <c r="BT1150" s="1825"/>
      <c r="BU1150" s="1825"/>
      <c r="BV1150" s="1825"/>
      <c r="BW1150" s="1825"/>
      <c r="BX1150" s="1825"/>
      <c r="BY1150" s="1825"/>
      <c r="BZ1150" s="1825"/>
      <c r="CA1150" s="1825"/>
      <c r="CB1150" s="1825"/>
      <c r="CC1150" s="1825"/>
      <c r="CD1150" s="1825"/>
      <c r="CE1150" s="1825"/>
      <c r="CF1150" s="1825"/>
      <c r="CG1150" s="1825"/>
      <c r="CH1150" s="1825"/>
      <c r="CI1150" s="1825"/>
      <c r="CJ1150" s="1825"/>
      <c r="CK1150" s="1825"/>
    </row>
    <row r="1151" spans="1:89" s="729" customFormat="1" ht="16.5" customHeight="1" x14ac:dyDescent="0.2">
      <c r="A1151" s="692">
        <v>3</v>
      </c>
      <c r="B1151" s="1285" t="s">
        <v>1550</v>
      </c>
      <c r="C1151" s="1437">
        <v>1</v>
      </c>
      <c r="D1151" s="739" t="s">
        <v>16</v>
      </c>
      <c r="E1151" s="1465">
        <f>2248640-500000</f>
        <v>1748640</v>
      </c>
      <c r="F1151" s="1466"/>
      <c r="G1151" s="1466"/>
      <c r="H1151" s="1466"/>
      <c r="I1151" s="1466"/>
      <c r="J1151" s="1466"/>
      <c r="K1151" s="1466"/>
      <c r="L1151" s="1466">
        <f>C1151*E1151</f>
        <v>1748640</v>
      </c>
      <c r="M1151" s="1466"/>
      <c r="N1151" s="1466">
        <f t="shared" si="85"/>
        <v>1748640</v>
      </c>
      <c r="O1151" s="1467">
        <f t="shared" si="84"/>
        <v>1748640</v>
      </c>
      <c r="P1151" s="736"/>
      <c r="Q1151" s="1825"/>
      <c r="R1151" s="1825"/>
      <c r="S1151" s="1825"/>
      <c r="T1151" s="1825"/>
      <c r="U1151" s="1825"/>
      <c r="V1151" s="1825"/>
      <c r="W1151" s="1825"/>
      <c r="X1151" s="1825"/>
      <c r="Y1151" s="1825"/>
      <c r="Z1151" s="1825"/>
      <c r="AA1151" s="1825"/>
      <c r="AB1151" s="1825"/>
      <c r="AC1151" s="1825"/>
      <c r="AD1151" s="1825"/>
      <c r="AE1151" s="1825"/>
      <c r="AF1151" s="1825"/>
      <c r="AG1151" s="1825"/>
      <c r="AH1151" s="1825"/>
      <c r="AI1151" s="1825"/>
      <c r="AJ1151" s="1825"/>
      <c r="AK1151" s="1825"/>
      <c r="AL1151" s="1825"/>
      <c r="AM1151" s="1825"/>
      <c r="AN1151" s="1825"/>
      <c r="AO1151" s="1825"/>
      <c r="AP1151" s="1825"/>
      <c r="AQ1151" s="1825"/>
      <c r="AR1151" s="1825"/>
      <c r="AS1151" s="1825"/>
      <c r="AT1151" s="1825"/>
      <c r="AU1151" s="1825"/>
      <c r="AV1151" s="1825"/>
      <c r="AW1151" s="1825"/>
      <c r="AX1151" s="1825"/>
      <c r="AY1151" s="1825"/>
      <c r="AZ1151" s="1825"/>
      <c r="BA1151" s="1825"/>
      <c r="BB1151" s="1825"/>
      <c r="BC1151" s="1825"/>
      <c r="BD1151" s="1825"/>
      <c r="BE1151" s="1825"/>
      <c r="BF1151" s="1825"/>
      <c r="BG1151" s="1825"/>
      <c r="BH1151" s="1825"/>
      <c r="BI1151" s="1825"/>
      <c r="BJ1151" s="1825"/>
      <c r="BK1151" s="1825"/>
      <c r="BL1151" s="1825"/>
      <c r="BM1151" s="1825"/>
      <c r="BN1151" s="1825"/>
      <c r="BO1151" s="1825"/>
      <c r="BP1151" s="1825"/>
      <c r="BQ1151" s="1825"/>
      <c r="BR1151" s="1825"/>
      <c r="BS1151" s="1825"/>
      <c r="BT1151" s="1825"/>
      <c r="BU1151" s="1825"/>
      <c r="BV1151" s="1825"/>
      <c r="BW1151" s="1825"/>
      <c r="BX1151" s="1825"/>
      <c r="BY1151" s="1825"/>
      <c r="BZ1151" s="1825"/>
      <c r="CA1151" s="1825"/>
      <c r="CB1151" s="1825"/>
      <c r="CC1151" s="1825"/>
      <c r="CD1151" s="1825"/>
      <c r="CE1151" s="1825"/>
      <c r="CF1151" s="1825"/>
      <c r="CG1151" s="1825"/>
      <c r="CH1151" s="1825"/>
      <c r="CI1151" s="1825"/>
      <c r="CJ1151" s="1825"/>
      <c r="CK1151" s="1825"/>
    </row>
    <row r="1152" spans="1:89" s="729" customFormat="1" ht="16.5" customHeight="1" x14ac:dyDescent="0.2">
      <c r="A1152" s="692">
        <v>4</v>
      </c>
      <c r="B1152" s="1285" t="s">
        <v>1551</v>
      </c>
      <c r="C1152" s="1437">
        <v>1</v>
      </c>
      <c r="D1152" s="739" t="s">
        <v>16</v>
      </c>
      <c r="E1152" s="1468">
        <v>2462570</v>
      </c>
      <c r="F1152" s="1466"/>
      <c r="G1152" s="1469"/>
      <c r="H1152" s="1414"/>
      <c r="I1152" s="1466"/>
      <c r="J1152" s="1466"/>
      <c r="K1152" s="1466"/>
      <c r="L1152" s="1466">
        <f>C1152*E1152</f>
        <v>2462570</v>
      </c>
      <c r="M1152" s="1466"/>
      <c r="N1152" s="1466">
        <f t="shared" si="85"/>
        <v>2462570</v>
      </c>
      <c r="O1152" s="1467">
        <f t="shared" si="84"/>
        <v>2462570</v>
      </c>
      <c r="P1152" s="736"/>
      <c r="Q1152" s="1825"/>
      <c r="R1152" s="1825"/>
      <c r="S1152" s="1825"/>
      <c r="T1152" s="1825"/>
      <c r="U1152" s="1825"/>
      <c r="V1152" s="1825"/>
      <c r="W1152" s="1825"/>
      <c r="X1152" s="1825"/>
      <c r="Y1152" s="1825"/>
      <c r="Z1152" s="1825"/>
      <c r="AA1152" s="1825"/>
      <c r="AB1152" s="1825"/>
      <c r="AC1152" s="1825"/>
      <c r="AD1152" s="1825"/>
      <c r="AE1152" s="1825"/>
      <c r="AF1152" s="1825"/>
      <c r="AG1152" s="1825"/>
      <c r="AH1152" s="1825"/>
      <c r="AI1152" s="1825"/>
      <c r="AJ1152" s="1825"/>
      <c r="AK1152" s="1825"/>
      <c r="AL1152" s="1825"/>
      <c r="AM1152" s="1825"/>
      <c r="AN1152" s="1825"/>
      <c r="AO1152" s="1825"/>
      <c r="AP1152" s="1825"/>
      <c r="AQ1152" s="1825"/>
      <c r="AR1152" s="1825"/>
      <c r="AS1152" s="1825"/>
      <c r="AT1152" s="1825"/>
      <c r="AU1152" s="1825"/>
      <c r="AV1152" s="1825"/>
      <c r="AW1152" s="1825"/>
      <c r="AX1152" s="1825"/>
      <c r="AY1152" s="1825"/>
      <c r="AZ1152" s="1825"/>
      <c r="BA1152" s="1825"/>
      <c r="BB1152" s="1825"/>
      <c r="BC1152" s="1825"/>
      <c r="BD1152" s="1825"/>
      <c r="BE1152" s="1825"/>
      <c r="BF1152" s="1825"/>
      <c r="BG1152" s="1825"/>
      <c r="BH1152" s="1825"/>
      <c r="BI1152" s="1825"/>
      <c r="BJ1152" s="1825"/>
      <c r="BK1152" s="1825"/>
      <c r="BL1152" s="1825"/>
      <c r="BM1152" s="1825"/>
      <c r="BN1152" s="1825"/>
      <c r="BO1152" s="1825"/>
      <c r="BP1152" s="1825"/>
      <c r="BQ1152" s="1825"/>
      <c r="BR1152" s="1825"/>
      <c r="BS1152" s="1825"/>
      <c r="BT1152" s="1825"/>
      <c r="BU1152" s="1825"/>
      <c r="BV1152" s="1825"/>
      <c r="BW1152" s="1825"/>
      <c r="BX1152" s="1825"/>
      <c r="BY1152" s="1825"/>
      <c r="BZ1152" s="1825"/>
      <c r="CA1152" s="1825"/>
      <c r="CB1152" s="1825"/>
      <c r="CC1152" s="1825"/>
      <c r="CD1152" s="1825"/>
      <c r="CE1152" s="1825"/>
      <c r="CF1152" s="1825"/>
      <c r="CG1152" s="1825"/>
      <c r="CH1152" s="1825"/>
      <c r="CI1152" s="1825"/>
      <c r="CJ1152" s="1825"/>
      <c r="CK1152" s="1825"/>
    </row>
    <row r="1153" spans="1:89" s="729" customFormat="1" ht="16.5" customHeight="1" x14ac:dyDescent="0.2">
      <c r="A1153" s="692">
        <v>5</v>
      </c>
      <c r="B1153" s="1285" t="s">
        <v>1552</v>
      </c>
      <c r="C1153" s="1437">
        <v>1</v>
      </c>
      <c r="D1153" s="739" t="s">
        <v>16</v>
      </c>
      <c r="E1153" s="1468">
        <v>1170000</v>
      </c>
      <c r="F1153" s="1466"/>
      <c r="G1153" s="1469"/>
      <c r="H1153" s="1414"/>
      <c r="I1153" s="1466"/>
      <c r="J1153" s="1466"/>
      <c r="K1153" s="1466"/>
      <c r="L1153" s="1466">
        <f>C1153*E1153</f>
        <v>1170000</v>
      </c>
      <c r="M1153" s="1466"/>
      <c r="N1153" s="1466">
        <f t="shared" si="85"/>
        <v>1170000</v>
      </c>
      <c r="O1153" s="1467">
        <f t="shared" si="84"/>
        <v>1170000</v>
      </c>
      <c r="P1153" s="736"/>
      <c r="Q1153" s="1825"/>
      <c r="R1153" s="1825"/>
      <c r="S1153" s="1825"/>
      <c r="T1153" s="1825"/>
      <c r="U1153" s="1825"/>
      <c r="V1153" s="1825"/>
      <c r="W1153" s="1825"/>
      <c r="X1153" s="1825"/>
      <c r="Y1153" s="1825"/>
      <c r="Z1153" s="1825"/>
      <c r="AA1153" s="1825"/>
      <c r="AB1153" s="1825"/>
      <c r="AC1153" s="1825"/>
      <c r="AD1153" s="1825"/>
      <c r="AE1153" s="1825"/>
      <c r="AF1153" s="1825"/>
      <c r="AG1153" s="1825"/>
      <c r="AH1153" s="1825"/>
      <c r="AI1153" s="1825"/>
      <c r="AJ1153" s="1825"/>
      <c r="AK1153" s="1825"/>
      <c r="AL1153" s="1825"/>
      <c r="AM1153" s="1825"/>
      <c r="AN1153" s="1825"/>
      <c r="AO1153" s="1825"/>
      <c r="AP1153" s="1825"/>
      <c r="AQ1153" s="1825"/>
      <c r="AR1153" s="1825"/>
      <c r="AS1153" s="1825"/>
      <c r="AT1153" s="1825"/>
      <c r="AU1153" s="1825"/>
      <c r="AV1153" s="1825"/>
      <c r="AW1153" s="1825"/>
      <c r="AX1153" s="1825"/>
      <c r="AY1153" s="1825"/>
      <c r="AZ1153" s="1825"/>
      <c r="BA1153" s="1825"/>
      <c r="BB1153" s="1825"/>
      <c r="BC1153" s="1825"/>
      <c r="BD1153" s="1825"/>
      <c r="BE1153" s="1825"/>
      <c r="BF1153" s="1825"/>
      <c r="BG1153" s="1825"/>
      <c r="BH1153" s="1825"/>
      <c r="BI1153" s="1825"/>
      <c r="BJ1153" s="1825"/>
      <c r="BK1153" s="1825"/>
      <c r="BL1153" s="1825"/>
      <c r="BM1153" s="1825"/>
      <c r="BN1153" s="1825"/>
      <c r="BO1153" s="1825"/>
      <c r="BP1153" s="1825"/>
      <c r="BQ1153" s="1825"/>
      <c r="BR1153" s="1825"/>
      <c r="BS1153" s="1825"/>
      <c r="BT1153" s="1825"/>
      <c r="BU1153" s="1825"/>
      <c r="BV1153" s="1825"/>
      <c r="BW1153" s="1825"/>
      <c r="BX1153" s="1825"/>
      <c r="BY1153" s="1825"/>
      <c r="BZ1153" s="1825"/>
      <c r="CA1153" s="1825"/>
      <c r="CB1153" s="1825"/>
      <c r="CC1153" s="1825"/>
      <c r="CD1153" s="1825"/>
      <c r="CE1153" s="1825"/>
      <c r="CF1153" s="1825"/>
      <c r="CG1153" s="1825"/>
      <c r="CH1153" s="1825"/>
      <c r="CI1153" s="1825"/>
      <c r="CJ1153" s="1825"/>
      <c r="CK1153" s="1825"/>
    </row>
    <row r="1154" spans="1:89" s="729" customFormat="1" ht="16.5" customHeight="1" x14ac:dyDescent="0.2">
      <c r="A1154" s="692"/>
      <c r="B1154" s="1285"/>
      <c r="C1154" s="1437"/>
      <c r="D1154" s="739"/>
      <c r="E1154" s="1468"/>
      <c r="F1154" s="1466"/>
      <c r="G1154" s="1469"/>
      <c r="H1154" s="1414"/>
      <c r="I1154" s="1466"/>
      <c r="J1154" s="1466"/>
      <c r="K1154" s="1466"/>
      <c r="L1154" s="1466"/>
      <c r="M1154" s="1466"/>
      <c r="N1154" s="1466"/>
      <c r="O1154" s="1467"/>
      <c r="P1154" s="736"/>
      <c r="Q1154" s="1825"/>
      <c r="R1154" s="1825"/>
      <c r="S1154" s="1825"/>
      <c r="T1154" s="1825"/>
      <c r="U1154" s="1825"/>
      <c r="V1154" s="1825"/>
      <c r="W1154" s="1825"/>
      <c r="X1154" s="1825"/>
      <c r="Y1154" s="1825"/>
      <c r="Z1154" s="1825"/>
      <c r="AA1154" s="1825"/>
      <c r="AB1154" s="1825"/>
      <c r="AC1154" s="1825"/>
      <c r="AD1154" s="1825"/>
      <c r="AE1154" s="1825"/>
      <c r="AF1154" s="1825"/>
      <c r="AG1154" s="1825"/>
      <c r="AH1154" s="1825"/>
      <c r="AI1154" s="1825"/>
      <c r="AJ1154" s="1825"/>
      <c r="AK1154" s="1825"/>
      <c r="AL1154" s="1825"/>
      <c r="AM1154" s="1825"/>
      <c r="AN1154" s="1825"/>
      <c r="AO1154" s="1825"/>
      <c r="AP1154" s="1825"/>
      <c r="AQ1154" s="1825"/>
      <c r="AR1154" s="1825"/>
      <c r="AS1154" s="1825"/>
      <c r="AT1154" s="1825"/>
      <c r="AU1154" s="1825"/>
      <c r="AV1154" s="1825"/>
      <c r="AW1154" s="1825"/>
      <c r="AX1154" s="1825"/>
      <c r="AY1154" s="1825"/>
      <c r="AZ1154" s="1825"/>
      <c r="BA1154" s="1825"/>
      <c r="BB1154" s="1825"/>
      <c r="BC1154" s="1825"/>
      <c r="BD1154" s="1825"/>
      <c r="BE1154" s="1825"/>
      <c r="BF1154" s="1825"/>
      <c r="BG1154" s="1825"/>
      <c r="BH1154" s="1825"/>
      <c r="BI1154" s="1825"/>
      <c r="BJ1154" s="1825"/>
      <c r="BK1154" s="1825"/>
      <c r="BL1154" s="1825"/>
      <c r="BM1154" s="1825"/>
      <c r="BN1154" s="1825"/>
      <c r="BO1154" s="1825"/>
      <c r="BP1154" s="1825"/>
      <c r="BQ1154" s="1825"/>
      <c r="BR1154" s="1825"/>
      <c r="BS1154" s="1825"/>
      <c r="BT1154" s="1825"/>
      <c r="BU1154" s="1825"/>
      <c r="BV1154" s="1825"/>
      <c r="BW1154" s="1825"/>
      <c r="BX1154" s="1825"/>
      <c r="BY1154" s="1825"/>
      <c r="BZ1154" s="1825"/>
      <c r="CA1154" s="1825"/>
      <c r="CB1154" s="1825"/>
      <c r="CC1154" s="1825"/>
      <c r="CD1154" s="1825"/>
      <c r="CE1154" s="1825"/>
      <c r="CF1154" s="1825"/>
      <c r="CG1154" s="1825"/>
      <c r="CH1154" s="1825"/>
      <c r="CI1154" s="1825"/>
      <c r="CJ1154" s="1825"/>
      <c r="CK1154" s="1825"/>
    </row>
    <row r="1155" spans="1:89" s="729" customFormat="1" ht="16.5" customHeight="1" x14ac:dyDescent="0.2">
      <c r="A1155" s="692"/>
      <c r="B1155" s="1470" t="s">
        <v>1673</v>
      </c>
      <c r="C1155" s="1437"/>
      <c r="D1155" s="739"/>
      <c r="E1155" s="1468"/>
      <c r="F1155" s="1466"/>
      <c r="G1155" s="1469"/>
      <c r="H1155" s="1414"/>
      <c r="I1155" s="1466"/>
      <c r="J1155" s="1466"/>
      <c r="K1155" s="1466"/>
      <c r="L1155" s="1466"/>
      <c r="M1155" s="1466"/>
      <c r="N1155" s="1466"/>
      <c r="O1155" s="1467"/>
      <c r="P1155" s="736"/>
      <c r="Q1155" s="1825"/>
      <c r="R1155" s="1825"/>
      <c r="S1155" s="1825"/>
      <c r="T1155" s="1825"/>
      <c r="U1155" s="1825"/>
      <c r="V1155" s="1825"/>
      <c r="W1155" s="1825"/>
      <c r="X1155" s="1825"/>
      <c r="Y1155" s="1825"/>
      <c r="Z1155" s="1825"/>
      <c r="AA1155" s="1825"/>
      <c r="AB1155" s="1825"/>
      <c r="AC1155" s="1825"/>
      <c r="AD1155" s="1825"/>
      <c r="AE1155" s="1825"/>
      <c r="AF1155" s="1825"/>
      <c r="AG1155" s="1825"/>
      <c r="AH1155" s="1825"/>
      <c r="AI1155" s="1825"/>
      <c r="AJ1155" s="1825"/>
      <c r="AK1155" s="1825"/>
      <c r="AL1155" s="1825"/>
      <c r="AM1155" s="1825"/>
      <c r="AN1155" s="1825"/>
      <c r="AO1155" s="1825"/>
      <c r="AP1155" s="1825"/>
      <c r="AQ1155" s="1825"/>
      <c r="AR1155" s="1825"/>
      <c r="AS1155" s="1825"/>
      <c r="AT1155" s="1825"/>
      <c r="AU1155" s="1825"/>
      <c r="AV1155" s="1825"/>
      <c r="AW1155" s="1825"/>
      <c r="AX1155" s="1825"/>
      <c r="AY1155" s="1825"/>
      <c r="AZ1155" s="1825"/>
      <c r="BA1155" s="1825"/>
      <c r="BB1155" s="1825"/>
      <c r="BC1155" s="1825"/>
      <c r="BD1155" s="1825"/>
      <c r="BE1155" s="1825"/>
      <c r="BF1155" s="1825"/>
      <c r="BG1155" s="1825"/>
      <c r="BH1155" s="1825"/>
      <c r="BI1155" s="1825"/>
      <c r="BJ1155" s="1825"/>
      <c r="BK1155" s="1825"/>
      <c r="BL1155" s="1825"/>
      <c r="BM1155" s="1825"/>
      <c r="BN1155" s="1825"/>
      <c r="BO1155" s="1825"/>
      <c r="BP1155" s="1825"/>
      <c r="BQ1155" s="1825"/>
      <c r="BR1155" s="1825"/>
      <c r="BS1155" s="1825"/>
      <c r="BT1155" s="1825"/>
      <c r="BU1155" s="1825"/>
      <c r="BV1155" s="1825"/>
      <c r="BW1155" s="1825"/>
      <c r="BX1155" s="1825"/>
      <c r="BY1155" s="1825"/>
      <c r="BZ1155" s="1825"/>
      <c r="CA1155" s="1825"/>
      <c r="CB1155" s="1825"/>
      <c r="CC1155" s="1825"/>
      <c r="CD1155" s="1825"/>
      <c r="CE1155" s="1825"/>
      <c r="CF1155" s="1825"/>
      <c r="CG1155" s="1825"/>
      <c r="CH1155" s="1825"/>
      <c r="CI1155" s="1825"/>
      <c r="CJ1155" s="1825"/>
      <c r="CK1155" s="1825"/>
    </row>
    <row r="1156" spans="1:89" s="729" customFormat="1" ht="16.5" customHeight="1" x14ac:dyDescent="0.2">
      <c r="A1156" s="692"/>
      <c r="B1156" s="1371" t="s">
        <v>1683</v>
      </c>
      <c r="C1156" s="1471">
        <v>1</v>
      </c>
      <c r="D1156" s="739" t="s">
        <v>16</v>
      </c>
      <c r="E1156" s="1465">
        <v>750000</v>
      </c>
      <c r="F1156" s="1466"/>
      <c r="G1156" s="1469"/>
      <c r="H1156" s="1414"/>
      <c r="I1156" s="1466"/>
      <c r="J1156" s="1466"/>
      <c r="K1156" s="1466"/>
      <c r="L1156" s="1466">
        <f>C1156*E1156</f>
        <v>750000</v>
      </c>
      <c r="M1156" s="1466"/>
      <c r="N1156" s="1466">
        <f>L1156+M1156</f>
        <v>750000</v>
      </c>
      <c r="O1156" s="1467">
        <f>N1156+K1156+H1156</f>
        <v>750000</v>
      </c>
      <c r="P1156" s="736"/>
      <c r="Q1156" s="1825"/>
      <c r="R1156" s="1825"/>
      <c r="S1156" s="1825"/>
      <c r="T1156" s="1825"/>
      <c r="U1156" s="1825"/>
      <c r="V1156" s="1825"/>
      <c r="W1156" s="1825"/>
      <c r="X1156" s="1825"/>
      <c r="Y1156" s="1825"/>
      <c r="Z1156" s="1825"/>
      <c r="AA1156" s="1825"/>
      <c r="AB1156" s="1825"/>
      <c r="AC1156" s="1825"/>
      <c r="AD1156" s="1825"/>
      <c r="AE1156" s="1825"/>
      <c r="AF1156" s="1825"/>
      <c r="AG1156" s="1825"/>
      <c r="AH1156" s="1825"/>
      <c r="AI1156" s="1825"/>
      <c r="AJ1156" s="1825"/>
      <c r="AK1156" s="1825"/>
      <c r="AL1156" s="1825"/>
      <c r="AM1156" s="1825"/>
      <c r="AN1156" s="1825"/>
      <c r="AO1156" s="1825"/>
      <c r="AP1156" s="1825"/>
      <c r="AQ1156" s="1825"/>
      <c r="AR1156" s="1825"/>
      <c r="AS1156" s="1825"/>
      <c r="AT1156" s="1825"/>
      <c r="AU1156" s="1825"/>
      <c r="AV1156" s="1825"/>
      <c r="AW1156" s="1825"/>
      <c r="AX1156" s="1825"/>
      <c r="AY1156" s="1825"/>
      <c r="AZ1156" s="1825"/>
      <c r="BA1156" s="1825"/>
      <c r="BB1156" s="1825"/>
      <c r="BC1156" s="1825"/>
      <c r="BD1156" s="1825"/>
      <c r="BE1156" s="1825"/>
      <c r="BF1156" s="1825"/>
      <c r="BG1156" s="1825"/>
      <c r="BH1156" s="1825"/>
      <c r="BI1156" s="1825"/>
      <c r="BJ1156" s="1825"/>
      <c r="BK1156" s="1825"/>
      <c r="BL1156" s="1825"/>
      <c r="BM1156" s="1825"/>
      <c r="BN1156" s="1825"/>
      <c r="BO1156" s="1825"/>
      <c r="BP1156" s="1825"/>
      <c r="BQ1156" s="1825"/>
      <c r="BR1156" s="1825"/>
      <c r="BS1156" s="1825"/>
      <c r="BT1156" s="1825"/>
      <c r="BU1156" s="1825"/>
      <c r="BV1156" s="1825"/>
      <c r="BW1156" s="1825"/>
      <c r="BX1156" s="1825"/>
      <c r="BY1156" s="1825"/>
      <c r="BZ1156" s="1825"/>
      <c r="CA1156" s="1825"/>
      <c r="CB1156" s="1825"/>
      <c r="CC1156" s="1825"/>
      <c r="CD1156" s="1825"/>
      <c r="CE1156" s="1825"/>
      <c r="CF1156" s="1825"/>
      <c r="CG1156" s="1825"/>
      <c r="CH1156" s="1825"/>
      <c r="CI1156" s="1825"/>
      <c r="CJ1156" s="1825"/>
      <c r="CK1156" s="1825"/>
    </row>
    <row r="1157" spans="1:89" s="729" customFormat="1" ht="16.5" customHeight="1" x14ac:dyDescent="0.2">
      <c r="A1157" s="740"/>
      <c r="B1157" s="1472"/>
      <c r="C1157" s="1284"/>
      <c r="D1157" s="1473"/>
      <c r="E1157" s="1414"/>
      <c r="F1157" s="1414"/>
      <c r="G1157" s="1414"/>
      <c r="H1157" s="1414"/>
      <c r="I1157" s="1414"/>
      <c r="J1157" s="1414"/>
      <c r="K1157" s="1414"/>
      <c r="L1157" s="1414"/>
      <c r="M1157" s="1414"/>
      <c r="N1157" s="1414"/>
      <c r="O1157" s="1474">
        <f>N1157+K1157+H1157</f>
        <v>0</v>
      </c>
      <c r="P1157" s="1475"/>
      <c r="Q1157" s="1825"/>
      <c r="R1157" s="1825"/>
      <c r="S1157" s="1825"/>
      <c r="T1157" s="1825"/>
      <c r="U1157" s="1825"/>
      <c r="V1157" s="1825"/>
      <c r="W1157" s="1825"/>
      <c r="X1157" s="1825"/>
      <c r="Y1157" s="1825"/>
      <c r="Z1157" s="1825"/>
      <c r="AA1157" s="1825"/>
      <c r="AB1157" s="1825"/>
      <c r="AC1157" s="1825"/>
      <c r="AD1157" s="1825"/>
      <c r="AE1157" s="1825"/>
      <c r="AF1157" s="1825"/>
      <c r="AG1157" s="1825"/>
      <c r="AH1157" s="1825"/>
      <c r="AI1157" s="1825"/>
      <c r="AJ1157" s="1825"/>
      <c r="AK1157" s="1825"/>
      <c r="AL1157" s="1825"/>
      <c r="AM1157" s="1825"/>
      <c r="AN1157" s="1825"/>
      <c r="AO1157" s="1825"/>
      <c r="AP1157" s="1825"/>
      <c r="AQ1157" s="1825"/>
      <c r="AR1157" s="1825"/>
      <c r="AS1157" s="1825"/>
      <c r="AT1157" s="1825"/>
      <c r="AU1157" s="1825"/>
      <c r="AV1157" s="1825"/>
      <c r="AW1157" s="1825"/>
      <c r="AX1157" s="1825"/>
      <c r="AY1157" s="1825"/>
      <c r="AZ1157" s="1825"/>
      <c r="BA1157" s="1825"/>
      <c r="BB1157" s="1825"/>
      <c r="BC1157" s="1825"/>
      <c r="BD1157" s="1825"/>
      <c r="BE1157" s="1825"/>
      <c r="BF1157" s="1825"/>
      <c r="BG1157" s="1825"/>
      <c r="BH1157" s="1825"/>
      <c r="BI1157" s="1825"/>
      <c r="BJ1157" s="1825"/>
      <c r="BK1157" s="1825"/>
      <c r="BL1157" s="1825"/>
      <c r="BM1157" s="1825"/>
      <c r="BN1157" s="1825"/>
      <c r="BO1157" s="1825"/>
      <c r="BP1157" s="1825"/>
      <c r="BQ1157" s="1825"/>
      <c r="BR1157" s="1825"/>
      <c r="BS1157" s="1825"/>
      <c r="BT1157" s="1825"/>
      <c r="BU1157" s="1825"/>
      <c r="BV1157" s="1825"/>
      <c r="BW1157" s="1825"/>
      <c r="BX1157" s="1825"/>
      <c r="BY1157" s="1825"/>
      <c r="BZ1157" s="1825"/>
      <c r="CA1157" s="1825"/>
      <c r="CB1157" s="1825"/>
      <c r="CC1157" s="1825"/>
      <c r="CD1157" s="1825"/>
      <c r="CE1157" s="1825"/>
      <c r="CF1157" s="1825"/>
      <c r="CG1157" s="1825"/>
      <c r="CH1157" s="1825"/>
      <c r="CI1157" s="1825"/>
      <c r="CJ1157" s="1825"/>
      <c r="CK1157" s="1825"/>
    </row>
    <row r="1158" spans="1:89" s="1464" customFormat="1" ht="16.5" customHeight="1" x14ac:dyDescent="0.2">
      <c r="A1158" s="740" t="s">
        <v>618</v>
      </c>
      <c r="B1158" s="1472" t="s">
        <v>23</v>
      </c>
      <c r="C1158" s="1476"/>
      <c r="D1158" s="1477"/>
      <c r="E1158" s="1461"/>
      <c r="F1158" s="1461">
        <f>SUM(F1159:F1169)</f>
        <v>0</v>
      </c>
      <c r="G1158" s="1461">
        <f>SUM(G1159:G1169)</f>
        <v>0</v>
      </c>
      <c r="H1158" s="1461">
        <f>F1158+G1158</f>
        <v>0</v>
      </c>
      <c r="I1158" s="1461">
        <f>SUM(I1159:I1169)</f>
        <v>0</v>
      </c>
      <c r="J1158" s="1461">
        <f>SUM(J1159:J1169)</f>
        <v>2599271</v>
      </c>
      <c r="K1158" s="1461">
        <f>I1158+J1158</f>
        <v>2599271</v>
      </c>
      <c r="L1158" s="1461"/>
      <c r="M1158" s="1461">
        <f>SUM(M1159:M1169)</f>
        <v>0</v>
      </c>
      <c r="N1158" s="1461">
        <f>N1169+N1160</f>
        <v>0</v>
      </c>
      <c r="O1158" s="1478">
        <f>N1158+K1158+H1158</f>
        <v>2599271</v>
      </c>
      <c r="P1158" s="1479"/>
      <c r="Q1158" s="1826"/>
      <c r="R1158" s="1826"/>
      <c r="S1158" s="1826"/>
      <c r="T1158" s="1826"/>
      <c r="U1158" s="1826"/>
      <c r="V1158" s="1826"/>
      <c r="W1158" s="1826"/>
      <c r="X1158" s="1826"/>
      <c r="Y1158" s="1826"/>
      <c r="Z1158" s="1826"/>
      <c r="AA1158" s="1826"/>
      <c r="AB1158" s="1826"/>
      <c r="AC1158" s="1826"/>
      <c r="AD1158" s="1826"/>
      <c r="AE1158" s="1826"/>
      <c r="AF1158" s="1826"/>
      <c r="AG1158" s="1826"/>
      <c r="AH1158" s="1826"/>
      <c r="AI1158" s="1826"/>
      <c r="AJ1158" s="1826"/>
      <c r="AK1158" s="1826"/>
      <c r="AL1158" s="1826"/>
      <c r="AM1158" s="1826"/>
      <c r="AN1158" s="1826"/>
      <c r="AO1158" s="1826"/>
      <c r="AP1158" s="1826"/>
      <c r="AQ1158" s="1826"/>
      <c r="AR1158" s="1826"/>
      <c r="AS1158" s="1826"/>
      <c r="AT1158" s="1826"/>
      <c r="AU1158" s="1826"/>
      <c r="AV1158" s="1826"/>
      <c r="AW1158" s="1826"/>
      <c r="AX1158" s="1826"/>
      <c r="AY1158" s="1826"/>
      <c r="AZ1158" s="1826"/>
      <c r="BA1158" s="1826"/>
      <c r="BB1158" s="1826"/>
      <c r="BC1158" s="1826"/>
      <c r="BD1158" s="1826"/>
      <c r="BE1158" s="1826"/>
      <c r="BF1158" s="1826"/>
      <c r="BG1158" s="1826"/>
      <c r="BH1158" s="1826"/>
      <c r="BI1158" s="1826"/>
      <c r="BJ1158" s="1826"/>
      <c r="BK1158" s="1826"/>
      <c r="BL1158" s="1826"/>
      <c r="BM1158" s="1826"/>
      <c r="BN1158" s="1826"/>
      <c r="BO1158" s="1826"/>
      <c r="BP1158" s="1826"/>
      <c r="BQ1158" s="1826"/>
      <c r="BR1158" s="1826"/>
      <c r="BS1158" s="1826"/>
      <c r="BT1158" s="1826"/>
      <c r="BU1158" s="1826"/>
      <c r="BV1158" s="1826"/>
      <c r="BW1158" s="1826"/>
      <c r="BX1158" s="1826"/>
      <c r="BY1158" s="1826"/>
      <c r="BZ1158" s="1826"/>
      <c r="CA1158" s="1826"/>
      <c r="CB1158" s="1826"/>
      <c r="CC1158" s="1826"/>
      <c r="CD1158" s="1826"/>
      <c r="CE1158" s="1826"/>
      <c r="CF1158" s="1826"/>
      <c r="CG1158" s="1826"/>
      <c r="CH1158" s="1826"/>
      <c r="CI1158" s="1826"/>
      <c r="CJ1158" s="1826"/>
      <c r="CK1158" s="1826"/>
    </row>
    <row r="1159" spans="1:89" s="729" customFormat="1" ht="16.5" customHeight="1" x14ac:dyDescent="0.2">
      <c r="A1159" s="692">
        <v>1</v>
      </c>
      <c r="B1159" s="1480" t="s">
        <v>21</v>
      </c>
      <c r="C1159" s="1284"/>
      <c r="D1159" s="1473"/>
      <c r="E1159" s="1414"/>
      <c r="F1159" s="1414"/>
      <c r="G1159" s="1414"/>
      <c r="H1159" s="1414"/>
      <c r="I1159" s="1414"/>
      <c r="J1159" s="1414"/>
      <c r="K1159" s="1414"/>
      <c r="L1159" s="1414"/>
      <c r="M1159" s="1414"/>
      <c r="N1159" s="1414"/>
      <c r="O1159" s="1474">
        <f>N1159+K1159+H1159</f>
        <v>0</v>
      </c>
      <c r="P1159" s="1475"/>
      <c r="Q1159" s="1825"/>
      <c r="R1159" s="1825"/>
      <c r="S1159" s="1825"/>
      <c r="T1159" s="1825"/>
      <c r="U1159" s="1825"/>
      <c r="V1159" s="1825"/>
      <c r="W1159" s="1825"/>
      <c r="X1159" s="1825"/>
      <c r="Y1159" s="1825"/>
      <c r="Z1159" s="1825"/>
      <c r="AA1159" s="1825"/>
      <c r="AB1159" s="1825"/>
      <c r="AC1159" s="1825"/>
      <c r="AD1159" s="1825"/>
      <c r="AE1159" s="1825"/>
      <c r="AF1159" s="1825"/>
      <c r="AG1159" s="1825"/>
      <c r="AH1159" s="1825"/>
      <c r="AI1159" s="1825"/>
      <c r="AJ1159" s="1825"/>
      <c r="AK1159" s="1825"/>
      <c r="AL1159" s="1825"/>
      <c r="AM1159" s="1825"/>
      <c r="AN1159" s="1825"/>
      <c r="AO1159" s="1825"/>
      <c r="AP1159" s="1825"/>
      <c r="AQ1159" s="1825"/>
      <c r="AR1159" s="1825"/>
      <c r="AS1159" s="1825"/>
      <c r="AT1159" s="1825"/>
      <c r="AU1159" s="1825"/>
      <c r="AV1159" s="1825"/>
      <c r="AW1159" s="1825"/>
      <c r="AX1159" s="1825"/>
      <c r="AY1159" s="1825"/>
      <c r="AZ1159" s="1825"/>
      <c r="BA1159" s="1825"/>
      <c r="BB1159" s="1825"/>
      <c r="BC1159" s="1825"/>
      <c r="BD1159" s="1825"/>
      <c r="BE1159" s="1825"/>
      <c r="BF1159" s="1825"/>
      <c r="BG1159" s="1825"/>
      <c r="BH1159" s="1825"/>
      <c r="BI1159" s="1825"/>
      <c r="BJ1159" s="1825"/>
      <c r="BK1159" s="1825"/>
      <c r="BL1159" s="1825"/>
      <c r="BM1159" s="1825"/>
      <c r="BN1159" s="1825"/>
      <c r="BO1159" s="1825"/>
      <c r="BP1159" s="1825"/>
      <c r="BQ1159" s="1825"/>
      <c r="BR1159" s="1825"/>
      <c r="BS1159" s="1825"/>
      <c r="BT1159" s="1825"/>
      <c r="BU1159" s="1825"/>
      <c r="BV1159" s="1825"/>
      <c r="BW1159" s="1825"/>
      <c r="BX1159" s="1825"/>
      <c r="BY1159" s="1825"/>
      <c r="BZ1159" s="1825"/>
      <c r="CA1159" s="1825"/>
      <c r="CB1159" s="1825"/>
      <c r="CC1159" s="1825"/>
      <c r="CD1159" s="1825"/>
      <c r="CE1159" s="1825"/>
      <c r="CF1159" s="1825"/>
      <c r="CG1159" s="1825"/>
      <c r="CH1159" s="1825"/>
      <c r="CI1159" s="1825"/>
      <c r="CJ1159" s="1825"/>
      <c r="CK1159" s="1825"/>
    </row>
    <row r="1160" spans="1:89" s="729" customFormat="1" ht="16.5" customHeight="1" x14ac:dyDescent="0.2">
      <c r="A1160" s="692"/>
      <c r="B1160" s="1285" t="s">
        <v>1521</v>
      </c>
      <c r="C1160" s="1284">
        <v>1</v>
      </c>
      <c r="D1160" s="1473" t="s">
        <v>25</v>
      </c>
      <c r="E1160" s="1414">
        <v>2549271</v>
      </c>
      <c r="F1160" s="1414"/>
      <c r="G1160" s="1414"/>
      <c r="H1160" s="1414"/>
      <c r="I1160" s="1414"/>
      <c r="J1160" s="1414">
        <f>E1160*C1160</f>
        <v>2549271</v>
      </c>
      <c r="K1160" s="1414">
        <f>I1160+J1160</f>
        <v>2549271</v>
      </c>
      <c r="L1160" s="1414"/>
      <c r="M1160" s="1414"/>
      <c r="N1160" s="1414"/>
      <c r="O1160" s="1474">
        <f>N1160+K1160+H1160</f>
        <v>2549271</v>
      </c>
      <c r="P1160" s="1475"/>
      <c r="Q1160" s="1825"/>
      <c r="R1160" s="1825"/>
      <c r="S1160" s="1825"/>
      <c r="T1160" s="1825"/>
      <c r="U1160" s="1825"/>
      <c r="V1160" s="1825"/>
      <c r="W1160" s="1825"/>
      <c r="X1160" s="1825"/>
      <c r="Y1160" s="1825"/>
      <c r="Z1160" s="1825"/>
      <c r="AA1160" s="1825"/>
      <c r="AB1160" s="1825"/>
      <c r="AC1160" s="1825"/>
      <c r="AD1160" s="1825"/>
      <c r="AE1160" s="1825"/>
      <c r="AF1160" s="1825"/>
      <c r="AG1160" s="1825"/>
      <c r="AH1160" s="1825"/>
      <c r="AI1160" s="1825"/>
      <c r="AJ1160" s="1825"/>
      <c r="AK1160" s="1825"/>
      <c r="AL1160" s="1825"/>
      <c r="AM1160" s="1825"/>
      <c r="AN1160" s="1825"/>
      <c r="AO1160" s="1825"/>
      <c r="AP1160" s="1825"/>
      <c r="AQ1160" s="1825"/>
      <c r="AR1160" s="1825"/>
      <c r="AS1160" s="1825"/>
      <c r="AT1160" s="1825"/>
      <c r="AU1160" s="1825"/>
      <c r="AV1160" s="1825"/>
      <c r="AW1160" s="1825"/>
      <c r="AX1160" s="1825"/>
      <c r="AY1160" s="1825"/>
      <c r="AZ1160" s="1825"/>
      <c r="BA1160" s="1825"/>
      <c r="BB1160" s="1825"/>
      <c r="BC1160" s="1825"/>
      <c r="BD1160" s="1825"/>
      <c r="BE1160" s="1825"/>
      <c r="BF1160" s="1825"/>
      <c r="BG1160" s="1825"/>
      <c r="BH1160" s="1825"/>
      <c r="BI1160" s="1825"/>
      <c r="BJ1160" s="1825"/>
      <c r="BK1160" s="1825"/>
      <c r="BL1160" s="1825"/>
      <c r="BM1160" s="1825"/>
      <c r="BN1160" s="1825"/>
      <c r="BO1160" s="1825"/>
      <c r="BP1160" s="1825"/>
      <c r="BQ1160" s="1825"/>
      <c r="BR1160" s="1825"/>
      <c r="BS1160" s="1825"/>
      <c r="BT1160" s="1825"/>
      <c r="BU1160" s="1825"/>
      <c r="BV1160" s="1825"/>
      <c r="BW1160" s="1825"/>
      <c r="BX1160" s="1825"/>
      <c r="BY1160" s="1825"/>
      <c r="BZ1160" s="1825"/>
      <c r="CA1160" s="1825"/>
      <c r="CB1160" s="1825"/>
      <c r="CC1160" s="1825"/>
      <c r="CD1160" s="1825"/>
      <c r="CE1160" s="1825"/>
      <c r="CF1160" s="1825"/>
      <c r="CG1160" s="1825"/>
      <c r="CH1160" s="1825"/>
      <c r="CI1160" s="1825"/>
      <c r="CJ1160" s="1825"/>
      <c r="CK1160" s="1825"/>
    </row>
    <row r="1161" spans="1:89" s="729" customFormat="1" ht="16.5" customHeight="1" x14ac:dyDescent="0.2">
      <c r="A1161" s="692"/>
      <c r="B1161" s="1780" t="s">
        <v>1981</v>
      </c>
      <c r="C1161" s="1284"/>
      <c r="D1161" s="1473"/>
      <c r="E1161" s="1414"/>
      <c r="F1161" s="1414"/>
      <c r="G1161" s="1414"/>
      <c r="H1161" s="1414"/>
      <c r="I1161" s="1414"/>
      <c r="J1161" s="1414"/>
      <c r="K1161" s="1414"/>
      <c r="L1161" s="1414"/>
      <c r="M1161" s="1414"/>
      <c r="N1161" s="1414"/>
      <c r="O1161" s="1474"/>
      <c r="P1161" s="1475"/>
      <c r="Q1161" s="1825"/>
      <c r="R1161" s="1825"/>
      <c r="S1161" s="1825"/>
      <c r="T1161" s="1825"/>
      <c r="U1161" s="1825"/>
      <c r="V1161" s="1825"/>
      <c r="W1161" s="1825"/>
      <c r="X1161" s="1825"/>
      <c r="Y1161" s="1825"/>
      <c r="Z1161" s="1825"/>
      <c r="AA1161" s="1825"/>
      <c r="AB1161" s="1825"/>
      <c r="AC1161" s="1825"/>
      <c r="AD1161" s="1825"/>
      <c r="AE1161" s="1825"/>
      <c r="AF1161" s="1825"/>
      <c r="AG1161" s="1825"/>
      <c r="AH1161" s="1825"/>
      <c r="AI1161" s="1825"/>
      <c r="AJ1161" s="1825"/>
      <c r="AK1161" s="1825"/>
      <c r="AL1161" s="1825"/>
      <c r="AM1161" s="1825"/>
      <c r="AN1161" s="1825"/>
      <c r="AO1161" s="1825"/>
      <c r="AP1161" s="1825"/>
      <c r="AQ1161" s="1825"/>
      <c r="AR1161" s="1825"/>
      <c r="AS1161" s="1825"/>
      <c r="AT1161" s="1825"/>
      <c r="AU1161" s="1825"/>
      <c r="AV1161" s="1825"/>
      <c r="AW1161" s="1825"/>
      <c r="AX1161" s="1825"/>
      <c r="AY1161" s="1825"/>
      <c r="AZ1161" s="1825"/>
      <c r="BA1161" s="1825"/>
      <c r="BB1161" s="1825"/>
      <c r="BC1161" s="1825"/>
      <c r="BD1161" s="1825"/>
      <c r="BE1161" s="1825"/>
      <c r="BF1161" s="1825"/>
      <c r="BG1161" s="1825"/>
      <c r="BH1161" s="1825"/>
      <c r="BI1161" s="1825"/>
      <c r="BJ1161" s="1825"/>
      <c r="BK1161" s="1825"/>
      <c r="BL1161" s="1825"/>
      <c r="BM1161" s="1825"/>
      <c r="BN1161" s="1825"/>
      <c r="BO1161" s="1825"/>
      <c r="BP1161" s="1825"/>
      <c r="BQ1161" s="1825"/>
      <c r="BR1161" s="1825"/>
      <c r="BS1161" s="1825"/>
      <c r="BT1161" s="1825"/>
      <c r="BU1161" s="1825"/>
      <c r="BV1161" s="1825"/>
      <c r="BW1161" s="1825"/>
      <c r="BX1161" s="1825"/>
      <c r="BY1161" s="1825"/>
      <c r="BZ1161" s="1825"/>
      <c r="CA1161" s="1825"/>
      <c r="CB1161" s="1825"/>
      <c r="CC1161" s="1825"/>
      <c r="CD1161" s="1825"/>
      <c r="CE1161" s="1825"/>
      <c r="CF1161" s="1825"/>
      <c r="CG1161" s="1825"/>
      <c r="CH1161" s="1825"/>
      <c r="CI1161" s="1825"/>
      <c r="CJ1161" s="1825"/>
      <c r="CK1161" s="1825"/>
    </row>
    <row r="1162" spans="1:89" s="729" customFormat="1" ht="16.5" customHeight="1" x14ac:dyDescent="0.2">
      <c r="A1162" s="692"/>
      <c r="B1162" s="1780" t="s">
        <v>1982</v>
      </c>
      <c r="C1162" s="1284"/>
      <c r="D1162" s="1473"/>
      <c r="E1162" s="1414"/>
      <c r="F1162" s="1414"/>
      <c r="G1162" s="1414"/>
      <c r="H1162" s="1414"/>
      <c r="I1162" s="1414"/>
      <c r="J1162" s="1414"/>
      <c r="K1162" s="1414"/>
      <c r="L1162" s="1414"/>
      <c r="M1162" s="1414"/>
      <c r="N1162" s="1414"/>
      <c r="O1162" s="1474"/>
      <c r="P1162" s="1475"/>
      <c r="Q1162" s="1825"/>
      <c r="R1162" s="1825"/>
      <c r="S1162" s="1825"/>
      <c r="T1162" s="1825"/>
      <c r="U1162" s="1825"/>
      <c r="V1162" s="1825"/>
      <c r="W1162" s="1825"/>
      <c r="X1162" s="1825"/>
      <c r="Y1162" s="1825"/>
      <c r="Z1162" s="1825"/>
      <c r="AA1162" s="1825"/>
      <c r="AB1162" s="1825"/>
      <c r="AC1162" s="1825"/>
      <c r="AD1162" s="1825"/>
      <c r="AE1162" s="1825"/>
      <c r="AF1162" s="1825"/>
      <c r="AG1162" s="1825"/>
      <c r="AH1162" s="1825"/>
      <c r="AI1162" s="1825"/>
      <c r="AJ1162" s="1825"/>
      <c r="AK1162" s="1825"/>
      <c r="AL1162" s="1825"/>
      <c r="AM1162" s="1825"/>
      <c r="AN1162" s="1825"/>
      <c r="AO1162" s="1825"/>
      <c r="AP1162" s="1825"/>
      <c r="AQ1162" s="1825"/>
      <c r="AR1162" s="1825"/>
      <c r="AS1162" s="1825"/>
      <c r="AT1162" s="1825"/>
      <c r="AU1162" s="1825"/>
      <c r="AV1162" s="1825"/>
      <c r="AW1162" s="1825"/>
      <c r="AX1162" s="1825"/>
      <c r="AY1162" s="1825"/>
      <c r="AZ1162" s="1825"/>
      <c r="BA1162" s="1825"/>
      <c r="BB1162" s="1825"/>
      <c r="BC1162" s="1825"/>
      <c r="BD1162" s="1825"/>
      <c r="BE1162" s="1825"/>
      <c r="BF1162" s="1825"/>
      <c r="BG1162" s="1825"/>
      <c r="BH1162" s="1825"/>
      <c r="BI1162" s="1825"/>
      <c r="BJ1162" s="1825"/>
      <c r="BK1162" s="1825"/>
      <c r="BL1162" s="1825"/>
      <c r="BM1162" s="1825"/>
      <c r="BN1162" s="1825"/>
      <c r="BO1162" s="1825"/>
      <c r="BP1162" s="1825"/>
      <c r="BQ1162" s="1825"/>
      <c r="BR1162" s="1825"/>
      <c r="BS1162" s="1825"/>
      <c r="BT1162" s="1825"/>
      <c r="BU1162" s="1825"/>
      <c r="BV1162" s="1825"/>
      <c r="BW1162" s="1825"/>
      <c r="BX1162" s="1825"/>
      <c r="BY1162" s="1825"/>
      <c r="BZ1162" s="1825"/>
      <c r="CA1162" s="1825"/>
      <c r="CB1162" s="1825"/>
      <c r="CC1162" s="1825"/>
      <c r="CD1162" s="1825"/>
      <c r="CE1162" s="1825"/>
      <c r="CF1162" s="1825"/>
      <c r="CG1162" s="1825"/>
      <c r="CH1162" s="1825"/>
      <c r="CI1162" s="1825"/>
      <c r="CJ1162" s="1825"/>
      <c r="CK1162" s="1825"/>
    </row>
    <row r="1163" spans="1:89" s="729" customFormat="1" ht="16.5" customHeight="1" x14ac:dyDescent="0.2">
      <c r="A1163" s="692"/>
      <c r="B1163" s="1780" t="s">
        <v>1983</v>
      </c>
      <c r="C1163" s="1284"/>
      <c r="D1163" s="1473"/>
      <c r="E1163" s="1414"/>
      <c r="F1163" s="1414"/>
      <c r="G1163" s="1414"/>
      <c r="H1163" s="1414"/>
      <c r="I1163" s="1414"/>
      <c r="J1163" s="1414"/>
      <c r="K1163" s="1414"/>
      <c r="L1163" s="1414"/>
      <c r="M1163" s="1414"/>
      <c r="N1163" s="1414"/>
      <c r="O1163" s="1474"/>
      <c r="P1163" s="1475"/>
      <c r="Q1163" s="1825"/>
      <c r="R1163" s="1825"/>
      <c r="S1163" s="1825"/>
      <c r="T1163" s="1825"/>
      <c r="U1163" s="1825"/>
      <c r="V1163" s="1825"/>
      <c r="W1163" s="1825"/>
      <c r="X1163" s="1825"/>
      <c r="Y1163" s="1825"/>
      <c r="Z1163" s="1825"/>
      <c r="AA1163" s="1825"/>
      <c r="AB1163" s="1825"/>
      <c r="AC1163" s="1825"/>
      <c r="AD1163" s="1825"/>
      <c r="AE1163" s="1825"/>
      <c r="AF1163" s="1825"/>
      <c r="AG1163" s="1825"/>
      <c r="AH1163" s="1825"/>
      <c r="AI1163" s="1825"/>
      <c r="AJ1163" s="1825"/>
      <c r="AK1163" s="1825"/>
      <c r="AL1163" s="1825"/>
      <c r="AM1163" s="1825"/>
      <c r="AN1163" s="1825"/>
      <c r="AO1163" s="1825"/>
      <c r="AP1163" s="1825"/>
      <c r="AQ1163" s="1825"/>
      <c r="AR1163" s="1825"/>
      <c r="AS1163" s="1825"/>
      <c r="AT1163" s="1825"/>
      <c r="AU1163" s="1825"/>
      <c r="AV1163" s="1825"/>
      <c r="AW1163" s="1825"/>
      <c r="AX1163" s="1825"/>
      <c r="AY1163" s="1825"/>
      <c r="AZ1163" s="1825"/>
      <c r="BA1163" s="1825"/>
      <c r="BB1163" s="1825"/>
      <c r="BC1163" s="1825"/>
      <c r="BD1163" s="1825"/>
      <c r="BE1163" s="1825"/>
      <c r="BF1163" s="1825"/>
      <c r="BG1163" s="1825"/>
      <c r="BH1163" s="1825"/>
      <c r="BI1163" s="1825"/>
      <c r="BJ1163" s="1825"/>
      <c r="BK1163" s="1825"/>
      <c r="BL1163" s="1825"/>
      <c r="BM1163" s="1825"/>
      <c r="BN1163" s="1825"/>
      <c r="BO1163" s="1825"/>
      <c r="BP1163" s="1825"/>
      <c r="BQ1163" s="1825"/>
      <c r="BR1163" s="1825"/>
      <c r="BS1163" s="1825"/>
      <c r="BT1163" s="1825"/>
      <c r="BU1163" s="1825"/>
      <c r="BV1163" s="1825"/>
      <c r="BW1163" s="1825"/>
      <c r="BX1163" s="1825"/>
      <c r="BY1163" s="1825"/>
      <c r="BZ1163" s="1825"/>
      <c r="CA1163" s="1825"/>
      <c r="CB1163" s="1825"/>
      <c r="CC1163" s="1825"/>
      <c r="CD1163" s="1825"/>
      <c r="CE1163" s="1825"/>
      <c r="CF1163" s="1825"/>
      <c r="CG1163" s="1825"/>
      <c r="CH1163" s="1825"/>
      <c r="CI1163" s="1825"/>
      <c r="CJ1163" s="1825"/>
      <c r="CK1163" s="1825"/>
    </row>
    <row r="1164" spans="1:89" s="729" customFormat="1" ht="16.5" customHeight="1" x14ac:dyDescent="0.2">
      <c r="A1164" s="692"/>
      <c r="B1164" s="1780" t="s">
        <v>1984</v>
      </c>
      <c r="C1164" s="1284"/>
      <c r="D1164" s="1473"/>
      <c r="E1164" s="1414"/>
      <c r="F1164" s="1414"/>
      <c r="G1164" s="1414"/>
      <c r="H1164" s="1414"/>
      <c r="I1164" s="1414"/>
      <c r="J1164" s="1414"/>
      <c r="K1164" s="1414"/>
      <c r="L1164" s="1414"/>
      <c r="M1164" s="1414"/>
      <c r="N1164" s="1414"/>
      <c r="O1164" s="1474"/>
      <c r="P1164" s="1475"/>
      <c r="Q1164" s="1825"/>
      <c r="R1164" s="1825"/>
      <c r="S1164" s="1825"/>
      <c r="T1164" s="1825"/>
      <c r="U1164" s="1825"/>
      <c r="V1164" s="1825"/>
      <c r="W1164" s="1825"/>
      <c r="X1164" s="1825"/>
      <c r="Y1164" s="1825"/>
      <c r="Z1164" s="1825"/>
      <c r="AA1164" s="1825"/>
      <c r="AB1164" s="1825"/>
      <c r="AC1164" s="1825"/>
      <c r="AD1164" s="1825"/>
      <c r="AE1164" s="1825"/>
      <c r="AF1164" s="1825"/>
      <c r="AG1164" s="1825"/>
      <c r="AH1164" s="1825"/>
      <c r="AI1164" s="1825"/>
      <c r="AJ1164" s="1825"/>
      <c r="AK1164" s="1825"/>
      <c r="AL1164" s="1825"/>
      <c r="AM1164" s="1825"/>
      <c r="AN1164" s="1825"/>
      <c r="AO1164" s="1825"/>
      <c r="AP1164" s="1825"/>
      <c r="AQ1164" s="1825"/>
      <c r="AR1164" s="1825"/>
      <c r="AS1164" s="1825"/>
      <c r="AT1164" s="1825"/>
      <c r="AU1164" s="1825"/>
      <c r="AV1164" s="1825"/>
      <c r="AW1164" s="1825"/>
      <c r="AX1164" s="1825"/>
      <c r="AY1164" s="1825"/>
      <c r="AZ1164" s="1825"/>
      <c r="BA1164" s="1825"/>
      <c r="BB1164" s="1825"/>
      <c r="BC1164" s="1825"/>
      <c r="BD1164" s="1825"/>
      <c r="BE1164" s="1825"/>
      <c r="BF1164" s="1825"/>
      <c r="BG1164" s="1825"/>
      <c r="BH1164" s="1825"/>
      <c r="BI1164" s="1825"/>
      <c r="BJ1164" s="1825"/>
      <c r="BK1164" s="1825"/>
      <c r="BL1164" s="1825"/>
      <c r="BM1164" s="1825"/>
      <c r="BN1164" s="1825"/>
      <c r="BO1164" s="1825"/>
      <c r="BP1164" s="1825"/>
      <c r="BQ1164" s="1825"/>
      <c r="BR1164" s="1825"/>
      <c r="BS1164" s="1825"/>
      <c r="BT1164" s="1825"/>
      <c r="BU1164" s="1825"/>
      <c r="BV1164" s="1825"/>
      <c r="BW1164" s="1825"/>
      <c r="BX1164" s="1825"/>
      <c r="BY1164" s="1825"/>
      <c r="BZ1164" s="1825"/>
      <c r="CA1164" s="1825"/>
      <c r="CB1164" s="1825"/>
      <c r="CC1164" s="1825"/>
      <c r="CD1164" s="1825"/>
      <c r="CE1164" s="1825"/>
      <c r="CF1164" s="1825"/>
      <c r="CG1164" s="1825"/>
      <c r="CH1164" s="1825"/>
      <c r="CI1164" s="1825"/>
      <c r="CJ1164" s="1825"/>
      <c r="CK1164" s="1825"/>
    </row>
    <row r="1165" spans="1:89" s="729" customFormat="1" ht="16.5" customHeight="1" x14ac:dyDescent="0.2">
      <c r="A1165" s="692"/>
      <c r="B1165" s="1780" t="s">
        <v>1985</v>
      </c>
      <c r="C1165" s="1284"/>
      <c r="D1165" s="1473"/>
      <c r="E1165" s="1414"/>
      <c r="F1165" s="1414"/>
      <c r="G1165" s="1414"/>
      <c r="H1165" s="1414"/>
      <c r="I1165" s="1414"/>
      <c r="J1165" s="1414"/>
      <c r="K1165" s="1414"/>
      <c r="L1165" s="1414"/>
      <c r="M1165" s="1414"/>
      <c r="N1165" s="1414"/>
      <c r="O1165" s="1474"/>
      <c r="P1165" s="1475"/>
      <c r="Q1165" s="1825"/>
      <c r="R1165" s="1825"/>
      <c r="S1165" s="1825"/>
      <c r="T1165" s="1825"/>
      <c r="U1165" s="1825"/>
      <c r="V1165" s="1825"/>
      <c r="W1165" s="1825"/>
      <c r="X1165" s="1825"/>
      <c r="Y1165" s="1825"/>
      <c r="Z1165" s="1825"/>
      <c r="AA1165" s="1825"/>
      <c r="AB1165" s="1825"/>
      <c r="AC1165" s="1825"/>
      <c r="AD1165" s="1825"/>
      <c r="AE1165" s="1825"/>
      <c r="AF1165" s="1825"/>
      <c r="AG1165" s="1825"/>
      <c r="AH1165" s="1825"/>
      <c r="AI1165" s="1825"/>
      <c r="AJ1165" s="1825"/>
      <c r="AK1165" s="1825"/>
      <c r="AL1165" s="1825"/>
      <c r="AM1165" s="1825"/>
      <c r="AN1165" s="1825"/>
      <c r="AO1165" s="1825"/>
      <c r="AP1165" s="1825"/>
      <c r="AQ1165" s="1825"/>
      <c r="AR1165" s="1825"/>
      <c r="AS1165" s="1825"/>
      <c r="AT1165" s="1825"/>
      <c r="AU1165" s="1825"/>
      <c r="AV1165" s="1825"/>
      <c r="AW1165" s="1825"/>
      <c r="AX1165" s="1825"/>
      <c r="AY1165" s="1825"/>
      <c r="AZ1165" s="1825"/>
      <c r="BA1165" s="1825"/>
      <c r="BB1165" s="1825"/>
      <c r="BC1165" s="1825"/>
      <c r="BD1165" s="1825"/>
      <c r="BE1165" s="1825"/>
      <c r="BF1165" s="1825"/>
      <c r="BG1165" s="1825"/>
      <c r="BH1165" s="1825"/>
      <c r="BI1165" s="1825"/>
      <c r="BJ1165" s="1825"/>
      <c r="BK1165" s="1825"/>
      <c r="BL1165" s="1825"/>
      <c r="BM1165" s="1825"/>
      <c r="BN1165" s="1825"/>
      <c r="BO1165" s="1825"/>
      <c r="BP1165" s="1825"/>
      <c r="BQ1165" s="1825"/>
      <c r="BR1165" s="1825"/>
      <c r="BS1165" s="1825"/>
      <c r="BT1165" s="1825"/>
      <c r="BU1165" s="1825"/>
      <c r="BV1165" s="1825"/>
      <c r="BW1165" s="1825"/>
      <c r="BX1165" s="1825"/>
      <c r="BY1165" s="1825"/>
      <c r="BZ1165" s="1825"/>
      <c r="CA1165" s="1825"/>
      <c r="CB1165" s="1825"/>
      <c r="CC1165" s="1825"/>
      <c r="CD1165" s="1825"/>
      <c r="CE1165" s="1825"/>
      <c r="CF1165" s="1825"/>
      <c r="CG1165" s="1825"/>
      <c r="CH1165" s="1825"/>
      <c r="CI1165" s="1825"/>
      <c r="CJ1165" s="1825"/>
      <c r="CK1165" s="1825"/>
    </row>
    <row r="1166" spans="1:89" s="729" customFormat="1" ht="16.5" customHeight="1" x14ac:dyDescent="0.2">
      <c r="A1166" s="692"/>
      <c r="B1166" s="1795" t="s">
        <v>1986</v>
      </c>
      <c r="C1166" s="1284"/>
      <c r="D1166" s="1473"/>
      <c r="E1166" s="1414"/>
      <c r="F1166" s="1414"/>
      <c r="G1166" s="1414"/>
      <c r="H1166" s="1414"/>
      <c r="I1166" s="1414"/>
      <c r="J1166" s="1414"/>
      <c r="K1166" s="1414"/>
      <c r="L1166" s="1414"/>
      <c r="M1166" s="1414"/>
      <c r="N1166" s="1414"/>
      <c r="O1166" s="1474"/>
      <c r="P1166" s="1475"/>
      <c r="Q1166" s="1825"/>
      <c r="R1166" s="1825"/>
      <c r="S1166" s="1825"/>
      <c r="T1166" s="1825"/>
      <c r="U1166" s="1825"/>
      <c r="V1166" s="1825"/>
      <c r="W1166" s="1825"/>
      <c r="X1166" s="1825"/>
      <c r="Y1166" s="1825"/>
      <c r="Z1166" s="1825"/>
      <c r="AA1166" s="1825"/>
      <c r="AB1166" s="1825"/>
      <c r="AC1166" s="1825"/>
      <c r="AD1166" s="1825"/>
      <c r="AE1166" s="1825"/>
      <c r="AF1166" s="1825"/>
      <c r="AG1166" s="1825"/>
      <c r="AH1166" s="1825"/>
      <c r="AI1166" s="1825"/>
      <c r="AJ1166" s="1825"/>
      <c r="AK1166" s="1825"/>
      <c r="AL1166" s="1825"/>
      <c r="AM1166" s="1825"/>
      <c r="AN1166" s="1825"/>
      <c r="AO1166" s="1825"/>
      <c r="AP1166" s="1825"/>
      <c r="AQ1166" s="1825"/>
      <c r="AR1166" s="1825"/>
      <c r="AS1166" s="1825"/>
      <c r="AT1166" s="1825"/>
      <c r="AU1166" s="1825"/>
      <c r="AV1166" s="1825"/>
      <c r="AW1166" s="1825"/>
      <c r="AX1166" s="1825"/>
      <c r="AY1166" s="1825"/>
      <c r="AZ1166" s="1825"/>
      <c r="BA1166" s="1825"/>
      <c r="BB1166" s="1825"/>
      <c r="BC1166" s="1825"/>
      <c r="BD1166" s="1825"/>
      <c r="BE1166" s="1825"/>
      <c r="BF1166" s="1825"/>
      <c r="BG1166" s="1825"/>
      <c r="BH1166" s="1825"/>
      <c r="BI1166" s="1825"/>
      <c r="BJ1166" s="1825"/>
      <c r="BK1166" s="1825"/>
      <c r="BL1166" s="1825"/>
      <c r="BM1166" s="1825"/>
      <c r="BN1166" s="1825"/>
      <c r="BO1166" s="1825"/>
      <c r="BP1166" s="1825"/>
      <c r="BQ1166" s="1825"/>
      <c r="BR1166" s="1825"/>
      <c r="BS1166" s="1825"/>
      <c r="BT1166" s="1825"/>
      <c r="BU1166" s="1825"/>
      <c r="BV1166" s="1825"/>
      <c r="BW1166" s="1825"/>
      <c r="BX1166" s="1825"/>
      <c r="BY1166" s="1825"/>
      <c r="BZ1166" s="1825"/>
      <c r="CA1166" s="1825"/>
      <c r="CB1166" s="1825"/>
      <c r="CC1166" s="1825"/>
      <c r="CD1166" s="1825"/>
      <c r="CE1166" s="1825"/>
      <c r="CF1166" s="1825"/>
      <c r="CG1166" s="1825"/>
      <c r="CH1166" s="1825"/>
      <c r="CI1166" s="1825"/>
      <c r="CJ1166" s="1825"/>
      <c r="CK1166" s="1825"/>
    </row>
    <row r="1167" spans="1:89" s="729" customFormat="1" ht="16.5" customHeight="1" x14ac:dyDescent="0.2">
      <c r="A1167" s="692"/>
      <c r="B1167" s="1480"/>
      <c r="C1167" s="1284"/>
      <c r="D1167" s="1473"/>
      <c r="E1167" s="1414"/>
      <c r="F1167" s="1414"/>
      <c r="G1167" s="1414"/>
      <c r="H1167" s="1414"/>
      <c r="I1167" s="1414"/>
      <c r="J1167" s="1414"/>
      <c r="K1167" s="1414"/>
      <c r="L1167" s="1414"/>
      <c r="M1167" s="1414"/>
      <c r="N1167" s="1414"/>
      <c r="O1167" s="1474"/>
      <c r="P1167" s="1475"/>
      <c r="Q1167" s="1825"/>
      <c r="R1167" s="1825"/>
      <c r="S1167" s="1825"/>
      <c r="T1167" s="1825"/>
      <c r="U1167" s="1825"/>
      <c r="V1167" s="1825"/>
      <c r="W1167" s="1825"/>
      <c r="X1167" s="1825"/>
      <c r="Y1167" s="1825"/>
      <c r="Z1167" s="1825"/>
      <c r="AA1167" s="1825"/>
      <c r="AB1167" s="1825"/>
      <c r="AC1167" s="1825"/>
      <c r="AD1167" s="1825"/>
      <c r="AE1167" s="1825"/>
      <c r="AF1167" s="1825"/>
      <c r="AG1167" s="1825"/>
      <c r="AH1167" s="1825"/>
      <c r="AI1167" s="1825"/>
      <c r="AJ1167" s="1825"/>
      <c r="AK1167" s="1825"/>
      <c r="AL1167" s="1825"/>
      <c r="AM1167" s="1825"/>
      <c r="AN1167" s="1825"/>
      <c r="AO1167" s="1825"/>
      <c r="AP1167" s="1825"/>
      <c r="AQ1167" s="1825"/>
      <c r="AR1167" s="1825"/>
      <c r="AS1167" s="1825"/>
      <c r="AT1167" s="1825"/>
      <c r="AU1167" s="1825"/>
      <c r="AV1167" s="1825"/>
      <c r="AW1167" s="1825"/>
      <c r="AX1167" s="1825"/>
      <c r="AY1167" s="1825"/>
      <c r="AZ1167" s="1825"/>
      <c r="BA1167" s="1825"/>
      <c r="BB1167" s="1825"/>
      <c r="BC1167" s="1825"/>
      <c r="BD1167" s="1825"/>
      <c r="BE1167" s="1825"/>
      <c r="BF1167" s="1825"/>
      <c r="BG1167" s="1825"/>
      <c r="BH1167" s="1825"/>
      <c r="BI1167" s="1825"/>
      <c r="BJ1167" s="1825"/>
      <c r="BK1167" s="1825"/>
      <c r="BL1167" s="1825"/>
      <c r="BM1167" s="1825"/>
      <c r="BN1167" s="1825"/>
      <c r="BO1167" s="1825"/>
      <c r="BP1167" s="1825"/>
      <c r="BQ1167" s="1825"/>
      <c r="BR1167" s="1825"/>
      <c r="BS1167" s="1825"/>
      <c r="BT1167" s="1825"/>
      <c r="BU1167" s="1825"/>
      <c r="BV1167" s="1825"/>
      <c r="BW1167" s="1825"/>
      <c r="BX1167" s="1825"/>
      <c r="BY1167" s="1825"/>
      <c r="BZ1167" s="1825"/>
      <c r="CA1167" s="1825"/>
      <c r="CB1167" s="1825"/>
      <c r="CC1167" s="1825"/>
      <c r="CD1167" s="1825"/>
      <c r="CE1167" s="1825"/>
      <c r="CF1167" s="1825"/>
      <c r="CG1167" s="1825"/>
      <c r="CH1167" s="1825"/>
      <c r="CI1167" s="1825"/>
      <c r="CJ1167" s="1825"/>
      <c r="CK1167" s="1825"/>
    </row>
    <row r="1168" spans="1:89" s="729" customFormat="1" ht="16.5" customHeight="1" x14ac:dyDescent="0.2">
      <c r="A1168" s="692">
        <v>2</v>
      </c>
      <c r="B1168" s="1414" t="s">
        <v>19</v>
      </c>
      <c r="C1168" s="1284"/>
      <c r="D1168" s="1481"/>
      <c r="E1168" s="1414"/>
      <c r="F1168" s="1414"/>
      <c r="G1168" s="1414"/>
      <c r="H1168" s="1414"/>
      <c r="I1168" s="1414"/>
      <c r="J1168" s="1414"/>
      <c r="K1168" s="1414"/>
      <c r="L1168" s="1414"/>
      <c r="M1168" s="1414"/>
      <c r="N1168" s="1414"/>
      <c r="O1168" s="1474">
        <f>N1168+K1168+H1168</f>
        <v>0</v>
      </c>
      <c r="P1168" s="1475"/>
      <c r="Q1168" s="1825"/>
      <c r="R1168" s="1825"/>
      <c r="S1168" s="1825"/>
      <c r="T1168" s="1825"/>
      <c r="U1168" s="1825"/>
      <c r="V1168" s="1825"/>
      <c r="W1168" s="1825"/>
      <c r="X1168" s="1825"/>
      <c r="Y1168" s="1825"/>
      <c r="Z1168" s="1825"/>
      <c r="AA1168" s="1825"/>
      <c r="AB1168" s="1825"/>
      <c r="AC1168" s="1825"/>
      <c r="AD1168" s="1825"/>
      <c r="AE1168" s="1825"/>
      <c r="AF1168" s="1825"/>
      <c r="AG1168" s="1825"/>
      <c r="AH1168" s="1825"/>
      <c r="AI1168" s="1825"/>
      <c r="AJ1168" s="1825"/>
      <c r="AK1168" s="1825"/>
      <c r="AL1168" s="1825"/>
      <c r="AM1168" s="1825"/>
      <c r="AN1168" s="1825"/>
      <c r="AO1168" s="1825"/>
      <c r="AP1168" s="1825"/>
      <c r="AQ1168" s="1825"/>
      <c r="AR1168" s="1825"/>
      <c r="AS1168" s="1825"/>
      <c r="AT1168" s="1825"/>
      <c r="AU1168" s="1825"/>
      <c r="AV1168" s="1825"/>
      <c r="AW1168" s="1825"/>
      <c r="AX1168" s="1825"/>
      <c r="AY1168" s="1825"/>
      <c r="AZ1168" s="1825"/>
      <c r="BA1168" s="1825"/>
      <c r="BB1168" s="1825"/>
      <c r="BC1168" s="1825"/>
      <c r="BD1168" s="1825"/>
      <c r="BE1168" s="1825"/>
      <c r="BF1168" s="1825"/>
      <c r="BG1168" s="1825"/>
      <c r="BH1168" s="1825"/>
      <c r="BI1168" s="1825"/>
      <c r="BJ1168" s="1825"/>
      <c r="BK1168" s="1825"/>
      <c r="BL1168" s="1825"/>
      <c r="BM1168" s="1825"/>
      <c r="BN1168" s="1825"/>
      <c r="BO1168" s="1825"/>
      <c r="BP1168" s="1825"/>
      <c r="BQ1168" s="1825"/>
      <c r="BR1168" s="1825"/>
      <c r="BS1168" s="1825"/>
      <c r="BT1168" s="1825"/>
      <c r="BU1168" s="1825"/>
      <c r="BV1168" s="1825"/>
      <c r="BW1168" s="1825"/>
      <c r="BX1168" s="1825"/>
      <c r="BY1168" s="1825"/>
      <c r="BZ1168" s="1825"/>
      <c r="CA1168" s="1825"/>
      <c r="CB1168" s="1825"/>
      <c r="CC1168" s="1825"/>
      <c r="CD1168" s="1825"/>
      <c r="CE1168" s="1825"/>
      <c r="CF1168" s="1825"/>
      <c r="CG1168" s="1825"/>
      <c r="CH1168" s="1825"/>
      <c r="CI1168" s="1825"/>
      <c r="CJ1168" s="1825"/>
      <c r="CK1168" s="1825"/>
    </row>
    <row r="1169" spans="1:89" s="729" customFormat="1" ht="16.5" customHeight="1" x14ac:dyDescent="0.2">
      <c r="A1169" s="692"/>
      <c r="B1169" s="1480" t="s">
        <v>26</v>
      </c>
      <c r="C1169" s="1471">
        <v>1</v>
      </c>
      <c r="D1169" s="1473" t="s">
        <v>25</v>
      </c>
      <c r="E1169" s="1465">
        <v>50000</v>
      </c>
      <c r="F1169" s="1466"/>
      <c r="G1169" s="1466"/>
      <c r="H1169" s="1466"/>
      <c r="I1169" s="1466"/>
      <c r="J1169" s="1466">
        <f>C1169*E1169</f>
        <v>50000</v>
      </c>
      <c r="K1169" s="1466">
        <f>I1169+J1169</f>
        <v>50000</v>
      </c>
      <c r="L1169" s="1466"/>
      <c r="M1169" s="1466"/>
      <c r="N1169" s="1466"/>
      <c r="O1169" s="1467">
        <f>N1169+K1169+H1169</f>
        <v>50000</v>
      </c>
      <c r="P1169" s="736"/>
      <c r="Q1169" s="1825"/>
      <c r="R1169" s="1825"/>
      <c r="S1169" s="1825"/>
      <c r="T1169" s="1825"/>
      <c r="U1169" s="1825"/>
      <c r="V1169" s="1825"/>
      <c r="W1169" s="1825"/>
      <c r="X1169" s="1825"/>
      <c r="Y1169" s="1825"/>
      <c r="Z1169" s="1825"/>
      <c r="AA1169" s="1825"/>
      <c r="AB1169" s="1825"/>
      <c r="AC1169" s="1825"/>
      <c r="AD1169" s="1825"/>
      <c r="AE1169" s="1825"/>
      <c r="AF1169" s="1825"/>
      <c r="AG1169" s="1825"/>
      <c r="AH1169" s="1825"/>
      <c r="AI1169" s="1825"/>
      <c r="AJ1169" s="1825"/>
      <c r="AK1169" s="1825"/>
      <c r="AL1169" s="1825"/>
      <c r="AM1169" s="1825"/>
      <c r="AN1169" s="1825"/>
      <c r="AO1169" s="1825"/>
      <c r="AP1169" s="1825"/>
      <c r="AQ1169" s="1825"/>
      <c r="AR1169" s="1825"/>
      <c r="AS1169" s="1825"/>
      <c r="AT1169" s="1825"/>
      <c r="AU1169" s="1825"/>
      <c r="AV1169" s="1825"/>
      <c r="AW1169" s="1825"/>
      <c r="AX1169" s="1825"/>
      <c r="AY1169" s="1825"/>
      <c r="AZ1169" s="1825"/>
      <c r="BA1169" s="1825"/>
      <c r="BB1169" s="1825"/>
      <c r="BC1169" s="1825"/>
      <c r="BD1169" s="1825"/>
      <c r="BE1169" s="1825"/>
      <c r="BF1169" s="1825"/>
      <c r="BG1169" s="1825"/>
      <c r="BH1169" s="1825"/>
      <c r="BI1169" s="1825"/>
      <c r="BJ1169" s="1825"/>
      <c r="BK1169" s="1825"/>
      <c r="BL1169" s="1825"/>
      <c r="BM1169" s="1825"/>
      <c r="BN1169" s="1825"/>
      <c r="BO1169" s="1825"/>
      <c r="BP1169" s="1825"/>
      <c r="BQ1169" s="1825"/>
      <c r="BR1169" s="1825"/>
      <c r="BS1169" s="1825"/>
      <c r="BT1169" s="1825"/>
      <c r="BU1169" s="1825"/>
      <c r="BV1169" s="1825"/>
      <c r="BW1169" s="1825"/>
      <c r="BX1169" s="1825"/>
      <c r="BY1169" s="1825"/>
      <c r="BZ1169" s="1825"/>
      <c r="CA1169" s="1825"/>
      <c r="CB1169" s="1825"/>
      <c r="CC1169" s="1825"/>
      <c r="CD1169" s="1825"/>
      <c r="CE1169" s="1825"/>
      <c r="CF1169" s="1825"/>
      <c r="CG1169" s="1825"/>
      <c r="CH1169" s="1825"/>
      <c r="CI1169" s="1825"/>
      <c r="CJ1169" s="1825"/>
      <c r="CK1169" s="1825"/>
    </row>
    <row r="1170" spans="1:89" s="729" customFormat="1" ht="16.5" customHeight="1" x14ac:dyDescent="0.2">
      <c r="A1170" s="692"/>
      <c r="B1170" s="1371"/>
      <c r="C1170" s="1471"/>
      <c r="D1170" s="739"/>
      <c r="E1170" s="1465"/>
      <c r="F1170" s="1466"/>
      <c r="G1170" s="1466"/>
      <c r="H1170" s="1466"/>
      <c r="I1170" s="1466"/>
      <c r="J1170" s="1466"/>
      <c r="K1170" s="1466"/>
      <c r="L1170" s="1466"/>
      <c r="M1170" s="1466"/>
      <c r="N1170" s="1466"/>
      <c r="O1170" s="1467"/>
      <c r="P1170" s="736"/>
      <c r="Q1170" s="1825"/>
      <c r="R1170" s="1825"/>
      <c r="S1170" s="1825"/>
      <c r="T1170" s="1825"/>
      <c r="U1170" s="1825"/>
      <c r="V1170" s="1825"/>
      <c r="W1170" s="1825"/>
      <c r="X1170" s="1825"/>
      <c r="Y1170" s="1825"/>
      <c r="Z1170" s="1825"/>
      <c r="AA1170" s="1825"/>
      <c r="AB1170" s="1825"/>
      <c r="AC1170" s="1825"/>
      <c r="AD1170" s="1825"/>
      <c r="AE1170" s="1825"/>
      <c r="AF1170" s="1825"/>
      <c r="AG1170" s="1825"/>
      <c r="AH1170" s="1825"/>
      <c r="AI1170" s="1825"/>
      <c r="AJ1170" s="1825"/>
      <c r="AK1170" s="1825"/>
      <c r="AL1170" s="1825"/>
      <c r="AM1170" s="1825"/>
      <c r="AN1170" s="1825"/>
      <c r="AO1170" s="1825"/>
      <c r="AP1170" s="1825"/>
      <c r="AQ1170" s="1825"/>
      <c r="AR1170" s="1825"/>
      <c r="AS1170" s="1825"/>
      <c r="AT1170" s="1825"/>
      <c r="AU1170" s="1825"/>
      <c r="AV1170" s="1825"/>
      <c r="AW1170" s="1825"/>
      <c r="AX1170" s="1825"/>
      <c r="AY1170" s="1825"/>
      <c r="AZ1170" s="1825"/>
      <c r="BA1170" s="1825"/>
      <c r="BB1170" s="1825"/>
      <c r="BC1170" s="1825"/>
      <c r="BD1170" s="1825"/>
      <c r="BE1170" s="1825"/>
      <c r="BF1170" s="1825"/>
      <c r="BG1170" s="1825"/>
      <c r="BH1170" s="1825"/>
      <c r="BI1170" s="1825"/>
      <c r="BJ1170" s="1825"/>
      <c r="BK1170" s="1825"/>
      <c r="BL1170" s="1825"/>
      <c r="BM1170" s="1825"/>
      <c r="BN1170" s="1825"/>
      <c r="BO1170" s="1825"/>
      <c r="BP1170" s="1825"/>
      <c r="BQ1170" s="1825"/>
      <c r="BR1170" s="1825"/>
      <c r="BS1170" s="1825"/>
      <c r="BT1170" s="1825"/>
      <c r="BU1170" s="1825"/>
      <c r="BV1170" s="1825"/>
      <c r="BW1170" s="1825"/>
      <c r="BX1170" s="1825"/>
      <c r="BY1170" s="1825"/>
      <c r="BZ1170" s="1825"/>
      <c r="CA1170" s="1825"/>
      <c r="CB1170" s="1825"/>
      <c r="CC1170" s="1825"/>
      <c r="CD1170" s="1825"/>
      <c r="CE1170" s="1825"/>
      <c r="CF1170" s="1825"/>
      <c r="CG1170" s="1825"/>
      <c r="CH1170" s="1825"/>
      <c r="CI1170" s="1825"/>
      <c r="CJ1170" s="1825"/>
      <c r="CK1170" s="1825"/>
    </row>
    <row r="1171" spans="1:89" s="1464" customFormat="1" ht="16.5" customHeight="1" x14ac:dyDescent="0.2">
      <c r="A1171" s="740" t="s">
        <v>619</v>
      </c>
      <c r="B1171" s="741" t="s">
        <v>29</v>
      </c>
      <c r="C1171" s="1459"/>
      <c r="D1171" s="738"/>
      <c r="E1171" s="1460"/>
      <c r="F1171" s="1482">
        <f>SUM(F1173:F1203)</f>
        <v>0</v>
      </c>
      <c r="G1171" s="1482">
        <f>SUM(G1173:G1203)</f>
        <v>0</v>
      </c>
      <c r="H1171" s="1482">
        <f>F1171+G1171</f>
        <v>0</v>
      </c>
      <c r="I1171" s="1482">
        <f>SUM(I1173:I1203)</f>
        <v>0</v>
      </c>
      <c r="J1171" s="1482">
        <f>SUM(J1173:J1203)</f>
        <v>526790</v>
      </c>
      <c r="K1171" s="1482">
        <f>I1171+J1171</f>
        <v>526790</v>
      </c>
      <c r="L1171" s="1482">
        <f>SUM(L1173:L1203)</f>
        <v>0</v>
      </c>
      <c r="M1171" s="1482">
        <f>SUM(M1173:M1203)</f>
        <v>0</v>
      </c>
      <c r="N1171" s="1482">
        <f>L1171+M1171</f>
        <v>0</v>
      </c>
      <c r="O1171" s="1462">
        <f>N1171+K1171+H1171</f>
        <v>526790</v>
      </c>
      <c r="P1171" s="1463"/>
      <c r="Q1171" s="1826"/>
      <c r="R1171" s="1826"/>
      <c r="S1171" s="1826"/>
      <c r="T1171" s="1826"/>
      <c r="U1171" s="1826"/>
      <c r="V1171" s="1826"/>
      <c r="W1171" s="1826"/>
      <c r="X1171" s="1826"/>
      <c r="Y1171" s="1826"/>
      <c r="Z1171" s="1826"/>
      <c r="AA1171" s="1826"/>
      <c r="AB1171" s="1826"/>
      <c r="AC1171" s="1826"/>
      <c r="AD1171" s="1826"/>
      <c r="AE1171" s="1826"/>
      <c r="AF1171" s="1826"/>
      <c r="AG1171" s="1826"/>
      <c r="AH1171" s="1826"/>
      <c r="AI1171" s="1826"/>
      <c r="AJ1171" s="1826"/>
      <c r="AK1171" s="1826"/>
      <c r="AL1171" s="1826"/>
      <c r="AM1171" s="1826"/>
      <c r="AN1171" s="1826"/>
      <c r="AO1171" s="1826"/>
      <c r="AP1171" s="1826"/>
      <c r="AQ1171" s="1826"/>
      <c r="AR1171" s="1826"/>
      <c r="AS1171" s="1826"/>
      <c r="AT1171" s="1826"/>
      <c r="AU1171" s="1826"/>
      <c r="AV1171" s="1826"/>
      <c r="AW1171" s="1826"/>
      <c r="AX1171" s="1826"/>
      <c r="AY1171" s="1826"/>
      <c r="AZ1171" s="1826"/>
      <c r="BA1171" s="1826"/>
      <c r="BB1171" s="1826"/>
      <c r="BC1171" s="1826"/>
      <c r="BD1171" s="1826"/>
      <c r="BE1171" s="1826"/>
      <c r="BF1171" s="1826"/>
      <c r="BG1171" s="1826"/>
      <c r="BH1171" s="1826"/>
      <c r="BI1171" s="1826"/>
      <c r="BJ1171" s="1826"/>
      <c r="BK1171" s="1826"/>
      <c r="BL1171" s="1826"/>
      <c r="BM1171" s="1826"/>
      <c r="BN1171" s="1826"/>
      <c r="BO1171" s="1826"/>
      <c r="BP1171" s="1826"/>
      <c r="BQ1171" s="1826"/>
      <c r="BR1171" s="1826"/>
      <c r="BS1171" s="1826"/>
      <c r="BT1171" s="1826"/>
      <c r="BU1171" s="1826"/>
      <c r="BV1171" s="1826"/>
      <c r="BW1171" s="1826"/>
      <c r="BX1171" s="1826"/>
      <c r="BY1171" s="1826"/>
      <c r="BZ1171" s="1826"/>
      <c r="CA1171" s="1826"/>
      <c r="CB1171" s="1826"/>
      <c r="CC1171" s="1826"/>
      <c r="CD1171" s="1826"/>
      <c r="CE1171" s="1826"/>
      <c r="CF1171" s="1826"/>
      <c r="CG1171" s="1826"/>
      <c r="CH1171" s="1826"/>
      <c r="CI1171" s="1826"/>
      <c r="CJ1171" s="1826"/>
      <c r="CK1171" s="1826"/>
    </row>
    <row r="1172" spans="1:89" s="729" customFormat="1" ht="16.5" customHeight="1" x14ac:dyDescent="0.2">
      <c r="A1172" s="742" t="s">
        <v>49</v>
      </c>
      <c r="B1172" s="1480" t="s">
        <v>149</v>
      </c>
      <c r="C1172" s="699"/>
      <c r="D1172" s="739"/>
      <c r="E1172" s="1465"/>
      <c r="F1172" s="1414"/>
      <c r="G1172" s="1414"/>
      <c r="H1172" s="1414"/>
      <c r="I1172" s="1414"/>
      <c r="J1172" s="1414"/>
      <c r="K1172" s="1414"/>
      <c r="L1172" s="1414"/>
      <c r="M1172" s="1414"/>
      <c r="N1172" s="1414"/>
      <c r="O1172" s="1474"/>
      <c r="P1172" s="1475"/>
      <c r="Q1172" s="1825"/>
      <c r="R1172" s="1825"/>
      <c r="S1172" s="1825"/>
      <c r="T1172" s="1825"/>
      <c r="U1172" s="1825"/>
      <c r="V1172" s="1825"/>
      <c r="W1172" s="1825"/>
      <c r="X1172" s="1825"/>
      <c r="Y1172" s="1825"/>
      <c r="Z1172" s="1825"/>
      <c r="AA1172" s="1825"/>
      <c r="AB1172" s="1825"/>
      <c r="AC1172" s="1825"/>
      <c r="AD1172" s="1825"/>
      <c r="AE1172" s="1825"/>
      <c r="AF1172" s="1825"/>
      <c r="AG1172" s="1825"/>
      <c r="AH1172" s="1825"/>
      <c r="AI1172" s="1825"/>
      <c r="AJ1172" s="1825"/>
      <c r="AK1172" s="1825"/>
      <c r="AL1172" s="1825"/>
      <c r="AM1172" s="1825"/>
      <c r="AN1172" s="1825"/>
      <c r="AO1172" s="1825"/>
      <c r="AP1172" s="1825"/>
      <c r="AQ1172" s="1825"/>
      <c r="AR1172" s="1825"/>
      <c r="AS1172" s="1825"/>
      <c r="AT1172" s="1825"/>
      <c r="AU1172" s="1825"/>
      <c r="AV1172" s="1825"/>
      <c r="AW1172" s="1825"/>
      <c r="AX1172" s="1825"/>
      <c r="AY1172" s="1825"/>
      <c r="AZ1172" s="1825"/>
      <c r="BA1172" s="1825"/>
      <c r="BB1172" s="1825"/>
      <c r="BC1172" s="1825"/>
      <c r="BD1172" s="1825"/>
      <c r="BE1172" s="1825"/>
      <c r="BF1172" s="1825"/>
      <c r="BG1172" s="1825"/>
      <c r="BH1172" s="1825"/>
      <c r="BI1172" s="1825"/>
      <c r="BJ1172" s="1825"/>
      <c r="BK1172" s="1825"/>
      <c r="BL1172" s="1825"/>
      <c r="BM1172" s="1825"/>
      <c r="BN1172" s="1825"/>
      <c r="BO1172" s="1825"/>
      <c r="BP1172" s="1825"/>
      <c r="BQ1172" s="1825"/>
      <c r="BR1172" s="1825"/>
      <c r="BS1172" s="1825"/>
      <c r="BT1172" s="1825"/>
      <c r="BU1172" s="1825"/>
      <c r="BV1172" s="1825"/>
      <c r="BW1172" s="1825"/>
      <c r="BX1172" s="1825"/>
      <c r="BY1172" s="1825"/>
      <c r="BZ1172" s="1825"/>
      <c r="CA1172" s="1825"/>
      <c r="CB1172" s="1825"/>
      <c r="CC1172" s="1825"/>
      <c r="CD1172" s="1825"/>
      <c r="CE1172" s="1825"/>
      <c r="CF1172" s="1825"/>
      <c r="CG1172" s="1825"/>
      <c r="CH1172" s="1825"/>
      <c r="CI1172" s="1825"/>
      <c r="CJ1172" s="1825"/>
      <c r="CK1172" s="1825"/>
    </row>
    <row r="1173" spans="1:89" s="729" customFormat="1" ht="16.5" customHeight="1" x14ac:dyDescent="0.2">
      <c r="A1173" s="742">
        <v>1</v>
      </c>
      <c r="B1173" s="1480" t="s">
        <v>19</v>
      </c>
      <c r="C1173" s="699"/>
      <c r="D1173" s="739"/>
      <c r="E1173" s="1465"/>
      <c r="F1173" s="1414"/>
      <c r="G1173" s="1414"/>
      <c r="H1173" s="1414"/>
      <c r="I1173" s="1414"/>
      <c r="J1173" s="1414"/>
      <c r="K1173" s="1414"/>
      <c r="L1173" s="1414"/>
      <c r="M1173" s="1414"/>
      <c r="N1173" s="1414"/>
      <c r="O1173" s="1474">
        <f t="shared" ref="O1173:O1199" si="86">N1173+K1173+H1173</f>
        <v>0</v>
      </c>
      <c r="P1173" s="1475"/>
      <c r="Q1173" s="1825"/>
      <c r="R1173" s="1825"/>
      <c r="S1173" s="1825"/>
      <c r="T1173" s="1825"/>
      <c r="U1173" s="1825"/>
      <c r="V1173" s="1825"/>
      <c r="W1173" s="1825"/>
      <c r="X1173" s="1825"/>
      <c r="Y1173" s="1825"/>
      <c r="Z1173" s="1825"/>
      <c r="AA1173" s="1825"/>
      <c r="AB1173" s="1825"/>
      <c r="AC1173" s="1825"/>
      <c r="AD1173" s="1825"/>
      <c r="AE1173" s="1825"/>
      <c r="AF1173" s="1825"/>
      <c r="AG1173" s="1825"/>
      <c r="AH1173" s="1825"/>
      <c r="AI1173" s="1825"/>
      <c r="AJ1173" s="1825"/>
      <c r="AK1173" s="1825"/>
      <c r="AL1173" s="1825"/>
      <c r="AM1173" s="1825"/>
      <c r="AN1173" s="1825"/>
      <c r="AO1173" s="1825"/>
      <c r="AP1173" s="1825"/>
      <c r="AQ1173" s="1825"/>
      <c r="AR1173" s="1825"/>
      <c r="AS1173" s="1825"/>
      <c r="AT1173" s="1825"/>
      <c r="AU1173" s="1825"/>
      <c r="AV1173" s="1825"/>
      <c r="AW1173" s="1825"/>
      <c r="AX1173" s="1825"/>
      <c r="AY1173" s="1825"/>
      <c r="AZ1173" s="1825"/>
      <c r="BA1173" s="1825"/>
      <c r="BB1173" s="1825"/>
      <c r="BC1173" s="1825"/>
      <c r="BD1173" s="1825"/>
      <c r="BE1173" s="1825"/>
      <c r="BF1173" s="1825"/>
      <c r="BG1173" s="1825"/>
      <c r="BH1173" s="1825"/>
      <c r="BI1173" s="1825"/>
      <c r="BJ1173" s="1825"/>
      <c r="BK1173" s="1825"/>
      <c r="BL1173" s="1825"/>
      <c r="BM1173" s="1825"/>
      <c r="BN1173" s="1825"/>
      <c r="BO1173" s="1825"/>
      <c r="BP1173" s="1825"/>
      <c r="BQ1173" s="1825"/>
      <c r="BR1173" s="1825"/>
      <c r="BS1173" s="1825"/>
      <c r="BT1173" s="1825"/>
      <c r="BU1173" s="1825"/>
      <c r="BV1173" s="1825"/>
      <c r="BW1173" s="1825"/>
      <c r="BX1173" s="1825"/>
      <c r="BY1173" s="1825"/>
      <c r="BZ1173" s="1825"/>
      <c r="CA1173" s="1825"/>
      <c r="CB1173" s="1825"/>
      <c r="CC1173" s="1825"/>
      <c r="CD1173" s="1825"/>
      <c r="CE1173" s="1825"/>
      <c r="CF1173" s="1825"/>
      <c r="CG1173" s="1825"/>
      <c r="CH1173" s="1825"/>
      <c r="CI1173" s="1825"/>
      <c r="CJ1173" s="1825"/>
      <c r="CK1173" s="1825"/>
    </row>
    <row r="1174" spans="1:89" s="729" customFormat="1" ht="16.5" customHeight="1" x14ac:dyDescent="0.2">
      <c r="A1174" s="742"/>
      <c r="B1174" s="1483" t="s">
        <v>620</v>
      </c>
      <c r="C1174" s="743">
        <v>12</v>
      </c>
      <c r="D1174" s="1484" t="s">
        <v>20</v>
      </c>
      <c r="E1174" s="1485">
        <v>1580</v>
      </c>
      <c r="F1174" s="1414"/>
      <c r="G1174" s="1414"/>
      <c r="H1174" s="1414"/>
      <c r="I1174" s="1414"/>
      <c r="J1174" s="1414">
        <f>C1174*E1174</f>
        <v>18960</v>
      </c>
      <c r="K1174" s="1414">
        <f>I1174+J1174</f>
        <v>18960</v>
      </c>
      <c r="L1174" s="1414"/>
      <c r="M1174" s="1414" t="s">
        <v>49</v>
      </c>
      <c r="N1174" s="1414"/>
      <c r="O1174" s="1474">
        <f t="shared" si="86"/>
        <v>18960</v>
      </c>
      <c r="P1174" s="1475"/>
      <c r="Q1174" s="1825"/>
      <c r="R1174" s="1825"/>
      <c r="S1174" s="1825"/>
      <c r="T1174" s="1825"/>
      <c r="U1174" s="1825"/>
      <c r="V1174" s="1825"/>
      <c r="W1174" s="1825"/>
      <c r="X1174" s="1825"/>
      <c r="Y1174" s="1825"/>
      <c r="Z1174" s="1825"/>
      <c r="AA1174" s="1825"/>
      <c r="AB1174" s="1825"/>
      <c r="AC1174" s="1825"/>
      <c r="AD1174" s="1825"/>
      <c r="AE1174" s="1825"/>
      <c r="AF1174" s="1825"/>
      <c r="AG1174" s="1825"/>
      <c r="AH1174" s="1825"/>
      <c r="AI1174" s="1825"/>
      <c r="AJ1174" s="1825"/>
      <c r="AK1174" s="1825"/>
      <c r="AL1174" s="1825"/>
      <c r="AM1174" s="1825"/>
      <c r="AN1174" s="1825"/>
      <c r="AO1174" s="1825"/>
      <c r="AP1174" s="1825"/>
      <c r="AQ1174" s="1825"/>
      <c r="AR1174" s="1825"/>
      <c r="AS1174" s="1825"/>
      <c r="AT1174" s="1825"/>
      <c r="AU1174" s="1825"/>
      <c r="AV1174" s="1825"/>
      <c r="AW1174" s="1825"/>
      <c r="AX1174" s="1825"/>
      <c r="AY1174" s="1825"/>
      <c r="AZ1174" s="1825"/>
      <c r="BA1174" s="1825"/>
      <c r="BB1174" s="1825"/>
      <c r="BC1174" s="1825"/>
      <c r="BD1174" s="1825"/>
      <c r="BE1174" s="1825"/>
      <c r="BF1174" s="1825"/>
      <c r="BG1174" s="1825"/>
      <c r="BH1174" s="1825"/>
      <c r="BI1174" s="1825"/>
      <c r="BJ1174" s="1825"/>
      <c r="BK1174" s="1825"/>
      <c r="BL1174" s="1825"/>
      <c r="BM1174" s="1825"/>
      <c r="BN1174" s="1825"/>
      <c r="BO1174" s="1825"/>
      <c r="BP1174" s="1825"/>
      <c r="BQ1174" s="1825"/>
      <c r="BR1174" s="1825"/>
      <c r="BS1174" s="1825"/>
      <c r="BT1174" s="1825"/>
      <c r="BU1174" s="1825"/>
      <c r="BV1174" s="1825"/>
      <c r="BW1174" s="1825"/>
      <c r="BX1174" s="1825"/>
      <c r="BY1174" s="1825"/>
      <c r="BZ1174" s="1825"/>
      <c r="CA1174" s="1825"/>
      <c r="CB1174" s="1825"/>
      <c r="CC1174" s="1825"/>
      <c r="CD1174" s="1825"/>
      <c r="CE1174" s="1825"/>
      <c r="CF1174" s="1825"/>
      <c r="CG1174" s="1825"/>
      <c r="CH1174" s="1825"/>
      <c r="CI1174" s="1825"/>
      <c r="CJ1174" s="1825"/>
      <c r="CK1174" s="1825"/>
    </row>
    <row r="1175" spans="1:89" s="729" customFormat="1" ht="16.5" customHeight="1" x14ac:dyDescent="0.2">
      <c r="A1175" s="742"/>
      <c r="B1175" s="1483" t="s">
        <v>621</v>
      </c>
      <c r="C1175" s="743">
        <v>12</v>
      </c>
      <c r="D1175" s="1484" t="s">
        <v>20</v>
      </c>
      <c r="E1175" s="1485">
        <v>1330</v>
      </c>
      <c r="F1175" s="1414"/>
      <c r="G1175" s="1414"/>
      <c r="H1175" s="1414"/>
      <c r="I1175" s="1414"/>
      <c r="J1175" s="1414">
        <f>C1175*E1175</f>
        <v>15960</v>
      </c>
      <c r="K1175" s="1414">
        <f>I1175+J1175</f>
        <v>15960</v>
      </c>
      <c r="L1175" s="1414"/>
      <c r="M1175" s="1414"/>
      <c r="N1175" s="1414"/>
      <c r="O1175" s="1474">
        <f>N1175+K1175+H1175</f>
        <v>15960</v>
      </c>
      <c r="P1175" s="1475"/>
      <c r="Q1175" s="1825"/>
      <c r="R1175" s="1825"/>
      <c r="S1175" s="1825"/>
      <c r="T1175" s="1825"/>
      <c r="U1175" s="1825"/>
      <c r="V1175" s="1825"/>
      <c r="W1175" s="1825"/>
      <c r="X1175" s="1825"/>
      <c r="Y1175" s="1825"/>
      <c r="Z1175" s="1825"/>
      <c r="AA1175" s="1825"/>
      <c r="AB1175" s="1825"/>
      <c r="AC1175" s="1825"/>
      <c r="AD1175" s="1825"/>
      <c r="AE1175" s="1825"/>
      <c r="AF1175" s="1825"/>
      <c r="AG1175" s="1825"/>
      <c r="AH1175" s="1825"/>
      <c r="AI1175" s="1825"/>
      <c r="AJ1175" s="1825"/>
      <c r="AK1175" s="1825"/>
      <c r="AL1175" s="1825"/>
      <c r="AM1175" s="1825"/>
      <c r="AN1175" s="1825"/>
      <c r="AO1175" s="1825"/>
      <c r="AP1175" s="1825"/>
      <c r="AQ1175" s="1825"/>
      <c r="AR1175" s="1825"/>
      <c r="AS1175" s="1825"/>
      <c r="AT1175" s="1825"/>
      <c r="AU1175" s="1825"/>
      <c r="AV1175" s="1825"/>
      <c r="AW1175" s="1825"/>
      <c r="AX1175" s="1825"/>
      <c r="AY1175" s="1825"/>
      <c r="AZ1175" s="1825"/>
      <c r="BA1175" s="1825"/>
      <c r="BB1175" s="1825"/>
      <c r="BC1175" s="1825"/>
      <c r="BD1175" s="1825"/>
      <c r="BE1175" s="1825"/>
      <c r="BF1175" s="1825"/>
      <c r="BG1175" s="1825"/>
      <c r="BH1175" s="1825"/>
      <c r="BI1175" s="1825"/>
      <c r="BJ1175" s="1825"/>
      <c r="BK1175" s="1825"/>
      <c r="BL1175" s="1825"/>
      <c r="BM1175" s="1825"/>
      <c r="BN1175" s="1825"/>
      <c r="BO1175" s="1825"/>
      <c r="BP1175" s="1825"/>
      <c r="BQ1175" s="1825"/>
      <c r="BR1175" s="1825"/>
      <c r="BS1175" s="1825"/>
      <c r="BT1175" s="1825"/>
      <c r="BU1175" s="1825"/>
      <c r="BV1175" s="1825"/>
      <c r="BW1175" s="1825"/>
      <c r="BX1175" s="1825"/>
      <c r="BY1175" s="1825"/>
      <c r="BZ1175" s="1825"/>
      <c r="CA1175" s="1825"/>
      <c r="CB1175" s="1825"/>
      <c r="CC1175" s="1825"/>
      <c r="CD1175" s="1825"/>
      <c r="CE1175" s="1825"/>
      <c r="CF1175" s="1825"/>
      <c r="CG1175" s="1825"/>
      <c r="CH1175" s="1825"/>
      <c r="CI1175" s="1825"/>
      <c r="CJ1175" s="1825"/>
      <c r="CK1175" s="1825"/>
    </row>
    <row r="1176" spans="1:89" s="729" customFormat="1" ht="16.5" customHeight="1" x14ac:dyDescent="0.2">
      <c r="A1176" s="742"/>
      <c r="B1176" s="1480" t="s">
        <v>31</v>
      </c>
      <c r="C1176" s="743">
        <v>12</v>
      </c>
      <c r="D1176" s="1484" t="s">
        <v>20</v>
      </c>
      <c r="E1176" s="1485">
        <v>1250</v>
      </c>
      <c r="F1176" s="1414"/>
      <c r="G1176" s="1414"/>
      <c r="H1176" s="1414"/>
      <c r="I1176" s="1414"/>
      <c r="J1176" s="1414">
        <f>C1176*E1176</f>
        <v>15000</v>
      </c>
      <c r="K1176" s="1414">
        <f>I1176+J1176</f>
        <v>15000</v>
      </c>
      <c r="L1176" s="1414"/>
      <c r="M1176" s="1414"/>
      <c r="N1176" s="1414"/>
      <c r="O1176" s="1474">
        <f t="shared" si="86"/>
        <v>15000</v>
      </c>
      <c r="P1176" s="1475"/>
      <c r="Q1176" s="1825"/>
      <c r="R1176" s="1825"/>
      <c r="S1176" s="1825"/>
      <c r="T1176" s="1825"/>
      <c r="U1176" s="1825"/>
      <c r="V1176" s="1825"/>
      <c r="W1176" s="1825"/>
      <c r="X1176" s="1825"/>
      <c r="Y1176" s="1825"/>
      <c r="Z1176" s="1825"/>
      <c r="AA1176" s="1825"/>
      <c r="AB1176" s="1825"/>
      <c r="AC1176" s="1825"/>
      <c r="AD1176" s="1825"/>
      <c r="AE1176" s="1825"/>
      <c r="AF1176" s="1825"/>
      <c r="AG1176" s="1825"/>
      <c r="AH1176" s="1825"/>
      <c r="AI1176" s="1825"/>
      <c r="AJ1176" s="1825"/>
      <c r="AK1176" s="1825"/>
      <c r="AL1176" s="1825"/>
      <c r="AM1176" s="1825"/>
      <c r="AN1176" s="1825"/>
      <c r="AO1176" s="1825"/>
      <c r="AP1176" s="1825"/>
      <c r="AQ1176" s="1825"/>
      <c r="AR1176" s="1825"/>
      <c r="AS1176" s="1825"/>
      <c r="AT1176" s="1825"/>
      <c r="AU1176" s="1825"/>
      <c r="AV1176" s="1825"/>
      <c r="AW1176" s="1825"/>
      <c r="AX1176" s="1825"/>
      <c r="AY1176" s="1825"/>
      <c r="AZ1176" s="1825"/>
      <c r="BA1176" s="1825"/>
      <c r="BB1176" s="1825"/>
      <c r="BC1176" s="1825"/>
      <c r="BD1176" s="1825"/>
      <c r="BE1176" s="1825"/>
      <c r="BF1176" s="1825"/>
      <c r="BG1176" s="1825"/>
      <c r="BH1176" s="1825"/>
      <c r="BI1176" s="1825"/>
      <c r="BJ1176" s="1825"/>
      <c r="BK1176" s="1825"/>
      <c r="BL1176" s="1825"/>
      <c r="BM1176" s="1825"/>
      <c r="BN1176" s="1825"/>
      <c r="BO1176" s="1825"/>
      <c r="BP1176" s="1825"/>
      <c r="BQ1176" s="1825"/>
      <c r="BR1176" s="1825"/>
      <c r="BS1176" s="1825"/>
      <c r="BT1176" s="1825"/>
      <c r="BU1176" s="1825"/>
      <c r="BV1176" s="1825"/>
      <c r="BW1176" s="1825"/>
      <c r="BX1176" s="1825"/>
      <c r="BY1176" s="1825"/>
      <c r="BZ1176" s="1825"/>
      <c r="CA1176" s="1825"/>
      <c r="CB1176" s="1825"/>
      <c r="CC1176" s="1825"/>
      <c r="CD1176" s="1825"/>
      <c r="CE1176" s="1825"/>
      <c r="CF1176" s="1825"/>
      <c r="CG1176" s="1825"/>
      <c r="CH1176" s="1825"/>
      <c r="CI1176" s="1825"/>
      <c r="CJ1176" s="1825"/>
      <c r="CK1176" s="1825"/>
    </row>
    <row r="1177" spans="1:89" s="729" customFormat="1" ht="16.5" customHeight="1" x14ac:dyDescent="0.2">
      <c r="A1177" s="742"/>
      <c r="B1177" s="1480" t="s">
        <v>32</v>
      </c>
      <c r="C1177" s="743">
        <v>12</v>
      </c>
      <c r="D1177" s="1484" t="s">
        <v>20</v>
      </c>
      <c r="E1177" s="1485">
        <v>1090</v>
      </c>
      <c r="F1177" s="1414"/>
      <c r="G1177" s="1414"/>
      <c r="H1177" s="1414"/>
      <c r="I1177" s="1414"/>
      <c r="J1177" s="1414">
        <f>C1177*E1177</f>
        <v>13080</v>
      </c>
      <c r="K1177" s="1414">
        <f>I1177+J1177</f>
        <v>13080</v>
      </c>
      <c r="L1177" s="1414"/>
      <c r="M1177" s="1414"/>
      <c r="N1177" s="1414"/>
      <c r="O1177" s="1474">
        <f t="shared" si="86"/>
        <v>13080</v>
      </c>
      <c r="P1177" s="1475"/>
      <c r="Q1177" s="1825"/>
      <c r="R1177" s="1825"/>
      <c r="S1177" s="1825"/>
      <c r="T1177" s="1825"/>
      <c r="U1177" s="1825"/>
      <c r="V1177" s="1825"/>
      <c r="W1177" s="1825"/>
      <c r="X1177" s="1825"/>
      <c r="Y1177" s="1825"/>
      <c r="Z1177" s="1825"/>
      <c r="AA1177" s="1825"/>
      <c r="AB1177" s="1825"/>
      <c r="AC1177" s="1825"/>
      <c r="AD1177" s="1825"/>
      <c r="AE1177" s="1825"/>
      <c r="AF1177" s="1825"/>
      <c r="AG1177" s="1825"/>
      <c r="AH1177" s="1825"/>
      <c r="AI1177" s="1825"/>
      <c r="AJ1177" s="1825"/>
      <c r="AK1177" s="1825"/>
      <c r="AL1177" s="1825"/>
      <c r="AM1177" s="1825"/>
      <c r="AN1177" s="1825"/>
      <c r="AO1177" s="1825"/>
      <c r="AP1177" s="1825"/>
      <c r="AQ1177" s="1825"/>
      <c r="AR1177" s="1825"/>
      <c r="AS1177" s="1825"/>
      <c r="AT1177" s="1825"/>
      <c r="AU1177" s="1825"/>
      <c r="AV1177" s="1825"/>
      <c r="AW1177" s="1825"/>
      <c r="AX1177" s="1825"/>
      <c r="AY1177" s="1825"/>
      <c r="AZ1177" s="1825"/>
      <c r="BA1177" s="1825"/>
      <c r="BB1177" s="1825"/>
      <c r="BC1177" s="1825"/>
      <c r="BD1177" s="1825"/>
      <c r="BE1177" s="1825"/>
      <c r="BF1177" s="1825"/>
      <c r="BG1177" s="1825"/>
      <c r="BH1177" s="1825"/>
      <c r="BI1177" s="1825"/>
      <c r="BJ1177" s="1825"/>
      <c r="BK1177" s="1825"/>
      <c r="BL1177" s="1825"/>
      <c r="BM1177" s="1825"/>
      <c r="BN1177" s="1825"/>
      <c r="BO1177" s="1825"/>
      <c r="BP1177" s="1825"/>
      <c r="BQ1177" s="1825"/>
      <c r="BR1177" s="1825"/>
      <c r="BS1177" s="1825"/>
      <c r="BT1177" s="1825"/>
      <c r="BU1177" s="1825"/>
      <c r="BV1177" s="1825"/>
      <c r="BW1177" s="1825"/>
      <c r="BX1177" s="1825"/>
      <c r="BY1177" s="1825"/>
      <c r="BZ1177" s="1825"/>
      <c r="CA1177" s="1825"/>
      <c r="CB1177" s="1825"/>
      <c r="CC1177" s="1825"/>
      <c r="CD1177" s="1825"/>
      <c r="CE1177" s="1825"/>
      <c r="CF1177" s="1825"/>
      <c r="CG1177" s="1825"/>
      <c r="CH1177" s="1825"/>
      <c r="CI1177" s="1825"/>
      <c r="CJ1177" s="1825"/>
      <c r="CK1177" s="1825"/>
    </row>
    <row r="1178" spans="1:89" s="729" customFormat="1" ht="16.5" customHeight="1" x14ac:dyDescent="0.2">
      <c r="A1178" s="742"/>
      <c r="B1178" s="1480" t="s">
        <v>33</v>
      </c>
      <c r="C1178" s="743">
        <v>60</v>
      </c>
      <c r="D1178" s="1484" t="s">
        <v>20</v>
      </c>
      <c r="E1178" s="1485">
        <v>810</v>
      </c>
      <c r="F1178" s="1414"/>
      <c r="G1178" s="1414"/>
      <c r="H1178" s="1414"/>
      <c r="I1178" s="1414"/>
      <c r="J1178" s="1414">
        <f>C1178*E1178</f>
        <v>48600</v>
      </c>
      <c r="K1178" s="1414">
        <f>I1178+J1178</f>
        <v>48600</v>
      </c>
      <c r="L1178" s="1414"/>
      <c r="M1178" s="1414"/>
      <c r="N1178" s="1414"/>
      <c r="O1178" s="1474">
        <f t="shared" si="86"/>
        <v>48600</v>
      </c>
      <c r="P1178" s="1475"/>
      <c r="Q1178" s="1825"/>
      <c r="R1178" s="1825"/>
      <c r="S1178" s="1825"/>
      <c r="T1178" s="1825"/>
      <c r="U1178" s="1825"/>
      <c r="V1178" s="1825"/>
      <c r="W1178" s="1825"/>
      <c r="X1178" s="1825"/>
      <c r="Y1178" s="1825"/>
      <c r="Z1178" s="1825"/>
      <c r="AA1178" s="1825"/>
      <c r="AB1178" s="1825"/>
      <c r="AC1178" s="1825"/>
      <c r="AD1178" s="1825"/>
      <c r="AE1178" s="1825"/>
      <c r="AF1178" s="1825"/>
      <c r="AG1178" s="1825"/>
      <c r="AH1178" s="1825"/>
      <c r="AI1178" s="1825"/>
      <c r="AJ1178" s="1825"/>
      <c r="AK1178" s="1825"/>
      <c r="AL1178" s="1825"/>
      <c r="AM1178" s="1825"/>
      <c r="AN1178" s="1825"/>
      <c r="AO1178" s="1825"/>
      <c r="AP1178" s="1825"/>
      <c r="AQ1178" s="1825"/>
      <c r="AR1178" s="1825"/>
      <c r="AS1178" s="1825"/>
      <c r="AT1178" s="1825"/>
      <c r="AU1178" s="1825"/>
      <c r="AV1178" s="1825"/>
      <c r="AW1178" s="1825"/>
      <c r="AX1178" s="1825"/>
      <c r="AY1178" s="1825"/>
      <c r="AZ1178" s="1825"/>
      <c r="BA1178" s="1825"/>
      <c r="BB1178" s="1825"/>
      <c r="BC1178" s="1825"/>
      <c r="BD1178" s="1825"/>
      <c r="BE1178" s="1825"/>
      <c r="BF1178" s="1825"/>
      <c r="BG1178" s="1825"/>
      <c r="BH1178" s="1825"/>
      <c r="BI1178" s="1825"/>
      <c r="BJ1178" s="1825"/>
      <c r="BK1178" s="1825"/>
      <c r="BL1178" s="1825"/>
      <c r="BM1178" s="1825"/>
      <c r="BN1178" s="1825"/>
      <c r="BO1178" s="1825"/>
      <c r="BP1178" s="1825"/>
      <c r="BQ1178" s="1825"/>
      <c r="BR1178" s="1825"/>
      <c r="BS1178" s="1825"/>
      <c r="BT1178" s="1825"/>
      <c r="BU1178" s="1825"/>
      <c r="BV1178" s="1825"/>
      <c r="BW1178" s="1825"/>
      <c r="BX1178" s="1825"/>
      <c r="BY1178" s="1825"/>
      <c r="BZ1178" s="1825"/>
      <c r="CA1178" s="1825"/>
      <c r="CB1178" s="1825"/>
      <c r="CC1178" s="1825"/>
      <c r="CD1178" s="1825"/>
      <c r="CE1178" s="1825"/>
      <c r="CF1178" s="1825"/>
      <c r="CG1178" s="1825"/>
      <c r="CH1178" s="1825"/>
      <c r="CI1178" s="1825"/>
      <c r="CJ1178" s="1825"/>
      <c r="CK1178" s="1825"/>
    </row>
    <row r="1179" spans="1:89" s="729" customFormat="1" ht="16.5" customHeight="1" x14ac:dyDescent="0.2">
      <c r="A1179" s="742"/>
      <c r="B1179" s="1480" t="s">
        <v>34</v>
      </c>
      <c r="C1179" s="743"/>
      <c r="D1179" s="1484"/>
      <c r="E1179" s="1485"/>
      <c r="F1179" s="1414"/>
      <c r="G1179" s="1414"/>
      <c r="H1179" s="1414"/>
      <c r="I1179" s="1414"/>
      <c r="J1179" s="1414"/>
      <c r="K1179" s="1414"/>
      <c r="L1179" s="1414"/>
      <c r="M1179" s="1414"/>
      <c r="N1179" s="1414"/>
      <c r="O1179" s="1474">
        <f t="shared" si="86"/>
        <v>0</v>
      </c>
      <c r="P1179" s="1475"/>
      <c r="Q1179" s="1825"/>
      <c r="R1179" s="1825"/>
      <c r="S1179" s="1825"/>
      <c r="T1179" s="1825"/>
      <c r="U1179" s="1825"/>
      <c r="V1179" s="1825"/>
      <c r="W1179" s="1825"/>
      <c r="X1179" s="1825"/>
      <c r="Y1179" s="1825"/>
      <c r="Z1179" s="1825"/>
      <c r="AA1179" s="1825"/>
      <c r="AB1179" s="1825"/>
      <c r="AC1179" s="1825"/>
      <c r="AD1179" s="1825"/>
      <c r="AE1179" s="1825"/>
      <c r="AF1179" s="1825"/>
      <c r="AG1179" s="1825"/>
      <c r="AH1179" s="1825"/>
      <c r="AI1179" s="1825"/>
      <c r="AJ1179" s="1825"/>
      <c r="AK1179" s="1825"/>
      <c r="AL1179" s="1825"/>
      <c r="AM1179" s="1825"/>
      <c r="AN1179" s="1825"/>
      <c r="AO1179" s="1825"/>
      <c r="AP1179" s="1825"/>
      <c r="AQ1179" s="1825"/>
      <c r="AR1179" s="1825"/>
      <c r="AS1179" s="1825"/>
      <c r="AT1179" s="1825"/>
      <c r="AU1179" s="1825"/>
      <c r="AV1179" s="1825"/>
      <c r="AW1179" s="1825"/>
      <c r="AX1179" s="1825"/>
      <c r="AY1179" s="1825"/>
      <c r="AZ1179" s="1825"/>
      <c r="BA1179" s="1825"/>
      <c r="BB1179" s="1825"/>
      <c r="BC1179" s="1825"/>
      <c r="BD1179" s="1825"/>
      <c r="BE1179" s="1825"/>
      <c r="BF1179" s="1825"/>
      <c r="BG1179" s="1825"/>
      <c r="BH1179" s="1825"/>
      <c r="BI1179" s="1825"/>
      <c r="BJ1179" s="1825"/>
      <c r="BK1179" s="1825"/>
      <c r="BL1179" s="1825"/>
      <c r="BM1179" s="1825"/>
      <c r="BN1179" s="1825"/>
      <c r="BO1179" s="1825"/>
      <c r="BP1179" s="1825"/>
      <c r="BQ1179" s="1825"/>
      <c r="BR1179" s="1825"/>
      <c r="BS1179" s="1825"/>
      <c r="BT1179" s="1825"/>
      <c r="BU1179" s="1825"/>
      <c r="BV1179" s="1825"/>
      <c r="BW1179" s="1825"/>
      <c r="BX1179" s="1825"/>
      <c r="BY1179" s="1825"/>
      <c r="BZ1179" s="1825"/>
      <c r="CA1179" s="1825"/>
      <c r="CB1179" s="1825"/>
      <c r="CC1179" s="1825"/>
      <c r="CD1179" s="1825"/>
      <c r="CE1179" s="1825"/>
      <c r="CF1179" s="1825"/>
      <c r="CG1179" s="1825"/>
      <c r="CH1179" s="1825"/>
      <c r="CI1179" s="1825"/>
      <c r="CJ1179" s="1825"/>
      <c r="CK1179" s="1825"/>
    </row>
    <row r="1180" spans="1:89" s="729" customFormat="1" ht="16.5" customHeight="1" x14ac:dyDescent="0.2">
      <c r="A1180" s="742"/>
      <c r="B1180" s="1480" t="s">
        <v>35</v>
      </c>
      <c r="C1180" s="743">
        <v>12</v>
      </c>
      <c r="D1180" s="1484" t="s">
        <v>20</v>
      </c>
      <c r="E1180" s="1485">
        <v>400</v>
      </c>
      <c r="F1180" s="1414"/>
      <c r="G1180" s="1414"/>
      <c r="H1180" s="1414"/>
      <c r="I1180" s="1414"/>
      <c r="J1180" s="1414">
        <f>C1180*E1180</f>
        <v>4800</v>
      </c>
      <c r="K1180" s="1414">
        <f>I1180+J1180</f>
        <v>4800</v>
      </c>
      <c r="L1180" s="1414"/>
      <c r="M1180" s="1414"/>
      <c r="N1180" s="1414"/>
      <c r="O1180" s="1474">
        <f t="shared" si="86"/>
        <v>4800</v>
      </c>
      <c r="P1180" s="1475"/>
      <c r="Q1180" s="1825"/>
      <c r="R1180" s="1825"/>
      <c r="S1180" s="1825"/>
      <c r="T1180" s="1825"/>
      <c r="U1180" s="1825"/>
      <c r="V1180" s="1825"/>
      <c r="W1180" s="1825"/>
      <c r="X1180" s="1825"/>
      <c r="Y1180" s="1825"/>
      <c r="Z1180" s="1825"/>
      <c r="AA1180" s="1825"/>
      <c r="AB1180" s="1825"/>
      <c r="AC1180" s="1825"/>
      <c r="AD1180" s="1825"/>
      <c r="AE1180" s="1825"/>
      <c r="AF1180" s="1825"/>
      <c r="AG1180" s="1825"/>
      <c r="AH1180" s="1825"/>
      <c r="AI1180" s="1825"/>
      <c r="AJ1180" s="1825"/>
      <c r="AK1180" s="1825"/>
      <c r="AL1180" s="1825"/>
      <c r="AM1180" s="1825"/>
      <c r="AN1180" s="1825"/>
      <c r="AO1180" s="1825"/>
      <c r="AP1180" s="1825"/>
      <c r="AQ1180" s="1825"/>
      <c r="AR1180" s="1825"/>
      <c r="AS1180" s="1825"/>
      <c r="AT1180" s="1825"/>
      <c r="AU1180" s="1825"/>
      <c r="AV1180" s="1825"/>
      <c r="AW1180" s="1825"/>
      <c r="AX1180" s="1825"/>
      <c r="AY1180" s="1825"/>
      <c r="AZ1180" s="1825"/>
      <c r="BA1180" s="1825"/>
      <c r="BB1180" s="1825"/>
      <c r="BC1180" s="1825"/>
      <c r="BD1180" s="1825"/>
      <c r="BE1180" s="1825"/>
      <c r="BF1180" s="1825"/>
      <c r="BG1180" s="1825"/>
      <c r="BH1180" s="1825"/>
      <c r="BI1180" s="1825"/>
      <c r="BJ1180" s="1825"/>
      <c r="BK1180" s="1825"/>
      <c r="BL1180" s="1825"/>
      <c r="BM1180" s="1825"/>
      <c r="BN1180" s="1825"/>
      <c r="BO1180" s="1825"/>
      <c r="BP1180" s="1825"/>
      <c r="BQ1180" s="1825"/>
      <c r="BR1180" s="1825"/>
      <c r="BS1180" s="1825"/>
      <c r="BT1180" s="1825"/>
      <c r="BU1180" s="1825"/>
      <c r="BV1180" s="1825"/>
      <c r="BW1180" s="1825"/>
      <c r="BX1180" s="1825"/>
      <c r="BY1180" s="1825"/>
      <c r="BZ1180" s="1825"/>
      <c r="CA1180" s="1825"/>
      <c r="CB1180" s="1825"/>
      <c r="CC1180" s="1825"/>
      <c r="CD1180" s="1825"/>
      <c r="CE1180" s="1825"/>
      <c r="CF1180" s="1825"/>
      <c r="CG1180" s="1825"/>
      <c r="CH1180" s="1825"/>
      <c r="CI1180" s="1825"/>
      <c r="CJ1180" s="1825"/>
      <c r="CK1180" s="1825"/>
    </row>
    <row r="1181" spans="1:89" s="729" customFormat="1" ht="16.5" customHeight="1" x14ac:dyDescent="0.2">
      <c r="A1181" s="742"/>
      <c r="B1181" s="1480" t="s">
        <v>36</v>
      </c>
      <c r="C1181" s="743">
        <v>48</v>
      </c>
      <c r="D1181" s="1484" t="s">
        <v>20</v>
      </c>
      <c r="E1181" s="1485">
        <v>350</v>
      </c>
      <c r="F1181" s="1414"/>
      <c r="G1181" s="1414"/>
      <c r="H1181" s="1414"/>
      <c r="I1181" s="1414"/>
      <c r="J1181" s="1414">
        <f>C1181*E1181</f>
        <v>16800</v>
      </c>
      <c r="K1181" s="1414">
        <f>I1181+J1181</f>
        <v>16800</v>
      </c>
      <c r="L1181" s="1414"/>
      <c r="M1181" s="1414"/>
      <c r="N1181" s="1414"/>
      <c r="O1181" s="1474">
        <f t="shared" si="86"/>
        <v>16800</v>
      </c>
      <c r="P1181" s="1475"/>
      <c r="Q1181" s="1825"/>
      <c r="R1181" s="1825"/>
      <c r="S1181" s="1825"/>
      <c r="T1181" s="1825"/>
      <c r="U1181" s="1825"/>
      <c r="V1181" s="1825"/>
      <c r="W1181" s="1825"/>
      <c r="X1181" s="1825"/>
      <c r="Y1181" s="1825"/>
      <c r="Z1181" s="1825"/>
      <c r="AA1181" s="1825"/>
      <c r="AB1181" s="1825"/>
      <c r="AC1181" s="1825"/>
      <c r="AD1181" s="1825"/>
      <c r="AE1181" s="1825"/>
      <c r="AF1181" s="1825"/>
      <c r="AG1181" s="1825"/>
      <c r="AH1181" s="1825"/>
      <c r="AI1181" s="1825"/>
      <c r="AJ1181" s="1825"/>
      <c r="AK1181" s="1825"/>
      <c r="AL1181" s="1825"/>
      <c r="AM1181" s="1825"/>
      <c r="AN1181" s="1825"/>
      <c r="AO1181" s="1825"/>
      <c r="AP1181" s="1825"/>
      <c r="AQ1181" s="1825"/>
      <c r="AR1181" s="1825"/>
      <c r="AS1181" s="1825"/>
      <c r="AT1181" s="1825"/>
      <c r="AU1181" s="1825"/>
      <c r="AV1181" s="1825"/>
      <c r="AW1181" s="1825"/>
      <c r="AX1181" s="1825"/>
      <c r="AY1181" s="1825"/>
      <c r="AZ1181" s="1825"/>
      <c r="BA1181" s="1825"/>
      <c r="BB1181" s="1825"/>
      <c r="BC1181" s="1825"/>
      <c r="BD1181" s="1825"/>
      <c r="BE1181" s="1825"/>
      <c r="BF1181" s="1825"/>
      <c r="BG1181" s="1825"/>
      <c r="BH1181" s="1825"/>
      <c r="BI1181" s="1825"/>
      <c r="BJ1181" s="1825"/>
      <c r="BK1181" s="1825"/>
      <c r="BL1181" s="1825"/>
      <c r="BM1181" s="1825"/>
      <c r="BN1181" s="1825"/>
      <c r="BO1181" s="1825"/>
      <c r="BP1181" s="1825"/>
      <c r="BQ1181" s="1825"/>
      <c r="BR1181" s="1825"/>
      <c r="BS1181" s="1825"/>
      <c r="BT1181" s="1825"/>
      <c r="BU1181" s="1825"/>
      <c r="BV1181" s="1825"/>
      <c r="BW1181" s="1825"/>
      <c r="BX1181" s="1825"/>
      <c r="BY1181" s="1825"/>
      <c r="BZ1181" s="1825"/>
      <c r="CA1181" s="1825"/>
      <c r="CB1181" s="1825"/>
      <c r="CC1181" s="1825"/>
      <c r="CD1181" s="1825"/>
      <c r="CE1181" s="1825"/>
      <c r="CF1181" s="1825"/>
      <c r="CG1181" s="1825"/>
      <c r="CH1181" s="1825"/>
      <c r="CI1181" s="1825"/>
      <c r="CJ1181" s="1825"/>
      <c r="CK1181" s="1825"/>
    </row>
    <row r="1182" spans="1:89" s="729" customFormat="1" ht="16.5" customHeight="1" x14ac:dyDescent="0.2">
      <c r="A1182" s="742"/>
      <c r="B1182" s="1480"/>
      <c r="C1182" s="743"/>
      <c r="D1182" s="1484"/>
      <c r="E1182" s="1485"/>
      <c r="F1182" s="1414"/>
      <c r="G1182" s="1414"/>
      <c r="H1182" s="1414"/>
      <c r="I1182" s="1414"/>
      <c r="J1182" s="1414"/>
      <c r="K1182" s="1414"/>
      <c r="L1182" s="1414"/>
      <c r="M1182" s="1414"/>
      <c r="N1182" s="1414"/>
      <c r="O1182" s="1474">
        <f t="shared" si="86"/>
        <v>0</v>
      </c>
      <c r="P1182" s="1475"/>
      <c r="Q1182" s="1825"/>
      <c r="R1182" s="1825"/>
      <c r="S1182" s="1825"/>
      <c r="T1182" s="1825"/>
      <c r="U1182" s="1825"/>
      <c r="V1182" s="1825"/>
      <c r="W1182" s="1825"/>
      <c r="X1182" s="1825"/>
      <c r="Y1182" s="1825"/>
      <c r="Z1182" s="1825"/>
      <c r="AA1182" s="1825"/>
      <c r="AB1182" s="1825"/>
      <c r="AC1182" s="1825"/>
      <c r="AD1182" s="1825"/>
      <c r="AE1182" s="1825"/>
      <c r="AF1182" s="1825"/>
      <c r="AG1182" s="1825"/>
      <c r="AH1182" s="1825"/>
      <c r="AI1182" s="1825"/>
      <c r="AJ1182" s="1825"/>
      <c r="AK1182" s="1825"/>
      <c r="AL1182" s="1825"/>
      <c r="AM1182" s="1825"/>
      <c r="AN1182" s="1825"/>
      <c r="AO1182" s="1825"/>
      <c r="AP1182" s="1825"/>
      <c r="AQ1182" s="1825"/>
      <c r="AR1182" s="1825"/>
      <c r="AS1182" s="1825"/>
      <c r="AT1182" s="1825"/>
      <c r="AU1182" s="1825"/>
      <c r="AV1182" s="1825"/>
      <c r="AW1182" s="1825"/>
      <c r="AX1182" s="1825"/>
      <c r="AY1182" s="1825"/>
      <c r="AZ1182" s="1825"/>
      <c r="BA1182" s="1825"/>
      <c r="BB1182" s="1825"/>
      <c r="BC1182" s="1825"/>
      <c r="BD1182" s="1825"/>
      <c r="BE1182" s="1825"/>
      <c r="BF1182" s="1825"/>
      <c r="BG1182" s="1825"/>
      <c r="BH1182" s="1825"/>
      <c r="BI1182" s="1825"/>
      <c r="BJ1182" s="1825"/>
      <c r="BK1182" s="1825"/>
      <c r="BL1182" s="1825"/>
      <c r="BM1182" s="1825"/>
      <c r="BN1182" s="1825"/>
      <c r="BO1182" s="1825"/>
      <c r="BP1182" s="1825"/>
      <c r="BQ1182" s="1825"/>
      <c r="BR1182" s="1825"/>
      <c r="BS1182" s="1825"/>
      <c r="BT1182" s="1825"/>
      <c r="BU1182" s="1825"/>
      <c r="BV1182" s="1825"/>
      <c r="BW1182" s="1825"/>
      <c r="BX1182" s="1825"/>
      <c r="BY1182" s="1825"/>
      <c r="BZ1182" s="1825"/>
      <c r="CA1182" s="1825"/>
      <c r="CB1182" s="1825"/>
      <c r="CC1182" s="1825"/>
      <c r="CD1182" s="1825"/>
      <c r="CE1182" s="1825"/>
      <c r="CF1182" s="1825"/>
      <c r="CG1182" s="1825"/>
      <c r="CH1182" s="1825"/>
      <c r="CI1182" s="1825"/>
      <c r="CJ1182" s="1825"/>
      <c r="CK1182" s="1825"/>
    </row>
    <row r="1183" spans="1:89" s="729" customFormat="1" ht="16.5" customHeight="1" x14ac:dyDescent="0.2">
      <c r="A1183" s="742">
        <v>2</v>
      </c>
      <c r="B1183" s="1480" t="s">
        <v>38</v>
      </c>
      <c r="C1183" s="743">
        <v>1</v>
      </c>
      <c r="D1183" s="1484" t="s">
        <v>25</v>
      </c>
      <c r="E1183" s="1486">
        <v>61490</v>
      </c>
      <c r="F1183" s="1414"/>
      <c r="G1183" s="1414"/>
      <c r="H1183" s="1414"/>
      <c r="I1183" s="1414"/>
      <c r="J1183" s="1414">
        <f>C1183*E1183</f>
        <v>61490</v>
      </c>
      <c r="K1183" s="1414">
        <f>I1183+J1183</f>
        <v>61490</v>
      </c>
      <c r="L1183" s="1414"/>
      <c r="M1183" s="1414"/>
      <c r="N1183" s="1414"/>
      <c r="O1183" s="1474">
        <f t="shared" si="86"/>
        <v>61490</v>
      </c>
      <c r="P1183" s="1475"/>
      <c r="Q1183" s="1825"/>
      <c r="R1183" s="1825"/>
      <c r="S1183" s="1825"/>
      <c r="T1183" s="1825"/>
      <c r="U1183" s="1825"/>
      <c r="V1183" s="1825"/>
      <c r="W1183" s="1825"/>
      <c r="X1183" s="1825"/>
      <c r="Y1183" s="1825"/>
      <c r="Z1183" s="1825"/>
      <c r="AA1183" s="1825"/>
      <c r="AB1183" s="1825"/>
      <c r="AC1183" s="1825"/>
      <c r="AD1183" s="1825"/>
      <c r="AE1183" s="1825"/>
      <c r="AF1183" s="1825"/>
      <c r="AG1183" s="1825"/>
      <c r="AH1183" s="1825"/>
      <c r="AI1183" s="1825"/>
      <c r="AJ1183" s="1825"/>
      <c r="AK1183" s="1825"/>
      <c r="AL1183" s="1825"/>
      <c r="AM1183" s="1825"/>
      <c r="AN1183" s="1825"/>
      <c r="AO1183" s="1825"/>
      <c r="AP1183" s="1825"/>
      <c r="AQ1183" s="1825"/>
      <c r="AR1183" s="1825"/>
      <c r="AS1183" s="1825"/>
      <c r="AT1183" s="1825"/>
      <c r="AU1183" s="1825"/>
      <c r="AV1183" s="1825"/>
      <c r="AW1183" s="1825"/>
      <c r="AX1183" s="1825"/>
      <c r="AY1183" s="1825"/>
      <c r="AZ1183" s="1825"/>
      <c r="BA1183" s="1825"/>
      <c r="BB1183" s="1825"/>
      <c r="BC1183" s="1825"/>
      <c r="BD1183" s="1825"/>
      <c r="BE1183" s="1825"/>
      <c r="BF1183" s="1825"/>
      <c r="BG1183" s="1825"/>
      <c r="BH1183" s="1825"/>
      <c r="BI1183" s="1825"/>
      <c r="BJ1183" s="1825"/>
      <c r="BK1183" s="1825"/>
      <c r="BL1183" s="1825"/>
      <c r="BM1183" s="1825"/>
      <c r="BN1183" s="1825"/>
      <c r="BO1183" s="1825"/>
      <c r="BP1183" s="1825"/>
      <c r="BQ1183" s="1825"/>
      <c r="BR1183" s="1825"/>
      <c r="BS1183" s="1825"/>
      <c r="BT1183" s="1825"/>
      <c r="BU1183" s="1825"/>
      <c r="BV1183" s="1825"/>
      <c r="BW1183" s="1825"/>
      <c r="BX1183" s="1825"/>
      <c r="BY1183" s="1825"/>
      <c r="BZ1183" s="1825"/>
      <c r="CA1183" s="1825"/>
      <c r="CB1183" s="1825"/>
      <c r="CC1183" s="1825"/>
      <c r="CD1183" s="1825"/>
      <c r="CE1183" s="1825"/>
      <c r="CF1183" s="1825"/>
      <c r="CG1183" s="1825"/>
      <c r="CH1183" s="1825"/>
      <c r="CI1183" s="1825"/>
      <c r="CJ1183" s="1825"/>
      <c r="CK1183" s="1825"/>
    </row>
    <row r="1184" spans="1:89" s="729" customFormat="1" ht="16.5" customHeight="1" x14ac:dyDescent="0.2">
      <c r="A1184" s="742"/>
      <c r="B1184" s="1480" t="s">
        <v>39</v>
      </c>
      <c r="C1184" s="743">
        <v>1</v>
      </c>
      <c r="D1184" s="1484" t="s">
        <v>25</v>
      </c>
      <c r="E1184" s="1485">
        <v>4600</v>
      </c>
      <c r="F1184" s="1414"/>
      <c r="G1184" s="1414"/>
      <c r="H1184" s="1414"/>
      <c r="I1184" s="1414"/>
      <c r="J1184" s="1414">
        <f>C1184*E1184</f>
        <v>4600</v>
      </c>
      <c r="K1184" s="1414">
        <f>I1184+J1184</f>
        <v>4600</v>
      </c>
      <c r="L1184" s="1414"/>
      <c r="M1184" s="1414"/>
      <c r="N1184" s="1414"/>
      <c r="O1184" s="1474">
        <f t="shared" si="86"/>
        <v>4600</v>
      </c>
      <c r="P1184" s="1475"/>
      <c r="Q1184" s="1825"/>
      <c r="R1184" s="1825"/>
      <c r="S1184" s="1825"/>
      <c r="T1184" s="1825"/>
      <c r="U1184" s="1825"/>
      <c r="V1184" s="1825"/>
      <c r="W1184" s="1825"/>
      <c r="X1184" s="1825"/>
      <c r="Y1184" s="1825"/>
      <c r="Z1184" s="1825"/>
      <c r="AA1184" s="1825"/>
      <c r="AB1184" s="1825"/>
      <c r="AC1184" s="1825"/>
      <c r="AD1184" s="1825"/>
      <c r="AE1184" s="1825"/>
      <c r="AF1184" s="1825"/>
      <c r="AG1184" s="1825"/>
      <c r="AH1184" s="1825"/>
      <c r="AI1184" s="1825"/>
      <c r="AJ1184" s="1825"/>
      <c r="AK1184" s="1825"/>
      <c r="AL1184" s="1825"/>
      <c r="AM1184" s="1825"/>
      <c r="AN1184" s="1825"/>
      <c r="AO1184" s="1825"/>
      <c r="AP1184" s="1825"/>
      <c r="AQ1184" s="1825"/>
      <c r="AR1184" s="1825"/>
      <c r="AS1184" s="1825"/>
      <c r="AT1184" s="1825"/>
      <c r="AU1184" s="1825"/>
      <c r="AV1184" s="1825"/>
      <c r="AW1184" s="1825"/>
      <c r="AX1184" s="1825"/>
      <c r="AY1184" s="1825"/>
      <c r="AZ1184" s="1825"/>
      <c r="BA1184" s="1825"/>
      <c r="BB1184" s="1825"/>
      <c r="BC1184" s="1825"/>
      <c r="BD1184" s="1825"/>
      <c r="BE1184" s="1825"/>
      <c r="BF1184" s="1825"/>
      <c r="BG1184" s="1825"/>
      <c r="BH1184" s="1825"/>
      <c r="BI1184" s="1825"/>
      <c r="BJ1184" s="1825"/>
      <c r="BK1184" s="1825"/>
      <c r="BL1184" s="1825"/>
      <c r="BM1184" s="1825"/>
      <c r="BN1184" s="1825"/>
      <c r="BO1184" s="1825"/>
      <c r="BP1184" s="1825"/>
      <c r="BQ1184" s="1825"/>
      <c r="BR1184" s="1825"/>
      <c r="BS1184" s="1825"/>
      <c r="BT1184" s="1825"/>
      <c r="BU1184" s="1825"/>
      <c r="BV1184" s="1825"/>
      <c r="BW1184" s="1825"/>
      <c r="BX1184" s="1825"/>
      <c r="BY1184" s="1825"/>
      <c r="BZ1184" s="1825"/>
      <c r="CA1184" s="1825"/>
      <c r="CB1184" s="1825"/>
      <c r="CC1184" s="1825"/>
      <c r="CD1184" s="1825"/>
      <c r="CE1184" s="1825"/>
      <c r="CF1184" s="1825"/>
      <c r="CG1184" s="1825"/>
      <c r="CH1184" s="1825"/>
      <c r="CI1184" s="1825"/>
      <c r="CJ1184" s="1825"/>
      <c r="CK1184" s="1825"/>
    </row>
    <row r="1185" spans="1:89" s="729" customFormat="1" ht="16.5" customHeight="1" x14ac:dyDescent="0.2">
      <c r="A1185" s="742"/>
      <c r="B1185" s="1480"/>
      <c r="C1185" s="743"/>
      <c r="D1185" s="1484"/>
      <c r="E1185" s="1485"/>
      <c r="F1185" s="1414"/>
      <c r="G1185" s="1414"/>
      <c r="H1185" s="1414"/>
      <c r="I1185" s="1414"/>
      <c r="J1185" s="1414"/>
      <c r="K1185" s="1414"/>
      <c r="L1185" s="1414"/>
      <c r="M1185" s="1414"/>
      <c r="N1185" s="1414"/>
      <c r="O1185" s="1474">
        <f t="shared" si="86"/>
        <v>0</v>
      </c>
      <c r="P1185" s="1475"/>
      <c r="Q1185" s="1825"/>
      <c r="R1185" s="1825"/>
      <c r="S1185" s="1825"/>
      <c r="T1185" s="1825"/>
      <c r="U1185" s="1825"/>
      <c r="V1185" s="1825"/>
      <c r="W1185" s="1825"/>
      <c r="X1185" s="1825"/>
      <c r="Y1185" s="1825"/>
      <c r="Z1185" s="1825"/>
      <c r="AA1185" s="1825"/>
      <c r="AB1185" s="1825"/>
      <c r="AC1185" s="1825"/>
      <c r="AD1185" s="1825"/>
      <c r="AE1185" s="1825"/>
      <c r="AF1185" s="1825"/>
      <c r="AG1185" s="1825"/>
      <c r="AH1185" s="1825"/>
      <c r="AI1185" s="1825"/>
      <c r="AJ1185" s="1825"/>
      <c r="AK1185" s="1825"/>
      <c r="AL1185" s="1825"/>
      <c r="AM1185" s="1825"/>
      <c r="AN1185" s="1825"/>
      <c r="AO1185" s="1825"/>
      <c r="AP1185" s="1825"/>
      <c r="AQ1185" s="1825"/>
      <c r="AR1185" s="1825"/>
      <c r="AS1185" s="1825"/>
      <c r="AT1185" s="1825"/>
      <c r="AU1185" s="1825"/>
      <c r="AV1185" s="1825"/>
      <c r="AW1185" s="1825"/>
      <c r="AX1185" s="1825"/>
      <c r="AY1185" s="1825"/>
      <c r="AZ1185" s="1825"/>
      <c r="BA1185" s="1825"/>
      <c r="BB1185" s="1825"/>
      <c r="BC1185" s="1825"/>
      <c r="BD1185" s="1825"/>
      <c r="BE1185" s="1825"/>
      <c r="BF1185" s="1825"/>
      <c r="BG1185" s="1825"/>
      <c r="BH1185" s="1825"/>
      <c r="BI1185" s="1825"/>
      <c r="BJ1185" s="1825"/>
      <c r="BK1185" s="1825"/>
      <c r="BL1185" s="1825"/>
      <c r="BM1185" s="1825"/>
      <c r="BN1185" s="1825"/>
      <c r="BO1185" s="1825"/>
      <c r="BP1185" s="1825"/>
      <c r="BQ1185" s="1825"/>
      <c r="BR1185" s="1825"/>
      <c r="BS1185" s="1825"/>
      <c r="BT1185" s="1825"/>
      <c r="BU1185" s="1825"/>
      <c r="BV1185" s="1825"/>
      <c r="BW1185" s="1825"/>
      <c r="BX1185" s="1825"/>
      <c r="BY1185" s="1825"/>
      <c r="BZ1185" s="1825"/>
      <c r="CA1185" s="1825"/>
      <c r="CB1185" s="1825"/>
      <c r="CC1185" s="1825"/>
      <c r="CD1185" s="1825"/>
      <c r="CE1185" s="1825"/>
      <c r="CF1185" s="1825"/>
      <c r="CG1185" s="1825"/>
      <c r="CH1185" s="1825"/>
      <c r="CI1185" s="1825"/>
      <c r="CJ1185" s="1825"/>
      <c r="CK1185" s="1825"/>
    </row>
    <row r="1186" spans="1:89" s="729" customFormat="1" ht="16.5" customHeight="1" x14ac:dyDescent="0.2">
      <c r="A1186" s="742">
        <v>3</v>
      </c>
      <c r="B1186" s="1480" t="s">
        <v>27</v>
      </c>
      <c r="C1186" s="743"/>
      <c r="D1186" s="1484"/>
      <c r="E1186" s="1485"/>
      <c r="F1186" s="1414"/>
      <c r="G1186" s="1414"/>
      <c r="H1186" s="1414"/>
      <c r="I1186" s="1414"/>
      <c r="J1186" s="1414"/>
      <c r="K1186" s="1414"/>
      <c r="L1186" s="1414"/>
      <c r="M1186" s="1414"/>
      <c r="N1186" s="1414"/>
      <c r="O1186" s="1474">
        <f t="shared" si="86"/>
        <v>0</v>
      </c>
      <c r="P1186" s="1475"/>
      <c r="Q1186" s="1825"/>
      <c r="R1186" s="1825"/>
      <c r="S1186" s="1825"/>
      <c r="T1186" s="1825"/>
      <c r="U1186" s="1825"/>
      <c r="V1186" s="1825"/>
      <c r="W1186" s="1825"/>
      <c r="X1186" s="1825"/>
      <c r="Y1186" s="1825"/>
      <c r="Z1186" s="1825"/>
      <c r="AA1186" s="1825"/>
      <c r="AB1186" s="1825"/>
      <c r="AC1186" s="1825"/>
      <c r="AD1186" s="1825"/>
      <c r="AE1186" s="1825"/>
      <c r="AF1186" s="1825"/>
      <c r="AG1186" s="1825"/>
      <c r="AH1186" s="1825"/>
      <c r="AI1186" s="1825"/>
      <c r="AJ1186" s="1825"/>
      <c r="AK1186" s="1825"/>
      <c r="AL1186" s="1825"/>
      <c r="AM1186" s="1825"/>
      <c r="AN1186" s="1825"/>
      <c r="AO1186" s="1825"/>
      <c r="AP1186" s="1825"/>
      <c r="AQ1186" s="1825"/>
      <c r="AR1186" s="1825"/>
      <c r="AS1186" s="1825"/>
      <c r="AT1186" s="1825"/>
      <c r="AU1186" s="1825"/>
      <c r="AV1186" s="1825"/>
      <c r="AW1186" s="1825"/>
      <c r="AX1186" s="1825"/>
      <c r="AY1186" s="1825"/>
      <c r="AZ1186" s="1825"/>
      <c r="BA1186" s="1825"/>
      <c r="BB1186" s="1825"/>
      <c r="BC1186" s="1825"/>
      <c r="BD1186" s="1825"/>
      <c r="BE1186" s="1825"/>
      <c r="BF1186" s="1825"/>
      <c r="BG1186" s="1825"/>
      <c r="BH1186" s="1825"/>
      <c r="BI1186" s="1825"/>
      <c r="BJ1186" s="1825"/>
      <c r="BK1186" s="1825"/>
      <c r="BL1186" s="1825"/>
      <c r="BM1186" s="1825"/>
      <c r="BN1186" s="1825"/>
      <c r="BO1186" s="1825"/>
      <c r="BP1186" s="1825"/>
      <c r="BQ1186" s="1825"/>
      <c r="BR1186" s="1825"/>
      <c r="BS1186" s="1825"/>
      <c r="BT1186" s="1825"/>
      <c r="BU1186" s="1825"/>
      <c r="BV1186" s="1825"/>
      <c r="BW1186" s="1825"/>
      <c r="BX1186" s="1825"/>
      <c r="BY1186" s="1825"/>
      <c r="BZ1186" s="1825"/>
      <c r="CA1186" s="1825"/>
      <c r="CB1186" s="1825"/>
      <c r="CC1186" s="1825"/>
      <c r="CD1186" s="1825"/>
      <c r="CE1186" s="1825"/>
      <c r="CF1186" s="1825"/>
      <c r="CG1186" s="1825"/>
      <c r="CH1186" s="1825"/>
      <c r="CI1186" s="1825"/>
      <c r="CJ1186" s="1825"/>
      <c r="CK1186" s="1825"/>
    </row>
    <row r="1187" spans="1:89" s="729" customFormat="1" ht="16.5" customHeight="1" x14ac:dyDescent="0.2">
      <c r="A1187" s="742"/>
      <c r="B1187" s="1480" t="s">
        <v>42</v>
      </c>
      <c r="C1187" s="743">
        <v>1</v>
      </c>
      <c r="D1187" s="1484" t="s">
        <v>25</v>
      </c>
      <c r="E1187" s="1485">
        <v>25000</v>
      </c>
      <c r="F1187" s="1414"/>
      <c r="G1187" s="1414"/>
      <c r="H1187" s="1414"/>
      <c r="I1187" s="1414"/>
      <c r="J1187" s="1414">
        <f>C1187*E1187</f>
        <v>25000</v>
      </c>
      <c r="K1187" s="1414">
        <f>I1187+J1187</f>
        <v>25000</v>
      </c>
      <c r="L1187" s="1414"/>
      <c r="M1187" s="1414"/>
      <c r="N1187" s="1414"/>
      <c r="O1187" s="1474">
        <f t="shared" si="86"/>
        <v>25000</v>
      </c>
      <c r="P1187" s="1475"/>
      <c r="Q1187" s="1825"/>
      <c r="R1187" s="1825"/>
      <c r="S1187" s="1825"/>
      <c r="T1187" s="1825"/>
      <c r="U1187" s="1825"/>
      <c r="V1187" s="1825"/>
      <c r="W1187" s="1825"/>
      <c r="X1187" s="1825"/>
      <c r="Y1187" s="1825"/>
      <c r="Z1187" s="1825"/>
      <c r="AA1187" s="1825"/>
      <c r="AB1187" s="1825"/>
      <c r="AC1187" s="1825"/>
      <c r="AD1187" s="1825"/>
      <c r="AE1187" s="1825"/>
      <c r="AF1187" s="1825"/>
      <c r="AG1187" s="1825"/>
      <c r="AH1187" s="1825"/>
      <c r="AI1187" s="1825"/>
      <c r="AJ1187" s="1825"/>
      <c r="AK1187" s="1825"/>
      <c r="AL1187" s="1825"/>
      <c r="AM1187" s="1825"/>
      <c r="AN1187" s="1825"/>
      <c r="AO1187" s="1825"/>
      <c r="AP1187" s="1825"/>
      <c r="AQ1187" s="1825"/>
      <c r="AR1187" s="1825"/>
      <c r="AS1187" s="1825"/>
      <c r="AT1187" s="1825"/>
      <c r="AU1187" s="1825"/>
      <c r="AV1187" s="1825"/>
      <c r="AW1187" s="1825"/>
      <c r="AX1187" s="1825"/>
      <c r="AY1187" s="1825"/>
      <c r="AZ1187" s="1825"/>
      <c r="BA1187" s="1825"/>
      <c r="BB1187" s="1825"/>
      <c r="BC1187" s="1825"/>
      <c r="BD1187" s="1825"/>
      <c r="BE1187" s="1825"/>
      <c r="BF1187" s="1825"/>
      <c r="BG1187" s="1825"/>
      <c r="BH1187" s="1825"/>
      <c r="BI1187" s="1825"/>
      <c r="BJ1187" s="1825"/>
      <c r="BK1187" s="1825"/>
      <c r="BL1187" s="1825"/>
      <c r="BM1187" s="1825"/>
      <c r="BN1187" s="1825"/>
      <c r="BO1187" s="1825"/>
      <c r="BP1187" s="1825"/>
      <c r="BQ1187" s="1825"/>
      <c r="BR1187" s="1825"/>
      <c r="BS1187" s="1825"/>
      <c r="BT1187" s="1825"/>
      <c r="BU1187" s="1825"/>
      <c r="BV1187" s="1825"/>
      <c r="BW1187" s="1825"/>
      <c r="BX1187" s="1825"/>
      <c r="BY1187" s="1825"/>
      <c r="BZ1187" s="1825"/>
      <c r="CA1187" s="1825"/>
      <c r="CB1187" s="1825"/>
      <c r="CC1187" s="1825"/>
      <c r="CD1187" s="1825"/>
      <c r="CE1187" s="1825"/>
      <c r="CF1187" s="1825"/>
      <c r="CG1187" s="1825"/>
      <c r="CH1187" s="1825"/>
      <c r="CI1187" s="1825"/>
      <c r="CJ1187" s="1825"/>
      <c r="CK1187" s="1825"/>
    </row>
    <row r="1188" spans="1:89" s="729" customFormat="1" ht="16.5" customHeight="1" x14ac:dyDescent="0.2">
      <c r="A1188" s="742"/>
      <c r="B1188" s="1480"/>
      <c r="C1188" s="743"/>
      <c r="D1188" s="1484"/>
      <c r="E1188" s="1485"/>
      <c r="F1188" s="1414"/>
      <c r="G1188" s="1414"/>
      <c r="H1188" s="1414"/>
      <c r="I1188" s="1414"/>
      <c r="J1188" s="1414"/>
      <c r="K1188" s="1414"/>
      <c r="L1188" s="1414"/>
      <c r="M1188" s="1414"/>
      <c r="N1188" s="1414"/>
      <c r="O1188" s="1474">
        <f t="shared" si="86"/>
        <v>0</v>
      </c>
      <c r="P1188" s="1475"/>
      <c r="Q1188" s="1825"/>
      <c r="R1188" s="1825"/>
      <c r="S1188" s="1825"/>
      <c r="T1188" s="1825"/>
      <c r="U1188" s="1825"/>
      <c r="V1188" s="1825"/>
      <c r="W1188" s="1825"/>
      <c r="X1188" s="1825"/>
      <c r="Y1188" s="1825"/>
      <c r="Z1188" s="1825"/>
      <c r="AA1188" s="1825"/>
      <c r="AB1188" s="1825"/>
      <c r="AC1188" s="1825"/>
      <c r="AD1188" s="1825"/>
      <c r="AE1188" s="1825"/>
      <c r="AF1188" s="1825"/>
      <c r="AG1188" s="1825"/>
      <c r="AH1188" s="1825"/>
      <c r="AI1188" s="1825"/>
      <c r="AJ1188" s="1825"/>
      <c r="AK1188" s="1825"/>
      <c r="AL1188" s="1825"/>
      <c r="AM1188" s="1825"/>
      <c r="AN1188" s="1825"/>
      <c r="AO1188" s="1825"/>
      <c r="AP1188" s="1825"/>
      <c r="AQ1188" s="1825"/>
      <c r="AR1188" s="1825"/>
      <c r="AS1188" s="1825"/>
      <c r="AT1188" s="1825"/>
      <c r="AU1188" s="1825"/>
      <c r="AV1188" s="1825"/>
      <c r="AW1188" s="1825"/>
      <c r="AX1188" s="1825"/>
      <c r="AY1188" s="1825"/>
      <c r="AZ1188" s="1825"/>
      <c r="BA1188" s="1825"/>
      <c r="BB1188" s="1825"/>
      <c r="BC1188" s="1825"/>
      <c r="BD1188" s="1825"/>
      <c r="BE1188" s="1825"/>
      <c r="BF1188" s="1825"/>
      <c r="BG1188" s="1825"/>
      <c r="BH1188" s="1825"/>
      <c r="BI1188" s="1825"/>
      <c r="BJ1188" s="1825"/>
      <c r="BK1188" s="1825"/>
      <c r="BL1188" s="1825"/>
      <c r="BM1188" s="1825"/>
      <c r="BN1188" s="1825"/>
      <c r="BO1188" s="1825"/>
      <c r="BP1188" s="1825"/>
      <c r="BQ1188" s="1825"/>
      <c r="BR1188" s="1825"/>
      <c r="BS1188" s="1825"/>
      <c r="BT1188" s="1825"/>
      <c r="BU1188" s="1825"/>
      <c r="BV1188" s="1825"/>
      <c r="BW1188" s="1825"/>
      <c r="BX1188" s="1825"/>
      <c r="BY1188" s="1825"/>
      <c r="BZ1188" s="1825"/>
      <c r="CA1188" s="1825"/>
      <c r="CB1188" s="1825"/>
      <c r="CC1188" s="1825"/>
      <c r="CD1188" s="1825"/>
      <c r="CE1188" s="1825"/>
      <c r="CF1188" s="1825"/>
      <c r="CG1188" s="1825"/>
      <c r="CH1188" s="1825"/>
      <c r="CI1188" s="1825"/>
      <c r="CJ1188" s="1825"/>
      <c r="CK1188" s="1825"/>
    </row>
    <row r="1189" spans="1:89" s="729" customFormat="1" ht="16.5" customHeight="1" x14ac:dyDescent="0.2">
      <c r="A1189" s="742">
        <v>4</v>
      </c>
      <c r="B1189" s="1480" t="s">
        <v>40</v>
      </c>
      <c r="C1189" s="743"/>
      <c r="D1189" s="1484"/>
      <c r="E1189" s="1485"/>
      <c r="F1189" s="1414"/>
      <c r="G1189" s="1414"/>
      <c r="H1189" s="1414"/>
      <c r="I1189" s="1414"/>
      <c r="J1189" s="1414"/>
      <c r="K1189" s="1414"/>
      <c r="L1189" s="1414"/>
      <c r="M1189" s="1414"/>
      <c r="N1189" s="1414"/>
      <c r="O1189" s="1474">
        <f t="shared" si="86"/>
        <v>0</v>
      </c>
      <c r="P1189" s="1475"/>
      <c r="Q1189" s="1825"/>
      <c r="R1189" s="1825"/>
      <c r="S1189" s="1825"/>
      <c r="T1189" s="1825"/>
      <c r="U1189" s="1825"/>
      <c r="V1189" s="1825"/>
      <c r="W1189" s="1825"/>
      <c r="X1189" s="1825"/>
      <c r="Y1189" s="1825"/>
      <c r="Z1189" s="1825"/>
      <c r="AA1189" s="1825"/>
      <c r="AB1189" s="1825"/>
      <c r="AC1189" s="1825"/>
      <c r="AD1189" s="1825"/>
      <c r="AE1189" s="1825"/>
      <c r="AF1189" s="1825"/>
      <c r="AG1189" s="1825"/>
      <c r="AH1189" s="1825"/>
      <c r="AI1189" s="1825"/>
      <c r="AJ1189" s="1825"/>
      <c r="AK1189" s="1825"/>
      <c r="AL1189" s="1825"/>
      <c r="AM1189" s="1825"/>
      <c r="AN1189" s="1825"/>
      <c r="AO1189" s="1825"/>
      <c r="AP1189" s="1825"/>
      <c r="AQ1189" s="1825"/>
      <c r="AR1189" s="1825"/>
      <c r="AS1189" s="1825"/>
      <c r="AT1189" s="1825"/>
      <c r="AU1189" s="1825"/>
      <c r="AV1189" s="1825"/>
      <c r="AW1189" s="1825"/>
      <c r="AX1189" s="1825"/>
      <c r="AY1189" s="1825"/>
      <c r="AZ1189" s="1825"/>
      <c r="BA1189" s="1825"/>
      <c r="BB1189" s="1825"/>
      <c r="BC1189" s="1825"/>
      <c r="BD1189" s="1825"/>
      <c r="BE1189" s="1825"/>
      <c r="BF1189" s="1825"/>
      <c r="BG1189" s="1825"/>
      <c r="BH1189" s="1825"/>
      <c r="BI1189" s="1825"/>
      <c r="BJ1189" s="1825"/>
      <c r="BK1189" s="1825"/>
      <c r="BL1189" s="1825"/>
      <c r="BM1189" s="1825"/>
      <c r="BN1189" s="1825"/>
      <c r="BO1189" s="1825"/>
      <c r="BP1189" s="1825"/>
      <c r="BQ1189" s="1825"/>
      <c r="BR1189" s="1825"/>
      <c r="BS1189" s="1825"/>
      <c r="BT1189" s="1825"/>
      <c r="BU1189" s="1825"/>
      <c r="BV1189" s="1825"/>
      <c r="BW1189" s="1825"/>
      <c r="BX1189" s="1825"/>
      <c r="BY1189" s="1825"/>
      <c r="BZ1189" s="1825"/>
      <c r="CA1189" s="1825"/>
      <c r="CB1189" s="1825"/>
      <c r="CC1189" s="1825"/>
      <c r="CD1189" s="1825"/>
      <c r="CE1189" s="1825"/>
      <c r="CF1189" s="1825"/>
      <c r="CG1189" s="1825"/>
      <c r="CH1189" s="1825"/>
      <c r="CI1189" s="1825"/>
      <c r="CJ1189" s="1825"/>
      <c r="CK1189" s="1825"/>
    </row>
    <row r="1190" spans="1:89" s="729" customFormat="1" ht="16.5" customHeight="1" x14ac:dyDescent="0.2">
      <c r="A1190" s="742"/>
      <c r="B1190" s="1480" t="s">
        <v>41</v>
      </c>
      <c r="C1190" s="743">
        <v>1</v>
      </c>
      <c r="D1190" s="1484" t="s">
        <v>25</v>
      </c>
      <c r="E1190" s="1485">
        <v>30000</v>
      </c>
      <c r="F1190" s="1414"/>
      <c r="G1190" s="1414"/>
      <c r="H1190" s="1414"/>
      <c r="I1190" s="1414"/>
      <c r="J1190" s="1414">
        <f>C1190*E1190</f>
        <v>30000</v>
      </c>
      <c r="K1190" s="1414">
        <f>I1190+J1190</f>
        <v>30000</v>
      </c>
      <c r="L1190" s="1414"/>
      <c r="M1190" s="1414"/>
      <c r="N1190" s="1414"/>
      <c r="O1190" s="1474">
        <f t="shared" si="86"/>
        <v>30000</v>
      </c>
      <c r="P1190" s="1475"/>
      <c r="Q1190" s="1825"/>
      <c r="R1190" s="1825"/>
      <c r="S1190" s="1825"/>
      <c r="T1190" s="1825"/>
      <c r="U1190" s="1825"/>
      <c r="V1190" s="1825"/>
      <c r="W1190" s="1825"/>
      <c r="X1190" s="1825"/>
      <c r="Y1190" s="1825"/>
      <c r="Z1190" s="1825"/>
      <c r="AA1190" s="1825"/>
      <c r="AB1190" s="1825"/>
      <c r="AC1190" s="1825"/>
      <c r="AD1190" s="1825"/>
      <c r="AE1190" s="1825"/>
      <c r="AF1190" s="1825"/>
      <c r="AG1190" s="1825"/>
      <c r="AH1190" s="1825"/>
      <c r="AI1190" s="1825"/>
      <c r="AJ1190" s="1825"/>
      <c r="AK1190" s="1825"/>
      <c r="AL1190" s="1825"/>
      <c r="AM1190" s="1825"/>
      <c r="AN1190" s="1825"/>
      <c r="AO1190" s="1825"/>
      <c r="AP1190" s="1825"/>
      <c r="AQ1190" s="1825"/>
      <c r="AR1190" s="1825"/>
      <c r="AS1190" s="1825"/>
      <c r="AT1190" s="1825"/>
      <c r="AU1190" s="1825"/>
      <c r="AV1190" s="1825"/>
      <c r="AW1190" s="1825"/>
      <c r="AX1190" s="1825"/>
      <c r="AY1190" s="1825"/>
      <c r="AZ1190" s="1825"/>
      <c r="BA1190" s="1825"/>
      <c r="BB1190" s="1825"/>
      <c r="BC1190" s="1825"/>
      <c r="BD1190" s="1825"/>
      <c r="BE1190" s="1825"/>
      <c r="BF1190" s="1825"/>
      <c r="BG1190" s="1825"/>
      <c r="BH1190" s="1825"/>
      <c r="BI1190" s="1825"/>
      <c r="BJ1190" s="1825"/>
      <c r="BK1190" s="1825"/>
      <c r="BL1190" s="1825"/>
      <c r="BM1190" s="1825"/>
      <c r="BN1190" s="1825"/>
      <c r="BO1190" s="1825"/>
      <c r="BP1190" s="1825"/>
      <c r="BQ1190" s="1825"/>
      <c r="BR1190" s="1825"/>
      <c r="BS1190" s="1825"/>
      <c r="BT1190" s="1825"/>
      <c r="BU1190" s="1825"/>
      <c r="BV1190" s="1825"/>
      <c r="BW1190" s="1825"/>
      <c r="BX1190" s="1825"/>
      <c r="BY1190" s="1825"/>
      <c r="BZ1190" s="1825"/>
      <c r="CA1190" s="1825"/>
      <c r="CB1190" s="1825"/>
      <c r="CC1190" s="1825"/>
      <c r="CD1190" s="1825"/>
      <c r="CE1190" s="1825"/>
      <c r="CF1190" s="1825"/>
      <c r="CG1190" s="1825"/>
      <c r="CH1190" s="1825"/>
      <c r="CI1190" s="1825"/>
      <c r="CJ1190" s="1825"/>
      <c r="CK1190" s="1825"/>
    </row>
    <row r="1191" spans="1:89" s="729" customFormat="1" ht="16.5" customHeight="1" x14ac:dyDescent="0.2">
      <c r="A1191" s="742"/>
      <c r="B1191" s="1480"/>
      <c r="C1191" s="743"/>
      <c r="D1191" s="1484"/>
      <c r="E1191" s="1485"/>
      <c r="F1191" s="1414"/>
      <c r="G1191" s="1414"/>
      <c r="H1191" s="1414"/>
      <c r="I1191" s="1414"/>
      <c r="J1191" s="1414"/>
      <c r="K1191" s="1414"/>
      <c r="L1191" s="1414"/>
      <c r="M1191" s="1414"/>
      <c r="N1191" s="1414"/>
      <c r="O1191" s="1474">
        <f t="shared" si="86"/>
        <v>0</v>
      </c>
      <c r="P1191" s="1475"/>
      <c r="Q1191" s="1825"/>
      <c r="R1191" s="1825"/>
      <c r="S1191" s="1825"/>
      <c r="T1191" s="1825"/>
      <c r="U1191" s="1825"/>
      <c r="V1191" s="1825"/>
      <c r="W1191" s="1825"/>
      <c r="X1191" s="1825"/>
      <c r="Y1191" s="1825"/>
      <c r="Z1191" s="1825"/>
      <c r="AA1191" s="1825"/>
      <c r="AB1191" s="1825"/>
      <c r="AC1191" s="1825"/>
      <c r="AD1191" s="1825"/>
      <c r="AE1191" s="1825"/>
      <c r="AF1191" s="1825"/>
      <c r="AG1191" s="1825"/>
      <c r="AH1191" s="1825"/>
      <c r="AI1191" s="1825"/>
      <c r="AJ1191" s="1825"/>
      <c r="AK1191" s="1825"/>
      <c r="AL1191" s="1825"/>
      <c r="AM1191" s="1825"/>
      <c r="AN1191" s="1825"/>
      <c r="AO1191" s="1825"/>
      <c r="AP1191" s="1825"/>
      <c r="AQ1191" s="1825"/>
      <c r="AR1191" s="1825"/>
      <c r="AS1191" s="1825"/>
      <c r="AT1191" s="1825"/>
      <c r="AU1191" s="1825"/>
      <c r="AV1191" s="1825"/>
      <c r="AW1191" s="1825"/>
      <c r="AX1191" s="1825"/>
      <c r="AY1191" s="1825"/>
      <c r="AZ1191" s="1825"/>
      <c r="BA1191" s="1825"/>
      <c r="BB1191" s="1825"/>
      <c r="BC1191" s="1825"/>
      <c r="BD1191" s="1825"/>
      <c r="BE1191" s="1825"/>
      <c r="BF1191" s="1825"/>
      <c r="BG1191" s="1825"/>
      <c r="BH1191" s="1825"/>
      <c r="BI1191" s="1825"/>
      <c r="BJ1191" s="1825"/>
      <c r="BK1191" s="1825"/>
      <c r="BL1191" s="1825"/>
      <c r="BM1191" s="1825"/>
      <c r="BN1191" s="1825"/>
      <c r="BO1191" s="1825"/>
      <c r="BP1191" s="1825"/>
      <c r="BQ1191" s="1825"/>
      <c r="BR1191" s="1825"/>
      <c r="BS1191" s="1825"/>
      <c r="BT1191" s="1825"/>
      <c r="BU1191" s="1825"/>
      <c r="BV1191" s="1825"/>
      <c r="BW1191" s="1825"/>
      <c r="BX1191" s="1825"/>
      <c r="BY1191" s="1825"/>
      <c r="BZ1191" s="1825"/>
      <c r="CA1191" s="1825"/>
      <c r="CB1191" s="1825"/>
      <c r="CC1191" s="1825"/>
      <c r="CD1191" s="1825"/>
      <c r="CE1191" s="1825"/>
      <c r="CF1191" s="1825"/>
      <c r="CG1191" s="1825"/>
      <c r="CH1191" s="1825"/>
      <c r="CI1191" s="1825"/>
      <c r="CJ1191" s="1825"/>
      <c r="CK1191" s="1825"/>
    </row>
    <row r="1192" spans="1:89" s="729" customFormat="1" ht="16.5" customHeight="1" x14ac:dyDescent="0.2">
      <c r="A1192" s="742">
        <v>5</v>
      </c>
      <c r="B1192" s="1480" t="s">
        <v>43</v>
      </c>
      <c r="C1192" s="743"/>
      <c r="D1192" s="1484"/>
      <c r="E1192" s="1485"/>
      <c r="F1192" s="1414"/>
      <c r="G1192" s="1414"/>
      <c r="H1192" s="1414"/>
      <c r="I1192" s="1414"/>
      <c r="J1192" s="1414"/>
      <c r="K1192" s="1414"/>
      <c r="L1192" s="1414"/>
      <c r="M1192" s="1414"/>
      <c r="N1192" s="1414"/>
      <c r="O1192" s="1474">
        <f t="shared" si="86"/>
        <v>0</v>
      </c>
      <c r="P1192" s="1475"/>
      <c r="Q1192" s="1825"/>
      <c r="R1192" s="1825"/>
      <c r="S1192" s="1825"/>
      <c r="T1192" s="1825"/>
      <c r="U1192" s="1825"/>
      <c r="V1192" s="1825"/>
      <c r="W1192" s="1825"/>
      <c r="X1192" s="1825"/>
      <c r="Y1192" s="1825"/>
      <c r="Z1192" s="1825"/>
      <c r="AA1192" s="1825"/>
      <c r="AB1192" s="1825"/>
      <c r="AC1192" s="1825"/>
      <c r="AD1192" s="1825"/>
      <c r="AE1192" s="1825"/>
      <c r="AF1192" s="1825"/>
      <c r="AG1192" s="1825"/>
      <c r="AH1192" s="1825"/>
      <c r="AI1192" s="1825"/>
      <c r="AJ1192" s="1825"/>
      <c r="AK1192" s="1825"/>
      <c r="AL1192" s="1825"/>
      <c r="AM1192" s="1825"/>
      <c r="AN1192" s="1825"/>
      <c r="AO1192" s="1825"/>
      <c r="AP1192" s="1825"/>
      <c r="AQ1192" s="1825"/>
      <c r="AR1192" s="1825"/>
      <c r="AS1192" s="1825"/>
      <c r="AT1192" s="1825"/>
      <c r="AU1192" s="1825"/>
      <c r="AV1192" s="1825"/>
      <c r="AW1192" s="1825"/>
      <c r="AX1192" s="1825"/>
      <c r="AY1192" s="1825"/>
      <c r="AZ1192" s="1825"/>
      <c r="BA1192" s="1825"/>
      <c r="BB1192" s="1825"/>
      <c r="BC1192" s="1825"/>
      <c r="BD1192" s="1825"/>
      <c r="BE1192" s="1825"/>
      <c r="BF1192" s="1825"/>
      <c r="BG1192" s="1825"/>
      <c r="BH1192" s="1825"/>
      <c r="BI1192" s="1825"/>
      <c r="BJ1192" s="1825"/>
      <c r="BK1192" s="1825"/>
      <c r="BL1192" s="1825"/>
      <c r="BM1192" s="1825"/>
      <c r="BN1192" s="1825"/>
      <c r="BO1192" s="1825"/>
      <c r="BP1192" s="1825"/>
      <c r="BQ1192" s="1825"/>
      <c r="BR1192" s="1825"/>
      <c r="BS1192" s="1825"/>
      <c r="BT1192" s="1825"/>
      <c r="BU1192" s="1825"/>
      <c r="BV1192" s="1825"/>
      <c r="BW1192" s="1825"/>
      <c r="BX1192" s="1825"/>
      <c r="BY1192" s="1825"/>
      <c r="BZ1192" s="1825"/>
      <c r="CA1192" s="1825"/>
      <c r="CB1192" s="1825"/>
      <c r="CC1192" s="1825"/>
      <c r="CD1192" s="1825"/>
      <c r="CE1192" s="1825"/>
      <c r="CF1192" s="1825"/>
      <c r="CG1192" s="1825"/>
      <c r="CH1192" s="1825"/>
      <c r="CI1192" s="1825"/>
      <c r="CJ1192" s="1825"/>
      <c r="CK1192" s="1825"/>
    </row>
    <row r="1193" spans="1:89" s="729" customFormat="1" ht="16.5" customHeight="1" x14ac:dyDescent="0.2">
      <c r="A1193" s="742"/>
      <c r="B1193" s="1480" t="s">
        <v>44</v>
      </c>
      <c r="C1193" s="743">
        <v>10</v>
      </c>
      <c r="D1193" s="1487" t="s">
        <v>45</v>
      </c>
      <c r="E1193" s="1485">
        <v>6000</v>
      </c>
      <c r="F1193" s="1414"/>
      <c r="G1193" s="1414"/>
      <c r="H1193" s="1414"/>
      <c r="I1193" s="1414"/>
      <c r="J1193" s="1414">
        <f>C1193*E1193</f>
        <v>60000</v>
      </c>
      <c r="K1193" s="1414">
        <f>I1193+J1193</f>
        <v>60000</v>
      </c>
      <c r="L1193" s="1414"/>
      <c r="M1193" s="1414"/>
      <c r="N1193" s="1414"/>
      <c r="O1193" s="1474">
        <f t="shared" si="86"/>
        <v>60000</v>
      </c>
      <c r="P1193" s="1475"/>
      <c r="Q1193" s="1825"/>
      <c r="R1193" s="1825"/>
      <c r="S1193" s="1825"/>
      <c r="T1193" s="1825"/>
      <c r="U1193" s="1825"/>
      <c r="V1193" s="1825"/>
      <c r="W1193" s="1825"/>
      <c r="X1193" s="1825"/>
      <c r="Y1193" s="1825"/>
      <c r="Z1193" s="1825"/>
      <c r="AA1193" s="1825"/>
      <c r="AB1193" s="1825"/>
      <c r="AC1193" s="1825"/>
      <c r="AD1193" s="1825"/>
      <c r="AE1193" s="1825"/>
      <c r="AF1193" s="1825"/>
      <c r="AG1193" s="1825"/>
      <c r="AH1193" s="1825"/>
      <c r="AI1193" s="1825"/>
      <c r="AJ1193" s="1825"/>
      <c r="AK1193" s="1825"/>
      <c r="AL1193" s="1825"/>
      <c r="AM1193" s="1825"/>
      <c r="AN1193" s="1825"/>
      <c r="AO1193" s="1825"/>
      <c r="AP1193" s="1825"/>
      <c r="AQ1193" s="1825"/>
      <c r="AR1193" s="1825"/>
      <c r="AS1193" s="1825"/>
      <c r="AT1193" s="1825"/>
      <c r="AU1193" s="1825"/>
      <c r="AV1193" s="1825"/>
      <c r="AW1193" s="1825"/>
      <c r="AX1193" s="1825"/>
      <c r="AY1193" s="1825"/>
      <c r="AZ1193" s="1825"/>
      <c r="BA1193" s="1825"/>
      <c r="BB1193" s="1825"/>
      <c r="BC1193" s="1825"/>
      <c r="BD1193" s="1825"/>
      <c r="BE1193" s="1825"/>
      <c r="BF1193" s="1825"/>
      <c r="BG1193" s="1825"/>
      <c r="BH1193" s="1825"/>
      <c r="BI1193" s="1825"/>
      <c r="BJ1193" s="1825"/>
      <c r="BK1193" s="1825"/>
      <c r="BL1193" s="1825"/>
      <c r="BM1193" s="1825"/>
      <c r="BN1193" s="1825"/>
      <c r="BO1193" s="1825"/>
      <c r="BP1193" s="1825"/>
      <c r="BQ1193" s="1825"/>
      <c r="BR1193" s="1825"/>
      <c r="BS1193" s="1825"/>
      <c r="BT1193" s="1825"/>
      <c r="BU1193" s="1825"/>
      <c r="BV1193" s="1825"/>
      <c r="BW1193" s="1825"/>
      <c r="BX1193" s="1825"/>
      <c r="BY1193" s="1825"/>
      <c r="BZ1193" s="1825"/>
      <c r="CA1193" s="1825"/>
      <c r="CB1193" s="1825"/>
      <c r="CC1193" s="1825"/>
      <c r="CD1193" s="1825"/>
      <c r="CE1193" s="1825"/>
      <c r="CF1193" s="1825"/>
      <c r="CG1193" s="1825"/>
      <c r="CH1193" s="1825"/>
      <c r="CI1193" s="1825"/>
      <c r="CJ1193" s="1825"/>
      <c r="CK1193" s="1825"/>
    </row>
    <row r="1194" spans="1:89" s="729" customFormat="1" ht="16.5" customHeight="1" x14ac:dyDescent="0.2">
      <c r="A1194" s="742"/>
      <c r="B1194" s="1480"/>
      <c r="C1194" s="743"/>
      <c r="D1194" s="1487"/>
      <c r="E1194" s="1485"/>
      <c r="F1194" s="1414"/>
      <c r="G1194" s="1414"/>
      <c r="H1194" s="1414"/>
      <c r="I1194" s="1414"/>
      <c r="J1194" s="1414"/>
      <c r="K1194" s="1414"/>
      <c r="L1194" s="1414"/>
      <c r="M1194" s="1414"/>
      <c r="N1194" s="1414"/>
      <c r="O1194" s="1474">
        <f t="shared" si="86"/>
        <v>0</v>
      </c>
      <c r="P1194" s="1475"/>
      <c r="Q1194" s="1825"/>
      <c r="R1194" s="1825"/>
      <c r="S1194" s="1825"/>
      <c r="T1194" s="1825"/>
      <c r="U1194" s="1825"/>
      <c r="V1194" s="1825"/>
      <c r="W1194" s="1825"/>
      <c r="X1194" s="1825"/>
      <c r="Y1194" s="1825"/>
      <c r="Z1194" s="1825"/>
      <c r="AA1194" s="1825"/>
      <c r="AB1194" s="1825"/>
      <c r="AC1194" s="1825"/>
      <c r="AD1194" s="1825"/>
      <c r="AE1194" s="1825"/>
      <c r="AF1194" s="1825"/>
      <c r="AG1194" s="1825"/>
      <c r="AH1194" s="1825"/>
      <c r="AI1194" s="1825"/>
      <c r="AJ1194" s="1825"/>
      <c r="AK1194" s="1825"/>
      <c r="AL1194" s="1825"/>
      <c r="AM1194" s="1825"/>
      <c r="AN1194" s="1825"/>
      <c r="AO1194" s="1825"/>
      <c r="AP1194" s="1825"/>
      <c r="AQ1194" s="1825"/>
      <c r="AR1194" s="1825"/>
      <c r="AS1194" s="1825"/>
      <c r="AT1194" s="1825"/>
      <c r="AU1194" s="1825"/>
      <c r="AV1194" s="1825"/>
      <c r="AW1194" s="1825"/>
      <c r="AX1194" s="1825"/>
      <c r="AY1194" s="1825"/>
      <c r="AZ1194" s="1825"/>
      <c r="BA1194" s="1825"/>
      <c r="BB1194" s="1825"/>
      <c r="BC1194" s="1825"/>
      <c r="BD1194" s="1825"/>
      <c r="BE1194" s="1825"/>
      <c r="BF1194" s="1825"/>
      <c r="BG1194" s="1825"/>
      <c r="BH1194" s="1825"/>
      <c r="BI1194" s="1825"/>
      <c r="BJ1194" s="1825"/>
      <c r="BK1194" s="1825"/>
      <c r="BL1194" s="1825"/>
      <c r="BM1194" s="1825"/>
      <c r="BN1194" s="1825"/>
      <c r="BO1194" s="1825"/>
      <c r="BP1194" s="1825"/>
      <c r="BQ1194" s="1825"/>
      <c r="BR1194" s="1825"/>
      <c r="BS1194" s="1825"/>
      <c r="BT1194" s="1825"/>
      <c r="BU1194" s="1825"/>
      <c r="BV1194" s="1825"/>
      <c r="BW1194" s="1825"/>
      <c r="BX1194" s="1825"/>
      <c r="BY1194" s="1825"/>
      <c r="BZ1194" s="1825"/>
      <c r="CA1194" s="1825"/>
      <c r="CB1194" s="1825"/>
      <c r="CC1194" s="1825"/>
      <c r="CD1194" s="1825"/>
      <c r="CE1194" s="1825"/>
      <c r="CF1194" s="1825"/>
      <c r="CG1194" s="1825"/>
      <c r="CH1194" s="1825"/>
      <c r="CI1194" s="1825"/>
      <c r="CJ1194" s="1825"/>
      <c r="CK1194" s="1825"/>
    </row>
    <row r="1195" spans="1:89" s="729" customFormat="1" ht="16.5" customHeight="1" x14ac:dyDescent="0.2">
      <c r="A1195" s="742">
        <v>6</v>
      </c>
      <c r="B1195" s="1480" t="s">
        <v>48</v>
      </c>
      <c r="C1195" s="743"/>
      <c r="D1195" s="1487"/>
      <c r="E1195" s="1485" t="s">
        <v>49</v>
      </c>
      <c r="F1195" s="1414"/>
      <c r="G1195" s="1414"/>
      <c r="H1195" s="1414"/>
      <c r="I1195" s="1414"/>
      <c r="J1195" s="1414"/>
      <c r="K1195" s="1414">
        <f>J1195+I1195</f>
        <v>0</v>
      </c>
      <c r="L1195" s="1414"/>
      <c r="M1195" s="1414"/>
      <c r="N1195" s="1414"/>
      <c r="O1195" s="1474">
        <f t="shared" si="86"/>
        <v>0</v>
      </c>
      <c r="P1195" s="1475"/>
      <c r="Q1195" s="1825"/>
      <c r="R1195" s="1825"/>
      <c r="S1195" s="1825"/>
      <c r="T1195" s="1825"/>
      <c r="U1195" s="1825"/>
      <c r="V1195" s="1825"/>
      <c r="W1195" s="1825"/>
      <c r="X1195" s="1825"/>
      <c r="Y1195" s="1825"/>
      <c r="Z1195" s="1825"/>
      <c r="AA1195" s="1825"/>
      <c r="AB1195" s="1825"/>
      <c r="AC1195" s="1825"/>
      <c r="AD1195" s="1825"/>
      <c r="AE1195" s="1825"/>
      <c r="AF1195" s="1825"/>
      <c r="AG1195" s="1825"/>
      <c r="AH1195" s="1825"/>
      <c r="AI1195" s="1825"/>
      <c r="AJ1195" s="1825"/>
      <c r="AK1195" s="1825"/>
      <c r="AL1195" s="1825"/>
      <c r="AM1195" s="1825"/>
      <c r="AN1195" s="1825"/>
      <c r="AO1195" s="1825"/>
      <c r="AP1195" s="1825"/>
      <c r="AQ1195" s="1825"/>
      <c r="AR1195" s="1825"/>
      <c r="AS1195" s="1825"/>
      <c r="AT1195" s="1825"/>
      <c r="AU1195" s="1825"/>
      <c r="AV1195" s="1825"/>
      <c r="AW1195" s="1825"/>
      <c r="AX1195" s="1825"/>
      <c r="AY1195" s="1825"/>
      <c r="AZ1195" s="1825"/>
      <c r="BA1195" s="1825"/>
      <c r="BB1195" s="1825"/>
      <c r="BC1195" s="1825"/>
      <c r="BD1195" s="1825"/>
      <c r="BE1195" s="1825"/>
      <c r="BF1195" s="1825"/>
      <c r="BG1195" s="1825"/>
      <c r="BH1195" s="1825"/>
      <c r="BI1195" s="1825"/>
      <c r="BJ1195" s="1825"/>
      <c r="BK1195" s="1825"/>
      <c r="BL1195" s="1825"/>
      <c r="BM1195" s="1825"/>
      <c r="BN1195" s="1825"/>
      <c r="BO1195" s="1825"/>
      <c r="BP1195" s="1825"/>
      <c r="BQ1195" s="1825"/>
      <c r="BR1195" s="1825"/>
      <c r="BS1195" s="1825"/>
      <c r="BT1195" s="1825"/>
      <c r="BU1195" s="1825"/>
      <c r="BV1195" s="1825"/>
      <c r="BW1195" s="1825"/>
      <c r="BX1195" s="1825"/>
      <c r="BY1195" s="1825"/>
      <c r="BZ1195" s="1825"/>
      <c r="CA1195" s="1825"/>
      <c r="CB1195" s="1825"/>
      <c r="CC1195" s="1825"/>
      <c r="CD1195" s="1825"/>
      <c r="CE1195" s="1825"/>
      <c r="CF1195" s="1825"/>
      <c r="CG1195" s="1825"/>
      <c r="CH1195" s="1825"/>
      <c r="CI1195" s="1825"/>
      <c r="CJ1195" s="1825"/>
      <c r="CK1195" s="1825"/>
    </row>
    <row r="1196" spans="1:89" s="729" customFormat="1" ht="16.5" customHeight="1" x14ac:dyDescent="0.2">
      <c r="A1196" s="742"/>
      <c r="B1196" s="1480" t="s">
        <v>50</v>
      </c>
      <c r="C1196" s="1284">
        <v>50</v>
      </c>
      <c r="D1196" s="1487" t="s">
        <v>51</v>
      </c>
      <c r="E1196" s="1414">
        <v>2000</v>
      </c>
      <c r="F1196" s="1414"/>
      <c r="G1196" s="1414"/>
      <c r="H1196" s="1414"/>
      <c r="I1196" s="1414"/>
      <c r="J1196" s="1414">
        <f>C1196*E1196</f>
        <v>100000</v>
      </c>
      <c r="K1196" s="1414">
        <f>I1196+J1196</f>
        <v>100000</v>
      </c>
      <c r="L1196" s="1414"/>
      <c r="M1196" s="1414"/>
      <c r="N1196" s="1414"/>
      <c r="O1196" s="1474">
        <f t="shared" si="86"/>
        <v>100000</v>
      </c>
      <c r="P1196" s="1475"/>
      <c r="Q1196" s="1825"/>
      <c r="R1196" s="1825"/>
      <c r="S1196" s="1825"/>
      <c r="T1196" s="1825"/>
      <c r="U1196" s="1825"/>
      <c r="V1196" s="1825"/>
      <c r="W1196" s="1825"/>
      <c r="X1196" s="1825"/>
      <c r="Y1196" s="1825"/>
      <c r="Z1196" s="1825"/>
      <c r="AA1196" s="1825"/>
      <c r="AB1196" s="1825"/>
      <c r="AC1196" s="1825"/>
      <c r="AD1196" s="1825"/>
      <c r="AE1196" s="1825"/>
      <c r="AF1196" s="1825"/>
      <c r="AG1196" s="1825"/>
      <c r="AH1196" s="1825"/>
      <c r="AI1196" s="1825"/>
      <c r="AJ1196" s="1825"/>
      <c r="AK1196" s="1825"/>
      <c r="AL1196" s="1825"/>
      <c r="AM1196" s="1825"/>
      <c r="AN1196" s="1825"/>
      <c r="AO1196" s="1825"/>
      <c r="AP1196" s="1825"/>
      <c r="AQ1196" s="1825"/>
      <c r="AR1196" s="1825"/>
      <c r="AS1196" s="1825"/>
      <c r="AT1196" s="1825"/>
      <c r="AU1196" s="1825"/>
      <c r="AV1196" s="1825"/>
      <c r="AW1196" s="1825"/>
      <c r="AX1196" s="1825"/>
      <c r="AY1196" s="1825"/>
      <c r="AZ1196" s="1825"/>
      <c r="BA1196" s="1825"/>
      <c r="BB1196" s="1825"/>
      <c r="BC1196" s="1825"/>
      <c r="BD1196" s="1825"/>
      <c r="BE1196" s="1825"/>
      <c r="BF1196" s="1825"/>
      <c r="BG1196" s="1825"/>
      <c r="BH1196" s="1825"/>
      <c r="BI1196" s="1825"/>
      <c r="BJ1196" s="1825"/>
      <c r="BK1196" s="1825"/>
      <c r="BL1196" s="1825"/>
      <c r="BM1196" s="1825"/>
      <c r="BN1196" s="1825"/>
      <c r="BO1196" s="1825"/>
      <c r="BP1196" s="1825"/>
      <c r="BQ1196" s="1825"/>
      <c r="BR1196" s="1825"/>
      <c r="BS1196" s="1825"/>
      <c r="BT1196" s="1825"/>
      <c r="BU1196" s="1825"/>
      <c r="BV1196" s="1825"/>
      <c r="BW1196" s="1825"/>
      <c r="BX1196" s="1825"/>
      <c r="BY1196" s="1825"/>
      <c r="BZ1196" s="1825"/>
      <c r="CA1196" s="1825"/>
      <c r="CB1196" s="1825"/>
      <c r="CC1196" s="1825"/>
      <c r="CD1196" s="1825"/>
      <c r="CE1196" s="1825"/>
      <c r="CF1196" s="1825"/>
      <c r="CG1196" s="1825"/>
      <c r="CH1196" s="1825"/>
      <c r="CI1196" s="1825"/>
      <c r="CJ1196" s="1825"/>
      <c r="CK1196" s="1825"/>
    </row>
    <row r="1197" spans="1:89" s="729" customFormat="1" ht="16.5" customHeight="1" x14ac:dyDescent="0.2">
      <c r="A1197" s="742"/>
      <c r="B1197" s="1480" t="s">
        <v>52</v>
      </c>
      <c r="C1197" s="1284">
        <v>90</v>
      </c>
      <c r="D1197" s="1487" t="s">
        <v>53</v>
      </c>
      <c r="E1197" s="1414">
        <v>450</v>
      </c>
      <c r="F1197" s="1414"/>
      <c r="G1197" s="1414"/>
      <c r="H1197" s="1414"/>
      <c r="I1197" s="1414"/>
      <c r="J1197" s="1414">
        <f>C1197*E1197</f>
        <v>40500</v>
      </c>
      <c r="K1197" s="1414">
        <f>I1197+J1197</f>
        <v>40500</v>
      </c>
      <c r="L1197" s="1414"/>
      <c r="M1197" s="1414"/>
      <c r="N1197" s="1414"/>
      <c r="O1197" s="1474">
        <f t="shared" si="86"/>
        <v>40500</v>
      </c>
      <c r="P1197" s="1475"/>
      <c r="Q1197" s="1825"/>
      <c r="R1197" s="1825"/>
      <c r="S1197" s="1825"/>
      <c r="T1197" s="1825"/>
      <c r="U1197" s="1825"/>
      <c r="V1197" s="1825"/>
      <c r="W1197" s="1825"/>
      <c r="X1197" s="1825"/>
      <c r="Y1197" s="1825"/>
      <c r="Z1197" s="1825"/>
      <c r="AA1197" s="1825"/>
      <c r="AB1197" s="1825"/>
      <c r="AC1197" s="1825"/>
      <c r="AD1197" s="1825"/>
      <c r="AE1197" s="1825"/>
      <c r="AF1197" s="1825"/>
      <c r="AG1197" s="1825"/>
      <c r="AH1197" s="1825"/>
      <c r="AI1197" s="1825"/>
      <c r="AJ1197" s="1825"/>
      <c r="AK1197" s="1825"/>
      <c r="AL1197" s="1825"/>
      <c r="AM1197" s="1825"/>
      <c r="AN1197" s="1825"/>
      <c r="AO1197" s="1825"/>
      <c r="AP1197" s="1825"/>
      <c r="AQ1197" s="1825"/>
      <c r="AR1197" s="1825"/>
      <c r="AS1197" s="1825"/>
      <c r="AT1197" s="1825"/>
      <c r="AU1197" s="1825"/>
      <c r="AV1197" s="1825"/>
      <c r="AW1197" s="1825"/>
      <c r="AX1197" s="1825"/>
      <c r="AY1197" s="1825"/>
      <c r="AZ1197" s="1825"/>
      <c r="BA1197" s="1825"/>
      <c r="BB1197" s="1825"/>
      <c r="BC1197" s="1825"/>
      <c r="BD1197" s="1825"/>
      <c r="BE1197" s="1825"/>
      <c r="BF1197" s="1825"/>
      <c r="BG1197" s="1825"/>
      <c r="BH1197" s="1825"/>
      <c r="BI1197" s="1825"/>
      <c r="BJ1197" s="1825"/>
      <c r="BK1197" s="1825"/>
      <c r="BL1197" s="1825"/>
      <c r="BM1197" s="1825"/>
      <c r="BN1197" s="1825"/>
      <c r="BO1197" s="1825"/>
      <c r="BP1197" s="1825"/>
      <c r="BQ1197" s="1825"/>
      <c r="BR1197" s="1825"/>
      <c r="BS1197" s="1825"/>
      <c r="BT1197" s="1825"/>
      <c r="BU1197" s="1825"/>
      <c r="BV1197" s="1825"/>
      <c r="BW1197" s="1825"/>
      <c r="BX1197" s="1825"/>
      <c r="BY1197" s="1825"/>
      <c r="BZ1197" s="1825"/>
      <c r="CA1197" s="1825"/>
      <c r="CB1197" s="1825"/>
      <c r="CC1197" s="1825"/>
      <c r="CD1197" s="1825"/>
      <c r="CE1197" s="1825"/>
      <c r="CF1197" s="1825"/>
      <c r="CG1197" s="1825"/>
      <c r="CH1197" s="1825"/>
      <c r="CI1197" s="1825"/>
      <c r="CJ1197" s="1825"/>
      <c r="CK1197" s="1825"/>
    </row>
    <row r="1198" spans="1:89" s="729" customFormat="1" ht="16.5" customHeight="1" x14ac:dyDescent="0.2">
      <c r="A1198" s="742"/>
      <c r="B1198" s="1480" t="s">
        <v>54</v>
      </c>
      <c r="C1198" s="1284">
        <v>120</v>
      </c>
      <c r="D1198" s="1487" t="s">
        <v>55</v>
      </c>
      <c r="E1198" s="1414">
        <v>450</v>
      </c>
      <c r="F1198" s="1414"/>
      <c r="G1198" s="1414"/>
      <c r="H1198" s="1414"/>
      <c r="I1198" s="1414"/>
      <c r="J1198" s="1414">
        <f>C1198*E1198</f>
        <v>54000</v>
      </c>
      <c r="K1198" s="1414">
        <f>I1198+J1198</f>
        <v>54000</v>
      </c>
      <c r="L1198" s="1414"/>
      <c r="M1198" s="1414"/>
      <c r="N1198" s="1414"/>
      <c r="O1198" s="1474">
        <f t="shared" si="86"/>
        <v>54000</v>
      </c>
      <c r="P1198" s="1475"/>
      <c r="Q1198" s="1825"/>
      <c r="R1198" s="1825"/>
      <c r="S1198" s="1825"/>
      <c r="T1198" s="1825"/>
      <c r="U1198" s="1825"/>
      <c r="V1198" s="1825"/>
      <c r="W1198" s="1825"/>
      <c r="X1198" s="1825"/>
      <c r="Y1198" s="1825"/>
      <c r="Z1198" s="1825"/>
      <c r="AA1198" s="1825"/>
      <c r="AB1198" s="1825"/>
      <c r="AC1198" s="1825"/>
      <c r="AD1198" s="1825"/>
      <c r="AE1198" s="1825"/>
      <c r="AF1198" s="1825"/>
      <c r="AG1198" s="1825"/>
      <c r="AH1198" s="1825"/>
      <c r="AI1198" s="1825"/>
      <c r="AJ1198" s="1825"/>
      <c r="AK1198" s="1825"/>
      <c r="AL1198" s="1825"/>
      <c r="AM1198" s="1825"/>
      <c r="AN1198" s="1825"/>
      <c r="AO1198" s="1825"/>
      <c r="AP1198" s="1825"/>
      <c r="AQ1198" s="1825"/>
      <c r="AR1198" s="1825"/>
      <c r="AS1198" s="1825"/>
      <c r="AT1198" s="1825"/>
      <c r="AU1198" s="1825"/>
      <c r="AV1198" s="1825"/>
      <c r="AW1198" s="1825"/>
      <c r="AX1198" s="1825"/>
      <c r="AY1198" s="1825"/>
      <c r="AZ1198" s="1825"/>
      <c r="BA1198" s="1825"/>
      <c r="BB1198" s="1825"/>
      <c r="BC1198" s="1825"/>
      <c r="BD1198" s="1825"/>
      <c r="BE1198" s="1825"/>
      <c r="BF1198" s="1825"/>
      <c r="BG1198" s="1825"/>
      <c r="BH1198" s="1825"/>
      <c r="BI1198" s="1825"/>
      <c r="BJ1198" s="1825"/>
      <c r="BK1198" s="1825"/>
      <c r="BL1198" s="1825"/>
      <c r="BM1198" s="1825"/>
      <c r="BN1198" s="1825"/>
      <c r="BO1198" s="1825"/>
      <c r="BP1198" s="1825"/>
      <c r="BQ1198" s="1825"/>
      <c r="BR1198" s="1825"/>
      <c r="BS1198" s="1825"/>
      <c r="BT1198" s="1825"/>
      <c r="BU1198" s="1825"/>
      <c r="BV1198" s="1825"/>
      <c r="BW1198" s="1825"/>
      <c r="BX1198" s="1825"/>
      <c r="BY1198" s="1825"/>
      <c r="BZ1198" s="1825"/>
      <c r="CA1198" s="1825"/>
      <c r="CB1198" s="1825"/>
      <c r="CC1198" s="1825"/>
      <c r="CD1198" s="1825"/>
      <c r="CE1198" s="1825"/>
      <c r="CF1198" s="1825"/>
      <c r="CG1198" s="1825"/>
      <c r="CH1198" s="1825"/>
      <c r="CI1198" s="1825"/>
      <c r="CJ1198" s="1825"/>
      <c r="CK1198" s="1825"/>
    </row>
    <row r="1199" spans="1:89" s="729" customFormat="1" ht="16.5" customHeight="1" x14ac:dyDescent="0.2">
      <c r="A1199" s="742"/>
      <c r="B1199" s="1480" t="s">
        <v>56</v>
      </c>
      <c r="C1199" s="1284">
        <v>60</v>
      </c>
      <c r="D1199" s="1487" t="s">
        <v>55</v>
      </c>
      <c r="E1199" s="1414">
        <v>300</v>
      </c>
      <c r="F1199" s="1414"/>
      <c r="G1199" s="1414"/>
      <c r="H1199" s="1414"/>
      <c r="I1199" s="1414"/>
      <c r="J1199" s="1414">
        <f>C1199*E1199</f>
        <v>18000</v>
      </c>
      <c r="K1199" s="1414">
        <f>I1199+J1199</f>
        <v>18000</v>
      </c>
      <c r="L1199" s="1414"/>
      <c r="M1199" s="1414"/>
      <c r="N1199" s="1414"/>
      <c r="O1199" s="1474">
        <f t="shared" si="86"/>
        <v>18000</v>
      </c>
      <c r="P1199" s="1475"/>
      <c r="Q1199" s="1825"/>
      <c r="R1199" s="1825"/>
      <c r="S1199" s="1825"/>
      <c r="T1199" s="1825"/>
      <c r="U1199" s="1825"/>
      <c r="V1199" s="1825"/>
      <c r="W1199" s="1825"/>
      <c r="X1199" s="1825"/>
      <c r="Y1199" s="1825"/>
      <c r="Z1199" s="1825"/>
      <c r="AA1199" s="1825"/>
      <c r="AB1199" s="1825"/>
      <c r="AC1199" s="1825"/>
      <c r="AD1199" s="1825"/>
      <c r="AE1199" s="1825"/>
      <c r="AF1199" s="1825"/>
      <c r="AG1199" s="1825"/>
      <c r="AH1199" s="1825"/>
      <c r="AI1199" s="1825"/>
      <c r="AJ1199" s="1825"/>
      <c r="AK1199" s="1825"/>
      <c r="AL1199" s="1825"/>
      <c r="AM1199" s="1825"/>
      <c r="AN1199" s="1825"/>
      <c r="AO1199" s="1825"/>
      <c r="AP1199" s="1825"/>
      <c r="AQ1199" s="1825"/>
      <c r="AR1199" s="1825"/>
      <c r="AS1199" s="1825"/>
      <c r="AT1199" s="1825"/>
      <c r="AU1199" s="1825"/>
      <c r="AV1199" s="1825"/>
      <c r="AW1199" s="1825"/>
      <c r="AX1199" s="1825"/>
      <c r="AY1199" s="1825"/>
      <c r="AZ1199" s="1825"/>
      <c r="BA1199" s="1825"/>
      <c r="BB1199" s="1825"/>
      <c r="BC1199" s="1825"/>
      <c r="BD1199" s="1825"/>
      <c r="BE1199" s="1825"/>
      <c r="BF1199" s="1825"/>
      <c r="BG1199" s="1825"/>
      <c r="BH1199" s="1825"/>
      <c r="BI1199" s="1825"/>
      <c r="BJ1199" s="1825"/>
      <c r="BK1199" s="1825"/>
      <c r="BL1199" s="1825"/>
      <c r="BM1199" s="1825"/>
      <c r="BN1199" s="1825"/>
      <c r="BO1199" s="1825"/>
      <c r="BP1199" s="1825"/>
      <c r="BQ1199" s="1825"/>
      <c r="BR1199" s="1825"/>
      <c r="BS1199" s="1825"/>
      <c r="BT1199" s="1825"/>
      <c r="BU1199" s="1825"/>
      <c r="BV1199" s="1825"/>
      <c r="BW1199" s="1825"/>
      <c r="BX1199" s="1825"/>
      <c r="BY1199" s="1825"/>
      <c r="BZ1199" s="1825"/>
      <c r="CA1199" s="1825"/>
      <c r="CB1199" s="1825"/>
      <c r="CC1199" s="1825"/>
      <c r="CD1199" s="1825"/>
      <c r="CE1199" s="1825"/>
      <c r="CF1199" s="1825"/>
      <c r="CG1199" s="1825"/>
      <c r="CH1199" s="1825"/>
      <c r="CI1199" s="1825"/>
      <c r="CJ1199" s="1825"/>
      <c r="CK1199" s="1825"/>
    </row>
    <row r="1200" spans="1:89" s="729" customFormat="1" ht="16.5" customHeight="1" x14ac:dyDescent="0.2">
      <c r="A1200" s="742"/>
      <c r="B1200" s="1453"/>
      <c r="C1200" s="1284"/>
      <c r="D1200" s="1481"/>
      <c r="E1200" s="1485"/>
      <c r="F1200" s="1466"/>
      <c r="G1200" s="1466"/>
      <c r="H1200" s="1466"/>
      <c r="I1200" s="1466"/>
      <c r="J1200" s="1466"/>
      <c r="K1200" s="1466"/>
      <c r="L1200" s="1466"/>
      <c r="M1200" s="1466"/>
      <c r="N1200" s="1466"/>
      <c r="O1200" s="1467" t="s">
        <v>49</v>
      </c>
      <c r="P1200" s="736"/>
      <c r="Q1200" s="1825"/>
      <c r="R1200" s="1825"/>
      <c r="S1200" s="1825"/>
      <c r="T1200" s="1825"/>
      <c r="U1200" s="1825"/>
      <c r="V1200" s="1825"/>
      <c r="W1200" s="1825"/>
      <c r="X1200" s="1825"/>
      <c r="Y1200" s="1825"/>
      <c r="Z1200" s="1825"/>
      <c r="AA1200" s="1825"/>
      <c r="AB1200" s="1825"/>
      <c r="AC1200" s="1825"/>
      <c r="AD1200" s="1825"/>
      <c r="AE1200" s="1825"/>
      <c r="AF1200" s="1825"/>
      <c r="AG1200" s="1825"/>
      <c r="AH1200" s="1825"/>
      <c r="AI1200" s="1825"/>
      <c r="AJ1200" s="1825"/>
      <c r="AK1200" s="1825"/>
      <c r="AL1200" s="1825"/>
      <c r="AM1200" s="1825"/>
      <c r="AN1200" s="1825"/>
      <c r="AO1200" s="1825"/>
      <c r="AP1200" s="1825"/>
      <c r="AQ1200" s="1825"/>
      <c r="AR1200" s="1825"/>
      <c r="AS1200" s="1825"/>
      <c r="AT1200" s="1825"/>
      <c r="AU1200" s="1825"/>
      <c r="AV1200" s="1825"/>
      <c r="AW1200" s="1825"/>
      <c r="AX1200" s="1825"/>
      <c r="AY1200" s="1825"/>
      <c r="AZ1200" s="1825"/>
      <c r="BA1200" s="1825"/>
      <c r="BB1200" s="1825"/>
      <c r="BC1200" s="1825"/>
      <c r="BD1200" s="1825"/>
      <c r="BE1200" s="1825"/>
      <c r="BF1200" s="1825"/>
      <c r="BG1200" s="1825"/>
      <c r="BH1200" s="1825"/>
      <c r="BI1200" s="1825"/>
      <c r="BJ1200" s="1825"/>
      <c r="BK1200" s="1825"/>
      <c r="BL1200" s="1825"/>
      <c r="BM1200" s="1825"/>
      <c r="BN1200" s="1825"/>
      <c r="BO1200" s="1825"/>
      <c r="BP1200" s="1825"/>
      <c r="BQ1200" s="1825"/>
      <c r="BR1200" s="1825"/>
      <c r="BS1200" s="1825"/>
      <c r="BT1200" s="1825"/>
      <c r="BU1200" s="1825"/>
      <c r="BV1200" s="1825"/>
      <c r="BW1200" s="1825"/>
      <c r="BX1200" s="1825"/>
      <c r="BY1200" s="1825"/>
      <c r="BZ1200" s="1825"/>
      <c r="CA1200" s="1825"/>
      <c r="CB1200" s="1825"/>
      <c r="CC1200" s="1825"/>
      <c r="CD1200" s="1825"/>
      <c r="CE1200" s="1825"/>
      <c r="CF1200" s="1825"/>
      <c r="CG1200" s="1825"/>
      <c r="CH1200" s="1825"/>
      <c r="CI1200" s="1825"/>
      <c r="CJ1200" s="1825"/>
      <c r="CK1200" s="1825"/>
    </row>
    <row r="1201" spans="1:89" s="729" customFormat="1" ht="16.5" customHeight="1" x14ac:dyDescent="0.2">
      <c r="A1201" s="692">
        <v>6</v>
      </c>
      <c r="B1201" s="1436" t="s">
        <v>57</v>
      </c>
      <c r="C1201" s="743"/>
      <c r="D1201" s="1484"/>
      <c r="E1201" s="1485"/>
      <c r="F1201" s="1466"/>
      <c r="G1201" s="1466"/>
      <c r="H1201" s="1466"/>
      <c r="I1201" s="1466"/>
      <c r="J1201" s="1466"/>
      <c r="K1201" s="1466"/>
      <c r="L1201" s="1466"/>
      <c r="M1201" s="1466"/>
      <c r="N1201" s="1466"/>
      <c r="O1201" s="1467">
        <f>N1201+K1201+H1201</f>
        <v>0</v>
      </c>
      <c r="P1201" s="736"/>
      <c r="Q1201" s="1825"/>
      <c r="R1201" s="1825"/>
      <c r="S1201" s="1825"/>
      <c r="T1201" s="1825"/>
      <c r="U1201" s="1825"/>
      <c r="V1201" s="1825"/>
      <c r="W1201" s="1825"/>
      <c r="X1201" s="1825"/>
      <c r="Y1201" s="1825"/>
      <c r="Z1201" s="1825"/>
      <c r="AA1201" s="1825"/>
      <c r="AB1201" s="1825"/>
      <c r="AC1201" s="1825"/>
      <c r="AD1201" s="1825"/>
      <c r="AE1201" s="1825"/>
      <c r="AF1201" s="1825"/>
      <c r="AG1201" s="1825"/>
      <c r="AH1201" s="1825"/>
      <c r="AI1201" s="1825"/>
      <c r="AJ1201" s="1825"/>
      <c r="AK1201" s="1825"/>
      <c r="AL1201" s="1825"/>
      <c r="AM1201" s="1825"/>
      <c r="AN1201" s="1825"/>
      <c r="AO1201" s="1825"/>
      <c r="AP1201" s="1825"/>
      <c r="AQ1201" s="1825"/>
      <c r="AR1201" s="1825"/>
      <c r="AS1201" s="1825"/>
      <c r="AT1201" s="1825"/>
      <c r="AU1201" s="1825"/>
      <c r="AV1201" s="1825"/>
      <c r="AW1201" s="1825"/>
      <c r="AX1201" s="1825"/>
      <c r="AY1201" s="1825"/>
      <c r="AZ1201" s="1825"/>
      <c r="BA1201" s="1825"/>
      <c r="BB1201" s="1825"/>
      <c r="BC1201" s="1825"/>
      <c r="BD1201" s="1825"/>
      <c r="BE1201" s="1825"/>
      <c r="BF1201" s="1825"/>
      <c r="BG1201" s="1825"/>
      <c r="BH1201" s="1825"/>
      <c r="BI1201" s="1825"/>
      <c r="BJ1201" s="1825"/>
      <c r="BK1201" s="1825"/>
      <c r="BL1201" s="1825"/>
      <c r="BM1201" s="1825"/>
      <c r="BN1201" s="1825"/>
      <c r="BO1201" s="1825"/>
      <c r="BP1201" s="1825"/>
      <c r="BQ1201" s="1825"/>
      <c r="BR1201" s="1825"/>
      <c r="BS1201" s="1825"/>
      <c r="BT1201" s="1825"/>
      <c r="BU1201" s="1825"/>
      <c r="BV1201" s="1825"/>
      <c r="BW1201" s="1825"/>
      <c r="BX1201" s="1825"/>
      <c r="BY1201" s="1825"/>
      <c r="BZ1201" s="1825"/>
      <c r="CA1201" s="1825"/>
      <c r="CB1201" s="1825"/>
      <c r="CC1201" s="1825"/>
      <c r="CD1201" s="1825"/>
      <c r="CE1201" s="1825"/>
      <c r="CF1201" s="1825"/>
      <c r="CG1201" s="1825"/>
      <c r="CH1201" s="1825"/>
      <c r="CI1201" s="1825"/>
      <c r="CJ1201" s="1825"/>
      <c r="CK1201" s="1825"/>
    </row>
    <row r="1202" spans="1:89" s="729" customFormat="1" ht="16.5" customHeight="1" x14ac:dyDescent="0.2">
      <c r="A1202" s="742"/>
      <c r="B1202" s="1480" t="s">
        <v>58</v>
      </c>
      <c r="C1202" s="1284">
        <v>0</v>
      </c>
      <c r="D1202" s="1473" t="s">
        <v>16</v>
      </c>
      <c r="E1202" s="1414">
        <v>15000</v>
      </c>
      <c r="F1202" s="1414"/>
      <c r="G1202" s="1414"/>
      <c r="H1202" s="1414"/>
      <c r="I1202" s="1414"/>
      <c r="J1202" s="1414"/>
      <c r="K1202" s="1414"/>
      <c r="L1202" s="1414"/>
      <c r="M1202" s="1414"/>
      <c r="N1202" s="1414"/>
      <c r="O1202" s="1474"/>
      <c r="P1202" s="1475"/>
      <c r="Q1202" s="1825"/>
      <c r="R1202" s="1825"/>
      <c r="S1202" s="1825"/>
      <c r="T1202" s="1825"/>
      <c r="U1202" s="1825"/>
      <c r="V1202" s="1825"/>
      <c r="W1202" s="1825"/>
      <c r="X1202" s="1825"/>
      <c r="Y1202" s="1825"/>
      <c r="Z1202" s="1825"/>
      <c r="AA1202" s="1825"/>
      <c r="AB1202" s="1825"/>
      <c r="AC1202" s="1825"/>
      <c r="AD1202" s="1825"/>
      <c r="AE1202" s="1825"/>
      <c r="AF1202" s="1825"/>
      <c r="AG1202" s="1825"/>
      <c r="AH1202" s="1825"/>
      <c r="AI1202" s="1825"/>
      <c r="AJ1202" s="1825"/>
      <c r="AK1202" s="1825"/>
      <c r="AL1202" s="1825"/>
      <c r="AM1202" s="1825"/>
      <c r="AN1202" s="1825"/>
      <c r="AO1202" s="1825"/>
      <c r="AP1202" s="1825"/>
      <c r="AQ1202" s="1825"/>
      <c r="AR1202" s="1825"/>
      <c r="AS1202" s="1825"/>
      <c r="AT1202" s="1825"/>
      <c r="AU1202" s="1825"/>
      <c r="AV1202" s="1825"/>
      <c r="AW1202" s="1825"/>
      <c r="AX1202" s="1825"/>
      <c r="AY1202" s="1825"/>
      <c r="AZ1202" s="1825"/>
      <c r="BA1202" s="1825"/>
      <c r="BB1202" s="1825"/>
      <c r="BC1202" s="1825"/>
      <c r="BD1202" s="1825"/>
      <c r="BE1202" s="1825"/>
      <c r="BF1202" s="1825"/>
      <c r="BG1202" s="1825"/>
      <c r="BH1202" s="1825"/>
      <c r="BI1202" s="1825"/>
      <c r="BJ1202" s="1825"/>
      <c r="BK1202" s="1825"/>
      <c r="BL1202" s="1825"/>
      <c r="BM1202" s="1825"/>
      <c r="BN1202" s="1825"/>
      <c r="BO1202" s="1825"/>
      <c r="BP1202" s="1825"/>
      <c r="BQ1202" s="1825"/>
      <c r="BR1202" s="1825"/>
      <c r="BS1202" s="1825"/>
      <c r="BT1202" s="1825"/>
      <c r="BU1202" s="1825"/>
      <c r="BV1202" s="1825"/>
      <c r="BW1202" s="1825"/>
      <c r="BX1202" s="1825"/>
      <c r="BY1202" s="1825"/>
      <c r="BZ1202" s="1825"/>
      <c r="CA1202" s="1825"/>
      <c r="CB1202" s="1825"/>
      <c r="CC1202" s="1825"/>
      <c r="CD1202" s="1825"/>
      <c r="CE1202" s="1825"/>
      <c r="CF1202" s="1825"/>
      <c r="CG1202" s="1825"/>
      <c r="CH1202" s="1825"/>
      <c r="CI1202" s="1825"/>
      <c r="CJ1202" s="1825"/>
      <c r="CK1202" s="1825"/>
    </row>
    <row r="1203" spans="1:89" s="729" customFormat="1" ht="16.5" customHeight="1" x14ac:dyDescent="0.2">
      <c r="A1203" s="742"/>
      <c r="B1203" s="1488" t="s">
        <v>622</v>
      </c>
      <c r="C1203" s="1284">
        <v>0</v>
      </c>
      <c r="D1203" s="1473" t="s">
        <v>16</v>
      </c>
      <c r="E1203" s="1414">
        <v>0</v>
      </c>
      <c r="F1203" s="1414"/>
      <c r="G1203" s="1414"/>
      <c r="H1203" s="1414"/>
      <c r="I1203" s="1414"/>
      <c r="J1203" s="1414"/>
      <c r="K1203" s="1414"/>
      <c r="L1203" s="1414"/>
      <c r="M1203" s="1414"/>
      <c r="N1203" s="1414"/>
      <c r="O1203" s="1474"/>
      <c r="P1203" s="1475"/>
      <c r="Q1203" s="1825"/>
      <c r="R1203" s="1825"/>
      <c r="S1203" s="1825"/>
      <c r="T1203" s="1825"/>
      <c r="U1203" s="1825"/>
      <c r="V1203" s="1825"/>
      <c r="W1203" s="1825"/>
      <c r="X1203" s="1825"/>
      <c r="Y1203" s="1825"/>
      <c r="Z1203" s="1825"/>
      <c r="AA1203" s="1825"/>
      <c r="AB1203" s="1825"/>
      <c r="AC1203" s="1825"/>
      <c r="AD1203" s="1825"/>
      <c r="AE1203" s="1825"/>
      <c r="AF1203" s="1825"/>
      <c r="AG1203" s="1825"/>
      <c r="AH1203" s="1825"/>
      <c r="AI1203" s="1825"/>
      <c r="AJ1203" s="1825"/>
      <c r="AK1203" s="1825"/>
      <c r="AL1203" s="1825"/>
      <c r="AM1203" s="1825"/>
      <c r="AN1203" s="1825"/>
      <c r="AO1203" s="1825"/>
      <c r="AP1203" s="1825"/>
      <c r="AQ1203" s="1825"/>
      <c r="AR1203" s="1825"/>
      <c r="AS1203" s="1825"/>
      <c r="AT1203" s="1825"/>
      <c r="AU1203" s="1825"/>
      <c r="AV1203" s="1825"/>
      <c r="AW1203" s="1825"/>
      <c r="AX1203" s="1825"/>
      <c r="AY1203" s="1825"/>
      <c r="AZ1203" s="1825"/>
      <c r="BA1203" s="1825"/>
      <c r="BB1203" s="1825"/>
      <c r="BC1203" s="1825"/>
      <c r="BD1203" s="1825"/>
      <c r="BE1203" s="1825"/>
      <c r="BF1203" s="1825"/>
      <c r="BG1203" s="1825"/>
      <c r="BH1203" s="1825"/>
      <c r="BI1203" s="1825"/>
      <c r="BJ1203" s="1825"/>
      <c r="BK1203" s="1825"/>
      <c r="BL1203" s="1825"/>
      <c r="BM1203" s="1825"/>
      <c r="BN1203" s="1825"/>
      <c r="BO1203" s="1825"/>
      <c r="BP1203" s="1825"/>
      <c r="BQ1203" s="1825"/>
      <c r="BR1203" s="1825"/>
      <c r="BS1203" s="1825"/>
      <c r="BT1203" s="1825"/>
      <c r="BU1203" s="1825"/>
      <c r="BV1203" s="1825"/>
      <c r="BW1203" s="1825"/>
      <c r="BX1203" s="1825"/>
      <c r="BY1203" s="1825"/>
      <c r="BZ1203" s="1825"/>
      <c r="CA1203" s="1825"/>
      <c r="CB1203" s="1825"/>
      <c r="CC1203" s="1825"/>
      <c r="CD1203" s="1825"/>
      <c r="CE1203" s="1825"/>
      <c r="CF1203" s="1825"/>
      <c r="CG1203" s="1825"/>
      <c r="CH1203" s="1825"/>
      <c r="CI1203" s="1825"/>
      <c r="CJ1203" s="1825"/>
      <c r="CK1203" s="1825"/>
    </row>
    <row r="1204" spans="1:89" ht="17.25" customHeight="1" x14ac:dyDescent="0.25">
      <c r="A1204" s="820"/>
      <c r="B1204" s="894"/>
      <c r="C1204" s="830"/>
      <c r="D1204" s="865"/>
      <c r="E1204" s="821"/>
      <c r="F1204" s="821"/>
      <c r="G1204" s="821"/>
      <c r="H1204" s="821"/>
      <c r="I1204" s="821"/>
      <c r="J1204" s="821"/>
      <c r="K1204" s="821"/>
      <c r="L1204" s="821"/>
      <c r="M1204" s="821"/>
      <c r="N1204" s="821"/>
      <c r="O1204" s="822"/>
      <c r="P1204" s="687"/>
    </row>
    <row r="1205" spans="1:89" ht="24" customHeight="1" x14ac:dyDescent="0.25">
      <c r="A1205" s="1352" t="s">
        <v>151</v>
      </c>
      <c r="B1205" s="1367" t="s">
        <v>152</v>
      </c>
      <c r="C1205" s="1212"/>
      <c r="D1205" s="1316"/>
      <c r="E1205" s="1214"/>
      <c r="F1205" s="1290">
        <f>F1207+F1218+F1221+F1234</f>
        <v>0</v>
      </c>
      <c r="G1205" s="1290">
        <f>G1207+G1218+G1221+G1234</f>
        <v>0</v>
      </c>
      <c r="H1205" s="1214">
        <f>G1205+F1205</f>
        <v>0</v>
      </c>
      <c r="I1205" s="1290">
        <f>I1207+I1218+I1221+I1234</f>
        <v>0</v>
      </c>
      <c r="J1205" s="1290">
        <f>J1207+J1218+J1221+J1234</f>
        <v>3558520</v>
      </c>
      <c r="K1205" s="1214">
        <f>J1205+I1205</f>
        <v>3558520</v>
      </c>
      <c r="L1205" s="1290">
        <f>L1207+L1218+L1221+L1234</f>
        <v>35000000</v>
      </c>
      <c r="M1205" s="1290">
        <f>M1207+M1218+M1221+M1234</f>
        <v>0</v>
      </c>
      <c r="N1205" s="1214">
        <f>M1205+L1205</f>
        <v>35000000</v>
      </c>
      <c r="O1205" s="1215">
        <f t="shared" ref="O1205:O1210" si="87">N1205+K1205+H1205</f>
        <v>38558520</v>
      </c>
      <c r="P1205" s="680" t="e">
        <f>#REF!-O1205</f>
        <v>#REF!</v>
      </c>
    </row>
    <row r="1206" spans="1:89" ht="17.25" customHeight="1" x14ac:dyDescent="0.25">
      <c r="A1206" s="909"/>
      <c r="B1206" s="910"/>
      <c r="C1206" s="817"/>
      <c r="D1206" s="861"/>
      <c r="E1206" s="818"/>
      <c r="F1206" s="818"/>
      <c r="G1206" s="818"/>
      <c r="H1206" s="818"/>
      <c r="I1206" s="818"/>
      <c r="J1206" s="818"/>
      <c r="K1206" s="818"/>
      <c r="L1206" s="818"/>
      <c r="M1206" s="818"/>
      <c r="N1206" s="818"/>
      <c r="O1206" s="819">
        <f t="shared" si="87"/>
        <v>0</v>
      </c>
      <c r="P1206" s="687"/>
    </row>
    <row r="1207" spans="1:89" s="672" customFormat="1" ht="28.5" customHeight="1" x14ac:dyDescent="0.25">
      <c r="A1207" s="1352" t="s">
        <v>15</v>
      </c>
      <c r="B1207" s="1314" t="s">
        <v>1156</v>
      </c>
      <c r="C1207" s="1212"/>
      <c r="D1207" s="1316"/>
      <c r="E1207" s="1214"/>
      <c r="F1207" s="1290">
        <f>SUM(F1208:F1216)</f>
        <v>0</v>
      </c>
      <c r="G1207" s="1290">
        <f>SUM(G1208:G1216)</f>
        <v>0</v>
      </c>
      <c r="H1207" s="1214">
        <f>G1207+F1207</f>
        <v>0</v>
      </c>
      <c r="I1207" s="1290">
        <f>SUM(I1208:I1216)</f>
        <v>0</v>
      </c>
      <c r="J1207" s="1290">
        <f>SUM(J1208:J1216)</f>
        <v>0</v>
      </c>
      <c r="K1207" s="1214">
        <f>J1207+I1207</f>
        <v>0</v>
      </c>
      <c r="L1207" s="1290">
        <f>SUM(L1208:L1216)</f>
        <v>35000000</v>
      </c>
      <c r="M1207" s="1290">
        <f>SUM(M1208:M1216)</f>
        <v>0</v>
      </c>
      <c r="N1207" s="1214">
        <f>M1207+L1207</f>
        <v>35000000</v>
      </c>
      <c r="O1207" s="1215">
        <f>N1207+K1207+H1207</f>
        <v>35000000</v>
      </c>
      <c r="P1207" s="680"/>
      <c r="Q1207" s="1581"/>
      <c r="R1207" s="1581"/>
      <c r="S1207" s="1581"/>
      <c r="T1207" s="1581"/>
      <c r="U1207" s="1581"/>
      <c r="V1207" s="1581"/>
      <c r="W1207" s="1581"/>
      <c r="X1207" s="1581"/>
      <c r="Y1207" s="1581"/>
      <c r="Z1207" s="1581"/>
      <c r="AA1207" s="1581"/>
      <c r="AB1207" s="1581"/>
      <c r="AC1207" s="1581"/>
      <c r="AD1207" s="1581"/>
      <c r="AE1207" s="1581"/>
      <c r="AF1207" s="1581"/>
      <c r="AG1207" s="1581"/>
      <c r="AH1207" s="1581"/>
      <c r="AI1207" s="1581"/>
      <c r="AJ1207" s="1581"/>
      <c r="AK1207" s="1581"/>
      <c r="AL1207" s="1581"/>
      <c r="AM1207" s="1581"/>
      <c r="AN1207" s="1581"/>
      <c r="AO1207" s="1581"/>
      <c r="AP1207" s="1581"/>
      <c r="AQ1207" s="1581"/>
      <c r="AR1207" s="1581"/>
      <c r="AS1207" s="1581"/>
      <c r="AT1207" s="1581"/>
      <c r="AU1207" s="1581"/>
      <c r="AV1207" s="1581"/>
      <c r="AW1207" s="1581"/>
      <c r="AX1207" s="1581"/>
      <c r="AY1207" s="1581"/>
      <c r="AZ1207" s="1581"/>
      <c r="BA1207" s="1581"/>
      <c r="BB1207" s="1581"/>
      <c r="BC1207" s="1581"/>
      <c r="BD1207" s="1581"/>
      <c r="BE1207" s="1581"/>
      <c r="BF1207" s="1581"/>
      <c r="BG1207" s="1581"/>
      <c r="BH1207" s="1581"/>
      <c r="BI1207" s="1581"/>
      <c r="BJ1207" s="1581"/>
      <c r="BK1207" s="1581"/>
      <c r="BL1207" s="1581"/>
      <c r="BM1207" s="1581"/>
      <c r="BN1207" s="1581"/>
      <c r="BO1207" s="1581"/>
      <c r="BP1207" s="1581"/>
      <c r="BQ1207" s="1581"/>
      <c r="BR1207" s="1581"/>
      <c r="BS1207" s="1581"/>
      <c r="BT1207" s="1581"/>
      <c r="BU1207" s="1581"/>
      <c r="BV1207" s="1581"/>
      <c r="BW1207" s="1581"/>
      <c r="BX1207" s="1581"/>
      <c r="BY1207" s="1581"/>
      <c r="BZ1207" s="1581"/>
      <c r="CA1207" s="1581"/>
      <c r="CB1207" s="1581"/>
      <c r="CC1207" s="1581"/>
      <c r="CD1207" s="1581"/>
      <c r="CE1207" s="1581"/>
      <c r="CF1207" s="1581"/>
      <c r="CG1207" s="1581"/>
      <c r="CH1207" s="1581"/>
      <c r="CI1207" s="1581"/>
      <c r="CJ1207" s="1581"/>
      <c r="CK1207" s="1581"/>
    </row>
    <row r="1208" spans="1:89" ht="17.25" customHeight="1" x14ac:dyDescent="0.2">
      <c r="A1208" s="681">
        <v>1</v>
      </c>
      <c r="B1208" s="1489" t="s">
        <v>678</v>
      </c>
      <c r="C1208" s="872">
        <v>1</v>
      </c>
      <c r="D1208" s="863" t="s">
        <v>16</v>
      </c>
      <c r="E1208" s="685">
        <v>4000000</v>
      </c>
      <c r="F1208" s="685"/>
      <c r="G1208" s="685"/>
      <c r="H1208" s="685"/>
      <c r="I1208" s="685"/>
      <c r="J1208" s="685"/>
      <c r="K1208" s="685"/>
      <c r="L1208" s="685">
        <f>E1208*C1208</f>
        <v>4000000</v>
      </c>
      <c r="M1208" s="685"/>
      <c r="N1208" s="685">
        <f t="shared" ref="N1208:N1214" si="88">L1208+M1208</f>
        <v>4000000</v>
      </c>
      <c r="O1208" s="686">
        <f t="shared" si="87"/>
        <v>4000000</v>
      </c>
      <c r="P1208" s="687"/>
    </row>
    <row r="1209" spans="1:89" ht="17.25" customHeight="1" x14ac:dyDescent="0.2">
      <c r="A1209" s="692">
        <v>2</v>
      </c>
      <c r="B1209" s="1381" t="s">
        <v>679</v>
      </c>
      <c r="C1209" s="713">
        <v>1</v>
      </c>
      <c r="D1209" s="739" t="s">
        <v>16</v>
      </c>
      <c r="E1209" s="695">
        <v>3000000</v>
      </c>
      <c r="F1209" s="695"/>
      <c r="G1209" s="695"/>
      <c r="H1209" s="695"/>
      <c r="I1209" s="695"/>
      <c r="J1209" s="695"/>
      <c r="K1209" s="695"/>
      <c r="L1209" s="695">
        <f>E1209*C1209</f>
        <v>3000000</v>
      </c>
      <c r="M1209" s="695"/>
      <c r="N1209" s="695">
        <f t="shared" si="88"/>
        <v>3000000</v>
      </c>
      <c r="O1209" s="696">
        <f t="shared" si="87"/>
        <v>3000000</v>
      </c>
      <c r="P1209" s="687"/>
    </row>
    <row r="1210" spans="1:89" ht="17.25" customHeight="1" x14ac:dyDescent="0.2">
      <c r="A1210" s="681">
        <v>3</v>
      </c>
      <c r="B1210" s="1381" t="s">
        <v>680</v>
      </c>
      <c r="C1210" s="713">
        <v>1</v>
      </c>
      <c r="D1210" s="739" t="s">
        <v>16</v>
      </c>
      <c r="E1210" s="695">
        <v>4000000</v>
      </c>
      <c r="F1210" s="695"/>
      <c r="G1210" s="695"/>
      <c r="H1210" s="695"/>
      <c r="I1210" s="695"/>
      <c r="J1210" s="695"/>
      <c r="K1210" s="695"/>
      <c r="L1210" s="695">
        <f t="shared" ref="L1210:L1216" si="89">C1210*E1210</f>
        <v>4000000</v>
      </c>
      <c r="M1210" s="695"/>
      <c r="N1210" s="695">
        <f t="shared" si="88"/>
        <v>4000000</v>
      </c>
      <c r="O1210" s="696">
        <f t="shared" si="87"/>
        <v>4000000</v>
      </c>
      <c r="P1210" s="687"/>
    </row>
    <row r="1211" spans="1:89" ht="17.25" customHeight="1" x14ac:dyDescent="0.2">
      <c r="A1211" s="692">
        <v>4</v>
      </c>
      <c r="B1211" s="1381" t="s">
        <v>681</v>
      </c>
      <c r="C1211" s="713">
        <v>1</v>
      </c>
      <c r="D1211" s="739" t="s">
        <v>16</v>
      </c>
      <c r="E1211" s="695">
        <v>4000000</v>
      </c>
      <c r="F1211" s="695"/>
      <c r="G1211" s="695"/>
      <c r="H1211" s="695"/>
      <c r="I1211" s="695"/>
      <c r="J1211" s="695"/>
      <c r="K1211" s="695"/>
      <c r="L1211" s="695">
        <f t="shared" si="89"/>
        <v>4000000</v>
      </c>
      <c r="M1211" s="695"/>
      <c r="N1211" s="695">
        <f t="shared" si="88"/>
        <v>4000000</v>
      </c>
      <c r="O1211" s="696">
        <f t="shared" ref="O1211:O1216" si="90">N1211+K1211+H1211</f>
        <v>4000000</v>
      </c>
      <c r="P1211" s="687"/>
    </row>
    <row r="1212" spans="1:89" ht="17.25" customHeight="1" x14ac:dyDescent="0.2">
      <c r="A1212" s="681">
        <v>5</v>
      </c>
      <c r="B1212" s="911" t="s">
        <v>1769</v>
      </c>
      <c r="C1212" s="719">
        <v>1</v>
      </c>
      <c r="D1212" s="865" t="s">
        <v>16</v>
      </c>
      <c r="E1212" s="821">
        <v>4000000</v>
      </c>
      <c r="F1212" s="821"/>
      <c r="G1212" s="821"/>
      <c r="H1212" s="821"/>
      <c r="I1212" s="821"/>
      <c r="J1212" s="821"/>
      <c r="K1212" s="821"/>
      <c r="L1212" s="821">
        <f t="shared" si="89"/>
        <v>4000000</v>
      </c>
      <c r="M1212" s="821"/>
      <c r="N1212" s="821">
        <f t="shared" si="88"/>
        <v>4000000</v>
      </c>
      <c r="O1212" s="822">
        <f t="shared" si="90"/>
        <v>4000000</v>
      </c>
      <c r="P1212" s="687"/>
    </row>
    <row r="1213" spans="1:89" ht="17.25" customHeight="1" x14ac:dyDescent="0.2">
      <c r="A1213" s="692">
        <v>6</v>
      </c>
      <c r="B1213" s="911" t="s">
        <v>1770</v>
      </c>
      <c r="C1213" s="719">
        <v>1</v>
      </c>
      <c r="D1213" s="865" t="s">
        <v>16</v>
      </c>
      <c r="E1213" s="821">
        <v>4000000</v>
      </c>
      <c r="F1213" s="821"/>
      <c r="G1213" s="821"/>
      <c r="H1213" s="821"/>
      <c r="I1213" s="821"/>
      <c r="J1213" s="821"/>
      <c r="K1213" s="821"/>
      <c r="L1213" s="821">
        <f t="shared" si="89"/>
        <v>4000000</v>
      </c>
      <c r="M1213" s="821"/>
      <c r="N1213" s="821">
        <f t="shared" si="88"/>
        <v>4000000</v>
      </c>
      <c r="O1213" s="822">
        <f t="shared" si="90"/>
        <v>4000000</v>
      </c>
      <c r="P1213" s="687"/>
    </row>
    <row r="1214" spans="1:89" ht="17.25" customHeight="1" x14ac:dyDescent="0.2">
      <c r="A1214" s="681">
        <v>7</v>
      </c>
      <c r="B1214" s="911" t="s">
        <v>1772</v>
      </c>
      <c r="C1214" s="719">
        <v>1</v>
      </c>
      <c r="D1214" s="865" t="s">
        <v>16</v>
      </c>
      <c r="E1214" s="821">
        <v>4000000</v>
      </c>
      <c r="F1214" s="821"/>
      <c r="G1214" s="821"/>
      <c r="H1214" s="821"/>
      <c r="I1214" s="821"/>
      <c r="J1214" s="821"/>
      <c r="K1214" s="821"/>
      <c r="L1214" s="821">
        <f t="shared" si="89"/>
        <v>4000000</v>
      </c>
      <c r="M1214" s="821"/>
      <c r="N1214" s="821">
        <f t="shared" si="88"/>
        <v>4000000</v>
      </c>
      <c r="O1214" s="822">
        <f t="shared" si="90"/>
        <v>4000000</v>
      </c>
      <c r="P1214" s="687"/>
    </row>
    <row r="1215" spans="1:89" ht="17.25" customHeight="1" x14ac:dyDescent="0.2">
      <c r="A1215" s="692">
        <v>8</v>
      </c>
      <c r="B1215" s="1708" t="s">
        <v>2292</v>
      </c>
      <c r="C1215" s="830">
        <v>1</v>
      </c>
      <c r="D1215" s="865" t="s">
        <v>16</v>
      </c>
      <c r="E1215" s="821">
        <v>4000000</v>
      </c>
      <c r="F1215" s="821"/>
      <c r="G1215" s="821"/>
      <c r="H1215" s="821"/>
      <c r="I1215" s="821"/>
      <c r="J1215" s="821"/>
      <c r="K1215" s="821"/>
      <c r="L1215" s="821">
        <f t="shared" si="89"/>
        <v>4000000</v>
      </c>
      <c r="M1215" s="821"/>
      <c r="N1215" s="821">
        <f>L1215+M1215</f>
        <v>4000000</v>
      </c>
      <c r="O1215" s="822">
        <f t="shared" si="90"/>
        <v>4000000</v>
      </c>
      <c r="P1215" s="687"/>
    </row>
    <row r="1216" spans="1:89" ht="17.25" customHeight="1" x14ac:dyDescent="0.25">
      <c r="A1216" s="681">
        <v>9</v>
      </c>
      <c r="B1216" s="894" t="s">
        <v>1771</v>
      </c>
      <c r="C1216" s="830">
        <v>1</v>
      </c>
      <c r="D1216" s="865" t="s">
        <v>16</v>
      </c>
      <c r="E1216" s="821">
        <v>4000000</v>
      </c>
      <c r="F1216" s="821"/>
      <c r="G1216" s="821"/>
      <c r="H1216" s="821"/>
      <c r="I1216" s="821"/>
      <c r="J1216" s="821"/>
      <c r="K1216" s="821"/>
      <c r="L1216" s="821">
        <f t="shared" si="89"/>
        <v>4000000</v>
      </c>
      <c r="M1216" s="821"/>
      <c r="N1216" s="821">
        <f>L1216+M1216</f>
        <v>4000000</v>
      </c>
      <c r="O1216" s="822">
        <f t="shared" si="90"/>
        <v>4000000</v>
      </c>
      <c r="P1216" s="687"/>
    </row>
    <row r="1217" spans="1:89" ht="17.25" customHeight="1" x14ac:dyDescent="0.25">
      <c r="A1217" s="820"/>
      <c r="B1217" s="1438"/>
      <c r="C1217" s="719"/>
      <c r="D1217" s="883"/>
      <c r="E1217" s="721"/>
      <c r="F1217" s="821"/>
      <c r="G1217" s="821"/>
      <c r="H1217" s="821"/>
      <c r="I1217" s="821"/>
      <c r="J1217" s="821"/>
      <c r="K1217" s="821"/>
      <c r="L1217" s="821"/>
      <c r="M1217" s="821"/>
      <c r="N1217" s="821"/>
      <c r="O1217" s="822"/>
      <c r="P1217" s="687"/>
    </row>
    <row r="1218" spans="1:89" s="672" customFormat="1" ht="17.25" hidden="1" customHeight="1" x14ac:dyDescent="0.25">
      <c r="A1218" s="1210"/>
      <c r="B1218" s="1228" t="s">
        <v>616</v>
      </c>
      <c r="C1218" s="1490"/>
      <c r="D1218" s="1491"/>
      <c r="E1218" s="1290"/>
      <c r="F1218" s="1214">
        <f>SUM(F1219:F1219)</f>
        <v>0</v>
      </c>
      <c r="G1218" s="1214">
        <f>SUM(G1219:G1219)</f>
        <v>0</v>
      </c>
      <c r="H1218" s="1214">
        <f>G1218+F1218</f>
        <v>0</v>
      </c>
      <c r="I1218" s="1214">
        <f>SUM(I1219:I1219)</f>
        <v>0</v>
      </c>
      <c r="J1218" s="1214">
        <f>SUM(J1219:J1219)</f>
        <v>0</v>
      </c>
      <c r="K1218" s="1214">
        <f>J1218+I1218</f>
        <v>0</v>
      </c>
      <c r="L1218" s="1214">
        <f>SUM(L1219:L1219)</f>
        <v>0</v>
      </c>
      <c r="M1218" s="1214">
        <f>SUM(M1219:M1219)</f>
        <v>0</v>
      </c>
      <c r="N1218" s="1214">
        <f>M1218+L1218</f>
        <v>0</v>
      </c>
      <c r="O1218" s="1215">
        <f>N1218+K1218+H1218</f>
        <v>0</v>
      </c>
      <c r="P1218" s="680"/>
      <c r="Q1218" s="1581"/>
      <c r="R1218" s="1581"/>
      <c r="S1218" s="1581"/>
      <c r="T1218" s="1581"/>
      <c r="U1218" s="1581"/>
      <c r="V1218" s="1581"/>
      <c r="W1218" s="1581"/>
      <c r="X1218" s="1581"/>
      <c r="Y1218" s="1581"/>
      <c r="Z1218" s="1581"/>
      <c r="AA1218" s="1581"/>
      <c r="AB1218" s="1581"/>
      <c r="AC1218" s="1581"/>
      <c r="AD1218" s="1581"/>
      <c r="AE1218" s="1581"/>
      <c r="AF1218" s="1581"/>
      <c r="AG1218" s="1581"/>
      <c r="AH1218" s="1581"/>
      <c r="AI1218" s="1581"/>
      <c r="AJ1218" s="1581"/>
      <c r="AK1218" s="1581"/>
      <c r="AL1218" s="1581"/>
      <c r="AM1218" s="1581"/>
      <c r="AN1218" s="1581"/>
      <c r="AO1218" s="1581"/>
      <c r="AP1218" s="1581"/>
      <c r="AQ1218" s="1581"/>
      <c r="AR1218" s="1581"/>
      <c r="AS1218" s="1581"/>
      <c r="AT1218" s="1581"/>
      <c r="AU1218" s="1581"/>
      <c r="AV1218" s="1581"/>
      <c r="AW1218" s="1581"/>
      <c r="AX1218" s="1581"/>
      <c r="AY1218" s="1581"/>
      <c r="AZ1218" s="1581"/>
      <c r="BA1218" s="1581"/>
      <c r="BB1218" s="1581"/>
      <c r="BC1218" s="1581"/>
      <c r="BD1218" s="1581"/>
      <c r="BE1218" s="1581"/>
      <c r="BF1218" s="1581"/>
      <c r="BG1218" s="1581"/>
      <c r="BH1218" s="1581"/>
      <c r="BI1218" s="1581"/>
      <c r="BJ1218" s="1581"/>
      <c r="BK1218" s="1581"/>
      <c r="BL1218" s="1581"/>
      <c r="BM1218" s="1581"/>
      <c r="BN1218" s="1581"/>
      <c r="BO1218" s="1581"/>
      <c r="BP1218" s="1581"/>
      <c r="BQ1218" s="1581"/>
      <c r="BR1218" s="1581"/>
      <c r="BS1218" s="1581"/>
      <c r="BT1218" s="1581"/>
      <c r="BU1218" s="1581"/>
      <c r="BV1218" s="1581"/>
      <c r="BW1218" s="1581"/>
      <c r="BX1218" s="1581"/>
      <c r="BY1218" s="1581"/>
      <c r="BZ1218" s="1581"/>
      <c r="CA1218" s="1581"/>
      <c r="CB1218" s="1581"/>
      <c r="CC1218" s="1581"/>
      <c r="CD1218" s="1581"/>
      <c r="CE1218" s="1581"/>
      <c r="CF1218" s="1581"/>
      <c r="CG1218" s="1581"/>
      <c r="CH1218" s="1581"/>
      <c r="CI1218" s="1581"/>
      <c r="CJ1218" s="1581"/>
      <c r="CK1218" s="1581"/>
    </row>
    <row r="1219" spans="1:89" ht="15" hidden="1" x14ac:dyDescent="0.25">
      <c r="A1219" s="681">
        <v>1</v>
      </c>
      <c r="B1219" s="1492" t="s">
        <v>153</v>
      </c>
      <c r="C1219" s="682">
        <v>0</v>
      </c>
      <c r="D1219" s="1338" t="s">
        <v>16</v>
      </c>
      <c r="E1219" s="685">
        <v>3500000</v>
      </c>
      <c r="F1219" s="685"/>
      <c r="G1219" s="685"/>
      <c r="H1219" s="685"/>
      <c r="I1219" s="685"/>
      <c r="J1219" s="685">
        <f>C1219*E1219</f>
        <v>0</v>
      </c>
      <c r="K1219" s="685">
        <f>I1219+J1219</f>
        <v>0</v>
      </c>
      <c r="L1219" s="685"/>
      <c r="M1219" s="685"/>
      <c r="N1219" s="685"/>
      <c r="O1219" s="686">
        <f>N1219+K1219+H1219</f>
        <v>0</v>
      </c>
      <c r="P1219" s="687"/>
    </row>
    <row r="1220" spans="1:89" ht="17.25" customHeight="1" x14ac:dyDescent="0.25">
      <c r="A1220" s="820"/>
      <c r="B1220" s="894"/>
      <c r="C1220" s="830"/>
      <c r="D1220" s="865"/>
      <c r="E1220" s="821"/>
      <c r="F1220" s="821"/>
      <c r="G1220" s="821"/>
      <c r="H1220" s="821"/>
      <c r="I1220" s="821"/>
      <c r="J1220" s="821"/>
      <c r="K1220" s="821"/>
      <c r="L1220" s="821"/>
      <c r="M1220" s="821"/>
      <c r="N1220" s="821"/>
      <c r="O1220" s="822"/>
      <c r="P1220" s="687"/>
    </row>
    <row r="1221" spans="1:89" s="672" customFormat="1" ht="17.25" customHeight="1" x14ac:dyDescent="0.2">
      <c r="A1221" s="1210" t="s">
        <v>22</v>
      </c>
      <c r="B1221" s="1493" t="s">
        <v>23</v>
      </c>
      <c r="C1221" s="1490"/>
      <c r="D1221" s="1491"/>
      <c r="E1221" s="1290"/>
      <c r="F1221" s="1290">
        <f>SUM(F1222:F1232)</f>
        <v>0</v>
      </c>
      <c r="G1221" s="1290">
        <f>SUM(G1222:G1232)</f>
        <v>0</v>
      </c>
      <c r="H1221" s="1290">
        <f>F1221+G1221</f>
        <v>0</v>
      </c>
      <c r="I1221" s="1290">
        <f>SUM(I1222:I1232)</f>
        <v>0</v>
      </c>
      <c r="J1221" s="1290">
        <f>SUM(J1222:J1232)</f>
        <v>3033600</v>
      </c>
      <c r="K1221" s="1290">
        <f>I1221+J1221</f>
        <v>3033600</v>
      </c>
      <c r="L1221" s="1290">
        <f>SUM(L1222:L1232)</f>
        <v>0</v>
      </c>
      <c r="M1221" s="1290">
        <f>SUM(M1222:M1232)</f>
        <v>0</v>
      </c>
      <c r="N1221" s="1290">
        <f>L1221+M1221</f>
        <v>0</v>
      </c>
      <c r="O1221" s="1494">
        <f>N1221+K1221+H1221</f>
        <v>3033600</v>
      </c>
      <c r="P1221" s="912"/>
      <c r="Q1221" s="1581"/>
      <c r="R1221" s="1581"/>
      <c r="S1221" s="1581"/>
      <c r="T1221" s="1581"/>
      <c r="U1221" s="1581"/>
      <c r="V1221" s="1581"/>
      <c r="W1221" s="1581"/>
      <c r="X1221" s="1581"/>
      <c r="Y1221" s="1581"/>
      <c r="Z1221" s="1581"/>
      <c r="AA1221" s="1581"/>
      <c r="AB1221" s="1581"/>
      <c r="AC1221" s="1581"/>
      <c r="AD1221" s="1581"/>
      <c r="AE1221" s="1581"/>
      <c r="AF1221" s="1581"/>
      <c r="AG1221" s="1581"/>
      <c r="AH1221" s="1581"/>
      <c r="AI1221" s="1581"/>
      <c r="AJ1221" s="1581"/>
      <c r="AK1221" s="1581"/>
      <c r="AL1221" s="1581"/>
      <c r="AM1221" s="1581"/>
      <c r="AN1221" s="1581"/>
      <c r="AO1221" s="1581"/>
      <c r="AP1221" s="1581"/>
      <c r="AQ1221" s="1581"/>
      <c r="AR1221" s="1581"/>
      <c r="AS1221" s="1581"/>
      <c r="AT1221" s="1581"/>
      <c r="AU1221" s="1581"/>
      <c r="AV1221" s="1581"/>
      <c r="AW1221" s="1581"/>
      <c r="AX1221" s="1581"/>
      <c r="AY1221" s="1581"/>
      <c r="AZ1221" s="1581"/>
      <c r="BA1221" s="1581"/>
      <c r="BB1221" s="1581"/>
      <c r="BC1221" s="1581"/>
      <c r="BD1221" s="1581"/>
      <c r="BE1221" s="1581"/>
      <c r="BF1221" s="1581"/>
      <c r="BG1221" s="1581"/>
      <c r="BH1221" s="1581"/>
      <c r="BI1221" s="1581"/>
      <c r="BJ1221" s="1581"/>
      <c r="BK1221" s="1581"/>
      <c r="BL1221" s="1581"/>
      <c r="BM1221" s="1581"/>
      <c r="BN1221" s="1581"/>
      <c r="BO1221" s="1581"/>
      <c r="BP1221" s="1581"/>
      <c r="BQ1221" s="1581"/>
      <c r="BR1221" s="1581"/>
      <c r="BS1221" s="1581"/>
      <c r="BT1221" s="1581"/>
      <c r="BU1221" s="1581"/>
      <c r="BV1221" s="1581"/>
      <c r="BW1221" s="1581"/>
      <c r="BX1221" s="1581"/>
      <c r="BY1221" s="1581"/>
      <c r="BZ1221" s="1581"/>
      <c r="CA1221" s="1581"/>
      <c r="CB1221" s="1581"/>
      <c r="CC1221" s="1581"/>
      <c r="CD1221" s="1581"/>
      <c r="CE1221" s="1581"/>
      <c r="CF1221" s="1581"/>
      <c r="CG1221" s="1581"/>
      <c r="CH1221" s="1581"/>
      <c r="CI1221" s="1581"/>
      <c r="CJ1221" s="1581"/>
      <c r="CK1221" s="1581"/>
    </row>
    <row r="1222" spans="1:89" ht="17.25" customHeight="1" x14ac:dyDescent="0.2">
      <c r="A1222" s="1775">
        <v>1</v>
      </c>
      <c r="B1222" s="1796" t="s">
        <v>21</v>
      </c>
      <c r="C1222" s="1797"/>
      <c r="D1222" s="1798"/>
      <c r="E1222" s="1799"/>
      <c r="F1222" s="1799"/>
      <c r="G1222" s="1799"/>
      <c r="H1222" s="1799"/>
      <c r="I1222" s="1799"/>
      <c r="J1222" s="1799"/>
      <c r="K1222" s="1799"/>
      <c r="L1222" s="1799"/>
      <c r="M1222" s="1799"/>
      <c r="N1222" s="1799"/>
      <c r="O1222" s="1800">
        <f>N1222+K1222+H1222</f>
        <v>0</v>
      </c>
      <c r="P1222" s="754"/>
    </row>
    <row r="1223" spans="1:89" ht="17.25" customHeight="1" x14ac:dyDescent="0.2">
      <c r="A1223" s="692"/>
      <c r="B1223" s="1495" t="s">
        <v>108</v>
      </c>
      <c r="C1223" s="713">
        <v>1</v>
      </c>
      <c r="D1223" s="880" t="s">
        <v>25</v>
      </c>
      <c r="E1223" s="714">
        <v>3000000</v>
      </c>
      <c r="F1223" s="714"/>
      <c r="G1223" s="714"/>
      <c r="H1223" s="714"/>
      <c r="I1223" s="714"/>
      <c r="J1223" s="714">
        <f>E1223*C1223</f>
        <v>3000000</v>
      </c>
      <c r="K1223" s="714">
        <f>I1223+J1223</f>
        <v>3000000</v>
      </c>
      <c r="L1223" s="714"/>
      <c r="M1223" s="714"/>
      <c r="N1223" s="714"/>
      <c r="O1223" s="753">
        <f>N1223+K1223+H1223</f>
        <v>3000000</v>
      </c>
      <c r="P1223" s="754"/>
    </row>
    <row r="1224" spans="1:89" ht="17.25" customHeight="1" x14ac:dyDescent="0.25">
      <c r="A1224" s="692"/>
      <c r="B1224" s="1780" t="s">
        <v>1987</v>
      </c>
      <c r="C1224" s="713"/>
      <c r="D1224" s="880"/>
      <c r="E1224" s="714"/>
      <c r="F1224" s="714"/>
      <c r="G1224" s="714"/>
      <c r="H1224" s="714"/>
      <c r="I1224" s="714"/>
      <c r="J1224" s="714"/>
      <c r="K1224" s="714"/>
      <c r="L1224" s="714"/>
      <c r="M1224" s="714"/>
      <c r="N1224" s="714"/>
      <c r="O1224" s="753"/>
      <c r="P1224" s="754"/>
    </row>
    <row r="1225" spans="1:89" ht="17.25" customHeight="1" x14ac:dyDescent="0.25">
      <c r="A1225" s="692"/>
      <c r="B1225" s="1780" t="s">
        <v>1988</v>
      </c>
      <c r="C1225" s="713"/>
      <c r="D1225" s="880"/>
      <c r="E1225" s="714"/>
      <c r="F1225" s="714"/>
      <c r="G1225" s="714"/>
      <c r="H1225" s="714"/>
      <c r="I1225" s="714"/>
      <c r="J1225" s="714"/>
      <c r="K1225" s="714"/>
      <c r="L1225" s="714"/>
      <c r="M1225" s="714"/>
      <c r="N1225" s="714"/>
      <c r="O1225" s="753"/>
      <c r="P1225" s="754"/>
    </row>
    <row r="1226" spans="1:89" ht="17.25" customHeight="1" x14ac:dyDescent="0.25">
      <c r="A1226" s="692"/>
      <c r="B1226" s="1780" t="s">
        <v>1989</v>
      </c>
      <c r="C1226" s="713"/>
      <c r="D1226" s="880"/>
      <c r="E1226" s="714"/>
      <c r="F1226" s="714"/>
      <c r="G1226" s="714"/>
      <c r="H1226" s="714"/>
      <c r="I1226" s="714"/>
      <c r="J1226" s="714"/>
      <c r="K1226" s="714"/>
      <c r="L1226" s="714"/>
      <c r="M1226" s="714"/>
      <c r="N1226" s="714"/>
      <c r="O1226" s="753">
        <f>N1226+K1226+H1226</f>
        <v>0</v>
      </c>
      <c r="P1226" s="754"/>
    </row>
    <row r="1227" spans="1:89" ht="17.25" customHeight="1" x14ac:dyDescent="0.25">
      <c r="A1227" s="692"/>
      <c r="B1227" s="1780" t="s">
        <v>1990</v>
      </c>
      <c r="C1227" s="713"/>
      <c r="D1227" s="880"/>
      <c r="E1227" s="714"/>
      <c r="F1227" s="714"/>
      <c r="G1227" s="714"/>
      <c r="H1227" s="714"/>
      <c r="I1227" s="714"/>
      <c r="J1227" s="714"/>
      <c r="K1227" s="714"/>
      <c r="L1227" s="714"/>
      <c r="M1227" s="714"/>
      <c r="N1227" s="714"/>
      <c r="O1227" s="753"/>
      <c r="P1227" s="754"/>
    </row>
    <row r="1228" spans="1:89" ht="17.25" customHeight="1" x14ac:dyDescent="0.25">
      <c r="A1228" s="692"/>
      <c r="B1228" s="1780" t="s">
        <v>1991</v>
      </c>
      <c r="C1228" s="713"/>
      <c r="D1228" s="880"/>
      <c r="E1228" s="714"/>
      <c r="F1228" s="714"/>
      <c r="G1228" s="714"/>
      <c r="H1228" s="714"/>
      <c r="I1228" s="714"/>
      <c r="J1228" s="714"/>
      <c r="K1228" s="714"/>
      <c r="L1228" s="714"/>
      <c r="M1228" s="714"/>
      <c r="N1228" s="714"/>
      <c r="O1228" s="753"/>
      <c r="P1228" s="754"/>
    </row>
    <row r="1229" spans="1:89" ht="17.25" customHeight="1" x14ac:dyDescent="0.25">
      <c r="A1229" s="692"/>
      <c r="B1229" s="1780" t="s">
        <v>1992</v>
      </c>
      <c r="C1229" s="693"/>
      <c r="D1229" s="739"/>
      <c r="E1229" s="695"/>
      <c r="F1229" s="695"/>
      <c r="G1229" s="695"/>
      <c r="H1229" s="695"/>
      <c r="I1229" s="695"/>
      <c r="J1229" s="695"/>
      <c r="K1229" s="695"/>
      <c r="L1229" s="695"/>
      <c r="M1229" s="695"/>
      <c r="N1229" s="695"/>
      <c r="O1229" s="696"/>
      <c r="P1229" s="687"/>
    </row>
    <row r="1230" spans="1:89" s="679" customFormat="1" ht="17.25" customHeight="1" x14ac:dyDescent="0.25">
      <c r="A1230" s="692"/>
      <c r="B1230" s="1371"/>
      <c r="C1230" s="693"/>
      <c r="D1230" s="739"/>
      <c r="E1230" s="695"/>
      <c r="F1230" s="695"/>
      <c r="G1230" s="695"/>
      <c r="H1230" s="695"/>
      <c r="I1230" s="695"/>
      <c r="J1230" s="695"/>
      <c r="K1230" s="695"/>
      <c r="L1230" s="695"/>
      <c r="M1230" s="695"/>
      <c r="N1230" s="695"/>
      <c r="O1230" s="696"/>
      <c r="P1230" s="687"/>
    </row>
    <row r="1231" spans="1:89" ht="17.25" customHeight="1" x14ac:dyDescent="0.25">
      <c r="A1231" s="742">
        <v>2</v>
      </c>
      <c r="B1231" s="756" t="s">
        <v>19</v>
      </c>
      <c r="C1231" s="699"/>
      <c r="D1231" s="739"/>
      <c r="E1231" s="695"/>
      <c r="F1231" s="714"/>
      <c r="G1231" s="714"/>
      <c r="H1231" s="714"/>
      <c r="I1231" s="714"/>
      <c r="J1231" s="714"/>
      <c r="K1231" s="714"/>
      <c r="L1231" s="714"/>
      <c r="M1231" s="714"/>
      <c r="N1231" s="714"/>
      <c r="O1231" s="753">
        <f>N1231+K1231+H1231</f>
        <v>0</v>
      </c>
      <c r="P1231" s="754"/>
    </row>
    <row r="1232" spans="1:89" ht="17.25" customHeight="1" x14ac:dyDescent="0.25">
      <c r="A1232" s="742"/>
      <c r="B1232" s="756" t="s">
        <v>26</v>
      </c>
      <c r="C1232" s="699">
        <v>1</v>
      </c>
      <c r="D1232" s="739" t="s">
        <v>25</v>
      </c>
      <c r="E1232" s="695">
        <v>33600</v>
      </c>
      <c r="F1232" s="714"/>
      <c r="G1232" s="714"/>
      <c r="H1232" s="714"/>
      <c r="I1232" s="714"/>
      <c r="J1232" s="714">
        <f>C1232*E1232</f>
        <v>33600</v>
      </c>
      <c r="K1232" s="714">
        <f>I1232+J1232</f>
        <v>33600</v>
      </c>
      <c r="L1232" s="714"/>
      <c r="M1232" s="714"/>
      <c r="N1232" s="714"/>
      <c r="O1232" s="753">
        <f>N1232+K1232+H1232</f>
        <v>33600</v>
      </c>
      <c r="P1232" s="754"/>
    </row>
    <row r="1233" spans="1:89" ht="17.25" customHeight="1" x14ac:dyDescent="0.25">
      <c r="A1233" s="1109"/>
      <c r="B1233" s="1516"/>
      <c r="C1233" s="1111"/>
      <c r="D1233" s="1801"/>
      <c r="E1233" s="1785"/>
      <c r="F1233" s="916"/>
      <c r="G1233" s="916"/>
      <c r="H1233" s="916"/>
      <c r="I1233" s="916"/>
      <c r="J1233" s="916"/>
      <c r="K1233" s="916"/>
      <c r="L1233" s="916"/>
      <c r="M1233" s="916"/>
      <c r="N1233" s="916"/>
      <c r="O1233" s="917"/>
      <c r="P1233" s="754"/>
    </row>
    <row r="1234" spans="1:89" s="672" customFormat="1" ht="17.25" customHeight="1" x14ac:dyDescent="0.25">
      <c r="A1234" s="1352" t="s">
        <v>28</v>
      </c>
      <c r="B1234" s="1367" t="s">
        <v>29</v>
      </c>
      <c r="C1234" s="1255"/>
      <c r="D1234" s="1316"/>
      <c r="E1234" s="1214"/>
      <c r="F1234" s="1290">
        <f>SUM(F1238:F1267)</f>
        <v>0</v>
      </c>
      <c r="G1234" s="1290">
        <f>SUM(G1238:G1267)</f>
        <v>0</v>
      </c>
      <c r="H1234" s="1290">
        <f>F1234+G1234</f>
        <v>0</v>
      </c>
      <c r="I1234" s="1290">
        <f>SUM(I1238:I1267)</f>
        <v>0</v>
      </c>
      <c r="J1234" s="1290">
        <f>SUM(J1238:J1267)</f>
        <v>524920</v>
      </c>
      <c r="K1234" s="1290">
        <f>I1234+J1234</f>
        <v>524920</v>
      </c>
      <c r="L1234" s="1290">
        <f>SUM(L1238:L1267)</f>
        <v>0</v>
      </c>
      <c r="M1234" s="1290">
        <f>SUM(M1238:M1267)</f>
        <v>0</v>
      </c>
      <c r="N1234" s="1290">
        <f>L1234+M1234</f>
        <v>0</v>
      </c>
      <c r="O1234" s="1494">
        <f>N1234+K1234+H1234</f>
        <v>524920</v>
      </c>
      <c r="P1234" s="912"/>
      <c r="Q1234" s="1581"/>
      <c r="R1234" s="1581"/>
      <c r="S1234" s="1581"/>
      <c r="T1234" s="1581"/>
      <c r="U1234" s="1581"/>
      <c r="V1234" s="1581"/>
      <c r="W1234" s="1581"/>
      <c r="X1234" s="1581"/>
      <c r="Y1234" s="1581"/>
      <c r="Z1234" s="1581"/>
      <c r="AA1234" s="1581"/>
      <c r="AB1234" s="1581"/>
      <c r="AC1234" s="1581"/>
      <c r="AD1234" s="1581"/>
      <c r="AE1234" s="1581"/>
      <c r="AF1234" s="1581"/>
      <c r="AG1234" s="1581"/>
      <c r="AH1234" s="1581"/>
      <c r="AI1234" s="1581"/>
      <c r="AJ1234" s="1581"/>
      <c r="AK1234" s="1581"/>
      <c r="AL1234" s="1581"/>
      <c r="AM1234" s="1581"/>
      <c r="AN1234" s="1581"/>
      <c r="AO1234" s="1581"/>
      <c r="AP1234" s="1581"/>
      <c r="AQ1234" s="1581"/>
      <c r="AR1234" s="1581"/>
      <c r="AS1234" s="1581"/>
      <c r="AT1234" s="1581"/>
      <c r="AU1234" s="1581"/>
      <c r="AV1234" s="1581"/>
      <c r="AW1234" s="1581"/>
      <c r="AX1234" s="1581"/>
      <c r="AY1234" s="1581"/>
      <c r="AZ1234" s="1581"/>
      <c r="BA1234" s="1581"/>
      <c r="BB1234" s="1581"/>
      <c r="BC1234" s="1581"/>
      <c r="BD1234" s="1581"/>
      <c r="BE1234" s="1581"/>
      <c r="BF1234" s="1581"/>
      <c r="BG1234" s="1581"/>
      <c r="BH1234" s="1581"/>
      <c r="BI1234" s="1581"/>
      <c r="BJ1234" s="1581"/>
      <c r="BK1234" s="1581"/>
      <c r="BL1234" s="1581"/>
      <c r="BM1234" s="1581"/>
      <c r="BN1234" s="1581"/>
      <c r="BO1234" s="1581"/>
      <c r="BP1234" s="1581"/>
      <c r="BQ1234" s="1581"/>
      <c r="BR1234" s="1581"/>
      <c r="BS1234" s="1581"/>
      <c r="BT1234" s="1581"/>
      <c r="BU1234" s="1581"/>
      <c r="BV1234" s="1581"/>
      <c r="BW1234" s="1581"/>
      <c r="BX1234" s="1581"/>
      <c r="BY1234" s="1581"/>
      <c r="BZ1234" s="1581"/>
      <c r="CA1234" s="1581"/>
      <c r="CB1234" s="1581"/>
      <c r="CC1234" s="1581"/>
      <c r="CD1234" s="1581"/>
      <c r="CE1234" s="1581"/>
      <c r="CF1234" s="1581"/>
      <c r="CG1234" s="1581"/>
      <c r="CH1234" s="1581"/>
      <c r="CI1234" s="1581"/>
      <c r="CJ1234" s="1581"/>
      <c r="CK1234" s="1581"/>
    </row>
    <row r="1235" spans="1:89" ht="17.25" customHeight="1" x14ac:dyDescent="0.25">
      <c r="A1235" s="730"/>
      <c r="B1235" s="873"/>
      <c r="C1235" s="835"/>
      <c r="D1235" s="863"/>
      <c r="E1235" s="685"/>
      <c r="F1235" s="684"/>
      <c r="G1235" s="684"/>
      <c r="H1235" s="684"/>
      <c r="I1235" s="684"/>
      <c r="J1235" s="684"/>
      <c r="K1235" s="684"/>
      <c r="L1235" s="684"/>
      <c r="M1235" s="684"/>
      <c r="N1235" s="684"/>
      <c r="O1235" s="867"/>
      <c r="P1235" s="754"/>
    </row>
    <row r="1236" spans="1:89" ht="17.25" customHeight="1" x14ac:dyDescent="0.25">
      <c r="A1236" s="742" t="s">
        <v>148</v>
      </c>
      <c r="B1236" s="756" t="s">
        <v>149</v>
      </c>
      <c r="C1236" s="699"/>
      <c r="D1236" s="739"/>
      <c r="E1236" s="695"/>
      <c r="F1236" s="714"/>
      <c r="G1236" s="714"/>
      <c r="H1236" s="714"/>
      <c r="I1236" s="714"/>
      <c r="J1236" s="714"/>
      <c r="K1236" s="714"/>
      <c r="L1236" s="714"/>
      <c r="M1236" s="714"/>
      <c r="N1236" s="714"/>
      <c r="O1236" s="753"/>
      <c r="P1236" s="754"/>
    </row>
    <row r="1237" spans="1:89" ht="17.25" customHeight="1" x14ac:dyDescent="0.25">
      <c r="A1237" s="742">
        <v>1</v>
      </c>
      <c r="B1237" s="756" t="s">
        <v>19</v>
      </c>
      <c r="C1237" s="699"/>
      <c r="D1237" s="739"/>
      <c r="E1237" s="695"/>
      <c r="F1237" s="714"/>
      <c r="G1237" s="714"/>
      <c r="H1237" s="714"/>
      <c r="I1237" s="714"/>
      <c r="J1237" s="714"/>
      <c r="K1237" s="714"/>
      <c r="L1237" s="714"/>
      <c r="M1237" s="714"/>
      <c r="N1237" s="714"/>
      <c r="O1237" s="753">
        <f t="shared" ref="O1237:O1262" si="91">N1237+K1237+H1237</f>
        <v>0</v>
      </c>
      <c r="P1237" s="754"/>
    </row>
    <row r="1238" spans="1:89" ht="17.25" customHeight="1" x14ac:dyDescent="0.25">
      <c r="A1238" s="742"/>
      <c r="B1238" s="756" t="s">
        <v>30</v>
      </c>
      <c r="C1238" s="699">
        <v>12</v>
      </c>
      <c r="D1238" s="739" t="s">
        <v>20</v>
      </c>
      <c r="E1238" s="695">
        <v>1580</v>
      </c>
      <c r="F1238" s="714"/>
      <c r="G1238" s="714"/>
      <c r="H1238" s="714"/>
      <c r="I1238" s="714"/>
      <c r="J1238" s="714">
        <f>C1238*E1238</f>
        <v>18960</v>
      </c>
      <c r="K1238" s="714">
        <f>I1238+J1238</f>
        <v>18960</v>
      </c>
      <c r="L1238" s="714"/>
      <c r="M1238" s="714"/>
      <c r="N1238" s="714"/>
      <c r="O1238" s="753">
        <f t="shared" si="91"/>
        <v>18960</v>
      </c>
      <c r="P1238" s="754"/>
    </row>
    <row r="1239" spans="1:89" ht="17.25" customHeight="1" x14ac:dyDescent="0.25">
      <c r="A1239" s="742"/>
      <c r="B1239" s="756" t="s">
        <v>31</v>
      </c>
      <c r="C1239" s="699">
        <v>12</v>
      </c>
      <c r="D1239" s="739" t="s">
        <v>20</v>
      </c>
      <c r="E1239" s="695">
        <v>1250</v>
      </c>
      <c r="F1239" s="714"/>
      <c r="G1239" s="714"/>
      <c r="H1239" s="714"/>
      <c r="I1239" s="714"/>
      <c r="J1239" s="714">
        <f>C1239*E1239</f>
        <v>15000</v>
      </c>
      <c r="K1239" s="714">
        <f t="shared" ref="K1239:K1247" si="92">I1239+J1239</f>
        <v>15000</v>
      </c>
      <c r="L1239" s="714"/>
      <c r="M1239" s="714"/>
      <c r="N1239" s="714"/>
      <c r="O1239" s="753">
        <f t="shared" si="91"/>
        <v>15000</v>
      </c>
      <c r="P1239" s="754"/>
    </row>
    <row r="1240" spans="1:89" ht="17.25" customHeight="1" x14ac:dyDescent="0.25">
      <c r="A1240" s="742"/>
      <c r="B1240" s="756" t="s">
        <v>32</v>
      </c>
      <c r="C1240" s="699">
        <v>12</v>
      </c>
      <c r="D1240" s="739" t="s">
        <v>20</v>
      </c>
      <c r="E1240" s="695">
        <v>1090</v>
      </c>
      <c r="F1240" s="714"/>
      <c r="G1240" s="714"/>
      <c r="H1240" s="714"/>
      <c r="I1240" s="714"/>
      <c r="J1240" s="714">
        <f>C1240*E1240</f>
        <v>13080</v>
      </c>
      <c r="K1240" s="714">
        <f t="shared" si="92"/>
        <v>13080</v>
      </c>
      <c r="L1240" s="714"/>
      <c r="M1240" s="714"/>
      <c r="N1240" s="714"/>
      <c r="O1240" s="753">
        <f t="shared" si="91"/>
        <v>13080</v>
      </c>
      <c r="P1240" s="754"/>
    </row>
    <row r="1241" spans="1:89" ht="17.25" customHeight="1" x14ac:dyDescent="0.25">
      <c r="A1241" s="742"/>
      <c r="B1241" s="756" t="s">
        <v>33</v>
      </c>
      <c r="C1241" s="699">
        <v>60</v>
      </c>
      <c r="D1241" s="739" t="s">
        <v>20</v>
      </c>
      <c r="E1241" s="695">
        <v>940</v>
      </c>
      <c r="F1241" s="714"/>
      <c r="G1241" s="714"/>
      <c r="H1241" s="714"/>
      <c r="I1241" s="714"/>
      <c r="J1241" s="714">
        <f>C1241*E1241</f>
        <v>56400</v>
      </c>
      <c r="K1241" s="714">
        <f t="shared" si="92"/>
        <v>56400</v>
      </c>
      <c r="L1241" s="714"/>
      <c r="M1241" s="714"/>
      <c r="N1241" s="714"/>
      <c r="O1241" s="753">
        <f t="shared" si="91"/>
        <v>56400</v>
      </c>
      <c r="P1241" s="754"/>
    </row>
    <row r="1242" spans="1:89" s="672" customFormat="1" ht="17.25" customHeight="1" x14ac:dyDescent="0.25">
      <c r="A1242" s="742"/>
      <c r="B1242" s="756" t="s">
        <v>34</v>
      </c>
      <c r="C1242" s="699"/>
      <c r="D1242" s="739"/>
      <c r="E1242" s="695"/>
      <c r="F1242" s="714"/>
      <c r="G1242" s="714"/>
      <c r="H1242" s="714"/>
      <c r="I1242" s="714"/>
      <c r="J1242" s="714"/>
      <c r="K1242" s="714"/>
      <c r="L1242" s="714"/>
      <c r="M1242" s="714"/>
      <c r="N1242" s="714"/>
      <c r="O1242" s="753">
        <f t="shared" si="91"/>
        <v>0</v>
      </c>
      <c r="P1242" s="754"/>
      <c r="Q1242" s="1581"/>
      <c r="R1242" s="1581"/>
      <c r="S1242" s="1581"/>
      <c r="T1242" s="1581"/>
      <c r="U1242" s="1581"/>
      <c r="V1242" s="1581"/>
      <c r="W1242" s="1581"/>
      <c r="X1242" s="1581"/>
      <c r="Y1242" s="1581"/>
      <c r="Z1242" s="1581"/>
      <c r="AA1242" s="1581"/>
      <c r="AB1242" s="1581"/>
      <c r="AC1242" s="1581"/>
      <c r="AD1242" s="1581"/>
      <c r="AE1242" s="1581"/>
      <c r="AF1242" s="1581"/>
      <c r="AG1242" s="1581"/>
      <c r="AH1242" s="1581"/>
      <c r="AI1242" s="1581"/>
      <c r="AJ1242" s="1581"/>
      <c r="AK1242" s="1581"/>
      <c r="AL1242" s="1581"/>
      <c r="AM1242" s="1581"/>
      <c r="AN1242" s="1581"/>
      <c r="AO1242" s="1581"/>
      <c r="AP1242" s="1581"/>
      <c r="AQ1242" s="1581"/>
      <c r="AR1242" s="1581"/>
      <c r="AS1242" s="1581"/>
      <c r="AT1242" s="1581"/>
      <c r="AU1242" s="1581"/>
      <c r="AV1242" s="1581"/>
      <c r="AW1242" s="1581"/>
      <c r="AX1242" s="1581"/>
      <c r="AY1242" s="1581"/>
      <c r="AZ1242" s="1581"/>
      <c r="BA1242" s="1581"/>
      <c r="BB1242" s="1581"/>
      <c r="BC1242" s="1581"/>
      <c r="BD1242" s="1581"/>
      <c r="BE1242" s="1581"/>
      <c r="BF1242" s="1581"/>
      <c r="BG1242" s="1581"/>
      <c r="BH1242" s="1581"/>
      <c r="BI1242" s="1581"/>
      <c r="BJ1242" s="1581"/>
      <c r="BK1242" s="1581"/>
      <c r="BL1242" s="1581"/>
      <c r="BM1242" s="1581"/>
      <c r="BN1242" s="1581"/>
      <c r="BO1242" s="1581"/>
      <c r="BP1242" s="1581"/>
      <c r="BQ1242" s="1581"/>
      <c r="BR1242" s="1581"/>
      <c r="BS1242" s="1581"/>
      <c r="BT1242" s="1581"/>
      <c r="BU1242" s="1581"/>
      <c r="BV1242" s="1581"/>
      <c r="BW1242" s="1581"/>
      <c r="BX1242" s="1581"/>
      <c r="BY1242" s="1581"/>
      <c r="BZ1242" s="1581"/>
      <c r="CA1242" s="1581"/>
      <c r="CB1242" s="1581"/>
      <c r="CC1242" s="1581"/>
      <c r="CD1242" s="1581"/>
      <c r="CE1242" s="1581"/>
      <c r="CF1242" s="1581"/>
      <c r="CG1242" s="1581"/>
      <c r="CH1242" s="1581"/>
      <c r="CI1242" s="1581"/>
      <c r="CJ1242" s="1581"/>
      <c r="CK1242" s="1581"/>
    </row>
    <row r="1243" spans="1:89" ht="17.25" customHeight="1" x14ac:dyDescent="0.25">
      <c r="A1243" s="742"/>
      <c r="B1243" s="756" t="s">
        <v>35</v>
      </c>
      <c r="C1243" s="699">
        <v>12</v>
      </c>
      <c r="D1243" s="739" t="s">
        <v>20</v>
      </c>
      <c r="E1243" s="695">
        <v>400</v>
      </c>
      <c r="F1243" s="714"/>
      <c r="G1243" s="714"/>
      <c r="H1243" s="714"/>
      <c r="I1243" s="714"/>
      <c r="J1243" s="714">
        <f>C1243*E1243</f>
        <v>4800</v>
      </c>
      <c r="K1243" s="714">
        <f t="shared" si="92"/>
        <v>4800</v>
      </c>
      <c r="L1243" s="714"/>
      <c r="M1243" s="714"/>
      <c r="N1243" s="714"/>
      <c r="O1243" s="753">
        <f t="shared" si="91"/>
        <v>4800</v>
      </c>
      <c r="P1243" s="754"/>
    </row>
    <row r="1244" spans="1:89" ht="17.25" customHeight="1" x14ac:dyDescent="0.25">
      <c r="A1244" s="742"/>
      <c r="B1244" s="756" t="s">
        <v>36</v>
      </c>
      <c r="C1244" s="699">
        <v>48</v>
      </c>
      <c r="D1244" s="739" t="s">
        <v>20</v>
      </c>
      <c r="E1244" s="695">
        <v>300</v>
      </c>
      <c r="F1244" s="714"/>
      <c r="G1244" s="714"/>
      <c r="H1244" s="714"/>
      <c r="I1244" s="714"/>
      <c r="J1244" s="714">
        <f>C1244*E1244</f>
        <v>14400</v>
      </c>
      <c r="K1244" s="714">
        <f t="shared" si="92"/>
        <v>14400</v>
      </c>
      <c r="L1244" s="714"/>
      <c r="M1244" s="714"/>
      <c r="N1244" s="714"/>
      <c r="O1244" s="753">
        <f t="shared" si="91"/>
        <v>14400</v>
      </c>
      <c r="P1244" s="754"/>
    </row>
    <row r="1245" spans="1:89" s="672" customFormat="1" ht="17.25" customHeight="1" x14ac:dyDescent="0.25">
      <c r="A1245" s="742"/>
      <c r="B1245" s="756"/>
      <c r="C1245" s="699"/>
      <c r="D1245" s="739"/>
      <c r="E1245" s="695"/>
      <c r="F1245" s="714"/>
      <c r="G1245" s="714"/>
      <c r="H1245" s="714"/>
      <c r="I1245" s="714"/>
      <c r="J1245" s="714"/>
      <c r="K1245" s="714"/>
      <c r="L1245" s="714"/>
      <c r="M1245" s="714"/>
      <c r="N1245" s="714"/>
      <c r="O1245" s="753">
        <f t="shared" si="91"/>
        <v>0</v>
      </c>
      <c r="P1245" s="754"/>
      <c r="Q1245" s="1581"/>
      <c r="R1245" s="1581"/>
      <c r="S1245" s="1581"/>
      <c r="T1245" s="1581"/>
      <c r="U1245" s="1581"/>
      <c r="V1245" s="1581"/>
      <c r="W1245" s="1581"/>
      <c r="X1245" s="1581"/>
      <c r="Y1245" s="1581"/>
      <c r="Z1245" s="1581"/>
      <c r="AA1245" s="1581"/>
      <c r="AB1245" s="1581"/>
      <c r="AC1245" s="1581"/>
      <c r="AD1245" s="1581"/>
      <c r="AE1245" s="1581"/>
      <c r="AF1245" s="1581"/>
      <c r="AG1245" s="1581"/>
      <c r="AH1245" s="1581"/>
      <c r="AI1245" s="1581"/>
      <c r="AJ1245" s="1581"/>
      <c r="AK1245" s="1581"/>
      <c r="AL1245" s="1581"/>
      <c r="AM1245" s="1581"/>
      <c r="AN1245" s="1581"/>
      <c r="AO1245" s="1581"/>
      <c r="AP1245" s="1581"/>
      <c r="AQ1245" s="1581"/>
      <c r="AR1245" s="1581"/>
      <c r="AS1245" s="1581"/>
      <c r="AT1245" s="1581"/>
      <c r="AU1245" s="1581"/>
      <c r="AV1245" s="1581"/>
      <c r="AW1245" s="1581"/>
      <c r="AX1245" s="1581"/>
      <c r="AY1245" s="1581"/>
      <c r="AZ1245" s="1581"/>
      <c r="BA1245" s="1581"/>
      <c r="BB1245" s="1581"/>
      <c r="BC1245" s="1581"/>
      <c r="BD1245" s="1581"/>
      <c r="BE1245" s="1581"/>
      <c r="BF1245" s="1581"/>
      <c r="BG1245" s="1581"/>
      <c r="BH1245" s="1581"/>
      <c r="BI1245" s="1581"/>
      <c r="BJ1245" s="1581"/>
      <c r="BK1245" s="1581"/>
      <c r="BL1245" s="1581"/>
      <c r="BM1245" s="1581"/>
      <c r="BN1245" s="1581"/>
      <c r="BO1245" s="1581"/>
      <c r="BP1245" s="1581"/>
      <c r="BQ1245" s="1581"/>
      <c r="BR1245" s="1581"/>
      <c r="BS1245" s="1581"/>
      <c r="BT1245" s="1581"/>
      <c r="BU1245" s="1581"/>
      <c r="BV1245" s="1581"/>
      <c r="BW1245" s="1581"/>
      <c r="BX1245" s="1581"/>
      <c r="BY1245" s="1581"/>
      <c r="BZ1245" s="1581"/>
      <c r="CA1245" s="1581"/>
      <c r="CB1245" s="1581"/>
      <c r="CC1245" s="1581"/>
      <c r="CD1245" s="1581"/>
      <c r="CE1245" s="1581"/>
      <c r="CF1245" s="1581"/>
      <c r="CG1245" s="1581"/>
      <c r="CH1245" s="1581"/>
      <c r="CI1245" s="1581"/>
      <c r="CJ1245" s="1581"/>
      <c r="CK1245" s="1581"/>
    </row>
    <row r="1246" spans="1:89" s="672" customFormat="1" ht="17.25" customHeight="1" x14ac:dyDescent="0.25">
      <c r="A1246" s="742">
        <v>2</v>
      </c>
      <c r="B1246" s="756" t="s">
        <v>38</v>
      </c>
      <c r="C1246" s="699">
        <v>1</v>
      </c>
      <c r="D1246" s="739" t="s">
        <v>25</v>
      </c>
      <c r="E1246" s="695">
        <v>50000</v>
      </c>
      <c r="F1246" s="714"/>
      <c r="G1246" s="714"/>
      <c r="H1246" s="714"/>
      <c r="I1246" s="714"/>
      <c r="J1246" s="714">
        <f>C1246*E1246</f>
        <v>50000</v>
      </c>
      <c r="K1246" s="714">
        <f t="shared" si="92"/>
        <v>50000</v>
      </c>
      <c r="L1246" s="714"/>
      <c r="M1246" s="714"/>
      <c r="N1246" s="714"/>
      <c r="O1246" s="753">
        <f t="shared" si="91"/>
        <v>50000</v>
      </c>
      <c r="P1246" s="754"/>
      <c r="Q1246" s="1581"/>
      <c r="R1246" s="1581"/>
      <c r="S1246" s="1581"/>
      <c r="T1246" s="1581"/>
      <c r="U1246" s="1581"/>
      <c r="V1246" s="1581"/>
      <c r="W1246" s="1581"/>
      <c r="X1246" s="1581"/>
      <c r="Y1246" s="1581"/>
      <c r="Z1246" s="1581"/>
      <c r="AA1246" s="1581"/>
      <c r="AB1246" s="1581"/>
      <c r="AC1246" s="1581"/>
      <c r="AD1246" s="1581"/>
      <c r="AE1246" s="1581"/>
      <c r="AF1246" s="1581"/>
      <c r="AG1246" s="1581"/>
      <c r="AH1246" s="1581"/>
      <c r="AI1246" s="1581"/>
      <c r="AJ1246" s="1581"/>
      <c r="AK1246" s="1581"/>
      <c r="AL1246" s="1581"/>
      <c r="AM1246" s="1581"/>
      <c r="AN1246" s="1581"/>
      <c r="AO1246" s="1581"/>
      <c r="AP1246" s="1581"/>
      <c r="AQ1246" s="1581"/>
      <c r="AR1246" s="1581"/>
      <c r="AS1246" s="1581"/>
      <c r="AT1246" s="1581"/>
      <c r="AU1246" s="1581"/>
      <c r="AV1246" s="1581"/>
      <c r="AW1246" s="1581"/>
      <c r="AX1246" s="1581"/>
      <c r="AY1246" s="1581"/>
      <c r="AZ1246" s="1581"/>
      <c r="BA1246" s="1581"/>
      <c r="BB1246" s="1581"/>
      <c r="BC1246" s="1581"/>
      <c r="BD1246" s="1581"/>
      <c r="BE1246" s="1581"/>
      <c r="BF1246" s="1581"/>
      <c r="BG1246" s="1581"/>
      <c r="BH1246" s="1581"/>
      <c r="BI1246" s="1581"/>
      <c r="BJ1246" s="1581"/>
      <c r="BK1246" s="1581"/>
      <c r="BL1246" s="1581"/>
      <c r="BM1246" s="1581"/>
      <c r="BN1246" s="1581"/>
      <c r="BO1246" s="1581"/>
      <c r="BP1246" s="1581"/>
      <c r="BQ1246" s="1581"/>
      <c r="BR1246" s="1581"/>
      <c r="BS1246" s="1581"/>
      <c r="BT1246" s="1581"/>
      <c r="BU1246" s="1581"/>
      <c r="BV1246" s="1581"/>
      <c r="BW1246" s="1581"/>
      <c r="BX1246" s="1581"/>
      <c r="BY1246" s="1581"/>
      <c r="BZ1246" s="1581"/>
      <c r="CA1246" s="1581"/>
      <c r="CB1246" s="1581"/>
      <c r="CC1246" s="1581"/>
      <c r="CD1246" s="1581"/>
      <c r="CE1246" s="1581"/>
      <c r="CF1246" s="1581"/>
      <c r="CG1246" s="1581"/>
      <c r="CH1246" s="1581"/>
      <c r="CI1246" s="1581"/>
      <c r="CJ1246" s="1581"/>
      <c r="CK1246" s="1581"/>
    </row>
    <row r="1247" spans="1:89" ht="17.25" customHeight="1" x14ac:dyDescent="0.25">
      <c r="A1247" s="742"/>
      <c r="B1247" s="756" t="s">
        <v>39</v>
      </c>
      <c r="C1247" s="699">
        <v>1</v>
      </c>
      <c r="D1247" s="739" t="s">
        <v>25</v>
      </c>
      <c r="E1247" s="695">
        <v>30000</v>
      </c>
      <c r="F1247" s="714"/>
      <c r="G1247" s="714"/>
      <c r="H1247" s="714"/>
      <c r="I1247" s="714"/>
      <c r="J1247" s="714">
        <f>C1247*E1247</f>
        <v>30000</v>
      </c>
      <c r="K1247" s="714">
        <f t="shared" si="92"/>
        <v>30000</v>
      </c>
      <c r="L1247" s="714"/>
      <c r="M1247" s="714"/>
      <c r="N1247" s="714"/>
      <c r="O1247" s="753">
        <f t="shared" si="91"/>
        <v>30000</v>
      </c>
      <c r="P1247" s="754"/>
    </row>
    <row r="1248" spans="1:89" ht="17.25" customHeight="1" x14ac:dyDescent="0.25">
      <c r="A1248" s="742"/>
      <c r="B1248" s="756"/>
      <c r="C1248" s="699"/>
      <c r="D1248" s="739"/>
      <c r="E1248" s="695"/>
      <c r="F1248" s="714"/>
      <c r="G1248" s="714"/>
      <c r="H1248" s="714"/>
      <c r="I1248" s="714"/>
      <c r="J1248" s="714"/>
      <c r="K1248" s="714"/>
      <c r="L1248" s="714"/>
      <c r="M1248" s="714"/>
      <c r="N1248" s="714"/>
      <c r="O1248" s="753">
        <f t="shared" si="91"/>
        <v>0</v>
      </c>
      <c r="P1248" s="754"/>
    </row>
    <row r="1249" spans="1:89" ht="17.25" customHeight="1" x14ac:dyDescent="0.25">
      <c r="A1249" s="742">
        <v>3</v>
      </c>
      <c r="B1249" s="756" t="s">
        <v>27</v>
      </c>
      <c r="C1249" s="699"/>
      <c r="D1249" s="739"/>
      <c r="E1249" s="695"/>
      <c r="F1249" s="714"/>
      <c r="G1249" s="714"/>
      <c r="H1249" s="714"/>
      <c r="I1249" s="714"/>
      <c r="J1249" s="714"/>
      <c r="K1249" s="714"/>
      <c r="L1249" s="714"/>
      <c r="M1249" s="714"/>
      <c r="N1249" s="714"/>
      <c r="O1249" s="753">
        <f t="shared" si="91"/>
        <v>0</v>
      </c>
      <c r="P1249" s="754"/>
    </row>
    <row r="1250" spans="1:89" ht="17.25" customHeight="1" x14ac:dyDescent="0.25">
      <c r="A1250" s="742"/>
      <c r="B1250" s="756" t="s">
        <v>42</v>
      </c>
      <c r="C1250" s="699">
        <v>1</v>
      </c>
      <c r="D1250" s="739" t="s">
        <v>25</v>
      </c>
      <c r="E1250" s="695">
        <v>25000</v>
      </c>
      <c r="F1250" s="714"/>
      <c r="G1250" s="714"/>
      <c r="H1250" s="714"/>
      <c r="I1250" s="714"/>
      <c r="J1250" s="714">
        <f>C1250*E1250</f>
        <v>25000</v>
      </c>
      <c r="K1250" s="714">
        <f>I1250+J1250</f>
        <v>25000</v>
      </c>
      <c r="L1250" s="714"/>
      <c r="M1250" s="714"/>
      <c r="N1250" s="714"/>
      <c r="O1250" s="753">
        <f t="shared" si="91"/>
        <v>25000</v>
      </c>
      <c r="P1250" s="754"/>
    </row>
    <row r="1251" spans="1:89" ht="17.25" customHeight="1" x14ac:dyDescent="0.25">
      <c r="A1251" s="742"/>
      <c r="B1251" s="756"/>
      <c r="C1251" s="699"/>
      <c r="D1251" s="739"/>
      <c r="E1251" s="695"/>
      <c r="F1251" s="714"/>
      <c r="G1251" s="714"/>
      <c r="H1251" s="714"/>
      <c r="I1251" s="714"/>
      <c r="J1251" s="714"/>
      <c r="K1251" s="714"/>
      <c r="L1251" s="714"/>
      <c r="M1251" s="714"/>
      <c r="N1251" s="714"/>
      <c r="O1251" s="753">
        <f t="shared" si="91"/>
        <v>0</v>
      </c>
      <c r="P1251" s="754"/>
    </row>
    <row r="1252" spans="1:89" ht="17.25" customHeight="1" x14ac:dyDescent="0.25">
      <c r="A1252" s="742">
        <v>4</v>
      </c>
      <c r="B1252" s="756" t="s">
        <v>40</v>
      </c>
      <c r="C1252" s="699"/>
      <c r="D1252" s="739"/>
      <c r="E1252" s="695"/>
      <c r="F1252" s="714"/>
      <c r="G1252" s="714"/>
      <c r="H1252" s="714"/>
      <c r="I1252" s="714"/>
      <c r="J1252" s="714"/>
      <c r="K1252" s="714"/>
      <c r="L1252" s="714"/>
      <c r="M1252" s="714"/>
      <c r="N1252" s="714"/>
      <c r="O1252" s="753">
        <f t="shared" si="91"/>
        <v>0</v>
      </c>
      <c r="P1252" s="754"/>
    </row>
    <row r="1253" spans="1:89" s="675" customFormat="1" ht="18.75" customHeight="1" x14ac:dyDescent="0.25">
      <c r="A1253" s="742"/>
      <c r="B1253" s="756" t="s">
        <v>41</v>
      </c>
      <c r="C1253" s="699">
        <v>1</v>
      </c>
      <c r="D1253" s="739" t="s">
        <v>25</v>
      </c>
      <c r="E1253" s="695">
        <v>30000</v>
      </c>
      <c r="F1253" s="714"/>
      <c r="G1253" s="714"/>
      <c r="H1253" s="714"/>
      <c r="I1253" s="714"/>
      <c r="J1253" s="714">
        <f>C1253*E1253</f>
        <v>30000</v>
      </c>
      <c r="K1253" s="714">
        <f>I1253+J1253</f>
        <v>30000</v>
      </c>
      <c r="L1253" s="714"/>
      <c r="M1253" s="714"/>
      <c r="N1253" s="714"/>
      <c r="O1253" s="753">
        <f t="shared" si="91"/>
        <v>30000</v>
      </c>
      <c r="P1253" s="754"/>
      <c r="Q1253" s="1821"/>
      <c r="R1253" s="1821"/>
      <c r="S1253" s="1821"/>
      <c r="T1253" s="1821"/>
      <c r="U1253" s="1821"/>
      <c r="V1253" s="1821"/>
      <c r="W1253" s="1821"/>
      <c r="X1253" s="1821"/>
      <c r="Y1253" s="1821"/>
      <c r="Z1253" s="1821"/>
      <c r="AA1253" s="1821"/>
      <c r="AB1253" s="1821"/>
      <c r="AC1253" s="1821"/>
      <c r="AD1253" s="1821"/>
      <c r="AE1253" s="1821"/>
      <c r="AF1253" s="1821"/>
      <c r="AG1253" s="1821"/>
      <c r="AH1253" s="1821"/>
      <c r="AI1253" s="1821"/>
      <c r="AJ1253" s="1821"/>
      <c r="AK1253" s="1821"/>
      <c r="AL1253" s="1821"/>
      <c r="AM1253" s="1821"/>
      <c r="AN1253" s="1821"/>
      <c r="AO1253" s="1821"/>
      <c r="AP1253" s="1821"/>
      <c r="AQ1253" s="1821"/>
      <c r="AR1253" s="1821"/>
      <c r="AS1253" s="1821"/>
      <c r="AT1253" s="1821"/>
      <c r="AU1253" s="1821"/>
      <c r="AV1253" s="1821"/>
      <c r="AW1253" s="1821"/>
      <c r="AX1253" s="1821"/>
      <c r="AY1253" s="1821"/>
      <c r="AZ1253" s="1821"/>
      <c r="BA1253" s="1821"/>
      <c r="BB1253" s="1821"/>
      <c r="BC1253" s="1821"/>
      <c r="BD1253" s="1821"/>
      <c r="BE1253" s="1821"/>
      <c r="BF1253" s="1821"/>
      <c r="BG1253" s="1821"/>
      <c r="BH1253" s="1821"/>
      <c r="BI1253" s="1821"/>
      <c r="BJ1253" s="1821"/>
      <c r="BK1253" s="1821"/>
      <c r="BL1253" s="1821"/>
      <c r="BM1253" s="1821"/>
      <c r="BN1253" s="1821"/>
      <c r="BO1253" s="1821"/>
      <c r="BP1253" s="1821"/>
      <c r="BQ1253" s="1821"/>
      <c r="BR1253" s="1821"/>
      <c r="BS1253" s="1821"/>
      <c r="BT1253" s="1821"/>
      <c r="BU1253" s="1821"/>
      <c r="BV1253" s="1821"/>
      <c r="BW1253" s="1821"/>
      <c r="BX1253" s="1821"/>
      <c r="BY1253" s="1821"/>
      <c r="BZ1253" s="1821"/>
      <c r="CA1253" s="1821"/>
      <c r="CB1253" s="1821"/>
      <c r="CC1253" s="1821"/>
      <c r="CD1253" s="1821"/>
      <c r="CE1253" s="1821"/>
      <c r="CF1253" s="1821"/>
      <c r="CG1253" s="1821"/>
      <c r="CH1253" s="1821"/>
      <c r="CI1253" s="1821"/>
      <c r="CJ1253" s="1821"/>
      <c r="CK1253" s="1821"/>
    </row>
    <row r="1254" spans="1:89" s="675" customFormat="1" ht="18.75" customHeight="1" x14ac:dyDescent="0.25">
      <c r="A1254" s="742"/>
      <c r="B1254" s="756"/>
      <c r="C1254" s="699"/>
      <c r="D1254" s="739"/>
      <c r="E1254" s="695"/>
      <c r="F1254" s="714"/>
      <c r="G1254" s="714"/>
      <c r="H1254" s="714"/>
      <c r="I1254" s="714"/>
      <c r="J1254" s="714"/>
      <c r="K1254" s="714"/>
      <c r="L1254" s="714"/>
      <c r="M1254" s="714"/>
      <c r="N1254" s="714"/>
      <c r="O1254" s="753">
        <f t="shared" si="91"/>
        <v>0</v>
      </c>
      <c r="P1254" s="754"/>
      <c r="Q1254" s="1821"/>
      <c r="R1254" s="1821"/>
      <c r="S1254" s="1821"/>
      <c r="T1254" s="1821"/>
      <c r="U1254" s="1821"/>
      <c r="V1254" s="1821"/>
      <c r="W1254" s="1821"/>
      <c r="X1254" s="1821"/>
      <c r="Y1254" s="1821"/>
      <c r="Z1254" s="1821"/>
      <c r="AA1254" s="1821"/>
      <c r="AB1254" s="1821"/>
      <c r="AC1254" s="1821"/>
      <c r="AD1254" s="1821"/>
      <c r="AE1254" s="1821"/>
      <c r="AF1254" s="1821"/>
      <c r="AG1254" s="1821"/>
      <c r="AH1254" s="1821"/>
      <c r="AI1254" s="1821"/>
      <c r="AJ1254" s="1821"/>
      <c r="AK1254" s="1821"/>
      <c r="AL1254" s="1821"/>
      <c r="AM1254" s="1821"/>
      <c r="AN1254" s="1821"/>
      <c r="AO1254" s="1821"/>
      <c r="AP1254" s="1821"/>
      <c r="AQ1254" s="1821"/>
      <c r="AR1254" s="1821"/>
      <c r="AS1254" s="1821"/>
      <c r="AT1254" s="1821"/>
      <c r="AU1254" s="1821"/>
      <c r="AV1254" s="1821"/>
      <c r="AW1254" s="1821"/>
      <c r="AX1254" s="1821"/>
      <c r="AY1254" s="1821"/>
      <c r="AZ1254" s="1821"/>
      <c r="BA1254" s="1821"/>
      <c r="BB1254" s="1821"/>
      <c r="BC1254" s="1821"/>
      <c r="BD1254" s="1821"/>
      <c r="BE1254" s="1821"/>
      <c r="BF1254" s="1821"/>
      <c r="BG1254" s="1821"/>
      <c r="BH1254" s="1821"/>
      <c r="BI1254" s="1821"/>
      <c r="BJ1254" s="1821"/>
      <c r="BK1254" s="1821"/>
      <c r="BL1254" s="1821"/>
      <c r="BM1254" s="1821"/>
      <c r="BN1254" s="1821"/>
      <c r="BO1254" s="1821"/>
      <c r="BP1254" s="1821"/>
      <c r="BQ1254" s="1821"/>
      <c r="BR1254" s="1821"/>
      <c r="BS1254" s="1821"/>
      <c r="BT1254" s="1821"/>
      <c r="BU1254" s="1821"/>
      <c r="BV1254" s="1821"/>
      <c r="BW1254" s="1821"/>
      <c r="BX1254" s="1821"/>
      <c r="BY1254" s="1821"/>
      <c r="BZ1254" s="1821"/>
      <c r="CA1254" s="1821"/>
      <c r="CB1254" s="1821"/>
      <c r="CC1254" s="1821"/>
      <c r="CD1254" s="1821"/>
      <c r="CE1254" s="1821"/>
      <c r="CF1254" s="1821"/>
      <c r="CG1254" s="1821"/>
      <c r="CH1254" s="1821"/>
      <c r="CI1254" s="1821"/>
      <c r="CJ1254" s="1821"/>
      <c r="CK1254" s="1821"/>
    </row>
    <row r="1255" spans="1:89" ht="17.25" customHeight="1" x14ac:dyDescent="0.25">
      <c r="A1255" s="742">
        <v>5</v>
      </c>
      <c r="B1255" s="756" t="s">
        <v>43</v>
      </c>
      <c r="C1255" s="699"/>
      <c r="D1255" s="739"/>
      <c r="E1255" s="695"/>
      <c r="F1255" s="714"/>
      <c r="G1255" s="714"/>
      <c r="H1255" s="714"/>
      <c r="I1255" s="714"/>
      <c r="J1255" s="714"/>
      <c r="K1255" s="714"/>
      <c r="L1255" s="714"/>
      <c r="M1255" s="714"/>
      <c r="N1255" s="714"/>
      <c r="O1255" s="753">
        <f t="shared" si="91"/>
        <v>0</v>
      </c>
      <c r="P1255" s="754"/>
    </row>
    <row r="1256" spans="1:89" ht="17.25" customHeight="1" x14ac:dyDescent="0.25">
      <c r="A1256" s="742"/>
      <c r="B1256" s="756" t="s">
        <v>44</v>
      </c>
      <c r="C1256" s="699">
        <v>10</v>
      </c>
      <c r="D1256" s="739" t="s">
        <v>45</v>
      </c>
      <c r="E1256" s="695">
        <v>6000</v>
      </c>
      <c r="F1256" s="714"/>
      <c r="G1256" s="714"/>
      <c r="H1256" s="714"/>
      <c r="I1256" s="714"/>
      <c r="J1256" s="714">
        <f>C1256*E1256</f>
        <v>60000</v>
      </c>
      <c r="K1256" s="714">
        <f>I1256+J1256</f>
        <v>60000</v>
      </c>
      <c r="L1256" s="714"/>
      <c r="M1256" s="714"/>
      <c r="N1256" s="714"/>
      <c r="O1256" s="753">
        <f t="shared" si="91"/>
        <v>60000</v>
      </c>
      <c r="P1256" s="754"/>
    </row>
    <row r="1257" spans="1:89" ht="17.25" customHeight="1" x14ac:dyDescent="0.25">
      <c r="A1257" s="742"/>
      <c r="B1257" s="756"/>
      <c r="C1257" s="699"/>
      <c r="D1257" s="739"/>
      <c r="E1257" s="695"/>
      <c r="F1257" s="714"/>
      <c r="G1257" s="714"/>
      <c r="H1257" s="714"/>
      <c r="I1257" s="714"/>
      <c r="J1257" s="714"/>
      <c r="K1257" s="714"/>
      <c r="L1257" s="714"/>
      <c r="M1257" s="714"/>
      <c r="N1257" s="714"/>
      <c r="O1257" s="753">
        <f t="shared" si="91"/>
        <v>0</v>
      </c>
      <c r="P1257" s="754"/>
    </row>
    <row r="1258" spans="1:89" ht="17.25" customHeight="1" x14ac:dyDescent="0.25">
      <c r="A1258" s="742">
        <v>6</v>
      </c>
      <c r="B1258" s="756" t="s">
        <v>48</v>
      </c>
      <c r="C1258" s="699"/>
      <c r="D1258" s="739"/>
      <c r="E1258" s="695" t="s">
        <v>49</v>
      </c>
      <c r="F1258" s="714"/>
      <c r="G1258" s="714"/>
      <c r="H1258" s="714"/>
      <c r="I1258" s="714"/>
      <c r="J1258" s="714"/>
      <c r="K1258" s="714">
        <f>J1258+I1258</f>
        <v>0</v>
      </c>
      <c r="L1258" s="714"/>
      <c r="M1258" s="714"/>
      <c r="N1258" s="714"/>
      <c r="O1258" s="753">
        <f t="shared" si="91"/>
        <v>0</v>
      </c>
      <c r="P1258" s="754"/>
    </row>
    <row r="1259" spans="1:89" ht="17.25" customHeight="1" x14ac:dyDescent="0.25">
      <c r="A1259" s="692"/>
      <c r="B1259" s="1436" t="s">
        <v>50</v>
      </c>
      <c r="C1259" s="699">
        <v>40</v>
      </c>
      <c r="D1259" s="739" t="s">
        <v>51</v>
      </c>
      <c r="E1259" s="695">
        <v>2012</v>
      </c>
      <c r="F1259" s="695"/>
      <c r="G1259" s="695"/>
      <c r="H1259" s="695"/>
      <c r="I1259" s="695"/>
      <c r="J1259" s="695">
        <f>C1259*E1259</f>
        <v>80480</v>
      </c>
      <c r="K1259" s="695">
        <f>I1259+J1259</f>
        <v>80480</v>
      </c>
      <c r="L1259" s="695"/>
      <c r="M1259" s="695"/>
      <c r="N1259" s="695"/>
      <c r="O1259" s="696">
        <f t="shared" si="91"/>
        <v>80480</v>
      </c>
      <c r="P1259" s="687"/>
    </row>
    <row r="1260" spans="1:89" ht="17.25" customHeight="1" x14ac:dyDescent="0.25">
      <c r="A1260" s="742"/>
      <c r="B1260" s="756" t="s">
        <v>52</v>
      </c>
      <c r="C1260" s="713">
        <v>80</v>
      </c>
      <c r="D1260" s="1424" t="s">
        <v>53</v>
      </c>
      <c r="E1260" s="714">
        <v>610</v>
      </c>
      <c r="F1260" s="714"/>
      <c r="G1260" s="714"/>
      <c r="H1260" s="714"/>
      <c r="I1260" s="714"/>
      <c r="J1260" s="714">
        <f>C1260*E1260</f>
        <v>48800</v>
      </c>
      <c r="K1260" s="714">
        <f>I1260+J1260</f>
        <v>48800</v>
      </c>
      <c r="L1260" s="714"/>
      <c r="M1260" s="714"/>
      <c r="N1260" s="714"/>
      <c r="O1260" s="753">
        <f t="shared" si="91"/>
        <v>48800</v>
      </c>
      <c r="P1260" s="754"/>
    </row>
    <row r="1261" spans="1:89" ht="17.25" customHeight="1" x14ac:dyDescent="0.25">
      <c r="A1261" s="742"/>
      <c r="B1261" s="893" t="s">
        <v>54</v>
      </c>
      <c r="C1261" s="713">
        <v>120</v>
      </c>
      <c r="D1261" s="1424" t="s">
        <v>55</v>
      </c>
      <c r="E1261" s="714">
        <v>530</v>
      </c>
      <c r="F1261" s="714"/>
      <c r="G1261" s="714"/>
      <c r="H1261" s="714"/>
      <c r="I1261" s="714"/>
      <c r="J1261" s="714">
        <f>C1261*E1261</f>
        <v>63600</v>
      </c>
      <c r="K1261" s="714">
        <f>I1261+J1261</f>
        <v>63600</v>
      </c>
      <c r="L1261" s="714"/>
      <c r="M1261" s="714"/>
      <c r="N1261" s="714"/>
      <c r="O1261" s="753">
        <f t="shared" si="91"/>
        <v>63600</v>
      </c>
      <c r="P1261" s="754"/>
    </row>
    <row r="1262" spans="1:89" ht="17.25" customHeight="1" x14ac:dyDescent="0.25">
      <c r="A1262" s="742"/>
      <c r="B1262" s="893" t="s">
        <v>56</v>
      </c>
      <c r="C1262" s="713">
        <v>40</v>
      </c>
      <c r="D1262" s="880" t="s">
        <v>55</v>
      </c>
      <c r="E1262" s="714">
        <v>360</v>
      </c>
      <c r="F1262" s="714"/>
      <c r="G1262" s="714"/>
      <c r="H1262" s="714"/>
      <c r="I1262" s="714"/>
      <c r="J1262" s="714">
        <f>C1262*E1262</f>
        <v>14400</v>
      </c>
      <c r="K1262" s="714">
        <f>I1262+J1262</f>
        <v>14400</v>
      </c>
      <c r="L1262" s="714"/>
      <c r="M1262" s="714"/>
      <c r="N1262" s="714"/>
      <c r="O1262" s="753">
        <f t="shared" si="91"/>
        <v>14400</v>
      </c>
      <c r="P1262" s="754"/>
    </row>
    <row r="1263" spans="1:89" ht="24" customHeight="1" x14ac:dyDescent="0.25">
      <c r="A1263" s="737"/>
      <c r="B1263" s="752"/>
      <c r="C1263" s="828"/>
      <c r="D1263" s="738"/>
      <c r="E1263" s="705"/>
      <c r="F1263" s="874"/>
      <c r="G1263" s="874"/>
      <c r="H1263" s="705"/>
      <c r="I1263" s="874"/>
      <c r="J1263" s="874"/>
      <c r="K1263" s="705"/>
      <c r="L1263" s="874"/>
      <c r="M1263" s="874"/>
      <c r="N1263" s="705"/>
      <c r="O1263" s="1370"/>
      <c r="P1263" s="829"/>
    </row>
    <row r="1264" spans="1:89" ht="17.25" customHeight="1" x14ac:dyDescent="0.25">
      <c r="A1264" s="742">
        <v>7</v>
      </c>
      <c r="B1264" s="756" t="s">
        <v>57</v>
      </c>
      <c r="C1264" s="693"/>
      <c r="D1264" s="739"/>
      <c r="E1264" s="695"/>
      <c r="F1264" s="695"/>
      <c r="G1264" s="695"/>
      <c r="H1264" s="695"/>
      <c r="I1264" s="695"/>
      <c r="J1264" s="695"/>
      <c r="K1264" s="695"/>
      <c r="L1264" s="695"/>
      <c r="M1264" s="695"/>
      <c r="N1264" s="695"/>
      <c r="O1264" s="696">
        <f>N1264+K1264+H1264</f>
        <v>0</v>
      </c>
      <c r="P1264" s="687"/>
    </row>
    <row r="1265" spans="1:89" ht="37.5" customHeight="1" x14ac:dyDescent="0.25">
      <c r="A1265" s="742"/>
      <c r="B1265" s="1372" t="s">
        <v>58</v>
      </c>
      <c r="C1265" s="693">
        <v>0</v>
      </c>
      <c r="D1265" s="739" t="s">
        <v>16</v>
      </c>
      <c r="E1265" s="695">
        <v>15000</v>
      </c>
      <c r="F1265" s="714"/>
      <c r="G1265" s="714"/>
      <c r="H1265" s="695"/>
      <c r="I1265" s="714"/>
      <c r="J1265" s="714"/>
      <c r="K1265" s="695"/>
      <c r="L1265" s="714">
        <f>C1265*E1265</f>
        <v>0</v>
      </c>
      <c r="M1265" s="714"/>
      <c r="N1265" s="695">
        <f>L1265+M1265</f>
        <v>0</v>
      </c>
      <c r="O1265" s="1370">
        <f>N1265+K1265+H1265</f>
        <v>0</v>
      </c>
      <c r="P1265" s="829"/>
    </row>
    <row r="1266" spans="1:89" ht="17.25" customHeight="1" x14ac:dyDescent="0.25">
      <c r="A1266" s="692"/>
      <c r="B1266" s="1368" t="s">
        <v>682</v>
      </c>
      <c r="C1266" s="693">
        <v>0</v>
      </c>
      <c r="D1266" s="739" t="s">
        <v>16</v>
      </c>
      <c r="E1266" s="695">
        <v>10000</v>
      </c>
      <c r="F1266" s="714"/>
      <c r="G1266" s="714"/>
      <c r="H1266" s="695"/>
      <c r="I1266" s="714"/>
      <c r="J1266" s="714"/>
      <c r="K1266" s="695"/>
      <c r="L1266" s="714">
        <f>C1266*E1266</f>
        <v>0</v>
      </c>
      <c r="M1266" s="714"/>
      <c r="N1266" s="695">
        <f>L1266+M1266</f>
        <v>0</v>
      </c>
      <c r="O1266" s="1370">
        <f>N1266+K1266+H1266</f>
        <v>0</v>
      </c>
      <c r="P1266" s="829"/>
    </row>
    <row r="1267" spans="1:89" ht="17.25" customHeight="1" x14ac:dyDescent="0.2">
      <c r="A1267" s="913"/>
      <c r="B1267" s="914"/>
      <c r="C1267" s="719"/>
      <c r="D1267" s="865"/>
      <c r="E1267" s="821"/>
      <c r="F1267" s="821"/>
      <c r="G1267" s="821"/>
      <c r="H1267" s="821"/>
      <c r="I1267" s="821"/>
      <c r="J1267" s="821"/>
      <c r="K1267" s="821"/>
      <c r="L1267" s="821"/>
      <c r="M1267" s="821"/>
      <c r="N1267" s="821"/>
      <c r="O1267" s="822"/>
      <c r="P1267" s="687"/>
    </row>
    <row r="1268" spans="1:89" ht="17.25" customHeight="1" x14ac:dyDescent="0.2">
      <c r="A1268" s="1210" t="s">
        <v>155</v>
      </c>
      <c r="B1268" s="1496" t="s">
        <v>740</v>
      </c>
      <c r="C1268" s="1490"/>
      <c r="D1268" s="1316"/>
      <c r="E1268" s="1214"/>
      <c r="F1268" s="1214">
        <f>F1269+F1276+F1286</f>
        <v>0</v>
      </c>
      <c r="G1268" s="1214">
        <f>G1269+G1276+G1286</f>
        <v>0</v>
      </c>
      <c r="H1268" s="1214">
        <f>G1268+F1268</f>
        <v>0</v>
      </c>
      <c r="I1268" s="1214">
        <f>I1269+I1276+I1286</f>
        <v>0</v>
      </c>
      <c r="J1268" s="1214">
        <f>J1269+J1276+J1286</f>
        <v>1619920</v>
      </c>
      <c r="K1268" s="1214">
        <f>J1268+I1268</f>
        <v>1619920</v>
      </c>
      <c r="L1268" s="1214">
        <f>L1269+L1276+L1286</f>
        <v>2045000</v>
      </c>
      <c r="M1268" s="1214">
        <f>M1269+M1276+M1286</f>
        <v>0</v>
      </c>
      <c r="N1268" s="1214">
        <f>M1268+L1268</f>
        <v>2045000</v>
      </c>
      <c r="O1268" s="1215">
        <f t="shared" ref="O1268:O1273" si="93">N1268+K1268+H1268</f>
        <v>3664920</v>
      </c>
      <c r="P1268" s="680"/>
    </row>
    <row r="1269" spans="1:89" s="672" customFormat="1" ht="17.25" customHeight="1" x14ac:dyDescent="0.2">
      <c r="A1269" s="1406" t="s">
        <v>15</v>
      </c>
      <c r="B1269" s="1497" t="s">
        <v>1156</v>
      </c>
      <c r="C1269" s="915"/>
      <c r="D1269" s="1498"/>
      <c r="E1269" s="1410"/>
      <c r="F1269" s="1410">
        <f>SUM(F1270:F1273)</f>
        <v>0</v>
      </c>
      <c r="G1269" s="1410">
        <f>SUM(G1270:G1273)</f>
        <v>0</v>
      </c>
      <c r="H1269" s="1410">
        <f>G1269+F1269</f>
        <v>0</v>
      </c>
      <c r="I1269" s="1410">
        <f>SUM(I1270:I1273)</f>
        <v>0</v>
      </c>
      <c r="J1269" s="1410">
        <f>SUM(J1270:J1273)</f>
        <v>0</v>
      </c>
      <c r="K1269" s="1410">
        <f>J1269+I1269</f>
        <v>0</v>
      </c>
      <c r="L1269" s="1410">
        <f>SUM(L1270:L1273)</f>
        <v>2000000</v>
      </c>
      <c r="M1269" s="1410">
        <f>SUM(M1270:M1273)</f>
        <v>0</v>
      </c>
      <c r="N1269" s="1410">
        <f>M1269+L1269</f>
        <v>2000000</v>
      </c>
      <c r="O1269" s="1411">
        <f t="shared" si="93"/>
        <v>2000000</v>
      </c>
      <c r="P1269" s="829"/>
      <c r="Q1269" s="1581"/>
      <c r="R1269" s="1581"/>
      <c r="S1269" s="1581"/>
      <c r="T1269" s="1581"/>
      <c r="U1269" s="1581"/>
      <c r="V1269" s="1581"/>
      <c r="W1269" s="1581"/>
      <c r="X1269" s="1581"/>
      <c r="Y1269" s="1581"/>
      <c r="Z1269" s="1581"/>
      <c r="AA1269" s="1581"/>
      <c r="AB1269" s="1581"/>
      <c r="AC1269" s="1581"/>
      <c r="AD1269" s="1581"/>
      <c r="AE1269" s="1581"/>
      <c r="AF1269" s="1581"/>
      <c r="AG1269" s="1581"/>
      <c r="AH1269" s="1581"/>
      <c r="AI1269" s="1581"/>
      <c r="AJ1269" s="1581"/>
      <c r="AK1269" s="1581"/>
      <c r="AL1269" s="1581"/>
      <c r="AM1269" s="1581"/>
      <c r="AN1269" s="1581"/>
      <c r="AO1269" s="1581"/>
      <c r="AP1269" s="1581"/>
      <c r="AQ1269" s="1581"/>
      <c r="AR1269" s="1581"/>
      <c r="AS1269" s="1581"/>
      <c r="AT1269" s="1581"/>
      <c r="AU1269" s="1581"/>
      <c r="AV1269" s="1581"/>
      <c r="AW1269" s="1581"/>
      <c r="AX1269" s="1581"/>
      <c r="AY1269" s="1581"/>
      <c r="AZ1269" s="1581"/>
      <c r="BA1269" s="1581"/>
      <c r="BB1269" s="1581"/>
      <c r="BC1269" s="1581"/>
      <c r="BD1269" s="1581"/>
      <c r="BE1269" s="1581"/>
      <c r="BF1269" s="1581"/>
      <c r="BG1269" s="1581"/>
      <c r="BH1269" s="1581"/>
      <c r="BI1269" s="1581"/>
      <c r="BJ1269" s="1581"/>
      <c r="BK1269" s="1581"/>
      <c r="BL1269" s="1581"/>
      <c r="BM1269" s="1581"/>
      <c r="BN1269" s="1581"/>
      <c r="BO1269" s="1581"/>
      <c r="BP1269" s="1581"/>
      <c r="BQ1269" s="1581"/>
      <c r="BR1269" s="1581"/>
      <c r="BS1269" s="1581"/>
      <c r="BT1269" s="1581"/>
      <c r="BU1269" s="1581"/>
      <c r="BV1269" s="1581"/>
      <c r="BW1269" s="1581"/>
      <c r="BX1269" s="1581"/>
      <c r="BY1269" s="1581"/>
      <c r="BZ1269" s="1581"/>
      <c r="CA1269" s="1581"/>
      <c r="CB1269" s="1581"/>
      <c r="CC1269" s="1581"/>
      <c r="CD1269" s="1581"/>
      <c r="CE1269" s="1581"/>
      <c r="CF1269" s="1581"/>
      <c r="CG1269" s="1581"/>
      <c r="CH1269" s="1581"/>
      <c r="CI1269" s="1581"/>
      <c r="CJ1269" s="1581"/>
      <c r="CK1269" s="1581"/>
    </row>
    <row r="1270" spans="1:89" ht="17.25" customHeight="1" x14ac:dyDescent="0.2">
      <c r="A1270" s="692">
        <v>1</v>
      </c>
      <c r="B1270" s="1381" t="s">
        <v>1553</v>
      </c>
      <c r="C1270" s="713">
        <v>1</v>
      </c>
      <c r="D1270" s="739" t="s">
        <v>60</v>
      </c>
      <c r="E1270" s="695">
        <f>1000000</f>
        <v>1000000</v>
      </c>
      <c r="F1270" s="695"/>
      <c r="G1270" s="695"/>
      <c r="H1270" s="695"/>
      <c r="I1270" s="695"/>
      <c r="J1270" s="695"/>
      <c r="K1270" s="695"/>
      <c r="L1270" s="695">
        <f>E1270*C1270</f>
        <v>1000000</v>
      </c>
      <c r="M1270" s="695"/>
      <c r="N1270" s="695">
        <f>L1270+M1270</f>
        <v>1000000</v>
      </c>
      <c r="O1270" s="696">
        <f t="shared" si="93"/>
        <v>1000000</v>
      </c>
      <c r="P1270" s="687"/>
    </row>
    <row r="1271" spans="1:89" ht="17.25" customHeight="1" x14ac:dyDescent="0.2">
      <c r="A1271" s="692">
        <v>2</v>
      </c>
      <c r="B1271" s="1412" t="s">
        <v>1554</v>
      </c>
      <c r="C1271" s="713">
        <v>1</v>
      </c>
      <c r="D1271" s="739" t="s">
        <v>60</v>
      </c>
      <c r="E1271" s="695">
        <f>1000000</f>
        <v>1000000</v>
      </c>
      <c r="F1271" s="695"/>
      <c r="G1271" s="695"/>
      <c r="H1271" s="695"/>
      <c r="I1271" s="695"/>
      <c r="J1271" s="695"/>
      <c r="K1271" s="695"/>
      <c r="L1271" s="695">
        <f>E1271*C1271</f>
        <v>1000000</v>
      </c>
      <c r="M1271" s="695"/>
      <c r="N1271" s="695">
        <f>L1271+M1271</f>
        <v>1000000</v>
      </c>
      <c r="O1271" s="696">
        <f t="shared" si="93"/>
        <v>1000000</v>
      </c>
      <c r="P1271" s="687"/>
    </row>
    <row r="1272" spans="1:89" ht="17.25" hidden="1" customHeight="1" x14ac:dyDescent="0.2">
      <c r="A1272" s="692">
        <v>3</v>
      </c>
      <c r="B1272" s="1412" t="s">
        <v>1555</v>
      </c>
      <c r="C1272" s="713"/>
      <c r="D1272" s="739" t="s">
        <v>60</v>
      </c>
      <c r="E1272" s="695">
        <f>1000000</f>
        <v>1000000</v>
      </c>
      <c r="F1272" s="695"/>
      <c r="G1272" s="695"/>
      <c r="H1272" s="695"/>
      <c r="I1272" s="695"/>
      <c r="J1272" s="695"/>
      <c r="K1272" s="695"/>
      <c r="L1272" s="695">
        <f>C1272*E1272</f>
        <v>0</v>
      </c>
      <c r="M1272" s="695"/>
      <c r="N1272" s="695">
        <f>L1272+M1272</f>
        <v>0</v>
      </c>
      <c r="O1272" s="696">
        <f t="shared" si="93"/>
        <v>0</v>
      </c>
      <c r="P1272" s="687"/>
    </row>
    <row r="1273" spans="1:89" ht="17.25" hidden="1" customHeight="1" x14ac:dyDescent="0.2">
      <c r="A1273" s="692">
        <v>4</v>
      </c>
      <c r="B1273" s="1412" t="s">
        <v>1556</v>
      </c>
      <c r="C1273" s="713">
        <v>0</v>
      </c>
      <c r="D1273" s="739" t="s">
        <v>60</v>
      </c>
      <c r="E1273" s="695">
        <v>1000000</v>
      </c>
      <c r="F1273" s="695"/>
      <c r="G1273" s="695"/>
      <c r="H1273" s="695"/>
      <c r="I1273" s="695"/>
      <c r="J1273" s="695"/>
      <c r="K1273" s="695"/>
      <c r="L1273" s="695">
        <f>C1273*E1273</f>
        <v>0</v>
      </c>
      <c r="M1273" s="695"/>
      <c r="N1273" s="695">
        <f>L1273+M1273</f>
        <v>0</v>
      </c>
      <c r="O1273" s="696">
        <f t="shared" si="93"/>
        <v>0</v>
      </c>
      <c r="P1273" s="687"/>
    </row>
    <row r="1274" spans="1:89" ht="17.25" hidden="1" customHeight="1" x14ac:dyDescent="0.2">
      <c r="A1274" s="692"/>
      <c r="B1274" s="1412"/>
      <c r="C1274" s="713"/>
      <c r="D1274" s="739"/>
      <c r="E1274" s="695"/>
      <c r="F1274" s="695"/>
      <c r="G1274" s="695"/>
      <c r="H1274" s="695"/>
      <c r="I1274" s="695"/>
      <c r="J1274" s="695"/>
      <c r="K1274" s="695"/>
      <c r="L1274" s="695"/>
      <c r="M1274" s="695"/>
      <c r="N1274" s="695"/>
      <c r="O1274" s="696"/>
      <c r="P1274" s="687"/>
    </row>
    <row r="1275" spans="1:89" ht="17.25" customHeight="1" x14ac:dyDescent="0.2">
      <c r="A1275" s="692"/>
      <c r="B1275" s="1412"/>
      <c r="C1275" s="713"/>
      <c r="D1275" s="739"/>
      <c r="E1275" s="695"/>
      <c r="F1275" s="695"/>
      <c r="G1275" s="695"/>
      <c r="H1275" s="695"/>
      <c r="I1275" s="695"/>
      <c r="J1275" s="695"/>
      <c r="K1275" s="695"/>
      <c r="L1275" s="695"/>
      <c r="M1275" s="695"/>
      <c r="N1275" s="695"/>
      <c r="O1275" s="696"/>
      <c r="P1275" s="687"/>
    </row>
    <row r="1276" spans="1:89" s="672" customFormat="1" ht="17.25" customHeight="1" x14ac:dyDescent="0.2">
      <c r="A1276" s="740" t="s">
        <v>22</v>
      </c>
      <c r="B1276" s="1499" t="s">
        <v>23</v>
      </c>
      <c r="C1276" s="886"/>
      <c r="D1276" s="738"/>
      <c r="E1276" s="705"/>
      <c r="F1276" s="705">
        <f>SUM(F1277:F1284)</f>
        <v>0</v>
      </c>
      <c r="G1276" s="705">
        <f>SUM(G1277:G1284)</f>
        <v>0</v>
      </c>
      <c r="H1276" s="705">
        <f>F1276+G1276</f>
        <v>0</v>
      </c>
      <c r="I1276" s="705">
        <f>SUM(I1277:I1284)</f>
        <v>0</v>
      </c>
      <c r="J1276" s="705">
        <f>SUM(J1277:J1284)</f>
        <v>1050000</v>
      </c>
      <c r="K1276" s="705">
        <f>I1276+J1276</f>
        <v>1050000</v>
      </c>
      <c r="L1276" s="705">
        <f>SUM(L1277:L1284)</f>
        <v>0</v>
      </c>
      <c r="M1276" s="705">
        <f>SUM(M1277:M1284)</f>
        <v>0</v>
      </c>
      <c r="N1276" s="705">
        <f>L1276+M1276</f>
        <v>0</v>
      </c>
      <c r="O1276" s="1370">
        <f>N1276+K1276+H1276</f>
        <v>1050000</v>
      </c>
      <c r="P1276" s="829"/>
      <c r="Q1276" s="1581"/>
      <c r="R1276" s="1581"/>
      <c r="S1276" s="1581"/>
      <c r="T1276" s="1581"/>
      <c r="U1276" s="1581"/>
      <c r="V1276" s="1581"/>
      <c r="W1276" s="1581"/>
      <c r="X1276" s="1581"/>
      <c r="Y1276" s="1581"/>
      <c r="Z1276" s="1581"/>
      <c r="AA1276" s="1581"/>
      <c r="AB1276" s="1581"/>
      <c r="AC1276" s="1581"/>
      <c r="AD1276" s="1581"/>
      <c r="AE1276" s="1581"/>
      <c r="AF1276" s="1581"/>
      <c r="AG1276" s="1581"/>
      <c r="AH1276" s="1581"/>
      <c r="AI1276" s="1581"/>
      <c r="AJ1276" s="1581"/>
      <c r="AK1276" s="1581"/>
      <c r="AL1276" s="1581"/>
      <c r="AM1276" s="1581"/>
      <c r="AN1276" s="1581"/>
      <c r="AO1276" s="1581"/>
      <c r="AP1276" s="1581"/>
      <c r="AQ1276" s="1581"/>
      <c r="AR1276" s="1581"/>
      <c r="AS1276" s="1581"/>
      <c r="AT1276" s="1581"/>
      <c r="AU1276" s="1581"/>
      <c r="AV1276" s="1581"/>
      <c r="AW1276" s="1581"/>
      <c r="AX1276" s="1581"/>
      <c r="AY1276" s="1581"/>
      <c r="AZ1276" s="1581"/>
      <c r="BA1276" s="1581"/>
      <c r="BB1276" s="1581"/>
      <c r="BC1276" s="1581"/>
      <c r="BD1276" s="1581"/>
      <c r="BE1276" s="1581"/>
      <c r="BF1276" s="1581"/>
      <c r="BG1276" s="1581"/>
      <c r="BH1276" s="1581"/>
      <c r="BI1276" s="1581"/>
      <c r="BJ1276" s="1581"/>
      <c r="BK1276" s="1581"/>
      <c r="BL1276" s="1581"/>
      <c r="BM1276" s="1581"/>
      <c r="BN1276" s="1581"/>
      <c r="BO1276" s="1581"/>
      <c r="BP1276" s="1581"/>
      <c r="BQ1276" s="1581"/>
      <c r="BR1276" s="1581"/>
      <c r="BS1276" s="1581"/>
      <c r="BT1276" s="1581"/>
      <c r="BU1276" s="1581"/>
      <c r="BV1276" s="1581"/>
      <c r="BW1276" s="1581"/>
      <c r="BX1276" s="1581"/>
      <c r="BY1276" s="1581"/>
      <c r="BZ1276" s="1581"/>
      <c r="CA1276" s="1581"/>
      <c r="CB1276" s="1581"/>
      <c r="CC1276" s="1581"/>
      <c r="CD1276" s="1581"/>
      <c r="CE1276" s="1581"/>
      <c r="CF1276" s="1581"/>
      <c r="CG1276" s="1581"/>
      <c r="CH1276" s="1581"/>
      <c r="CI1276" s="1581"/>
      <c r="CJ1276" s="1581"/>
      <c r="CK1276" s="1581"/>
    </row>
    <row r="1277" spans="1:89" ht="17.25" customHeight="1" x14ac:dyDescent="0.2">
      <c r="A1277" s="692">
        <v>1</v>
      </c>
      <c r="B1277" s="1412" t="s">
        <v>21</v>
      </c>
      <c r="C1277" s="713"/>
      <c r="D1277" s="739"/>
      <c r="E1277" s="695"/>
      <c r="F1277" s="695"/>
      <c r="G1277" s="695"/>
      <c r="H1277" s="695"/>
      <c r="I1277" s="695"/>
      <c r="J1277" s="695"/>
      <c r="K1277" s="695"/>
      <c r="L1277" s="695"/>
      <c r="M1277" s="695"/>
      <c r="N1277" s="695"/>
      <c r="O1277" s="696">
        <f>N1277+K1277+H1277</f>
        <v>0</v>
      </c>
      <c r="P1277" s="687"/>
    </row>
    <row r="1278" spans="1:89" ht="17.25" customHeight="1" x14ac:dyDescent="0.2">
      <c r="A1278" s="692"/>
      <c r="B1278" s="1412" t="s">
        <v>108</v>
      </c>
      <c r="C1278" s="713">
        <v>1</v>
      </c>
      <c r="D1278" s="739" t="s">
        <v>25</v>
      </c>
      <c r="E1278" s="695">
        <v>1000000</v>
      </c>
      <c r="F1278" s="695"/>
      <c r="G1278" s="695"/>
      <c r="H1278" s="695"/>
      <c r="I1278" s="695"/>
      <c r="J1278" s="695">
        <f>E1278*C1278</f>
        <v>1000000</v>
      </c>
      <c r="K1278" s="695">
        <f>I1278+J1278</f>
        <v>1000000</v>
      </c>
      <c r="L1278" s="695"/>
      <c r="M1278" s="695"/>
      <c r="N1278" s="695"/>
      <c r="O1278" s="696">
        <f>N1278+K1278+H1278</f>
        <v>1000000</v>
      </c>
      <c r="P1278" s="687"/>
    </row>
    <row r="1279" spans="1:89" ht="17.25" customHeight="1" x14ac:dyDescent="0.2">
      <c r="A1279" s="692"/>
      <c r="B1279" s="1412" t="s">
        <v>742</v>
      </c>
      <c r="C1279" s="713"/>
      <c r="D1279" s="739"/>
      <c r="E1279" s="695"/>
      <c r="F1279" s="695"/>
      <c r="G1279" s="695"/>
      <c r="H1279" s="695"/>
      <c r="I1279" s="695"/>
      <c r="J1279" s="695"/>
      <c r="K1279" s="695"/>
      <c r="L1279" s="695"/>
      <c r="M1279" s="695"/>
      <c r="N1279" s="695"/>
      <c r="O1279" s="696"/>
      <c r="P1279" s="687"/>
    </row>
    <row r="1280" spans="1:89" ht="17.25" customHeight="1" x14ac:dyDescent="0.2">
      <c r="A1280" s="692"/>
      <c r="B1280" s="1412" t="s">
        <v>741</v>
      </c>
      <c r="C1280" s="713"/>
      <c r="D1280" s="739"/>
      <c r="E1280" s="695"/>
      <c r="F1280" s="695"/>
      <c r="G1280" s="695"/>
      <c r="H1280" s="695"/>
      <c r="I1280" s="695"/>
      <c r="J1280" s="695"/>
      <c r="K1280" s="695"/>
      <c r="L1280" s="695"/>
      <c r="M1280" s="695"/>
      <c r="N1280" s="695"/>
      <c r="O1280" s="696">
        <f>N1280+K1280+H1280</f>
        <v>0</v>
      </c>
      <c r="P1280" s="687"/>
    </row>
    <row r="1281" spans="1:89" ht="17.25" customHeight="1" x14ac:dyDescent="0.2">
      <c r="A1281" s="692"/>
      <c r="B1281" s="1412" t="s">
        <v>1993</v>
      </c>
      <c r="C1281" s="713"/>
      <c r="D1281" s="739"/>
      <c r="E1281" s="695"/>
      <c r="F1281" s="695"/>
      <c r="G1281" s="695"/>
      <c r="H1281" s="695"/>
      <c r="I1281" s="695"/>
      <c r="J1281" s="695"/>
      <c r="K1281" s="695"/>
      <c r="L1281" s="695"/>
      <c r="M1281" s="695"/>
      <c r="N1281" s="695"/>
      <c r="O1281" s="696"/>
      <c r="P1281" s="687"/>
    </row>
    <row r="1282" spans="1:89" ht="17.25" customHeight="1" x14ac:dyDescent="0.2">
      <c r="A1282" s="692"/>
      <c r="B1282" s="1412"/>
      <c r="C1282" s="713"/>
      <c r="D1282" s="739"/>
      <c r="E1282" s="695"/>
      <c r="F1282" s="695"/>
      <c r="G1282" s="695"/>
      <c r="H1282" s="695"/>
      <c r="I1282" s="695"/>
      <c r="J1282" s="695"/>
      <c r="K1282" s="695"/>
      <c r="L1282" s="695"/>
      <c r="M1282" s="695"/>
      <c r="N1282" s="695"/>
      <c r="O1282" s="696"/>
      <c r="P1282" s="687"/>
    </row>
    <row r="1283" spans="1:89" ht="17.25" customHeight="1" x14ac:dyDescent="0.2">
      <c r="A1283" s="692">
        <v>2</v>
      </c>
      <c r="B1283" s="1412" t="s">
        <v>19</v>
      </c>
      <c r="C1283" s="713"/>
      <c r="D1283" s="739"/>
      <c r="E1283" s="695"/>
      <c r="F1283" s="695"/>
      <c r="G1283" s="695"/>
      <c r="H1283" s="695"/>
      <c r="I1283" s="695"/>
      <c r="J1283" s="695"/>
      <c r="K1283" s="695"/>
      <c r="L1283" s="695"/>
      <c r="M1283" s="695"/>
      <c r="N1283" s="695"/>
      <c r="O1283" s="696">
        <f>N1283+K1283+H1283</f>
        <v>0</v>
      </c>
      <c r="P1283" s="687"/>
    </row>
    <row r="1284" spans="1:89" ht="17.25" customHeight="1" x14ac:dyDescent="0.2">
      <c r="A1284" s="692"/>
      <c r="B1284" s="1412" t="s">
        <v>26</v>
      </c>
      <c r="C1284" s="713">
        <v>1</v>
      </c>
      <c r="D1284" s="739" t="s">
        <v>25</v>
      </c>
      <c r="E1284" s="695">
        <v>50000</v>
      </c>
      <c r="F1284" s="695"/>
      <c r="G1284" s="695"/>
      <c r="H1284" s="695"/>
      <c r="I1284" s="695"/>
      <c r="J1284" s="695">
        <f>C1284*E1284</f>
        <v>50000</v>
      </c>
      <c r="K1284" s="695">
        <f>I1284+J1284</f>
        <v>50000</v>
      </c>
      <c r="L1284" s="695"/>
      <c r="M1284" s="695"/>
      <c r="N1284" s="695"/>
      <c r="O1284" s="696">
        <f>N1284+K1284+H1284</f>
        <v>50000</v>
      </c>
      <c r="P1284" s="687"/>
    </row>
    <row r="1285" spans="1:89" ht="17.25" customHeight="1" x14ac:dyDescent="0.2">
      <c r="A1285" s="692"/>
      <c r="B1285" s="1412"/>
      <c r="C1285" s="713"/>
      <c r="D1285" s="739"/>
      <c r="E1285" s="695"/>
      <c r="F1285" s="695"/>
      <c r="G1285" s="695"/>
      <c r="H1285" s="695"/>
      <c r="I1285" s="695"/>
      <c r="J1285" s="695"/>
      <c r="K1285" s="695"/>
      <c r="L1285" s="695"/>
      <c r="M1285" s="695"/>
      <c r="N1285" s="695"/>
      <c r="O1285" s="696"/>
      <c r="P1285" s="687"/>
    </row>
    <row r="1286" spans="1:89" s="672" customFormat="1" ht="17.25" customHeight="1" x14ac:dyDescent="0.2">
      <c r="A1286" s="740" t="s">
        <v>28</v>
      </c>
      <c r="B1286" s="1499" t="s">
        <v>29</v>
      </c>
      <c r="C1286" s="886"/>
      <c r="D1286" s="738"/>
      <c r="E1286" s="705"/>
      <c r="F1286" s="705">
        <f>SUM(F1289:F1316)</f>
        <v>0</v>
      </c>
      <c r="G1286" s="705">
        <f>SUM(G1289:G1316)</f>
        <v>0</v>
      </c>
      <c r="H1286" s="705">
        <f>F1286+G1286</f>
        <v>0</v>
      </c>
      <c r="I1286" s="705">
        <f>SUM(I1289:I1316)</f>
        <v>0</v>
      </c>
      <c r="J1286" s="705">
        <f>SUM(J1289:J1316)</f>
        <v>569920</v>
      </c>
      <c r="K1286" s="705">
        <f>I1286+J1286</f>
        <v>569920</v>
      </c>
      <c r="L1286" s="705">
        <f>SUM(L1289:L1316)</f>
        <v>45000</v>
      </c>
      <c r="M1286" s="705">
        <f>SUM(M1289:M1316)</f>
        <v>0</v>
      </c>
      <c r="N1286" s="705">
        <f>L1286+M1286</f>
        <v>45000</v>
      </c>
      <c r="O1286" s="1370">
        <f>N1286+K1286+H1286</f>
        <v>614920</v>
      </c>
      <c r="P1286" s="829"/>
      <c r="Q1286" s="1581"/>
      <c r="R1286" s="1581"/>
      <c r="S1286" s="1581"/>
      <c r="T1286" s="1581"/>
      <c r="U1286" s="1581"/>
      <c r="V1286" s="1581"/>
      <c r="W1286" s="1581"/>
      <c r="X1286" s="1581"/>
      <c r="Y1286" s="1581"/>
      <c r="Z1286" s="1581"/>
      <c r="AA1286" s="1581"/>
      <c r="AB1286" s="1581"/>
      <c r="AC1286" s="1581"/>
      <c r="AD1286" s="1581"/>
      <c r="AE1286" s="1581"/>
      <c r="AF1286" s="1581"/>
      <c r="AG1286" s="1581"/>
      <c r="AH1286" s="1581"/>
      <c r="AI1286" s="1581"/>
      <c r="AJ1286" s="1581"/>
      <c r="AK1286" s="1581"/>
      <c r="AL1286" s="1581"/>
      <c r="AM1286" s="1581"/>
      <c r="AN1286" s="1581"/>
      <c r="AO1286" s="1581"/>
      <c r="AP1286" s="1581"/>
      <c r="AQ1286" s="1581"/>
      <c r="AR1286" s="1581"/>
      <c r="AS1286" s="1581"/>
      <c r="AT1286" s="1581"/>
      <c r="AU1286" s="1581"/>
      <c r="AV1286" s="1581"/>
      <c r="AW1286" s="1581"/>
      <c r="AX1286" s="1581"/>
      <c r="AY1286" s="1581"/>
      <c r="AZ1286" s="1581"/>
      <c r="BA1286" s="1581"/>
      <c r="BB1286" s="1581"/>
      <c r="BC1286" s="1581"/>
      <c r="BD1286" s="1581"/>
      <c r="BE1286" s="1581"/>
      <c r="BF1286" s="1581"/>
      <c r="BG1286" s="1581"/>
      <c r="BH1286" s="1581"/>
      <c r="BI1286" s="1581"/>
      <c r="BJ1286" s="1581"/>
      <c r="BK1286" s="1581"/>
      <c r="BL1286" s="1581"/>
      <c r="BM1286" s="1581"/>
      <c r="BN1286" s="1581"/>
      <c r="BO1286" s="1581"/>
      <c r="BP1286" s="1581"/>
      <c r="BQ1286" s="1581"/>
      <c r="BR1286" s="1581"/>
      <c r="BS1286" s="1581"/>
      <c r="BT1286" s="1581"/>
      <c r="BU1286" s="1581"/>
      <c r="BV1286" s="1581"/>
      <c r="BW1286" s="1581"/>
      <c r="BX1286" s="1581"/>
      <c r="BY1286" s="1581"/>
      <c r="BZ1286" s="1581"/>
      <c r="CA1286" s="1581"/>
      <c r="CB1286" s="1581"/>
      <c r="CC1286" s="1581"/>
      <c r="CD1286" s="1581"/>
      <c r="CE1286" s="1581"/>
      <c r="CF1286" s="1581"/>
      <c r="CG1286" s="1581"/>
      <c r="CH1286" s="1581"/>
      <c r="CI1286" s="1581"/>
      <c r="CJ1286" s="1581"/>
      <c r="CK1286" s="1581"/>
    </row>
    <row r="1287" spans="1:89" ht="17.25" customHeight="1" x14ac:dyDescent="0.2">
      <c r="A1287" s="692" t="s">
        <v>148</v>
      </c>
      <c r="B1287" s="1412" t="s">
        <v>149</v>
      </c>
      <c r="C1287" s="713"/>
      <c r="D1287" s="739"/>
      <c r="E1287" s="695"/>
      <c r="F1287" s="695"/>
      <c r="G1287" s="695"/>
      <c r="H1287" s="695"/>
      <c r="I1287" s="695"/>
      <c r="J1287" s="695"/>
      <c r="K1287" s="695"/>
      <c r="L1287" s="695"/>
      <c r="M1287" s="695"/>
      <c r="N1287" s="695"/>
      <c r="O1287" s="696"/>
      <c r="P1287" s="687"/>
    </row>
    <row r="1288" spans="1:89" ht="17.25" customHeight="1" x14ac:dyDescent="0.2">
      <c r="A1288" s="692">
        <v>1</v>
      </c>
      <c r="B1288" s="1412" t="s">
        <v>19</v>
      </c>
      <c r="C1288" s="713"/>
      <c r="D1288" s="739"/>
      <c r="E1288" s="695"/>
      <c r="F1288" s="695"/>
      <c r="G1288" s="695"/>
      <c r="H1288" s="695"/>
      <c r="I1288" s="695"/>
      <c r="J1288" s="695"/>
      <c r="K1288" s="695"/>
      <c r="L1288" s="695"/>
      <c r="M1288" s="695"/>
      <c r="N1288" s="695"/>
      <c r="O1288" s="696">
        <f t="shared" ref="O1288:O1313" si="94">N1288+K1288+H1288</f>
        <v>0</v>
      </c>
      <c r="P1288" s="687"/>
    </row>
    <row r="1289" spans="1:89" ht="17.25" customHeight="1" x14ac:dyDescent="0.2">
      <c r="A1289" s="692"/>
      <c r="B1289" s="1412" t="s">
        <v>30</v>
      </c>
      <c r="C1289" s="713">
        <v>12</v>
      </c>
      <c r="D1289" s="739" t="s">
        <v>20</v>
      </c>
      <c r="E1289" s="695">
        <v>1580</v>
      </c>
      <c r="F1289" s="695"/>
      <c r="G1289" s="695"/>
      <c r="H1289" s="695"/>
      <c r="I1289" s="695"/>
      <c r="J1289" s="695">
        <f>C1289*E1289</f>
        <v>18960</v>
      </c>
      <c r="K1289" s="695">
        <f>I1289+J1289</f>
        <v>18960</v>
      </c>
      <c r="L1289" s="695"/>
      <c r="M1289" s="695"/>
      <c r="N1289" s="695"/>
      <c r="O1289" s="696">
        <f t="shared" si="94"/>
        <v>18960</v>
      </c>
      <c r="P1289" s="687"/>
    </row>
    <row r="1290" spans="1:89" ht="17.25" customHeight="1" x14ac:dyDescent="0.2">
      <c r="A1290" s="692"/>
      <c r="B1290" s="1412" t="s">
        <v>31</v>
      </c>
      <c r="C1290" s="713">
        <v>12</v>
      </c>
      <c r="D1290" s="739" t="s">
        <v>20</v>
      </c>
      <c r="E1290" s="695">
        <v>1250</v>
      </c>
      <c r="F1290" s="695"/>
      <c r="G1290" s="695"/>
      <c r="H1290" s="695"/>
      <c r="I1290" s="695"/>
      <c r="J1290" s="695">
        <f>C1290*E1290</f>
        <v>15000</v>
      </c>
      <c r="K1290" s="695">
        <f>I1290+J1290</f>
        <v>15000</v>
      </c>
      <c r="L1290" s="695"/>
      <c r="M1290" s="695"/>
      <c r="N1290" s="695"/>
      <c r="O1290" s="696">
        <f t="shared" si="94"/>
        <v>15000</v>
      </c>
      <c r="P1290" s="687"/>
    </row>
    <row r="1291" spans="1:89" ht="17.25" customHeight="1" x14ac:dyDescent="0.2">
      <c r="A1291" s="692"/>
      <c r="B1291" s="1412" t="s">
        <v>32</v>
      </c>
      <c r="C1291" s="713">
        <v>12</v>
      </c>
      <c r="D1291" s="739" t="s">
        <v>20</v>
      </c>
      <c r="E1291" s="695">
        <v>1090</v>
      </c>
      <c r="F1291" s="695"/>
      <c r="G1291" s="695"/>
      <c r="H1291" s="695"/>
      <c r="I1291" s="695"/>
      <c r="J1291" s="695">
        <f>C1291*E1291</f>
        <v>13080</v>
      </c>
      <c r="K1291" s="695">
        <f>I1291+J1291</f>
        <v>13080</v>
      </c>
      <c r="L1291" s="695"/>
      <c r="M1291" s="695"/>
      <c r="N1291" s="695"/>
      <c r="O1291" s="696">
        <f t="shared" si="94"/>
        <v>13080</v>
      </c>
      <c r="P1291" s="687"/>
    </row>
    <row r="1292" spans="1:89" ht="17.25" customHeight="1" x14ac:dyDescent="0.2">
      <c r="A1292" s="692"/>
      <c r="B1292" s="1412" t="s">
        <v>33</v>
      </c>
      <c r="C1292" s="713">
        <v>60</v>
      </c>
      <c r="D1292" s="739" t="s">
        <v>20</v>
      </c>
      <c r="E1292" s="695">
        <v>940</v>
      </c>
      <c r="F1292" s="695"/>
      <c r="G1292" s="695"/>
      <c r="H1292" s="695"/>
      <c r="I1292" s="695"/>
      <c r="J1292" s="695">
        <f>C1292*E1292</f>
        <v>56400</v>
      </c>
      <c r="K1292" s="695">
        <f>I1292+J1292</f>
        <v>56400</v>
      </c>
      <c r="L1292" s="695"/>
      <c r="M1292" s="695"/>
      <c r="N1292" s="695"/>
      <c r="O1292" s="696">
        <f t="shared" si="94"/>
        <v>56400</v>
      </c>
      <c r="P1292" s="687"/>
    </row>
    <row r="1293" spans="1:89" ht="17.25" customHeight="1" x14ac:dyDescent="0.2">
      <c r="A1293" s="692"/>
      <c r="B1293" s="1412" t="s">
        <v>34</v>
      </c>
      <c r="C1293" s="713"/>
      <c r="D1293" s="739"/>
      <c r="E1293" s="695"/>
      <c r="F1293" s="695"/>
      <c r="G1293" s="695"/>
      <c r="H1293" s="695"/>
      <c r="I1293" s="695"/>
      <c r="J1293" s="695"/>
      <c r="K1293" s="695"/>
      <c r="L1293" s="695"/>
      <c r="M1293" s="695"/>
      <c r="N1293" s="695"/>
      <c r="O1293" s="696">
        <f t="shared" si="94"/>
        <v>0</v>
      </c>
      <c r="P1293" s="687"/>
    </row>
    <row r="1294" spans="1:89" ht="17.25" customHeight="1" x14ac:dyDescent="0.2">
      <c r="A1294" s="692"/>
      <c r="B1294" s="1412" t="s">
        <v>35</v>
      </c>
      <c r="C1294" s="713">
        <v>12</v>
      </c>
      <c r="D1294" s="739" t="s">
        <v>20</v>
      </c>
      <c r="E1294" s="695">
        <v>400</v>
      </c>
      <c r="F1294" s="695"/>
      <c r="G1294" s="695"/>
      <c r="H1294" s="695"/>
      <c r="I1294" s="695"/>
      <c r="J1294" s="695">
        <f>C1294*E1294</f>
        <v>4800</v>
      </c>
      <c r="K1294" s="695">
        <f>I1294+J1294</f>
        <v>4800</v>
      </c>
      <c r="L1294" s="695"/>
      <c r="M1294" s="695"/>
      <c r="N1294" s="695"/>
      <c r="O1294" s="696">
        <f t="shared" si="94"/>
        <v>4800</v>
      </c>
      <c r="P1294" s="687"/>
    </row>
    <row r="1295" spans="1:89" ht="17.25" customHeight="1" x14ac:dyDescent="0.2">
      <c r="A1295" s="692"/>
      <c r="B1295" s="1412" t="s">
        <v>36</v>
      </c>
      <c r="C1295" s="713">
        <v>48</v>
      </c>
      <c r="D1295" s="739" t="s">
        <v>20</v>
      </c>
      <c r="E1295" s="695">
        <v>300</v>
      </c>
      <c r="F1295" s="695"/>
      <c r="G1295" s="695"/>
      <c r="H1295" s="695"/>
      <c r="I1295" s="695"/>
      <c r="J1295" s="695">
        <f>C1295*E1295</f>
        <v>14400</v>
      </c>
      <c r="K1295" s="695">
        <f>I1295+J1295</f>
        <v>14400</v>
      </c>
      <c r="L1295" s="695"/>
      <c r="M1295" s="695"/>
      <c r="N1295" s="695"/>
      <c r="O1295" s="696">
        <f t="shared" si="94"/>
        <v>14400</v>
      </c>
      <c r="P1295" s="687"/>
    </row>
    <row r="1296" spans="1:89" ht="17.25" customHeight="1" x14ac:dyDescent="0.2">
      <c r="A1296" s="692"/>
      <c r="B1296" s="1412"/>
      <c r="C1296" s="713"/>
      <c r="D1296" s="739"/>
      <c r="E1296" s="695"/>
      <c r="F1296" s="695"/>
      <c r="G1296" s="695"/>
      <c r="H1296" s="695"/>
      <c r="I1296" s="695"/>
      <c r="J1296" s="695"/>
      <c r="K1296" s="695"/>
      <c r="L1296" s="695"/>
      <c r="M1296" s="695"/>
      <c r="N1296" s="695"/>
      <c r="O1296" s="696">
        <f t="shared" si="94"/>
        <v>0</v>
      </c>
      <c r="P1296" s="687"/>
    </row>
    <row r="1297" spans="1:16" ht="17.25" customHeight="1" x14ac:dyDescent="0.2">
      <c r="A1297" s="692">
        <v>2</v>
      </c>
      <c r="B1297" s="1412" t="s">
        <v>38</v>
      </c>
      <c r="C1297" s="713">
        <v>1</v>
      </c>
      <c r="D1297" s="739" t="s">
        <v>25</v>
      </c>
      <c r="E1297" s="695">
        <v>50000</v>
      </c>
      <c r="F1297" s="695"/>
      <c r="G1297" s="695"/>
      <c r="H1297" s="695"/>
      <c r="I1297" s="695"/>
      <c r="J1297" s="695">
        <f>C1297*E1297</f>
        <v>50000</v>
      </c>
      <c r="K1297" s="695">
        <f>I1297+J1297</f>
        <v>50000</v>
      </c>
      <c r="L1297" s="695"/>
      <c r="M1297" s="695"/>
      <c r="N1297" s="695"/>
      <c r="O1297" s="696">
        <f t="shared" si="94"/>
        <v>50000</v>
      </c>
      <c r="P1297" s="687"/>
    </row>
    <row r="1298" spans="1:16" ht="17.25" customHeight="1" x14ac:dyDescent="0.2">
      <c r="A1298" s="692"/>
      <c r="B1298" s="1412" t="s">
        <v>39</v>
      </c>
      <c r="C1298" s="713">
        <v>1</v>
      </c>
      <c r="D1298" s="739" t="s">
        <v>25</v>
      </c>
      <c r="E1298" s="695">
        <v>30000</v>
      </c>
      <c r="F1298" s="695"/>
      <c r="G1298" s="695"/>
      <c r="H1298" s="695"/>
      <c r="I1298" s="695"/>
      <c r="J1298" s="695">
        <f>C1298*E1298</f>
        <v>30000</v>
      </c>
      <c r="K1298" s="695">
        <f>I1298+J1298</f>
        <v>30000</v>
      </c>
      <c r="L1298" s="695"/>
      <c r="M1298" s="695"/>
      <c r="N1298" s="695"/>
      <c r="O1298" s="696">
        <f t="shared" si="94"/>
        <v>30000</v>
      </c>
      <c r="P1298" s="687"/>
    </row>
    <row r="1299" spans="1:16" ht="17.25" customHeight="1" x14ac:dyDescent="0.2">
      <c r="A1299" s="692"/>
      <c r="B1299" s="1412"/>
      <c r="C1299" s="713"/>
      <c r="D1299" s="739"/>
      <c r="E1299" s="695"/>
      <c r="F1299" s="695"/>
      <c r="G1299" s="695"/>
      <c r="H1299" s="695"/>
      <c r="I1299" s="695"/>
      <c r="J1299" s="695"/>
      <c r="K1299" s="695"/>
      <c r="L1299" s="695"/>
      <c r="M1299" s="695"/>
      <c r="N1299" s="695"/>
      <c r="O1299" s="696">
        <f t="shared" si="94"/>
        <v>0</v>
      </c>
      <c r="P1299" s="687"/>
    </row>
    <row r="1300" spans="1:16" ht="17.25" customHeight="1" x14ac:dyDescent="0.2">
      <c r="A1300" s="692">
        <v>3</v>
      </c>
      <c r="B1300" s="1412" t="s">
        <v>27</v>
      </c>
      <c r="C1300" s="713"/>
      <c r="D1300" s="739"/>
      <c r="E1300" s="695"/>
      <c r="F1300" s="695"/>
      <c r="G1300" s="695"/>
      <c r="H1300" s="695"/>
      <c r="I1300" s="695"/>
      <c r="J1300" s="695"/>
      <c r="K1300" s="695"/>
      <c r="L1300" s="695"/>
      <c r="M1300" s="695"/>
      <c r="N1300" s="695"/>
      <c r="O1300" s="696">
        <f t="shared" si="94"/>
        <v>0</v>
      </c>
      <c r="P1300" s="687"/>
    </row>
    <row r="1301" spans="1:16" ht="17.25" customHeight="1" x14ac:dyDescent="0.2">
      <c r="A1301" s="692"/>
      <c r="B1301" s="1412" t="s">
        <v>42</v>
      </c>
      <c r="C1301" s="713">
        <v>1</v>
      </c>
      <c r="D1301" s="739" t="s">
        <v>25</v>
      </c>
      <c r="E1301" s="695">
        <v>50000</v>
      </c>
      <c r="F1301" s="695"/>
      <c r="G1301" s="695"/>
      <c r="H1301" s="695"/>
      <c r="I1301" s="695"/>
      <c r="J1301" s="695">
        <f>C1301*E1301</f>
        <v>50000</v>
      </c>
      <c r="K1301" s="695">
        <f>I1301+J1301</f>
        <v>50000</v>
      </c>
      <c r="L1301" s="695"/>
      <c r="M1301" s="695"/>
      <c r="N1301" s="695"/>
      <c r="O1301" s="696">
        <f t="shared" si="94"/>
        <v>50000</v>
      </c>
      <c r="P1301" s="687"/>
    </row>
    <row r="1302" spans="1:16" ht="17.25" customHeight="1" x14ac:dyDescent="0.2">
      <c r="A1302" s="692"/>
      <c r="B1302" s="1412"/>
      <c r="C1302" s="713"/>
      <c r="D1302" s="739"/>
      <c r="E1302" s="695"/>
      <c r="F1302" s="695"/>
      <c r="G1302" s="695"/>
      <c r="H1302" s="695"/>
      <c r="I1302" s="695"/>
      <c r="J1302" s="695"/>
      <c r="K1302" s="695"/>
      <c r="L1302" s="695"/>
      <c r="M1302" s="695"/>
      <c r="N1302" s="695"/>
      <c r="O1302" s="696">
        <f t="shared" si="94"/>
        <v>0</v>
      </c>
      <c r="P1302" s="687"/>
    </row>
    <row r="1303" spans="1:16" ht="17.25" customHeight="1" x14ac:dyDescent="0.2">
      <c r="A1303" s="692">
        <v>4</v>
      </c>
      <c r="B1303" s="1412" t="s">
        <v>40</v>
      </c>
      <c r="C1303" s="713"/>
      <c r="D1303" s="739"/>
      <c r="E1303" s="695"/>
      <c r="F1303" s="695"/>
      <c r="G1303" s="695"/>
      <c r="H1303" s="695"/>
      <c r="I1303" s="695"/>
      <c r="J1303" s="695"/>
      <c r="K1303" s="695"/>
      <c r="L1303" s="695"/>
      <c r="M1303" s="695"/>
      <c r="N1303" s="695"/>
      <c r="O1303" s="696">
        <f t="shared" si="94"/>
        <v>0</v>
      </c>
      <c r="P1303" s="687"/>
    </row>
    <row r="1304" spans="1:16" ht="17.25" customHeight="1" x14ac:dyDescent="0.2">
      <c r="A1304" s="692"/>
      <c r="B1304" s="1412" t="s">
        <v>41</v>
      </c>
      <c r="C1304" s="713">
        <v>1</v>
      </c>
      <c r="D1304" s="739" t="s">
        <v>25</v>
      </c>
      <c r="E1304" s="695">
        <v>50000</v>
      </c>
      <c r="F1304" s="695"/>
      <c r="G1304" s="695"/>
      <c r="H1304" s="695"/>
      <c r="I1304" s="695"/>
      <c r="J1304" s="695">
        <f>C1304*E1304</f>
        <v>50000</v>
      </c>
      <c r="K1304" s="695">
        <f>I1304+J1304</f>
        <v>50000</v>
      </c>
      <c r="L1304" s="695"/>
      <c r="M1304" s="695"/>
      <c r="N1304" s="695"/>
      <c r="O1304" s="696">
        <f t="shared" si="94"/>
        <v>50000</v>
      </c>
      <c r="P1304" s="687"/>
    </row>
    <row r="1305" spans="1:16" ht="17.25" customHeight="1" x14ac:dyDescent="0.2">
      <c r="A1305" s="692"/>
      <c r="B1305" s="1412"/>
      <c r="C1305" s="713"/>
      <c r="D1305" s="739"/>
      <c r="E1305" s="695"/>
      <c r="F1305" s="695"/>
      <c r="G1305" s="695"/>
      <c r="H1305" s="695"/>
      <c r="I1305" s="695"/>
      <c r="J1305" s="695"/>
      <c r="K1305" s="695"/>
      <c r="L1305" s="695"/>
      <c r="M1305" s="695"/>
      <c r="N1305" s="695"/>
      <c r="O1305" s="696">
        <f t="shared" si="94"/>
        <v>0</v>
      </c>
      <c r="P1305" s="687"/>
    </row>
    <row r="1306" spans="1:16" ht="17.25" customHeight="1" x14ac:dyDescent="0.2">
      <c r="A1306" s="692">
        <v>5</v>
      </c>
      <c r="B1306" s="1412" t="s">
        <v>43</v>
      </c>
      <c r="C1306" s="713"/>
      <c r="D1306" s="739"/>
      <c r="E1306" s="695"/>
      <c r="F1306" s="695"/>
      <c r="G1306" s="695"/>
      <c r="H1306" s="695"/>
      <c r="I1306" s="695"/>
      <c r="J1306" s="695"/>
      <c r="K1306" s="695"/>
      <c r="L1306" s="695"/>
      <c r="M1306" s="695"/>
      <c r="N1306" s="695"/>
      <c r="O1306" s="696">
        <f t="shared" si="94"/>
        <v>0</v>
      </c>
      <c r="P1306" s="687"/>
    </row>
    <row r="1307" spans="1:16" ht="17.25" customHeight="1" x14ac:dyDescent="0.2">
      <c r="A1307" s="692"/>
      <c r="B1307" s="1412" t="s">
        <v>44</v>
      </c>
      <c r="C1307" s="713">
        <v>10</v>
      </c>
      <c r="D1307" s="739" t="s">
        <v>45</v>
      </c>
      <c r="E1307" s="695">
        <v>6000</v>
      </c>
      <c r="F1307" s="695"/>
      <c r="G1307" s="695"/>
      <c r="H1307" s="695"/>
      <c r="I1307" s="695"/>
      <c r="J1307" s="695">
        <f>C1307*E1307</f>
        <v>60000</v>
      </c>
      <c r="K1307" s="695">
        <f>I1307+J1307</f>
        <v>60000</v>
      </c>
      <c r="L1307" s="695"/>
      <c r="M1307" s="695"/>
      <c r="N1307" s="695"/>
      <c r="O1307" s="696">
        <f t="shared" si="94"/>
        <v>60000</v>
      </c>
      <c r="P1307" s="687"/>
    </row>
    <row r="1308" spans="1:16" ht="17.25" customHeight="1" x14ac:dyDescent="0.2">
      <c r="A1308" s="692"/>
      <c r="B1308" s="1412"/>
      <c r="C1308" s="713"/>
      <c r="D1308" s="739"/>
      <c r="E1308" s="695"/>
      <c r="F1308" s="695"/>
      <c r="G1308" s="695"/>
      <c r="H1308" s="695"/>
      <c r="I1308" s="695"/>
      <c r="J1308" s="695"/>
      <c r="K1308" s="695"/>
      <c r="L1308" s="695"/>
      <c r="M1308" s="695"/>
      <c r="N1308" s="695"/>
      <c r="O1308" s="696">
        <f t="shared" si="94"/>
        <v>0</v>
      </c>
      <c r="P1308" s="687"/>
    </row>
    <row r="1309" spans="1:16" ht="17.25" customHeight="1" x14ac:dyDescent="0.2">
      <c r="A1309" s="692">
        <v>6</v>
      </c>
      <c r="B1309" s="1412" t="s">
        <v>48</v>
      </c>
      <c r="C1309" s="713"/>
      <c r="D1309" s="739"/>
      <c r="E1309" s="695" t="s">
        <v>49</v>
      </c>
      <c r="F1309" s="695"/>
      <c r="G1309" s="695"/>
      <c r="H1309" s="695"/>
      <c r="I1309" s="695"/>
      <c r="J1309" s="695"/>
      <c r="K1309" s="695">
        <f>J1309+I1309</f>
        <v>0</v>
      </c>
      <c r="L1309" s="695"/>
      <c r="M1309" s="695"/>
      <c r="N1309" s="695"/>
      <c r="O1309" s="696">
        <f t="shared" si="94"/>
        <v>0</v>
      </c>
      <c r="P1309" s="687"/>
    </row>
    <row r="1310" spans="1:16" ht="17.25" customHeight="1" x14ac:dyDescent="0.2">
      <c r="A1310" s="692"/>
      <c r="B1310" s="1412" t="s">
        <v>50</v>
      </c>
      <c r="C1310" s="713">
        <v>40</v>
      </c>
      <c r="D1310" s="739" t="s">
        <v>51</v>
      </c>
      <c r="E1310" s="695">
        <v>2012</v>
      </c>
      <c r="F1310" s="695"/>
      <c r="G1310" s="695"/>
      <c r="H1310" s="695"/>
      <c r="I1310" s="695"/>
      <c r="J1310" s="695">
        <f>C1310*E1310</f>
        <v>80480</v>
      </c>
      <c r="K1310" s="695">
        <f>I1310+J1310</f>
        <v>80480</v>
      </c>
      <c r="L1310" s="695"/>
      <c r="M1310" s="695"/>
      <c r="N1310" s="695"/>
      <c r="O1310" s="696">
        <f t="shared" si="94"/>
        <v>80480</v>
      </c>
      <c r="P1310" s="687"/>
    </row>
    <row r="1311" spans="1:16" ht="17.25" customHeight="1" x14ac:dyDescent="0.2">
      <c r="A1311" s="692"/>
      <c r="B1311" s="1412" t="s">
        <v>52</v>
      </c>
      <c r="C1311" s="713">
        <v>80</v>
      </c>
      <c r="D1311" s="739" t="s">
        <v>53</v>
      </c>
      <c r="E1311" s="695">
        <v>610</v>
      </c>
      <c r="F1311" s="695"/>
      <c r="G1311" s="695"/>
      <c r="H1311" s="695"/>
      <c r="I1311" s="695"/>
      <c r="J1311" s="695">
        <f>C1311*E1311</f>
        <v>48800</v>
      </c>
      <c r="K1311" s="695">
        <f>I1311+J1311</f>
        <v>48800</v>
      </c>
      <c r="L1311" s="695"/>
      <c r="M1311" s="695"/>
      <c r="N1311" s="695"/>
      <c r="O1311" s="696">
        <f t="shared" si="94"/>
        <v>48800</v>
      </c>
      <c r="P1311" s="687"/>
    </row>
    <row r="1312" spans="1:16" ht="17.25" customHeight="1" x14ac:dyDescent="0.2">
      <c r="A1312" s="692"/>
      <c r="B1312" s="1412" t="s">
        <v>54</v>
      </c>
      <c r="C1312" s="713">
        <v>120</v>
      </c>
      <c r="D1312" s="739" t="s">
        <v>55</v>
      </c>
      <c r="E1312" s="695">
        <v>530</v>
      </c>
      <c r="F1312" s="695"/>
      <c r="G1312" s="695"/>
      <c r="H1312" s="695"/>
      <c r="I1312" s="695"/>
      <c r="J1312" s="695">
        <f>C1312*E1312</f>
        <v>63600</v>
      </c>
      <c r="K1312" s="695">
        <f>I1312+J1312</f>
        <v>63600</v>
      </c>
      <c r="L1312" s="695"/>
      <c r="M1312" s="695"/>
      <c r="N1312" s="695"/>
      <c r="O1312" s="696">
        <f t="shared" si="94"/>
        <v>63600</v>
      </c>
      <c r="P1312" s="687"/>
    </row>
    <row r="1313" spans="1:89" ht="17.25" customHeight="1" x14ac:dyDescent="0.2">
      <c r="A1313" s="692"/>
      <c r="B1313" s="1412" t="s">
        <v>56</v>
      </c>
      <c r="C1313" s="713">
        <v>40</v>
      </c>
      <c r="D1313" s="739" t="s">
        <v>55</v>
      </c>
      <c r="E1313" s="695">
        <v>360</v>
      </c>
      <c r="F1313" s="695"/>
      <c r="G1313" s="695"/>
      <c r="H1313" s="695"/>
      <c r="I1313" s="695"/>
      <c r="J1313" s="695">
        <f>C1313*E1313</f>
        <v>14400</v>
      </c>
      <c r="K1313" s="695">
        <f>I1313+J1313</f>
        <v>14400</v>
      </c>
      <c r="L1313" s="695"/>
      <c r="M1313" s="695"/>
      <c r="N1313" s="695"/>
      <c r="O1313" s="696">
        <f t="shared" si="94"/>
        <v>14400</v>
      </c>
      <c r="P1313" s="687"/>
    </row>
    <row r="1314" spans="1:89" ht="17.25" customHeight="1" x14ac:dyDescent="0.2">
      <c r="A1314" s="692"/>
      <c r="B1314" s="1412"/>
      <c r="C1314" s="713"/>
      <c r="D1314" s="739"/>
      <c r="E1314" s="695"/>
      <c r="F1314" s="695"/>
      <c r="G1314" s="695"/>
      <c r="H1314" s="695"/>
      <c r="I1314" s="695"/>
      <c r="J1314" s="695"/>
      <c r="K1314" s="695"/>
      <c r="L1314" s="695"/>
      <c r="M1314" s="695"/>
      <c r="N1314" s="695"/>
      <c r="O1314" s="696"/>
      <c r="P1314" s="687"/>
    </row>
    <row r="1315" spans="1:89" ht="17.25" customHeight="1" x14ac:dyDescent="0.2">
      <c r="A1315" s="692">
        <v>7</v>
      </c>
      <c r="B1315" s="1412" t="s">
        <v>57</v>
      </c>
      <c r="C1315" s="713"/>
      <c r="D1315" s="739"/>
      <c r="E1315" s="695"/>
      <c r="F1315" s="695"/>
      <c r="G1315" s="695"/>
      <c r="H1315" s="695"/>
      <c r="I1315" s="695"/>
      <c r="J1315" s="695"/>
      <c r="K1315" s="695"/>
      <c r="L1315" s="695"/>
      <c r="M1315" s="695"/>
      <c r="N1315" s="695"/>
      <c r="O1315" s="696">
        <f>N1315+K1315+H1315</f>
        <v>0</v>
      </c>
      <c r="P1315" s="687"/>
    </row>
    <row r="1316" spans="1:89" ht="17.25" customHeight="1" x14ac:dyDescent="0.2">
      <c r="A1316" s="692"/>
      <c r="B1316" s="1412" t="s">
        <v>58</v>
      </c>
      <c r="C1316" s="713">
        <v>3</v>
      </c>
      <c r="D1316" s="739" t="s">
        <v>16</v>
      </c>
      <c r="E1316" s="695">
        <v>15000</v>
      </c>
      <c r="F1316" s="695"/>
      <c r="G1316" s="695"/>
      <c r="H1316" s="695"/>
      <c r="I1316" s="695"/>
      <c r="J1316" s="695"/>
      <c r="K1316" s="695"/>
      <c r="L1316" s="695">
        <f>C1316*E1316</f>
        <v>45000</v>
      </c>
      <c r="M1316" s="695"/>
      <c r="N1316" s="695">
        <f>L1316+M1316</f>
        <v>45000</v>
      </c>
      <c r="O1316" s="696">
        <f>N1316+K1316+H1316</f>
        <v>45000</v>
      </c>
      <c r="P1316" s="687"/>
    </row>
    <row r="1317" spans="1:89" ht="17.25" customHeight="1" x14ac:dyDescent="0.25">
      <c r="A1317" s="820"/>
      <c r="B1317" s="894"/>
      <c r="C1317" s="830"/>
      <c r="D1317" s="865"/>
      <c r="E1317" s="821"/>
      <c r="F1317" s="821"/>
      <c r="G1317" s="821"/>
      <c r="H1317" s="821"/>
      <c r="I1317" s="821"/>
      <c r="J1317" s="821"/>
      <c r="K1317" s="821"/>
      <c r="L1317" s="821"/>
      <c r="M1317" s="821"/>
      <c r="N1317" s="821"/>
      <c r="O1317" s="822"/>
      <c r="P1317" s="687"/>
    </row>
    <row r="1318" spans="1:89" ht="23.25" customHeight="1" x14ac:dyDescent="0.25">
      <c r="A1318" s="1352">
        <v>24</v>
      </c>
      <c r="B1318" s="1367" t="s">
        <v>156</v>
      </c>
      <c r="C1318" s="1212"/>
      <c r="D1318" s="1316"/>
      <c r="E1318" s="1214"/>
      <c r="F1318" s="1290">
        <f>F1320+F1329+F1338+F1325</f>
        <v>0</v>
      </c>
      <c r="G1318" s="1290">
        <f>G1320+G1329+G1338+G1325</f>
        <v>0</v>
      </c>
      <c r="H1318" s="1214">
        <f>G1318+F1318</f>
        <v>0</v>
      </c>
      <c r="I1318" s="1290">
        <f>I1320+I1329+I1338+I1325</f>
        <v>0</v>
      </c>
      <c r="J1318" s="1290">
        <f>J1320+J1329+J1338+J1325</f>
        <v>1631900</v>
      </c>
      <c r="K1318" s="1214">
        <f>J1318+I1318</f>
        <v>1631900</v>
      </c>
      <c r="L1318" s="1290">
        <f>L1320+L1329+L1338+L1325</f>
        <v>8000000</v>
      </c>
      <c r="M1318" s="1290">
        <f>M1320+M1329+M1338+M1325</f>
        <v>0</v>
      </c>
      <c r="N1318" s="1214">
        <f>M1318+L1318</f>
        <v>8000000</v>
      </c>
      <c r="O1318" s="1215">
        <f t="shared" ref="O1318:O1323" si="95">N1318+K1318+H1318</f>
        <v>9631900</v>
      </c>
      <c r="P1318" s="680"/>
    </row>
    <row r="1319" spans="1:89" ht="17.25" customHeight="1" x14ac:dyDescent="0.25">
      <c r="A1319" s="909"/>
      <c r="B1319" s="910"/>
      <c r="C1319" s="817"/>
      <c r="D1319" s="861"/>
      <c r="E1319" s="818"/>
      <c r="F1319" s="818"/>
      <c r="G1319" s="818"/>
      <c r="H1319" s="818"/>
      <c r="I1319" s="818"/>
      <c r="J1319" s="818"/>
      <c r="K1319" s="818"/>
      <c r="L1319" s="818"/>
      <c r="M1319" s="818"/>
      <c r="N1319" s="818"/>
      <c r="O1319" s="819">
        <f t="shared" si="95"/>
        <v>0</v>
      </c>
      <c r="P1319" s="687"/>
    </row>
    <row r="1320" spans="1:89" s="672" customFormat="1" ht="33.75" customHeight="1" x14ac:dyDescent="0.25">
      <c r="A1320" s="1352" t="s">
        <v>15</v>
      </c>
      <c r="B1320" s="1314" t="s">
        <v>1156</v>
      </c>
      <c r="C1320" s="1212"/>
      <c r="D1320" s="1316"/>
      <c r="E1320" s="1214"/>
      <c r="F1320" s="1290">
        <f>SUM(F1321:F1324)</f>
        <v>0</v>
      </c>
      <c r="G1320" s="1290">
        <f>SUM(G1321:G1324)</f>
        <v>0</v>
      </c>
      <c r="H1320" s="1214">
        <f>G1320+F1320</f>
        <v>0</v>
      </c>
      <c r="I1320" s="1290">
        <f>SUM(I1321:I1324)</f>
        <v>0</v>
      </c>
      <c r="J1320" s="1290">
        <f>SUM(J1321:J1324)</f>
        <v>0</v>
      </c>
      <c r="K1320" s="1214">
        <f>J1320+I1320</f>
        <v>0</v>
      </c>
      <c r="L1320" s="1290">
        <f>SUM(L1321:L1324)</f>
        <v>8000000</v>
      </c>
      <c r="M1320" s="1290">
        <f>SUM(M1321:M1324)</f>
        <v>0</v>
      </c>
      <c r="N1320" s="1214">
        <f>M1320+L1320</f>
        <v>8000000</v>
      </c>
      <c r="O1320" s="1215">
        <f t="shared" si="95"/>
        <v>8000000</v>
      </c>
      <c r="P1320" s="680"/>
      <c r="Q1320" s="1581"/>
      <c r="R1320" s="1581"/>
      <c r="S1320" s="1581"/>
      <c r="T1320" s="1581"/>
      <c r="U1320" s="1581"/>
      <c r="V1320" s="1581"/>
      <c r="W1320" s="1581"/>
      <c r="X1320" s="1581"/>
      <c r="Y1320" s="1581"/>
      <c r="Z1320" s="1581"/>
      <c r="AA1320" s="1581"/>
      <c r="AB1320" s="1581"/>
      <c r="AC1320" s="1581"/>
      <c r="AD1320" s="1581"/>
      <c r="AE1320" s="1581"/>
      <c r="AF1320" s="1581"/>
      <c r="AG1320" s="1581"/>
      <c r="AH1320" s="1581"/>
      <c r="AI1320" s="1581"/>
      <c r="AJ1320" s="1581"/>
      <c r="AK1320" s="1581"/>
      <c r="AL1320" s="1581"/>
      <c r="AM1320" s="1581"/>
      <c r="AN1320" s="1581"/>
      <c r="AO1320" s="1581"/>
      <c r="AP1320" s="1581"/>
      <c r="AQ1320" s="1581"/>
      <c r="AR1320" s="1581"/>
      <c r="AS1320" s="1581"/>
      <c r="AT1320" s="1581"/>
      <c r="AU1320" s="1581"/>
      <c r="AV1320" s="1581"/>
      <c r="AW1320" s="1581"/>
      <c r="AX1320" s="1581"/>
      <c r="AY1320" s="1581"/>
      <c r="AZ1320" s="1581"/>
      <c r="BA1320" s="1581"/>
      <c r="BB1320" s="1581"/>
      <c r="BC1320" s="1581"/>
      <c r="BD1320" s="1581"/>
      <c r="BE1320" s="1581"/>
      <c r="BF1320" s="1581"/>
      <c r="BG1320" s="1581"/>
      <c r="BH1320" s="1581"/>
      <c r="BI1320" s="1581"/>
      <c r="BJ1320" s="1581"/>
      <c r="BK1320" s="1581"/>
      <c r="BL1320" s="1581"/>
      <c r="BM1320" s="1581"/>
      <c r="BN1320" s="1581"/>
      <c r="BO1320" s="1581"/>
      <c r="BP1320" s="1581"/>
      <c r="BQ1320" s="1581"/>
      <c r="BR1320" s="1581"/>
      <c r="BS1320" s="1581"/>
      <c r="BT1320" s="1581"/>
      <c r="BU1320" s="1581"/>
      <c r="BV1320" s="1581"/>
      <c r="BW1320" s="1581"/>
      <c r="BX1320" s="1581"/>
      <c r="BY1320" s="1581"/>
      <c r="BZ1320" s="1581"/>
      <c r="CA1320" s="1581"/>
      <c r="CB1320" s="1581"/>
      <c r="CC1320" s="1581"/>
      <c r="CD1320" s="1581"/>
      <c r="CE1320" s="1581"/>
      <c r="CF1320" s="1581"/>
      <c r="CG1320" s="1581"/>
      <c r="CH1320" s="1581"/>
      <c r="CI1320" s="1581"/>
      <c r="CJ1320" s="1581"/>
      <c r="CK1320" s="1581"/>
    </row>
    <row r="1321" spans="1:89" ht="17.25" customHeight="1" x14ac:dyDescent="0.25">
      <c r="A1321" s="1500">
        <v>1</v>
      </c>
      <c r="B1321" s="876" t="s">
        <v>1557</v>
      </c>
      <c r="C1321" s="682">
        <v>1</v>
      </c>
      <c r="D1321" s="863" t="s">
        <v>16</v>
      </c>
      <c r="E1321" s="685">
        <f>3000000-1000000</f>
        <v>2000000</v>
      </c>
      <c r="F1321" s="685"/>
      <c r="G1321" s="685"/>
      <c r="H1321" s="685"/>
      <c r="I1321" s="685"/>
      <c r="J1321" s="685"/>
      <c r="K1321" s="685"/>
      <c r="L1321" s="685">
        <f>E1321*C1321</f>
        <v>2000000</v>
      </c>
      <c r="M1321" s="685"/>
      <c r="N1321" s="685">
        <f>L1321+M1321</f>
        <v>2000000</v>
      </c>
      <c r="O1321" s="686">
        <f t="shared" si="95"/>
        <v>2000000</v>
      </c>
      <c r="P1321" s="687"/>
    </row>
    <row r="1322" spans="1:89" ht="37.5" customHeight="1" x14ac:dyDescent="0.25">
      <c r="A1322" s="692">
        <v>2</v>
      </c>
      <c r="B1322" s="1501" t="s">
        <v>1558</v>
      </c>
      <c r="C1322" s="713">
        <v>1</v>
      </c>
      <c r="D1322" s="1424" t="s">
        <v>16</v>
      </c>
      <c r="E1322" s="695">
        <v>3000000</v>
      </c>
      <c r="F1322" s="695"/>
      <c r="G1322" s="695"/>
      <c r="H1322" s="695"/>
      <c r="I1322" s="695"/>
      <c r="J1322" s="695"/>
      <c r="K1322" s="695"/>
      <c r="L1322" s="695">
        <f>E1322*C1322</f>
        <v>3000000</v>
      </c>
      <c r="M1322" s="695"/>
      <c r="N1322" s="695">
        <f>L1322+M1322</f>
        <v>3000000</v>
      </c>
      <c r="O1322" s="696">
        <f t="shared" si="95"/>
        <v>3000000</v>
      </c>
      <c r="P1322" s="687"/>
    </row>
    <row r="1323" spans="1:89" s="688" customFormat="1" ht="17.25" customHeight="1" x14ac:dyDescent="0.25">
      <c r="A1323" s="692">
        <v>3</v>
      </c>
      <c r="B1323" s="904" t="s">
        <v>1559</v>
      </c>
      <c r="C1323" s="1502">
        <v>1</v>
      </c>
      <c r="D1323" s="1503" t="s">
        <v>16</v>
      </c>
      <c r="E1323" s="695">
        <v>3000000</v>
      </c>
      <c r="F1323" s="1504"/>
      <c r="G1323" s="1504"/>
      <c r="H1323" s="1504"/>
      <c r="I1323" s="1504"/>
      <c r="J1323" s="1504"/>
      <c r="K1323" s="1504"/>
      <c r="L1323" s="1504">
        <f>E1323*C1323</f>
        <v>3000000</v>
      </c>
      <c r="M1323" s="1504"/>
      <c r="N1323" s="1504">
        <f>L1323+M1323</f>
        <v>3000000</v>
      </c>
      <c r="O1323" s="1505">
        <f t="shared" si="95"/>
        <v>3000000</v>
      </c>
      <c r="P1323" s="1506"/>
      <c r="Q1323" s="864"/>
      <c r="R1323" s="864"/>
      <c r="S1323" s="864"/>
      <c r="T1323" s="864"/>
      <c r="U1323" s="864"/>
      <c r="V1323" s="864"/>
      <c r="W1323" s="864"/>
      <c r="X1323" s="864"/>
      <c r="Y1323" s="864"/>
      <c r="Z1323" s="864"/>
      <c r="AA1323" s="864"/>
      <c r="AB1323" s="864"/>
      <c r="AC1323" s="864"/>
      <c r="AD1323" s="864"/>
      <c r="AE1323" s="864"/>
      <c r="AF1323" s="864"/>
      <c r="AG1323" s="864"/>
      <c r="AH1323" s="864"/>
      <c r="AI1323" s="864"/>
      <c r="AJ1323" s="864"/>
      <c r="AK1323" s="864"/>
      <c r="AL1323" s="864"/>
      <c r="AM1323" s="864"/>
      <c r="AN1323" s="864"/>
      <c r="AO1323" s="864"/>
      <c r="AP1323" s="864"/>
      <c r="AQ1323" s="864"/>
      <c r="AR1323" s="864"/>
      <c r="AS1323" s="864"/>
      <c r="AT1323" s="864"/>
      <c r="AU1323" s="864"/>
      <c r="AV1323" s="864"/>
      <c r="AW1323" s="864"/>
      <c r="AX1323" s="864"/>
      <c r="AY1323" s="864"/>
      <c r="AZ1323" s="864"/>
      <c r="BA1323" s="864"/>
      <c r="BB1323" s="864"/>
      <c r="BC1323" s="864"/>
      <c r="BD1323" s="864"/>
      <c r="BE1323" s="864"/>
      <c r="BF1323" s="864"/>
      <c r="BG1323" s="864"/>
      <c r="BH1323" s="864"/>
      <c r="BI1323" s="864"/>
      <c r="BJ1323" s="864"/>
      <c r="BK1323" s="864"/>
      <c r="BL1323" s="864"/>
      <c r="BM1323" s="864"/>
      <c r="BN1323" s="864"/>
      <c r="BO1323" s="864"/>
      <c r="BP1323" s="864"/>
      <c r="BQ1323" s="864"/>
      <c r="BR1323" s="864"/>
      <c r="BS1323" s="864"/>
      <c r="BT1323" s="864"/>
      <c r="BU1323" s="864"/>
      <c r="BV1323" s="864"/>
      <c r="BW1323" s="864"/>
      <c r="BX1323" s="864"/>
      <c r="BY1323" s="864"/>
      <c r="BZ1323" s="864"/>
      <c r="CA1323" s="864"/>
      <c r="CB1323" s="864"/>
      <c r="CC1323" s="864"/>
      <c r="CD1323" s="864"/>
      <c r="CE1323" s="864"/>
      <c r="CF1323" s="864"/>
      <c r="CG1323" s="864"/>
      <c r="CH1323" s="864"/>
      <c r="CI1323" s="864"/>
      <c r="CJ1323" s="864"/>
      <c r="CK1323" s="864"/>
    </row>
    <row r="1324" spans="1:89" ht="17.25" customHeight="1" x14ac:dyDescent="0.25">
      <c r="A1324" s="820"/>
      <c r="B1324" s="907"/>
      <c r="C1324" s="719"/>
      <c r="D1324" s="883"/>
      <c r="E1324" s="721"/>
      <c r="F1324" s="721"/>
      <c r="G1324" s="721"/>
      <c r="H1324" s="721"/>
      <c r="I1324" s="1507"/>
      <c r="J1324" s="721"/>
      <c r="K1324" s="721"/>
      <c r="L1324" s="721"/>
      <c r="M1324" s="721"/>
      <c r="N1324" s="721"/>
      <c r="O1324" s="884"/>
      <c r="P1324" s="754"/>
    </row>
    <row r="1325" spans="1:89" ht="18.75" hidden="1" customHeight="1" x14ac:dyDescent="0.25">
      <c r="A1325" s="1323"/>
      <c r="B1325" s="1508" t="s">
        <v>61</v>
      </c>
      <c r="C1325" s="1360"/>
      <c r="D1325" s="1509"/>
      <c r="E1325" s="777"/>
      <c r="F1325" s="777">
        <f>SUM(F1326:F1326)</f>
        <v>0</v>
      </c>
      <c r="G1325" s="777">
        <f>SUM(G1326:G1326)</f>
        <v>0</v>
      </c>
      <c r="H1325" s="777">
        <f>F1325+G1325</f>
        <v>0</v>
      </c>
      <c r="I1325" s="1510">
        <f>SUM(I1326:I1326)</f>
        <v>0</v>
      </c>
      <c r="J1325" s="777">
        <f>SUM(J1326:J1326)</f>
        <v>0</v>
      </c>
      <c r="K1325" s="777">
        <f>I1325+J1325</f>
        <v>0</v>
      </c>
      <c r="L1325" s="777">
        <f>SUM(L1326:L1326)</f>
        <v>0</v>
      </c>
      <c r="M1325" s="777">
        <f>SUM(M1326:M1326)</f>
        <v>0</v>
      </c>
      <c r="N1325" s="777">
        <f>L1325+M1325</f>
        <v>0</v>
      </c>
      <c r="O1325" s="1511">
        <f>N1325+K1325+H1325</f>
        <v>0</v>
      </c>
      <c r="P1325" s="1512"/>
    </row>
    <row r="1326" spans="1:89" ht="17.25" hidden="1" customHeight="1" x14ac:dyDescent="0.25">
      <c r="A1326" s="681"/>
      <c r="B1326" s="873" t="s">
        <v>1725</v>
      </c>
      <c r="C1326" s="872">
        <v>0</v>
      </c>
      <c r="D1326" s="1338" t="s">
        <v>16</v>
      </c>
      <c r="E1326" s="684">
        <v>5000000</v>
      </c>
      <c r="F1326" s="684"/>
      <c r="G1326" s="684"/>
      <c r="H1326" s="684"/>
      <c r="I1326" s="1513"/>
      <c r="J1326" s="684">
        <f>C1326*E1326</f>
        <v>0</v>
      </c>
      <c r="K1326" s="684">
        <f>I1326+J1326</f>
        <v>0</v>
      </c>
      <c r="L1326" s="684"/>
      <c r="M1326" s="684"/>
      <c r="N1326" s="684"/>
      <c r="O1326" s="867">
        <f>N1326+K1326+H1326</f>
        <v>0</v>
      </c>
      <c r="P1326" s="754"/>
    </row>
    <row r="1327" spans="1:89" ht="17.25" customHeight="1" x14ac:dyDescent="0.25">
      <c r="A1327" s="692"/>
      <c r="B1327" s="756"/>
      <c r="C1327" s="713"/>
      <c r="D1327" s="880"/>
      <c r="E1327" s="714"/>
      <c r="F1327" s="714"/>
      <c r="G1327" s="714"/>
      <c r="H1327" s="714"/>
      <c r="I1327" s="1514"/>
      <c r="J1327" s="714"/>
      <c r="K1327" s="714"/>
      <c r="L1327" s="714"/>
      <c r="M1327" s="714"/>
      <c r="N1327" s="714"/>
      <c r="O1327" s="753"/>
      <c r="P1327" s="754"/>
    </row>
    <row r="1328" spans="1:89" ht="17.25" customHeight="1" x14ac:dyDescent="0.25">
      <c r="A1328" s="1515"/>
      <c r="B1328" s="1516"/>
      <c r="C1328" s="1517"/>
      <c r="D1328" s="1518"/>
      <c r="E1328" s="916"/>
      <c r="F1328" s="916"/>
      <c r="G1328" s="916"/>
      <c r="H1328" s="916"/>
      <c r="I1328" s="1519"/>
      <c r="J1328" s="916"/>
      <c r="K1328" s="916"/>
      <c r="L1328" s="916"/>
      <c r="M1328" s="916"/>
      <c r="N1328" s="916"/>
      <c r="O1328" s="917"/>
      <c r="P1328" s="1520"/>
    </row>
    <row r="1329" spans="1:89" s="672" customFormat="1" ht="20.25" customHeight="1" x14ac:dyDescent="0.25">
      <c r="A1329" s="1352" t="s">
        <v>22</v>
      </c>
      <c r="B1329" s="1367" t="s">
        <v>23</v>
      </c>
      <c r="C1329" s="1255"/>
      <c r="D1329" s="1316"/>
      <c r="E1329" s="1214"/>
      <c r="F1329" s="1290">
        <f>SUM(F1330:F1336)</f>
        <v>0</v>
      </c>
      <c r="G1329" s="1290">
        <f>SUM(G1330:G1336)</f>
        <v>0</v>
      </c>
      <c r="H1329" s="1290">
        <f>F1329+G1329</f>
        <v>0</v>
      </c>
      <c r="I1329" s="1290">
        <f>SUM(I1330:I1336)</f>
        <v>0</v>
      </c>
      <c r="J1329" s="1290">
        <f>SUM(J1330:J1336)</f>
        <v>1150000</v>
      </c>
      <c r="K1329" s="1290">
        <f>I1329+J1329</f>
        <v>1150000</v>
      </c>
      <c r="L1329" s="1290">
        <f>SUM(L1330:L1336)</f>
        <v>0</v>
      </c>
      <c r="M1329" s="1290">
        <f>SUM(M1330:M1336)</f>
        <v>0</v>
      </c>
      <c r="N1329" s="1290">
        <f>L1329+M1329</f>
        <v>0</v>
      </c>
      <c r="O1329" s="1494">
        <f>N1329+K1329+H1329</f>
        <v>1150000</v>
      </c>
      <c r="P1329" s="912"/>
      <c r="Q1329" s="1581"/>
      <c r="R1329" s="1581"/>
      <c r="S1329" s="1581"/>
      <c r="T1329" s="1581"/>
      <c r="U1329" s="1581"/>
      <c r="V1329" s="1581"/>
      <c r="W1329" s="1581"/>
      <c r="X1329" s="1581"/>
      <c r="Y1329" s="1581"/>
      <c r="Z1329" s="1581"/>
      <c r="AA1329" s="1581"/>
      <c r="AB1329" s="1581"/>
      <c r="AC1329" s="1581"/>
      <c r="AD1329" s="1581"/>
      <c r="AE1329" s="1581"/>
      <c r="AF1329" s="1581"/>
      <c r="AG1329" s="1581"/>
      <c r="AH1329" s="1581"/>
      <c r="AI1329" s="1581"/>
      <c r="AJ1329" s="1581"/>
      <c r="AK1329" s="1581"/>
      <c r="AL1329" s="1581"/>
      <c r="AM1329" s="1581"/>
      <c r="AN1329" s="1581"/>
      <c r="AO1329" s="1581"/>
      <c r="AP1329" s="1581"/>
      <c r="AQ1329" s="1581"/>
      <c r="AR1329" s="1581"/>
      <c r="AS1329" s="1581"/>
      <c r="AT1329" s="1581"/>
      <c r="AU1329" s="1581"/>
      <c r="AV1329" s="1581"/>
      <c r="AW1329" s="1581"/>
      <c r="AX1329" s="1581"/>
      <c r="AY1329" s="1581"/>
      <c r="AZ1329" s="1581"/>
      <c r="BA1329" s="1581"/>
      <c r="BB1329" s="1581"/>
      <c r="BC1329" s="1581"/>
      <c r="BD1329" s="1581"/>
      <c r="BE1329" s="1581"/>
      <c r="BF1329" s="1581"/>
      <c r="BG1329" s="1581"/>
      <c r="BH1329" s="1581"/>
      <c r="BI1329" s="1581"/>
      <c r="BJ1329" s="1581"/>
      <c r="BK1329" s="1581"/>
      <c r="BL1329" s="1581"/>
      <c r="BM1329" s="1581"/>
      <c r="BN1329" s="1581"/>
      <c r="BO1329" s="1581"/>
      <c r="BP1329" s="1581"/>
      <c r="BQ1329" s="1581"/>
      <c r="BR1329" s="1581"/>
      <c r="BS1329" s="1581"/>
      <c r="BT1329" s="1581"/>
      <c r="BU1329" s="1581"/>
      <c r="BV1329" s="1581"/>
      <c r="BW1329" s="1581"/>
      <c r="BX1329" s="1581"/>
      <c r="BY1329" s="1581"/>
      <c r="BZ1329" s="1581"/>
      <c r="CA1329" s="1581"/>
      <c r="CB1329" s="1581"/>
      <c r="CC1329" s="1581"/>
      <c r="CD1329" s="1581"/>
      <c r="CE1329" s="1581"/>
      <c r="CF1329" s="1581"/>
      <c r="CG1329" s="1581"/>
      <c r="CH1329" s="1581"/>
      <c r="CI1329" s="1581"/>
      <c r="CJ1329" s="1581"/>
      <c r="CK1329" s="1581"/>
    </row>
    <row r="1330" spans="1:89" ht="20.25" customHeight="1" x14ac:dyDescent="0.25">
      <c r="A1330" s="730">
        <v>1</v>
      </c>
      <c r="B1330" s="873" t="s">
        <v>21</v>
      </c>
      <c r="C1330" s="835"/>
      <c r="D1330" s="863"/>
      <c r="E1330" s="685"/>
      <c r="F1330" s="684"/>
      <c r="G1330" s="684"/>
      <c r="H1330" s="684"/>
      <c r="I1330" s="684"/>
      <c r="J1330" s="684"/>
      <c r="K1330" s="684"/>
      <c r="L1330" s="684"/>
      <c r="M1330" s="684"/>
      <c r="N1330" s="684"/>
      <c r="O1330" s="867">
        <f>N1330+K1330+H1330</f>
        <v>0</v>
      </c>
      <c r="P1330" s="754"/>
    </row>
    <row r="1331" spans="1:89" ht="20.25" customHeight="1" x14ac:dyDescent="0.25">
      <c r="A1331" s="742"/>
      <c r="B1331" s="756" t="s">
        <v>137</v>
      </c>
      <c r="C1331" s="699">
        <v>1</v>
      </c>
      <c r="D1331" s="739" t="s">
        <v>25</v>
      </c>
      <c r="E1331" s="695">
        <v>1100000</v>
      </c>
      <c r="F1331" s="714"/>
      <c r="G1331" s="714"/>
      <c r="H1331" s="714"/>
      <c r="I1331" s="714"/>
      <c r="J1331" s="714">
        <f>E1331*C1331</f>
        <v>1100000</v>
      </c>
      <c r="K1331" s="714">
        <f>I1331+J1331</f>
        <v>1100000</v>
      </c>
      <c r="L1331" s="714"/>
      <c r="M1331" s="714"/>
      <c r="N1331" s="714"/>
      <c r="O1331" s="753">
        <f>N1331+K1331+H1331</f>
        <v>1100000</v>
      </c>
      <c r="P1331" s="754"/>
    </row>
    <row r="1332" spans="1:89" ht="20.25" customHeight="1" x14ac:dyDescent="0.25">
      <c r="A1332" s="742"/>
      <c r="B1332" s="893" t="s">
        <v>2283</v>
      </c>
      <c r="C1332" s="699"/>
      <c r="D1332" s="739"/>
      <c r="E1332" s="695"/>
      <c r="F1332" s="714"/>
      <c r="G1332" s="714"/>
      <c r="H1332" s="714"/>
      <c r="I1332" s="714"/>
      <c r="J1332" s="714"/>
      <c r="K1332" s="714"/>
      <c r="L1332" s="714"/>
      <c r="M1332" s="714"/>
      <c r="N1332" s="714"/>
      <c r="O1332" s="753"/>
      <c r="P1332" s="754"/>
    </row>
    <row r="1333" spans="1:89" ht="20.25" customHeight="1" x14ac:dyDescent="0.25">
      <c r="A1333" s="742"/>
      <c r="B1333" s="756" t="s">
        <v>695</v>
      </c>
      <c r="C1333" s="699"/>
      <c r="D1333" s="739"/>
      <c r="E1333" s="695"/>
      <c r="F1333" s="714"/>
      <c r="G1333" s="714"/>
      <c r="H1333" s="714"/>
      <c r="I1333" s="714"/>
      <c r="J1333" s="714"/>
      <c r="K1333" s="714"/>
      <c r="L1333" s="714"/>
      <c r="M1333" s="714"/>
      <c r="N1333" s="714"/>
      <c r="O1333" s="753"/>
      <c r="P1333" s="754"/>
    </row>
    <row r="1334" spans="1:89" ht="20.25" customHeight="1" x14ac:dyDescent="0.25">
      <c r="A1334" s="742"/>
      <c r="B1334" s="756"/>
      <c r="C1334" s="699"/>
      <c r="D1334" s="739"/>
      <c r="E1334" s="695"/>
      <c r="F1334" s="714"/>
      <c r="G1334" s="714"/>
      <c r="H1334" s="714"/>
      <c r="I1334" s="714"/>
      <c r="J1334" s="714"/>
      <c r="K1334" s="714"/>
      <c r="L1334" s="714"/>
      <c r="M1334" s="714"/>
      <c r="N1334" s="714"/>
      <c r="O1334" s="753"/>
      <c r="P1334" s="754"/>
    </row>
    <row r="1335" spans="1:89" ht="20.25" customHeight="1" x14ac:dyDescent="0.25">
      <c r="A1335" s="742">
        <v>2</v>
      </c>
      <c r="B1335" s="756" t="s">
        <v>19</v>
      </c>
      <c r="C1335" s="699"/>
      <c r="D1335" s="739"/>
      <c r="E1335" s="695"/>
      <c r="F1335" s="714"/>
      <c r="G1335" s="714"/>
      <c r="H1335" s="714"/>
      <c r="I1335" s="714"/>
      <c r="J1335" s="714"/>
      <c r="K1335" s="714"/>
      <c r="L1335" s="714"/>
      <c r="M1335" s="714"/>
      <c r="N1335" s="714"/>
      <c r="O1335" s="753">
        <f>N1335+K1335+H1335</f>
        <v>0</v>
      </c>
      <c r="P1335" s="754"/>
    </row>
    <row r="1336" spans="1:89" ht="20.25" customHeight="1" x14ac:dyDescent="0.25">
      <c r="A1336" s="742"/>
      <c r="B1336" s="756" t="s">
        <v>26</v>
      </c>
      <c r="C1336" s="699">
        <v>1</v>
      </c>
      <c r="D1336" s="739" t="s">
        <v>25</v>
      </c>
      <c r="E1336" s="695">
        <v>50000</v>
      </c>
      <c r="F1336" s="714"/>
      <c r="G1336" s="714"/>
      <c r="H1336" s="714"/>
      <c r="I1336" s="714"/>
      <c r="J1336" s="714">
        <f>C1336*E1336</f>
        <v>50000</v>
      </c>
      <c r="K1336" s="714">
        <f>I1336+J1336</f>
        <v>50000</v>
      </c>
      <c r="L1336" s="714"/>
      <c r="M1336" s="714"/>
      <c r="N1336" s="714"/>
      <c r="O1336" s="753">
        <f>N1336+K1336+H1336</f>
        <v>50000</v>
      </c>
      <c r="P1336" s="754"/>
    </row>
    <row r="1337" spans="1:89" ht="20.25" customHeight="1" x14ac:dyDescent="0.25">
      <c r="A1337" s="881"/>
      <c r="B1337" s="907"/>
      <c r="C1337" s="834"/>
      <c r="D1337" s="865"/>
      <c r="E1337" s="821"/>
      <c r="F1337" s="721"/>
      <c r="G1337" s="721"/>
      <c r="H1337" s="721"/>
      <c r="I1337" s="721"/>
      <c r="J1337" s="721"/>
      <c r="K1337" s="721"/>
      <c r="L1337" s="721"/>
      <c r="M1337" s="721"/>
      <c r="N1337" s="721"/>
      <c r="O1337" s="884"/>
      <c r="P1337" s="754"/>
    </row>
    <row r="1338" spans="1:89" s="672" customFormat="1" ht="20.25" customHeight="1" x14ac:dyDescent="0.25">
      <c r="A1338" s="1352" t="s">
        <v>28</v>
      </c>
      <c r="B1338" s="1367" t="s">
        <v>29</v>
      </c>
      <c r="C1338" s="1255"/>
      <c r="D1338" s="1316"/>
      <c r="E1338" s="1214"/>
      <c r="F1338" s="1290">
        <f>SUM(F1341:F1366)</f>
        <v>0</v>
      </c>
      <c r="G1338" s="1290">
        <f>SUM(G1341:G1366)</f>
        <v>0</v>
      </c>
      <c r="H1338" s="1290">
        <f>F1338+G1338</f>
        <v>0</v>
      </c>
      <c r="I1338" s="1290">
        <f>SUM(I1341:I1366)</f>
        <v>0</v>
      </c>
      <c r="J1338" s="1290">
        <f>SUM(J1341:J1366)</f>
        <v>481900</v>
      </c>
      <c r="K1338" s="1290">
        <f>I1338+J1338</f>
        <v>481900</v>
      </c>
      <c r="L1338" s="1290">
        <f>SUM(L1341:L1366)</f>
        <v>0</v>
      </c>
      <c r="M1338" s="1290">
        <f>SUM(M1341:M1366)</f>
        <v>0</v>
      </c>
      <c r="N1338" s="1290">
        <f>L1338+M1338</f>
        <v>0</v>
      </c>
      <c r="O1338" s="1494">
        <f>N1338+K1338+H1338</f>
        <v>481900</v>
      </c>
      <c r="P1338" s="912"/>
      <c r="Q1338" s="1581"/>
      <c r="R1338" s="1581"/>
      <c r="S1338" s="1581"/>
      <c r="T1338" s="1581"/>
      <c r="U1338" s="1581"/>
      <c r="V1338" s="1581"/>
      <c r="W1338" s="1581"/>
      <c r="X1338" s="1581"/>
      <c r="Y1338" s="1581"/>
      <c r="Z1338" s="1581"/>
      <c r="AA1338" s="1581"/>
      <c r="AB1338" s="1581"/>
      <c r="AC1338" s="1581"/>
      <c r="AD1338" s="1581"/>
      <c r="AE1338" s="1581"/>
      <c r="AF1338" s="1581"/>
      <c r="AG1338" s="1581"/>
      <c r="AH1338" s="1581"/>
      <c r="AI1338" s="1581"/>
      <c r="AJ1338" s="1581"/>
      <c r="AK1338" s="1581"/>
      <c r="AL1338" s="1581"/>
      <c r="AM1338" s="1581"/>
      <c r="AN1338" s="1581"/>
      <c r="AO1338" s="1581"/>
      <c r="AP1338" s="1581"/>
      <c r="AQ1338" s="1581"/>
      <c r="AR1338" s="1581"/>
      <c r="AS1338" s="1581"/>
      <c r="AT1338" s="1581"/>
      <c r="AU1338" s="1581"/>
      <c r="AV1338" s="1581"/>
      <c r="AW1338" s="1581"/>
      <c r="AX1338" s="1581"/>
      <c r="AY1338" s="1581"/>
      <c r="AZ1338" s="1581"/>
      <c r="BA1338" s="1581"/>
      <c r="BB1338" s="1581"/>
      <c r="BC1338" s="1581"/>
      <c r="BD1338" s="1581"/>
      <c r="BE1338" s="1581"/>
      <c r="BF1338" s="1581"/>
      <c r="BG1338" s="1581"/>
      <c r="BH1338" s="1581"/>
      <c r="BI1338" s="1581"/>
      <c r="BJ1338" s="1581"/>
      <c r="BK1338" s="1581"/>
      <c r="BL1338" s="1581"/>
      <c r="BM1338" s="1581"/>
      <c r="BN1338" s="1581"/>
      <c r="BO1338" s="1581"/>
      <c r="BP1338" s="1581"/>
      <c r="BQ1338" s="1581"/>
      <c r="BR1338" s="1581"/>
      <c r="BS1338" s="1581"/>
      <c r="BT1338" s="1581"/>
      <c r="BU1338" s="1581"/>
      <c r="BV1338" s="1581"/>
      <c r="BW1338" s="1581"/>
      <c r="BX1338" s="1581"/>
      <c r="BY1338" s="1581"/>
      <c r="BZ1338" s="1581"/>
      <c r="CA1338" s="1581"/>
      <c r="CB1338" s="1581"/>
      <c r="CC1338" s="1581"/>
      <c r="CD1338" s="1581"/>
      <c r="CE1338" s="1581"/>
      <c r="CF1338" s="1581"/>
      <c r="CG1338" s="1581"/>
      <c r="CH1338" s="1581"/>
      <c r="CI1338" s="1581"/>
      <c r="CJ1338" s="1581"/>
      <c r="CK1338" s="1581"/>
    </row>
    <row r="1339" spans="1:89" ht="20.25" customHeight="1" x14ac:dyDescent="0.25">
      <c r="A1339" s="730"/>
      <c r="B1339" s="873"/>
      <c r="C1339" s="835"/>
      <c r="D1339" s="863"/>
      <c r="E1339" s="685"/>
      <c r="F1339" s="684"/>
      <c r="G1339" s="684"/>
      <c r="H1339" s="684"/>
      <c r="I1339" s="684"/>
      <c r="J1339" s="684"/>
      <c r="K1339" s="684"/>
      <c r="L1339" s="684"/>
      <c r="M1339" s="684"/>
      <c r="N1339" s="684"/>
      <c r="O1339" s="867"/>
      <c r="P1339" s="754"/>
    </row>
    <row r="1340" spans="1:89" ht="17.25" customHeight="1" x14ac:dyDescent="0.25">
      <c r="A1340" s="742" t="s">
        <v>148</v>
      </c>
      <c r="B1340" s="756" t="s">
        <v>149</v>
      </c>
      <c r="C1340" s="699"/>
      <c r="D1340" s="739"/>
      <c r="E1340" s="695"/>
      <c r="F1340" s="714"/>
      <c r="G1340" s="714"/>
      <c r="H1340" s="714"/>
      <c r="I1340" s="714"/>
      <c r="J1340" s="714"/>
      <c r="K1340" s="714"/>
      <c r="L1340" s="714"/>
      <c r="M1340" s="714"/>
      <c r="N1340" s="714"/>
      <c r="O1340" s="753"/>
      <c r="P1340" s="754"/>
    </row>
    <row r="1341" spans="1:89" ht="17.25" customHeight="1" thickBot="1" x14ac:dyDescent="0.3">
      <c r="A1341" s="742">
        <v>1</v>
      </c>
      <c r="B1341" s="756" t="s">
        <v>19</v>
      </c>
      <c r="C1341" s="699"/>
      <c r="D1341" s="739"/>
      <c r="E1341" s="695"/>
      <c r="F1341" s="714"/>
      <c r="G1341" s="714"/>
      <c r="H1341" s="714"/>
      <c r="I1341" s="714"/>
      <c r="J1341" s="714"/>
      <c r="K1341" s="714"/>
      <c r="L1341" s="714"/>
      <c r="M1341" s="714"/>
      <c r="N1341" s="714"/>
      <c r="O1341" s="753">
        <f t="shared" ref="O1341:O1366" si="96">N1341+K1341+H1341</f>
        <v>0</v>
      </c>
      <c r="P1341" s="754"/>
    </row>
    <row r="1342" spans="1:89" s="1521" customFormat="1" ht="17.25" customHeight="1" thickBot="1" x14ac:dyDescent="0.3">
      <c r="A1342" s="742"/>
      <c r="B1342" s="756" t="s">
        <v>30</v>
      </c>
      <c r="C1342" s="699">
        <v>12</v>
      </c>
      <c r="D1342" s="739" t="s">
        <v>20</v>
      </c>
      <c r="E1342" s="695">
        <v>1080</v>
      </c>
      <c r="F1342" s="714"/>
      <c r="G1342" s="714"/>
      <c r="H1342" s="714"/>
      <c r="I1342" s="714"/>
      <c r="J1342" s="714">
        <f>C1342*E1342</f>
        <v>12960</v>
      </c>
      <c r="K1342" s="714">
        <f>I1342+J1342</f>
        <v>12960</v>
      </c>
      <c r="L1342" s="714"/>
      <c r="M1342" s="714"/>
      <c r="N1342" s="714"/>
      <c r="O1342" s="753">
        <f t="shared" si="96"/>
        <v>12960</v>
      </c>
      <c r="P1342" s="754"/>
      <c r="Q1342" s="1581"/>
      <c r="R1342" s="1581"/>
      <c r="S1342" s="1581"/>
      <c r="T1342" s="1581"/>
      <c r="U1342" s="1581"/>
      <c r="V1342" s="1581"/>
      <c r="W1342" s="1581"/>
      <c r="X1342" s="1581"/>
      <c r="Y1342" s="1581"/>
      <c r="Z1342" s="1581"/>
      <c r="AA1342" s="1581"/>
      <c r="AB1342" s="1581"/>
      <c r="AC1342" s="1581"/>
      <c r="AD1342" s="1581"/>
      <c r="AE1342" s="1581"/>
      <c r="AF1342" s="1581"/>
      <c r="AG1342" s="1581"/>
      <c r="AH1342" s="1581"/>
      <c r="AI1342" s="1581"/>
      <c r="AJ1342" s="1581"/>
      <c r="AK1342" s="1581"/>
      <c r="AL1342" s="1581"/>
      <c r="AM1342" s="1581"/>
      <c r="AN1342" s="1581"/>
      <c r="AO1342" s="1581"/>
      <c r="AP1342" s="1581"/>
      <c r="AQ1342" s="1581"/>
      <c r="AR1342" s="1581"/>
      <c r="AS1342" s="1581"/>
      <c r="AT1342" s="1581"/>
      <c r="AU1342" s="1581"/>
      <c r="AV1342" s="1581"/>
      <c r="AW1342" s="1581"/>
      <c r="AX1342" s="1581"/>
      <c r="AY1342" s="1581"/>
      <c r="AZ1342" s="1581"/>
      <c r="BA1342" s="1581"/>
      <c r="BB1342" s="1581"/>
      <c r="BC1342" s="1581"/>
      <c r="BD1342" s="1581"/>
      <c r="BE1342" s="1581"/>
      <c r="BF1342" s="1581"/>
      <c r="BG1342" s="1581"/>
      <c r="BH1342" s="1581"/>
      <c r="BI1342" s="1581"/>
      <c r="BJ1342" s="1581"/>
      <c r="BK1342" s="1581"/>
      <c r="BL1342" s="1581"/>
      <c r="BM1342" s="1581"/>
      <c r="BN1342" s="1581"/>
      <c r="BO1342" s="1581"/>
      <c r="BP1342" s="1581"/>
      <c r="BQ1342" s="1581"/>
      <c r="BR1342" s="1581"/>
      <c r="BS1342" s="1581"/>
      <c r="BT1342" s="1581"/>
      <c r="BU1342" s="1581"/>
      <c r="BV1342" s="1581"/>
      <c r="BW1342" s="1581"/>
      <c r="BX1342" s="1581"/>
      <c r="BY1342" s="1581"/>
      <c r="BZ1342" s="1581"/>
      <c r="CA1342" s="1581"/>
      <c r="CB1342" s="1581"/>
      <c r="CC1342" s="1581"/>
      <c r="CD1342" s="1581"/>
      <c r="CE1342" s="1581"/>
      <c r="CF1342" s="1581"/>
      <c r="CG1342" s="1581"/>
      <c r="CH1342" s="1581"/>
      <c r="CI1342" s="1581"/>
      <c r="CJ1342" s="1581"/>
      <c r="CK1342" s="1581"/>
    </row>
    <row r="1343" spans="1:89" ht="17.25" customHeight="1" x14ac:dyDescent="0.25">
      <c r="A1343" s="742"/>
      <c r="B1343" s="756" t="s">
        <v>31</v>
      </c>
      <c r="C1343" s="699">
        <v>12</v>
      </c>
      <c r="D1343" s="739" t="s">
        <v>20</v>
      </c>
      <c r="E1343" s="695">
        <v>855</v>
      </c>
      <c r="F1343" s="714"/>
      <c r="G1343" s="714"/>
      <c r="H1343" s="714"/>
      <c r="I1343" s="714"/>
      <c r="J1343" s="714">
        <f>C1343*E1343</f>
        <v>10260</v>
      </c>
      <c r="K1343" s="714">
        <f>I1343+J1343</f>
        <v>10260</v>
      </c>
      <c r="L1343" s="714"/>
      <c r="M1343" s="714"/>
      <c r="N1343" s="714"/>
      <c r="O1343" s="753">
        <f t="shared" si="96"/>
        <v>10260</v>
      </c>
      <c r="P1343" s="754"/>
    </row>
    <row r="1344" spans="1:89" ht="17.25" customHeight="1" x14ac:dyDescent="0.25">
      <c r="A1344" s="742"/>
      <c r="B1344" s="756" t="s">
        <v>32</v>
      </c>
      <c r="C1344" s="699">
        <v>12</v>
      </c>
      <c r="D1344" s="739" t="s">
        <v>20</v>
      </c>
      <c r="E1344" s="695">
        <v>740</v>
      </c>
      <c r="F1344" s="714"/>
      <c r="G1344" s="714"/>
      <c r="H1344" s="714"/>
      <c r="I1344" s="714"/>
      <c r="J1344" s="714">
        <f>C1344*E1344</f>
        <v>8880</v>
      </c>
      <c r="K1344" s="714">
        <f>I1344+J1344</f>
        <v>8880</v>
      </c>
      <c r="L1344" s="714"/>
      <c r="M1344" s="714"/>
      <c r="N1344" s="714"/>
      <c r="O1344" s="753">
        <f t="shared" si="96"/>
        <v>8880</v>
      </c>
      <c r="P1344" s="754"/>
    </row>
    <row r="1345" spans="1:16" ht="17.25" customHeight="1" x14ac:dyDescent="0.25">
      <c r="A1345" s="742"/>
      <c r="B1345" s="756" t="s">
        <v>33</v>
      </c>
      <c r="C1345" s="699">
        <v>60</v>
      </c>
      <c r="D1345" s="739" t="s">
        <v>20</v>
      </c>
      <c r="E1345" s="695">
        <v>545</v>
      </c>
      <c r="F1345" s="714"/>
      <c r="G1345" s="714"/>
      <c r="H1345" s="714"/>
      <c r="I1345" s="714"/>
      <c r="J1345" s="714">
        <f>C1345*E1345</f>
        <v>32700</v>
      </c>
      <c r="K1345" s="714">
        <f>I1345+J1345</f>
        <v>32700</v>
      </c>
      <c r="L1345" s="714"/>
      <c r="M1345" s="714"/>
      <c r="N1345" s="714"/>
      <c r="O1345" s="753">
        <f t="shared" si="96"/>
        <v>32700</v>
      </c>
      <c r="P1345" s="754"/>
    </row>
    <row r="1346" spans="1:16" ht="17.25" customHeight="1" x14ac:dyDescent="0.25">
      <c r="A1346" s="742"/>
      <c r="B1346" s="756" t="s">
        <v>34</v>
      </c>
      <c r="C1346" s="699"/>
      <c r="D1346" s="739"/>
      <c r="E1346" s="695"/>
      <c r="F1346" s="714"/>
      <c r="G1346" s="714"/>
      <c r="H1346" s="714"/>
      <c r="I1346" s="714"/>
      <c r="J1346" s="714"/>
      <c r="K1346" s="714"/>
      <c r="L1346" s="714"/>
      <c r="M1346" s="714"/>
      <c r="N1346" s="714"/>
      <c r="O1346" s="753">
        <f t="shared" si="96"/>
        <v>0</v>
      </c>
      <c r="P1346" s="754"/>
    </row>
    <row r="1347" spans="1:16" ht="17.25" customHeight="1" x14ac:dyDescent="0.25">
      <c r="A1347" s="742"/>
      <c r="B1347" s="756" t="s">
        <v>35</v>
      </c>
      <c r="C1347" s="699">
        <v>12</v>
      </c>
      <c r="D1347" s="739" t="s">
        <v>20</v>
      </c>
      <c r="E1347" s="695">
        <v>300</v>
      </c>
      <c r="F1347" s="714"/>
      <c r="G1347" s="714"/>
      <c r="H1347" s="714"/>
      <c r="I1347" s="714"/>
      <c r="J1347" s="714">
        <f>C1347*E1347</f>
        <v>3600</v>
      </c>
      <c r="K1347" s="714">
        <f>I1347+J1347</f>
        <v>3600</v>
      </c>
      <c r="L1347" s="714"/>
      <c r="M1347" s="714"/>
      <c r="N1347" s="714"/>
      <c r="O1347" s="753">
        <f t="shared" si="96"/>
        <v>3600</v>
      </c>
      <c r="P1347" s="754"/>
    </row>
    <row r="1348" spans="1:16" ht="17.25" customHeight="1" x14ac:dyDescent="0.25">
      <c r="A1348" s="742"/>
      <c r="B1348" s="756" t="s">
        <v>36</v>
      </c>
      <c r="C1348" s="699">
        <v>36</v>
      </c>
      <c r="D1348" s="739" t="s">
        <v>20</v>
      </c>
      <c r="E1348" s="695">
        <v>150</v>
      </c>
      <c r="F1348" s="714"/>
      <c r="G1348" s="714"/>
      <c r="H1348" s="714"/>
      <c r="I1348" s="714"/>
      <c r="J1348" s="714">
        <f>C1348*E1348</f>
        <v>5400</v>
      </c>
      <c r="K1348" s="714">
        <f>I1348+J1348</f>
        <v>5400</v>
      </c>
      <c r="L1348" s="714"/>
      <c r="M1348" s="714"/>
      <c r="N1348" s="714"/>
      <c r="O1348" s="753">
        <f t="shared" si="96"/>
        <v>5400</v>
      </c>
      <c r="P1348" s="754"/>
    </row>
    <row r="1349" spans="1:16" ht="17.25" customHeight="1" x14ac:dyDescent="0.25">
      <c r="A1349" s="742"/>
      <c r="B1349" s="756"/>
      <c r="C1349" s="699"/>
      <c r="D1349" s="739"/>
      <c r="E1349" s="695"/>
      <c r="F1349" s="714"/>
      <c r="G1349" s="714"/>
      <c r="H1349" s="714"/>
      <c r="I1349" s="714"/>
      <c r="J1349" s="714"/>
      <c r="K1349" s="714"/>
      <c r="L1349" s="714"/>
      <c r="M1349" s="714"/>
      <c r="N1349" s="714"/>
      <c r="O1349" s="753">
        <f t="shared" si="96"/>
        <v>0</v>
      </c>
      <c r="P1349" s="754"/>
    </row>
    <row r="1350" spans="1:16" ht="17.25" customHeight="1" x14ac:dyDescent="0.25">
      <c r="A1350" s="742">
        <v>2</v>
      </c>
      <c r="B1350" s="756" t="s">
        <v>38</v>
      </c>
      <c r="C1350" s="699">
        <v>1</v>
      </c>
      <c r="D1350" s="739" t="s">
        <v>25</v>
      </c>
      <c r="E1350" s="695">
        <v>23600</v>
      </c>
      <c r="F1350" s="714"/>
      <c r="G1350" s="714"/>
      <c r="H1350" s="714"/>
      <c r="I1350" s="714"/>
      <c r="J1350" s="714">
        <f>C1350*E1350</f>
        <v>23600</v>
      </c>
      <c r="K1350" s="714">
        <f>I1350+J1350</f>
        <v>23600</v>
      </c>
      <c r="L1350" s="714"/>
      <c r="M1350" s="714"/>
      <c r="N1350" s="714"/>
      <c r="O1350" s="753">
        <f t="shared" si="96"/>
        <v>23600</v>
      </c>
      <c r="P1350" s="754"/>
    </row>
    <row r="1351" spans="1:16" ht="17.25" customHeight="1" x14ac:dyDescent="0.25">
      <c r="A1351" s="742"/>
      <c r="B1351" s="756" t="s">
        <v>39</v>
      </c>
      <c r="C1351" s="699">
        <v>1</v>
      </c>
      <c r="D1351" s="739" t="s">
        <v>25</v>
      </c>
      <c r="E1351" s="695">
        <v>4600</v>
      </c>
      <c r="F1351" s="714"/>
      <c r="G1351" s="714"/>
      <c r="H1351" s="714"/>
      <c r="I1351" s="714"/>
      <c r="J1351" s="714">
        <f>C1351*E1351</f>
        <v>4600</v>
      </c>
      <c r="K1351" s="714">
        <f>I1351+J1351</f>
        <v>4600</v>
      </c>
      <c r="L1351" s="714"/>
      <c r="M1351" s="714"/>
      <c r="N1351" s="714"/>
      <c r="O1351" s="753">
        <f t="shared" si="96"/>
        <v>4600</v>
      </c>
      <c r="P1351" s="754"/>
    </row>
    <row r="1352" spans="1:16" ht="17.25" customHeight="1" x14ac:dyDescent="0.25">
      <c r="A1352" s="742"/>
      <c r="B1352" s="756"/>
      <c r="C1352" s="699"/>
      <c r="D1352" s="739"/>
      <c r="E1352" s="695"/>
      <c r="F1352" s="714"/>
      <c r="G1352" s="714"/>
      <c r="H1352" s="714"/>
      <c r="I1352" s="714"/>
      <c r="J1352" s="714"/>
      <c r="K1352" s="714"/>
      <c r="L1352" s="714"/>
      <c r="M1352" s="714"/>
      <c r="N1352" s="714"/>
      <c r="O1352" s="753">
        <f t="shared" si="96"/>
        <v>0</v>
      </c>
      <c r="P1352" s="754"/>
    </row>
    <row r="1353" spans="1:16" ht="17.25" customHeight="1" x14ac:dyDescent="0.25">
      <c r="A1353" s="742">
        <v>3</v>
      </c>
      <c r="B1353" s="756" t="s">
        <v>27</v>
      </c>
      <c r="C1353" s="699"/>
      <c r="D1353" s="739"/>
      <c r="E1353" s="695"/>
      <c r="F1353" s="714"/>
      <c r="G1353" s="714"/>
      <c r="H1353" s="714"/>
      <c r="I1353" s="714"/>
      <c r="J1353" s="714"/>
      <c r="K1353" s="714"/>
      <c r="L1353" s="714"/>
      <c r="M1353" s="714"/>
      <c r="N1353" s="714"/>
      <c r="O1353" s="753">
        <f t="shared" si="96"/>
        <v>0</v>
      </c>
      <c r="P1353" s="754"/>
    </row>
    <row r="1354" spans="1:16" ht="17.25" customHeight="1" x14ac:dyDescent="0.25">
      <c r="A1354" s="742"/>
      <c r="B1354" s="756" t="s">
        <v>42</v>
      </c>
      <c r="C1354" s="699">
        <v>1</v>
      </c>
      <c r="D1354" s="739" t="s">
        <v>25</v>
      </c>
      <c r="E1354" s="695">
        <v>25000</v>
      </c>
      <c r="F1354" s="714"/>
      <c r="G1354" s="714"/>
      <c r="H1354" s="714"/>
      <c r="I1354" s="714"/>
      <c r="J1354" s="714">
        <f>C1354*E1354</f>
        <v>25000</v>
      </c>
      <c r="K1354" s="714">
        <f>I1354+J1354</f>
        <v>25000</v>
      </c>
      <c r="L1354" s="714"/>
      <c r="M1354" s="714"/>
      <c r="N1354" s="714"/>
      <c r="O1354" s="753">
        <f t="shared" si="96"/>
        <v>25000</v>
      </c>
      <c r="P1354" s="754"/>
    </row>
    <row r="1355" spans="1:16" ht="17.25" customHeight="1" x14ac:dyDescent="0.25">
      <c r="A1355" s="742"/>
      <c r="B1355" s="756"/>
      <c r="C1355" s="699"/>
      <c r="D1355" s="739"/>
      <c r="E1355" s="695"/>
      <c r="F1355" s="714"/>
      <c r="G1355" s="714"/>
      <c r="H1355" s="714"/>
      <c r="I1355" s="714"/>
      <c r="J1355" s="714"/>
      <c r="K1355" s="714"/>
      <c r="L1355" s="714"/>
      <c r="M1355" s="714"/>
      <c r="N1355" s="714"/>
      <c r="O1355" s="753">
        <f t="shared" si="96"/>
        <v>0</v>
      </c>
      <c r="P1355" s="754"/>
    </row>
    <row r="1356" spans="1:16" ht="17.25" customHeight="1" x14ac:dyDescent="0.25">
      <c r="A1356" s="742">
        <v>4</v>
      </c>
      <c r="B1356" s="756" t="s">
        <v>40</v>
      </c>
      <c r="C1356" s="699"/>
      <c r="D1356" s="739"/>
      <c r="E1356" s="695"/>
      <c r="F1356" s="714"/>
      <c r="G1356" s="714"/>
      <c r="H1356" s="714"/>
      <c r="I1356" s="714"/>
      <c r="J1356" s="714"/>
      <c r="K1356" s="714"/>
      <c r="L1356" s="714"/>
      <c r="M1356" s="714"/>
      <c r="N1356" s="714"/>
      <c r="O1356" s="753">
        <f t="shared" si="96"/>
        <v>0</v>
      </c>
      <c r="P1356" s="754"/>
    </row>
    <row r="1357" spans="1:16" ht="17.25" customHeight="1" x14ac:dyDescent="0.25">
      <c r="A1357" s="742"/>
      <c r="B1357" s="756" t="s">
        <v>41</v>
      </c>
      <c r="C1357" s="699">
        <v>1</v>
      </c>
      <c r="D1357" s="739" t="s">
        <v>25</v>
      </c>
      <c r="E1357" s="695">
        <v>35000</v>
      </c>
      <c r="F1357" s="714"/>
      <c r="G1357" s="714"/>
      <c r="H1357" s="714"/>
      <c r="I1357" s="714"/>
      <c r="J1357" s="714">
        <f>C1357*E1357</f>
        <v>35000</v>
      </c>
      <c r="K1357" s="714">
        <f>I1357+J1357</f>
        <v>35000</v>
      </c>
      <c r="L1357" s="714"/>
      <c r="M1357" s="714"/>
      <c r="N1357" s="714"/>
      <c r="O1357" s="753">
        <f t="shared" si="96"/>
        <v>35000</v>
      </c>
      <c r="P1357" s="754"/>
    </row>
    <row r="1358" spans="1:16" ht="17.25" customHeight="1" x14ac:dyDescent="0.25">
      <c r="A1358" s="742"/>
      <c r="B1358" s="756"/>
      <c r="C1358" s="699"/>
      <c r="D1358" s="739"/>
      <c r="E1358" s="695"/>
      <c r="F1358" s="714"/>
      <c r="G1358" s="714"/>
      <c r="H1358" s="714"/>
      <c r="I1358" s="714"/>
      <c r="J1358" s="714"/>
      <c r="K1358" s="714"/>
      <c r="L1358" s="714"/>
      <c r="M1358" s="714"/>
      <c r="N1358" s="714"/>
      <c r="O1358" s="753">
        <f t="shared" si="96"/>
        <v>0</v>
      </c>
      <c r="P1358" s="754"/>
    </row>
    <row r="1359" spans="1:16" ht="17.25" customHeight="1" x14ac:dyDescent="0.25">
      <c r="A1359" s="742">
        <v>5</v>
      </c>
      <c r="B1359" s="756" t="s">
        <v>43</v>
      </c>
      <c r="C1359" s="699"/>
      <c r="D1359" s="739"/>
      <c r="E1359" s="695"/>
      <c r="F1359" s="714"/>
      <c r="G1359" s="714"/>
      <c r="H1359" s="714"/>
      <c r="I1359" s="714"/>
      <c r="J1359" s="714"/>
      <c r="K1359" s="714"/>
      <c r="L1359" s="714"/>
      <c r="M1359" s="714"/>
      <c r="N1359" s="714"/>
      <c r="O1359" s="753">
        <f t="shared" si="96"/>
        <v>0</v>
      </c>
      <c r="P1359" s="754"/>
    </row>
    <row r="1360" spans="1:16" ht="17.25" customHeight="1" x14ac:dyDescent="0.25">
      <c r="A1360" s="742"/>
      <c r="B1360" s="756" t="s">
        <v>44</v>
      </c>
      <c r="C1360" s="699">
        <v>12</v>
      </c>
      <c r="D1360" s="739" t="s">
        <v>45</v>
      </c>
      <c r="E1360" s="695">
        <v>7500</v>
      </c>
      <c r="F1360" s="714"/>
      <c r="G1360" s="714"/>
      <c r="H1360" s="714"/>
      <c r="I1360" s="714"/>
      <c r="J1360" s="714">
        <f>C1360*E1360</f>
        <v>90000</v>
      </c>
      <c r="K1360" s="714">
        <f>I1360+J1360</f>
        <v>90000</v>
      </c>
      <c r="L1360" s="714"/>
      <c r="M1360" s="714"/>
      <c r="N1360" s="714"/>
      <c r="O1360" s="753">
        <f t="shared" si="96"/>
        <v>90000</v>
      </c>
      <c r="P1360" s="754"/>
    </row>
    <row r="1361" spans="1:89" ht="17.25" customHeight="1" x14ac:dyDescent="0.25">
      <c r="A1361" s="742"/>
      <c r="B1361" s="756"/>
      <c r="C1361" s="699"/>
      <c r="D1361" s="739"/>
      <c r="E1361" s="695"/>
      <c r="F1361" s="714"/>
      <c r="G1361" s="714"/>
      <c r="H1361" s="714"/>
      <c r="I1361" s="714"/>
      <c r="J1361" s="714"/>
      <c r="K1361" s="714"/>
      <c r="L1361" s="714"/>
      <c r="M1361" s="714"/>
      <c r="N1361" s="714"/>
      <c r="O1361" s="753">
        <f t="shared" si="96"/>
        <v>0</v>
      </c>
      <c r="P1361" s="754"/>
    </row>
    <row r="1362" spans="1:89" ht="17.25" customHeight="1" x14ac:dyDescent="0.25">
      <c r="A1362" s="742">
        <v>6</v>
      </c>
      <c r="B1362" s="756" t="s">
        <v>48</v>
      </c>
      <c r="C1362" s="699"/>
      <c r="D1362" s="739"/>
      <c r="E1362" s="695" t="s">
        <v>49</v>
      </c>
      <c r="F1362" s="714"/>
      <c r="G1362" s="714"/>
      <c r="H1362" s="714"/>
      <c r="I1362" s="714"/>
      <c r="J1362" s="714"/>
      <c r="K1362" s="714">
        <f>J1362+I1362</f>
        <v>0</v>
      </c>
      <c r="L1362" s="714"/>
      <c r="M1362" s="714"/>
      <c r="N1362" s="714"/>
      <c r="O1362" s="753">
        <f t="shared" si="96"/>
        <v>0</v>
      </c>
      <c r="P1362" s="754"/>
    </row>
    <row r="1363" spans="1:89" ht="17.25" customHeight="1" x14ac:dyDescent="0.25">
      <c r="A1363" s="742"/>
      <c r="B1363" s="756" t="s">
        <v>50</v>
      </c>
      <c r="C1363" s="699">
        <v>50</v>
      </c>
      <c r="D1363" s="739" t="s">
        <v>51</v>
      </c>
      <c r="E1363" s="695">
        <v>2848</v>
      </c>
      <c r="F1363" s="714"/>
      <c r="G1363" s="714"/>
      <c r="H1363" s="714"/>
      <c r="I1363" s="714"/>
      <c r="J1363" s="714">
        <f>C1363*E1363</f>
        <v>142400</v>
      </c>
      <c r="K1363" s="714">
        <f>I1363+J1363</f>
        <v>142400</v>
      </c>
      <c r="L1363" s="714"/>
      <c r="M1363" s="714"/>
      <c r="N1363" s="714"/>
      <c r="O1363" s="753">
        <f t="shared" si="96"/>
        <v>142400</v>
      </c>
      <c r="P1363" s="754"/>
    </row>
    <row r="1364" spans="1:89" ht="17.25" customHeight="1" x14ac:dyDescent="0.25">
      <c r="A1364" s="742"/>
      <c r="B1364" s="756" t="s">
        <v>52</v>
      </c>
      <c r="C1364" s="699">
        <v>60</v>
      </c>
      <c r="D1364" s="739" t="s">
        <v>53</v>
      </c>
      <c r="E1364" s="695">
        <v>450</v>
      </c>
      <c r="F1364" s="714"/>
      <c r="G1364" s="714"/>
      <c r="H1364" s="714"/>
      <c r="I1364" s="714"/>
      <c r="J1364" s="714">
        <f>C1364*E1364</f>
        <v>27000</v>
      </c>
      <c r="K1364" s="714">
        <f>I1364+J1364</f>
        <v>27000</v>
      </c>
      <c r="L1364" s="714"/>
      <c r="M1364" s="714"/>
      <c r="N1364" s="714"/>
      <c r="O1364" s="753">
        <f t="shared" si="96"/>
        <v>27000</v>
      </c>
      <c r="P1364" s="754"/>
    </row>
    <row r="1365" spans="1:89" ht="17.25" customHeight="1" x14ac:dyDescent="0.25">
      <c r="A1365" s="742"/>
      <c r="B1365" s="756" t="s">
        <v>54</v>
      </c>
      <c r="C1365" s="699">
        <v>80</v>
      </c>
      <c r="D1365" s="739" t="s">
        <v>55</v>
      </c>
      <c r="E1365" s="695">
        <v>450</v>
      </c>
      <c r="F1365" s="714"/>
      <c r="G1365" s="714"/>
      <c r="H1365" s="714"/>
      <c r="I1365" s="714"/>
      <c r="J1365" s="714">
        <f>C1365*E1365</f>
        <v>36000</v>
      </c>
      <c r="K1365" s="714">
        <f>I1365+J1365</f>
        <v>36000</v>
      </c>
      <c r="L1365" s="714"/>
      <c r="M1365" s="714"/>
      <c r="N1365" s="714"/>
      <c r="O1365" s="753">
        <f t="shared" si="96"/>
        <v>36000</v>
      </c>
      <c r="P1365" s="754"/>
    </row>
    <row r="1366" spans="1:89" ht="17.25" customHeight="1" x14ac:dyDescent="0.25">
      <c r="A1366" s="742"/>
      <c r="B1366" s="756" t="s">
        <v>56</v>
      </c>
      <c r="C1366" s="699">
        <v>70</v>
      </c>
      <c r="D1366" s="739" t="s">
        <v>55</v>
      </c>
      <c r="E1366" s="695">
        <v>350</v>
      </c>
      <c r="F1366" s="714"/>
      <c r="G1366" s="714"/>
      <c r="H1366" s="714"/>
      <c r="I1366" s="714"/>
      <c r="J1366" s="714">
        <f>C1366*E1366</f>
        <v>24500</v>
      </c>
      <c r="K1366" s="714">
        <f>I1366+J1366</f>
        <v>24500</v>
      </c>
      <c r="L1366" s="714"/>
      <c r="M1366" s="714"/>
      <c r="N1366" s="714"/>
      <c r="O1366" s="753">
        <f t="shared" si="96"/>
        <v>24500</v>
      </c>
      <c r="P1366" s="754"/>
    </row>
    <row r="1367" spans="1:89" ht="17.25" customHeight="1" x14ac:dyDescent="0.25">
      <c r="A1367" s="742"/>
      <c r="B1367" s="756"/>
      <c r="C1367" s="699"/>
      <c r="D1367" s="739"/>
      <c r="E1367" s="695"/>
      <c r="F1367" s="714"/>
      <c r="G1367" s="714"/>
      <c r="H1367" s="714"/>
      <c r="I1367" s="714"/>
      <c r="J1367" s="714"/>
      <c r="K1367" s="714"/>
      <c r="L1367" s="714"/>
      <c r="M1367" s="714"/>
      <c r="N1367" s="714"/>
      <c r="O1367" s="753"/>
      <c r="P1367" s="754"/>
    </row>
    <row r="1368" spans="1:89" ht="17.25" customHeight="1" x14ac:dyDescent="0.25">
      <c r="A1368" s="820"/>
      <c r="B1368" s="894"/>
      <c r="C1368" s="830"/>
      <c r="D1368" s="831"/>
      <c r="E1368" s="821"/>
      <c r="F1368" s="821"/>
      <c r="G1368" s="821"/>
      <c r="H1368" s="821"/>
      <c r="I1368" s="821"/>
      <c r="J1368" s="821"/>
      <c r="K1368" s="821"/>
      <c r="L1368" s="821"/>
      <c r="M1368" s="821"/>
      <c r="N1368" s="821"/>
      <c r="O1368" s="822"/>
      <c r="P1368" s="687"/>
    </row>
    <row r="1369" spans="1:89" ht="24.75" customHeight="1" x14ac:dyDescent="0.25">
      <c r="A1369" s="1352">
        <v>25</v>
      </c>
      <c r="B1369" s="1367" t="s">
        <v>160</v>
      </c>
      <c r="C1369" s="1212"/>
      <c r="D1369" s="1213"/>
      <c r="E1369" s="1214"/>
      <c r="F1369" s="1290">
        <f>F1371+F1388+F1397+F1411+F1385+F1394</f>
        <v>0</v>
      </c>
      <c r="G1369" s="1290">
        <f>G1371+G1388+G1397+G1411+G1385+G1394</f>
        <v>0</v>
      </c>
      <c r="H1369" s="1214">
        <f>G1369+F1369</f>
        <v>0</v>
      </c>
      <c r="I1369" s="1290">
        <f>I1371+I1388+I1397+I1411+I1385+I1394</f>
        <v>0</v>
      </c>
      <c r="J1369" s="1290">
        <f>J1371+J1388+J1397+J1411+J1385+J1394</f>
        <v>3186350</v>
      </c>
      <c r="K1369" s="1214">
        <f>J1369+I1369</f>
        <v>3186350</v>
      </c>
      <c r="L1369" s="1290">
        <f>L1371+L1388+L1397+L1411+L1385+L1394</f>
        <v>48040000</v>
      </c>
      <c r="M1369" s="1290">
        <f>M1371+M1388+M1397+M1411+M1385+M1394</f>
        <v>0</v>
      </c>
      <c r="N1369" s="1214">
        <f>M1369+L1369</f>
        <v>48040000</v>
      </c>
      <c r="O1369" s="1215">
        <f>N1369+K1369+H1369</f>
        <v>51226350</v>
      </c>
      <c r="P1369" s="680"/>
    </row>
    <row r="1370" spans="1:89" ht="17.25" customHeight="1" x14ac:dyDescent="0.25">
      <c r="A1370" s="730"/>
      <c r="B1370" s="873"/>
      <c r="C1370" s="682"/>
      <c r="D1370" s="683"/>
      <c r="E1370" s="685"/>
      <c r="F1370" s="685"/>
      <c r="G1370" s="685"/>
      <c r="H1370" s="685"/>
      <c r="I1370" s="685"/>
      <c r="J1370" s="685"/>
      <c r="K1370" s="685"/>
      <c r="L1370" s="685"/>
      <c r="M1370" s="685"/>
      <c r="N1370" s="685"/>
      <c r="O1370" s="686">
        <f t="shared" ref="O1370:O1379" si="97">N1370+K1370+H1370</f>
        <v>0</v>
      </c>
      <c r="P1370" s="687"/>
    </row>
    <row r="1371" spans="1:89" s="672" customFormat="1" ht="33.75" customHeight="1" x14ac:dyDescent="0.25">
      <c r="A1371" s="737" t="s">
        <v>15</v>
      </c>
      <c r="B1371" s="1372" t="s">
        <v>1156</v>
      </c>
      <c r="C1371" s="828"/>
      <c r="D1371" s="738"/>
      <c r="E1371" s="705"/>
      <c r="F1371" s="874">
        <f>SUM(F1372:F1383)</f>
        <v>0</v>
      </c>
      <c r="G1371" s="874">
        <f>SUM(G1372:G1383)</f>
        <v>0</v>
      </c>
      <c r="H1371" s="705">
        <f>F1371+G1371</f>
        <v>0</v>
      </c>
      <c r="I1371" s="874">
        <f>SUM(I1372:I1383)</f>
        <v>0</v>
      </c>
      <c r="J1371" s="874">
        <f>SUM(J1372:J1383)</f>
        <v>0</v>
      </c>
      <c r="K1371" s="705">
        <f>I1371+J1371</f>
        <v>0</v>
      </c>
      <c r="L1371" s="874">
        <f>SUM(L1372:L1383)</f>
        <v>48000000</v>
      </c>
      <c r="M1371" s="874">
        <f>SUM(M1372:M1383)</f>
        <v>0</v>
      </c>
      <c r="N1371" s="705">
        <f>L1371+M1371</f>
        <v>48000000</v>
      </c>
      <c r="O1371" s="1370">
        <f t="shared" si="97"/>
        <v>48000000</v>
      </c>
      <c r="P1371" s="829"/>
      <c r="Q1371" s="1581"/>
      <c r="R1371" s="1581"/>
      <c r="S1371" s="1581"/>
      <c r="T1371" s="1581"/>
      <c r="U1371" s="1581"/>
      <c r="V1371" s="1581"/>
      <c r="W1371" s="1581"/>
      <c r="X1371" s="1581"/>
      <c r="Y1371" s="1581"/>
      <c r="Z1371" s="1581"/>
      <c r="AA1371" s="1581"/>
      <c r="AB1371" s="1581"/>
      <c r="AC1371" s="1581"/>
      <c r="AD1371" s="1581"/>
      <c r="AE1371" s="1581"/>
      <c r="AF1371" s="1581"/>
      <c r="AG1371" s="1581"/>
      <c r="AH1371" s="1581"/>
      <c r="AI1371" s="1581"/>
      <c r="AJ1371" s="1581"/>
      <c r="AK1371" s="1581"/>
      <c r="AL1371" s="1581"/>
      <c r="AM1371" s="1581"/>
      <c r="AN1371" s="1581"/>
      <c r="AO1371" s="1581"/>
      <c r="AP1371" s="1581"/>
      <c r="AQ1371" s="1581"/>
      <c r="AR1371" s="1581"/>
      <c r="AS1371" s="1581"/>
      <c r="AT1371" s="1581"/>
      <c r="AU1371" s="1581"/>
      <c r="AV1371" s="1581"/>
      <c r="AW1371" s="1581"/>
      <c r="AX1371" s="1581"/>
      <c r="AY1371" s="1581"/>
      <c r="AZ1371" s="1581"/>
      <c r="BA1371" s="1581"/>
      <c r="BB1371" s="1581"/>
      <c r="BC1371" s="1581"/>
      <c r="BD1371" s="1581"/>
      <c r="BE1371" s="1581"/>
      <c r="BF1371" s="1581"/>
      <c r="BG1371" s="1581"/>
      <c r="BH1371" s="1581"/>
      <c r="BI1371" s="1581"/>
      <c r="BJ1371" s="1581"/>
      <c r="BK1371" s="1581"/>
      <c r="BL1371" s="1581"/>
      <c r="BM1371" s="1581"/>
      <c r="BN1371" s="1581"/>
      <c r="BO1371" s="1581"/>
      <c r="BP1371" s="1581"/>
      <c r="BQ1371" s="1581"/>
      <c r="BR1371" s="1581"/>
      <c r="BS1371" s="1581"/>
      <c r="BT1371" s="1581"/>
      <c r="BU1371" s="1581"/>
      <c r="BV1371" s="1581"/>
      <c r="BW1371" s="1581"/>
      <c r="BX1371" s="1581"/>
      <c r="BY1371" s="1581"/>
      <c r="BZ1371" s="1581"/>
      <c r="CA1371" s="1581"/>
      <c r="CB1371" s="1581"/>
      <c r="CC1371" s="1581"/>
      <c r="CD1371" s="1581"/>
      <c r="CE1371" s="1581"/>
      <c r="CF1371" s="1581"/>
      <c r="CG1371" s="1581"/>
      <c r="CH1371" s="1581"/>
      <c r="CI1371" s="1581"/>
      <c r="CJ1371" s="1581"/>
      <c r="CK1371" s="1581"/>
    </row>
    <row r="1372" spans="1:89" ht="22.5" customHeight="1" x14ac:dyDescent="0.25">
      <c r="A1372" s="692">
        <v>1</v>
      </c>
      <c r="B1372" s="1523" t="s">
        <v>698</v>
      </c>
      <c r="C1372" s="713">
        <v>1</v>
      </c>
      <c r="D1372" s="739" t="s">
        <v>16</v>
      </c>
      <c r="E1372" s="695">
        <v>4000000</v>
      </c>
      <c r="F1372" s="695"/>
      <c r="G1372" s="695"/>
      <c r="H1372" s="695"/>
      <c r="I1372" s="695"/>
      <c r="J1372" s="695"/>
      <c r="K1372" s="695"/>
      <c r="L1372" s="695">
        <f t="shared" ref="L1372:L1379" si="98">C1372*E1372</f>
        <v>4000000</v>
      </c>
      <c r="M1372" s="695"/>
      <c r="N1372" s="695">
        <f t="shared" ref="N1372:N1379" si="99">L1372+M1372</f>
        <v>4000000</v>
      </c>
      <c r="O1372" s="696">
        <f t="shared" si="97"/>
        <v>4000000</v>
      </c>
      <c r="P1372" s="687">
        <f>5000000-818213</f>
        <v>4181787</v>
      </c>
    </row>
    <row r="1373" spans="1:89" ht="17.25" customHeight="1" x14ac:dyDescent="0.25">
      <c r="A1373" s="692">
        <v>2</v>
      </c>
      <c r="B1373" s="1522" t="s">
        <v>696</v>
      </c>
      <c r="C1373" s="713">
        <v>1</v>
      </c>
      <c r="D1373" s="739" t="s">
        <v>16</v>
      </c>
      <c r="E1373" s="695">
        <v>4000000</v>
      </c>
      <c r="F1373" s="714"/>
      <c r="G1373" s="714"/>
      <c r="H1373" s="714"/>
      <c r="I1373" s="714"/>
      <c r="J1373" s="714"/>
      <c r="K1373" s="714"/>
      <c r="L1373" s="714">
        <f t="shared" si="98"/>
        <v>4000000</v>
      </c>
      <c r="M1373" s="714"/>
      <c r="N1373" s="714">
        <f t="shared" si="99"/>
        <v>4000000</v>
      </c>
      <c r="O1373" s="753">
        <f t="shared" si="97"/>
        <v>4000000</v>
      </c>
      <c r="P1373" s="754"/>
    </row>
    <row r="1374" spans="1:89" ht="17.25" customHeight="1" x14ac:dyDescent="0.25">
      <c r="A1374" s="692">
        <v>3</v>
      </c>
      <c r="B1374" s="1522" t="s">
        <v>697</v>
      </c>
      <c r="C1374" s="713">
        <v>1</v>
      </c>
      <c r="D1374" s="739" t="s">
        <v>16</v>
      </c>
      <c r="E1374" s="695">
        <v>4000000</v>
      </c>
      <c r="F1374" s="714"/>
      <c r="G1374" s="714"/>
      <c r="H1374" s="714"/>
      <c r="I1374" s="714"/>
      <c r="J1374" s="714"/>
      <c r="K1374" s="714"/>
      <c r="L1374" s="714">
        <f t="shared" si="98"/>
        <v>4000000</v>
      </c>
      <c r="M1374" s="714"/>
      <c r="N1374" s="714">
        <f t="shared" si="99"/>
        <v>4000000</v>
      </c>
      <c r="O1374" s="753">
        <f t="shared" si="97"/>
        <v>4000000</v>
      </c>
      <c r="P1374" s="754"/>
    </row>
    <row r="1375" spans="1:89" ht="17.25" customHeight="1" x14ac:dyDescent="0.25">
      <c r="A1375" s="692">
        <v>4</v>
      </c>
      <c r="B1375" s="1522" t="s">
        <v>699</v>
      </c>
      <c r="C1375" s="713">
        <v>1</v>
      </c>
      <c r="D1375" s="739" t="s">
        <v>16</v>
      </c>
      <c r="E1375" s="695">
        <v>2000000</v>
      </c>
      <c r="F1375" s="714"/>
      <c r="G1375" s="714"/>
      <c r="H1375" s="714"/>
      <c r="I1375" s="714"/>
      <c r="J1375" s="714"/>
      <c r="K1375" s="714"/>
      <c r="L1375" s="714">
        <f t="shared" si="98"/>
        <v>2000000</v>
      </c>
      <c r="M1375" s="714"/>
      <c r="N1375" s="714">
        <f t="shared" si="99"/>
        <v>2000000</v>
      </c>
      <c r="O1375" s="753">
        <f t="shared" si="97"/>
        <v>2000000</v>
      </c>
      <c r="P1375" s="754"/>
    </row>
    <row r="1376" spans="1:89" ht="17.25" customHeight="1" x14ac:dyDescent="0.25">
      <c r="A1376" s="692">
        <v>5</v>
      </c>
      <c r="B1376" s="1524" t="s">
        <v>700</v>
      </c>
      <c r="C1376" s="713">
        <v>1</v>
      </c>
      <c r="D1376" s="739" t="s">
        <v>16</v>
      </c>
      <c r="E1376" s="695">
        <v>4000000</v>
      </c>
      <c r="F1376" s="714"/>
      <c r="G1376" s="714"/>
      <c r="H1376" s="714"/>
      <c r="I1376" s="714"/>
      <c r="J1376" s="714"/>
      <c r="K1376" s="714"/>
      <c r="L1376" s="714">
        <f t="shared" si="98"/>
        <v>4000000</v>
      </c>
      <c r="M1376" s="714"/>
      <c r="N1376" s="714">
        <f t="shared" si="99"/>
        <v>4000000</v>
      </c>
      <c r="O1376" s="753">
        <f t="shared" si="97"/>
        <v>4000000</v>
      </c>
      <c r="P1376" s="754"/>
    </row>
    <row r="1377" spans="1:89" ht="17.25" customHeight="1" x14ac:dyDescent="0.25">
      <c r="A1377" s="692">
        <v>6</v>
      </c>
      <c r="B1377" s="1524" t="s">
        <v>701</v>
      </c>
      <c r="C1377" s="713">
        <v>1</v>
      </c>
      <c r="D1377" s="739" t="s">
        <v>16</v>
      </c>
      <c r="E1377" s="695">
        <v>10000000</v>
      </c>
      <c r="F1377" s="714"/>
      <c r="G1377" s="714"/>
      <c r="H1377" s="714"/>
      <c r="I1377" s="714"/>
      <c r="J1377" s="714"/>
      <c r="K1377" s="714"/>
      <c r="L1377" s="714">
        <f t="shared" si="98"/>
        <v>10000000</v>
      </c>
      <c r="M1377" s="714"/>
      <c r="N1377" s="714">
        <f t="shared" si="99"/>
        <v>10000000</v>
      </c>
      <c r="O1377" s="753">
        <f t="shared" si="97"/>
        <v>10000000</v>
      </c>
      <c r="P1377" s="754"/>
    </row>
    <row r="1378" spans="1:89" ht="17.25" customHeight="1" x14ac:dyDescent="0.25">
      <c r="A1378" s="692">
        <v>7</v>
      </c>
      <c r="B1378" s="1524" t="s">
        <v>2311</v>
      </c>
      <c r="C1378" s="713">
        <v>1</v>
      </c>
      <c r="D1378" s="739" t="s">
        <v>16</v>
      </c>
      <c r="E1378" s="695">
        <f>2000000+2000000</f>
        <v>4000000</v>
      </c>
      <c r="F1378" s="714"/>
      <c r="G1378" s="714"/>
      <c r="H1378" s="714"/>
      <c r="I1378" s="714"/>
      <c r="J1378" s="714"/>
      <c r="K1378" s="714"/>
      <c r="L1378" s="714">
        <f t="shared" si="98"/>
        <v>4000000</v>
      </c>
      <c r="M1378" s="714"/>
      <c r="N1378" s="714">
        <f t="shared" si="99"/>
        <v>4000000</v>
      </c>
      <c r="O1378" s="753">
        <f t="shared" si="97"/>
        <v>4000000</v>
      </c>
      <c r="P1378" s="754"/>
    </row>
    <row r="1379" spans="1:89" ht="17.25" customHeight="1" x14ac:dyDescent="0.25">
      <c r="A1379" s="692">
        <v>8</v>
      </c>
      <c r="B1379" s="1525" t="s">
        <v>2312</v>
      </c>
      <c r="C1379" s="713">
        <v>1</v>
      </c>
      <c r="D1379" s="739" t="s">
        <v>16</v>
      </c>
      <c r="E1379" s="695">
        <v>4000000</v>
      </c>
      <c r="F1379" s="714"/>
      <c r="G1379" s="714"/>
      <c r="H1379" s="714"/>
      <c r="I1379" s="714"/>
      <c r="J1379" s="714"/>
      <c r="K1379" s="714"/>
      <c r="L1379" s="714">
        <f t="shared" si="98"/>
        <v>4000000</v>
      </c>
      <c r="M1379" s="714"/>
      <c r="N1379" s="714">
        <f t="shared" si="99"/>
        <v>4000000</v>
      </c>
      <c r="O1379" s="753">
        <f t="shared" si="97"/>
        <v>4000000</v>
      </c>
      <c r="P1379" s="754"/>
    </row>
    <row r="1380" spans="1:89" ht="17.25" customHeight="1" x14ac:dyDescent="0.25">
      <c r="A1380" s="692">
        <v>9</v>
      </c>
      <c r="B1380" s="1525" t="s">
        <v>2313</v>
      </c>
      <c r="C1380" s="713">
        <v>1</v>
      </c>
      <c r="D1380" s="739" t="s">
        <v>16</v>
      </c>
      <c r="E1380" s="695">
        <v>4000000</v>
      </c>
      <c r="F1380" s="714"/>
      <c r="G1380" s="714"/>
      <c r="H1380" s="714"/>
      <c r="I1380" s="714"/>
      <c r="J1380" s="714"/>
      <c r="K1380" s="714"/>
      <c r="L1380" s="714">
        <f>C1380*E1380</f>
        <v>4000000</v>
      </c>
      <c r="M1380" s="714"/>
      <c r="N1380" s="714">
        <f>L1380+M1380</f>
        <v>4000000</v>
      </c>
      <c r="O1380" s="753">
        <f>N1380+K1380+H1380</f>
        <v>4000000</v>
      </c>
      <c r="P1380" s="754"/>
    </row>
    <row r="1381" spans="1:89" ht="17.25" customHeight="1" x14ac:dyDescent="0.25">
      <c r="A1381" s="692">
        <v>10</v>
      </c>
      <c r="B1381" s="1525" t="s">
        <v>2314</v>
      </c>
      <c r="C1381" s="713">
        <v>1</v>
      </c>
      <c r="D1381" s="739" t="s">
        <v>16</v>
      </c>
      <c r="E1381" s="695">
        <v>4000000</v>
      </c>
      <c r="F1381" s="714"/>
      <c r="G1381" s="714"/>
      <c r="H1381" s="714"/>
      <c r="I1381" s="714"/>
      <c r="J1381" s="714"/>
      <c r="K1381" s="714"/>
      <c r="L1381" s="714">
        <f>C1381*E1381</f>
        <v>4000000</v>
      </c>
      <c r="M1381" s="714"/>
      <c r="N1381" s="714">
        <f>L1381+M1381</f>
        <v>4000000</v>
      </c>
      <c r="O1381" s="753">
        <f>N1381+K1381+H1381</f>
        <v>4000000</v>
      </c>
      <c r="P1381" s="754"/>
    </row>
    <row r="1382" spans="1:89" ht="17.25" customHeight="1" x14ac:dyDescent="0.25">
      <c r="A1382" s="692">
        <v>11</v>
      </c>
      <c r="B1382" s="1526" t="s">
        <v>2315</v>
      </c>
      <c r="C1382" s="744">
        <v>1</v>
      </c>
      <c r="D1382" s="1424" t="s">
        <v>16</v>
      </c>
      <c r="E1382" s="1527">
        <f>4000000</f>
        <v>4000000</v>
      </c>
      <c r="F1382" s="695"/>
      <c r="G1382" s="695"/>
      <c r="H1382" s="695"/>
      <c r="I1382" s="695"/>
      <c r="J1382" s="695"/>
      <c r="K1382" s="1400"/>
      <c r="L1382" s="1400">
        <f>E1382*C1382</f>
        <v>4000000</v>
      </c>
      <c r="M1382" s="1400"/>
      <c r="N1382" s="1450">
        <f>L1382+M1382</f>
        <v>4000000</v>
      </c>
      <c r="O1382" s="696">
        <f>N1382+K1382+H1382</f>
        <v>4000000</v>
      </c>
      <c r="P1382" s="687"/>
    </row>
    <row r="1383" spans="1:89" ht="17.25" customHeight="1" x14ac:dyDescent="0.25">
      <c r="A1383" s="740"/>
      <c r="B1383" s="741"/>
      <c r="C1383" s="828"/>
      <c r="D1383" s="738"/>
      <c r="E1383" s="705"/>
      <c r="F1383" s="705"/>
      <c r="G1383" s="705"/>
      <c r="H1383" s="705"/>
      <c r="I1383" s="705"/>
      <c r="J1383" s="705"/>
      <c r="K1383" s="705"/>
      <c r="L1383" s="705"/>
      <c r="M1383" s="705"/>
      <c r="N1383" s="705"/>
      <c r="O1383" s="1370"/>
      <c r="P1383" s="829"/>
    </row>
    <row r="1384" spans="1:89" ht="17.25" hidden="1" customHeight="1" x14ac:dyDescent="0.25">
      <c r="A1384" s="692"/>
      <c r="B1384" s="756"/>
      <c r="C1384" s="713"/>
      <c r="D1384" s="880"/>
      <c r="E1384" s="714"/>
      <c r="F1384" s="714"/>
      <c r="G1384" s="714"/>
      <c r="H1384" s="714"/>
      <c r="I1384" s="714"/>
      <c r="J1384" s="714"/>
      <c r="K1384" s="714"/>
      <c r="L1384" s="714"/>
      <c r="M1384" s="714"/>
      <c r="N1384" s="714"/>
      <c r="O1384" s="753"/>
      <c r="P1384" s="754"/>
    </row>
    <row r="1385" spans="1:89" s="672" customFormat="1" ht="17.25" hidden="1" customHeight="1" x14ac:dyDescent="0.25">
      <c r="A1385" s="740"/>
      <c r="B1385" s="752" t="s">
        <v>1796</v>
      </c>
      <c r="C1385" s="886"/>
      <c r="D1385" s="1403"/>
      <c r="E1385" s="874"/>
      <c r="F1385" s="874">
        <f>SUM(F1386:F1386)</f>
        <v>0</v>
      </c>
      <c r="G1385" s="874">
        <f>SUM(G1386:G1386)</f>
        <v>0</v>
      </c>
      <c r="H1385" s="874">
        <f>G1385+F1385</f>
        <v>0</v>
      </c>
      <c r="I1385" s="874">
        <f>SUM(I1386:I1386)</f>
        <v>0</v>
      </c>
      <c r="J1385" s="874">
        <f>SUM(J1386:J1386)</f>
        <v>0</v>
      </c>
      <c r="K1385" s="874">
        <f>J1385+I1385</f>
        <v>0</v>
      </c>
      <c r="L1385" s="874"/>
      <c r="M1385" s="874"/>
      <c r="N1385" s="874"/>
      <c r="O1385" s="775">
        <f t="shared" ref="O1385:O1392" si="100">N1385+K1385+H1385</f>
        <v>0</v>
      </c>
      <c r="P1385" s="776"/>
      <c r="Q1385" s="1581"/>
      <c r="R1385" s="1581"/>
      <c r="S1385" s="1581"/>
      <c r="T1385" s="1581"/>
      <c r="U1385" s="1581"/>
      <c r="V1385" s="1581"/>
      <c r="W1385" s="1581"/>
      <c r="X1385" s="1581"/>
      <c r="Y1385" s="1581"/>
      <c r="Z1385" s="1581"/>
      <c r="AA1385" s="1581"/>
      <c r="AB1385" s="1581"/>
      <c r="AC1385" s="1581"/>
      <c r="AD1385" s="1581"/>
      <c r="AE1385" s="1581"/>
      <c r="AF1385" s="1581"/>
      <c r="AG1385" s="1581"/>
      <c r="AH1385" s="1581"/>
      <c r="AI1385" s="1581"/>
      <c r="AJ1385" s="1581"/>
      <c r="AK1385" s="1581"/>
      <c r="AL1385" s="1581"/>
      <c r="AM1385" s="1581"/>
      <c r="AN1385" s="1581"/>
      <c r="AO1385" s="1581"/>
      <c r="AP1385" s="1581"/>
      <c r="AQ1385" s="1581"/>
      <c r="AR1385" s="1581"/>
      <c r="AS1385" s="1581"/>
      <c r="AT1385" s="1581"/>
      <c r="AU1385" s="1581"/>
      <c r="AV1385" s="1581"/>
      <c r="AW1385" s="1581"/>
      <c r="AX1385" s="1581"/>
      <c r="AY1385" s="1581"/>
      <c r="AZ1385" s="1581"/>
      <c r="BA1385" s="1581"/>
      <c r="BB1385" s="1581"/>
      <c r="BC1385" s="1581"/>
      <c r="BD1385" s="1581"/>
      <c r="BE1385" s="1581"/>
      <c r="BF1385" s="1581"/>
      <c r="BG1385" s="1581"/>
      <c r="BH1385" s="1581"/>
      <c r="BI1385" s="1581"/>
      <c r="BJ1385" s="1581"/>
      <c r="BK1385" s="1581"/>
      <c r="BL1385" s="1581"/>
      <c r="BM1385" s="1581"/>
      <c r="BN1385" s="1581"/>
      <c r="BO1385" s="1581"/>
      <c r="BP1385" s="1581"/>
      <c r="BQ1385" s="1581"/>
      <c r="BR1385" s="1581"/>
      <c r="BS1385" s="1581"/>
      <c r="BT1385" s="1581"/>
      <c r="BU1385" s="1581"/>
      <c r="BV1385" s="1581"/>
      <c r="BW1385" s="1581"/>
      <c r="BX1385" s="1581"/>
      <c r="BY1385" s="1581"/>
      <c r="BZ1385" s="1581"/>
      <c r="CA1385" s="1581"/>
      <c r="CB1385" s="1581"/>
      <c r="CC1385" s="1581"/>
      <c r="CD1385" s="1581"/>
      <c r="CE1385" s="1581"/>
      <c r="CF1385" s="1581"/>
      <c r="CG1385" s="1581"/>
      <c r="CH1385" s="1581"/>
      <c r="CI1385" s="1581"/>
      <c r="CJ1385" s="1581"/>
      <c r="CK1385" s="1581"/>
    </row>
    <row r="1386" spans="1:89" ht="17.25" hidden="1" customHeight="1" x14ac:dyDescent="0.2">
      <c r="A1386" s="692">
        <v>1</v>
      </c>
      <c r="B1386" s="1528" t="s">
        <v>1797</v>
      </c>
      <c r="C1386" s="713">
        <f>1*0</f>
        <v>0</v>
      </c>
      <c r="D1386" s="880" t="s">
        <v>16</v>
      </c>
      <c r="E1386" s="714">
        <f>2250000*0</f>
        <v>0</v>
      </c>
      <c r="F1386" s="714"/>
      <c r="G1386" s="714"/>
      <c r="H1386" s="714"/>
      <c r="I1386" s="714"/>
      <c r="J1386" s="714">
        <f>C1386*E1386</f>
        <v>0</v>
      </c>
      <c r="K1386" s="714">
        <f>I1386+J1386</f>
        <v>0</v>
      </c>
      <c r="L1386" s="714"/>
      <c r="M1386" s="714"/>
      <c r="N1386" s="714"/>
      <c r="O1386" s="753">
        <f t="shared" si="100"/>
        <v>0</v>
      </c>
      <c r="P1386" s="754"/>
    </row>
    <row r="1387" spans="1:89" ht="17.25" customHeight="1" x14ac:dyDescent="0.2">
      <c r="A1387" s="692"/>
      <c r="B1387" s="1528"/>
      <c r="C1387" s="713"/>
      <c r="D1387" s="880"/>
      <c r="E1387" s="714"/>
      <c r="F1387" s="714"/>
      <c r="G1387" s="714"/>
      <c r="H1387" s="714"/>
      <c r="I1387" s="714"/>
      <c r="J1387" s="714"/>
      <c r="K1387" s="714"/>
      <c r="L1387" s="714"/>
      <c r="M1387" s="714"/>
      <c r="N1387" s="714"/>
      <c r="O1387" s="753">
        <f t="shared" si="100"/>
        <v>0</v>
      </c>
      <c r="P1387" s="754"/>
    </row>
    <row r="1388" spans="1:89" s="672" customFormat="1" ht="17.25" customHeight="1" x14ac:dyDescent="0.2">
      <c r="A1388" s="740"/>
      <c r="B1388" s="1529" t="s">
        <v>2294</v>
      </c>
      <c r="C1388" s="886"/>
      <c r="D1388" s="1403"/>
      <c r="E1388" s="874"/>
      <c r="F1388" s="874">
        <f>SUM(F1389:F1392)</f>
        <v>0</v>
      </c>
      <c r="G1388" s="874">
        <f>SUM(G1389:G1392)</f>
        <v>0</v>
      </c>
      <c r="H1388" s="874">
        <f>G1388+F1388</f>
        <v>0</v>
      </c>
      <c r="I1388" s="874">
        <f>SUM(I1389:I1392)</f>
        <v>0</v>
      </c>
      <c r="J1388" s="874">
        <f>SUM(J1389:J1392)</f>
        <v>72800</v>
      </c>
      <c r="K1388" s="874">
        <f>J1388+I1388</f>
        <v>72800</v>
      </c>
      <c r="L1388" s="874">
        <f>SUM(L1389:L1392)</f>
        <v>40000</v>
      </c>
      <c r="M1388" s="874">
        <f>SUM(M1389:M1392)</f>
        <v>0</v>
      </c>
      <c r="N1388" s="874">
        <f>M1388+L1388</f>
        <v>40000</v>
      </c>
      <c r="O1388" s="775">
        <f t="shared" si="100"/>
        <v>112800</v>
      </c>
      <c r="P1388" s="776"/>
      <c r="Q1388" s="1581"/>
      <c r="R1388" s="1581"/>
      <c r="S1388" s="1581"/>
      <c r="T1388" s="1581"/>
      <c r="U1388" s="1581"/>
      <c r="V1388" s="1581"/>
      <c r="W1388" s="1581"/>
      <c r="X1388" s="1581"/>
      <c r="Y1388" s="1581"/>
      <c r="Z1388" s="1581"/>
      <c r="AA1388" s="1581"/>
      <c r="AB1388" s="1581"/>
      <c r="AC1388" s="1581"/>
      <c r="AD1388" s="1581"/>
      <c r="AE1388" s="1581"/>
      <c r="AF1388" s="1581"/>
      <c r="AG1388" s="1581"/>
      <c r="AH1388" s="1581"/>
      <c r="AI1388" s="1581"/>
      <c r="AJ1388" s="1581"/>
      <c r="AK1388" s="1581"/>
      <c r="AL1388" s="1581"/>
      <c r="AM1388" s="1581"/>
      <c r="AN1388" s="1581"/>
      <c r="AO1388" s="1581"/>
      <c r="AP1388" s="1581"/>
      <c r="AQ1388" s="1581"/>
      <c r="AR1388" s="1581"/>
      <c r="AS1388" s="1581"/>
      <c r="AT1388" s="1581"/>
      <c r="AU1388" s="1581"/>
      <c r="AV1388" s="1581"/>
      <c r="AW1388" s="1581"/>
      <c r="AX1388" s="1581"/>
      <c r="AY1388" s="1581"/>
      <c r="AZ1388" s="1581"/>
      <c r="BA1388" s="1581"/>
      <c r="BB1388" s="1581"/>
      <c r="BC1388" s="1581"/>
      <c r="BD1388" s="1581"/>
      <c r="BE1388" s="1581"/>
      <c r="BF1388" s="1581"/>
      <c r="BG1388" s="1581"/>
      <c r="BH1388" s="1581"/>
      <c r="BI1388" s="1581"/>
      <c r="BJ1388" s="1581"/>
      <c r="BK1388" s="1581"/>
      <c r="BL1388" s="1581"/>
      <c r="BM1388" s="1581"/>
      <c r="BN1388" s="1581"/>
      <c r="BO1388" s="1581"/>
      <c r="BP1388" s="1581"/>
      <c r="BQ1388" s="1581"/>
      <c r="BR1388" s="1581"/>
      <c r="BS1388" s="1581"/>
      <c r="BT1388" s="1581"/>
      <c r="BU1388" s="1581"/>
      <c r="BV1388" s="1581"/>
      <c r="BW1388" s="1581"/>
      <c r="BX1388" s="1581"/>
      <c r="BY1388" s="1581"/>
      <c r="BZ1388" s="1581"/>
      <c r="CA1388" s="1581"/>
      <c r="CB1388" s="1581"/>
      <c r="CC1388" s="1581"/>
      <c r="CD1388" s="1581"/>
      <c r="CE1388" s="1581"/>
      <c r="CF1388" s="1581"/>
      <c r="CG1388" s="1581"/>
      <c r="CH1388" s="1581"/>
      <c r="CI1388" s="1581"/>
      <c r="CJ1388" s="1581"/>
      <c r="CK1388" s="1581"/>
    </row>
    <row r="1389" spans="1:89" ht="17.25" customHeight="1" x14ac:dyDescent="0.2">
      <c r="A1389" s="692"/>
      <c r="B1389" s="1528" t="s">
        <v>2295</v>
      </c>
      <c r="C1389" s="713">
        <v>1</v>
      </c>
      <c r="D1389" s="880" t="s">
        <v>16</v>
      </c>
      <c r="E1389" s="714">
        <v>60000</v>
      </c>
      <c r="F1389" s="714"/>
      <c r="G1389" s="714"/>
      <c r="H1389" s="714"/>
      <c r="I1389" s="714"/>
      <c r="J1389" s="714">
        <f>C1389*E1389</f>
        <v>60000</v>
      </c>
      <c r="K1389" s="714">
        <f>I1389+J1389</f>
        <v>60000</v>
      </c>
      <c r="L1389" s="714"/>
      <c r="M1389" s="714"/>
      <c r="N1389" s="714"/>
      <c r="O1389" s="753">
        <f t="shared" si="100"/>
        <v>60000</v>
      </c>
      <c r="P1389" s="754"/>
    </row>
    <row r="1390" spans="1:89" ht="17.25" customHeight="1" x14ac:dyDescent="0.2">
      <c r="A1390" s="692"/>
      <c r="B1390" s="1528" t="s">
        <v>2316</v>
      </c>
      <c r="C1390" s="713">
        <v>1</v>
      </c>
      <c r="D1390" s="880" t="s">
        <v>47</v>
      </c>
      <c r="E1390" s="714">
        <v>7800</v>
      </c>
      <c r="F1390" s="714"/>
      <c r="G1390" s="714"/>
      <c r="H1390" s="714"/>
      <c r="I1390" s="714"/>
      <c r="J1390" s="714">
        <f>C1390*E1390</f>
        <v>7800</v>
      </c>
      <c r="K1390" s="714">
        <f>I1390+J1390</f>
        <v>7800</v>
      </c>
      <c r="L1390" s="714"/>
      <c r="M1390" s="714"/>
      <c r="N1390" s="714"/>
      <c r="O1390" s="753">
        <f>N1390+K1390+H1390</f>
        <v>7800</v>
      </c>
      <c r="P1390" s="754"/>
    </row>
    <row r="1391" spans="1:89" ht="17.25" customHeight="1" x14ac:dyDescent="0.25">
      <c r="A1391" s="692"/>
      <c r="B1391" s="1526" t="s">
        <v>2296</v>
      </c>
      <c r="C1391" s="713">
        <v>1</v>
      </c>
      <c r="D1391" s="880" t="s">
        <v>16</v>
      </c>
      <c r="E1391" s="714">
        <v>5000</v>
      </c>
      <c r="F1391" s="714"/>
      <c r="G1391" s="714"/>
      <c r="H1391" s="714"/>
      <c r="I1391" s="714"/>
      <c r="J1391" s="714">
        <f>C1391*E1391</f>
        <v>5000</v>
      </c>
      <c r="K1391" s="714">
        <f>I1391+J1391</f>
        <v>5000</v>
      </c>
      <c r="L1391" s="714"/>
      <c r="M1391" s="714"/>
      <c r="N1391" s="714"/>
      <c r="O1391" s="753">
        <f t="shared" si="100"/>
        <v>5000</v>
      </c>
      <c r="P1391" s="687"/>
    </row>
    <row r="1392" spans="1:89" ht="17.25" customHeight="1" x14ac:dyDescent="0.25">
      <c r="A1392" s="692"/>
      <c r="B1392" s="1526" t="s">
        <v>2297</v>
      </c>
      <c r="C1392" s="744">
        <v>1</v>
      </c>
      <c r="D1392" s="1424" t="s">
        <v>16</v>
      </c>
      <c r="E1392" s="1802">
        <v>40000</v>
      </c>
      <c r="F1392" s="695"/>
      <c r="G1392" s="695"/>
      <c r="H1392" s="695"/>
      <c r="I1392" s="695"/>
      <c r="J1392" s="695"/>
      <c r="K1392" s="1400"/>
      <c r="L1392" s="1400">
        <f>E1392*C1392</f>
        <v>40000</v>
      </c>
      <c r="M1392" s="1400"/>
      <c r="N1392" s="1450">
        <f>L1392+M1392</f>
        <v>40000</v>
      </c>
      <c r="O1392" s="696">
        <f t="shared" si="100"/>
        <v>40000</v>
      </c>
      <c r="P1392" s="687"/>
    </row>
    <row r="1393" spans="1:89" ht="17.25" customHeight="1" x14ac:dyDescent="0.25">
      <c r="A1393" s="692"/>
      <c r="B1393" s="1501"/>
      <c r="C1393" s="744"/>
      <c r="D1393" s="880"/>
      <c r="E1393" s="1802"/>
      <c r="F1393" s="695"/>
      <c r="G1393" s="695"/>
      <c r="H1393" s="695"/>
      <c r="I1393" s="695"/>
      <c r="J1393" s="695"/>
      <c r="K1393" s="1400"/>
      <c r="L1393" s="1400"/>
      <c r="M1393" s="1400"/>
      <c r="N1393" s="1450"/>
      <c r="O1393" s="696"/>
      <c r="P1393" s="687"/>
    </row>
    <row r="1394" spans="1:89" ht="17.25" hidden="1" customHeight="1" x14ac:dyDescent="0.25">
      <c r="A1394" s="692" t="s">
        <v>17</v>
      </c>
      <c r="B1394" s="715" t="s">
        <v>1560</v>
      </c>
      <c r="C1394" s="713"/>
      <c r="D1394" s="880"/>
      <c r="E1394" s="714"/>
      <c r="F1394" s="714">
        <f>SUM(F1402:F1403)</f>
        <v>0</v>
      </c>
      <c r="G1394" s="714">
        <f>SUM(G1402:G1403)</f>
        <v>0</v>
      </c>
      <c r="H1394" s="714">
        <f>F1394+G1394</f>
        <v>0</v>
      </c>
      <c r="I1394" s="714">
        <f>SUM(I1402:I1403)</f>
        <v>0</v>
      </c>
      <c r="J1394" s="714">
        <f>J1395</f>
        <v>0</v>
      </c>
      <c r="K1394" s="714">
        <f>I1394+J1394</f>
        <v>0</v>
      </c>
      <c r="L1394" s="714">
        <f>SUM(L1402:L1403)</f>
        <v>0</v>
      </c>
      <c r="M1394" s="714">
        <f>SUM(M1402:M1403)</f>
        <v>0</v>
      </c>
      <c r="N1394" s="714">
        <f>L1394+M1394</f>
        <v>0</v>
      </c>
      <c r="O1394" s="753">
        <f>O1395</f>
        <v>0</v>
      </c>
      <c r="P1394" s="754"/>
    </row>
    <row r="1395" spans="1:89" ht="17.25" hidden="1" customHeight="1" x14ac:dyDescent="0.25">
      <c r="A1395" s="692">
        <v>12</v>
      </c>
      <c r="B1395" s="756" t="s">
        <v>1684</v>
      </c>
      <c r="C1395" s="713">
        <v>0</v>
      </c>
      <c r="D1395" s="880" t="s">
        <v>16</v>
      </c>
      <c r="E1395" s="714">
        <v>500000</v>
      </c>
      <c r="F1395" s="714"/>
      <c r="G1395" s="714"/>
      <c r="H1395" s="714"/>
      <c r="I1395" s="714"/>
      <c r="J1395" s="714">
        <f>C1395*E1395</f>
        <v>0</v>
      </c>
      <c r="K1395" s="714">
        <f>I1395+J1395</f>
        <v>0</v>
      </c>
      <c r="L1395" s="714"/>
      <c r="M1395" s="714"/>
      <c r="N1395" s="714"/>
      <c r="O1395" s="753">
        <f>N1395+K1395+H1395</f>
        <v>0</v>
      </c>
      <c r="P1395" s="754"/>
    </row>
    <row r="1396" spans="1:89" ht="17.25" hidden="1" customHeight="1" x14ac:dyDescent="0.25">
      <c r="A1396" s="692"/>
      <c r="B1396" s="756"/>
      <c r="C1396" s="713"/>
      <c r="D1396" s="880"/>
      <c r="E1396" s="714"/>
      <c r="F1396" s="714"/>
      <c r="G1396" s="714"/>
      <c r="H1396" s="714"/>
      <c r="I1396" s="714"/>
      <c r="J1396" s="714"/>
      <c r="K1396" s="714"/>
      <c r="L1396" s="714"/>
      <c r="M1396" s="714"/>
      <c r="N1396" s="714"/>
      <c r="O1396" s="753"/>
      <c r="P1396" s="754"/>
    </row>
    <row r="1397" spans="1:89" s="672" customFormat="1" ht="17.25" customHeight="1" x14ac:dyDescent="0.25">
      <c r="A1397" s="740" t="s">
        <v>22</v>
      </c>
      <c r="B1397" s="741" t="s">
        <v>23</v>
      </c>
      <c r="C1397" s="828"/>
      <c r="D1397" s="738"/>
      <c r="E1397" s="705"/>
      <c r="F1397" s="705">
        <f>SUM(F1398:F1408)</f>
        <v>0</v>
      </c>
      <c r="G1397" s="705">
        <f>SUM(G1398:G1408)</f>
        <v>0</v>
      </c>
      <c r="H1397" s="705">
        <f>F1397+G1397</f>
        <v>0</v>
      </c>
      <c r="I1397" s="705">
        <f>SUM(I1398:I1408)</f>
        <v>0</v>
      </c>
      <c r="J1397" s="705">
        <f>SUM(J1398:J1408)</f>
        <v>2646200</v>
      </c>
      <c r="K1397" s="705">
        <f>I1397+J1397</f>
        <v>2646200</v>
      </c>
      <c r="L1397" s="705">
        <f>SUM(L1398:L1408)</f>
        <v>0</v>
      </c>
      <c r="M1397" s="705">
        <f>SUM(M1398:M1408)</f>
        <v>0</v>
      </c>
      <c r="N1397" s="705">
        <f>L1397+M1397</f>
        <v>0</v>
      </c>
      <c r="O1397" s="1370">
        <f>N1397+K1397+H1397</f>
        <v>2646200</v>
      </c>
      <c r="P1397" s="829"/>
      <c r="Q1397" s="1581"/>
      <c r="R1397" s="1581"/>
      <c r="S1397" s="1581"/>
      <c r="T1397" s="1581"/>
      <c r="U1397" s="1581"/>
      <c r="V1397" s="1581"/>
      <c r="W1397" s="1581"/>
      <c r="X1397" s="1581"/>
      <c r="Y1397" s="1581"/>
      <c r="Z1397" s="1581"/>
      <c r="AA1397" s="1581"/>
      <c r="AB1397" s="1581"/>
      <c r="AC1397" s="1581"/>
      <c r="AD1397" s="1581"/>
      <c r="AE1397" s="1581"/>
      <c r="AF1397" s="1581"/>
      <c r="AG1397" s="1581"/>
      <c r="AH1397" s="1581"/>
      <c r="AI1397" s="1581"/>
      <c r="AJ1397" s="1581"/>
      <c r="AK1397" s="1581"/>
      <c r="AL1397" s="1581"/>
      <c r="AM1397" s="1581"/>
      <c r="AN1397" s="1581"/>
      <c r="AO1397" s="1581"/>
      <c r="AP1397" s="1581"/>
      <c r="AQ1397" s="1581"/>
      <c r="AR1397" s="1581"/>
      <c r="AS1397" s="1581"/>
      <c r="AT1397" s="1581"/>
      <c r="AU1397" s="1581"/>
      <c r="AV1397" s="1581"/>
      <c r="AW1397" s="1581"/>
      <c r="AX1397" s="1581"/>
      <c r="AY1397" s="1581"/>
      <c r="AZ1397" s="1581"/>
      <c r="BA1397" s="1581"/>
      <c r="BB1397" s="1581"/>
      <c r="BC1397" s="1581"/>
      <c r="BD1397" s="1581"/>
      <c r="BE1397" s="1581"/>
      <c r="BF1397" s="1581"/>
      <c r="BG1397" s="1581"/>
      <c r="BH1397" s="1581"/>
      <c r="BI1397" s="1581"/>
      <c r="BJ1397" s="1581"/>
      <c r="BK1397" s="1581"/>
      <c r="BL1397" s="1581"/>
      <c r="BM1397" s="1581"/>
      <c r="BN1397" s="1581"/>
      <c r="BO1397" s="1581"/>
      <c r="BP1397" s="1581"/>
      <c r="BQ1397" s="1581"/>
      <c r="BR1397" s="1581"/>
      <c r="BS1397" s="1581"/>
      <c r="BT1397" s="1581"/>
      <c r="BU1397" s="1581"/>
      <c r="BV1397" s="1581"/>
      <c r="BW1397" s="1581"/>
      <c r="BX1397" s="1581"/>
      <c r="BY1397" s="1581"/>
      <c r="BZ1397" s="1581"/>
      <c r="CA1397" s="1581"/>
      <c r="CB1397" s="1581"/>
      <c r="CC1397" s="1581"/>
      <c r="CD1397" s="1581"/>
      <c r="CE1397" s="1581"/>
      <c r="CF1397" s="1581"/>
      <c r="CG1397" s="1581"/>
      <c r="CH1397" s="1581"/>
      <c r="CI1397" s="1581"/>
      <c r="CJ1397" s="1581"/>
      <c r="CK1397" s="1581"/>
    </row>
    <row r="1398" spans="1:89" ht="17.25" customHeight="1" x14ac:dyDescent="0.25">
      <c r="A1398" s="692">
        <v>1</v>
      </c>
      <c r="B1398" s="1371" t="s">
        <v>21</v>
      </c>
      <c r="C1398" s="693"/>
      <c r="D1398" s="739"/>
      <c r="E1398" s="695"/>
      <c r="F1398" s="695"/>
      <c r="G1398" s="695"/>
      <c r="H1398" s="695"/>
      <c r="I1398" s="695"/>
      <c r="J1398" s="695"/>
      <c r="K1398" s="695"/>
      <c r="L1398" s="695"/>
      <c r="M1398" s="695"/>
      <c r="N1398" s="695"/>
      <c r="O1398" s="696">
        <f>N1398+K1398+H1398</f>
        <v>0</v>
      </c>
      <c r="P1398" s="687"/>
    </row>
    <row r="1399" spans="1:89" ht="17.25" customHeight="1" x14ac:dyDescent="0.25">
      <c r="A1399" s="740"/>
      <c r="B1399" s="741" t="s">
        <v>157</v>
      </c>
      <c r="C1399" s="828">
        <v>1</v>
      </c>
      <c r="D1399" s="738" t="s">
        <v>25</v>
      </c>
      <c r="E1399" s="705">
        <v>2600000</v>
      </c>
      <c r="F1399" s="705"/>
      <c r="G1399" s="705"/>
      <c r="H1399" s="705"/>
      <c r="I1399" s="705"/>
      <c r="J1399" s="705">
        <f>E1399*C1399</f>
        <v>2600000</v>
      </c>
      <c r="K1399" s="705">
        <f>I1399+J1399</f>
        <v>2600000</v>
      </c>
      <c r="L1399" s="705"/>
      <c r="M1399" s="705"/>
      <c r="N1399" s="705"/>
      <c r="O1399" s="1370">
        <f>N1399+K1399+H1399</f>
        <v>2600000</v>
      </c>
      <c r="P1399" s="829"/>
    </row>
    <row r="1400" spans="1:89" ht="17.25" customHeight="1" x14ac:dyDescent="0.25">
      <c r="A1400" s="692"/>
      <c r="B1400" s="1780" t="s">
        <v>1994</v>
      </c>
      <c r="C1400" s="693"/>
      <c r="D1400" s="739"/>
      <c r="E1400" s="695"/>
      <c r="F1400" s="695"/>
      <c r="G1400" s="695"/>
      <c r="H1400" s="695"/>
      <c r="I1400" s="695"/>
      <c r="J1400" s="695"/>
      <c r="K1400" s="695"/>
      <c r="L1400" s="695"/>
      <c r="M1400" s="695"/>
      <c r="N1400" s="695"/>
      <c r="O1400" s="696"/>
      <c r="P1400" s="687"/>
    </row>
    <row r="1401" spans="1:89" ht="17.25" customHeight="1" x14ac:dyDescent="0.25">
      <c r="A1401" s="742"/>
      <c r="B1401" s="1780" t="s">
        <v>1995</v>
      </c>
      <c r="C1401" s="699"/>
      <c r="D1401" s="739"/>
      <c r="E1401" s="695"/>
      <c r="F1401" s="714"/>
      <c r="G1401" s="714"/>
      <c r="H1401" s="714"/>
      <c r="I1401" s="714"/>
      <c r="J1401" s="714"/>
      <c r="K1401" s="714"/>
      <c r="L1401" s="714"/>
      <c r="M1401" s="714"/>
      <c r="N1401" s="714"/>
      <c r="O1401" s="753"/>
      <c r="P1401" s="754"/>
    </row>
    <row r="1402" spans="1:89" ht="17.25" customHeight="1" x14ac:dyDescent="0.25">
      <c r="A1402" s="742"/>
      <c r="B1402" s="1780" t="s">
        <v>1996</v>
      </c>
      <c r="C1402" s="699"/>
      <c r="D1402" s="739"/>
      <c r="E1402" s="695"/>
      <c r="F1402" s="714"/>
      <c r="G1402" s="714"/>
      <c r="H1402" s="714"/>
      <c r="I1402" s="714"/>
      <c r="J1402" s="714"/>
      <c r="K1402" s="714"/>
      <c r="L1402" s="714"/>
      <c r="M1402" s="714"/>
      <c r="N1402" s="714"/>
      <c r="O1402" s="753"/>
      <c r="P1402" s="754"/>
    </row>
    <row r="1403" spans="1:89" ht="17.25" customHeight="1" x14ac:dyDescent="0.25">
      <c r="A1403" s="742"/>
      <c r="B1403" s="1780" t="s">
        <v>1997</v>
      </c>
      <c r="C1403" s="699"/>
      <c r="D1403" s="739"/>
      <c r="E1403" s="695"/>
      <c r="F1403" s="714"/>
      <c r="G1403" s="714"/>
      <c r="H1403" s="714"/>
      <c r="I1403" s="714"/>
      <c r="J1403" s="714"/>
      <c r="K1403" s="714"/>
      <c r="L1403" s="714"/>
      <c r="M1403" s="714"/>
      <c r="N1403" s="714"/>
      <c r="O1403" s="753"/>
      <c r="P1403" s="754"/>
    </row>
    <row r="1404" spans="1:89" ht="17.25" customHeight="1" x14ac:dyDescent="0.25">
      <c r="A1404" s="742"/>
      <c r="B1404" s="1780" t="s">
        <v>1998</v>
      </c>
      <c r="C1404" s="699"/>
      <c r="D1404" s="739"/>
      <c r="E1404" s="695"/>
      <c r="F1404" s="714"/>
      <c r="G1404" s="714"/>
      <c r="H1404" s="714"/>
      <c r="I1404" s="714"/>
      <c r="J1404" s="714"/>
      <c r="K1404" s="714"/>
      <c r="L1404" s="714"/>
      <c r="M1404" s="714"/>
      <c r="N1404" s="714"/>
      <c r="O1404" s="753"/>
      <c r="P1404" s="754"/>
    </row>
    <row r="1405" spans="1:89" ht="17.25" customHeight="1" x14ac:dyDescent="0.25">
      <c r="A1405" s="742"/>
      <c r="B1405" s="1780" t="s">
        <v>1999</v>
      </c>
      <c r="C1405" s="699"/>
      <c r="D1405" s="739"/>
      <c r="E1405" s="695"/>
      <c r="F1405" s="714"/>
      <c r="G1405" s="714"/>
      <c r="H1405" s="714"/>
      <c r="I1405" s="714"/>
      <c r="J1405" s="714"/>
      <c r="K1405" s="714"/>
      <c r="L1405" s="714"/>
      <c r="M1405" s="714"/>
      <c r="N1405" s="714"/>
      <c r="O1405" s="753"/>
      <c r="P1405" s="754"/>
    </row>
    <row r="1406" spans="1:89" ht="17.25" customHeight="1" x14ac:dyDescent="0.25">
      <c r="A1406" s="742"/>
      <c r="B1406" s="756"/>
      <c r="C1406" s="699"/>
      <c r="D1406" s="739"/>
      <c r="E1406" s="695"/>
      <c r="F1406" s="714"/>
      <c r="G1406" s="714"/>
      <c r="H1406" s="714"/>
      <c r="I1406" s="714"/>
      <c r="J1406" s="714"/>
      <c r="K1406" s="714"/>
      <c r="L1406" s="714"/>
      <c r="M1406" s="714"/>
      <c r="N1406" s="714"/>
      <c r="O1406" s="753"/>
      <c r="P1406" s="754"/>
    </row>
    <row r="1407" spans="1:89" ht="17.25" customHeight="1" x14ac:dyDescent="0.25">
      <c r="A1407" s="742">
        <v>2</v>
      </c>
      <c r="B1407" s="756" t="s">
        <v>19</v>
      </c>
      <c r="C1407" s="699"/>
      <c r="D1407" s="739"/>
      <c r="E1407" s="695"/>
      <c r="F1407" s="714"/>
      <c r="G1407" s="714"/>
      <c r="H1407" s="714"/>
      <c r="I1407" s="714"/>
      <c r="J1407" s="714"/>
      <c r="K1407" s="714"/>
      <c r="L1407" s="714"/>
      <c r="M1407" s="714"/>
      <c r="N1407" s="714"/>
      <c r="O1407" s="753">
        <f>N1407+K1407+H1407</f>
        <v>0</v>
      </c>
      <c r="P1407" s="754"/>
    </row>
    <row r="1408" spans="1:89" ht="17.25" customHeight="1" x14ac:dyDescent="0.25">
      <c r="A1408" s="742"/>
      <c r="B1408" s="756" t="s">
        <v>26</v>
      </c>
      <c r="C1408" s="699">
        <v>1</v>
      </c>
      <c r="D1408" s="739" t="s">
        <v>25</v>
      </c>
      <c r="E1408" s="695">
        <v>46200</v>
      </c>
      <c r="F1408" s="714"/>
      <c r="G1408" s="714"/>
      <c r="H1408" s="714"/>
      <c r="I1408" s="714"/>
      <c r="J1408" s="714">
        <f>C1408*E1408</f>
        <v>46200</v>
      </c>
      <c r="K1408" s="714">
        <f>I1408+J1408</f>
        <v>46200</v>
      </c>
      <c r="L1408" s="714"/>
      <c r="M1408" s="714"/>
      <c r="N1408" s="714"/>
      <c r="O1408" s="753">
        <f>N1408+K1408+H1408</f>
        <v>46200</v>
      </c>
      <c r="P1408" s="754"/>
    </row>
    <row r="1409" spans="1:89" ht="17.25" customHeight="1" x14ac:dyDescent="0.25">
      <c r="A1409" s="742"/>
      <c r="B1409" s="756"/>
      <c r="C1409" s="699"/>
      <c r="D1409" s="739"/>
      <c r="E1409" s="695"/>
      <c r="F1409" s="714"/>
      <c r="G1409" s="714"/>
      <c r="H1409" s="714"/>
      <c r="I1409" s="714"/>
      <c r="J1409" s="714"/>
      <c r="K1409" s="714"/>
      <c r="L1409" s="714"/>
      <c r="M1409" s="714"/>
      <c r="N1409" s="714"/>
      <c r="O1409" s="753"/>
      <c r="P1409" s="754"/>
    </row>
    <row r="1410" spans="1:89" ht="17.25" customHeight="1" x14ac:dyDescent="0.25">
      <c r="A1410" s="742"/>
      <c r="B1410" s="756"/>
      <c r="C1410" s="699"/>
      <c r="D1410" s="739"/>
      <c r="E1410" s="695"/>
      <c r="F1410" s="714"/>
      <c r="G1410" s="714"/>
      <c r="H1410" s="714"/>
      <c r="I1410" s="714"/>
      <c r="J1410" s="714"/>
      <c r="K1410" s="714"/>
      <c r="L1410" s="714"/>
      <c r="M1410" s="714"/>
      <c r="N1410" s="714"/>
      <c r="O1410" s="753">
        <f>N1410+K1410+H1410</f>
        <v>0</v>
      </c>
      <c r="P1410" s="754"/>
    </row>
    <row r="1411" spans="1:89" s="672" customFormat="1" ht="17.25" customHeight="1" x14ac:dyDescent="0.25">
      <c r="A1411" s="737" t="s">
        <v>28</v>
      </c>
      <c r="B1411" s="752" t="s">
        <v>29</v>
      </c>
      <c r="C1411" s="1377"/>
      <c r="D1411" s="738"/>
      <c r="E1411" s="705"/>
      <c r="F1411" s="874">
        <f>SUM(F1413:F1441)</f>
        <v>0</v>
      </c>
      <c r="G1411" s="874">
        <f>SUM(G1413:G1441)</f>
        <v>0</v>
      </c>
      <c r="H1411" s="874">
        <f>F1411+G1411</f>
        <v>0</v>
      </c>
      <c r="I1411" s="874">
        <f>SUM(I1413:I1441)</f>
        <v>0</v>
      </c>
      <c r="J1411" s="874">
        <f>SUM(J1413:J1441)</f>
        <v>467350</v>
      </c>
      <c r="K1411" s="874">
        <f>I1411+J1411</f>
        <v>467350</v>
      </c>
      <c r="L1411" s="874">
        <f>SUM(L1413:L1441)</f>
        <v>0</v>
      </c>
      <c r="M1411" s="874">
        <f>SUM(M1413:M1441)</f>
        <v>0</v>
      </c>
      <c r="N1411" s="874">
        <f>L1411+M1411</f>
        <v>0</v>
      </c>
      <c r="O1411" s="775">
        <f>N1411+K1411+H1411</f>
        <v>467350</v>
      </c>
      <c r="P1411" s="776"/>
      <c r="Q1411" s="1581"/>
      <c r="R1411" s="1581"/>
      <c r="S1411" s="1581"/>
      <c r="T1411" s="1581"/>
      <c r="U1411" s="1581"/>
      <c r="V1411" s="1581"/>
      <c r="W1411" s="1581"/>
      <c r="X1411" s="1581"/>
      <c r="Y1411" s="1581"/>
      <c r="Z1411" s="1581"/>
      <c r="AA1411" s="1581"/>
      <c r="AB1411" s="1581"/>
      <c r="AC1411" s="1581"/>
      <c r="AD1411" s="1581"/>
      <c r="AE1411" s="1581"/>
      <c r="AF1411" s="1581"/>
      <c r="AG1411" s="1581"/>
      <c r="AH1411" s="1581"/>
      <c r="AI1411" s="1581"/>
      <c r="AJ1411" s="1581"/>
      <c r="AK1411" s="1581"/>
      <c r="AL1411" s="1581"/>
      <c r="AM1411" s="1581"/>
      <c r="AN1411" s="1581"/>
      <c r="AO1411" s="1581"/>
      <c r="AP1411" s="1581"/>
      <c r="AQ1411" s="1581"/>
      <c r="AR1411" s="1581"/>
      <c r="AS1411" s="1581"/>
      <c r="AT1411" s="1581"/>
      <c r="AU1411" s="1581"/>
      <c r="AV1411" s="1581"/>
      <c r="AW1411" s="1581"/>
      <c r="AX1411" s="1581"/>
      <c r="AY1411" s="1581"/>
      <c r="AZ1411" s="1581"/>
      <c r="BA1411" s="1581"/>
      <c r="BB1411" s="1581"/>
      <c r="BC1411" s="1581"/>
      <c r="BD1411" s="1581"/>
      <c r="BE1411" s="1581"/>
      <c r="BF1411" s="1581"/>
      <c r="BG1411" s="1581"/>
      <c r="BH1411" s="1581"/>
      <c r="BI1411" s="1581"/>
      <c r="BJ1411" s="1581"/>
      <c r="BK1411" s="1581"/>
      <c r="BL1411" s="1581"/>
      <c r="BM1411" s="1581"/>
      <c r="BN1411" s="1581"/>
      <c r="BO1411" s="1581"/>
      <c r="BP1411" s="1581"/>
      <c r="BQ1411" s="1581"/>
      <c r="BR1411" s="1581"/>
      <c r="BS1411" s="1581"/>
      <c r="BT1411" s="1581"/>
      <c r="BU1411" s="1581"/>
      <c r="BV1411" s="1581"/>
      <c r="BW1411" s="1581"/>
      <c r="BX1411" s="1581"/>
      <c r="BY1411" s="1581"/>
      <c r="BZ1411" s="1581"/>
      <c r="CA1411" s="1581"/>
      <c r="CB1411" s="1581"/>
      <c r="CC1411" s="1581"/>
      <c r="CD1411" s="1581"/>
      <c r="CE1411" s="1581"/>
      <c r="CF1411" s="1581"/>
      <c r="CG1411" s="1581"/>
      <c r="CH1411" s="1581"/>
      <c r="CI1411" s="1581"/>
      <c r="CJ1411" s="1581"/>
      <c r="CK1411" s="1581"/>
    </row>
    <row r="1412" spans="1:89" ht="17.25" customHeight="1" x14ac:dyDescent="0.25">
      <c r="A1412" s="742"/>
      <c r="B1412" s="756"/>
      <c r="C1412" s="699"/>
      <c r="D1412" s="739"/>
      <c r="E1412" s="695"/>
      <c r="F1412" s="714"/>
      <c r="G1412" s="714"/>
      <c r="H1412" s="714"/>
      <c r="I1412" s="714"/>
      <c r="J1412" s="714"/>
      <c r="K1412" s="714"/>
      <c r="L1412" s="714"/>
      <c r="M1412" s="714"/>
      <c r="N1412" s="714"/>
      <c r="O1412" s="753"/>
      <c r="P1412" s="754"/>
    </row>
    <row r="1413" spans="1:89" ht="17.25" customHeight="1" x14ac:dyDescent="0.25">
      <c r="A1413" s="742">
        <v>1</v>
      </c>
      <c r="B1413" s="756" t="s">
        <v>19</v>
      </c>
      <c r="C1413" s="699"/>
      <c r="D1413" s="739"/>
      <c r="E1413" s="695"/>
      <c r="F1413" s="714"/>
      <c r="G1413" s="714"/>
      <c r="H1413" s="714"/>
      <c r="I1413" s="714"/>
      <c r="J1413" s="714"/>
      <c r="K1413" s="714"/>
      <c r="L1413" s="714"/>
      <c r="M1413" s="714"/>
      <c r="N1413" s="714"/>
      <c r="O1413" s="753">
        <f>N1413+K1413+H1413</f>
        <v>0</v>
      </c>
      <c r="P1413" s="754"/>
    </row>
    <row r="1414" spans="1:89" ht="17.25" customHeight="1" x14ac:dyDescent="0.25">
      <c r="A1414" s="742"/>
      <c r="B1414" s="756" t="s">
        <v>30</v>
      </c>
      <c r="C1414" s="699">
        <v>12</v>
      </c>
      <c r="D1414" s="739" t="s">
        <v>20</v>
      </c>
      <c r="E1414" s="695">
        <v>1150</v>
      </c>
      <c r="F1414" s="714"/>
      <c r="G1414" s="714"/>
      <c r="H1414" s="714"/>
      <c r="I1414" s="714"/>
      <c r="J1414" s="714">
        <f>C1414*E1414</f>
        <v>13800</v>
      </c>
      <c r="K1414" s="714">
        <f>I1414+J1414</f>
        <v>13800</v>
      </c>
      <c r="L1414" s="714"/>
      <c r="M1414" s="714"/>
      <c r="N1414" s="714"/>
      <c r="O1414" s="753">
        <f>N1414+K1414+H1414</f>
        <v>13800</v>
      </c>
      <c r="P1414" s="754"/>
    </row>
    <row r="1415" spans="1:89" ht="17.25" customHeight="1" x14ac:dyDescent="0.25">
      <c r="A1415" s="742"/>
      <c r="B1415" s="756" t="s">
        <v>31</v>
      </c>
      <c r="C1415" s="699">
        <v>12</v>
      </c>
      <c r="D1415" s="739" t="s">
        <v>20</v>
      </c>
      <c r="E1415" s="695">
        <v>900</v>
      </c>
      <c r="F1415" s="714"/>
      <c r="G1415" s="714"/>
      <c r="H1415" s="714"/>
      <c r="I1415" s="714"/>
      <c r="J1415" s="714">
        <f>C1415*E1415</f>
        <v>10800</v>
      </c>
      <c r="K1415" s="714">
        <f>I1415+J1415</f>
        <v>10800</v>
      </c>
      <c r="L1415" s="714"/>
      <c r="M1415" s="714"/>
      <c r="N1415" s="714"/>
      <c r="O1415" s="753">
        <f t="shared" ref="O1415:O1438" si="101">N1415+K1415+H1415</f>
        <v>10800</v>
      </c>
      <c r="P1415" s="754"/>
    </row>
    <row r="1416" spans="1:89" ht="17.25" customHeight="1" x14ac:dyDescent="0.25">
      <c r="A1416" s="742"/>
      <c r="B1416" s="756" t="s">
        <v>32</v>
      </c>
      <c r="C1416" s="699">
        <v>12</v>
      </c>
      <c r="D1416" s="739" t="s">
        <v>20</v>
      </c>
      <c r="E1416" s="695">
        <v>790</v>
      </c>
      <c r="F1416" s="714"/>
      <c r="G1416" s="714"/>
      <c r="H1416" s="714"/>
      <c r="I1416" s="714"/>
      <c r="J1416" s="714">
        <f>C1416*E1416</f>
        <v>9480</v>
      </c>
      <c r="K1416" s="714">
        <f>I1416+J1416</f>
        <v>9480</v>
      </c>
      <c r="L1416" s="714"/>
      <c r="M1416" s="714"/>
      <c r="N1416" s="714"/>
      <c r="O1416" s="753">
        <f t="shared" si="101"/>
        <v>9480</v>
      </c>
      <c r="P1416" s="754"/>
    </row>
    <row r="1417" spans="1:89" ht="17.25" customHeight="1" x14ac:dyDescent="0.25">
      <c r="A1417" s="742"/>
      <c r="B1417" s="756" t="s">
        <v>33</v>
      </c>
      <c r="C1417" s="699">
        <v>60</v>
      </c>
      <c r="D1417" s="739" t="s">
        <v>20</v>
      </c>
      <c r="E1417" s="695">
        <v>580</v>
      </c>
      <c r="F1417" s="714"/>
      <c r="G1417" s="714"/>
      <c r="H1417" s="714"/>
      <c r="I1417" s="714"/>
      <c r="J1417" s="714">
        <f>C1417*E1417</f>
        <v>34800</v>
      </c>
      <c r="K1417" s="714">
        <f>I1417+J1417</f>
        <v>34800</v>
      </c>
      <c r="L1417" s="714"/>
      <c r="M1417" s="714"/>
      <c r="N1417" s="714"/>
      <c r="O1417" s="753">
        <f t="shared" si="101"/>
        <v>34800</v>
      </c>
      <c r="P1417" s="754"/>
    </row>
    <row r="1418" spans="1:89" ht="17.25" customHeight="1" x14ac:dyDescent="0.25">
      <c r="A1418" s="742"/>
      <c r="B1418" s="756" t="s">
        <v>34</v>
      </c>
      <c r="C1418" s="699"/>
      <c r="D1418" s="739"/>
      <c r="E1418" s="695"/>
      <c r="F1418" s="714"/>
      <c r="G1418" s="714"/>
      <c r="H1418" s="714"/>
      <c r="I1418" s="714"/>
      <c r="J1418" s="714"/>
      <c r="K1418" s="714"/>
      <c r="L1418" s="714"/>
      <c r="M1418" s="714"/>
      <c r="N1418" s="714"/>
      <c r="O1418" s="753">
        <f t="shared" si="101"/>
        <v>0</v>
      </c>
      <c r="P1418" s="754"/>
    </row>
    <row r="1419" spans="1:89" ht="17.25" customHeight="1" x14ac:dyDescent="0.25">
      <c r="A1419" s="742"/>
      <c r="B1419" s="756" t="s">
        <v>35</v>
      </c>
      <c r="C1419" s="699">
        <v>12</v>
      </c>
      <c r="D1419" s="727" t="s">
        <v>20</v>
      </c>
      <c r="E1419" s="695">
        <v>300</v>
      </c>
      <c r="F1419" s="714"/>
      <c r="G1419" s="714"/>
      <c r="H1419" s="714"/>
      <c r="I1419" s="714"/>
      <c r="J1419" s="714">
        <f>C1419*E1419</f>
        <v>3600</v>
      </c>
      <c r="K1419" s="714">
        <f>I1419+J1419</f>
        <v>3600</v>
      </c>
      <c r="L1419" s="714"/>
      <c r="M1419" s="714"/>
      <c r="N1419" s="714"/>
      <c r="O1419" s="753">
        <f t="shared" si="101"/>
        <v>3600</v>
      </c>
      <c r="P1419" s="754"/>
    </row>
    <row r="1420" spans="1:89" ht="17.25" customHeight="1" x14ac:dyDescent="0.25">
      <c r="A1420" s="742"/>
      <c r="B1420" s="756" t="s">
        <v>36</v>
      </c>
      <c r="C1420" s="699">
        <v>36</v>
      </c>
      <c r="D1420" s="727" t="s">
        <v>20</v>
      </c>
      <c r="E1420" s="695">
        <v>150</v>
      </c>
      <c r="F1420" s="714"/>
      <c r="G1420" s="714"/>
      <c r="H1420" s="714"/>
      <c r="I1420" s="714"/>
      <c r="J1420" s="714">
        <f>C1420*E1420</f>
        <v>5400</v>
      </c>
      <c r="K1420" s="714">
        <f>I1420+J1420</f>
        <v>5400</v>
      </c>
      <c r="L1420" s="714"/>
      <c r="M1420" s="714"/>
      <c r="N1420" s="714"/>
      <c r="O1420" s="753">
        <f t="shared" si="101"/>
        <v>5400</v>
      </c>
      <c r="P1420" s="754"/>
    </row>
    <row r="1421" spans="1:89" ht="17.25" customHeight="1" x14ac:dyDescent="0.25">
      <c r="A1421" s="742"/>
      <c r="B1421" s="756"/>
      <c r="C1421" s="699"/>
      <c r="D1421" s="727"/>
      <c r="E1421" s="695"/>
      <c r="F1421" s="714"/>
      <c r="G1421" s="714"/>
      <c r="H1421" s="714"/>
      <c r="I1421" s="714"/>
      <c r="J1421" s="714"/>
      <c r="K1421" s="714"/>
      <c r="L1421" s="714"/>
      <c r="M1421" s="714"/>
      <c r="N1421" s="714"/>
      <c r="O1421" s="753">
        <f t="shared" si="101"/>
        <v>0</v>
      </c>
      <c r="P1421" s="754"/>
    </row>
    <row r="1422" spans="1:89" ht="17.25" customHeight="1" x14ac:dyDescent="0.25">
      <c r="A1422" s="742">
        <v>2</v>
      </c>
      <c r="B1422" s="756" t="s">
        <v>38</v>
      </c>
      <c r="C1422" s="713">
        <v>1</v>
      </c>
      <c r="D1422" s="727" t="s">
        <v>25</v>
      </c>
      <c r="E1422" s="714">
        <v>41300</v>
      </c>
      <c r="F1422" s="714"/>
      <c r="G1422" s="714"/>
      <c r="H1422" s="714"/>
      <c r="I1422" s="714"/>
      <c r="J1422" s="714">
        <f>C1422*E1422</f>
        <v>41300</v>
      </c>
      <c r="K1422" s="714">
        <f>I1422+J1422</f>
        <v>41300</v>
      </c>
      <c r="L1422" s="714"/>
      <c r="M1422" s="714"/>
      <c r="N1422" s="714"/>
      <c r="O1422" s="753">
        <f t="shared" si="101"/>
        <v>41300</v>
      </c>
      <c r="P1422" s="754"/>
    </row>
    <row r="1423" spans="1:89" ht="17.25" customHeight="1" x14ac:dyDescent="0.25">
      <c r="A1423" s="742"/>
      <c r="B1423" s="756" t="s">
        <v>39</v>
      </c>
      <c r="C1423" s="713">
        <v>1</v>
      </c>
      <c r="D1423" s="727" t="s">
        <v>25</v>
      </c>
      <c r="E1423" s="714">
        <v>4600</v>
      </c>
      <c r="F1423" s="714"/>
      <c r="G1423" s="714"/>
      <c r="H1423" s="714"/>
      <c r="I1423" s="714"/>
      <c r="J1423" s="714">
        <f>C1423*E1423</f>
        <v>4600</v>
      </c>
      <c r="K1423" s="714">
        <f>I1423+J1423</f>
        <v>4600</v>
      </c>
      <c r="L1423" s="714"/>
      <c r="M1423" s="714"/>
      <c r="N1423" s="714"/>
      <c r="O1423" s="753">
        <f t="shared" si="101"/>
        <v>4600</v>
      </c>
      <c r="P1423" s="754"/>
    </row>
    <row r="1424" spans="1:89" ht="17.25" customHeight="1" x14ac:dyDescent="0.25">
      <c r="A1424" s="742"/>
      <c r="B1424" s="756"/>
      <c r="C1424" s="713"/>
      <c r="D1424" s="727"/>
      <c r="E1424" s="714"/>
      <c r="F1424" s="714"/>
      <c r="G1424" s="714"/>
      <c r="H1424" s="714"/>
      <c r="I1424" s="714"/>
      <c r="J1424" s="714"/>
      <c r="K1424" s="714"/>
      <c r="L1424" s="714"/>
      <c r="M1424" s="714"/>
      <c r="N1424" s="714"/>
      <c r="O1424" s="753">
        <f t="shared" si="101"/>
        <v>0</v>
      </c>
      <c r="P1424" s="754"/>
    </row>
    <row r="1425" spans="1:16" ht="17.25" customHeight="1" x14ac:dyDescent="0.25">
      <c r="A1425" s="742">
        <v>3</v>
      </c>
      <c r="B1425" s="756" t="s">
        <v>27</v>
      </c>
      <c r="C1425" s="713"/>
      <c r="D1425" s="727"/>
      <c r="E1425" s="714"/>
      <c r="F1425" s="714"/>
      <c r="G1425" s="714"/>
      <c r="H1425" s="714"/>
      <c r="I1425" s="714"/>
      <c r="J1425" s="714"/>
      <c r="K1425" s="714"/>
      <c r="L1425" s="714"/>
      <c r="M1425" s="714"/>
      <c r="N1425" s="714"/>
      <c r="O1425" s="753">
        <f t="shared" si="101"/>
        <v>0</v>
      </c>
      <c r="P1425" s="754"/>
    </row>
    <row r="1426" spans="1:16" ht="17.25" customHeight="1" x14ac:dyDescent="0.25">
      <c r="A1426" s="742"/>
      <c r="B1426" s="1453" t="s">
        <v>42</v>
      </c>
      <c r="C1426" s="713">
        <v>1</v>
      </c>
      <c r="D1426" s="1424" t="s">
        <v>25</v>
      </c>
      <c r="E1426" s="695">
        <v>27436</v>
      </c>
      <c r="F1426" s="695"/>
      <c r="G1426" s="695"/>
      <c r="H1426" s="695"/>
      <c r="I1426" s="695"/>
      <c r="J1426" s="695">
        <f>C1426*E1426</f>
        <v>27436</v>
      </c>
      <c r="K1426" s="695">
        <f>I1426+J1426</f>
        <v>27436</v>
      </c>
      <c r="L1426" s="695"/>
      <c r="M1426" s="695"/>
      <c r="N1426" s="695"/>
      <c r="O1426" s="696">
        <f t="shared" si="101"/>
        <v>27436</v>
      </c>
      <c r="P1426" s="687"/>
    </row>
    <row r="1427" spans="1:16" ht="17.25" customHeight="1" x14ac:dyDescent="0.25">
      <c r="A1427" s="692"/>
      <c r="B1427" s="1436"/>
      <c r="C1427" s="699"/>
      <c r="D1427" s="739"/>
      <c r="E1427" s="695"/>
      <c r="F1427" s="695"/>
      <c r="G1427" s="695"/>
      <c r="H1427" s="695"/>
      <c r="I1427" s="695"/>
      <c r="J1427" s="695"/>
      <c r="K1427" s="695"/>
      <c r="L1427" s="695"/>
      <c r="M1427" s="695"/>
      <c r="N1427" s="695"/>
      <c r="O1427" s="696">
        <f t="shared" si="101"/>
        <v>0</v>
      </c>
      <c r="P1427" s="687"/>
    </row>
    <row r="1428" spans="1:16" ht="17.25" customHeight="1" x14ac:dyDescent="0.25">
      <c r="A1428" s="742">
        <v>4</v>
      </c>
      <c r="B1428" s="756" t="s">
        <v>40</v>
      </c>
      <c r="C1428" s="713"/>
      <c r="D1428" s="880"/>
      <c r="E1428" s="714"/>
      <c r="F1428" s="714"/>
      <c r="G1428" s="714"/>
      <c r="H1428" s="714"/>
      <c r="I1428" s="714"/>
      <c r="J1428" s="714"/>
      <c r="K1428" s="714"/>
      <c r="L1428" s="714"/>
      <c r="M1428" s="714"/>
      <c r="N1428" s="714"/>
      <c r="O1428" s="753">
        <f t="shared" si="101"/>
        <v>0</v>
      </c>
      <c r="P1428" s="754"/>
    </row>
    <row r="1429" spans="1:16" ht="17.25" customHeight="1" x14ac:dyDescent="0.25">
      <c r="A1429" s="742"/>
      <c r="B1429" s="756" t="s">
        <v>41</v>
      </c>
      <c r="C1429" s="713">
        <v>1</v>
      </c>
      <c r="D1429" s="880" t="s">
        <v>25</v>
      </c>
      <c r="E1429" s="714">
        <v>24474</v>
      </c>
      <c r="F1429" s="714"/>
      <c r="G1429" s="714"/>
      <c r="H1429" s="714"/>
      <c r="I1429" s="714"/>
      <c r="J1429" s="714">
        <f>C1429*E1429</f>
        <v>24474</v>
      </c>
      <c r="K1429" s="714">
        <f>I1429+J1429</f>
        <v>24474</v>
      </c>
      <c r="L1429" s="714"/>
      <c r="M1429" s="714"/>
      <c r="N1429" s="714"/>
      <c r="O1429" s="753">
        <f t="shared" si="101"/>
        <v>24474</v>
      </c>
      <c r="P1429" s="754"/>
    </row>
    <row r="1430" spans="1:16" ht="17.25" customHeight="1" x14ac:dyDescent="0.25">
      <c r="A1430" s="742"/>
      <c r="B1430" s="756"/>
      <c r="C1430" s="713"/>
      <c r="D1430" s="880"/>
      <c r="E1430" s="714"/>
      <c r="F1430" s="714"/>
      <c r="G1430" s="714"/>
      <c r="H1430" s="714"/>
      <c r="I1430" s="714"/>
      <c r="J1430" s="714"/>
      <c r="K1430" s="714"/>
      <c r="L1430" s="714"/>
      <c r="M1430" s="714"/>
      <c r="N1430" s="714"/>
      <c r="O1430" s="753">
        <f t="shared" si="101"/>
        <v>0</v>
      </c>
      <c r="P1430" s="754"/>
    </row>
    <row r="1431" spans="1:16" ht="17.25" customHeight="1" x14ac:dyDescent="0.25">
      <c r="A1431" s="742">
        <v>5</v>
      </c>
      <c r="B1431" s="756" t="s">
        <v>43</v>
      </c>
      <c r="C1431" s="713"/>
      <c r="D1431" s="880"/>
      <c r="E1431" s="714"/>
      <c r="F1431" s="714"/>
      <c r="G1431" s="714"/>
      <c r="H1431" s="714"/>
      <c r="I1431" s="714"/>
      <c r="J1431" s="714"/>
      <c r="K1431" s="714"/>
      <c r="L1431" s="714"/>
      <c r="M1431" s="714"/>
      <c r="N1431" s="714"/>
      <c r="O1431" s="753">
        <f t="shared" si="101"/>
        <v>0</v>
      </c>
      <c r="P1431" s="754"/>
    </row>
    <row r="1432" spans="1:16" ht="17.25" customHeight="1" x14ac:dyDescent="0.25">
      <c r="A1432" s="742"/>
      <c r="B1432" s="756" t="s">
        <v>44</v>
      </c>
      <c r="C1432" s="713">
        <v>10</v>
      </c>
      <c r="D1432" s="880" t="s">
        <v>45</v>
      </c>
      <c r="E1432" s="714">
        <v>6000</v>
      </c>
      <c r="F1432" s="714"/>
      <c r="G1432" s="714"/>
      <c r="H1432" s="714"/>
      <c r="I1432" s="714"/>
      <c r="J1432" s="714">
        <f>C1432*E1432</f>
        <v>60000</v>
      </c>
      <c r="K1432" s="714">
        <f>I1432+J1432</f>
        <v>60000</v>
      </c>
      <c r="L1432" s="714"/>
      <c r="M1432" s="714"/>
      <c r="N1432" s="714"/>
      <c r="O1432" s="753">
        <f t="shared" si="101"/>
        <v>60000</v>
      </c>
      <c r="P1432" s="754"/>
    </row>
    <row r="1433" spans="1:16" ht="17.25" customHeight="1" x14ac:dyDescent="0.25">
      <c r="A1433" s="742"/>
      <c r="B1433" s="756"/>
      <c r="C1433" s="713"/>
      <c r="D1433" s="880"/>
      <c r="E1433" s="714"/>
      <c r="F1433" s="714"/>
      <c r="G1433" s="714"/>
      <c r="H1433" s="714"/>
      <c r="I1433" s="714"/>
      <c r="J1433" s="714"/>
      <c r="K1433" s="714"/>
      <c r="L1433" s="714"/>
      <c r="M1433" s="714"/>
      <c r="N1433" s="714"/>
      <c r="O1433" s="753">
        <f t="shared" si="101"/>
        <v>0</v>
      </c>
      <c r="P1433" s="754"/>
    </row>
    <row r="1434" spans="1:16" ht="17.25" customHeight="1" x14ac:dyDescent="0.25">
      <c r="A1434" s="742">
        <v>6</v>
      </c>
      <c r="B1434" s="756" t="s">
        <v>48</v>
      </c>
      <c r="C1434" s="713"/>
      <c r="D1434" s="880"/>
      <c r="E1434" s="714" t="s">
        <v>49</v>
      </c>
      <c r="F1434" s="714"/>
      <c r="G1434" s="714"/>
      <c r="H1434" s="714"/>
      <c r="I1434" s="714"/>
      <c r="J1434" s="714"/>
      <c r="K1434" s="714">
        <f>J1434+I1434</f>
        <v>0</v>
      </c>
      <c r="L1434" s="714"/>
      <c r="M1434" s="714"/>
      <c r="N1434" s="714"/>
      <c r="O1434" s="753">
        <f t="shared" si="101"/>
        <v>0</v>
      </c>
      <c r="P1434" s="754"/>
    </row>
    <row r="1435" spans="1:16" ht="17.25" customHeight="1" x14ac:dyDescent="0.25">
      <c r="A1435" s="742"/>
      <c r="B1435" s="756" t="s">
        <v>50</v>
      </c>
      <c r="C1435" s="713">
        <v>45</v>
      </c>
      <c r="D1435" s="880" t="s">
        <v>51</v>
      </c>
      <c r="E1435" s="714">
        <v>3148</v>
      </c>
      <c r="F1435" s="714"/>
      <c r="G1435" s="714"/>
      <c r="H1435" s="714"/>
      <c r="I1435" s="714"/>
      <c r="J1435" s="714">
        <f>C1435*E1435</f>
        <v>141660</v>
      </c>
      <c r="K1435" s="714">
        <f>I1435+J1435</f>
        <v>141660</v>
      </c>
      <c r="L1435" s="714"/>
      <c r="M1435" s="714"/>
      <c r="N1435" s="714"/>
      <c r="O1435" s="753">
        <f t="shared" si="101"/>
        <v>141660</v>
      </c>
      <c r="P1435" s="754"/>
    </row>
    <row r="1436" spans="1:16" ht="17.25" customHeight="1" x14ac:dyDescent="0.25">
      <c r="A1436" s="742"/>
      <c r="B1436" s="756" t="s">
        <v>52</v>
      </c>
      <c r="C1436" s="713">
        <v>60</v>
      </c>
      <c r="D1436" s="880" t="s">
        <v>53</v>
      </c>
      <c r="E1436" s="714">
        <v>450</v>
      </c>
      <c r="F1436" s="714"/>
      <c r="G1436" s="714"/>
      <c r="H1436" s="714"/>
      <c r="I1436" s="714"/>
      <c r="J1436" s="714">
        <f>C1436*E1436</f>
        <v>27000</v>
      </c>
      <c r="K1436" s="714">
        <f>I1436+J1436</f>
        <v>27000</v>
      </c>
      <c r="L1436" s="714"/>
      <c r="M1436" s="714"/>
      <c r="N1436" s="714"/>
      <c r="O1436" s="753">
        <f t="shared" si="101"/>
        <v>27000</v>
      </c>
      <c r="P1436" s="754"/>
    </row>
    <row r="1437" spans="1:16" ht="17.25" customHeight="1" x14ac:dyDescent="0.25">
      <c r="A1437" s="742"/>
      <c r="B1437" s="756" t="s">
        <v>54</v>
      </c>
      <c r="C1437" s="713">
        <v>80</v>
      </c>
      <c r="D1437" s="880" t="s">
        <v>55</v>
      </c>
      <c r="E1437" s="714">
        <v>450</v>
      </c>
      <c r="F1437" s="714"/>
      <c r="G1437" s="714"/>
      <c r="H1437" s="714"/>
      <c r="I1437" s="714"/>
      <c r="J1437" s="714">
        <f>C1437*E1437</f>
        <v>36000</v>
      </c>
      <c r="K1437" s="714">
        <f>I1437+J1437</f>
        <v>36000</v>
      </c>
      <c r="L1437" s="714"/>
      <c r="M1437" s="714"/>
      <c r="N1437" s="714"/>
      <c r="O1437" s="753">
        <f t="shared" si="101"/>
        <v>36000</v>
      </c>
      <c r="P1437" s="754"/>
    </row>
    <row r="1438" spans="1:16" ht="17.25" customHeight="1" x14ac:dyDescent="0.25">
      <c r="A1438" s="742"/>
      <c r="B1438" s="756" t="s">
        <v>56</v>
      </c>
      <c r="C1438" s="713">
        <v>90</v>
      </c>
      <c r="D1438" s="880" t="s">
        <v>55</v>
      </c>
      <c r="E1438" s="714">
        <v>300</v>
      </c>
      <c r="F1438" s="714"/>
      <c r="G1438" s="714"/>
      <c r="H1438" s="714"/>
      <c r="I1438" s="714"/>
      <c r="J1438" s="714">
        <f>C1438*E1438</f>
        <v>27000</v>
      </c>
      <c r="K1438" s="714">
        <f>I1438+J1438</f>
        <v>27000</v>
      </c>
      <c r="L1438" s="714"/>
      <c r="M1438" s="714"/>
      <c r="N1438" s="714"/>
      <c r="O1438" s="753">
        <f t="shared" si="101"/>
        <v>27000</v>
      </c>
      <c r="P1438" s="754"/>
    </row>
    <row r="1439" spans="1:16" ht="17.25" customHeight="1" x14ac:dyDescent="0.25">
      <c r="A1439" s="742"/>
      <c r="B1439" s="756"/>
      <c r="C1439" s="713"/>
      <c r="D1439" s="880"/>
      <c r="E1439" s="714"/>
      <c r="F1439" s="714"/>
      <c r="G1439" s="714"/>
      <c r="H1439" s="714"/>
      <c r="I1439" s="714"/>
      <c r="J1439" s="714"/>
      <c r="K1439" s="714"/>
      <c r="L1439" s="714"/>
      <c r="M1439" s="714"/>
      <c r="N1439" s="714"/>
      <c r="O1439" s="753"/>
      <c r="P1439" s="754"/>
    </row>
    <row r="1440" spans="1:16" ht="17.25" customHeight="1" x14ac:dyDescent="0.25">
      <c r="A1440" s="742">
        <v>6</v>
      </c>
      <c r="B1440" s="756" t="s">
        <v>57</v>
      </c>
      <c r="C1440" s="713"/>
      <c r="D1440" s="880"/>
      <c r="E1440" s="714"/>
      <c r="F1440" s="714"/>
      <c r="G1440" s="714"/>
      <c r="H1440" s="714"/>
      <c r="I1440" s="714"/>
      <c r="J1440" s="714"/>
      <c r="K1440" s="714"/>
      <c r="L1440" s="714"/>
      <c r="M1440" s="714"/>
      <c r="N1440" s="714"/>
      <c r="O1440" s="753">
        <f>N1440+K1440+H1440</f>
        <v>0</v>
      </c>
      <c r="P1440" s="754"/>
    </row>
    <row r="1441" spans="1:89" ht="17.25" customHeight="1" x14ac:dyDescent="0.25">
      <c r="A1441" s="742"/>
      <c r="B1441" s="756" t="s">
        <v>161</v>
      </c>
      <c r="C1441" s="713">
        <v>0</v>
      </c>
      <c r="D1441" s="880" t="s">
        <v>119</v>
      </c>
      <c r="E1441" s="714">
        <v>15000</v>
      </c>
      <c r="F1441" s="714"/>
      <c r="G1441" s="714"/>
      <c r="H1441" s="714"/>
      <c r="I1441" s="714"/>
      <c r="J1441" s="714"/>
      <c r="K1441" s="714"/>
      <c r="L1441" s="714">
        <f>C1441*E1441</f>
        <v>0</v>
      </c>
      <c r="M1441" s="714"/>
      <c r="N1441" s="714">
        <f>L1441+M1441</f>
        <v>0</v>
      </c>
      <c r="O1441" s="753">
        <f>N1441+K1441+H1441</f>
        <v>0</v>
      </c>
      <c r="P1441" s="754"/>
    </row>
    <row r="1442" spans="1:89" ht="17.25" customHeight="1" x14ac:dyDescent="0.25">
      <c r="A1442" s="881"/>
      <c r="B1442" s="907"/>
      <c r="C1442" s="719"/>
      <c r="D1442" s="883"/>
      <c r="E1442" s="721"/>
      <c r="F1442" s="721"/>
      <c r="G1442" s="721"/>
      <c r="H1442" s="721"/>
      <c r="I1442" s="721"/>
      <c r="J1442" s="721"/>
      <c r="K1442" s="721"/>
      <c r="L1442" s="721"/>
      <c r="M1442" s="721"/>
      <c r="N1442" s="721"/>
      <c r="O1442" s="884"/>
      <c r="P1442" s="754"/>
    </row>
    <row r="1443" spans="1:89" ht="20.25" customHeight="1" x14ac:dyDescent="0.25">
      <c r="A1443" s="1352">
        <v>26</v>
      </c>
      <c r="B1443" s="1367" t="s">
        <v>162</v>
      </c>
      <c r="C1443" s="1212"/>
      <c r="D1443" s="1213"/>
      <c r="E1443" s="1214"/>
      <c r="F1443" s="1290">
        <f>F1445+F1456+F1459+F1462+F1474</f>
        <v>0</v>
      </c>
      <c r="G1443" s="1290">
        <f>G1445+G1456+G1459+G1462+G1474</f>
        <v>0</v>
      </c>
      <c r="H1443" s="1214">
        <f>G1443+F1443</f>
        <v>0</v>
      </c>
      <c r="I1443" s="1290">
        <f>I1445+I1456+I1459+I1462+I1474</f>
        <v>0</v>
      </c>
      <c r="J1443" s="1290">
        <f>J1445+J1456+J1459+J1462+J1474</f>
        <v>7296830</v>
      </c>
      <c r="K1443" s="1214">
        <f>J1443+I1443</f>
        <v>7296830</v>
      </c>
      <c r="L1443" s="1290">
        <f>L1445+L1456+L1459+L1462+L1474</f>
        <v>6847964</v>
      </c>
      <c r="M1443" s="1290">
        <f>M1445+M1456+M1459+M1462+M1474</f>
        <v>0</v>
      </c>
      <c r="N1443" s="1214">
        <f>M1443+L1443</f>
        <v>6847964</v>
      </c>
      <c r="O1443" s="1215">
        <f t="shared" ref="O1443:O1450" si="102">N1443+K1443+H1443</f>
        <v>14144794</v>
      </c>
      <c r="P1443" s="680"/>
    </row>
    <row r="1444" spans="1:89" ht="17.25" customHeight="1" x14ac:dyDescent="0.25">
      <c r="A1444" s="730"/>
      <c r="B1444" s="873"/>
      <c r="C1444" s="682"/>
      <c r="D1444" s="683"/>
      <c r="E1444" s="685"/>
      <c r="F1444" s="685"/>
      <c r="G1444" s="685"/>
      <c r="H1444" s="685"/>
      <c r="I1444" s="685"/>
      <c r="J1444" s="685"/>
      <c r="K1444" s="685"/>
      <c r="L1444" s="685"/>
      <c r="M1444" s="685"/>
      <c r="N1444" s="685"/>
      <c r="O1444" s="686">
        <f t="shared" si="102"/>
        <v>0</v>
      </c>
      <c r="P1444" s="687"/>
    </row>
    <row r="1445" spans="1:89" s="672" customFormat="1" ht="37.5" customHeight="1" x14ac:dyDescent="0.25">
      <c r="A1445" s="737" t="s">
        <v>15</v>
      </c>
      <c r="B1445" s="1372" t="s">
        <v>1156</v>
      </c>
      <c r="C1445" s="828"/>
      <c r="D1445" s="1369"/>
      <c r="E1445" s="705"/>
      <c r="F1445" s="874">
        <f>SUM(F1446:F1455)</f>
        <v>0</v>
      </c>
      <c r="G1445" s="874">
        <f>SUM(G1446:G1455)</f>
        <v>0</v>
      </c>
      <c r="H1445" s="705">
        <f>F1445+G1445</f>
        <v>0</v>
      </c>
      <c r="I1445" s="874">
        <f>SUM(I1446:I1455)</f>
        <v>0</v>
      </c>
      <c r="J1445" s="874">
        <f>SUM(J1446:J1455)</f>
        <v>0</v>
      </c>
      <c r="K1445" s="705">
        <f>I1445+J1445</f>
        <v>0</v>
      </c>
      <c r="L1445" s="874">
        <f>SUM(L1446:L1453)</f>
        <v>6847964</v>
      </c>
      <c r="M1445" s="874">
        <f>SUM(M1446:M1455)</f>
        <v>0</v>
      </c>
      <c r="N1445" s="705">
        <f t="shared" ref="N1445:N1450" si="103">L1445+M1445</f>
        <v>6847964</v>
      </c>
      <c r="O1445" s="1370">
        <f t="shared" si="102"/>
        <v>6847964</v>
      </c>
      <c r="P1445" s="829"/>
      <c r="Q1445" s="1581"/>
      <c r="R1445" s="1581"/>
      <c r="S1445" s="1581"/>
      <c r="T1445" s="1581"/>
      <c r="U1445" s="1581"/>
      <c r="V1445" s="1581"/>
      <c r="W1445" s="1581"/>
      <c r="X1445" s="1581"/>
      <c r="Y1445" s="1581"/>
      <c r="Z1445" s="1581"/>
      <c r="AA1445" s="1581"/>
      <c r="AB1445" s="1581"/>
      <c r="AC1445" s="1581"/>
      <c r="AD1445" s="1581"/>
      <c r="AE1445" s="1581"/>
      <c r="AF1445" s="1581"/>
      <c r="AG1445" s="1581"/>
      <c r="AH1445" s="1581"/>
      <c r="AI1445" s="1581"/>
      <c r="AJ1445" s="1581"/>
      <c r="AK1445" s="1581"/>
      <c r="AL1445" s="1581"/>
      <c r="AM1445" s="1581"/>
      <c r="AN1445" s="1581"/>
      <c r="AO1445" s="1581"/>
      <c r="AP1445" s="1581"/>
      <c r="AQ1445" s="1581"/>
      <c r="AR1445" s="1581"/>
      <c r="AS1445" s="1581"/>
      <c r="AT1445" s="1581"/>
      <c r="AU1445" s="1581"/>
      <c r="AV1445" s="1581"/>
      <c r="AW1445" s="1581"/>
      <c r="AX1445" s="1581"/>
      <c r="AY1445" s="1581"/>
      <c r="AZ1445" s="1581"/>
      <c r="BA1445" s="1581"/>
      <c r="BB1445" s="1581"/>
      <c r="BC1445" s="1581"/>
      <c r="BD1445" s="1581"/>
      <c r="BE1445" s="1581"/>
      <c r="BF1445" s="1581"/>
      <c r="BG1445" s="1581"/>
      <c r="BH1445" s="1581"/>
      <c r="BI1445" s="1581"/>
      <c r="BJ1445" s="1581"/>
      <c r="BK1445" s="1581"/>
      <c r="BL1445" s="1581"/>
      <c r="BM1445" s="1581"/>
      <c r="BN1445" s="1581"/>
      <c r="BO1445" s="1581"/>
      <c r="BP1445" s="1581"/>
      <c r="BQ1445" s="1581"/>
      <c r="BR1445" s="1581"/>
      <c r="BS1445" s="1581"/>
      <c r="BT1445" s="1581"/>
      <c r="BU1445" s="1581"/>
      <c r="BV1445" s="1581"/>
      <c r="BW1445" s="1581"/>
      <c r="BX1445" s="1581"/>
      <c r="BY1445" s="1581"/>
      <c r="BZ1445" s="1581"/>
      <c r="CA1445" s="1581"/>
      <c r="CB1445" s="1581"/>
      <c r="CC1445" s="1581"/>
      <c r="CD1445" s="1581"/>
      <c r="CE1445" s="1581"/>
      <c r="CF1445" s="1581"/>
      <c r="CG1445" s="1581"/>
      <c r="CH1445" s="1581"/>
      <c r="CI1445" s="1581"/>
      <c r="CJ1445" s="1581"/>
      <c r="CK1445" s="1581"/>
    </row>
    <row r="1446" spans="1:89" ht="17.25" customHeight="1" x14ac:dyDescent="0.25">
      <c r="A1446" s="692">
        <v>1</v>
      </c>
      <c r="B1446" s="711" t="s">
        <v>642</v>
      </c>
      <c r="C1446" s="713">
        <v>1</v>
      </c>
      <c r="D1446" s="727" t="s">
        <v>16</v>
      </c>
      <c r="E1446" s="695">
        <f>2000000-1000000</f>
        <v>1000000</v>
      </c>
      <c r="F1446" s="695"/>
      <c r="G1446" s="695"/>
      <c r="H1446" s="695"/>
      <c r="I1446" s="695"/>
      <c r="J1446" s="695"/>
      <c r="K1446" s="695"/>
      <c r="L1446" s="695">
        <f>E1446*C1446</f>
        <v>1000000</v>
      </c>
      <c r="M1446" s="695"/>
      <c r="N1446" s="695">
        <f t="shared" si="103"/>
        <v>1000000</v>
      </c>
      <c r="O1446" s="696">
        <f t="shared" si="102"/>
        <v>1000000</v>
      </c>
      <c r="P1446" s="687"/>
    </row>
    <row r="1447" spans="1:89" ht="17.25" customHeight="1" x14ac:dyDescent="0.25">
      <c r="A1447" s="692">
        <v>2</v>
      </c>
      <c r="B1447" s="711" t="s">
        <v>643</v>
      </c>
      <c r="C1447" s="713">
        <v>1</v>
      </c>
      <c r="D1447" s="727" t="s">
        <v>16</v>
      </c>
      <c r="E1447" s="695">
        <f>2000000-500000</f>
        <v>1500000</v>
      </c>
      <c r="F1447" s="695"/>
      <c r="G1447" s="695"/>
      <c r="H1447" s="695"/>
      <c r="I1447" s="695"/>
      <c r="J1447" s="695"/>
      <c r="K1447" s="695"/>
      <c r="L1447" s="695">
        <f>E1447*C1447</f>
        <v>1500000</v>
      </c>
      <c r="M1447" s="695"/>
      <c r="N1447" s="695">
        <f t="shared" si="103"/>
        <v>1500000</v>
      </c>
      <c r="O1447" s="696">
        <f t="shared" si="102"/>
        <v>1500000</v>
      </c>
      <c r="P1447" s="687"/>
    </row>
    <row r="1448" spans="1:89" ht="17.25" customHeight="1" x14ac:dyDescent="0.25">
      <c r="A1448" s="692">
        <v>3</v>
      </c>
      <c r="B1448" s="711" t="s">
        <v>644</v>
      </c>
      <c r="C1448" s="713">
        <v>1</v>
      </c>
      <c r="D1448" s="727" t="s">
        <v>16</v>
      </c>
      <c r="E1448" s="695">
        <f>980179+538085</f>
        <v>1518264</v>
      </c>
      <c r="F1448" s="695"/>
      <c r="G1448" s="695"/>
      <c r="H1448" s="695"/>
      <c r="I1448" s="695"/>
      <c r="J1448" s="695"/>
      <c r="K1448" s="695"/>
      <c r="L1448" s="695">
        <f>E1448*C1448</f>
        <v>1518264</v>
      </c>
      <c r="M1448" s="695"/>
      <c r="N1448" s="695">
        <f t="shared" si="103"/>
        <v>1518264</v>
      </c>
      <c r="O1448" s="696">
        <f t="shared" si="102"/>
        <v>1518264</v>
      </c>
      <c r="P1448" s="687"/>
    </row>
    <row r="1449" spans="1:89" ht="17.25" customHeight="1" x14ac:dyDescent="0.25">
      <c r="A1449" s="692">
        <v>4</v>
      </c>
      <c r="B1449" s="711" t="s">
        <v>645</v>
      </c>
      <c r="C1449" s="713">
        <v>1</v>
      </c>
      <c r="D1449" s="727" t="s">
        <v>16</v>
      </c>
      <c r="E1449" s="695">
        <v>1000000</v>
      </c>
      <c r="F1449" s="695"/>
      <c r="G1449" s="695"/>
      <c r="H1449" s="695"/>
      <c r="I1449" s="695"/>
      <c r="J1449" s="695"/>
      <c r="K1449" s="695"/>
      <c r="L1449" s="695">
        <f>E1449*C1449</f>
        <v>1000000</v>
      </c>
      <c r="M1449" s="695"/>
      <c r="N1449" s="695">
        <f t="shared" si="103"/>
        <v>1000000</v>
      </c>
      <c r="O1449" s="696">
        <f t="shared" si="102"/>
        <v>1000000</v>
      </c>
      <c r="P1449" s="687"/>
    </row>
    <row r="1450" spans="1:89" ht="17.25" customHeight="1" x14ac:dyDescent="0.25">
      <c r="A1450" s="692">
        <v>5</v>
      </c>
      <c r="B1450" s="711" t="s">
        <v>646</v>
      </c>
      <c r="C1450" s="713">
        <v>1</v>
      </c>
      <c r="D1450" s="727" t="s">
        <v>16</v>
      </c>
      <c r="E1450" s="695">
        <v>1000000</v>
      </c>
      <c r="F1450" s="695"/>
      <c r="G1450" s="695"/>
      <c r="H1450" s="695"/>
      <c r="I1450" s="695"/>
      <c r="J1450" s="695"/>
      <c r="K1450" s="695"/>
      <c r="L1450" s="695">
        <f>E1450*C1450</f>
        <v>1000000</v>
      </c>
      <c r="M1450" s="695"/>
      <c r="N1450" s="695">
        <f t="shared" si="103"/>
        <v>1000000</v>
      </c>
      <c r="O1450" s="696">
        <f t="shared" si="102"/>
        <v>1000000</v>
      </c>
      <c r="P1450" s="687"/>
    </row>
    <row r="1451" spans="1:89" ht="17.25" customHeight="1" x14ac:dyDescent="0.25">
      <c r="A1451" s="692"/>
      <c r="B1451" s="711"/>
      <c r="C1451" s="713"/>
      <c r="D1451" s="727"/>
      <c r="E1451" s="695"/>
      <c r="F1451" s="695"/>
      <c r="G1451" s="695"/>
      <c r="H1451" s="695"/>
      <c r="I1451" s="695"/>
      <c r="J1451" s="695"/>
      <c r="K1451" s="695"/>
      <c r="L1451" s="695"/>
      <c r="M1451" s="695"/>
      <c r="N1451" s="695"/>
      <c r="O1451" s="696"/>
      <c r="P1451" s="687"/>
    </row>
    <row r="1452" spans="1:89" ht="17.25" customHeight="1" x14ac:dyDescent="0.25">
      <c r="A1452" s="692"/>
      <c r="B1452" s="711" t="s">
        <v>1672</v>
      </c>
      <c r="C1452" s="713"/>
      <c r="D1452" s="727"/>
      <c r="E1452" s="695"/>
      <c r="F1452" s="695"/>
      <c r="G1452" s="695"/>
      <c r="H1452" s="695"/>
      <c r="I1452" s="695"/>
      <c r="J1452" s="695"/>
      <c r="K1452" s="695"/>
      <c r="L1452" s="695"/>
      <c r="M1452" s="695"/>
      <c r="N1452" s="695"/>
      <c r="O1452" s="696"/>
      <c r="P1452" s="687"/>
    </row>
    <row r="1453" spans="1:89" s="672" customFormat="1" ht="17.25" customHeight="1" x14ac:dyDescent="0.25">
      <c r="A1453" s="740"/>
      <c r="B1453" s="752" t="s">
        <v>1685</v>
      </c>
      <c r="C1453" s="886">
        <v>1</v>
      </c>
      <c r="D1453" s="1403" t="s">
        <v>16</v>
      </c>
      <c r="E1453" s="874">
        <v>829700</v>
      </c>
      <c r="F1453" s="695"/>
      <c r="G1453" s="695"/>
      <c r="H1453" s="695"/>
      <c r="I1453" s="695"/>
      <c r="J1453" s="695"/>
      <c r="K1453" s="695"/>
      <c r="L1453" s="695">
        <f>E1453*C1453</f>
        <v>829700</v>
      </c>
      <c r="M1453" s="695"/>
      <c r="N1453" s="695">
        <f>L1453+M1453</f>
        <v>829700</v>
      </c>
      <c r="O1453" s="696">
        <f>N1453+K1453+H1453</f>
        <v>829700</v>
      </c>
      <c r="P1453" s="687"/>
      <c r="Q1453" s="1581"/>
      <c r="R1453" s="1581"/>
      <c r="S1453" s="1581"/>
      <c r="T1453" s="1581"/>
      <c r="U1453" s="1581"/>
      <c r="V1453" s="1581"/>
      <c r="W1453" s="1581"/>
      <c r="X1453" s="1581"/>
      <c r="Y1453" s="1581"/>
      <c r="Z1453" s="1581"/>
      <c r="AA1453" s="1581"/>
      <c r="AB1453" s="1581"/>
      <c r="AC1453" s="1581"/>
      <c r="AD1453" s="1581"/>
      <c r="AE1453" s="1581"/>
      <c r="AF1453" s="1581"/>
      <c r="AG1453" s="1581"/>
      <c r="AH1453" s="1581"/>
      <c r="AI1453" s="1581"/>
      <c r="AJ1453" s="1581"/>
      <c r="AK1453" s="1581"/>
      <c r="AL1453" s="1581"/>
      <c r="AM1453" s="1581"/>
      <c r="AN1453" s="1581"/>
      <c r="AO1453" s="1581"/>
      <c r="AP1453" s="1581"/>
      <c r="AQ1453" s="1581"/>
      <c r="AR1453" s="1581"/>
      <c r="AS1453" s="1581"/>
      <c r="AT1453" s="1581"/>
      <c r="AU1453" s="1581"/>
      <c r="AV1453" s="1581"/>
      <c r="AW1453" s="1581"/>
      <c r="AX1453" s="1581"/>
      <c r="AY1453" s="1581"/>
      <c r="AZ1453" s="1581"/>
      <c r="BA1453" s="1581"/>
      <c r="BB1453" s="1581"/>
      <c r="BC1453" s="1581"/>
      <c r="BD1453" s="1581"/>
      <c r="BE1453" s="1581"/>
      <c r="BF1453" s="1581"/>
      <c r="BG1453" s="1581"/>
      <c r="BH1453" s="1581"/>
      <c r="BI1453" s="1581"/>
      <c r="BJ1453" s="1581"/>
      <c r="BK1453" s="1581"/>
      <c r="BL1453" s="1581"/>
      <c r="BM1453" s="1581"/>
      <c r="BN1453" s="1581"/>
      <c r="BO1453" s="1581"/>
      <c r="BP1453" s="1581"/>
      <c r="BQ1453" s="1581"/>
      <c r="BR1453" s="1581"/>
      <c r="BS1453" s="1581"/>
      <c r="BT1453" s="1581"/>
      <c r="BU1453" s="1581"/>
      <c r="BV1453" s="1581"/>
      <c r="BW1453" s="1581"/>
      <c r="BX1453" s="1581"/>
      <c r="BY1453" s="1581"/>
      <c r="BZ1453" s="1581"/>
      <c r="CA1453" s="1581"/>
      <c r="CB1453" s="1581"/>
      <c r="CC1453" s="1581"/>
      <c r="CD1453" s="1581"/>
      <c r="CE1453" s="1581"/>
      <c r="CF1453" s="1581"/>
      <c r="CG1453" s="1581"/>
      <c r="CH1453" s="1581"/>
      <c r="CI1453" s="1581"/>
      <c r="CJ1453" s="1581"/>
      <c r="CK1453" s="1581"/>
    </row>
    <row r="1454" spans="1:89" ht="17.25" customHeight="1" x14ac:dyDescent="0.25">
      <c r="A1454" s="692"/>
      <c r="B1454" s="756"/>
      <c r="C1454" s="713"/>
      <c r="D1454" s="880"/>
      <c r="E1454" s="714"/>
      <c r="F1454" s="714"/>
      <c r="G1454" s="714"/>
      <c r="H1454" s="714"/>
      <c r="I1454" s="714"/>
      <c r="J1454" s="714"/>
      <c r="K1454" s="714"/>
      <c r="L1454" s="714"/>
      <c r="M1454" s="714"/>
      <c r="N1454" s="714"/>
      <c r="O1454" s="753"/>
      <c r="P1454" s="754"/>
    </row>
    <row r="1455" spans="1:89" ht="17.25" customHeight="1" x14ac:dyDescent="0.25">
      <c r="A1455" s="692"/>
      <c r="B1455" s="756"/>
      <c r="C1455" s="713"/>
      <c r="D1455" s="880"/>
      <c r="E1455" s="714"/>
      <c r="F1455" s="714"/>
      <c r="G1455" s="714"/>
      <c r="H1455" s="714"/>
      <c r="I1455" s="714"/>
      <c r="J1455" s="714"/>
      <c r="K1455" s="714"/>
      <c r="L1455" s="714"/>
      <c r="M1455" s="714"/>
      <c r="N1455" s="714"/>
      <c r="O1455" s="753"/>
      <c r="P1455" s="754"/>
    </row>
    <row r="1456" spans="1:89" ht="17.25" customHeight="1" x14ac:dyDescent="0.25">
      <c r="A1456" s="740" t="s">
        <v>17</v>
      </c>
      <c r="B1456" s="752" t="s">
        <v>105</v>
      </c>
      <c r="C1456" s="886"/>
      <c r="D1456" s="1403"/>
      <c r="E1456" s="705"/>
      <c r="F1456" s="705">
        <f>SUM(F1457:F1457)</f>
        <v>0</v>
      </c>
      <c r="G1456" s="705">
        <f>SUM(G1457:G1457)</f>
        <v>0</v>
      </c>
      <c r="H1456" s="705">
        <f>F1456+G1456</f>
        <v>0</v>
      </c>
      <c r="I1456" s="705">
        <f>SUM(I1457:I1457)</f>
        <v>0</v>
      </c>
      <c r="J1456" s="705">
        <f>SUM(J1457:J1457)</f>
        <v>4000000</v>
      </c>
      <c r="K1456" s="705">
        <f>I1456+J1456</f>
        <v>4000000</v>
      </c>
      <c r="L1456" s="705">
        <f>SUM(L1457:L1457)</f>
        <v>0</v>
      </c>
      <c r="M1456" s="705">
        <f>SUM(M1457:M1457)</f>
        <v>0</v>
      </c>
      <c r="N1456" s="705">
        <f>L1456+M1456</f>
        <v>0</v>
      </c>
      <c r="O1456" s="1370">
        <f>N1456+K1456+H1456</f>
        <v>4000000</v>
      </c>
      <c r="P1456" s="829"/>
    </row>
    <row r="1457" spans="1:89" ht="17.25" customHeight="1" x14ac:dyDescent="0.25">
      <c r="A1457" s="692"/>
      <c r="B1457" s="756" t="s">
        <v>1561</v>
      </c>
      <c r="C1457" s="693">
        <v>1</v>
      </c>
      <c r="D1457" s="739" t="s">
        <v>16</v>
      </c>
      <c r="E1457" s="695">
        <f>5000000-1000000</f>
        <v>4000000</v>
      </c>
      <c r="F1457" s="695"/>
      <c r="G1457" s="695"/>
      <c r="H1457" s="695"/>
      <c r="I1457" s="695"/>
      <c r="J1457" s="695">
        <f>E1457*C1457</f>
        <v>4000000</v>
      </c>
      <c r="K1457" s="695">
        <f>J1457+I1457</f>
        <v>4000000</v>
      </c>
      <c r="L1457" s="695"/>
      <c r="M1457" s="695"/>
      <c r="N1457" s="695">
        <f>M1457+L1457</f>
        <v>0</v>
      </c>
      <c r="O1457" s="696">
        <f>N1457+K1457+H1457</f>
        <v>4000000</v>
      </c>
      <c r="P1457" s="687"/>
    </row>
    <row r="1458" spans="1:89" ht="17.25" customHeight="1" x14ac:dyDescent="0.25">
      <c r="A1458" s="692"/>
      <c r="B1458" s="1501"/>
      <c r="C1458" s="713"/>
      <c r="D1458" s="739"/>
      <c r="E1458" s="874"/>
      <c r="F1458" s="695"/>
      <c r="G1458" s="695"/>
      <c r="H1458" s="695"/>
      <c r="I1458" s="695"/>
      <c r="J1458" s="695"/>
      <c r="K1458" s="695"/>
      <c r="L1458" s="695"/>
      <c r="M1458" s="695"/>
      <c r="N1458" s="695"/>
      <c r="O1458" s="696"/>
      <c r="P1458" s="687"/>
    </row>
    <row r="1459" spans="1:89" s="672" customFormat="1" ht="15.75" hidden="1" customHeight="1" x14ac:dyDescent="0.25">
      <c r="A1459" s="740"/>
      <c r="B1459" s="752" t="s">
        <v>647</v>
      </c>
      <c r="C1459" s="886"/>
      <c r="D1459" s="1403"/>
      <c r="E1459" s="874"/>
      <c r="F1459" s="874">
        <f>SUM(F1460:F1461)</f>
        <v>0</v>
      </c>
      <c r="G1459" s="874">
        <f>SUM(G1460:G1461)</f>
        <v>0</v>
      </c>
      <c r="H1459" s="874">
        <f>F1459+G1459</f>
        <v>0</v>
      </c>
      <c r="I1459" s="874">
        <f>SUM(I1460:I1461)</f>
        <v>0</v>
      </c>
      <c r="J1459" s="874">
        <f>SUM(J1460:J1461)</f>
        <v>0</v>
      </c>
      <c r="K1459" s="874">
        <f>I1459+J1459</f>
        <v>0</v>
      </c>
      <c r="L1459" s="874">
        <f>SUM(L1460:L1461)</f>
        <v>0</v>
      </c>
      <c r="M1459" s="874">
        <f>SUM(M1460:M1461)</f>
        <v>0</v>
      </c>
      <c r="N1459" s="874">
        <f>L1459+M1459</f>
        <v>0</v>
      </c>
      <c r="O1459" s="775">
        <f t="shared" ref="O1459:O1464" si="104">N1459+K1459+H1459</f>
        <v>0</v>
      </c>
      <c r="P1459" s="776"/>
      <c r="Q1459" s="1581"/>
      <c r="R1459" s="1581"/>
      <c r="S1459" s="1581"/>
      <c r="T1459" s="1581"/>
      <c r="U1459" s="1581"/>
      <c r="V1459" s="1581"/>
      <c r="W1459" s="1581"/>
      <c r="X1459" s="1581"/>
      <c r="Y1459" s="1581"/>
      <c r="Z1459" s="1581"/>
      <c r="AA1459" s="1581"/>
      <c r="AB1459" s="1581"/>
      <c r="AC1459" s="1581"/>
      <c r="AD1459" s="1581"/>
      <c r="AE1459" s="1581"/>
      <c r="AF1459" s="1581"/>
      <c r="AG1459" s="1581"/>
      <c r="AH1459" s="1581"/>
      <c r="AI1459" s="1581"/>
      <c r="AJ1459" s="1581"/>
      <c r="AK1459" s="1581"/>
      <c r="AL1459" s="1581"/>
      <c r="AM1459" s="1581"/>
      <c r="AN1459" s="1581"/>
      <c r="AO1459" s="1581"/>
      <c r="AP1459" s="1581"/>
      <c r="AQ1459" s="1581"/>
      <c r="AR1459" s="1581"/>
      <c r="AS1459" s="1581"/>
      <c r="AT1459" s="1581"/>
      <c r="AU1459" s="1581"/>
      <c r="AV1459" s="1581"/>
      <c r="AW1459" s="1581"/>
      <c r="AX1459" s="1581"/>
      <c r="AY1459" s="1581"/>
      <c r="AZ1459" s="1581"/>
      <c r="BA1459" s="1581"/>
      <c r="BB1459" s="1581"/>
      <c r="BC1459" s="1581"/>
      <c r="BD1459" s="1581"/>
      <c r="BE1459" s="1581"/>
      <c r="BF1459" s="1581"/>
      <c r="BG1459" s="1581"/>
      <c r="BH1459" s="1581"/>
      <c r="BI1459" s="1581"/>
      <c r="BJ1459" s="1581"/>
      <c r="BK1459" s="1581"/>
      <c r="BL1459" s="1581"/>
      <c r="BM1459" s="1581"/>
      <c r="BN1459" s="1581"/>
      <c r="BO1459" s="1581"/>
      <c r="BP1459" s="1581"/>
      <c r="BQ1459" s="1581"/>
      <c r="BR1459" s="1581"/>
      <c r="BS1459" s="1581"/>
      <c r="BT1459" s="1581"/>
      <c r="BU1459" s="1581"/>
      <c r="BV1459" s="1581"/>
      <c r="BW1459" s="1581"/>
      <c r="BX1459" s="1581"/>
      <c r="BY1459" s="1581"/>
      <c r="BZ1459" s="1581"/>
      <c r="CA1459" s="1581"/>
      <c r="CB1459" s="1581"/>
      <c r="CC1459" s="1581"/>
      <c r="CD1459" s="1581"/>
      <c r="CE1459" s="1581"/>
      <c r="CF1459" s="1581"/>
      <c r="CG1459" s="1581"/>
      <c r="CH1459" s="1581"/>
      <c r="CI1459" s="1581"/>
      <c r="CJ1459" s="1581"/>
      <c r="CK1459" s="1581"/>
    </row>
    <row r="1460" spans="1:89" ht="15.75" hidden="1" customHeight="1" x14ac:dyDescent="0.25">
      <c r="A1460" s="692"/>
      <c r="B1460" s="744" t="s">
        <v>648</v>
      </c>
      <c r="C1460" s="713">
        <v>0</v>
      </c>
      <c r="D1460" s="880" t="s">
        <v>16</v>
      </c>
      <c r="E1460" s="714">
        <v>3000000</v>
      </c>
      <c r="F1460" s="714"/>
      <c r="G1460" s="714"/>
      <c r="H1460" s="714"/>
      <c r="I1460" s="714"/>
      <c r="J1460" s="714">
        <f>E1460*C1460</f>
        <v>0</v>
      </c>
      <c r="K1460" s="714">
        <f>J1460+I1460</f>
        <v>0</v>
      </c>
      <c r="L1460" s="714"/>
      <c r="M1460" s="714"/>
      <c r="N1460" s="714"/>
      <c r="O1460" s="753">
        <f t="shared" si="104"/>
        <v>0</v>
      </c>
      <c r="P1460" s="754"/>
    </row>
    <row r="1461" spans="1:89" ht="17.25" hidden="1" customHeight="1" x14ac:dyDescent="0.25">
      <c r="A1461" s="692"/>
      <c r="B1461" s="715" t="s">
        <v>1737</v>
      </c>
      <c r="C1461" s="713">
        <v>0</v>
      </c>
      <c r="D1461" s="880" t="s">
        <v>16</v>
      </c>
      <c r="E1461" s="714">
        <v>2000000</v>
      </c>
      <c r="F1461" s="714"/>
      <c r="G1461" s="714"/>
      <c r="H1461" s="714"/>
      <c r="I1461" s="714"/>
      <c r="J1461" s="714">
        <f>E1461*C1461</f>
        <v>0</v>
      </c>
      <c r="K1461" s="714">
        <f>J1461+I1461</f>
        <v>0</v>
      </c>
      <c r="L1461" s="714"/>
      <c r="M1461" s="714"/>
      <c r="N1461" s="714">
        <f>M1461+L1461</f>
        <v>0</v>
      </c>
      <c r="O1461" s="753">
        <f t="shared" si="104"/>
        <v>0</v>
      </c>
      <c r="P1461" s="754"/>
    </row>
    <row r="1462" spans="1:89" s="672" customFormat="1" ht="17.25" customHeight="1" x14ac:dyDescent="0.25">
      <c r="A1462" s="740" t="s">
        <v>22</v>
      </c>
      <c r="B1462" s="1393" t="s">
        <v>23</v>
      </c>
      <c r="C1462" s="886"/>
      <c r="D1462" s="1403"/>
      <c r="E1462" s="874"/>
      <c r="F1462" s="874">
        <f>SUM(F1463:F1472)</f>
        <v>0</v>
      </c>
      <c r="G1462" s="874">
        <f>SUM(G1463:G1472)</f>
        <v>0</v>
      </c>
      <c r="H1462" s="874">
        <f>F1462+G1462</f>
        <v>0</v>
      </c>
      <c r="I1462" s="874">
        <f>SUM(I1463:I1472)</f>
        <v>0</v>
      </c>
      <c r="J1462" s="874">
        <f>SUM(J1463:J1472)</f>
        <v>2788030</v>
      </c>
      <c r="K1462" s="874">
        <f>I1462+J1462</f>
        <v>2788030</v>
      </c>
      <c r="L1462" s="874">
        <f>SUM(L1463:L1472)</f>
        <v>0</v>
      </c>
      <c r="M1462" s="874">
        <f>SUM(M1463:M1472)</f>
        <v>0</v>
      </c>
      <c r="N1462" s="874">
        <f>L1462+M1462</f>
        <v>0</v>
      </c>
      <c r="O1462" s="775">
        <f t="shared" si="104"/>
        <v>2788030</v>
      </c>
      <c r="P1462" s="776"/>
      <c r="Q1462" s="1581"/>
      <c r="R1462" s="1581"/>
      <c r="S1462" s="1581"/>
      <c r="T1462" s="1581"/>
      <c r="U1462" s="1581"/>
      <c r="V1462" s="1581"/>
      <c r="W1462" s="1581"/>
      <c r="X1462" s="1581"/>
      <c r="Y1462" s="1581"/>
      <c r="Z1462" s="1581"/>
      <c r="AA1462" s="1581"/>
      <c r="AB1462" s="1581"/>
      <c r="AC1462" s="1581"/>
      <c r="AD1462" s="1581"/>
      <c r="AE1462" s="1581"/>
      <c r="AF1462" s="1581"/>
      <c r="AG1462" s="1581"/>
      <c r="AH1462" s="1581"/>
      <c r="AI1462" s="1581"/>
      <c r="AJ1462" s="1581"/>
      <c r="AK1462" s="1581"/>
      <c r="AL1462" s="1581"/>
      <c r="AM1462" s="1581"/>
      <c r="AN1462" s="1581"/>
      <c r="AO1462" s="1581"/>
      <c r="AP1462" s="1581"/>
      <c r="AQ1462" s="1581"/>
      <c r="AR1462" s="1581"/>
      <c r="AS1462" s="1581"/>
      <c r="AT1462" s="1581"/>
      <c r="AU1462" s="1581"/>
      <c r="AV1462" s="1581"/>
      <c r="AW1462" s="1581"/>
      <c r="AX1462" s="1581"/>
      <c r="AY1462" s="1581"/>
      <c r="AZ1462" s="1581"/>
      <c r="BA1462" s="1581"/>
      <c r="BB1462" s="1581"/>
      <c r="BC1462" s="1581"/>
      <c r="BD1462" s="1581"/>
      <c r="BE1462" s="1581"/>
      <c r="BF1462" s="1581"/>
      <c r="BG1462" s="1581"/>
      <c r="BH1462" s="1581"/>
      <c r="BI1462" s="1581"/>
      <c r="BJ1462" s="1581"/>
      <c r="BK1462" s="1581"/>
      <c r="BL1462" s="1581"/>
      <c r="BM1462" s="1581"/>
      <c r="BN1462" s="1581"/>
      <c r="BO1462" s="1581"/>
      <c r="BP1462" s="1581"/>
      <c r="BQ1462" s="1581"/>
      <c r="BR1462" s="1581"/>
      <c r="BS1462" s="1581"/>
      <c r="BT1462" s="1581"/>
      <c r="BU1462" s="1581"/>
      <c r="BV1462" s="1581"/>
      <c r="BW1462" s="1581"/>
      <c r="BX1462" s="1581"/>
      <c r="BY1462" s="1581"/>
      <c r="BZ1462" s="1581"/>
      <c r="CA1462" s="1581"/>
      <c r="CB1462" s="1581"/>
      <c r="CC1462" s="1581"/>
      <c r="CD1462" s="1581"/>
      <c r="CE1462" s="1581"/>
      <c r="CF1462" s="1581"/>
      <c r="CG1462" s="1581"/>
      <c r="CH1462" s="1581"/>
      <c r="CI1462" s="1581"/>
      <c r="CJ1462" s="1581"/>
      <c r="CK1462" s="1581"/>
    </row>
    <row r="1463" spans="1:89" ht="17.25" customHeight="1" x14ac:dyDescent="0.25">
      <c r="A1463" s="692">
        <v>1</v>
      </c>
      <c r="B1463" s="757" t="s">
        <v>21</v>
      </c>
      <c r="C1463" s="713"/>
      <c r="D1463" s="880"/>
      <c r="E1463" s="714"/>
      <c r="F1463" s="714"/>
      <c r="G1463" s="714"/>
      <c r="H1463" s="714"/>
      <c r="I1463" s="714"/>
      <c r="J1463" s="714"/>
      <c r="K1463" s="714"/>
      <c r="L1463" s="714"/>
      <c r="M1463" s="714"/>
      <c r="N1463" s="714"/>
      <c r="O1463" s="753">
        <f t="shared" si="104"/>
        <v>0</v>
      </c>
      <c r="P1463" s="754"/>
    </row>
    <row r="1464" spans="1:89" ht="17.25" customHeight="1" x14ac:dyDescent="0.25">
      <c r="A1464" s="692"/>
      <c r="B1464" s="715" t="s">
        <v>137</v>
      </c>
      <c r="C1464" s="713">
        <v>1</v>
      </c>
      <c r="D1464" s="880" t="s">
        <v>25</v>
      </c>
      <c r="E1464" s="714">
        <v>2738030</v>
      </c>
      <c r="F1464" s="714"/>
      <c r="G1464" s="714"/>
      <c r="H1464" s="714"/>
      <c r="I1464" s="714"/>
      <c r="J1464" s="714">
        <f>C1464*E1464</f>
        <v>2738030</v>
      </c>
      <c r="K1464" s="714">
        <f>I1464+J1464</f>
        <v>2738030</v>
      </c>
      <c r="L1464" s="714"/>
      <c r="M1464" s="714"/>
      <c r="N1464" s="714"/>
      <c r="O1464" s="753">
        <f t="shared" si="104"/>
        <v>2738030</v>
      </c>
      <c r="P1464" s="754"/>
    </row>
    <row r="1465" spans="1:89" ht="17.25" customHeight="1" x14ac:dyDescent="0.25">
      <c r="A1465" s="692"/>
      <c r="B1465" s="1780" t="s">
        <v>2000</v>
      </c>
      <c r="C1465" s="713"/>
      <c r="D1465" s="880"/>
      <c r="E1465" s="714"/>
      <c r="F1465" s="714"/>
      <c r="G1465" s="714"/>
      <c r="H1465" s="714"/>
      <c r="I1465" s="714"/>
      <c r="J1465" s="714"/>
      <c r="K1465" s="714"/>
      <c r="L1465" s="714"/>
      <c r="M1465" s="714"/>
      <c r="N1465" s="714"/>
      <c r="O1465" s="753"/>
      <c r="P1465" s="754"/>
    </row>
    <row r="1466" spans="1:89" ht="17.25" customHeight="1" x14ac:dyDescent="0.25">
      <c r="A1466" s="692"/>
      <c r="B1466" s="1780" t="s">
        <v>2001</v>
      </c>
      <c r="C1466" s="713"/>
      <c r="D1466" s="880"/>
      <c r="E1466" s="714"/>
      <c r="F1466" s="714">
        <v>0</v>
      </c>
      <c r="G1466" s="714"/>
      <c r="H1466" s="714"/>
      <c r="I1466" s="714"/>
      <c r="J1466" s="714"/>
      <c r="K1466" s="714"/>
      <c r="L1466" s="714"/>
      <c r="M1466" s="714"/>
      <c r="N1466" s="714"/>
      <c r="O1466" s="753"/>
      <c r="P1466" s="754"/>
    </row>
    <row r="1467" spans="1:89" ht="17.25" customHeight="1" x14ac:dyDescent="0.25">
      <c r="A1467" s="692"/>
      <c r="B1467" s="1780" t="s">
        <v>2002</v>
      </c>
      <c r="C1467" s="713"/>
      <c r="D1467" s="880"/>
      <c r="E1467" s="714"/>
      <c r="F1467" s="714"/>
      <c r="G1467" s="714"/>
      <c r="H1467" s="714"/>
      <c r="I1467" s="714"/>
      <c r="J1467" s="714"/>
      <c r="K1467" s="714"/>
      <c r="L1467" s="714"/>
      <c r="M1467" s="714"/>
      <c r="N1467" s="714"/>
      <c r="O1467" s="753"/>
      <c r="P1467" s="754"/>
    </row>
    <row r="1468" spans="1:89" ht="17.25" customHeight="1" x14ac:dyDescent="0.25">
      <c r="A1468" s="692"/>
      <c r="B1468" s="1780" t="s">
        <v>2003</v>
      </c>
      <c r="C1468" s="713"/>
      <c r="D1468" s="880"/>
      <c r="E1468" s="714"/>
      <c r="F1468" s="714"/>
      <c r="G1468" s="714"/>
      <c r="H1468" s="714"/>
      <c r="I1468" s="714"/>
      <c r="J1468" s="714"/>
      <c r="K1468" s="714"/>
      <c r="L1468" s="714"/>
      <c r="M1468" s="714"/>
      <c r="N1468" s="714"/>
      <c r="O1468" s="753"/>
      <c r="P1468" s="754"/>
    </row>
    <row r="1469" spans="1:89" ht="17.25" customHeight="1" x14ac:dyDescent="0.25">
      <c r="A1469" s="692"/>
      <c r="B1469" s="1780" t="s">
        <v>2004</v>
      </c>
      <c r="C1469" s="693"/>
      <c r="D1469" s="739"/>
      <c r="E1469" s="695"/>
      <c r="F1469" s="695"/>
      <c r="G1469" s="695"/>
      <c r="H1469" s="695"/>
      <c r="I1469" s="695"/>
      <c r="J1469" s="695"/>
      <c r="K1469" s="695"/>
      <c r="L1469" s="695"/>
      <c r="M1469" s="695"/>
      <c r="N1469" s="695"/>
      <c r="O1469" s="696"/>
      <c r="P1469" s="687"/>
    </row>
    <row r="1470" spans="1:89" ht="17.25" customHeight="1" x14ac:dyDescent="0.25">
      <c r="A1470" s="742"/>
      <c r="B1470" s="756"/>
      <c r="C1470" s="699"/>
      <c r="D1470" s="739"/>
      <c r="E1470" s="695"/>
      <c r="F1470" s="714"/>
      <c r="G1470" s="714"/>
      <c r="H1470" s="714"/>
      <c r="I1470" s="714"/>
      <c r="J1470" s="714"/>
      <c r="K1470" s="714"/>
      <c r="L1470" s="714"/>
      <c r="M1470" s="714"/>
      <c r="N1470" s="714"/>
      <c r="O1470" s="753"/>
      <c r="P1470" s="754"/>
    </row>
    <row r="1471" spans="1:89" ht="17.25" customHeight="1" x14ac:dyDescent="0.25">
      <c r="A1471" s="742">
        <v>2</v>
      </c>
      <c r="B1471" s="756" t="s">
        <v>19</v>
      </c>
      <c r="C1471" s="699"/>
      <c r="D1471" s="739"/>
      <c r="E1471" s="695"/>
      <c r="F1471" s="714"/>
      <c r="G1471" s="714"/>
      <c r="H1471" s="714"/>
      <c r="I1471" s="714"/>
      <c r="J1471" s="714"/>
      <c r="K1471" s="714"/>
      <c r="L1471" s="714"/>
      <c r="M1471" s="714"/>
      <c r="N1471" s="714"/>
      <c r="O1471" s="753">
        <f>N1471+K1471+H1471</f>
        <v>0</v>
      </c>
      <c r="P1471" s="754"/>
    </row>
    <row r="1472" spans="1:89" ht="17.25" customHeight="1" x14ac:dyDescent="0.25">
      <c r="A1472" s="742"/>
      <c r="B1472" s="893" t="s">
        <v>26</v>
      </c>
      <c r="C1472" s="699">
        <v>1</v>
      </c>
      <c r="D1472" s="739" t="s">
        <v>25</v>
      </c>
      <c r="E1472" s="695">
        <v>50000</v>
      </c>
      <c r="F1472" s="714"/>
      <c r="G1472" s="714"/>
      <c r="H1472" s="714"/>
      <c r="I1472" s="714"/>
      <c r="J1472" s="714">
        <f>C1472*E1472</f>
        <v>50000</v>
      </c>
      <c r="K1472" s="714">
        <f>I1472+J1472</f>
        <v>50000</v>
      </c>
      <c r="L1472" s="714"/>
      <c r="M1472" s="714"/>
      <c r="N1472" s="714"/>
      <c r="O1472" s="753">
        <f>N1472+K1472+H1472</f>
        <v>50000</v>
      </c>
      <c r="P1472" s="754"/>
    </row>
    <row r="1473" spans="1:89" ht="17.25" customHeight="1" x14ac:dyDescent="0.25">
      <c r="A1473" s="742"/>
      <c r="B1473" s="756"/>
      <c r="C1473" s="699"/>
      <c r="D1473" s="739"/>
      <c r="E1473" s="695"/>
      <c r="F1473" s="714"/>
      <c r="G1473" s="714"/>
      <c r="H1473" s="714"/>
      <c r="I1473" s="714"/>
      <c r="J1473" s="714"/>
      <c r="K1473" s="714"/>
      <c r="L1473" s="714"/>
      <c r="M1473" s="714"/>
      <c r="N1473" s="714"/>
      <c r="O1473" s="753"/>
      <c r="P1473" s="754"/>
    </row>
    <row r="1474" spans="1:89" s="672" customFormat="1" ht="17.25" customHeight="1" x14ac:dyDescent="0.25">
      <c r="A1474" s="737" t="s">
        <v>28</v>
      </c>
      <c r="B1474" s="752" t="s">
        <v>29</v>
      </c>
      <c r="C1474" s="1377"/>
      <c r="D1474" s="738"/>
      <c r="E1474" s="705"/>
      <c r="F1474" s="874">
        <f>SUM(F1476:F1503)</f>
        <v>0</v>
      </c>
      <c r="G1474" s="874">
        <f>SUM(G1476:G1503)</f>
        <v>0</v>
      </c>
      <c r="H1474" s="874">
        <f>G1474+F1474</f>
        <v>0</v>
      </c>
      <c r="I1474" s="874">
        <f>SUM(I1476:I1503)</f>
        <v>0</v>
      </c>
      <c r="J1474" s="874">
        <f>SUM(J1476:J1503)</f>
        <v>508800</v>
      </c>
      <c r="K1474" s="874">
        <f>J1474+I1474</f>
        <v>508800</v>
      </c>
      <c r="L1474" s="874">
        <f>SUM(L1476:L1503)</f>
        <v>0</v>
      </c>
      <c r="M1474" s="874">
        <f>SUM(M1476:M1503)</f>
        <v>0</v>
      </c>
      <c r="N1474" s="874">
        <f>M1474+L1474</f>
        <v>0</v>
      </c>
      <c r="O1474" s="775">
        <f>N1474+K1474+H1474</f>
        <v>508800</v>
      </c>
      <c r="P1474" s="776"/>
      <c r="Q1474" s="1581"/>
      <c r="R1474" s="1581"/>
      <c r="S1474" s="1581"/>
      <c r="T1474" s="1581"/>
      <c r="U1474" s="1581"/>
      <c r="V1474" s="1581"/>
      <c r="W1474" s="1581"/>
      <c r="X1474" s="1581"/>
      <c r="Y1474" s="1581"/>
      <c r="Z1474" s="1581"/>
      <c r="AA1474" s="1581"/>
      <c r="AB1474" s="1581"/>
      <c r="AC1474" s="1581"/>
      <c r="AD1474" s="1581"/>
      <c r="AE1474" s="1581"/>
      <c r="AF1474" s="1581"/>
      <c r="AG1474" s="1581"/>
      <c r="AH1474" s="1581"/>
      <c r="AI1474" s="1581"/>
      <c r="AJ1474" s="1581"/>
      <c r="AK1474" s="1581"/>
      <c r="AL1474" s="1581"/>
      <c r="AM1474" s="1581"/>
      <c r="AN1474" s="1581"/>
      <c r="AO1474" s="1581"/>
      <c r="AP1474" s="1581"/>
      <c r="AQ1474" s="1581"/>
      <c r="AR1474" s="1581"/>
      <c r="AS1474" s="1581"/>
      <c r="AT1474" s="1581"/>
      <c r="AU1474" s="1581"/>
      <c r="AV1474" s="1581"/>
      <c r="AW1474" s="1581"/>
      <c r="AX1474" s="1581"/>
      <c r="AY1474" s="1581"/>
      <c r="AZ1474" s="1581"/>
      <c r="BA1474" s="1581"/>
      <c r="BB1474" s="1581"/>
      <c r="BC1474" s="1581"/>
      <c r="BD1474" s="1581"/>
      <c r="BE1474" s="1581"/>
      <c r="BF1474" s="1581"/>
      <c r="BG1474" s="1581"/>
      <c r="BH1474" s="1581"/>
      <c r="BI1474" s="1581"/>
      <c r="BJ1474" s="1581"/>
      <c r="BK1474" s="1581"/>
      <c r="BL1474" s="1581"/>
      <c r="BM1474" s="1581"/>
      <c r="BN1474" s="1581"/>
      <c r="BO1474" s="1581"/>
      <c r="BP1474" s="1581"/>
      <c r="BQ1474" s="1581"/>
      <c r="BR1474" s="1581"/>
      <c r="BS1474" s="1581"/>
      <c r="BT1474" s="1581"/>
      <c r="BU1474" s="1581"/>
      <c r="BV1474" s="1581"/>
      <c r="BW1474" s="1581"/>
      <c r="BX1474" s="1581"/>
      <c r="BY1474" s="1581"/>
      <c r="BZ1474" s="1581"/>
      <c r="CA1474" s="1581"/>
      <c r="CB1474" s="1581"/>
      <c r="CC1474" s="1581"/>
      <c r="CD1474" s="1581"/>
      <c r="CE1474" s="1581"/>
      <c r="CF1474" s="1581"/>
      <c r="CG1474" s="1581"/>
      <c r="CH1474" s="1581"/>
      <c r="CI1474" s="1581"/>
      <c r="CJ1474" s="1581"/>
      <c r="CK1474" s="1581"/>
    </row>
    <row r="1475" spans="1:89" ht="17.25" customHeight="1" x14ac:dyDescent="0.25">
      <c r="A1475" s="742"/>
      <c r="B1475" s="756"/>
      <c r="C1475" s="699"/>
      <c r="D1475" s="739"/>
      <c r="E1475" s="695"/>
      <c r="F1475" s="714"/>
      <c r="G1475" s="714"/>
      <c r="H1475" s="714"/>
      <c r="I1475" s="714"/>
      <c r="J1475" s="714"/>
      <c r="K1475" s="714"/>
      <c r="L1475" s="714"/>
      <c r="M1475" s="714"/>
      <c r="N1475" s="714"/>
      <c r="O1475" s="753"/>
      <c r="P1475" s="754"/>
    </row>
    <row r="1476" spans="1:89" ht="17.25" customHeight="1" x14ac:dyDescent="0.25">
      <c r="A1476" s="742">
        <v>1</v>
      </c>
      <c r="B1476" s="756" t="s">
        <v>19</v>
      </c>
      <c r="C1476" s="699"/>
      <c r="D1476" s="739"/>
      <c r="E1476" s="695"/>
      <c r="F1476" s="714"/>
      <c r="G1476" s="714"/>
      <c r="H1476" s="714"/>
      <c r="I1476" s="714"/>
      <c r="J1476" s="714"/>
      <c r="K1476" s="714"/>
      <c r="L1476" s="714"/>
      <c r="M1476" s="714"/>
      <c r="N1476" s="714"/>
      <c r="O1476" s="753">
        <f>N1476+K1476+H1476</f>
        <v>0</v>
      </c>
      <c r="P1476" s="754"/>
    </row>
    <row r="1477" spans="1:89" ht="17.25" customHeight="1" x14ac:dyDescent="0.25">
      <c r="A1477" s="742"/>
      <c r="B1477" s="756" t="s">
        <v>30</v>
      </c>
      <c r="C1477" s="699">
        <v>12</v>
      </c>
      <c r="D1477" s="739" t="s">
        <v>20</v>
      </c>
      <c r="E1477" s="695">
        <v>1580</v>
      </c>
      <c r="F1477" s="714"/>
      <c r="G1477" s="714"/>
      <c r="H1477" s="714"/>
      <c r="I1477" s="714"/>
      <c r="J1477" s="714">
        <f>C1477*E1477</f>
        <v>18960</v>
      </c>
      <c r="K1477" s="714">
        <f>I1477+J1477</f>
        <v>18960</v>
      </c>
      <c r="L1477" s="714"/>
      <c r="M1477" s="714"/>
      <c r="N1477" s="714"/>
      <c r="O1477" s="753">
        <f>N1477+K1477+H1477</f>
        <v>18960</v>
      </c>
      <c r="P1477" s="754"/>
    </row>
    <row r="1478" spans="1:89" ht="17.25" customHeight="1" x14ac:dyDescent="0.25">
      <c r="A1478" s="742"/>
      <c r="B1478" s="756" t="s">
        <v>75</v>
      </c>
      <c r="C1478" s="699">
        <v>12</v>
      </c>
      <c r="D1478" s="739" t="s">
        <v>20</v>
      </c>
      <c r="E1478" s="695">
        <v>1330</v>
      </c>
      <c r="F1478" s="714"/>
      <c r="G1478" s="714"/>
      <c r="H1478" s="714"/>
      <c r="I1478" s="714"/>
      <c r="J1478" s="714">
        <f>C1478*E1478</f>
        <v>15960</v>
      </c>
      <c r="K1478" s="714">
        <f>I1478+J1478</f>
        <v>15960</v>
      </c>
      <c r="L1478" s="714"/>
      <c r="M1478" s="714"/>
      <c r="N1478" s="714"/>
      <c r="O1478" s="753">
        <f>N1478+K1478+H1478</f>
        <v>15960</v>
      </c>
      <c r="P1478" s="754"/>
    </row>
    <row r="1479" spans="1:89" ht="17.25" customHeight="1" x14ac:dyDescent="0.25">
      <c r="A1479" s="742"/>
      <c r="B1479" s="756" t="s">
        <v>31</v>
      </c>
      <c r="C1479" s="699">
        <v>12</v>
      </c>
      <c r="D1479" s="739" t="s">
        <v>20</v>
      </c>
      <c r="E1479" s="695">
        <v>1250</v>
      </c>
      <c r="F1479" s="714"/>
      <c r="G1479" s="714"/>
      <c r="H1479" s="714"/>
      <c r="I1479" s="714"/>
      <c r="J1479" s="714">
        <f>C1479*E1479</f>
        <v>15000</v>
      </c>
      <c r="K1479" s="714">
        <f>I1479+J1479</f>
        <v>15000</v>
      </c>
      <c r="L1479" s="714"/>
      <c r="M1479" s="714"/>
      <c r="N1479" s="714"/>
      <c r="O1479" s="753">
        <f t="shared" ref="O1479:O1503" si="105">N1479+K1479+H1479</f>
        <v>15000</v>
      </c>
      <c r="P1479" s="754"/>
    </row>
    <row r="1480" spans="1:89" ht="17.25" customHeight="1" x14ac:dyDescent="0.25">
      <c r="A1480" s="742"/>
      <c r="B1480" s="756" t="s">
        <v>32</v>
      </c>
      <c r="C1480" s="699">
        <v>12</v>
      </c>
      <c r="D1480" s="739" t="s">
        <v>20</v>
      </c>
      <c r="E1480" s="695">
        <v>1090</v>
      </c>
      <c r="F1480" s="714"/>
      <c r="G1480" s="714"/>
      <c r="H1480" s="714"/>
      <c r="I1480" s="714"/>
      <c r="J1480" s="714">
        <f>C1480*E1480</f>
        <v>13080</v>
      </c>
      <c r="K1480" s="714">
        <f>I1480+J1480</f>
        <v>13080</v>
      </c>
      <c r="L1480" s="714"/>
      <c r="M1480" s="714"/>
      <c r="N1480" s="714"/>
      <c r="O1480" s="753">
        <f t="shared" si="105"/>
        <v>13080</v>
      </c>
      <c r="P1480" s="754"/>
    </row>
    <row r="1481" spans="1:89" ht="17.25" customHeight="1" x14ac:dyDescent="0.25">
      <c r="A1481" s="742"/>
      <c r="B1481" s="756" t="s">
        <v>33</v>
      </c>
      <c r="C1481" s="699">
        <v>60</v>
      </c>
      <c r="D1481" s="739" t="s">
        <v>20</v>
      </c>
      <c r="E1481" s="695">
        <v>810</v>
      </c>
      <c r="F1481" s="714"/>
      <c r="G1481" s="714"/>
      <c r="H1481" s="714"/>
      <c r="I1481" s="714"/>
      <c r="J1481" s="714">
        <f>C1481*E1481</f>
        <v>48600</v>
      </c>
      <c r="K1481" s="714">
        <f>I1481+J1481</f>
        <v>48600</v>
      </c>
      <c r="L1481" s="714"/>
      <c r="M1481" s="714"/>
      <c r="N1481" s="714"/>
      <c r="O1481" s="753">
        <f t="shared" si="105"/>
        <v>48600</v>
      </c>
      <c r="P1481" s="754"/>
    </row>
    <row r="1482" spans="1:89" ht="17.25" customHeight="1" x14ac:dyDescent="0.25">
      <c r="A1482" s="742"/>
      <c r="B1482" s="756" t="s">
        <v>34</v>
      </c>
      <c r="C1482" s="699"/>
      <c r="D1482" s="739"/>
      <c r="E1482" s="695"/>
      <c r="F1482" s="714"/>
      <c r="G1482" s="714"/>
      <c r="H1482" s="714"/>
      <c r="I1482" s="714"/>
      <c r="J1482" s="714"/>
      <c r="K1482" s="714"/>
      <c r="L1482" s="714"/>
      <c r="M1482" s="714"/>
      <c r="N1482" s="714"/>
      <c r="O1482" s="753">
        <f t="shared" si="105"/>
        <v>0</v>
      </c>
      <c r="P1482" s="754"/>
    </row>
    <row r="1483" spans="1:89" ht="17.25" customHeight="1" x14ac:dyDescent="0.25">
      <c r="A1483" s="742"/>
      <c r="B1483" s="756" t="s">
        <v>35</v>
      </c>
      <c r="C1483" s="699">
        <v>12</v>
      </c>
      <c r="D1483" s="739" t="s">
        <v>20</v>
      </c>
      <c r="E1483" s="695">
        <v>400</v>
      </c>
      <c r="F1483" s="714"/>
      <c r="G1483" s="714"/>
      <c r="H1483" s="714"/>
      <c r="I1483" s="714"/>
      <c r="J1483" s="714">
        <f>C1483*E1483</f>
        <v>4800</v>
      </c>
      <c r="K1483" s="714">
        <f>I1483+J1483</f>
        <v>4800</v>
      </c>
      <c r="L1483" s="714"/>
      <c r="M1483" s="714"/>
      <c r="N1483" s="714"/>
      <c r="O1483" s="753">
        <f t="shared" si="105"/>
        <v>4800</v>
      </c>
      <c r="P1483" s="754"/>
    </row>
    <row r="1484" spans="1:89" ht="17.25" customHeight="1" x14ac:dyDescent="0.25">
      <c r="A1484" s="742"/>
      <c r="B1484" s="756" t="s">
        <v>36</v>
      </c>
      <c r="C1484" s="699">
        <v>36</v>
      </c>
      <c r="D1484" s="739" t="s">
        <v>20</v>
      </c>
      <c r="E1484" s="695">
        <v>350</v>
      </c>
      <c r="F1484" s="714"/>
      <c r="G1484" s="714"/>
      <c r="H1484" s="714"/>
      <c r="I1484" s="714"/>
      <c r="J1484" s="714">
        <f>C1484*E1484</f>
        <v>12600</v>
      </c>
      <c r="K1484" s="714">
        <f>I1484+J1484</f>
        <v>12600</v>
      </c>
      <c r="L1484" s="714"/>
      <c r="M1484" s="714"/>
      <c r="N1484" s="714"/>
      <c r="O1484" s="753">
        <f t="shared" si="105"/>
        <v>12600</v>
      </c>
      <c r="P1484" s="754"/>
    </row>
    <row r="1485" spans="1:89" ht="17.25" customHeight="1" x14ac:dyDescent="0.25">
      <c r="A1485" s="742"/>
      <c r="B1485" s="756"/>
      <c r="C1485" s="699"/>
      <c r="D1485" s="739"/>
      <c r="E1485" s="695"/>
      <c r="F1485" s="714"/>
      <c r="G1485" s="714"/>
      <c r="H1485" s="714"/>
      <c r="I1485" s="714"/>
      <c r="J1485" s="714"/>
      <c r="K1485" s="714"/>
      <c r="L1485" s="714"/>
      <c r="M1485" s="714"/>
      <c r="N1485" s="714"/>
      <c r="O1485" s="753">
        <f t="shared" si="105"/>
        <v>0</v>
      </c>
      <c r="P1485" s="754"/>
    </row>
    <row r="1486" spans="1:89" ht="17.25" customHeight="1" x14ac:dyDescent="0.25">
      <c r="A1486" s="742">
        <v>2</v>
      </c>
      <c r="B1486" s="756" t="s">
        <v>38</v>
      </c>
      <c r="C1486" s="699">
        <v>1</v>
      </c>
      <c r="D1486" s="739" t="s">
        <v>25</v>
      </c>
      <c r="E1486" s="695">
        <v>25000</v>
      </c>
      <c r="F1486" s="714"/>
      <c r="G1486" s="714"/>
      <c r="H1486" s="714"/>
      <c r="I1486" s="714"/>
      <c r="J1486" s="714">
        <f>C1486*E1486</f>
        <v>25000</v>
      </c>
      <c r="K1486" s="714">
        <f>I1486+J1486</f>
        <v>25000</v>
      </c>
      <c r="L1486" s="714"/>
      <c r="M1486" s="714"/>
      <c r="N1486" s="714"/>
      <c r="O1486" s="753">
        <f t="shared" si="105"/>
        <v>25000</v>
      </c>
      <c r="P1486" s="754"/>
    </row>
    <row r="1487" spans="1:89" ht="17.25" customHeight="1" x14ac:dyDescent="0.25">
      <c r="A1487" s="742"/>
      <c r="B1487" s="756" t="s">
        <v>39</v>
      </c>
      <c r="C1487" s="699">
        <v>1</v>
      </c>
      <c r="D1487" s="739" t="s">
        <v>25</v>
      </c>
      <c r="E1487" s="695">
        <v>4600</v>
      </c>
      <c r="F1487" s="714"/>
      <c r="G1487" s="714"/>
      <c r="H1487" s="714"/>
      <c r="I1487" s="714"/>
      <c r="J1487" s="714">
        <f>C1487*E1487</f>
        <v>4600</v>
      </c>
      <c r="K1487" s="714">
        <f>I1487+J1487</f>
        <v>4600</v>
      </c>
      <c r="L1487" s="714"/>
      <c r="M1487" s="714"/>
      <c r="N1487" s="714"/>
      <c r="O1487" s="753">
        <f t="shared" si="105"/>
        <v>4600</v>
      </c>
      <c r="P1487" s="754"/>
    </row>
    <row r="1488" spans="1:89" ht="17.25" customHeight="1" x14ac:dyDescent="0.25">
      <c r="A1488" s="742"/>
      <c r="B1488" s="756"/>
      <c r="C1488" s="699"/>
      <c r="D1488" s="739"/>
      <c r="E1488" s="695"/>
      <c r="F1488" s="714"/>
      <c r="G1488" s="714"/>
      <c r="H1488" s="714"/>
      <c r="I1488" s="714"/>
      <c r="J1488" s="714"/>
      <c r="K1488" s="714"/>
      <c r="L1488" s="714"/>
      <c r="M1488" s="714"/>
      <c r="N1488" s="714"/>
      <c r="O1488" s="753">
        <f t="shared" si="105"/>
        <v>0</v>
      </c>
      <c r="P1488" s="754"/>
    </row>
    <row r="1489" spans="1:16" ht="17.25" customHeight="1" x14ac:dyDescent="0.25">
      <c r="A1489" s="742">
        <v>3</v>
      </c>
      <c r="B1489" s="756" t="s">
        <v>27</v>
      </c>
      <c r="C1489" s="699"/>
      <c r="D1489" s="739"/>
      <c r="E1489" s="695"/>
      <c r="F1489" s="714"/>
      <c r="G1489" s="714"/>
      <c r="H1489" s="714"/>
      <c r="I1489" s="714"/>
      <c r="J1489" s="714"/>
      <c r="K1489" s="714"/>
      <c r="L1489" s="714"/>
      <c r="M1489" s="714"/>
      <c r="N1489" s="714"/>
      <c r="O1489" s="753">
        <f t="shared" si="105"/>
        <v>0</v>
      </c>
      <c r="P1489" s="754"/>
    </row>
    <row r="1490" spans="1:16" ht="17.25" customHeight="1" x14ac:dyDescent="0.25">
      <c r="A1490" s="742"/>
      <c r="B1490" s="756" t="s">
        <v>42</v>
      </c>
      <c r="C1490" s="699">
        <v>1</v>
      </c>
      <c r="D1490" s="727" t="s">
        <v>25</v>
      </c>
      <c r="E1490" s="695">
        <v>25000</v>
      </c>
      <c r="F1490" s="714"/>
      <c r="G1490" s="714"/>
      <c r="H1490" s="714"/>
      <c r="I1490" s="714"/>
      <c r="J1490" s="714">
        <f>C1490*E1490</f>
        <v>25000</v>
      </c>
      <c r="K1490" s="714">
        <f>I1490+J1490</f>
        <v>25000</v>
      </c>
      <c r="L1490" s="714"/>
      <c r="M1490" s="714"/>
      <c r="N1490" s="714"/>
      <c r="O1490" s="753">
        <f t="shared" si="105"/>
        <v>25000</v>
      </c>
      <c r="P1490" s="754"/>
    </row>
    <row r="1491" spans="1:16" ht="17.25" customHeight="1" x14ac:dyDescent="0.25">
      <c r="A1491" s="742"/>
      <c r="B1491" s="756"/>
      <c r="C1491" s="699"/>
      <c r="D1491" s="727"/>
      <c r="E1491" s="695"/>
      <c r="F1491" s="714"/>
      <c r="G1491" s="714"/>
      <c r="H1491" s="714"/>
      <c r="I1491" s="714"/>
      <c r="J1491" s="714"/>
      <c r="K1491" s="714"/>
      <c r="L1491" s="714"/>
      <c r="M1491" s="714"/>
      <c r="N1491" s="714"/>
      <c r="O1491" s="753">
        <f t="shared" si="105"/>
        <v>0</v>
      </c>
      <c r="P1491" s="754"/>
    </row>
    <row r="1492" spans="1:16" ht="17.25" customHeight="1" x14ac:dyDescent="0.25">
      <c r="A1492" s="742">
        <v>4</v>
      </c>
      <c r="B1492" s="756" t="s">
        <v>40</v>
      </c>
      <c r="C1492" s="699"/>
      <c r="D1492" s="727"/>
      <c r="E1492" s="695"/>
      <c r="F1492" s="714"/>
      <c r="G1492" s="714"/>
      <c r="H1492" s="714"/>
      <c r="I1492" s="714"/>
      <c r="J1492" s="714"/>
      <c r="K1492" s="714"/>
      <c r="L1492" s="714"/>
      <c r="M1492" s="714"/>
      <c r="N1492" s="714"/>
      <c r="O1492" s="753">
        <f t="shared" si="105"/>
        <v>0</v>
      </c>
      <c r="P1492" s="754"/>
    </row>
    <row r="1493" spans="1:16" ht="17.25" customHeight="1" x14ac:dyDescent="0.25">
      <c r="A1493" s="742"/>
      <c r="B1493" s="756" t="s">
        <v>41</v>
      </c>
      <c r="C1493" s="699">
        <v>1</v>
      </c>
      <c r="D1493" s="727" t="s">
        <v>25</v>
      </c>
      <c r="E1493" s="695">
        <v>25000</v>
      </c>
      <c r="F1493" s="714"/>
      <c r="G1493" s="714"/>
      <c r="H1493" s="714"/>
      <c r="I1493" s="714"/>
      <c r="J1493" s="714">
        <f>C1493*E1493</f>
        <v>25000</v>
      </c>
      <c r="K1493" s="714">
        <f>I1493+J1493</f>
        <v>25000</v>
      </c>
      <c r="L1493" s="714"/>
      <c r="M1493" s="714"/>
      <c r="N1493" s="714"/>
      <c r="O1493" s="753">
        <f t="shared" si="105"/>
        <v>25000</v>
      </c>
      <c r="P1493" s="754"/>
    </row>
    <row r="1494" spans="1:16" ht="17.25" customHeight="1" x14ac:dyDescent="0.25">
      <c r="A1494" s="742"/>
      <c r="B1494" s="756"/>
      <c r="C1494" s="713"/>
      <c r="D1494" s="727"/>
      <c r="E1494" s="714"/>
      <c r="F1494" s="714"/>
      <c r="G1494" s="714"/>
      <c r="H1494" s="714"/>
      <c r="I1494" s="714"/>
      <c r="J1494" s="714"/>
      <c r="K1494" s="714"/>
      <c r="L1494" s="714"/>
      <c r="M1494" s="714"/>
      <c r="N1494" s="714"/>
      <c r="O1494" s="753">
        <f t="shared" si="105"/>
        <v>0</v>
      </c>
      <c r="P1494" s="754"/>
    </row>
    <row r="1495" spans="1:16" ht="17.25" customHeight="1" x14ac:dyDescent="0.25">
      <c r="A1495" s="742">
        <v>5</v>
      </c>
      <c r="B1495" s="756" t="s">
        <v>43</v>
      </c>
      <c r="C1495" s="713"/>
      <c r="D1495" s="727"/>
      <c r="E1495" s="714"/>
      <c r="F1495" s="714"/>
      <c r="G1495" s="714"/>
      <c r="H1495" s="714"/>
      <c r="I1495" s="714"/>
      <c r="J1495" s="714"/>
      <c r="K1495" s="714"/>
      <c r="L1495" s="714"/>
      <c r="M1495" s="714"/>
      <c r="N1495" s="714"/>
      <c r="O1495" s="753">
        <f t="shared" si="105"/>
        <v>0</v>
      </c>
      <c r="P1495" s="754"/>
    </row>
    <row r="1496" spans="1:16" ht="17.25" customHeight="1" x14ac:dyDescent="0.25">
      <c r="A1496" s="742"/>
      <c r="B1496" s="756" t="s">
        <v>44</v>
      </c>
      <c r="C1496" s="713">
        <v>5</v>
      </c>
      <c r="D1496" s="727" t="s">
        <v>45</v>
      </c>
      <c r="E1496" s="714">
        <v>5000</v>
      </c>
      <c r="F1496" s="714"/>
      <c r="G1496" s="714"/>
      <c r="H1496" s="714"/>
      <c r="I1496" s="714"/>
      <c r="J1496" s="714">
        <f>C1496*E1496</f>
        <v>25000</v>
      </c>
      <c r="K1496" s="714">
        <f>I1496+J1496</f>
        <v>25000</v>
      </c>
      <c r="L1496" s="714"/>
      <c r="M1496" s="714"/>
      <c r="N1496" s="714"/>
      <c r="O1496" s="753">
        <f t="shared" si="105"/>
        <v>25000</v>
      </c>
      <c r="P1496" s="754"/>
    </row>
    <row r="1497" spans="1:16" ht="17.25" customHeight="1" x14ac:dyDescent="0.25">
      <c r="A1497" s="742"/>
      <c r="B1497" s="756" t="s">
        <v>195</v>
      </c>
      <c r="C1497" s="713">
        <v>12</v>
      </c>
      <c r="D1497" s="727" t="s">
        <v>45</v>
      </c>
      <c r="E1497" s="714">
        <v>1000</v>
      </c>
      <c r="F1497" s="714"/>
      <c r="G1497" s="714"/>
      <c r="H1497" s="714"/>
      <c r="I1497" s="714"/>
      <c r="J1497" s="714">
        <f>C1497*E1497</f>
        <v>12000</v>
      </c>
      <c r="K1497" s="714">
        <f>I1497+J1497</f>
        <v>12000</v>
      </c>
      <c r="L1497" s="714"/>
      <c r="M1497" s="714"/>
      <c r="N1497" s="714"/>
      <c r="O1497" s="753">
        <f t="shared" si="105"/>
        <v>12000</v>
      </c>
      <c r="P1497" s="754"/>
    </row>
    <row r="1498" spans="1:16" ht="17.25" customHeight="1" x14ac:dyDescent="0.25">
      <c r="A1498" s="742"/>
      <c r="B1498" s="756"/>
      <c r="C1498" s="713"/>
      <c r="D1498" s="739"/>
      <c r="E1498" s="714"/>
      <c r="F1498" s="714"/>
      <c r="G1498" s="714"/>
      <c r="H1498" s="714"/>
      <c r="I1498" s="714"/>
      <c r="J1498" s="714"/>
      <c r="K1498" s="714"/>
      <c r="L1498" s="714"/>
      <c r="M1498" s="714"/>
      <c r="N1498" s="714"/>
      <c r="O1498" s="753"/>
      <c r="P1498" s="754"/>
    </row>
    <row r="1499" spans="1:16" ht="17.25" customHeight="1" x14ac:dyDescent="0.25">
      <c r="A1499" s="692">
        <v>6</v>
      </c>
      <c r="B1499" s="1501" t="s">
        <v>48</v>
      </c>
      <c r="C1499" s="693"/>
      <c r="D1499" s="727"/>
      <c r="E1499" s="695" t="s">
        <v>49</v>
      </c>
      <c r="F1499" s="695"/>
      <c r="G1499" s="695"/>
      <c r="H1499" s="695"/>
      <c r="I1499" s="695"/>
      <c r="J1499" s="695"/>
      <c r="K1499" s="695">
        <f>J1499+I1499</f>
        <v>0</v>
      </c>
      <c r="L1499" s="695"/>
      <c r="M1499" s="695"/>
      <c r="N1499" s="695"/>
      <c r="O1499" s="696">
        <f t="shared" si="105"/>
        <v>0</v>
      </c>
      <c r="P1499" s="687"/>
    </row>
    <row r="1500" spans="1:16" ht="17.25" customHeight="1" x14ac:dyDescent="0.25">
      <c r="A1500" s="692"/>
      <c r="B1500" s="1501" t="s">
        <v>50</v>
      </c>
      <c r="C1500" s="693">
        <v>30</v>
      </c>
      <c r="D1500" s="727" t="s">
        <v>51</v>
      </c>
      <c r="E1500" s="695">
        <v>5100</v>
      </c>
      <c r="F1500" s="695"/>
      <c r="G1500" s="695"/>
      <c r="H1500" s="695"/>
      <c r="I1500" s="695"/>
      <c r="J1500" s="695">
        <f>C1500*E1500</f>
        <v>153000</v>
      </c>
      <c r="K1500" s="695">
        <f>I1500+J1500</f>
        <v>153000</v>
      </c>
      <c r="L1500" s="695"/>
      <c r="M1500" s="695"/>
      <c r="N1500" s="695"/>
      <c r="O1500" s="696">
        <f t="shared" si="105"/>
        <v>153000</v>
      </c>
      <c r="P1500" s="687"/>
    </row>
    <row r="1501" spans="1:16" ht="17.25" customHeight="1" x14ac:dyDescent="0.25">
      <c r="A1501" s="692"/>
      <c r="B1501" s="1501" t="s">
        <v>52</v>
      </c>
      <c r="C1501" s="693">
        <v>60</v>
      </c>
      <c r="D1501" s="727" t="s">
        <v>53</v>
      </c>
      <c r="E1501" s="695">
        <v>610</v>
      </c>
      <c r="F1501" s="695"/>
      <c r="G1501" s="695"/>
      <c r="H1501" s="695"/>
      <c r="I1501" s="695"/>
      <c r="J1501" s="695">
        <f>C1501*E1501</f>
        <v>36600</v>
      </c>
      <c r="K1501" s="695">
        <f>I1501+J1501</f>
        <v>36600</v>
      </c>
      <c r="L1501" s="695"/>
      <c r="M1501" s="695"/>
      <c r="N1501" s="695"/>
      <c r="O1501" s="696">
        <f t="shared" si="105"/>
        <v>36600</v>
      </c>
      <c r="P1501" s="687"/>
    </row>
    <row r="1502" spans="1:16" ht="17.25" customHeight="1" x14ac:dyDescent="0.25">
      <c r="A1502" s="692"/>
      <c r="B1502" s="1501" t="s">
        <v>54</v>
      </c>
      <c r="C1502" s="693">
        <v>90</v>
      </c>
      <c r="D1502" s="727" t="s">
        <v>55</v>
      </c>
      <c r="E1502" s="695">
        <v>530</v>
      </c>
      <c r="F1502" s="695"/>
      <c r="G1502" s="695"/>
      <c r="H1502" s="695"/>
      <c r="I1502" s="695"/>
      <c r="J1502" s="695">
        <f>C1502*E1502</f>
        <v>47700</v>
      </c>
      <c r="K1502" s="695">
        <f>I1502+J1502</f>
        <v>47700</v>
      </c>
      <c r="L1502" s="695"/>
      <c r="M1502" s="695"/>
      <c r="N1502" s="695"/>
      <c r="O1502" s="696">
        <f t="shared" si="105"/>
        <v>47700</v>
      </c>
      <c r="P1502" s="687"/>
    </row>
    <row r="1503" spans="1:16" ht="17.25" customHeight="1" x14ac:dyDescent="0.25">
      <c r="A1503" s="692"/>
      <c r="B1503" s="1501" t="s">
        <v>56</v>
      </c>
      <c r="C1503" s="693">
        <v>70</v>
      </c>
      <c r="D1503" s="727" t="s">
        <v>55</v>
      </c>
      <c r="E1503" s="695">
        <v>370</v>
      </c>
      <c r="F1503" s="695"/>
      <c r="G1503" s="695"/>
      <c r="H1503" s="695"/>
      <c r="I1503" s="695"/>
      <c r="J1503" s="695">
        <f>C1503*E1503</f>
        <v>25900</v>
      </c>
      <c r="K1503" s="695">
        <f>I1503+J1503</f>
        <v>25900</v>
      </c>
      <c r="L1503" s="695"/>
      <c r="M1503" s="695"/>
      <c r="N1503" s="695"/>
      <c r="O1503" s="696">
        <f t="shared" si="105"/>
        <v>25900</v>
      </c>
      <c r="P1503" s="687"/>
    </row>
    <row r="1504" spans="1:16" ht="17.25" customHeight="1" x14ac:dyDescent="0.25">
      <c r="A1504" s="820"/>
      <c r="B1504" s="918"/>
      <c r="C1504" s="830"/>
      <c r="D1504" s="831"/>
      <c r="E1504" s="821"/>
      <c r="F1504" s="821"/>
      <c r="G1504" s="821"/>
      <c r="H1504" s="821"/>
      <c r="I1504" s="821"/>
      <c r="J1504" s="821"/>
      <c r="K1504" s="821"/>
      <c r="L1504" s="821"/>
      <c r="M1504" s="821"/>
      <c r="N1504" s="821"/>
      <c r="O1504" s="822"/>
      <c r="P1504" s="687"/>
    </row>
    <row r="1505" spans="1:89" ht="22.5" customHeight="1" x14ac:dyDescent="0.25">
      <c r="A1505" s="1352">
        <v>27</v>
      </c>
      <c r="B1505" s="1367" t="s">
        <v>163</v>
      </c>
      <c r="C1505" s="1212"/>
      <c r="D1505" s="1213"/>
      <c r="E1505" s="1214"/>
      <c r="F1505" s="1290">
        <f>F1507+F1520+F1535+F1517</f>
        <v>0</v>
      </c>
      <c r="G1505" s="1290">
        <f>G1507+G1520+G1535+G1517</f>
        <v>0</v>
      </c>
      <c r="H1505" s="1214">
        <f>G1505+F1505</f>
        <v>0</v>
      </c>
      <c r="I1505" s="1290">
        <f>I1507+I1520+I1535+I1517</f>
        <v>0</v>
      </c>
      <c r="J1505" s="1290">
        <f>J1507+J1520+J1535+J1517</f>
        <v>4340400</v>
      </c>
      <c r="K1505" s="1214">
        <f>J1505+I1505</f>
        <v>4340400</v>
      </c>
      <c r="L1505" s="1290">
        <f>L1507+L1520+L1535+L1517</f>
        <v>7458264</v>
      </c>
      <c r="M1505" s="1290">
        <f>M1507+M1520+M1535+M1517</f>
        <v>0</v>
      </c>
      <c r="N1505" s="1214">
        <f>M1505+L1505</f>
        <v>7458264</v>
      </c>
      <c r="O1505" s="1215">
        <f t="shared" ref="O1505:O1514" si="106">N1505+K1505+H1505</f>
        <v>11798664</v>
      </c>
      <c r="P1505" s="680"/>
    </row>
    <row r="1506" spans="1:89" ht="22.5" customHeight="1" x14ac:dyDescent="0.25">
      <c r="A1506" s="1530"/>
      <c r="B1506" s="1531"/>
      <c r="C1506" s="888"/>
      <c r="D1506" s="889"/>
      <c r="E1506" s="890"/>
      <c r="F1506" s="919"/>
      <c r="G1506" s="919"/>
      <c r="H1506" s="890"/>
      <c r="I1506" s="919"/>
      <c r="J1506" s="919"/>
      <c r="K1506" s="890"/>
      <c r="L1506" s="919"/>
      <c r="M1506" s="919"/>
      <c r="N1506" s="890"/>
      <c r="O1506" s="862"/>
      <c r="P1506" s="829"/>
    </row>
    <row r="1507" spans="1:89" s="672" customFormat="1" ht="17.25" customHeight="1" x14ac:dyDescent="0.25">
      <c r="A1507" s="1532" t="s">
        <v>15</v>
      </c>
      <c r="B1507" s="798" t="s">
        <v>1156</v>
      </c>
      <c r="C1507" s="1212"/>
      <c r="D1507" s="1213"/>
      <c r="E1507" s="1214"/>
      <c r="F1507" s="1214">
        <f>SUM(F1508:F1516)</f>
        <v>0</v>
      </c>
      <c r="G1507" s="1214">
        <f>SUM(G1508:G1516)</f>
        <v>0</v>
      </c>
      <c r="H1507" s="1214">
        <f>F1507+G1507</f>
        <v>0</v>
      </c>
      <c r="I1507" s="1214">
        <f>SUM(I1508:I1516)</f>
        <v>0</v>
      </c>
      <c r="J1507" s="1214">
        <f>SUM(J1508:J1516)</f>
        <v>0</v>
      </c>
      <c r="K1507" s="1214">
        <f>I1507+J1507</f>
        <v>0</v>
      </c>
      <c r="L1507" s="1214">
        <f>SUM(L1508:L1516)</f>
        <v>7433264</v>
      </c>
      <c r="M1507" s="1214">
        <f>SUM(M1508:M1516)</f>
        <v>0</v>
      </c>
      <c r="N1507" s="1214">
        <f>L1507+M1507</f>
        <v>7433264</v>
      </c>
      <c r="O1507" s="1215">
        <f t="shared" si="106"/>
        <v>7433264</v>
      </c>
      <c r="P1507" s="680"/>
      <c r="Q1507" s="1581"/>
      <c r="R1507" s="1581"/>
      <c r="S1507" s="1581"/>
      <c r="T1507" s="1581"/>
      <c r="U1507" s="1581"/>
      <c r="V1507" s="1581"/>
      <c r="W1507" s="1581"/>
      <c r="X1507" s="1581"/>
      <c r="Y1507" s="1581"/>
      <c r="Z1507" s="1581"/>
      <c r="AA1507" s="1581"/>
      <c r="AB1507" s="1581"/>
      <c r="AC1507" s="1581"/>
      <c r="AD1507" s="1581"/>
      <c r="AE1507" s="1581"/>
      <c r="AF1507" s="1581"/>
      <c r="AG1507" s="1581"/>
      <c r="AH1507" s="1581"/>
      <c r="AI1507" s="1581"/>
      <c r="AJ1507" s="1581"/>
      <c r="AK1507" s="1581"/>
      <c r="AL1507" s="1581"/>
      <c r="AM1507" s="1581"/>
      <c r="AN1507" s="1581"/>
      <c r="AO1507" s="1581"/>
      <c r="AP1507" s="1581"/>
      <c r="AQ1507" s="1581"/>
      <c r="AR1507" s="1581"/>
      <c r="AS1507" s="1581"/>
      <c r="AT1507" s="1581"/>
      <c r="AU1507" s="1581"/>
      <c r="AV1507" s="1581"/>
      <c r="AW1507" s="1581"/>
      <c r="AX1507" s="1581"/>
      <c r="AY1507" s="1581"/>
      <c r="AZ1507" s="1581"/>
      <c r="BA1507" s="1581"/>
      <c r="BB1507" s="1581"/>
      <c r="BC1507" s="1581"/>
      <c r="BD1507" s="1581"/>
      <c r="BE1507" s="1581"/>
      <c r="BF1507" s="1581"/>
      <c r="BG1507" s="1581"/>
      <c r="BH1507" s="1581"/>
      <c r="BI1507" s="1581"/>
      <c r="BJ1507" s="1581"/>
      <c r="BK1507" s="1581"/>
      <c r="BL1507" s="1581"/>
      <c r="BM1507" s="1581"/>
      <c r="BN1507" s="1581"/>
      <c r="BO1507" s="1581"/>
      <c r="BP1507" s="1581"/>
      <c r="BQ1507" s="1581"/>
      <c r="BR1507" s="1581"/>
      <c r="BS1507" s="1581"/>
      <c r="BT1507" s="1581"/>
      <c r="BU1507" s="1581"/>
      <c r="BV1507" s="1581"/>
      <c r="BW1507" s="1581"/>
      <c r="BX1507" s="1581"/>
      <c r="BY1507" s="1581"/>
      <c r="BZ1507" s="1581"/>
      <c r="CA1507" s="1581"/>
      <c r="CB1507" s="1581"/>
      <c r="CC1507" s="1581"/>
      <c r="CD1507" s="1581"/>
      <c r="CE1507" s="1581"/>
      <c r="CF1507" s="1581"/>
      <c r="CG1507" s="1581"/>
      <c r="CH1507" s="1581"/>
      <c r="CI1507" s="1581"/>
      <c r="CJ1507" s="1581"/>
      <c r="CK1507" s="1581"/>
    </row>
    <row r="1508" spans="1:89" ht="17.25" customHeight="1" x14ac:dyDescent="0.25">
      <c r="A1508" s="1533">
        <v>1</v>
      </c>
      <c r="B1508" s="869" t="s">
        <v>2290</v>
      </c>
      <c r="C1508" s="682">
        <v>1</v>
      </c>
      <c r="D1508" s="863" t="s">
        <v>16</v>
      </c>
      <c r="E1508" s="685">
        <v>900000</v>
      </c>
      <c r="F1508" s="684"/>
      <c r="G1508" s="684"/>
      <c r="H1508" s="685"/>
      <c r="I1508" s="684"/>
      <c r="J1508" s="684"/>
      <c r="K1508" s="685"/>
      <c r="L1508" s="684">
        <f t="shared" ref="L1508:L1514" si="107">E1508*C1508</f>
        <v>900000</v>
      </c>
      <c r="M1508" s="684"/>
      <c r="N1508" s="685">
        <f t="shared" ref="N1508:N1514" si="108">L1508+M1508</f>
        <v>900000</v>
      </c>
      <c r="O1508" s="686">
        <f t="shared" si="106"/>
        <v>900000</v>
      </c>
      <c r="P1508" s="687"/>
    </row>
    <row r="1509" spans="1:89" ht="17.25" customHeight="1" x14ac:dyDescent="0.25">
      <c r="A1509" s="1397">
        <v>2</v>
      </c>
      <c r="B1509" s="869" t="s">
        <v>2284</v>
      </c>
      <c r="C1509" s="713">
        <v>1</v>
      </c>
      <c r="D1509" s="727" t="s">
        <v>16</v>
      </c>
      <c r="E1509" s="695">
        <v>500000</v>
      </c>
      <c r="F1509" s="695"/>
      <c r="G1509" s="695"/>
      <c r="H1509" s="695"/>
      <c r="I1509" s="695"/>
      <c r="J1509" s="695"/>
      <c r="K1509" s="695"/>
      <c r="L1509" s="695">
        <f t="shared" si="107"/>
        <v>500000</v>
      </c>
      <c r="M1509" s="695"/>
      <c r="N1509" s="695">
        <f t="shared" si="108"/>
        <v>500000</v>
      </c>
      <c r="O1509" s="696">
        <f t="shared" si="106"/>
        <v>500000</v>
      </c>
      <c r="P1509" s="687"/>
    </row>
    <row r="1510" spans="1:89" ht="17.25" customHeight="1" x14ac:dyDescent="0.25">
      <c r="A1510" s="1397">
        <v>3</v>
      </c>
      <c r="B1510" s="869" t="s">
        <v>2291</v>
      </c>
      <c r="C1510" s="713">
        <v>1</v>
      </c>
      <c r="D1510" s="727" t="s">
        <v>16</v>
      </c>
      <c r="E1510" s="695">
        <v>500000</v>
      </c>
      <c r="F1510" s="695"/>
      <c r="G1510" s="695"/>
      <c r="H1510" s="695"/>
      <c r="I1510" s="695"/>
      <c r="J1510" s="695"/>
      <c r="K1510" s="695"/>
      <c r="L1510" s="695">
        <f t="shared" si="107"/>
        <v>500000</v>
      </c>
      <c r="M1510" s="695"/>
      <c r="N1510" s="695">
        <f t="shared" si="108"/>
        <v>500000</v>
      </c>
      <c r="O1510" s="696">
        <f t="shared" si="106"/>
        <v>500000</v>
      </c>
      <c r="P1510" s="687"/>
    </row>
    <row r="1511" spans="1:89" ht="17.25" customHeight="1" x14ac:dyDescent="0.25">
      <c r="A1511" s="1397">
        <v>4</v>
      </c>
      <c r="B1511" s="869" t="s">
        <v>1563</v>
      </c>
      <c r="C1511" s="713">
        <v>1</v>
      </c>
      <c r="D1511" s="727" t="s">
        <v>16</v>
      </c>
      <c r="E1511" s="695">
        <v>1180000</v>
      </c>
      <c r="F1511" s="695"/>
      <c r="G1511" s="695"/>
      <c r="H1511" s="695"/>
      <c r="I1511" s="695"/>
      <c r="J1511" s="695"/>
      <c r="K1511" s="695"/>
      <c r="L1511" s="695">
        <f t="shared" si="107"/>
        <v>1180000</v>
      </c>
      <c r="M1511" s="695"/>
      <c r="N1511" s="695">
        <f t="shared" si="108"/>
        <v>1180000</v>
      </c>
      <c r="O1511" s="696">
        <f t="shared" si="106"/>
        <v>1180000</v>
      </c>
      <c r="P1511" s="687"/>
    </row>
    <row r="1512" spans="1:89" ht="17.25" customHeight="1" x14ac:dyDescent="0.25">
      <c r="A1512" s="1397">
        <v>5</v>
      </c>
      <c r="B1512" s="869" t="s">
        <v>1686</v>
      </c>
      <c r="C1512" s="713">
        <v>1</v>
      </c>
      <c r="D1512" s="727" t="s">
        <v>16</v>
      </c>
      <c r="E1512" s="695">
        <v>1063264</v>
      </c>
      <c r="F1512" s="695"/>
      <c r="G1512" s="695"/>
      <c r="H1512" s="695"/>
      <c r="I1512" s="695"/>
      <c r="J1512" s="695"/>
      <c r="K1512" s="695"/>
      <c r="L1512" s="695">
        <f t="shared" si="107"/>
        <v>1063264</v>
      </c>
      <c r="M1512" s="695"/>
      <c r="N1512" s="695">
        <f t="shared" si="108"/>
        <v>1063264</v>
      </c>
      <c r="O1512" s="696">
        <f t="shared" si="106"/>
        <v>1063264</v>
      </c>
      <c r="P1512" s="687"/>
    </row>
    <row r="1513" spans="1:89" ht="17.25" customHeight="1" x14ac:dyDescent="0.25">
      <c r="A1513" s="1397">
        <v>6</v>
      </c>
      <c r="B1513" s="869" t="s">
        <v>1564</v>
      </c>
      <c r="C1513" s="713">
        <v>1</v>
      </c>
      <c r="D1513" s="727" t="s">
        <v>16</v>
      </c>
      <c r="E1513" s="695">
        <v>1000000</v>
      </c>
      <c r="F1513" s="695"/>
      <c r="G1513" s="695"/>
      <c r="H1513" s="695"/>
      <c r="I1513" s="695"/>
      <c r="J1513" s="695"/>
      <c r="K1513" s="695"/>
      <c r="L1513" s="695">
        <f>E1513*C1513</f>
        <v>1000000</v>
      </c>
      <c r="M1513" s="695"/>
      <c r="N1513" s="695">
        <f>L1513+M1513</f>
        <v>1000000</v>
      </c>
      <c r="O1513" s="696">
        <f>N1513+K1513+H1513</f>
        <v>1000000</v>
      </c>
      <c r="P1513" s="687"/>
    </row>
    <row r="1514" spans="1:89" ht="17.25" customHeight="1" x14ac:dyDescent="0.25">
      <c r="A1514" s="1397">
        <v>7</v>
      </c>
      <c r="B1514" s="869" t="s">
        <v>702</v>
      </c>
      <c r="C1514" s="713">
        <v>1</v>
      </c>
      <c r="D1514" s="727" t="s">
        <v>16</v>
      </c>
      <c r="E1514" s="695">
        <v>1000000</v>
      </c>
      <c r="F1514" s="695"/>
      <c r="G1514" s="695"/>
      <c r="H1514" s="695"/>
      <c r="I1514" s="695"/>
      <c r="J1514" s="695"/>
      <c r="K1514" s="695"/>
      <c r="L1514" s="695">
        <f t="shared" si="107"/>
        <v>1000000</v>
      </c>
      <c r="M1514" s="695"/>
      <c r="N1514" s="695">
        <f t="shared" si="108"/>
        <v>1000000</v>
      </c>
      <c r="O1514" s="696">
        <f t="shared" si="106"/>
        <v>1000000</v>
      </c>
      <c r="P1514" s="687"/>
    </row>
    <row r="1515" spans="1:89" ht="17.25" customHeight="1" x14ac:dyDescent="0.25">
      <c r="A1515" s="1397">
        <v>8</v>
      </c>
      <c r="B1515" s="869" t="s">
        <v>1562</v>
      </c>
      <c r="C1515" s="713">
        <v>1</v>
      </c>
      <c r="D1515" s="727" t="s">
        <v>16</v>
      </c>
      <c r="E1515" s="695">
        <v>1290000</v>
      </c>
      <c r="F1515" s="695"/>
      <c r="G1515" s="695"/>
      <c r="H1515" s="695"/>
      <c r="I1515" s="695"/>
      <c r="J1515" s="695"/>
      <c r="K1515" s="695"/>
      <c r="L1515" s="695">
        <f>E1515*C1515</f>
        <v>1290000</v>
      </c>
      <c r="M1515" s="695"/>
      <c r="N1515" s="695">
        <f>L1515+M1515</f>
        <v>1290000</v>
      </c>
      <c r="O1515" s="696">
        <f>N1515+K1515+H1515</f>
        <v>1290000</v>
      </c>
      <c r="P1515" s="687"/>
    </row>
    <row r="1516" spans="1:89" ht="17.25" hidden="1" customHeight="1" x14ac:dyDescent="0.25">
      <c r="A1516" s="1534"/>
      <c r="B1516" s="1438"/>
      <c r="C1516" s="719"/>
      <c r="D1516" s="908"/>
      <c r="E1516" s="821"/>
      <c r="F1516" s="821"/>
      <c r="G1516" s="821"/>
      <c r="H1516" s="821"/>
      <c r="I1516" s="821"/>
      <c r="J1516" s="821"/>
      <c r="K1516" s="821"/>
      <c r="L1516" s="821"/>
      <c r="M1516" s="821"/>
      <c r="N1516" s="821"/>
      <c r="O1516" s="822"/>
      <c r="P1516" s="687"/>
    </row>
    <row r="1517" spans="1:89" s="672" customFormat="1" ht="17.25" hidden="1" customHeight="1" x14ac:dyDescent="0.25">
      <c r="A1517" s="1535" t="s">
        <v>17</v>
      </c>
      <c r="B1517" s="1262" t="s">
        <v>1723</v>
      </c>
      <c r="C1517" s="1490"/>
      <c r="D1517" s="1491"/>
      <c r="E1517" s="1214"/>
      <c r="F1517" s="1214">
        <f>SUM(F1518:F1518)</f>
        <v>0</v>
      </c>
      <c r="G1517" s="1214">
        <f>SUM(G1518:G1518)</f>
        <v>0</v>
      </c>
      <c r="H1517" s="1214">
        <f>F1517+G1517</f>
        <v>0</v>
      </c>
      <c r="I1517" s="1214">
        <f>SUM(I1518:I1518)</f>
        <v>0</v>
      </c>
      <c r="J1517" s="1214">
        <f>SUM(J1518:J1518)</f>
        <v>0</v>
      </c>
      <c r="K1517" s="1214">
        <f>I1517+J1517</f>
        <v>0</v>
      </c>
      <c r="L1517" s="1214">
        <f>SUM(L1518:L1518)</f>
        <v>0</v>
      </c>
      <c r="M1517" s="1214">
        <f>SUM(M1518:M1518)</f>
        <v>0</v>
      </c>
      <c r="N1517" s="1214">
        <f>L1517+M1517</f>
        <v>0</v>
      </c>
      <c r="O1517" s="1215">
        <f>N1517+K1517+H1517</f>
        <v>0</v>
      </c>
      <c r="P1517" s="680"/>
      <c r="Q1517" s="1581"/>
      <c r="R1517" s="1581"/>
      <c r="S1517" s="1581"/>
      <c r="T1517" s="1581"/>
      <c r="U1517" s="1581"/>
      <c r="V1517" s="1581"/>
      <c r="W1517" s="1581"/>
      <c r="X1517" s="1581"/>
      <c r="Y1517" s="1581"/>
      <c r="Z1517" s="1581"/>
      <c r="AA1517" s="1581"/>
      <c r="AB1517" s="1581"/>
      <c r="AC1517" s="1581"/>
      <c r="AD1517" s="1581"/>
      <c r="AE1517" s="1581"/>
      <c r="AF1517" s="1581"/>
      <c r="AG1517" s="1581"/>
      <c r="AH1517" s="1581"/>
      <c r="AI1517" s="1581"/>
      <c r="AJ1517" s="1581"/>
      <c r="AK1517" s="1581"/>
      <c r="AL1517" s="1581"/>
      <c r="AM1517" s="1581"/>
      <c r="AN1517" s="1581"/>
      <c r="AO1517" s="1581"/>
      <c r="AP1517" s="1581"/>
      <c r="AQ1517" s="1581"/>
      <c r="AR1517" s="1581"/>
      <c r="AS1517" s="1581"/>
      <c r="AT1517" s="1581"/>
      <c r="AU1517" s="1581"/>
      <c r="AV1517" s="1581"/>
      <c r="AW1517" s="1581"/>
      <c r="AX1517" s="1581"/>
      <c r="AY1517" s="1581"/>
      <c r="AZ1517" s="1581"/>
      <c r="BA1517" s="1581"/>
      <c r="BB1517" s="1581"/>
      <c r="BC1517" s="1581"/>
      <c r="BD1517" s="1581"/>
      <c r="BE1517" s="1581"/>
      <c r="BF1517" s="1581"/>
      <c r="BG1517" s="1581"/>
      <c r="BH1517" s="1581"/>
      <c r="BI1517" s="1581"/>
      <c r="BJ1517" s="1581"/>
      <c r="BK1517" s="1581"/>
      <c r="BL1517" s="1581"/>
      <c r="BM1517" s="1581"/>
      <c r="BN1517" s="1581"/>
      <c r="BO1517" s="1581"/>
      <c r="BP1517" s="1581"/>
      <c r="BQ1517" s="1581"/>
      <c r="BR1517" s="1581"/>
      <c r="BS1517" s="1581"/>
      <c r="BT1517" s="1581"/>
      <c r="BU1517" s="1581"/>
      <c r="BV1517" s="1581"/>
      <c r="BW1517" s="1581"/>
      <c r="BX1517" s="1581"/>
      <c r="BY1517" s="1581"/>
      <c r="BZ1517" s="1581"/>
      <c r="CA1517" s="1581"/>
      <c r="CB1517" s="1581"/>
      <c r="CC1517" s="1581"/>
      <c r="CD1517" s="1581"/>
      <c r="CE1517" s="1581"/>
      <c r="CF1517" s="1581"/>
      <c r="CG1517" s="1581"/>
      <c r="CH1517" s="1581"/>
      <c r="CI1517" s="1581"/>
      <c r="CJ1517" s="1581"/>
      <c r="CK1517" s="1581"/>
    </row>
    <row r="1518" spans="1:89" ht="17.25" hidden="1" customHeight="1" x14ac:dyDescent="0.25">
      <c r="A1518" s="1536"/>
      <c r="B1518" s="1537" t="s">
        <v>164</v>
      </c>
      <c r="C1518" s="1538">
        <v>0</v>
      </c>
      <c r="D1518" s="1539" t="s">
        <v>16</v>
      </c>
      <c r="E1518" s="818">
        <v>3500000</v>
      </c>
      <c r="F1518" s="818"/>
      <c r="G1518" s="818"/>
      <c r="H1518" s="818"/>
      <c r="I1518" s="818"/>
      <c r="J1518" s="818">
        <f>E1518*C1518</f>
        <v>0</v>
      </c>
      <c r="K1518" s="818">
        <f>J1518+I1518</f>
        <v>0</v>
      </c>
      <c r="L1518" s="818"/>
      <c r="M1518" s="818"/>
      <c r="N1518" s="818">
        <f>M1518+L1518</f>
        <v>0</v>
      </c>
      <c r="O1518" s="819">
        <f>N1518+K1518+H1518</f>
        <v>0</v>
      </c>
      <c r="P1518" s="687"/>
    </row>
    <row r="1519" spans="1:89" ht="17.25" customHeight="1" x14ac:dyDescent="0.25">
      <c r="A1519" s="1536"/>
      <c r="B1519" s="1537"/>
      <c r="C1519" s="1538"/>
      <c r="D1519" s="1539"/>
      <c r="E1519" s="818"/>
      <c r="F1519" s="818"/>
      <c r="G1519" s="818"/>
      <c r="H1519" s="818"/>
      <c r="I1519" s="818"/>
      <c r="J1519" s="818"/>
      <c r="K1519" s="818"/>
      <c r="L1519" s="818"/>
      <c r="M1519" s="818"/>
      <c r="N1519" s="818"/>
      <c r="O1519" s="819"/>
      <c r="P1519" s="687"/>
    </row>
    <row r="1520" spans="1:89" s="672" customFormat="1" ht="17.25" customHeight="1" x14ac:dyDescent="0.25">
      <c r="A1520" s="1535" t="s">
        <v>22</v>
      </c>
      <c r="B1520" s="1314" t="s">
        <v>23</v>
      </c>
      <c r="C1520" s="1212"/>
      <c r="D1520" s="1316"/>
      <c r="E1520" s="1214"/>
      <c r="F1520" s="1214">
        <f>SUM(F1521:F1532)</f>
        <v>0</v>
      </c>
      <c r="G1520" s="1214">
        <f>SUM(G1521:G1532)</f>
        <v>0</v>
      </c>
      <c r="H1520" s="1214">
        <f>F1520+G1520</f>
        <v>0</v>
      </c>
      <c r="I1520" s="1214">
        <f>SUM(I1521:I1532)</f>
        <v>0</v>
      </c>
      <c r="J1520" s="1214">
        <f>SUM(J1521:J1532)</f>
        <v>3730000</v>
      </c>
      <c r="K1520" s="1214">
        <f>I1520+J1520</f>
        <v>3730000</v>
      </c>
      <c r="L1520" s="1214">
        <f>SUM(L1521:L1532)</f>
        <v>0</v>
      </c>
      <c r="M1520" s="1214">
        <f>SUM(M1521:M1532)</f>
        <v>0</v>
      </c>
      <c r="N1520" s="1214">
        <f>L1520+M1520</f>
        <v>0</v>
      </c>
      <c r="O1520" s="1215">
        <f>N1520+K1520+H1520</f>
        <v>3730000</v>
      </c>
      <c r="P1520" s="680"/>
      <c r="Q1520" s="1581"/>
      <c r="R1520" s="1581"/>
      <c r="S1520" s="1581"/>
      <c r="T1520" s="1581"/>
      <c r="U1520" s="1581"/>
      <c r="V1520" s="1581"/>
      <c r="W1520" s="1581"/>
      <c r="X1520" s="1581"/>
      <c r="Y1520" s="1581"/>
      <c r="Z1520" s="1581"/>
      <c r="AA1520" s="1581"/>
      <c r="AB1520" s="1581"/>
      <c r="AC1520" s="1581"/>
      <c r="AD1520" s="1581"/>
      <c r="AE1520" s="1581"/>
      <c r="AF1520" s="1581"/>
      <c r="AG1520" s="1581"/>
      <c r="AH1520" s="1581"/>
      <c r="AI1520" s="1581"/>
      <c r="AJ1520" s="1581"/>
      <c r="AK1520" s="1581"/>
      <c r="AL1520" s="1581"/>
      <c r="AM1520" s="1581"/>
      <c r="AN1520" s="1581"/>
      <c r="AO1520" s="1581"/>
      <c r="AP1520" s="1581"/>
      <c r="AQ1520" s="1581"/>
      <c r="AR1520" s="1581"/>
      <c r="AS1520" s="1581"/>
      <c r="AT1520" s="1581"/>
      <c r="AU1520" s="1581"/>
      <c r="AV1520" s="1581"/>
      <c r="AW1520" s="1581"/>
      <c r="AX1520" s="1581"/>
      <c r="AY1520" s="1581"/>
      <c r="AZ1520" s="1581"/>
      <c r="BA1520" s="1581"/>
      <c r="BB1520" s="1581"/>
      <c r="BC1520" s="1581"/>
      <c r="BD1520" s="1581"/>
      <c r="BE1520" s="1581"/>
      <c r="BF1520" s="1581"/>
      <c r="BG1520" s="1581"/>
      <c r="BH1520" s="1581"/>
      <c r="BI1520" s="1581"/>
      <c r="BJ1520" s="1581"/>
      <c r="BK1520" s="1581"/>
      <c r="BL1520" s="1581"/>
      <c r="BM1520" s="1581"/>
      <c r="BN1520" s="1581"/>
      <c r="BO1520" s="1581"/>
      <c r="BP1520" s="1581"/>
      <c r="BQ1520" s="1581"/>
      <c r="BR1520" s="1581"/>
      <c r="BS1520" s="1581"/>
      <c r="BT1520" s="1581"/>
      <c r="BU1520" s="1581"/>
      <c r="BV1520" s="1581"/>
      <c r="BW1520" s="1581"/>
      <c r="BX1520" s="1581"/>
      <c r="BY1520" s="1581"/>
      <c r="BZ1520" s="1581"/>
      <c r="CA1520" s="1581"/>
      <c r="CB1520" s="1581"/>
      <c r="CC1520" s="1581"/>
      <c r="CD1520" s="1581"/>
      <c r="CE1520" s="1581"/>
      <c r="CF1520" s="1581"/>
      <c r="CG1520" s="1581"/>
      <c r="CH1520" s="1581"/>
      <c r="CI1520" s="1581"/>
      <c r="CJ1520" s="1581"/>
      <c r="CK1520" s="1581"/>
    </row>
    <row r="1521" spans="1:89" ht="17.25" customHeight="1" x14ac:dyDescent="0.25">
      <c r="A1521" s="1803">
        <v>1</v>
      </c>
      <c r="B1521" s="1804" t="s">
        <v>21</v>
      </c>
      <c r="C1521" s="1797"/>
      <c r="D1521" s="1798"/>
      <c r="E1521" s="1799"/>
      <c r="F1521" s="1799"/>
      <c r="G1521" s="1799"/>
      <c r="H1521" s="1799"/>
      <c r="I1521" s="1799"/>
      <c r="J1521" s="1799"/>
      <c r="K1521" s="1799"/>
      <c r="L1521" s="1799"/>
      <c r="M1521" s="1799"/>
      <c r="N1521" s="1799"/>
      <c r="O1521" s="1800">
        <f>N1521+K1521+H1521</f>
        <v>0</v>
      </c>
      <c r="P1521" s="754"/>
    </row>
    <row r="1522" spans="1:89" ht="17.25" customHeight="1" x14ac:dyDescent="0.25">
      <c r="A1522" s="692"/>
      <c r="B1522" s="756" t="s">
        <v>24</v>
      </c>
      <c r="C1522" s="713">
        <v>1</v>
      </c>
      <c r="D1522" s="1424" t="s">
        <v>25</v>
      </c>
      <c r="E1522" s="714">
        <v>3680000</v>
      </c>
      <c r="F1522" s="714"/>
      <c r="G1522" s="714"/>
      <c r="H1522" s="714"/>
      <c r="I1522" s="714"/>
      <c r="J1522" s="714">
        <f>E1522*C1522</f>
        <v>3680000</v>
      </c>
      <c r="K1522" s="714">
        <f>I1522+J1522</f>
        <v>3680000</v>
      </c>
      <c r="L1522" s="714"/>
      <c r="M1522" s="714"/>
      <c r="N1522" s="714"/>
      <c r="O1522" s="753">
        <f>N1522+K1522+H1522</f>
        <v>3680000</v>
      </c>
      <c r="P1522" s="754"/>
    </row>
    <row r="1523" spans="1:89" ht="17.25" customHeight="1" x14ac:dyDescent="0.25">
      <c r="A1523" s="692"/>
      <c r="B1523" s="1780" t="s">
        <v>2005</v>
      </c>
      <c r="C1523" s="713"/>
      <c r="D1523" s="1424"/>
      <c r="E1523" s="714"/>
      <c r="F1523" s="714"/>
      <c r="G1523" s="714"/>
      <c r="H1523" s="714"/>
      <c r="I1523" s="714"/>
      <c r="J1523" s="714"/>
      <c r="K1523" s="714"/>
      <c r="L1523" s="714"/>
      <c r="M1523" s="714"/>
      <c r="N1523" s="714"/>
      <c r="O1523" s="753"/>
      <c r="P1523" s="754"/>
    </row>
    <row r="1524" spans="1:89" ht="17.25" customHeight="1" x14ac:dyDescent="0.25">
      <c r="A1524" s="692"/>
      <c r="B1524" s="1780" t="s">
        <v>2006</v>
      </c>
      <c r="C1524" s="713"/>
      <c r="D1524" s="1424"/>
      <c r="E1524" s="714"/>
      <c r="F1524" s="714"/>
      <c r="G1524" s="714"/>
      <c r="H1524" s="714"/>
      <c r="I1524" s="714"/>
      <c r="J1524" s="714"/>
      <c r="K1524" s="714"/>
      <c r="L1524" s="714"/>
      <c r="M1524" s="714"/>
      <c r="N1524" s="714"/>
      <c r="O1524" s="753"/>
      <c r="P1524" s="754"/>
    </row>
    <row r="1525" spans="1:89" ht="17.25" customHeight="1" x14ac:dyDescent="0.25">
      <c r="A1525" s="692"/>
      <c r="B1525" s="1780" t="s">
        <v>2007</v>
      </c>
      <c r="C1525" s="713"/>
      <c r="D1525" s="1424"/>
      <c r="E1525" s="714"/>
      <c r="F1525" s="714"/>
      <c r="G1525" s="714"/>
      <c r="H1525" s="714"/>
      <c r="I1525" s="714"/>
      <c r="J1525" s="714"/>
      <c r="K1525" s="714"/>
      <c r="L1525" s="714"/>
      <c r="M1525" s="714"/>
      <c r="N1525" s="714"/>
      <c r="O1525" s="753"/>
      <c r="P1525" s="754"/>
    </row>
    <row r="1526" spans="1:89" ht="17.25" customHeight="1" x14ac:dyDescent="0.25">
      <c r="A1526" s="692"/>
      <c r="B1526" s="1780" t="s">
        <v>2008</v>
      </c>
      <c r="C1526" s="713"/>
      <c r="D1526" s="1424"/>
      <c r="E1526" s="714"/>
      <c r="F1526" s="714"/>
      <c r="G1526" s="714"/>
      <c r="H1526" s="714"/>
      <c r="I1526" s="714"/>
      <c r="J1526" s="714"/>
      <c r="K1526" s="714"/>
      <c r="L1526" s="714"/>
      <c r="M1526" s="714"/>
      <c r="N1526" s="714"/>
      <c r="O1526" s="753"/>
      <c r="P1526" s="754"/>
    </row>
    <row r="1527" spans="1:89" ht="17.25" customHeight="1" x14ac:dyDescent="0.25">
      <c r="A1527" s="692"/>
      <c r="B1527" s="1780" t="s">
        <v>2009</v>
      </c>
      <c r="C1527" s="713"/>
      <c r="D1527" s="1424"/>
      <c r="E1527" s="714"/>
      <c r="F1527" s="714"/>
      <c r="G1527" s="714"/>
      <c r="H1527" s="714"/>
      <c r="I1527" s="714"/>
      <c r="J1527" s="714"/>
      <c r="K1527" s="714"/>
      <c r="L1527" s="714"/>
      <c r="M1527" s="714"/>
      <c r="N1527" s="714"/>
      <c r="O1527" s="753"/>
      <c r="P1527" s="754"/>
    </row>
    <row r="1528" spans="1:89" ht="17.25" customHeight="1" x14ac:dyDescent="0.25">
      <c r="A1528" s="692"/>
      <c r="B1528" s="1780" t="s">
        <v>2010</v>
      </c>
      <c r="C1528" s="713"/>
      <c r="D1528" s="1424"/>
      <c r="E1528" s="714"/>
      <c r="F1528" s="714"/>
      <c r="G1528" s="714"/>
      <c r="H1528" s="714"/>
      <c r="I1528" s="714"/>
      <c r="J1528" s="714"/>
      <c r="K1528" s="714"/>
      <c r="L1528" s="714"/>
      <c r="M1528" s="714"/>
      <c r="N1528" s="714"/>
      <c r="O1528" s="753"/>
      <c r="P1528" s="754"/>
    </row>
    <row r="1529" spans="1:89" ht="17.25" customHeight="1" x14ac:dyDescent="0.25">
      <c r="A1529" s="692"/>
      <c r="B1529" s="1780" t="s">
        <v>2011</v>
      </c>
      <c r="C1529" s="713"/>
      <c r="D1529" s="1424"/>
      <c r="E1529" s="714"/>
      <c r="F1529" s="714"/>
      <c r="G1529" s="714"/>
      <c r="H1529" s="714"/>
      <c r="I1529" s="714"/>
      <c r="J1529" s="714"/>
      <c r="K1529" s="714"/>
      <c r="L1529" s="714"/>
      <c r="M1529" s="714"/>
      <c r="N1529" s="714"/>
      <c r="O1529" s="753"/>
      <c r="P1529" s="754"/>
    </row>
    <row r="1530" spans="1:89" ht="17.25" customHeight="1" x14ac:dyDescent="0.25">
      <c r="A1530" s="692"/>
      <c r="B1530" s="757"/>
      <c r="C1530" s="713"/>
      <c r="D1530" s="1424"/>
      <c r="E1530" s="714"/>
      <c r="F1530" s="714"/>
      <c r="G1530" s="714"/>
      <c r="H1530" s="714"/>
      <c r="I1530" s="714"/>
      <c r="J1530" s="714"/>
      <c r="K1530" s="714"/>
      <c r="L1530" s="714"/>
      <c r="M1530" s="714"/>
      <c r="N1530" s="714"/>
      <c r="O1530" s="753"/>
      <c r="P1530" s="754"/>
    </row>
    <row r="1531" spans="1:89" ht="17.25" customHeight="1" x14ac:dyDescent="0.25">
      <c r="A1531" s="692">
        <v>2</v>
      </c>
      <c r="B1531" s="1540" t="s">
        <v>19</v>
      </c>
      <c r="C1531" s="713"/>
      <c r="D1531" s="1424"/>
      <c r="E1531" s="714"/>
      <c r="F1531" s="714"/>
      <c r="G1531" s="714"/>
      <c r="H1531" s="714"/>
      <c r="I1531" s="714"/>
      <c r="J1531" s="714"/>
      <c r="K1531" s="714"/>
      <c r="L1531" s="714"/>
      <c r="M1531" s="714"/>
      <c r="N1531" s="714"/>
      <c r="O1531" s="753">
        <f>N1531+K1531+H1531</f>
        <v>0</v>
      </c>
      <c r="P1531" s="754"/>
    </row>
    <row r="1532" spans="1:89" ht="17.25" customHeight="1" x14ac:dyDescent="0.25">
      <c r="A1532" s="692"/>
      <c r="B1532" s="756" t="s">
        <v>26</v>
      </c>
      <c r="C1532" s="713">
        <v>1</v>
      </c>
      <c r="D1532" s="1424" t="s">
        <v>25</v>
      </c>
      <c r="E1532" s="714">
        <v>50000</v>
      </c>
      <c r="F1532" s="714"/>
      <c r="G1532" s="714"/>
      <c r="H1532" s="714"/>
      <c r="I1532" s="714"/>
      <c r="J1532" s="714">
        <f>C1532*E1532</f>
        <v>50000</v>
      </c>
      <c r="K1532" s="714">
        <f>I1532+J1532</f>
        <v>50000</v>
      </c>
      <c r="L1532" s="714"/>
      <c r="M1532" s="714"/>
      <c r="N1532" s="714"/>
      <c r="O1532" s="753">
        <f>N1532+K1532+H1532</f>
        <v>50000</v>
      </c>
      <c r="P1532" s="754"/>
    </row>
    <row r="1533" spans="1:89" ht="17.25" customHeight="1" x14ac:dyDescent="0.25">
      <c r="A1533" s="692"/>
      <c r="B1533" s="756"/>
      <c r="C1533" s="713"/>
      <c r="D1533" s="1424"/>
      <c r="E1533" s="714"/>
      <c r="F1533" s="714"/>
      <c r="G1533" s="714"/>
      <c r="H1533" s="714"/>
      <c r="I1533" s="714"/>
      <c r="J1533" s="714"/>
      <c r="K1533" s="714"/>
      <c r="L1533" s="714"/>
      <c r="M1533" s="714"/>
      <c r="N1533" s="714"/>
      <c r="O1533" s="753"/>
      <c r="P1533" s="754"/>
    </row>
    <row r="1534" spans="1:89" ht="17.25" customHeight="1" x14ac:dyDescent="0.25">
      <c r="A1534" s="1515"/>
      <c r="B1534" s="1805"/>
      <c r="C1534" s="1783"/>
      <c r="D1534" s="1784"/>
      <c r="E1534" s="1785"/>
      <c r="F1534" s="1785"/>
      <c r="G1534" s="1785"/>
      <c r="H1534" s="1785"/>
      <c r="I1534" s="1785"/>
      <c r="J1534" s="1785"/>
      <c r="K1534" s="1785"/>
      <c r="L1534" s="1785"/>
      <c r="M1534" s="1785"/>
      <c r="N1534" s="1785"/>
      <c r="O1534" s="1786">
        <f>N1534+K1534+H1534</f>
        <v>0</v>
      </c>
      <c r="P1534" s="687"/>
    </row>
    <row r="1535" spans="1:89" s="672" customFormat="1" ht="17.25" customHeight="1" x14ac:dyDescent="0.25">
      <c r="A1535" s="1210" t="s">
        <v>28</v>
      </c>
      <c r="B1535" s="1351" t="s">
        <v>29</v>
      </c>
      <c r="C1535" s="1212"/>
      <c r="D1535" s="1316"/>
      <c r="E1535" s="1214"/>
      <c r="F1535" s="1214">
        <f>SUM(F1536:F1565)</f>
        <v>0</v>
      </c>
      <c r="G1535" s="1214">
        <f>SUM(G1536:G1565)</f>
        <v>0</v>
      </c>
      <c r="H1535" s="1214">
        <f>F1535+G1535</f>
        <v>0</v>
      </c>
      <c r="I1535" s="1214">
        <f>SUM(I1536:I1565)</f>
        <v>0</v>
      </c>
      <c r="J1535" s="1214">
        <f>SUM(J1536:J1565)</f>
        <v>610400</v>
      </c>
      <c r="K1535" s="1214">
        <f>I1535+J1535</f>
        <v>610400</v>
      </c>
      <c r="L1535" s="1214">
        <f>SUM(L1536:L1565)</f>
        <v>25000</v>
      </c>
      <c r="M1535" s="1214">
        <f>SUM(M1536:M1565)</f>
        <v>0</v>
      </c>
      <c r="N1535" s="1214">
        <f>L1535+M1535</f>
        <v>25000</v>
      </c>
      <c r="O1535" s="1215">
        <f>N1535+K1535+H1535</f>
        <v>635400</v>
      </c>
      <c r="P1535" s="680"/>
      <c r="Q1535" s="1581"/>
      <c r="R1535" s="1581"/>
      <c r="S1535" s="1581"/>
      <c r="T1535" s="1581"/>
      <c r="U1535" s="1581"/>
      <c r="V1535" s="1581"/>
      <c r="W1535" s="1581"/>
      <c r="X1535" s="1581"/>
      <c r="Y1535" s="1581"/>
      <c r="Z1535" s="1581"/>
      <c r="AA1535" s="1581"/>
      <c r="AB1535" s="1581"/>
      <c r="AC1535" s="1581"/>
      <c r="AD1535" s="1581"/>
      <c r="AE1535" s="1581"/>
      <c r="AF1535" s="1581"/>
      <c r="AG1535" s="1581"/>
      <c r="AH1535" s="1581"/>
      <c r="AI1535" s="1581"/>
      <c r="AJ1535" s="1581"/>
      <c r="AK1535" s="1581"/>
      <c r="AL1535" s="1581"/>
      <c r="AM1535" s="1581"/>
      <c r="AN1535" s="1581"/>
      <c r="AO1535" s="1581"/>
      <c r="AP1535" s="1581"/>
      <c r="AQ1535" s="1581"/>
      <c r="AR1535" s="1581"/>
      <c r="AS1535" s="1581"/>
      <c r="AT1535" s="1581"/>
      <c r="AU1535" s="1581"/>
      <c r="AV1535" s="1581"/>
      <c r="AW1535" s="1581"/>
      <c r="AX1535" s="1581"/>
      <c r="AY1535" s="1581"/>
      <c r="AZ1535" s="1581"/>
      <c r="BA1535" s="1581"/>
      <c r="BB1535" s="1581"/>
      <c r="BC1535" s="1581"/>
      <c r="BD1535" s="1581"/>
      <c r="BE1535" s="1581"/>
      <c r="BF1535" s="1581"/>
      <c r="BG1535" s="1581"/>
      <c r="BH1535" s="1581"/>
      <c r="BI1535" s="1581"/>
      <c r="BJ1535" s="1581"/>
      <c r="BK1535" s="1581"/>
      <c r="BL1535" s="1581"/>
      <c r="BM1535" s="1581"/>
      <c r="BN1535" s="1581"/>
      <c r="BO1535" s="1581"/>
      <c r="BP1535" s="1581"/>
      <c r="BQ1535" s="1581"/>
      <c r="BR1535" s="1581"/>
      <c r="BS1535" s="1581"/>
      <c r="BT1535" s="1581"/>
      <c r="BU1535" s="1581"/>
      <c r="BV1535" s="1581"/>
      <c r="BW1535" s="1581"/>
      <c r="BX1535" s="1581"/>
      <c r="BY1535" s="1581"/>
      <c r="BZ1535" s="1581"/>
      <c r="CA1535" s="1581"/>
      <c r="CB1535" s="1581"/>
      <c r="CC1535" s="1581"/>
      <c r="CD1535" s="1581"/>
      <c r="CE1535" s="1581"/>
      <c r="CF1535" s="1581"/>
      <c r="CG1535" s="1581"/>
      <c r="CH1535" s="1581"/>
      <c r="CI1535" s="1581"/>
      <c r="CJ1535" s="1581"/>
      <c r="CK1535" s="1581"/>
    </row>
    <row r="1536" spans="1:89" ht="17.25" customHeight="1" x14ac:dyDescent="0.25">
      <c r="A1536" s="1406">
        <v>1</v>
      </c>
      <c r="B1536" s="1541" t="s">
        <v>19</v>
      </c>
      <c r="C1536" s="1408"/>
      <c r="D1536" s="1498"/>
      <c r="E1536" s="1410"/>
      <c r="F1536" s="1410"/>
      <c r="G1536" s="1410"/>
      <c r="H1536" s="1410"/>
      <c r="I1536" s="1410"/>
      <c r="J1536" s="1410"/>
      <c r="K1536" s="1410"/>
      <c r="L1536" s="1410"/>
      <c r="M1536" s="1410"/>
      <c r="N1536" s="1410"/>
      <c r="O1536" s="1411">
        <f>N1536+K1536+H1536</f>
        <v>0</v>
      </c>
      <c r="P1536" s="829"/>
    </row>
    <row r="1537" spans="1:89" ht="17.25" customHeight="1" x14ac:dyDescent="0.25">
      <c r="A1537" s="692"/>
      <c r="B1537" s="1371" t="s">
        <v>30</v>
      </c>
      <c r="C1537" s="693">
        <v>12</v>
      </c>
      <c r="D1537" s="739" t="s">
        <v>20</v>
      </c>
      <c r="E1537" s="695">
        <v>1580</v>
      </c>
      <c r="F1537" s="695"/>
      <c r="G1537" s="695"/>
      <c r="H1537" s="695"/>
      <c r="I1537" s="695"/>
      <c r="J1537" s="695">
        <f>C1537*E1537</f>
        <v>18960</v>
      </c>
      <c r="K1537" s="695">
        <f>I1537+J1537</f>
        <v>18960</v>
      </c>
      <c r="L1537" s="695"/>
      <c r="M1537" s="695"/>
      <c r="N1537" s="695"/>
      <c r="O1537" s="696">
        <f>N1537+K1537+H1537</f>
        <v>18960</v>
      </c>
      <c r="P1537" s="687"/>
    </row>
    <row r="1538" spans="1:89" ht="17.25" customHeight="1" x14ac:dyDescent="0.25">
      <c r="A1538" s="742"/>
      <c r="B1538" s="756" t="s">
        <v>75</v>
      </c>
      <c r="C1538" s="699">
        <v>12</v>
      </c>
      <c r="D1538" s="739" t="s">
        <v>20</v>
      </c>
      <c r="E1538" s="695">
        <v>1330</v>
      </c>
      <c r="F1538" s="714"/>
      <c r="G1538" s="714"/>
      <c r="H1538" s="714"/>
      <c r="I1538" s="714"/>
      <c r="J1538" s="714">
        <f>C1538*E1538</f>
        <v>15960</v>
      </c>
      <c r="K1538" s="714">
        <f>I1538+J1538</f>
        <v>15960</v>
      </c>
      <c r="L1538" s="714"/>
      <c r="M1538" s="714"/>
      <c r="N1538" s="714"/>
      <c r="O1538" s="753">
        <f>N1538+K1538+H1538</f>
        <v>15960</v>
      </c>
      <c r="P1538" s="754"/>
    </row>
    <row r="1539" spans="1:89" ht="17.25" customHeight="1" x14ac:dyDescent="0.25">
      <c r="A1539" s="742"/>
      <c r="B1539" s="756" t="s">
        <v>31</v>
      </c>
      <c r="C1539" s="699">
        <v>12</v>
      </c>
      <c r="D1539" s="739" t="s">
        <v>20</v>
      </c>
      <c r="E1539" s="695">
        <v>1250</v>
      </c>
      <c r="F1539" s="714"/>
      <c r="G1539" s="714"/>
      <c r="H1539" s="714"/>
      <c r="I1539" s="714"/>
      <c r="J1539" s="714">
        <f>C1539*E1539</f>
        <v>15000</v>
      </c>
      <c r="K1539" s="714">
        <f>I1539+J1539</f>
        <v>15000</v>
      </c>
      <c r="L1539" s="714"/>
      <c r="M1539" s="714"/>
      <c r="N1539" s="714"/>
      <c r="O1539" s="753">
        <f t="shared" ref="O1539:O1562" si="109">N1539+K1539+H1539</f>
        <v>15000</v>
      </c>
      <c r="P1539" s="754"/>
    </row>
    <row r="1540" spans="1:89" ht="17.25" customHeight="1" x14ac:dyDescent="0.25">
      <c r="A1540" s="742"/>
      <c r="B1540" s="893" t="s">
        <v>32</v>
      </c>
      <c r="C1540" s="699">
        <v>12</v>
      </c>
      <c r="D1540" s="739" t="s">
        <v>20</v>
      </c>
      <c r="E1540" s="695">
        <v>1090</v>
      </c>
      <c r="F1540" s="714"/>
      <c r="G1540" s="714"/>
      <c r="H1540" s="714"/>
      <c r="I1540" s="714"/>
      <c r="J1540" s="714">
        <f>C1540*E1540</f>
        <v>13080</v>
      </c>
      <c r="K1540" s="714">
        <f>I1540+J1540</f>
        <v>13080</v>
      </c>
      <c r="L1540" s="714"/>
      <c r="M1540" s="714"/>
      <c r="N1540" s="714"/>
      <c r="O1540" s="753">
        <f t="shared" si="109"/>
        <v>13080</v>
      </c>
      <c r="P1540" s="754"/>
    </row>
    <row r="1541" spans="1:89" ht="17.25" customHeight="1" x14ac:dyDescent="0.25">
      <c r="A1541" s="742"/>
      <c r="B1541" s="756" t="s">
        <v>33</v>
      </c>
      <c r="C1541" s="699">
        <v>60</v>
      </c>
      <c r="D1541" s="739" t="s">
        <v>20</v>
      </c>
      <c r="E1541" s="695">
        <v>800</v>
      </c>
      <c r="F1541" s="714"/>
      <c r="G1541" s="714"/>
      <c r="H1541" s="714"/>
      <c r="I1541" s="714"/>
      <c r="J1541" s="714">
        <f>C1541*E1541</f>
        <v>48000</v>
      </c>
      <c r="K1541" s="714">
        <f>I1541+J1541</f>
        <v>48000</v>
      </c>
      <c r="L1541" s="714"/>
      <c r="M1541" s="714"/>
      <c r="N1541" s="714"/>
      <c r="O1541" s="753">
        <f t="shared" si="109"/>
        <v>48000</v>
      </c>
      <c r="P1541" s="754"/>
    </row>
    <row r="1542" spans="1:89" s="672" customFormat="1" ht="17.25" customHeight="1" x14ac:dyDescent="0.25">
      <c r="A1542" s="742"/>
      <c r="B1542" s="756" t="s">
        <v>34</v>
      </c>
      <c r="C1542" s="699"/>
      <c r="D1542" s="739"/>
      <c r="E1542" s="695"/>
      <c r="F1542" s="714"/>
      <c r="G1542" s="714"/>
      <c r="H1542" s="714"/>
      <c r="I1542" s="714"/>
      <c r="J1542" s="714"/>
      <c r="K1542" s="714"/>
      <c r="L1542" s="714"/>
      <c r="M1542" s="714"/>
      <c r="N1542" s="714"/>
      <c r="O1542" s="753">
        <f t="shared" si="109"/>
        <v>0</v>
      </c>
      <c r="P1542" s="754"/>
      <c r="Q1542" s="1581"/>
      <c r="R1542" s="1581"/>
      <c r="S1542" s="1581"/>
      <c r="T1542" s="1581"/>
      <c r="U1542" s="1581"/>
      <c r="V1542" s="1581"/>
      <c r="W1542" s="1581"/>
      <c r="X1542" s="1581"/>
      <c r="Y1542" s="1581"/>
      <c r="Z1542" s="1581"/>
      <c r="AA1542" s="1581"/>
      <c r="AB1542" s="1581"/>
      <c r="AC1542" s="1581"/>
      <c r="AD1542" s="1581"/>
      <c r="AE1542" s="1581"/>
      <c r="AF1542" s="1581"/>
      <c r="AG1542" s="1581"/>
      <c r="AH1542" s="1581"/>
      <c r="AI1542" s="1581"/>
      <c r="AJ1542" s="1581"/>
      <c r="AK1542" s="1581"/>
      <c r="AL1542" s="1581"/>
      <c r="AM1542" s="1581"/>
      <c r="AN1542" s="1581"/>
      <c r="AO1542" s="1581"/>
      <c r="AP1542" s="1581"/>
      <c r="AQ1542" s="1581"/>
      <c r="AR1542" s="1581"/>
      <c r="AS1542" s="1581"/>
      <c r="AT1542" s="1581"/>
      <c r="AU1542" s="1581"/>
      <c r="AV1542" s="1581"/>
      <c r="AW1542" s="1581"/>
      <c r="AX1542" s="1581"/>
      <c r="AY1542" s="1581"/>
      <c r="AZ1542" s="1581"/>
      <c r="BA1542" s="1581"/>
      <c r="BB1542" s="1581"/>
      <c r="BC1542" s="1581"/>
      <c r="BD1542" s="1581"/>
      <c r="BE1542" s="1581"/>
      <c r="BF1542" s="1581"/>
      <c r="BG1542" s="1581"/>
      <c r="BH1542" s="1581"/>
      <c r="BI1542" s="1581"/>
      <c r="BJ1542" s="1581"/>
      <c r="BK1542" s="1581"/>
      <c r="BL1542" s="1581"/>
      <c r="BM1542" s="1581"/>
      <c r="BN1542" s="1581"/>
      <c r="BO1542" s="1581"/>
      <c r="BP1542" s="1581"/>
      <c r="BQ1542" s="1581"/>
      <c r="BR1542" s="1581"/>
      <c r="BS1542" s="1581"/>
      <c r="BT1542" s="1581"/>
      <c r="BU1542" s="1581"/>
      <c r="BV1542" s="1581"/>
      <c r="BW1542" s="1581"/>
      <c r="BX1542" s="1581"/>
      <c r="BY1542" s="1581"/>
      <c r="BZ1542" s="1581"/>
      <c r="CA1542" s="1581"/>
      <c r="CB1542" s="1581"/>
      <c r="CC1542" s="1581"/>
      <c r="CD1542" s="1581"/>
      <c r="CE1542" s="1581"/>
      <c r="CF1542" s="1581"/>
      <c r="CG1542" s="1581"/>
      <c r="CH1542" s="1581"/>
      <c r="CI1542" s="1581"/>
      <c r="CJ1542" s="1581"/>
      <c r="CK1542" s="1581"/>
    </row>
    <row r="1543" spans="1:89" ht="17.25" customHeight="1" x14ac:dyDescent="0.25">
      <c r="A1543" s="742"/>
      <c r="B1543" s="756" t="s">
        <v>35</v>
      </c>
      <c r="C1543" s="699">
        <v>12</v>
      </c>
      <c r="D1543" s="739" t="s">
        <v>20</v>
      </c>
      <c r="E1543" s="695">
        <v>300</v>
      </c>
      <c r="F1543" s="714"/>
      <c r="G1543" s="714"/>
      <c r="H1543" s="714"/>
      <c r="I1543" s="714"/>
      <c r="J1543" s="714">
        <f>C1543*E1543</f>
        <v>3600</v>
      </c>
      <c r="K1543" s="714">
        <f>I1543+J1543</f>
        <v>3600</v>
      </c>
      <c r="L1543" s="714"/>
      <c r="M1543" s="714"/>
      <c r="N1543" s="714"/>
      <c r="O1543" s="753">
        <f t="shared" si="109"/>
        <v>3600</v>
      </c>
      <c r="P1543" s="754"/>
    </row>
    <row r="1544" spans="1:89" ht="17.25" customHeight="1" x14ac:dyDescent="0.25">
      <c r="A1544" s="742"/>
      <c r="B1544" s="756" t="s">
        <v>36</v>
      </c>
      <c r="C1544" s="699">
        <v>48</v>
      </c>
      <c r="D1544" s="739" t="s">
        <v>20</v>
      </c>
      <c r="E1544" s="695">
        <v>150</v>
      </c>
      <c r="F1544" s="714"/>
      <c r="G1544" s="714"/>
      <c r="H1544" s="714"/>
      <c r="I1544" s="714"/>
      <c r="J1544" s="714">
        <f>C1544*E1544</f>
        <v>7200</v>
      </c>
      <c r="K1544" s="714">
        <f>I1544+J1544</f>
        <v>7200</v>
      </c>
      <c r="L1544" s="714"/>
      <c r="M1544" s="714"/>
      <c r="N1544" s="714"/>
      <c r="O1544" s="753">
        <f t="shared" si="109"/>
        <v>7200</v>
      </c>
      <c r="P1544" s="754"/>
    </row>
    <row r="1545" spans="1:89" ht="17.25" customHeight="1" x14ac:dyDescent="0.25">
      <c r="A1545" s="742"/>
      <c r="B1545" s="756"/>
      <c r="C1545" s="699"/>
      <c r="D1545" s="739"/>
      <c r="E1545" s="695"/>
      <c r="F1545" s="714"/>
      <c r="G1545" s="714"/>
      <c r="H1545" s="714"/>
      <c r="I1545" s="714"/>
      <c r="J1545" s="714"/>
      <c r="K1545" s="714"/>
      <c r="L1545" s="714"/>
      <c r="M1545" s="714"/>
      <c r="N1545" s="714"/>
      <c r="O1545" s="753">
        <f t="shared" si="109"/>
        <v>0</v>
      </c>
      <c r="P1545" s="754"/>
    </row>
    <row r="1546" spans="1:89" ht="17.25" customHeight="1" x14ac:dyDescent="0.25">
      <c r="A1546" s="742">
        <v>2</v>
      </c>
      <c r="B1546" s="756" t="s">
        <v>38</v>
      </c>
      <c r="C1546" s="699">
        <v>1</v>
      </c>
      <c r="D1546" s="739" t="s">
        <v>25</v>
      </c>
      <c r="E1546" s="695">
        <v>75000</v>
      </c>
      <c r="F1546" s="714"/>
      <c r="G1546" s="714"/>
      <c r="H1546" s="714"/>
      <c r="I1546" s="714"/>
      <c r="J1546" s="714">
        <f>C1546*E1546</f>
        <v>75000</v>
      </c>
      <c r="K1546" s="714">
        <f>I1546+J1546</f>
        <v>75000</v>
      </c>
      <c r="L1546" s="714"/>
      <c r="M1546" s="714"/>
      <c r="N1546" s="714"/>
      <c r="O1546" s="753">
        <f t="shared" si="109"/>
        <v>75000</v>
      </c>
      <c r="P1546" s="754"/>
    </row>
    <row r="1547" spans="1:89" ht="17.25" customHeight="1" x14ac:dyDescent="0.25">
      <c r="A1547" s="742"/>
      <c r="B1547" s="756" t="s">
        <v>39</v>
      </c>
      <c r="C1547" s="699">
        <v>1</v>
      </c>
      <c r="D1547" s="739" t="s">
        <v>25</v>
      </c>
      <c r="E1547" s="695">
        <v>4600</v>
      </c>
      <c r="F1547" s="714"/>
      <c r="G1547" s="714"/>
      <c r="H1547" s="714"/>
      <c r="I1547" s="714"/>
      <c r="J1547" s="714">
        <f>C1547*E1547</f>
        <v>4600</v>
      </c>
      <c r="K1547" s="714">
        <f>I1547+J1547</f>
        <v>4600</v>
      </c>
      <c r="L1547" s="714"/>
      <c r="M1547" s="714"/>
      <c r="N1547" s="714"/>
      <c r="O1547" s="753">
        <f t="shared" si="109"/>
        <v>4600</v>
      </c>
      <c r="P1547" s="754"/>
    </row>
    <row r="1548" spans="1:89" ht="17.25" customHeight="1" x14ac:dyDescent="0.25">
      <c r="A1548" s="742"/>
      <c r="B1548" s="756"/>
      <c r="C1548" s="699"/>
      <c r="D1548" s="739"/>
      <c r="E1548" s="695"/>
      <c r="F1548" s="714"/>
      <c r="G1548" s="714"/>
      <c r="H1548" s="714"/>
      <c r="I1548" s="714"/>
      <c r="J1548" s="714"/>
      <c r="K1548" s="714"/>
      <c r="L1548" s="714"/>
      <c r="M1548" s="714"/>
      <c r="N1548" s="714"/>
      <c r="O1548" s="753">
        <f t="shared" si="109"/>
        <v>0</v>
      </c>
      <c r="P1548" s="754"/>
    </row>
    <row r="1549" spans="1:89" ht="17.25" customHeight="1" x14ac:dyDescent="0.25">
      <c r="A1549" s="742">
        <v>3</v>
      </c>
      <c r="B1549" s="756" t="s">
        <v>27</v>
      </c>
      <c r="C1549" s="699"/>
      <c r="D1549" s="739"/>
      <c r="E1549" s="695"/>
      <c r="F1549" s="714"/>
      <c r="G1549" s="714"/>
      <c r="H1549" s="714"/>
      <c r="I1549" s="714"/>
      <c r="J1549" s="714"/>
      <c r="K1549" s="714"/>
      <c r="L1549" s="714"/>
      <c r="M1549" s="714"/>
      <c r="N1549" s="714"/>
      <c r="O1549" s="753">
        <f t="shared" si="109"/>
        <v>0</v>
      </c>
      <c r="P1549" s="754"/>
    </row>
    <row r="1550" spans="1:89" ht="17.25" customHeight="1" x14ac:dyDescent="0.25">
      <c r="A1550" s="742"/>
      <c r="B1550" s="756" t="s">
        <v>42</v>
      </c>
      <c r="C1550" s="699">
        <v>1</v>
      </c>
      <c r="D1550" s="739" t="s">
        <v>25</v>
      </c>
      <c r="E1550" s="695">
        <v>40000</v>
      </c>
      <c r="F1550" s="714"/>
      <c r="G1550" s="714"/>
      <c r="H1550" s="714"/>
      <c r="I1550" s="714"/>
      <c r="J1550" s="714">
        <f>C1550*E1550</f>
        <v>40000</v>
      </c>
      <c r="K1550" s="714">
        <f>I1550+J1550</f>
        <v>40000</v>
      </c>
      <c r="L1550" s="714"/>
      <c r="M1550" s="714"/>
      <c r="N1550" s="714"/>
      <c r="O1550" s="753">
        <f t="shared" si="109"/>
        <v>40000</v>
      </c>
      <c r="P1550" s="754"/>
    </row>
    <row r="1551" spans="1:89" ht="17.25" customHeight="1" x14ac:dyDescent="0.25">
      <c r="A1551" s="742"/>
      <c r="B1551" s="756"/>
      <c r="C1551" s="699"/>
      <c r="D1551" s="739"/>
      <c r="E1551" s="695"/>
      <c r="F1551" s="714"/>
      <c r="G1551" s="714"/>
      <c r="H1551" s="714"/>
      <c r="I1551" s="714"/>
      <c r="J1551" s="714"/>
      <c r="K1551" s="714"/>
      <c r="L1551" s="714"/>
      <c r="M1551" s="714"/>
      <c r="N1551" s="714"/>
      <c r="O1551" s="753">
        <f t="shared" si="109"/>
        <v>0</v>
      </c>
      <c r="P1551" s="754"/>
    </row>
    <row r="1552" spans="1:89" ht="17.25" customHeight="1" x14ac:dyDescent="0.25">
      <c r="A1552" s="742">
        <v>4</v>
      </c>
      <c r="B1552" s="756" t="s">
        <v>40</v>
      </c>
      <c r="C1552" s="699"/>
      <c r="D1552" s="739"/>
      <c r="E1552" s="695"/>
      <c r="F1552" s="714"/>
      <c r="G1552" s="714"/>
      <c r="H1552" s="714"/>
      <c r="I1552" s="714"/>
      <c r="J1552" s="714"/>
      <c r="K1552" s="714"/>
      <c r="L1552" s="714"/>
      <c r="M1552" s="714"/>
      <c r="N1552" s="714"/>
      <c r="O1552" s="753">
        <f t="shared" si="109"/>
        <v>0</v>
      </c>
      <c r="P1552" s="754"/>
    </row>
    <row r="1553" spans="1:16" ht="17.25" customHeight="1" x14ac:dyDescent="0.25">
      <c r="A1553" s="742"/>
      <c r="B1553" s="756" t="s">
        <v>41</v>
      </c>
      <c r="C1553" s="699">
        <v>1</v>
      </c>
      <c r="D1553" s="739" t="s">
        <v>25</v>
      </c>
      <c r="E1553" s="695">
        <v>23000</v>
      </c>
      <c r="F1553" s="714"/>
      <c r="G1553" s="714"/>
      <c r="H1553" s="714"/>
      <c r="I1553" s="714"/>
      <c r="J1553" s="714">
        <f>C1553*E1553</f>
        <v>23000</v>
      </c>
      <c r="K1553" s="714">
        <f>I1553+J1553</f>
        <v>23000</v>
      </c>
      <c r="L1553" s="714"/>
      <c r="M1553" s="714"/>
      <c r="N1553" s="714"/>
      <c r="O1553" s="753">
        <f t="shared" si="109"/>
        <v>23000</v>
      </c>
      <c r="P1553" s="754"/>
    </row>
    <row r="1554" spans="1:16" ht="17.25" customHeight="1" x14ac:dyDescent="0.25">
      <c r="A1554" s="742"/>
      <c r="B1554" s="756"/>
      <c r="C1554" s="699"/>
      <c r="D1554" s="739"/>
      <c r="E1554" s="695"/>
      <c r="F1554" s="714"/>
      <c r="G1554" s="714"/>
      <c r="H1554" s="714"/>
      <c r="I1554" s="714"/>
      <c r="J1554" s="714"/>
      <c r="K1554" s="714"/>
      <c r="L1554" s="714"/>
      <c r="M1554" s="714"/>
      <c r="N1554" s="714"/>
      <c r="O1554" s="753">
        <f t="shared" si="109"/>
        <v>0</v>
      </c>
      <c r="P1554" s="754"/>
    </row>
    <row r="1555" spans="1:16" ht="17.25" customHeight="1" x14ac:dyDescent="0.25">
      <c r="A1555" s="742">
        <v>5</v>
      </c>
      <c r="B1555" s="756" t="s">
        <v>43</v>
      </c>
      <c r="C1555" s="699"/>
      <c r="D1555" s="739"/>
      <c r="E1555" s="695"/>
      <c r="F1555" s="714"/>
      <c r="G1555" s="714"/>
      <c r="H1555" s="714"/>
      <c r="I1555" s="714"/>
      <c r="J1555" s="714"/>
      <c r="K1555" s="714"/>
      <c r="L1555" s="714"/>
      <c r="M1555" s="714"/>
      <c r="N1555" s="714"/>
      <c r="O1555" s="753">
        <f t="shared" si="109"/>
        <v>0</v>
      </c>
      <c r="P1555" s="754"/>
    </row>
    <row r="1556" spans="1:16" ht="17.25" customHeight="1" x14ac:dyDescent="0.25">
      <c r="A1556" s="742"/>
      <c r="B1556" s="756" t="s">
        <v>44</v>
      </c>
      <c r="C1556" s="699">
        <v>12</v>
      </c>
      <c r="D1556" s="739" t="s">
        <v>45</v>
      </c>
      <c r="E1556" s="695">
        <v>6000</v>
      </c>
      <c r="F1556" s="714"/>
      <c r="G1556" s="714"/>
      <c r="H1556" s="714"/>
      <c r="I1556" s="714"/>
      <c r="J1556" s="714">
        <f>C1556*E1556</f>
        <v>72000</v>
      </c>
      <c r="K1556" s="714">
        <f>I1556+J1556</f>
        <v>72000</v>
      </c>
      <c r="L1556" s="714"/>
      <c r="M1556" s="714"/>
      <c r="N1556" s="714"/>
      <c r="O1556" s="753">
        <f t="shared" si="109"/>
        <v>72000</v>
      </c>
      <c r="P1556" s="754"/>
    </row>
    <row r="1557" spans="1:16" ht="17.25" customHeight="1" x14ac:dyDescent="0.25">
      <c r="A1557" s="742"/>
      <c r="B1557" s="756"/>
      <c r="C1557" s="699"/>
      <c r="D1557" s="739"/>
      <c r="E1557" s="695"/>
      <c r="F1557" s="714"/>
      <c r="G1557" s="714"/>
      <c r="H1557" s="714"/>
      <c r="I1557" s="714"/>
      <c r="J1557" s="714"/>
      <c r="K1557" s="714"/>
      <c r="L1557" s="714"/>
      <c r="M1557" s="714"/>
      <c r="N1557" s="714"/>
      <c r="O1557" s="753">
        <f t="shared" si="109"/>
        <v>0</v>
      </c>
      <c r="P1557" s="754"/>
    </row>
    <row r="1558" spans="1:16" ht="17.25" customHeight="1" x14ac:dyDescent="0.25">
      <c r="A1558" s="742">
        <v>6</v>
      </c>
      <c r="B1558" s="756" t="s">
        <v>48</v>
      </c>
      <c r="C1558" s="699"/>
      <c r="D1558" s="727"/>
      <c r="E1558" s="695" t="s">
        <v>49</v>
      </c>
      <c r="F1558" s="714"/>
      <c r="G1558" s="714"/>
      <c r="H1558" s="714"/>
      <c r="I1558" s="714"/>
      <c r="J1558" s="714"/>
      <c r="K1558" s="714">
        <f>J1558+I1558</f>
        <v>0</v>
      </c>
      <c r="L1558" s="714"/>
      <c r="M1558" s="714"/>
      <c r="N1558" s="714"/>
      <c r="O1558" s="753">
        <f t="shared" si="109"/>
        <v>0</v>
      </c>
      <c r="P1558" s="754"/>
    </row>
    <row r="1559" spans="1:16" ht="17.25" customHeight="1" x14ac:dyDescent="0.25">
      <c r="A1559" s="742"/>
      <c r="B1559" s="756" t="s">
        <v>50</v>
      </c>
      <c r="C1559" s="699">
        <v>40</v>
      </c>
      <c r="D1559" s="727" t="s">
        <v>51</v>
      </c>
      <c r="E1559" s="695">
        <v>4000</v>
      </c>
      <c r="F1559" s="714"/>
      <c r="G1559" s="714"/>
      <c r="H1559" s="714"/>
      <c r="I1559" s="714"/>
      <c r="J1559" s="714">
        <f>C1559*E1559</f>
        <v>160000</v>
      </c>
      <c r="K1559" s="714">
        <f>I1559+J1559</f>
        <v>160000</v>
      </c>
      <c r="L1559" s="714"/>
      <c r="M1559" s="714"/>
      <c r="N1559" s="714"/>
      <c r="O1559" s="753">
        <f t="shared" si="109"/>
        <v>160000</v>
      </c>
      <c r="P1559" s="754"/>
    </row>
    <row r="1560" spans="1:16" ht="17.25" customHeight="1" x14ac:dyDescent="0.25">
      <c r="A1560" s="742"/>
      <c r="B1560" s="756" t="s">
        <v>52</v>
      </c>
      <c r="C1560" s="699">
        <v>80</v>
      </c>
      <c r="D1560" s="727" t="s">
        <v>53</v>
      </c>
      <c r="E1560" s="695">
        <v>450</v>
      </c>
      <c r="F1560" s="714"/>
      <c r="G1560" s="714"/>
      <c r="H1560" s="714"/>
      <c r="I1560" s="714"/>
      <c r="J1560" s="714">
        <f>C1560*E1560</f>
        <v>36000</v>
      </c>
      <c r="K1560" s="714">
        <f>I1560+J1560</f>
        <v>36000</v>
      </c>
      <c r="L1560" s="714"/>
      <c r="M1560" s="714"/>
      <c r="N1560" s="714"/>
      <c r="O1560" s="753">
        <f t="shared" si="109"/>
        <v>36000</v>
      </c>
      <c r="P1560" s="754"/>
    </row>
    <row r="1561" spans="1:16" ht="17.25" customHeight="1" x14ac:dyDescent="0.25">
      <c r="A1561" s="742"/>
      <c r="B1561" s="756" t="s">
        <v>54</v>
      </c>
      <c r="C1561" s="713">
        <v>120</v>
      </c>
      <c r="D1561" s="727" t="s">
        <v>55</v>
      </c>
      <c r="E1561" s="714">
        <v>450</v>
      </c>
      <c r="F1561" s="714"/>
      <c r="G1561" s="714"/>
      <c r="H1561" s="714"/>
      <c r="I1561" s="714"/>
      <c r="J1561" s="714">
        <f>C1561*E1561</f>
        <v>54000</v>
      </c>
      <c r="K1561" s="714">
        <f>I1561+J1561</f>
        <v>54000</v>
      </c>
      <c r="L1561" s="714"/>
      <c r="M1561" s="714"/>
      <c r="N1561" s="714"/>
      <c r="O1561" s="753">
        <f t="shared" si="109"/>
        <v>54000</v>
      </c>
      <c r="P1561" s="754"/>
    </row>
    <row r="1562" spans="1:16" ht="17.25" customHeight="1" x14ac:dyDescent="0.25">
      <c r="A1562" s="742"/>
      <c r="B1562" s="756" t="s">
        <v>56</v>
      </c>
      <c r="C1562" s="713">
        <v>80</v>
      </c>
      <c r="D1562" s="727" t="s">
        <v>55</v>
      </c>
      <c r="E1562" s="714">
        <v>300</v>
      </c>
      <c r="F1562" s="714"/>
      <c r="G1562" s="714"/>
      <c r="H1562" s="714"/>
      <c r="I1562" s="714"/>
      <c r="J1562" s="714">
        <f>C1562*E1562</f>
        <v>24000</v>
      </c>
      <c r="K1562" s="714">
        <f>I1562+J1562</f>
        <v>24000</v>
      </c>
      <c r="L1562" s="714"/>
      <c r="M1562" s="714"/>
      <c r="N1562" s="714"/>
      <c r="O1562" s="753">
        <f t="shared" si="109"/>
        <v>24000</v>
      </c>
      <c r="P1562" s="754"/>
    </row>
    <row r="1563" spans="1:16" ht="17.25" customHeight="1" x14ac:dyDescent="0.25">
      <c r="A1563" s="742"/>
      <c r="B1563" s="756"/>
      <c r="C1563" s="713"/>
      <c r="D1563" s="727"/>
      <c r="E1563" s="714"/>
      <c r="F1563" s="714"/>
      <c r="G1563" s="714"/>
      <c r="H1563" s="714"/>
      <c r="I1563" s="714"/>
      <c r="J1563" s="714"/>
      <c r="K1563" s="714"/>
      <c r="L1563" s="714"/>
      <c r="M1563" s="714"/>
      <c r="N1563" s="714"/>
      <c r="O1563" s="753"/>
      <c r="P1563" s="754"/>
    </row>
    <row r="1564" spans="1:16" ht="17.25" customHeight="1" x14ac:dyDescent="0.25">
      <c r="A1564" s="742">
        <v>7</v>
      </c>
      <c r="B1564" s="756" t="s">
        <v>703</v>
      </c>
      <c r="C1564" s="713">
        <v>1</v>
      </c>
      <c r="D1564" s="727" t="s">
        <v>16</v>
      </c>
      <c r="E1564" s="714">
        <v>15000</v>
      </c>
      <c r="F1564" s="714"/>
      <c r="G1564" s="714"/>
      <c r="H1564" s="714"/>
      <c r="I1564" s="714"/>
      <c r="J1564" s="714"/>
      <c r="K1564" s="714"/>
      <c r="L1564" s="714">
        <f>E1564*C1564</f>
        <v>15000</v>
      </c>
      <c r="M1564" s="714"/>
      <c r="N1564" s="714">
        <f>L1564+M1564</f>
        <v>15000</v>
      </c>
      <c r="O1564" s="753">
        <f>N1564+K1564+H1564</f>
        <v>15000</v>
      </c>
      <c r="P1564" s="754"/>
    </row>
    <row r="1565" spans="1:16" ht="17.25" customHeight="1" x14ac:dyDescent="0.25">
      <c r="A1565" s="742"/>
      <c r="B1565" s="756" t="s">
        <v>704</v>
      </c>
      <c r="C1565" s="713">
        <v>1</v>
      </c>
      <c r="D1565" s="727" t="s">
        <v>16</v>
      </c>
      <c r="E1565" s="714">
        <v>10000</v>
      </c>
      <c r="F1565" s="714"/>
      <c r="G1565" s="714"/>
      <c r="H1565" s="714"/>
      <c r="I1565" s="714"/>
      <c r="J1565" s="714"/>
      <c r="K1565" s="714"/>
      <c r="L1565" s="714">
        <f>E1565*C1565</f>
        <v>10000</v>
      </c>
      <c r="M1565" s="714"/>
      <c r="N1565" s="714">
        <f>L1565+M1565</f>
        <v>10000</v>
      </c>
      <c r="O1565" s="753">
        <f>N1565+K1565+H1565</f>
        <v>10000</v>
      </c>
      <c r="P1565" s="754"/>
    </row>
    <row r="1566" spans="1:16" ht="17.25" customHeight="1" x14ac:dyDescent="0.25">
      <c r="A1566" s="820"/>
      <c r="B1566" s="894"/>
      <c r="C1566" s="830"/>
      <c r="D1566" s="831"/>
      <c r="E1566" s="821"/>
      <c r="F1566" s="821"/>
      <c r="G1566" s="821"/>
      <c r="H1566" s="821"/>
      <c r="I1566" s="821"/>
      <c r="J1566" s="821"/>
      <c r="K1566" s="821"/>
      <c r="L1566" s="821"/>
      <c r="M1566" s="821"/>
      <c r="N1566" s="821"/>
      <c r="O1566" s="822"/>
      <c r="P1566" s="687"/>
    </row>
    <row r="1567" spans="1:16" ht="22.5" customHeight="1" x14ac:dyDescent="0.25">
      <c r="A1567" s="1352">
        <v>28</v>
      </c>
      <c r="B1567" s="1367" t="s">
        <v>165</v>
      </c>
      <c r="C1567" s="1212"/>
      <c r="D1567" s="1213"/>
      <c r="E1567" s="1214"/>
      <c r="F1567" s="1290">
        <f>F1569+F1582+F1587+F1602</f>
        <v>0</v>
      </c>
      <c r="G1567" s="1290">
        <f>G1569+G1582+G1587+G1602</f>
        <v>0</v>
      </c>
      <c r="H1567" s="1290">
        <f>G1567+F1567</f>
        <v>0</v>
      </c>
      <c r="I1567" s="1290">
        <f>I1569+I1582+I1587+I1602</f>
        <v>0</v>
      </c>
      <c r="J1567" s="1290">
        <f>J1569+J1582+J1587+J1602</f>
        <v>29031966</v>
      </c>
      <c r="K1567" s="1290">
        <f>J1567+I1567</f>
        <v>29031966</v>
      </c>
      <c r="L1567" s="1290">
        <f>L1569+L1582+L1587+L1602</f>
        <v>40559600</v>
      </c>
      <c r="M1567" s="1290">
        <f>M1569+M1582+M1587+M1602</f>
        <v>0</v>
      </c>
      <c r="N1567" s="1290">
        <f>M1567+L1567</f>
        <v>40559600</v>
      </c>
      <c r="O1567" s="1215">
        <f t="shared" ref="O1567:O1580" si="110">N1567+K1567+H1567</f>
        <v>69591566</v>
      </c>
      <c r="P1567" s="680"/>
    </row>
    <row r="1568" spans="1:16" ht="17.25" customHeight="1" x14ac:dyDescent="0.25">
      <c r="A1568" s="730"/>
      <c r="B1568" s="873"/>
      <c r="C1568" s="682"/>
      <c r="D1568" s="683"/>
      <c r="E1568" s="685"/>
      <c r="F1568" s="685"/>
      <c r="G1568" s="685"/>
      <c r="H1568" s="685"/>
      <c r="I1568" s="685"/>
      <c r="J1568" s="685"/>
      <c r="K1568" s="685"/>
      <c r="L1568" s="685"/>
      <c r="M1568" s="685"/>
      <c r="N1568" s="685"/>
      <c r="O1568" s="686">
        <f t="shared" si="110"/>
        <v>0</v>
      </c>
      <c r="P1568" s="687"/>
    </row>
    <row r="1569" spans="1:89" s="672" customFormat="1" ht="35.25" customHeight="1" x14ac:dyDescent="0.25">
      <c r="A1569" s="737" t="s">
        <v>15</v>
      </c>
      <c r="B1569" s="1372" t="s">
        <v>1156</v>
      </c>
      <c r="C1569" s="828"/>
      <c r="D1569" s="738"/>
      <c r="E1569" s="705"/>
      <c r="F1569" s="874">
        <f>SUM(F1570:F1581)</f>
        <v>0</v>
      </c>
      <c r="G1569" s="874">
        <f>SUM(G1570:G1581)</f>
        <v>0</v>
      </c>
      <c r="H1569" s="705">
        <f>F1569+G1569</f>
        <v>0</v>
      </c>
      <c r="I1569" s="874">
        <f>SUM(I1570:I1581)</f>
        <v>0</v>
      </c>
      <c r="J1569" s="874">
        <f>SUM(J1570:J1581)</f>
        <v>0</v>
      </c>
      <c r="K1569" s="705">
        <f>I1569+J1569</f>
        <v>0</v>
      </c>
      <c r="L1569" s="874">
        <f>SUM(L1570:L1581)</f>
        <v>40559600</v>
      </c>
      <c r="M1569" s="874">
        <f>SUM(M1570:M1581)</f>
        <v>0</v>
      </c>
      <c r="N1569" s="705">
        <f>L1569+M1569</f>
        <v>40559600</v>
      </c>
      <c r="O1569" s="1370">
        <f>N1569+K1569+H1569</f>
        <v>40559600</v>
      </c>
      <c r="P1569" s="829"/>
      <c r="Q1569" s="1581"/>
      <c r="R1569" s="1581"/>
      <c r="S1569" s="1581"/>
      <c r="T1569" s="1581"/>
      <c r="U1569" s="1581"/>
      <c r="V1569" s="1581"/>
      <c r="W1569" s="1581"/>
      <c r="X1569" s="1581"/>
      <c r="Y1569" s="1581"/>
      <c r="Z1569" s="1581"/>
      <c r="AA1569" s="1581"/>
      <c r="AB1569" s="1581"/>
      <c r="AC1569" s="1581"/>
      <c r="AD1569" s="1581"/>
      <c r="AE1569" s="1581"/>
      <c r="AF1569" s="1581"/>
      <c r="AG1569" s="1581"/>
      <c r="AH1569" s="1581"/>
      <c r="AI1569" s="1581"/>
      <c r="AJ1569" s="1581"/>
      <c r="AK1569" s="1581"/>
      <c r="AL1569" s="1581"/>
      <c r="AM1569" s="1581"/>
      <c r="AN1569" s="1581"/>
      <c r="AO1569" s="1581"/>
      <c r="AP1569" s="1581"/>
      <c r="AQ1569" s="1581"/>
      <c r="AR1569" s="1581"/>
      <c r="AS1569" s="1581"/>
      <c r="AT1569" s="1581"/>
      <c r="AU1569" s="1581"/>
      <c r="AV1569" s="1581"/>
      <c r="AW1569" s="1581"/>
      <c r="AX1569" s="1581"/>
      <c r="AY1569" s="1581"/>
      <c r="AZ1569" s="1581"/>
      <c r="BA1569" s="1581"/>
      <c r="BB1569" s="1581"/>
      <c r="BC1569" s="1581"/>
      <c r="BD1569" s="1581"/>
      <c r="BE1569" s="1581"/>
      <c r="BF1569" s="1581"/>
      <c r="BG1569" s="1581"/>
      <c r="BH1569" s="1581"/>
      <c r="BI1569" s="1581"/>
      <c r="BJ1569" s="1581"/>
      <c r="BK1569" s="1581"/>
      <c r="BL1569" s="1581"/>
      <c r="BM1569" s="1581"/>
      <c r="BN1569" s="1581"/>
      <c r="BO1569" s="1581"/>
      <c r="BP1569" s="1581"/>
      <c r="BQ1569" s="1581"/>
      <c r="BR1569" s="1581"/>
      <c r="BS1569" s="1581"/>
      <c r="BT1569" s="1581"/>
      <c r="BU1569" s="1581"/>
      <c r="BV1569" s="1581"/>
      <c r="BW1569" s="1581"/>
      <c r="BX1569" s="1581"/>
      <c r="BY1569" s="1581"/>
      <c r="BZ1569" s="1581"/>
      <c r="CA1569" s="1581"/>
      <c r="CB1569" s="1581"/>
      <c r="CC1569" s="1581"/>
      <c r="CD1569" s="1581"/>
      <c r="CE1569" s="1581"/>
      <c r="CF1569" s="1581"/>
      <c r="CG1569" s="1581"/>
      <c r="CH1569" s="1581"/>
      <c r="CI1569" s="1581"/>
      <c r="CJ1569" s="1581"/>
      <c r="CK1569" s="1581"/>
    </row>
    <row r="1570" spans="1:89" ht="17.25" customHeight="1" x14ac:dyDescent="0.25">
      <c r="A1570" s="692">
        <v>1</v>
      </c>
      <c r="B1570" s="715" t="s">
        <v>712</v>
      </c>
      <c r="C1570" s="713">
        <v>1</v>
      </c>
      <c r="D1570" s="739" t="s">
        <v>16</v>
      </c>
      <c r="E1570" s="695">
        <v>2033000</v>
      </c>
      <c r="F1570" s="695"/>
      <c r="G1570" s="695"/>
      <c r="H1570" s="695"/>
      <c r="I1570" s="695"/>
      <c r="J1570" s="695"/>
      <c r="K1570" s="695"/>
      <c r="L1570" s="695">
        <f t="shared" ref="L1570:L1580" si="111">E1570*C1570</f>
        <v>2033000</v>
      </c>
      <c r="M1570" s="695"/>
      <c r="N1570" s="695">
        <f t="shared" ref="N1570:N1580" si="112">L1570+M1570</f>
        <v>2033000</v>
      </c>
      <c r="O1570" s="696">
        <f t="shared" si="110"/>
        <v>2033000</v>
      </c>
      <c r="P1570" s="687"/>
    </row>
    <row r="1571" spans="1:89" ht="17.25" customHeight="1" x14ac:dyDescent="0.25">
      <c r="A1571" s="692">
        <v>2</v>
      </c>
      <c r="B1571" s="715" t="s">
        <v>713</v>
      </c>
      <c r="C1571" s="713">
        <v>1</v>
      </c>
      <c r="D1571" s="739" t="s">
        <v>16</v>
      </c>
      <c r="E1571" s="695">
        <f>1586700+1000000+1000000</f>
        <v>3586700</v>
      </c>
      <c r="F1571" s="695"/>
      <c r="G1571" s="695"/>
      <c r="H1571" s="695"/>
      <c r="I1571" s="695"/>
      <c r="J1571" s="695"/>
      <c r="K1571" s="695"/>
      <c r="L1571" s="695">
        <f t="shared" si="111"/>
        <v>3586700</v>
      </c>
      <c r="M1571" s="695"/>
      <c r="N1571" s="695">
        <f t="shared" si="112"/>
        <v>3586700</v>
      </c>
      <c r="O1571" s="696">
        <f t="shared" si="110"/>
        <v>3586700</v>
      </c>
      <c r="P1571" s="687"/>
    </row>
    <row r="1572" spans="1:89" ht="17.25" customHeight="1" x14ac:dyDescent="0.25">
      <c r="A1572" s="692">
        <v>3</v>
      </c>
      <c r="B1572" s="715" t="s">
        <v>714</v>
      </c>
      <c r="C1572" s="713">
        <v>1</v>
      </c>
      <c r="D1572" s="739" t="s">
        <v>16</v>
      </c>
      <c r="E1572" s="695">
        <v>2881800</v>
      </c>
      <c r="F1572" s="695"/>
      <c r="G1572" s="695"/>
      <c r="H1572" s="695"/>
      <c r="I1572" s="695"/>
      <c r="J1572" s="695"/>
      <c r="K1572" s="695"/>
      <c r="L1572" s="695">
        <f t="shared" si="111"/>
        <v>2881800</v>
      </c>
      <c r="M1572" s="695"/>
      <c r="N1572" s="695">
        <f t="shared" si="112"/>
        <v>2881800</v>
      </c>
      <c r="O1572" s="696">
        <f t="shared" si="110"/>
        <v>2881800</v>
      </c>
      <c r="P1572" s="687"/>
    </row>
    <row r="1573" spans="1:89" ht="17.25" customHeight="1" x14ac:dyDescent="0.25">
      <c r="A1573" s="692">
        <v>4</v>
      </c>
      <c r="B1573" s="715" t="s">
        <v>715</v>
      </c>
      <c r="C1573" s="713">
        <v>1</v>
      </c>
      <c r="D1573" s="739" t="s">
        <v>16</v>
      </c>
      <c r="E1573" s="695">
        <v>8603700</v>
      </c>
      <c r="F1573" s="695"/>
      <c r="G1573" s="695"/>
      <c r="H1573" s="695"/>
      <c r="I1573" s="695"/>
      <c r="J1573" s="695"/>
      <c r="K1573" s="695"/>
      <c r="L1573" s="695">
        <f t="shared" si="111"/>
        <v>8603700</v>
      </c>
      <c r="M1573" s="695"/>
      <c r="N1573" s="695">
        <f t="shared" si="112"/>
        <v>8603700</v>
      </c>
      <c r="O1573" s="696">
        <f t="shared" si="110"/>
        <v>8603700</v>
      </c>
      <c r="P1573" s="687"/>
    </row>
    <row r="1574" spans="1:89" ht="17.25" customHeight="1" x14ac:dyDescent="0.25">
      <c r="A1574" s="692">
        <v>5</v>
      </c>
      <c r="B1574" s="715" t="s">
        <v>716</v>
      </c>
      <c r="C1574" s="713">
        <v>1</v>
      </c>
      <c r="D1574" s="739" t="s">
        <v>16</v>
      </c>
      <c r="E1574" s="695">
        <v>2049000</v>
      </c>
      <c r="F1574" s="695"/>
      <c r="G1574" s="695"/>
      <c r="H1574" s="695"/>
      <c r="I1574" s="695"/>
      <c r="J1574" s="695"/>
      <c r="K1574" s="695"/>
      <c r="L1574" s="695">
        <f t="shared" si="111"/>
        <v>2049000</v>
      </c>
      <c r="M1574" s="695"/>
      <c r="N1574" s="695">
        <f t="shared" si="112"/>
        <v>2049000</v>
      </c>
      <c r="O1574" s="696">
        <f t="shared" si="110"/>
        <v>2049000</v>
      </c>
      <c r="P1574" s="687"/>
    </row>
    <row r="1575" spans="1:89" ht="17.25" customHeight="1" x14ac:dyDescent="0.25">
      <c r="A1575" s="692">
        <v>6</v>
      </c>
      <c r="B1575" s="715" t="s">
        <v>717</v>
      </c>
      <c r="C1575" s="713">
        <v>1</v>
      </c>
      <c r="D1575" s="739" t="s">
        <v>16</v>
      </c>
      <c r="E1575" s="695">
        <v>2936500</v>
      </c>
      <c r="F1575" s="695"/>
      <c r="G1575" s="695"/>
      <c r="H1575" s="695"/>
      <c r="I1575" s="695"/>
      <c r="J1575" s="695"/>
      <c r="K1575" s="695"/>
      <c r="L1575" s="695">
        <f t="shared" si="111"/>
        <v>2936500</v>
      </c>
      <c r="M1575" s="695"/>
      <c r="N1575" s="695">
        <f t="shared" si="112"/>
        <v>2936500</v>
      </c>
      <c r="O1575" s="696">
        <f t="shared" si="110"/>
        <v>2936500</v>
      </c>
      <c r="P1575" s="687"/>
    </row>
    <row r="1576" spans="1:89" ht="17.25" customHeight="1" x14ac:dyDescent="0.25">
      <c r="A1576" s="692">
        <v>7</v>
      </c>
      <c r="B1576" s="715" t="s">
        <v>718</v>
      </c>
      <c r="C1576" s="713">
        <v>1</v>
      </c>
      <c r="D1576" s="739" t="s">
        <v>16</v>
      </c>
      <c r="E1576" s="695">
        <f>1542500+1000000</f>
        <v>2542500</v>
      </c>
      <c r="F1576" s="695"/>
      <c r="G1576" s="695"/>
      <c r="H1576" s="695"/>
      <c r="I1576" s="695"/>
      <c r="J1576" s="695"/>
      <c r="K1576" s="695"/>
      <c r="L1576" s="695">
        <f t="shared" si="111"/>
        <v>2542500</v>
      </c>
      <c r="M1576" s="695"/>
      <c r="N1576" s="695">
        <f>L1576+M1576</f>
        <v>2542500</v>
      </c>
      <c r="O1576" s="696">
        <f>N1576+K1576+H1576</f>
        <v>2542500</v>
      </c>
      <c r="P1576" s="687"/>
    </row>
    <row r="1577" spans="1:89" ht="17.25" customHeight="1" x14ac:dyDescent="0.25">
      <c r="A1577" s="692">
        <v>8</v>
      </c>
      <c r="B1577" s="715" t="s">
        <v>719</v>
      </c>
      <c r="C1577" s="713">
        <v>1</v>
      </c>
      <c r="D1577" s="739" t="s">
        <v>16</v>
      </c>
      <c r="E1577" s="695">
        <f>1400700+2000000</f>
        <v>3400700</v>
      </c>
      <c r="F1577" s="695"/>
      <c r="G1577" s="695"/>
      <c r="H1577" s="695"/>
      <c r="I1577" s="695"/>
      <c r="J1577" s="695"/>
      <c r="K1577" s="695"/>
      <c r="L1577" s="695">
        <f>E1577*C1577</f>
        <v>3400700</v>
      </c>
      <c r="M1577" s="695"/>
      <c r="N1577" s="695">
        <f>L1577+M1577</f>
        <v>3400700</v>
      </c>
      <c r="O1577" s="696">
        <f>N1577+K1577+H1577</f>
        <v>3400700</v>
      </c>
      <c r="P1577" s="687"/>
    </row>
    <row r="1578" spans="1:89" ht="17.25" customHeight="1" x14ac:dyDescent="0.25">
      <c r="A1578" s="692">
        <v>9</v>
      </c>
      <c r="B1578" s="1501" t="s">
        <v>720</v>
      </c>
      <c r="C1578" s="713">
        <v>1</v>
      </c>
      <c r="D1578" s="739" t="s">
        <v>16</v>
      </c>
      <c r="E1578" s="695">
        <f>1425700+1000000-400000</f>
        <v>2025700</v>
      </c>
      <c r="F1578" s="695"/>
      <c r="G1578" s="695"/>
      <c r="H1578" s="695"/>
      <c r="I1578" s="695"/>
      <c r="J1578" s="695"/>
      <c r="K1578" s="695"/>
      <c r="L1578" s="695">
        <f>E1578*C1578</f>
        <v>2025700</v>
      </c>
      <c r="M1578" s="695"/>
      <c r="N1578" s="695">
        <f>L1578+M1578</f>
        <v>2025700</v>
      </c>
      <c r="O1578" s="696">
        <f>N1578+K1578+H1578</f>
        <v>2025700</v>
      </c>
      <c r="P1578" s="687"/>
    </row>
    <row r="1579" spans="1:89" ht="17.25" customHeight="1" x14ac:dyDescent="0.25">
      <c r="A1579" s="692">
        <v>10</v>
      </c>
      <c r="B1579" s="1501" t="s">
        <v>2293</v>
      </c>
      <c r="C1579" s="713">
        <v>1</v>
      </c>
      <c r="D1579" s="739" t="s">
        <v>16</v>
      </c>
      <c r="E1579" s="695">
        <v>5000000</v>
      </c>
      <c r="F1579" s="695"/>
      <c r="G1579" s="695"/>
      <c r="H1579" s="695"/>
      <c r="I1579" s="695"/>
      <c r="J1579" s="695"/>
      <c r="K1579" s="695"/>
      <c r="L1579" s="695">
        <f>E1579*C1579</f>
        <v>5000000</v>
      </c>
      <c r="M1579" s="695"/>
      <c r="N1579" s="695">
        <f>L1579+M1579</f>
        <v>5000000</v>
      </c>
      <c r="O1579" s="696">
        <f>N1579+K1579+H1579</f>
        <v>5000000</v>
      </c>
      <c r="P1579" s="687"/>
    </row>
    <row r="1580" spans="1:89" s="1206" customFormat="1" ht="17.25" customHeight="1" x14ac:dyDescent="0.25">
      <c r="A1580" s="692">
        <v>11</v>
      </c>
      <c r="B1580" s="1542" t="s">
        <v>2275</v>
      </c>
      <c r="C1580" s="1543">
        <v>1</v>
      </c>
      <c r="D1580" s="1544" t="s">
        <v>16</v>
      </c>
      <c r="E1580" s="1545">
        <v>5500000</v>
      </c>
      <c r="F1580" s="1545"/>
      <c r="G1580" s="1545"/>
      <c r="H1580" s="1545"/>
      <c r="I1580" s="1545"/>
      <c r="J1580" s="1545"/>
      <c r="K1580" s="1545"/>
      <c r="L1580" s="1545">
        <f t="shared" si="111"/>
        <v>5500000</v>
      </c>
      <c r="M1580" s="1545"/>
      <c r="N1580" s="1545">
        <f t="shared" si="112"/>
        <v>5500000</v>
      </c>
      <c r="O1580" s="1546">
        <f t="shared" si="110"/>
        <v>5500000</v>
      </c>
      <c r="P1580" s="1547"/>
      <c r="Q1580" s="1827"/>
      <c r="R1580" s="1827"/>
      <c r="S1580" s="1827"/>
      <c r="T1580" s="1827"/>
      <c r="U1580" s="1827"/>
      <c r="V1580" s="1827"/>
      <c r="W1580" s="1827"/>
      <c r="X1580" s="1827"/>
      <c r="Y1580" s="1827"/>
      <c r="Z1580" s="1827"/>
      <c r="AA1580" s="1827"/>
      <c r="AB1580" s="1827"/>
      <c r="AC1580" s="1827"/>
      <c r="AD1580" s="1827"/>
      <c r="AE1580" s="1827"/>
      <c r="AF1580" s="1827"/>
      <c r="AG1580" s="1827"/>
      <c r="AH1580" s="1827"/>
      <c r="AI1580" s="1827"/>
      <c r="AJ1580" s="1827"/>
      <c r="AK1580" s="1827"/>
      <c r="AL1580" s="1827"/>
      <c r="AM1580" s="1827"/>
      <c r="AN1580" s="1827"/>
      <c r="AO1580" s="1827"/>
      <c r="AP1580" s="1827"/>
      <c r="AQ1580" s="1827"/>
      <c r="AR1580" s="1827"/>
      <c r="AS1580" s="1827"/>
      <c r="AT1580" s="1827"/>
      <c r="AU1580" s="1827"/>
      <c r="AV1580" s="1827"/>
      <c r="AW1580" s="1827"/>
      <c r="AX1580" s="1827"/>
      <c r="AY1580" s="1827"/>
      <c r="AZ1580" s="1827"/>
      <c r="BA1580" s="1827"/>
      <c r="BB1580" s="1827"/>
      <c r="BC1580" s="1827"/>
      <c r="BD1580" s="1827"/>
      <c r="BE1580" s="1827"/>
      <c r="BF1580" s="1827"/>
      <c r="BG1580" s="1827"/>
      <c r="BH1580" s="1827"/>
      <c r="BI1580" s="1827"/>
      <c r="BJ1580" s="1827"/>
      <c r="BK1580" s="1827"/>
      <c r="BL1580" s="1827"/>
      <c r="BM1580" s="1827"/>
      <c r="BN1580" s="1827"/>
      <c r="BO1580" s="1827"/>
      <c r="BP1580" s="1827"/>
      <c r="BQ1580" s="1827"/>
      <c r="BR1580" s="1827"/>
      <c r="BS1580" s="1827"/>
      <c r="BT1580" s="1827"/>
      <c r="BU1580" s="1827"/>
      <c r="BV1580" s="1827"/>
      <c r="BW1580" s="1827"/>
      <c r="BX1580" s="1827"/>
      <c r="BY1580" s="1827"/>
      <c r="BZ1580" s="1827"/>
      <c r="CA1580" s="1827"/>
      <c r="CB1580" s="1827"/>
      <c r="CC1580" s="1827"/>
      <c r="CD1580" s="1827"/>
      <c r="CE1580" s="1827"/>
      <c r="CF1580" s="1827"/>
      <c r="CG1580" s="1827"/>
      <c r="CH1580" s="1827"/>
      <c r="CI1580" s="1827"/>
      <c r="CJ1580" s="1827"/>
      <c r="CK1580" s="1827"/>
    </row>
    <row r="1581" spans="1:89" ht="17.25" customHeight="1" x14ac:dyDescent="0.25">
      <c r="A1581" s="692"/>
      <c r="B1581" s="1501"/>
      <c r="C1581" s="713"/>
      <c r="D1581" s="880"/>
      <c r="E1581" s="695"/>
      <c r="F1581" s="695"/>
      <c r="G1581" s="695"/>
      <c r="H1581" s="695"/>
      <c r="I1581" s="695"/>
      <c r="J1581" s="695"/>
      <c r="K1581" s="695"/>
      <c r="L1581" s="695"/>
      <c r="M1581" s="695"/>
      <c r="N1581" s="695"/>
      <c r="O1581" s="696"/>
      <c r="P1581" s="687"/>
    </row>
    <row r="1582" spans="1:89" s="672" customFormat="1" ht="17.25" customHeight="1" x14ac:dyDescent="0.25">
      <c r="A1582" s="740"/>
      <c r="B1582" s="1368" t="s">
        <v>166</v>
      </c>
      <c r="C1582" s="828"/>
      <c r="D1582" s="738"/>
      <c r="E1582" s="705"/>
      <c r="F1582" s="705">
        <f>SUM(F1583:F1586)</f>
        <v>0</v>
      </c>
      <c r="G1582" s="705">
        <f>SUM(G1583:G1586)</f>
        <v>0</v>
      </c>
      <c r="H1582" s="705">
        <f>G1582+F1582</f>
        <v>0</v>
      </c>
      <c r="I1582" s="705">
        <f>SUM(I1583:I1586)</f>
        <v>0</v>
      </c>
      <c r="J1582" s="705">
        <f>SUM(J1583:J1586)</f>
        <v>22880177</v>
      </c>
      <c r="K1582" s="705">
        <f>J1582+I1582</f>
        <v>22880177</v>
      </c>
      <c r="L1582" s="705">
        <f>SUM(L1583:L1586)</f>
        <v>0</v>
      </c>
      <c r="M1582" s="705">
        <f>SUM(M1583:M1586)</f>
        <v>0</v>
      </c>
      <c r="N1582" s="705">
        <f>M1582+L1582</f>
        <v>0</v>
      </c>
      <c r="O1582" s="1370">
        <f>N1582+K1582+H1582</f>
        <v>22880177</v>
      </c>
      <c r="P1582" s="829"/>
      <c r="Q1582" s="1581"/>
      <c r="R1582" s="1581"/>
      <c r="S1582" s="1581"/>
      <c r="T1582" s="1581"/>
      <c r="U1582" s="1581"/>
      <c r="V1582" s="1581"/>
      <c r="W1582" s="1581"/>
      <c r="X1582" s="1581"/>
      <c r="Y1582" s="1581"/>
      <c r="Z1582" s="1581"/>
      <c r="AA1582" s="1581"/>
      <c r="AB1582" s="1581"/>
      <c r="AC1582" s="1581"/>
      <c r="AD1582" s="1581"/>
      <c r="AE1582" s="1581"/>
      <c r="AF1582" s="1581"/>
      <c r="AG1582" s="1581"/>
      <c r="AH1582" s="1581"/>
      <c r="AI1582" s="1581"/>
      <c r="AJ1582" s="1581"/>
      <c r="AK1582" s="1581"/>
      <c r="AL1582" s="1581"/>
      <c r="AM1582" s="1581"/>
      <c r="AN1582" s="1581"/>
      <c r="AO1582" s="1581"/>
      <c r="AP1582" s="1581"/>
      <c r="AQ1582" s="1581"/>
      <c r="AR1582" s="1581"/>
      <c r="AS1582" s="1581"/>
      <c r="AT1582" s="1581"/>
      <c r="AU1582" s="1581"/>
      <c r="AV1582" s="1581"/>
      <c r="AW1582" s="1581"/>
      <c r="AX1582" s="1581"/>
      <c r="AY1582" s="1581"/>
      <c r="AZ1582" s="1581"/>
      <c r="BA1582" s="1581"/>
      <c r="BB1582" s="1581"/>
      <c r="BC1582" s="1581"/>
      <c r="BD1582" s="1581"/>
      <c r="BE1582" s="1581"/>
      <c r="BF1582" s="1581"/>
      <c r="BG1582" s="1581"/>
      <c r="BH1582" s="1581"/>
      <c r="BI1582" s="1581"/>
      <c r="BJ1582" s="1581"/>
      <c r="BK1582" s="1581"/>
      <c r="BL1582" s="1581"/>
      <c r="BM1582" s="1581"/>
      <c r="BN1582" s="1581"/>
      <c r="BO1582" s="1581"/>
      <c r="BP1582" s="1581"/>
      <c r="BQ1582" s="1581"/>
      <c r="BR1582" s="1581"/>
      <c r="BS1582" s="1581"/>
      <c r="BT1582" s="1581"/>
      <c r="BU1582" s="1581"/>
      <c r="BV1582" s="1581"/>
      <c r="BW1582" s="1581"/>
      <c r="BX1582" s="1581"/>
      <c r="BY1582" s="1581"/>
      <c r="BZ1582" s="1581"/>
      <c r="CA1582" s="1581"/>
      <c r="CB1582" s="1581"/>
      <c r="CC1582" s="1581"/>
      <c r="CD1582" s="1581"/>
      <c r="CE1582" s="1581"/>
      <c r="CF1582" s="1581"/>
      <c r="CG1582" s="1581"/>
      <c r="CH1582" s="1581"/>
      <c r="CI1582" s="1581"/>
      <c r="CJ1582" s="1581"/>
      <c r="CK1582" s="1581"/>
    </row>
    <row r="1583" spans="1:89" ht="17.25" customHeight="1" x14ac:dyDescent="0.25">
      <c r="A1583" s="692">
        <v>1</v>
      </c>
      <c r="B1583" s="715" t="s">
        <v>1742</v>
      </c>
      <c r="C1583" s="713">
        <v>1</v>
      </c>
      <c r="D1583" s="716" t="s">
        <v>16</v>
      </c>
      <c r="E1583" s="714">
        <v>8850000</v>
      </c>
      <c r="F1583" s="695"/>
      <c r="G1583" s="695"/>
      <c r="H1583" s="695"/>
      <c r="I1583" s="695"/>
      <c r="J1583" s="695">
        <f>C1583*E1583</f>
        <v>8850000</v>
      </c>
      <c r="K1583" s="695">
        <f>I1583+J1583</f>
        <v>8850000</v>
      </c>
      <c r="L1583" s="695"/>
      <c r="M1583" s="695"/>
      <c r="N1583" s="695"/>
      <c r="O1583" s="696">
        <f>N1583+K1583+H1583</f>
        <v>8850000</v>
      </c>
      <c r="P1583" s="687"/>
    </row>
    <row r="1584" spans="1:89" ht="17.25" customHeight="1" x14ac:dyDescent="0.25">
      <c r="A1584" s="692">
        <v>2</v>
      </c>
      <c r="B1584" s="715" t="s">
        <v>1565</v>
      </c>
      <c r="C1584" s="713">
        <v>1</v>
      </c>
      <c r="D1584" s="716" t="s">
        <v>16</v>
      </c>
      <c r="E1584" s="714">
        <v>7143000</v>
      </c>
      <c r="F1584" s="695"/>
      <c r="G1584" s="695"/>
      <c r="H1584" s="695"/>
      <c r="I1584" s="695"/>
      <c r="J1584" s="695">
        <f>C1584*E1584</f>
        <v>7143000</v>
      </c>
      <c r="K1584" s="695">
        <f>I1584+J1584</f>
        <v>7143000</v>
      </c>
      <c r="L1584" s="695"/>
      <c r="M1584" s="695"/>
      <c r="N1584" s="695"/>
      <c r="O1584" s="696">
        <f>N1584+K1584+H1584</f>
        <v>7143000</v>
      </c>
      <c r="P1584" s="687"/>
    </row>
    <row r="1585" spans="1:89" ht="17.25" customHeight="1" x14ac:dyDescent="0.25">
      <c r="A1585" s="692">
        <v>3</v>
      </c>
      <c r="B1585" s="715" t="s">
        <v>1475</v>
      </c>
      <c r="C1585" s="713">
        <v>1</v>
      </c>
      <c r="D1585" s="716" t="s">
        <v>16</v>
      </c>
      <c r="E1585" s="714">
        <f>5000000+1887177</f>
        <v>6887177</v>
      </c>
      <c r="F1585" s="695"/>
      <c r="G1585" s="695"/>
      <c r="H1585" s="695"/>
      <c r="I1585" s="695"/>
      <c r="J1585" s="695">
        <f>C1585*E1585</f>
        <v>6887177</v>
      </c>
      <c r="K1585" s="695">
        <f>I1585+J1585</f>
        <v>6887177</v>
      </c>
      <c r="L1585" s="695"/>
      <c r="M1585" s="695"/>
      <c r="N1585" s="695"/>
      <c r="O1585" s="696">
        <f>N1585+K1585+H1585</f>
        <v>6887177</v>
      </c>
      <c r="P1585" s="687"/>
    </row>
    <row r="1586" spans="1:89" ht="17.25" customHeight="1" x14ac:dyDescent="0.25">
      <c r="A1586" s="692"/>
      <c r="B1586" s="744"/>
      <c r="C1586" s="713"/>
      <c r="D1586" s="880"/>
      <c r="E1586" s="714"/>
      <c r="F1586" s="695"/>
      <c r="G1586" s="695"/>
      <c r="H1586" s="695"/>
      <c r="I1586" s="695"/>
      <c r="J1586" s="695"/>
      <c r="K1586" s="695"/>
      <c r="L1586" s="695"/>
      <c r="M1586" s="695"/>
      <c r="N1586" s="695"/>
      <c r="O1586" s="696"/>
      <c r="P1586" s="687"/>
    </row>
    <row r="1587" spans="1:89" s="672" customFormat="1" ht="17.25" customHeight="1" x14ac:dyDescent="0.25">
      <c r="A1587" s="740" t="s">
        <v>22</v>
      </c>
      <c r="B1587" s="795" t="s">
        <v>23</v>
      </c>
      <c r="C1587" s="886"/>
      <c r="D1587" s="1403"/>
      <c r="E1587" s="874"/>
      <c r="F1587" s="874">
        <f>SUM(F1588:F1600)</f>
        <v>0</v>
      </c>
      <c r="G1587" s="874">
        <f>SUM(G1588:G1600)</f>
        <v>0</v>
      </c>
      <c r="H1587" s="874">
        <f>F1587+G1587</f>
        <v>0</v>
      </c>
      <c r="I1587" s="874">
        <f>SUM(I1588:I1600)</f>
        <v>0</v>
      </c>
      <c r="J1587" s="874">
        <f>SUM(J1588:J1600)</f>
        <v>4572000</v>
      </c>
      <c r="K1587" s="874">
        <f>I1587+J1587</f>
        <v>4572000</v>
      </c>
      <c r="L1587" s="874">
        <f>SUM(L1588:L1600)</f>
        <v>0</v>
      </c>
      <c r="M1587" s="874">
        <f>SUM(M1588:M1600)</f>
        <v>0</v>
      </c>
      <c r="N1587" s="874">
        <f>L1587+M1587</f>
        <v>0</v>
      </c>
      <c r="O1587" s="775">
        <f>N1587+K1587+H1587</f>
        <v>4572000</v>
      </c>
      <c r="P1587" s="776"/>
      <c r="Q1587" s="1581"/>
      <c r="R1587" s="1581"/>
      <c r="S1587" s="1581"/>
      <c r="T1587" s="1581"/>
      <c r="U1587" s="1581"/>
      <c r="V1587" s="1581"/>
      <c r="W1587" s="1581"/>
      <c r="X1587" s="1581"/>
      <c r="Y1587" s="1581"/>
      <c r="Z1587" s="1581"/>
      <c r="AA1587" s="1581"/>
      <c r="AB1587" s="1581"/>
      <c r="AC1587" s="1581"/>
      <c r="AD1587" s="1581"/>
      <c r="AE1587" s="1581"/>
      <c r="AF1587" s="1581"/>
      <c r="AG1587" s="1581"/>
      <c r="AH1587" s="1581"/>
      <c r="AI1587" s="1581"/>
      <c r="AJ1587" s="1581"/>
      <c r="AK1587" s="1581"/>
      <c r="AL1587" s="1581"/>
      <c r="AM1587" s="1581"/>
      <c r="AN1587" s="1581"/>
      <c r="AO1587" s="1581"/>
      <c r="AP1587" s="1581"/>
      <c r="AQ1587" s="1581"/>
      <c r="AR1587" s="1581"/>
      <c r="AS1587" s="1581"/>
      <c r="AT1587" s="1581"/>
      <c r="AU1587" s="1581"/>
      <c r="AV1587" s="1581"/>
      <c r="AW1587" s="1581"/>
      <c r="AX1587" s="1581"/>
      <c r="AY1587" s="1581"/>
      <c r="AZ1587" s="1581"/>
      <c r="BA1587" s="1581"/>
      <c r="BB1587" s="1581"/>
      <c r="BC1587" s="1581"/>
      <c r="BD1587" s="1581"/>
      <c r="BE1587" s="1581"/>
      <c r="BF1587" s="1581"/>
      <c r="BG1587" s="1581"/>
      <c r="BH1587" s="1581"/>
      <c r="BI1587" s="1581"/>
      <c r="BJ1587" s="1581"/>
      <c r="BK1587" s="1581"/>
      <c r="BL1587" s="1581"/>
      <c r="BM1587" s="1581"/>
      <c r="BN1587" s="1581"/>
      <c r="BO1587" s="1581"/>
      <c r="BP1587" s="1581"/>
      <c r="BQ1587" s="1581"/>
      <c r="BR1587" s="1581"/>
      <c r="BS1587" s="1581"/>
      <c r="BT1587" s="1581"/>
      <c r="BU1587" s="1581"/>
      <c r="BV1587" s="1581"/>
      <c r="BW1587" s="1581"/>
      <c r="BX1587" s="1581"/>
      <c r="BY1587" s="1581"/>
      <c r="BZ1587" s="1581"/>
      <c r="CA1587" s="1581"/>
      <c r="CB1587" s="1581"/>
      <c r="CC1587" s="1581"/>
      <c r="CD1587" s="1581"/>
      <c r="CE1587" s="1581"/>
      <c r="CF1587" s="1581"/>
      <c r="CG1587" s="1581"/>
      <c r="CH1587" s="1581"/>
      <c r="CI1587" s="1581"/>
      <c r="CJ1587" s="1581"/>
      <c r="CK1587" s="1581"/>
    </row>
    <row r="1588" spans="1:89" ht="17.25" customHeight="1" x14ac:dyDescent="0.25">
      <c r="A1588" s="692">
        <v>1</v>
      </c>
      <c r="B1588" s="744" t="s">
        <v>21</v>
      </c>
      <c r="C1588" s="713"/>
      <c r="D1588" s="880"/>
      <c r="E1588" s="714"/>
      <c r="F1588" s="714"/>
      <c r="G1588" s="714"/>
      <c r="H1588" s="714"/>
      <c r="I1588" s="714"/>
      <c r="J1588" s="714"/>
      <c r="K1588" s="714"/>
      <c r="L1588" s="714"/>
      <c r="M1588" s="714"/>
      <c r="N1588" s="714"/>
      <c r="O1588" s="753">
        <f>N1588+K1588+H1588</f>
        <v>0</v>
      </c>
      <c r="P1588" s="754"/>
    </row>
    <row r="1589" spans="1:89" ht="17.25" customHeight="1" x14ac:dyDescent="0.25">
      <c r="A1589" s="692"/>
      <c r="B1589" s="744" t="s">
        <v>1566</v>
      </c>
      <c r="C1589" s="713">
        <v>1</v>
      </c>
      <c r="D1589" s="880" t="s">
        <v>25</v>
      </c>
      <c r="E1589" s="714">
        <f>6387177-1887177</f>
        <v>4500000</v>
      </c>
      <c r="F1589" s="714"/>
      <c r="G1589" s="714"/>
      <c r="H1589" s="714"/>
      <c r="I1589" s="714"/>
      <c r="J1589" s="714">
        <f>E1589*C1589</f>
        <v>4500000</v>
      </c>
      <c r="K1589" s="714">
        <f>I1589+J1589</f>
        <v>4500000</v>
      </c>
      <c r="L1589" s="714"/>
      <c r="M1589" s="714"/>
      <c r="N1589" s="714"/>
      <c r="O1589" s="753">
        <f>N1589+K1589+H1589</f>
        <v>4500000</v>
      </c>
      <c r="P1589" s="754"/>
    </row>
    <row r="1590" spans="1:89" ht="17.25" customHeight="1" x14ac:dyDescent="0.25">
      <c r="A1590" s="692"/>
      <c r="B1590" s="1780" t="s">
        <v>2018</v>
      </c>
      <c r="C1590" s="713"/>
      <c r="D1590" s="880"/>
      <c r="E1590" s="714"/>
      <c r="F1590" s="714"/>
      <c r="G1590" s="714"/>
      <c r="H1590" s="714"/>
      <c r="I1590" s="714"/>
      <c r="J1590" s="714"/>
      <c r="K1590" s="714"/>
      <c r="L1590" s="714"/>
      <c r="M1590" s="714"/>
      <c r="N1590" s="714"/>
      <c r="O1590" s="753"/>
      <c r="P1590" s="754"/>
    </row>
    <row r="1591" spans="1:89" ht="17.25" customHeight="1" x14ac:dyDescent="0.25">
      <c r="A1591" s="692"/>
      <c r="B1591" s="1780" t="s">
        <v>2019</v>
      </c>
      <c r="C1591" s="713"/>
      <c r="D1591" s="880"/>
      <c r="E1591" s="714"/>
      <c r="F1591" s="714"/>
      <c r="G1591" s="714"/>
      <c r="H1591" s="714"/>
      <c r="I1591" s="714"/>
      <c r="J1591" s="714"/>
      <c r="K1591" s="714"/>
      <c r="L1591" s="714"/>
      <c r="M1591" s="714"/>
      <c r="N1591" s="714"/>
      <c r="O1591" s="753"/>
      <c r="P1591" s="754"/>
    </row>
    <row r="1592" spans="1:89" ht="17.25" customHeight="1" x14ac:dyDescent="0.25">
      <c r="A1592" s="692"/>
      <c r="B1592" s="1792" t="s">
        <v>2020</v>
      </c>
      <c r="C1592" s="713"/>
      <c r="D1592" s="880"/>
      <c r="E1592" s="714"/>
      <c r="F1592" s="714"/>
      <c r="G1592" s="714"/>
      <c r="H1592" s="714"/>
      <c r="I1592" s="714"/>
      <c r="J1592" s="714"/>
      <c r="K1592" s="714"/>
      <c r="L1592" s="714"/>
      <c r="M1592" s="714"/>
      <c r="N1592" s="714"/>
      <c r="O1592" s="753"/>
      <c r="P1592" s="754"/>
    </row>
    <row r="1593" spans="1:89" ht="17.25" customHeight="1" x14ac:dyDescent="0.25">
      <c r="A1593" s="692"/>
      <c r="B1593" s="1792" t="s">
        <v>2021</v>
      </c>
      <c r="C1593" s="713"/>
      <c r="D1593" s="880"/>
      <c r="E1593" s="714"/>
      <c r="F1593" s="714"/>
      <c r="G1593" s="714"/>
      <c r="H1593" s="714"/>
      <c r="I1593" s="714"/>
      <c r="J1593" s="714"/>
      <c r="K1593" s="714"/>
      <c r="L1593" s="714"/>
      <c r="M1593" s="714"/>
      <c r="N1593" s="714"/>
      <c r="O1593" s="753"/>
      <c r="P1593" s="754"/>
    </row>
    <row r="1594" spans="1:89" ht="17.25" customHeight="1" x14ac:dyDescent="0.25">
      <c r="A1594" s="692"/>
      <c r="B1594" s="1780" t="s">
        <v>2022</v>
      </c>
      <c r="C1594" s="713"/>
      <c r="D1594" s="880"/>
      <c r="E1594" s="714"/>
      <c r="F1594" s="714"/>
      <c r="G1594" s="714"/>
      <c r="H1594" s="714"/>
      <c r="I1594" s="714"/>
      <c r="J1594" s="714"/>
      <c r="K1594" s="714"/>
      <c r="L1594" s="714"/>
      <c r="M1594" s="714"/>
      <c r="N1594" s="714"/>
      <c r="O1594" s="753"/>
      <c r="P1594" s="754"/>
    </row>
    <row r="1595" spans="1:89" ht="17.25" customHeight="1" x14ac:dyDescent="0.25">
      <c r="A1595" s="692"/>
      <c r="B1595" s="1780" t="s">
        <v>2023</v>
      </c>
      <c r="C1595" s="713"/>
      <c r="D1595" s="880"/>
      <c r="E1595" s="714"/>
      <c r="F1595" s="714"/>
      <c r="G1595" s="714"/>
      <c r="H1595" s="714"/>
      <c r="I1595" s="714"/>
      <c r="J1595" s="714"/>
      <c r="K1595" s="714"/>
      <c r="L1595" s="714"/>
      <c r="M1595" s="714"/>
      <c r="N1595" s="714"/>
      <c r="O1595" s="753"/>
      <c r="P1595" s="754"/>
    </row>
    <row r="1596" spans="1:89" ht="17.25" customHeight="1" x14ac:dyDescent="0.25">
      <c r="A1596" s="692"/>
      <c r="B1596" s="1780" t="s">
        <v>2024</v>
      </c>
      <c r="C1596" s="713"/>
      <c r="D1596" s="880"/>
      <c r="E1596" s="714"/>
      <c r="F1596" s="714"/>
      <c r="G1596" s="714"/>
      <c r="H1596" s="714"/>
      <c r="I1596" s="714"/>
      <c r="J1596" s="714"/>
      <c r="K1596" s="714"/>
      <c r="L1596" s="714"/>
      <c r="M1596" s="714"/>
      <c r="N1596" s="714"/>
      <c r="O1596" s="753"/>
      <c r="P1596" s="754"/>
    </row>
    <row r="1597" spans="1:89" ht="17.25" customHeight="1" x14ac:dyDescent="0.25">
      <c r="A1597" s="692"/>
      <c r="B1597" s="1780" t="s">
        <v>2025</v>
      </c>
      <c r="C1597" s="713"/>
      <c r="D1597" s="880"/>
      <c r="E1597" s="714"/>
      <c r="F1597" s="714"/>
      <c r="G1597" s="714"/>
      <c r="H1597" s="714"/>
      <c r="I1597" s="714"/>
      <c r="J1597" s="714"/>
      <c r="K1597" s="714"/>
      <c r="L1597" s="714"/>
      <c r="M1597" s="714"/>
      <c r="N1597" s="714"/>
      <c r="O1597" s="753"/>
      <c r="P1597" s="754"/>
    </row>
    <row r="1598" spans="1:89" ht="17.25" customHeight="1" x14ac:dyDescent="0.2">
      <c r="A1598" s="692"/>
      <c r="B1598" s="1806" t="s">
        <v>2026</v>
      </c>
      <c r="C1598" s="713"/>
      <c r="D1598" s="880"/>
      <c r="E1598" s="714"/>
      <c r="F1598" s="714"/>
      <c r="G1598" s="714"/>
      <c r="H1598" s="714"/>
      <c r="I1598" s="714"/>
      <c r="J1598" s="714"/>
      <c r="K1598" s="714"/>
      <c r="L1598" s="714"/>
      <c r="M1598" s="714"/>
      <c r="N1598" s="714"/>
      <c r="O1598" s="753"/>
      <c r="P1598" s="754"/>
    </row>
    <row r="1599" spans="1:89" ht="17.25" customHeight="1" x14ac:dyDescent="0.25">
      <c r="A1599" s="692"/>
      <c r="B1599" s="744"/>
      <c r="C1599" s="713"/>
      <c r="D1599" s="880"/>
      <c r="E1599" s="714"/>
      <c r="F1599" s="714"/>
      <c r="G1599" s="714"/>
      <c r="H1599" s="714"/>
      <c r="I1599" s="714"/>
      <c r="J1599" s="714"/>
      <c r="K1599" s="714"/>
      <c r="L1599" s="714"/>
      <c r="M1599" s="714"/>
      <c r="N1599" s="714"/>
      <c r="O1599" s="753"/>
      <c r="P1599" s="754"/>
    </row>
    <row r="1600" spans="1:89" ht="17.25" customHeight="1" x14ac:dyDescent="0.25">
      <c r="A1600" s="692">
        <v>2</v>
      </c>
      <c r="B1600" s="1248" t="s">
        <v>26</v>
      </c>
      <c r="C1600" s="693">
        <v>1</v>
      </c>
      <c r="D1600" s="739" t="s">
        <v>25</v>
      </c>
      <c r="E1600" s="695">
        <v>72000</v>
      </c>
      <c r="F1600" s="695"/>
      <c r="G1600" s="695"/>
      <c r="H1600" s="695"/>
      <c r="I1600" s="695"/>
      <c r="J1600" s="695">
        <f>C1600*E1600</f>
        <v>72000</v>
      </c>
      <c r="K1600" s="695">
        <f>I1600+J1600</f>
        <v>72000</v>
      </c>
      <c r="L1600" s="695"/>
      <c r="M1600" s="695"/>
      <c r="N1600" s="695"/>
      <c r="O1600" s="696">
        <f>N1600+K1600+H1600</f>
        <v>72000</v>
      </c>
      <c r="P1600" s="687"/>
    </row>
    <row r="1601" spans="1:89" ht="17.25" customHeight="1" x14ac:dyDescent="0.25">
      <c r="A1601" s="740"/>
      <c r="B1601" s="741"/>
      <c r="C1601" s="886"/>
      <c r="D1601" s="738"/>
      <c r="E1601" s="705"/>
      <c r="F1601" s="705"/>
      <c r="G1601" s="705"/>
      <c r="H1601" s="705"/>
      <c r="I1601" s="705"/>
      <c r="J1601" s="705"/>
      <c r="K1601" s="705"/>
      <c r="L1601" s="705"/>
      <c r="M1601" s="705"/>
      <c r="N1601" s="705"/>
      <c r="O1601" s="1370"/>
      <c r="P1601" s="829"/>
    </row>
    <row r="1602" spans="1:89" s="672" customFormat="1" ht="17.25" customHeight="1" x14ac:dyDescent="0.25">
      <c r="A1602" s="740" t="s">
        <v>28</v>
      </c>
      <c r="B1602" s="741" t="s">
        <v>29</v>
      </c>
      <c r="C1602" s="828"/>
      <c r="D1602" s="738"/>
      <c r="E1602" s="705"/>
      <c r="F1602" s="705">
        <f>SUM(F1603:F1626)</f>
        <v>0</v>
      </c>
      <c r="G1602" s="705">
        <f>SUM(G1603:G1626)</f>
        <v>0</v>
      </c>
      <c r="H1602" s="705">
        <f>F1602+G1602</f>
        <v>0</v>
      </c>
      <c r="I1602" s="705">
        <f>SUM(I1603:I1626)</f>
        <v>0</v>
      </c>
      <c r="J1602" s="705">
        <f>SUM(J1603:J1627)</f>
        <v>1579789</v>
      </c>
      <c r="K1602" s="705">
        <f>I1602+J1602</f>
        <v>1579789</v>
      </c>
      <c r="L1602" s="705">
        <f>SUM(L1603:L1626)</f>
        <v>0</v>
      </c>
      <c r="M1602" s="705">
        <f>SUM(M1603:M1626)</f>
        <v>0</v>
      </c>
      <c r="N1602" s="705">
        <f>L1602+M1602</f>
        <v>0</v>
      </c>
      <c r="O1602" s="1370">
        <f>N1602+K1602+H1602</f>
        <v>1579789</v>
      </c>
      <c r="P1602" s="829"/>
      <c r="Q1602" s="1581"/>
      <c r="R1602" s="1581"/>
      <c r="S1602" s="1581"/>
      <c r="T1602" s="1581"/>
      <c r="U1602" s="1581"/>
      <c r="V1602" s="1581"/>
      <c r="W1602" s="1581"/>
      <c r="X1602" s="1581"/>
      <c r="Y1602" s="1581"/>
      <c r="Z1602" s="1581"/>
      <c r="AA1602" s="1581"/>
      <c r="AB1602" s="1581"/>
      <c r="AC1602" s="1581"/>
      <c r="AD1602" s="1581"/>
      <c r="AE1602" s="1581"/>
      <c r="AF1602" s="1581"/>
      <c r="AG1602" s="1581"/>
      <c r="AH1602" s="1581"/>
      <c r="AI1602" s="1581"/>
      <c r="AJ1602" s="1581"/>
      <c r="AK1602" s="1581"/>
      <c r="AL1602" s="1581"/>
      <c r="AM1602" s="1581"/>
      <c r="AN1602" s="1581"/>
      <c r="AO1602" s="1581"/>
      <c r="AP1602" s="1581"/>
      <c r="AQ1602" s="1581"/>
      <c r="AR1602" s="1581"/>
      <c r="AS1602" s="1581"/>
      <c r="AT1602" s="1581"/>
      <c r="AU1602" s="1581"/>
      <c r="AV1602" s="1581"/>
      <c r="AW1602" s="1581"/>
      <c r="AX1602" s="1581"/>
      <c r="AY1602" s="1581"/>
      <c r="AZ1602" s="1581"/>
      <c r="BA1602" s="1581"/>
      <c r="BB1602" s="1581"/>
      <c r="BC1602" s="1581"/>
      <c r="BD1602" s="1581"/>
      <c r="BE1602" s="1581"/>
      <c r="BF1602" s="1581"/>
      <c r="BG1602" s="1581"/>
      <c r="BH1602" s="1581"/>
      <c r="BI1602" s="1581"/>
      <c r="BJ1602" s="1581"/>
      <c r="BK1602" s="1581"/>
      <c r="BL1602" s="1581"/>
      <c r="BM1602" s="1581"/>
      <c r="BN1602" s="1581"/>
      <c r="BO1602" s="1581"/>
      <c r="BP1602" s="1581"/>
      <c r="BQ1602" s="1581"/>
      <c r="BR1602" s="1581"/>
      <c r="BS1602" s="1581"/>
      <c r="BT1602" s="1581"/>
      <c r="BU1602" s="1581"/>
      <c r="BV1602" s="1581"/>
      <c r="BW1602" s="1581"/>
      <c r="BX1602" s="1581"/>
      <c r="BY1602" s="1581"/>
      <c r="BZ1602" s="1581"/>
      <c r="CA1602" s="1581"/>
      <c r="CB1602" s="1581"/>
      <c r="CC1602" s="1581"/>
      <c r="CD1602" s="1581"/>
      <c r="CE1602" s="1581"/>
      <c r="CF1602" s="1581"/>
      <c r="CG1602" s="1581"/>
      <c r="CH1602" s="1581"/>
      <c r="CI1602" s="1581"/>
      <c r="CJ1602" s="1581"/>
      <c r="CK1602" s="1581"/>
    </row>
    <row r="1603" spans="1:89" ht="17.25" customHeight="1" x14ac:dyDescent="0.25">
      <c r="A1603" s="742">
        <v>1</v>
      </c>
      <c r="B1603" s="756" t="s">
        <v>115</v>
      </c>
      <c r="C1603" s="713">
        <v>12</v>
      </c>
      <c r="D1603" s="716" t="s">
        <v>20</v>
      </c>
      <c r="E1603" s="714">
        <v>1750</v>
      </c>
      <c r="F1603" s="714"/>
      <c r="G1603" s="714"/>
      <c r="H1603" s="714"/>
      <c r="I1603" s="714"/>
      <c r="J1603" s="714">
        <f>C1603*E1603</f>
        <v>21000</v>
      </c>
      <c r="K1603" s="714">
        <f>I1603+J1603</f>
        <v>21000</v>
      </c>
      <c r="L1603" s="714"/>
      <c r="M1603" s="714"/>
      <c r="N1603" s="714"/>
      <c r="O1603" s="753">
        <f>N1603+K1603+H1603</f>
        <v>21000</v>
      </c>
      <c r="P1603" s="754"/>
    </row>
    <row r="1604" spans="1:89" ht="17.25" customHeight="1" x14ac:dyDescent="0.25">
      <c r="A1604" s="742"/>
      <c r="B1604" s="756" t="s">
        <v>721</v>
      </c>
      <c r="C1604" s="713">
        <v>12</v>
      </c>
      <c r="D1604" s="716" t="s">
        <v>20</v>
      </c>
      <c r="E1604" s="714">
        <v>1550</v>
      </c>
      <c r="F1604" s="714"/>
      <c r="G1604" s="714"/>
      <c r="H1604" s="714"/>
      <c r="I1604" s="714"/>
      <c r="J1604" s="714">
        <f t="shared" ref="J1604:J1627" si="113">C1604*E1604</f>
        <v>18600</v>
      </c>
      <c r="K1604" s="714">
        <f t="shared" ref="K1604:K1627" si="114">I1604+J1604</f>
        <v>18600</v>
      </c>
      <c r="L1604" s="714"/>
      <c r="M1604" s="714"/>
      <c r="N1604" s="714"/>
      <c r="O1604" s="753">
        <f t="shared" ref="O1604:O1627" si="115">N1604+K1604+H1604</f>
        <v>18600</v>
      </c>
      <c r="P1604" s="754"/>
    </row>
    <row r="1605" spans="1:89" ht="17.25" customHeight="1" x14ac:dyDescent="0.25">
      <c r="A1605" s="742"/>
      <c r="B1605" s="893" t="s">
        <v>722</v>
      </c>
      <c r="C1605" s="713">
        <v>12</v>
      </c>
      <c r="D1605" s="716" t="s">
        <v>20</v>
      </c>
      <c r="E1605" s="714">
        <v>1400</v>
      </c>
      <c r="F1605" s="714"/>
      <c r="G1605" s="714"/>
      <c r="H1605" s="714"/>
      <c r="I1605" s="714"/>
      <c r="J1605" s="714">
        <f t="shared" si="113"/>
        <v>16800</v>
      </c>
      <c r="K1605" s="714">
        <f t="shared" si="114"/>
        <v>16800</v>
      </c>
      <c r="L1605" s="714"/>
      <c r="M1605" s="714"/>
      <c r="N1605" s="714"/>
      <c r="O1605" s="753">
        <f t="shared" si="115"/>
        <v>16800</v>
      </c>
      <c r="P1605" s="754"/>
    </row>
    <row r="1606" spans="1:89" ht="17.25" customHeight="1" x14ac:dyDescent="0.25">
      <c r="A1606" s="742"/>
      <c r="B1606" s="756" t="s">
        <v>723</v>
      </c>
      <c r="C1606" s="713">
        <v>12</v>
      </c>
      <c r="D1606" s="716" t="s">
        <v>20</v>
      </c>
      <c r="E1606" s="714">
        <v>1200</v>
      </c>
      <c r="F1606" s="714"/>
      <c r="G1606" s="714"/>
      <c r="H1606" s="714"/>
      <c r="I1606" s="714"/>
      <c r="J1606" s="714">
        <f t="shared" si="113"/>
        <v>14400</v>
      </c>
      <c r="K1606" s="714">
        <f t="shared" si="114"/>
        <v>14400</v>
      </c>
      <c r="L1606" s="714"/>
      <c r="M1606" s="714"/>
      <c r="N1606" s="714"/>
      <c r="O1606" s="753">
        <f t="shared" si="115"/>
        <v>14400</v>
      </c>
      <c r="P1606" s="754"/>
    </row>
    <row r="1607" spans="1:89" ht="17.25" customHeight="1" x14ac:dyDescent="0.25">
      <c r="A1607" s="742"/>
      <c r="B1607" s="756" t="s">
        <v>724</v>
      </c>
      <c r="C1607" s="713">
        <v>60</v>
      </c>
      <c r="D1607" s="716" t="s">
        <v>20</v>
      </c>
      <c r="E1607" s="714">
        <v>725</v>
      </c>
      <c r="F1607" s="714"/>
      <c r="G1607" s="714"/>
      <c r="H1607" s="714"/>
      <c r="I1607" s="714"/>
      <c r="J1607" s="714">
        <f t="shared" si="113"/>
        <v>43500</v>
      </c>
      <c r="K1607" s="714">
        <f t="shared" si="114"/>
        <v>43500</v>
      </c>
      <c r="L1607" s="714"/>
      <c r="M1607" s="714"/>
      <c r="N1607" s="714"/>
      <c r="O1607" s="753">
        <f t="shared" si="115"/>
        <v>43500</v>
      </c>
      <c r="P1607" s="754"/>
    </row>
    <row r="1608" spans="1:89" ht="17.25" customHeight="1" x14ac:dyDescent="0.25">
      <c r="A1608" s="742"/>
      <c r="B1608" s="756" t="s">
        <v>725</v>
      </c>
      <c r="C1608" s="699"/>
      <c r="D1608" s="739"/>
      <c r="E1608" s="695"/>
      <c r="F1608" s="714"/>
      <c r="G1608" s="714"/>
      <c r="H1608" s="714"/>
      <c r="I1608" s="714"/>
      <c r="J1608" s="714">
        <f t="shared" si="113"/>
        <v>0</v>
      </c>
      <c r="K1608" s="714">
        <f t="shared" si="114"/>
        <v>0</v>
      </c>
      <c r="L1608" s="714"/>
      <c r="M1608" s="714"/>
      <c r="N1608" s="714"/>
      <c r="O1608" s="753">
        <f t="shared" si="115"/>
        <v>0</v>
      </c>
      <c r="P1608" s="754"/>
    </row>
    <row r="1609" spans="1:89" ht="17.25" customHeight="1" x14ac:dyDescent="0.25">
      <c r="A1609" s="742"/>
      <c r="B1609" s="756" t="s">
        <v>726</v>
      </c>
      <c r="C1609" s="699">
        <v>12</v>
      </c>
      <c r="D1609" s="739" t="s">
        <v>20</v>
      </c>
      <c r="E1609" s="695">
        <v>600</v>
      </c>
      <c r="F1609" s="714"/>
      <c r="G1609" s="714"/>
      <c r="H1609" s="714"/>
      <c r="I1609" s="714"/>
      <c r="J1609" s="714">
        <f t="shared" si="113"/>
        <v>7200</v>
      </c>
      <c r="K1609" s="714">
        <f t="shared" si="114"/>
        <v>7200</v>
      </c>
      <c r="L1609" s="714"/>
      <c r="M1609" s="714"/>
      <c r="N1609" s="714"/>
      <c r="O1609" s="753">
        <f t="shared" si="115"/>
        <v>7200</v>
      </c>
      <c r="P1609" s="754"/>
    </row>
    <row r="1610" spans="1:89" ht="17.25" customHeight="1" x14ac:dyDescent="0.25">
      <c r="A1610" s="742"/>
      <c r="B1610" s="756" t="s">
        <v>727</v>
      </c>
      <c r="C1610" s="699">
        <v>36</v>
      </c>
      <c r="D1610" s="739" t="s">
        <v>20</v>
      </c>
      <c r="E1610" s="695">
        <v>500</v>
      </c>
      <c r="F1610" s="714"/>
      <c r="G1610" s="714"/>
      <c r="H1610" s="714"/>
      <c r="I1610" s="714"/>
      <c r="J1610" s="714">
        <f t="shared" si="113"/>
        <v>18000</v>
      </c>
      <c r="K1610" s="714">
        <f t="shared" si="114"/>
        <v>18000</v>
      </c>
      <c r="L1610" s="714"/>
      <c r="M1610" s="714"/>
      <c r="N1610" s="714"/>
      <c r="O1610" s="753">
        <f t="shared" si="115"/>
        <v>18000</v>
      </c>
      <c r="P1610" s="754"/>
    </row>
    <row r="1611" spans="1:89" ht="17.25" customHeight="1" x14ac:dyDescent="0.25">
      <c r="A1611" s="742"/>
      <c r="B1611" s="756" t="s">
        <v>728</v>
      </c>
      <c r="C1611" s="699">
        <v>1</v>
      </c>
      <c r="D1611" s="739" t="s">
        <v>353</v>
      </c>
      <c r="E1611" s="695">
        <v>25500</v>
      </c>
      <c r="F1611" s="714"/>
      <c r="G1611" s="714"/>
      <c r="H1611" s="714"/>
      <c r="I1611" s="714"/>
      <c r="J1611" s="714">
        <f t="shared" si="113"/>
        <v>25500</v>
      </c>
      <c r="K1611" s="714">
        <f t="shared" si="114"/>
        <v>25500</v>
      </c>
      <c r="L1611" s="714"/>
      <c r="M1611" s="714"/>
      <c r="N1611" s="714"/>
      <c r="O1611" s="753">
        <f t="shared" si="115"/>
        <v>25500</v>
      </c>
      <c r="P1611" s="754"/>
    </row>
    <row r="1612" spans="1:89" ht="17.25" customHeight="1" x14ac:dyDescent="0.25">
      <c r="A1612" s="742"/>
      <c r="B1612" s="756" t="s">
        <v>729</v>
      </c>
      <c r="C1612" s="699">
        <v>1</v>
      </c>
      <c r="D1612" s="739" t="s">
        <v>353</v>
      </c>
      <c r="E1612" s="695">
        <v>4800</v>
      </c>
      <c r="F1612" s="714"/>
      <c r="G1612" s="714"/>
      <c r="H1612" s="714"/>
      <c r="I1612" s="714"/>
      <c r="J1612" s="714">
        <f t="shared" si="113"/>
        <v>4800</v>
      </c>
      <c r="K1612" s="714">
        <f t="shared" si="114"/>
        <v>4800</v>
      </c>
      <c r="L1612" s="714"/>
      <c r="M1612" s="714"/>
      <c r="N1612" s="714"/>
      <c r="O1612" s="753">
        <f t="shared" si="115"/>
        <v>4800</v>
      </c>
      <c r="P1612" s="754"/>
    </row>
    <row r="1613" spans="1:89" ht="17.25" customHeight="1" x14ac:dyDescent="0.25">
      <c r="A1613" s="742">
        <v>2</v>
      </c>
      <c r="B1613" s="756" t="s">
        <v>27</v>
      </c>
      <c r="C1613" s="699"/>
      <c r="D1613" s="739"/>
      <c r="E1613" s="695"/>
      <c r="F1613" s="714"/>
      <c r="G1613" s="714"/>
      <c r="H1613" s="714"/>
      <c r="I1613" s="714"/>
      <c r="J1613" s="714">
        <f t="shared" si="113"/>
        <v>0</v>
      </c>
      <c r="K1613" s="714">
        <f t="shared" si="114"/>
        <v>0</v>
      </c>
      <c r="L1613" s="714"/>
      <c r="M1613" s="714"/>
      <c r="N1613" s="714"/>
      <c r="O1613" s="753">
        <f t="shared" si="115"/>
        <v>0</v>
      </c>
      <c r="P1613" s="754"/>
    </row>
    <row r="1614" spans="1:89" ht="17.25" customHeight="1" x14ac:dyDescent="0.25">
      <c r="A1614" s="742"/>
      <c r="B1614" s="756" t="s">
        <v>730</v>
      </c>
      <c r="C1614" s="699">
        <v>1</v>
      </c>
      <c r="D1614" s="739" t="s">
        <v>353</v>
      </c>
      <c r="E1614" s="695">
        <v>61800</v>
      </c>
      <c r="F1614" s="714"/>
      <c r="G1614" s="714"/>
      <c r="H1614" s="714"/>
      <c r="I1614" s="714"/>
      <c r="J1614" s="714">
        <f t="shared" si="113"/>
        <v>61800</v>
      </c>
      <c r="K1614" s="714">
        <f t="shared" si="114"/>
        <v>61800</v>
      </c>
      <c r="L1614" s="714"/>
      <c r="M1614" s="714"/>
      <c r="N1614" s="714"/>
      <c r="O1614" s="753">
        <f t="shared" si="115"/>
        <v>61800</v>
      </c>
      <c r="P1614" s="754"/>
    </row>
    <row r="1615" spans="1:89" ht="17.25" customHeight="1" x14ac:dyDescent="0.25">
      <c r="A1615" s="742"/>
      <c r="B1615" s="756" t="s">
        <v>731</v>
      </c>
      <c r="C1615" s="699">
        <v>1</v>
      </c>
      <c r="D1615" s="739" t="s">
        <v>353</v>
      </c>
      <c r="E1615" s="695">
        <v>46939</v>
      </c>
      <c r="F1615" s="714"/>
      <c r="G1615" s="714"/>
      <c r="H1615" s="714"/>
      <c r="I1615" s="714"/>
      <c r="J1615" s="714">
        <f t="shared" si="113"/>
        <v>46939</v>
      </c>
      <c r="K1615" s="714">
        <f t="shared" si="114"/>
        <v>46939</v>
      </c>
      <c r="L1615" s="714"/>
      <c r="M1615" s="714"/>
      <c r="N1615" s="714"/>
      <c r="O1615" s="753">
        <f t="shared" si="115"/>
        <v>46939</v>
      </c>
      <c r="P1615" s="754"/>
    </row>
    <row r="1616" spans="1:89" ht="17.25" customHeight="1" x14ac:dyDescent="0.25">
      <c r="A1616" s="742">
        <v>3</v>
      </c>
      <c r="B1616" s="756" t="s">
        <v>57</v>
      </c>
      <c r="C1616" s="699"/>
      <c r="D1616" s="739"/>
      <c r="E1616" s="695"/>
      <c r="F1616" s="714"/>
      <c r="G1616" s="714"/>
      <c r="H1616" s="714"/>
      <c r="I1616" s="714"/>
      <c r="J1616" s="714">
        <f t="shared" si="113"/>
        <v>0</v>
      </c>
      <c r="K1616" s="714">
        <f t="shared" si="114"/>
        <v>0</v>
      </c>
      <c r="L1616" s="714"/>
      <c r="M1616" s="714"/>
      <c r="N1616" s="714"/>
      <c r="O1616" s="753">
        <f t="shared" si="115"/>
        <v>0</v>
      </c>
      <c r="P1616" s="754"/>
    </row>
    <row r="1617" spans="1:89" ht="17.25" customHeight="1" x14ac:dyDescent="0.25">
      <c r="A1617" s="742"/>
      <c r="B1617" s="756" t="s">
        <v>732</v>
      </c>
      <c r="C1617" s="699">
        <v>4</v>
      </c>
      <c r="D1617" s="739" t="s">
        <v>76</v>
      </c>
      <c r="E1617" s="695">
        <f>110000/4</f>
        <v>27500</v>
      </c>
      <c r="F1617" s="714"/>
      <c r="G1617" s="714"/>
      <c r="H1617" s="714"/>
      <c r="I1617" s="714"/>
      <c r="J1617" s="714">
        <f t="shared" si="113"/>
        <v>110000</v>
      </c>
      <c r="K1617" s="714">
        <f t="shared" si="114"/>
        <v>110000</v>
      </c>
      <c r="L1617" s="714"/>
      <c r="M1617" s="714"/>
      <c r="N1617" s="714"/>
      <c r="O1617" s="753">
        <f t="shared" si="115"/>
        <v>110000</v>
      </c>
      <c r="P1617" s="754"/>
    </row>
    <row r="1618" spans="1:89" ht="17.25" customHeight="1" x14ac:dyDescent="0.25">
      <c r="A1618" s="742"/>
      <c r="B1618" s="756" t="s">
        <v>733</v>
      </c>
      <c r="C1618" s="699">
        <v>3</v>
      </c>
      <c r="D1618" s="739" t="s">
        <v>76</v>
      </c>
      <c r="E1618" s="695">
        <f>181500/3</f>
        <v>60500</v>
      </c>
      <c r="F1618" s="714"/>
      <c r="G1618" s="714"/>
      <c r="H1618" s="714"/>
      <c r="I1618" s="714"/>
      <c r="J1618" s="714">
        <f t="shared" si="113"/>
        <v>181500</v>
      </c>
      <c r="K1618" s="714">
        <f t="shared" si="114"/>
        <v>181500</v>
      </c>
      <c r="L1618" s="714"/>
      <c r="M1618" s="714"/>
      <c r="N1618" s="714"/>
      <c r="O1618" s="753">
        <f t="shared" si="115"/>
        <v>181500</v>
      </c>
      <c r="P1618" s="754"/>
    </row>
    <row r="1619" spans="1:89" ht="17.25" customHeight="1" x14ac:dyDescent="0.25">
      <c r="A1619" s="742">
        <v>4</v>
      </c>
      <c r="B1619" s="756" t="s">
        <v>40</v>
      </c>
      <c r="C1619" s="699"/>
      <c r="D1619" s="739"/>
      <c r="E1619" s="695"/>
      <c r="F1619" s="714"/>
      <c r="G1619" s="714"/>
      <c r="H1619" s="714"/>
      <c r="I1619" s="714"/>
      <c r="J1619" s="714">
        <f t="shared" si="113"/>
        <v>0</v>
      </c>
      <c r="K1619" s="714">
        <f t="shared" si="114"/>
        <v>0</v>
      </c>
      <c r="L1619" s="714"/>
      <c r="M1619" s="714"/>
      <c r="N1619" s="714"/>
      <c r="O1619" s="753">
        <f t="shared" si="115"/>
        <v>0</v>
      </c>
      <c r="P1619" s="754"/>
    </row>
    <row r="1620" spans="1:89" ht="17.25" customHeight="1" x14ac:dyDescent="0.25">
      <c r="A1620" s="742"/>
      <c r="B1620" s="756" t="s">
        <v>734</v>
      </c>
      <c r="C1620" s="699">
        <v>10</v>
      </c>
      <c r="D1620" s="739" t="s">
        <v>739</v>
      </c>
      <c r="E1620" s="695">
        <f>507350/10</f>
        <v>50735</v>
      </c>
      <c r="F1620" s="714"/>
      <c r="G1620" s="714"/>
      <c r="H1620" s="714"/>
      <c r="I1620" s="714"/>
      <c r="J1620" s="714">
        <f t="shared" si="113"/>
        <v>507350</v>
      </c>
      <c r="K1620" s="714">
        <f t="shared" si="114"/>
        <v>507350</v>
      </c>
      <c r="L1620" s="714"/>
      <c r="M1620" s="714"/>
      <c r="N1620" s="714"/>
      <c r="O1620" s="753">
        <f t="shared" si="115"/>
        <v>507350</v>
      </c>
      <c r="P1620" s="754"/>
    </row>
    <row r="1621" spans="1:89" ht="17.25" customHeight="1" x14ac:dyDescent="0.25">
      <c r="A1621" s="742"/>
      <c r="B1621" s="756" t="s">
        <v>48</v>
      </c>
      <c r="C1621" s="699"/>
      <c r="D1621" s="739"/>
      <c r="E1621" s="695"/>
      <c r="F1621" s="714"/>
      <c r="G1621" s="714"/>
      <c r="H1621" s="714"/>
      <c r="I1621" s="714"/>
      <c r="J1621" s="714">
        <f t="shared" si="113"/>
        <v>0</v>
      </c>
      <c r="K1621" s="714">
        <f t="shared" si="114"/>
        <v>0</v>
      </c>
      <c r="L1621" s="714"/>
      <c r="M1621" s="714"/>
      <c r="N1621" s="714"/>
      <c r="O1621" s="753">
        <f t="shared" si="115"/>
        <v>0</v>
      </c>
      <c r="P1621" s="754"/>
    </row>
    <row r="1622" spans="1:89" ht="17.25" customHeight="1" x14ac:dyDescent="0.25">
      <c r="A1622" s="742">
        <v>5</v>
      </c>
      <c r="B1622" s="756" t="s">
        <v>735</v>
      </c>
      <c r="C1622" s="699">
        <v>53</v>
      </c>
      <c r="D1622" s="739" t="s">
        <v>51</v>
      </c>
      <c r="E1622" s="695">
        <v>4000</v>
      </c>
      <c r="F1622" s="714"/>
      <c r="G1622" s="714"/>
      <c r="H1622" s="714"/>
      <c r="I1622" s="714"/>
      <c r="J1622" s="714">
        <f t="shared" si="113"/>
        <v>212000</v>
      </c>
      <c r="K1622" s="714">
        <f t="shared" si="114"/>
        <v>212000</v>
      </c>
      <c r="L1622" s="714"/>
      <c r="M1622" s="714"/>
      <c r="N1622" s="714"/>
      <c r="O1622" s="753">
        <f t="shared" si="115"/>
        <v>212000</v>
      </c>
      <c r="P1622" s="754"/>
    </row>
    <row r="1623" spans="1:89" ht="17.25" customHeight="1" x14ac:dyDescent="0.25">
      <c r="A1623" s="742"/>
      <c r="B1623" s="756" t="s">
        <v>736</v>
      </c>
      <c r="C1623" s="699">
        <v>130</v>
      </c>
      <c r="D1623" s="739" t="s">
        <v>53</v>
      </c>
      <c r="E1623" s="695">
        <v>1500</v>
      </c>
      <c r="F1623" s="714"/>
      <c r="G1623" s="714"/>
      <c r="H1623" s="714"/>
      <c r="I1623" s="714"/>
      <c r="J1623" s="714">
        <f t="shared" si="113"/>
        <v>195000</v>
      </c>
      <c r="K1623" s="714">
        <f t="shared" si="114"/>
        <v>195000</v>
      </c>
      <c r="L1623" s="714"/>
      <c r="M1623" s="714"/>
      <c r="N1623" s="714"/>
      <c r="O1623" s="753">
        <f t="shared" si="115"/>
        <v>195000</v>
      </c>
      <c r="P1623" s="754"/>
    </row>
    <row r="1624" spans="1:89" ht="17.25" customHeight="1" x14ac:dyDescent="0.25">
      <c r="A1624" s="742"/>
      <c r="B1624" s="756" t="s">
        <v>48</v>
      </c>
      <c r="C1624" s="699"/>
      <c r="D1624" s="739"/>
      <c r="E1624" s="695"/>
      <c r="F1624" s="714"/>
      <c r="G1624" s="714"/>
      <c r="H1624" s="714"/>
      <c r="I1624" s="714"/>
      <c r="J1624" s="714">
        <f t="shared" si="113"/>
        <v>0</v>
      </c>
      <c r="K1624" s="714">
        <f t="shared" si="114"/>
        <v>0</v>
      </c>
      <c r="L1624" s="714"/>
      <c r="M1624" s="714"/>
      <c r="N1624" s="714"/>
      <c r="O1624" s="753">
        <f t="shared" si="115"/>
        <v>0</v>
      </c>
      <c r="P1624" s="754"/>
    </row>
    <row r="1625" spans="1:89" ht="17.25" customHeight="1" x14ac:dyDescent="0.25">
      <c r="A1625" s="742">
        <v>6</v>
      </c>
      <c r="B1625" s="756" t="s">
        <v>737</v>
      </c>
      <c r="C1625" s="713">
        <v>87</v>
      </c>
      <c r="D1625" s="716" t="s">
        <v>51</v>
      </c>
      <c r="E1625" s="714">
        <v>350</v>
      </c>
      <c r="F1625" s="714"/>
      <c r="G1625" s="714"/>
      <c r="H1625" s="714"/>
      <c r="I1625" s="714"/>
      <c r="J1625" s="714">
        <f t="shared" si="113"/>
        <v>30450</v>
      </c>
      <c r="K1625" s="714">
        <f t="shared" si="114"/>
        <v>30450</v>
      </c>
      <c r="L1625" s="714"/>
      <c r="M1625" s="714"/>
      <c r="N1625" s="714"/>
      <c r="O1625" s="753">
        <f t="shared" si="115"/>
        <v>30450</v>
      </c>
      <c r="P1625" s="754"/>
    </row>
    <row r="1626" spans="1:89" ht="17.25" customHeight="1" x14ac:dyDescent="0.25">
      <c r="A1626" s="742"/>
      <c r="B1626" s="756" t="s">
        <v>738</v>
      </c>
      <c r="C1626" s="713">
        <v>12</v>
      </c>
      <c r="D1626" s="716" t="s">
        <v>51</v>
      </c>
      <c r="E1626" s="714">
        <v>800</v>
      </c>
      <c r="F1626" s="714"/>
      <c r="G1626" s="714"/>
      <c r="H1626" s="714"/>
      <c r="I1626" s="714"/>
      <c r="J1626" s="714">
        <f t="shared" si="113"/>
        <v>9600</v>
      </c>
      <c r="K1626" s="714">
        <f t="shared" si="114"/>
        <v>9600</v>
      </c>
      <c r="L1626" s="714"/>
      <c r="M1626" s="714"/>
      <c r="N1626" s="714"/>
      <c r="O1626" s="753">
        <f t="shared" si="115"/>
        <v>9600</v>
      </c>
      <c r="P1626" s="754"/>
    </row>
    <row r="1627" spans="1:89" ht="17.25" customHeight="1" x14ac:dyDescent="0.25">
      <c r="A1627" s="742"/>
      <c r="B1627" s="756" t="s">
        <v>736</v>
      </c>
      <c r="C1627" s="693">
        <v>123</v>
      </c>
      <c r="D1627" s="727" t="s">
        <v>53</v>
      </c>
      <c r="E1627" s="695">
        <v>450</v>
      </c>
      <c r="F1627" s="714"/>
      <c r="G1627" s="714"/>
      <c r="H1627" s="714"/>
      <c r="I1627" s="714"/>
      <c r="J1627" s="714">
        <f t="shared" si="113"/>
        <v>55350</v>
      </c>
      <c r="K1627" s="714">
        <f t="shared" si="114"/>
        <v>55350</v>
      </c>
      <c r="L1627" s="714"/>
      <c r="M1627" s="714"/>
      <c r="N1627" s="714"/>
      <c r="O1627" s="753">
        <f t="shared" si="115"/>
        <v>55350</v>
      </c>
      <c r="P1627" s="754"/>
    </row>
    <row r="1628" spans="1:89" ht="17.25" customHeight="1" x14ac:dyDescent="0.25">
      <c r="A1628" s="881"/>
      <c r="B1628" s="907"/>
      <c r="C1628" s="830"/>
      <c r="D1628" s="831"/>
      <c r="E1628" s="821"/>
      <c r="F1628" s="721"/>
      <c r="G1628" s="721"/>
      <c r="H1628" s="721"/>
      <c r="I1628" s="721"/>
      <c r="J1628" s="721"/>
      <c r="K1628" s="721"/>
      <c r="L1628" s="721"/>
      <c r="M1628" s="721"/>
      <c r="N1628" s="721"/>
      <c r="O1628" s="884"/>
      <c r="P1628" s="754"/>
    </row>
    <row r="1629" spans="1:89" ht="23.25" customHeight="1" x14ac:dyDescent="0.25">
      <c r="A1629" s="1352">
        <v>29</v>
      </c>
      <c r="B1629" s="1367" t="s">
        <v>169</v>
      </c>
      <c r="C1629" s="1212"/>
      <c r="D1629" s="1213"/>
      <c r="E1629" s="1214"/>
      <c r="F1629" s="1290">
        <f>F1631+F1640+F1656</f>
        <v>0</v>
      </c>
      <c r="G1629" s="1290">
        <f>G1631+G1640+G1656</f>
        <v>0</v>
      </c>
      <c r="H1629" s="1214">
        <f>G1629+F1629</f>
        <v>0</v>
      </c>
      <c r="I1629" s="1290">
        <f>I1631+I1640+I1656</f>
        <v>0</v>
      </c>
      <c r="J1629" s="1290">
        <f>J1631+J1640+J1656</f>
        <v>3579440</v>
      </c>
      <c r="K1629" s="1214">
        <f>J1629+I1629</f>
        <v>3579440</v>
      </c>
      <c r="L1629" s="1290">
        <f>L1631+L1640+L1656</f>
        <v>7515000</v>
      </c>
      <c r="M1629" s="1290">
        <f>M1631+M1640+M1656</f>
        <v>0</v>
      </c>
      <c r="N1629" s="1214">
        <f>M1629+L1629</f>
        <v>7515000</v>
      </c>
      <c r="O1629" s="1215">
        <f t="shared" ref="O1629:O1636" si="116">N1629+K1629+H1629</f>
        <v>11094440</v>
      </c>
      <c r="P1629" s="680"/>
    </row>
    <row r="1630" spans="1:89" ht="17.25" customHeight="1" x14ac:dyDescent="0.25">
      <c r="A1630" s="730"/>
      <c r="B1630" s="873"/>
      <c r="C1630" s="682"/>
      <c r="D1630" s="683"/>
      <c r="E1630" s="685"/>
      <c r="F1630" s="685"/>
      <c r="G1630" s="685"/>
      <c r="H1630" s="685"/>
      <c r="I1630" s="685"/>
      <c r="J1630" s="685"/>
      <c r="K1630" s="685"/>
      <c r="L1630" s="685"/>
      <c r="M1630" s="685"/>
      <c r="N1630" s="685"/>
      <c r="O1630" s="686">
        <f t="shared" si="116"/>
        <v>0</v>
      </c>
      <c r="P1630" s="687"/>
    </row>
    <row r="1631" spans="1:89" s="672" customFormat="1" ht="39" customHeight="1" x14ac:dyDescent="0.25">
      <c r="A1631" s="737" t="s">
        <v>15</v>
      </c>
      <c r="B1631" s="1372" t="s">
        <v>1156</v>
      </c>
      <c r="C1631" s="828"/>
      <c r="D1631" s="738"/>
      <c r="E1631" s="705"/>
      <c r="F1631" s="874">
        <f>SUM(F1632:F1639)</f>
        <v>0</v>
      </c>
      <c r="G1631" s="874">
        <f>SUM(G1632:G1639)</f>
        <v>0</v>
      </c>
      <c r="H1631" s="705">
        <f>F1631+G1631</f>
        <v>0</v>
      </c>
      <c r="I1631" s="874">
        <f>SUM(I1632:I1639)</f>
        <v>0</v>
      </c>
      <c r="J1631" s="874">
        <f>SUM(J1632:J1639)</f>
        <v>0</v>
      </c>
      <c r="K1631" s="705">
        <f>I1631+J1631</f>
        <v>0</v>
      </c>
      <c r="L1631" s="874">
        <f>SUM(L1632:L1639)</f>
        <v>7500000</v>
      </c>
      <c r="M1631" s="874">
        <f>SUM(M1632:M1639)</f>
        <v>0</v>
      </c>
      <c r="N1631" s="705">
        <f t="shared" ref="N1631:N1636" si="117">L1631+M1631</f>
        <v>7500000</v>
      </c>
      <c r="O1631" s="1370">
        <f t="shared" si="116"/>
        <v>7500000</v>
      </c>
      <c r="P1631" s="829"/>
      <c r="Q1631" s="1581"/>
      <c r="R1631" s="1581"/>
      <c r="S1631" s="1581"/>
      <c r="T1631" s="1581"/>
      <c r="U1631" s="1581"/>
      <c r="V1631" s="1581"/>
      <c r="W1631" s="1581"/>
      <c r="X1631" s="1581"/>
      <c r="Y1631" s="1581"/>
      <c r="Z1631" s="1581"/>
      <c r="AA1631" s="1581"/>
      <c r="AB1631" s="1581"/>
      <c r="AC1631" s="1581"/>
      <c r="AD1631" s="1581"/>
      <c r="AE1631" s="1581"/>
      <c r="AF1631" s="1581"/>
      <c r="AG1631" s="1581"/>
      <c r="AH1631" s="1581"/>
      <c r="AI1631" s="1581"/>
      <c r="AJ1631" s="1581"/>
      <c r="AK1631" s="1581"/>
      <c r="AL1631" s="1581"/>
      <c r="AM1631" s="1581"/>
      <c r="AN1631" s="1581"/>
      <c r="AO1631" s="1581"/>
      <c r="AP1631" s="1581"/>
      <c r="AQ1631" s="1581"/>
      <c r="AR1631" s="1581"/>
      <c r="AS1631" s="1581"/>
      <c r="AT1631" s="1581"/>
      <c r="AU1631" s="1581"/>
      <c r="AV1631" s="1581"/>
      <c r="AW1631" s="1581"/>
      <c r="AX1631" s="1581"/>
      <c r="AY1631" s="1581"/>
      <c r="AZ1631" s="1581"/>
      <c r="BA1631" s="1581"/>
      <c r="BB1631" s="1581"/>
      <c r="BC1631" s="1581"/>
      <c r="BD1631" s="1581"/>
      <c r="BE1631" s="1581"/>
      <c r="BF1631" s="1581"/>
      <c r="BG1631" s="1581"/>
      <c r="BH1631" s="1581"/>
      <c r="BI1631" s="1581"/>
      <c r="BJ1631" s="1581"/>
      <c r="BK1631" s="1581"/>
      <c r="BL1631" s="1581"/>
      <c r="BM1631" s="1581"/>
      <c r="BN1631" s="1581"/>
      <c r="BO1631" s="1581"/>
      <c r="BP1631" s="1581"/>
      <c r="BQ1631" s="1581"/>
      <c r="BR1631" s="1581"/>
      <c r="BS1631" s="1581"/>
      <c r="BT1631" s="1581"/>
      <c r="BU1631" s="1581"/>
      <c r="BV1631" s="1581"/>
      <c r="BW1631" s="1581"/>
      <c r="BX1631" s="1581"/>
      <c r="BY1631" s="1581"/>
      <c r="BZ1631" s="1581"/>
      <c r="CA1631" s="1581"/>
      <c r="CB1631" s="1581"/>
      <c r="CC1631" s="1581"/>
      <c r="CD1631" s="1581"/>
      <c r="CE1631" s="1581"/>
      <c r="CF1631" s="1581"/>
      <c r="CG1631" s="1581"/>
      <c r="CH1631" s="1581"/>
      <c r="CI1631" s="1581"/>
      <c r="CJ1631" s="1581"/>
      <c r="CK1631" s="1581"/>
    </row>
    <row r="1632" spans="1:89" ht="17.25" customHeight="1" x14ac:dyDescent="0.2">
      <c r="A1632" s="692">
        <v>1</v>
      </c>
      <c r="B1632" s="1412" t="str">
        <f>'[1]wolo-bts kota kolaka'!$D$11</f>
        <v>Wolo - Batas Kota Kolaka 53,150 Km termasuk Supervisi</v>
      </c>
      <c r="C1632" s="713">
        <v>1</v>
      </c>
      <c r="D1632" s="727" t="s">
        <v>16</v>
      </c>
      <c r="E1632" s="695">
        <v>1500000</v>
      </c>
      <c r="F1632" s="695"/>
      <c r="G1632" s="695"/>
      <c r="H1632" s="695"/>
      <c r="I1632" s="695"/>
      <c r="J1632" s="695"/>
      <c r="K1632" s="695"/>
      <c r="L1632" s="695">
        <f>E1632*C1632</f>
        <v>1500000</v>
      </c>
      <c r="M1632" s="695"/>
      <c r="N1632" s="695">
        <f t="shared" si="117"/>
        <v>1500000</v>
      </c>
      <c r="O1632" s="696">
        <f t="shared" si="116"/>
        <v>1500000</v>
      </c>
      <c r="P1632" s="687"/>
    </row>
    <row r="1633" spans="1:89" ht="17.25" customHeight="1" x14ac:dyDescent="0.2">
      <c r="A1633" s="692">
        <v>2</v>
      </c>
      <c r="B1633" s="1412" t="str">
        <f>'[1]bts kolutkolaka-wolo'!$D$11</f>
        <v>Batas Kolaka Utara/Kolaka - Wolo  24,0 Km termasuk Supervisi</v>
      </c>
      <c r="C1633" s="713">
        <v>1</v>
      </c>
      <c r="D1633" s="727" t="s">
        <v>16</v>
      </c>
      <c r="E1633" s="695">
        <v>1500000</v>
      </c>
      <c r="F1633" s="695"/>
      <c r="G1633" s="695"/>
      <c r="H1633" s="695"/>
      <c r="I1633" s="695"/>
      <c r="J1633" s="695"/>
      <c r="K1633" s="695"/>
      <c r="L1633" s="695">
        <f>E1633*C1633</f>
        <v>1500000</v>
      </c>
      <c r="M1633" s="695"/>
      <c r="N1633" s="695">
        <f t="shared" si="117"/>
        <v>1500000</v>
      </c>
      <c r="O1633" s="696">
        <f t="shared" si="116"/>
        <v>1500000</v>
      </c>
      <c r="P1633" s="687"/>
    </row>
    <row r="1634" spans="1:89" ht="17.25" customHeight="1" x14ac:dyDescent="0.2">
      <c r="A1634" s="692">
        <v>3</v>
      </c>
      <c r="B1634" s="1412" t="str">
        <f>'[1]lasusua-bts kolutkolaka'!$D$11</f>
        <v>Lasusua - Batas Kolaka Utara/Kolaka 54,541 Km termasuk Supervisi</v>
      </c>
      <c r="C1634" s="713">
        <v>1</v>
      </c>
      <c r="D1634" s="727" t="s">
        <v>16</v>
      </c>
      <c r="E1634" s="695">
        <v>1500000</v>
      </c>
      <c r="F1634" s="695"/>
      <c r="G1634" s="695"/>
      <c r="H1634" s="695"/>
      <c r="I1634" s="695"/>
      <c r="J1634" s="695"/>
      <c r="K1634" s="695"/>
      <c r="L1634" s="695">
        <f>C1634*E1634</f>
        <v>1500000</v>
      </c>
      <c r="M1634" s="695"/>
      <c r="N1634" s="695">
        <f t="shared" si="117"/>
        <v>1500000</v>
      </c>
      <c r="O1634" s="696">
        <f t="shared" si="116"/>
        <v>1500000</v>
      </c>
      <c r="P1634" s="687"/>
    </row>
    <row r="1635" spans="1:89" ht="17.25" customHeight="1" x14ac:dyDescent="0.2">
      <c r="A1635" s="692">
        <v>4</v>
      </c>
      <c r="B1635" s="1412" t="str">
        <f>'[1]mataompana-sp3 bure'!$D$11</f>
        <v>Mataompana - Simpang3 Bure  48,028 Km termasuk Supervisi</v>
      </c>
      <c r="C1635" s="713">
        <v>1</v>
      </c>
      <c r="D1635" s="727" t="s">
        <v>16</v>
      </c>
      <c r="E1635" s="695">
        <v>1500000</v>
      </c>
      <c r="F1635" s="695"/>
      <c r="G1635" s="695"/>
      <c r="H1635" s="695"/>
      <c r="I1635" s="695"/>
      <c r="J1635" s="695"/>
      <c r="K1635" s="695"/>
      <c r="L1635" s="695">
        <f>E1635*C1635</f>
        <v>1500000</v>
      </c>
      <c r="M1635" s="695"/>
      <c r="N1635" s="695">
        <f t="shared" si="117"/>
        <v>1500000</v>
      </c>
      <c r="O1635" s="696">
        <f t="shared" si="116"/>
        <v>1500000</v>
      </c>
      <c r="P1635" s="687"/>
    </row>
    <row r="1636" spans="1:89" ht="17.25" customHeight="1" x14ac:dyDescent="0.2">
      <c r="A1636" s="692">
        <v>5</v>
      </c>
      <c r="B1636" s="1412" t="str">
        <f>'[1]lainea-awunio'!$D$11</f>
        <v>Lainea - Awunio  22,803 Km termasuk Supervisi</v>
      </c>
      <c r="C1636" s="713">
        <v>1</v>
      </c>
      <c r="D1636" s="727" t="s">
        <v>16</v>
      </c>
      <c r="E1636" s="695">
        <v>1500000</v>
      </c>
      <c r="F1636" s="695"/>
      <c r="G1636" s="695"/>
      <c r="H1636" s="695"/>
      <c r="I1636" s="695"/>
      <c r="J1636" s="695"/>
      <c r="K1636" s="695"/>
      <c r="L1636" s="695">
        <f>E1636*C1636</f>
        <v>1500000</v>
      </c>
      <c r="M1636" s="695"/>
      <c r="N1636" s="695">
        <f t="shared" si="117"/>
        <v>1500000</v>
      </c>
      <c r="O1636" s="696">
        <f t="shared" si="116"/>
        <v>1500000</v>
      </c>
      <c r="P1636" s="687"/>
    </row>
    <row r="1637" spans="1:89" ht="17.25" customHeight="1" x14ac:dyDescent="0.2">
      <c r="A1637" s="692"/>
      <c r="B1637" s="1412"/>
      <c r="C1637" s="713"/>
      <c r="D1637" s="727"/>
      <c r="E1637" s="695"/>
      <c r="F1637" s="695"/>
      <c r="G1637" s="695"/>
      <c r="H1637" s="695"/>
      <c r="I1637" s="695"/>
      <c r="J1637" s="695"/>
      <c r="K1637" s="695"/>
      <c r="L1637" s="695"/>
      <c r="M1637" s="695"/>
      <c r="N1637" s="695"/>
      <c r="O1637" s="696"/>
      <c r="P1637" s="687"/>
    </row>
    <row r="1638" spans="1:89" ht="17.25" customHeight="1" x14ac:dyDescent="0.2">
      <c r="A1638" s="692"/>
      <c r="B1638" s="1412"/>
      <c r="C1638" s="713"/>
      <c r="D1638" s="727"/>
      <c r="E1638" s="695"/>
      <c r="F1638" s="695"/>
      <c r="G1638" s="695"/>
      <c r="H1638" s="695"/>
      <c r="I1638" s="695"/>
      <c r="J1638" s="695"/>
      <c r="K1638" s="695"/>
      <c r="L1638" s="695"/>
      <c r="M1638" s="695"/>
      <c r="N1638" s="695"/>
      <c r="O1638" s="696"/>
      <c r="P1638" s="687"/>
    </row>
    <row r="1639" spans="1:89" ht="17.25" customHeight="1" x14ac:dyDescent="0.2">
      <c r="A1639" s="692"/>
      <c r="B1639" s="1412"/>
      <c r="C1639" s="713"/>
      <c r="D1639" s="727"/>
      <c r="E1639" s="695"/>
      <c r="F1639" s="695"/>
      <c r="G1639" s="695"/>
      <c r="H1639" s="695"/>
      <c r="I1639" s="695"/>
      <c r="J1639" s="695"/>
      <c r="K1639" s="695"/>
      <c r="L1639" s="695"/>
      <c r="M1639" s="695"/>
      <c r="N1639" s="695"/>
      <c r="O1639" s="696"/>
      <c r="P1639" s="687"/>
    </row>
    <row r="1640" spans="1:89" s="672" customFormat="1" ht="17.25" customHeight="1" x14ac:dyDescent="0.2">
      <c r="A1640" s="740" t="s">
        <v>22</v>
      </c>
      <c r="B1640" s="1548" t="s">
        <v>23</v>
      </c>
      <c r="C1640" s="886"/>
      <c r="D1640" s="1403"/>
      <c r="E1640" s="874"/>
      <c r="F1640" s="874">
        <f>SUM(F1641:F1654)</f>
        <v>0</v>
      </c>
      <c r="G1640" s="874">
        <f>SUM(G1641:G1654)</f>
        <v>0</v>
      </c>
      <c r="H1640" s="874">
        <f>F1640+G1640</f>
        <v>0</v>
      </c>
      <c r="I1640" s="874">
        <f>SUM(I1641:I1654)</f>
        <v>0</v>
      </c>
      <c r="J1640" s="874">
        <f>SUM(J1641:J1654)</f>
        <v>3050000</v>
      </c>
      <c r="K1640" s="874">
        <f>I1640+J1640</f>
        <v>3050000</v>
      </c>
      <c r="L1640" s="874">
        <f>SUM(L1641:L1654)</f>
        <v>0</v>
      </c>
      <c r="M1640" s="874">
        <f>SUM(M1641:M1654)</f>
        <v>0</v>
      </c>
      <c r="N1640" s="874">
        <f>L1640+M1640</f>
        <v>0</v>
      </c>
      <c r="O1640" s="775">
        <f>N1640+K1640+H1640</f>
        <v>3050000</v>
      </c>
      <c r="P1640" s="776"/>
      <c r="Q1640" s="1581"/>
      <c r="R1640" s="1581"/>
      <c r="S1640" s="1581"/>
      <c r="T1640" s="1581"/>
      <c r="U1640" s="1581"/>
      <c r="V1640" s="1581"/>
      <c r="W1640" s="1581"/>
      <c r="X1640" s="1581"/>
      <c r="Y1640" s="1581"/>
      <c r="Z1640" s="1581"/>
      <c r="AA1640" s="1581"/>
      <c r="AB1640" s="1581"/>
      <c r="AC1640" s="1581"/>
      <c r="AD1640" s="1581"/>
      <c r="AE1640" s="1581"/>
      <c r="AF1640" s="1581"/>
      <c r="AG1640" s="1581"/>
      <c r="AH1640" s="1581"/>
      <c r="AI1640" s="1581"/>
      <c r="AJ1640" s="1581"/>
      <c r="AK1640" s="1581"/>
      <c r="AL1640" s="1581"/>
      <c r="AM1640" s="1581"/>
      <c r="AN1640" s="1581"/>
      <c r="AO1640" s="1581"/>
      <c r="AP1640" s="1581"/>
      <c r="AQ1640" s="1581"/>
      <c r="AR1640" s="1581"/>
      <c r="AS1640" s="1581"/>
      <c r="AT1640" s="1581"/>
      <c r="AU1640" s="1581"/>
      <c r="AV1640" s="1581"/>
      <c r="AW1640" s="1581"/>
      <c r="AX1640" s="1581"/>
      <c r="AY1640" s="1581"/>
      <c r="AZ1640" s="1581"/>
      <c r="BA1640" s="1581"/>
      <c r="BB1640" s="1581"/>
      <c r="BC1640" s="1581"/>
      <c r="BD1640" s="1581"/>
      <c r="BE1640" s="1581"/>
      <c r="BF1640" s="1581"/>
      <c r="BG1640" s="1581"/>
      <c r="BH1640" s="1581"/>
      <c r="BI1640" s="1581"/>
      <c r="BJ1640" s="1581"/>
      <c r="BK1640" s="1581"/>
      <c r="BL1640" s="1581"/>
      <c r="BM1640" s="1581"/>
      <c r="BN1640" s="1581"/>
      <c r="BO1640" s="1581"/>
      <c r="BP1640" s="1581"/>
      <c r="BQ1640" s="1581"/>
      <c r="BR1640" s="1581"/>
      <c r="BS1640" s="1581"/>
      <c r="BT1640" s="1581"/>
      <c r="BU1640" s="1581"/>
      <c r="BV1640" s="1581"/>
      <c r="BW1640" s="1581"/>
      <c r="BX1640" s="1581"/>
      <c r="BY1640" s="1581"/>
      <c r="BZ1640" s="1581"/>
      <c r="CA1640" s="1581"/>
      <c r="CB1640" s="1581"/>
      <c r="CC1640" s="1581"/>
      <c r="CD1640" s="1581"/>
      <c r="CE1640" s="1581"/>
      <c r="CF1640" s="1581"/>
      <c r="CG1640" s="1581"/>
      <c r="CH1640" s="1581"/>
      <c r="CI1640" s="1581"/>
      <c r="CJ1640" s="1581"/>
      <c r="CK1640" s="1581"/>
    </row>
    <row r="1641" spans="1:89" ht="17.25" customHeight="1" x14ac:dyDescent="0.2">
      <c r="A1641" s="692">
        <v>1</v>
      </c>
      <c r="B1641" s="689" t="s">
        <v>21</v>
      </c>
      <c r="C1641" s="713"/>
      <c r="D1641" s="880"/>
      <c r="E1641" s="714"/>
      <c r="F1641" s="714"/>
      <c r="G1641" s="714"/>
      <c r="H1641" s="714"/>
      <c r="I1641" s="714"/>
      <c r="J1641" s="714"/>
      <c r="K1641" s="714"/>
      <c r="L1641" s="714"/>
      <c r="M1641" s="714"/>
      <c r="N1641" s="714"/>
      <c r="O1641" s="753">
        <f>N1641+K1641+H1641</f>
        <v>0</v>
      </c>
      <c r="P1641" s="754"/>
    </row>
    <row r="1642" spans="1:89" ht="17.25" customHeight="1" x14ac:dyDescent="0.2">
      <c r="A1642" s="692"/>
      <c r="B1642" s="689" t="s">
        <v>1566</v>
      </c>
      <c r="C1642" s="713">
        <v>1</v>
      </c>
      <c r="D1642" s="880" t="s">
        <v>25</v>
      </c>
      <c r="E1642" s="714">
        <v>3000000</v>
      </c>
      <c r="F1642" s="714"/>
      <c r="G1642" s="714"/>
      <c r="H1642" s="714"/>
      <c r="I1642" s="714"/>
      <c r="J1642" s="714">
        <f>E1642*C1642</f>
        <v>3000000</v>
      </c>
      <c r="K1642" s="714">
        <f>I1642+J1642</f>
        <v>3000000</v>
      </c>
      <c r="L1642" s="714"/>
      <c r="M1642" s="714"/>
      <c r="N1642" s="714"/>
      <c r="O1642" s="753">
        <f>N1642+K1642+H1642</f>
        <v>3000000</v>
      </c>
      <c r="P1642" s="754"/>
    </row>
    <row r="1643" spans="1:89" ht="17.25" customHeight="1" x14ac:dyDescent="0.25">
      <c r="A1643" s="692"/>
      <c r="B1643" s="1780" t="s">
        <v>2012</v>
      </c>
      <c r="C1643" s="713"/>
      <c r="D1643" s="880"/>
      <c r="E1643" s="714"/>
      <c r="F1643" s="714"/>
      <c r="G1643" s="714"/>
      <c r="H1643" s="714"/>
      <c r="I1643" s="714"/>
      <c r="J1643" s="714"/>
      <c r="K1643" s="714"/>
      <c r="L1643" s="714"/>
      <c r="M1643" s="714"/>
      <c r="N1643" s="714"/>
      <c r="O1643" s="753"/>
      <c r="P1643" s="754"/>
    </row>
    <row r="1644" spans="1:89" ht="17.25" customHeight="1" x14ac:dyDescent="0.25">
      <c r="A1644" s="692"/>
      <c r="B1644" s="1780" t="s">
        <v>172</v>
      </c>
      <c r="C1644" s="713"/>
      <c r="D1644" s="880"/>
      <c r="E1644" s="714"/>
      <c r="F1644" s="714"/>
      <c r="G1644" s="714"/>
      <c r="H1644" s="714"/>
      <c r="I1644" s="714"/>
      <c r="J1644" s="714">
        <v>0</v>
      </c>
      <c r="K1644" s="714"/>
      <c r="L1644" s="714"/>
      <c r="M1644" s="714"/>
      <c r="N1644" s="714"/>
      <c r="O1644" s="753"/>
      <c r="P1644" s="754"/>
    </row>
    <row r="1645" spans="1:89" ht="17.25" customHeight="1" x14ac:dyDescent="0.25">
      <c r="A1645" s="692"/>
      <c r="B1645" s="1780" t="s">
        <v>170</v>
      </c>
      <c r="C1645" s="713"/>
      <c r="D1645" s="880"/>
      <c r="E1645" s="714"/>
      <c r="F1645" s="714"/>
      <c r="G1645" s="714"/>
      <c r="H1645" s="714"/>
      <c r="I1645" s="714"/>
      <c r="J1645" s="714"/>
      <c r="K1645" s="714"/>
      <c r="L1645" s="714"/>
      <c r="M1645" s="714"/>
      <c r="N1645" s="714"/>
      <c r="O1645" s="753"/>
      <c r="P1645" s="754"/>
    </row>
    <row r="1646" spans="1:89" ht="17.25" customHeight="1" x14ac:dyDescent="0.25">
      <c r="A1646" s="692"/>
      <c r="B1646" s="1780" t="s">
        <v>2013</v>
      </c>
      <c r="C1646" s="713"/>
      <c r="D1646" s="880"/>
      <c r="E1646" s="714"/>
      <c r="F1646" s="714"/>
      <c r="G1646" s="714"/>
      <c r="H1646" s="714"/>
      <c r="I1646" s="714"/>
      <c r="J1646" s="714"/>
      <c r="K1646" s="714"/>
      <c r="L1646" s="714"/>
      <c r="M1646" s="714"/>
      <c r="N1646" s="714"/>
      <c r="O1646" s="753"/>
      <c r="P1646" s="754"/>
    </row>
    <row r="1647" spans="1:89" ht="17.25" customHeight="1" x14ac:dyDescent="0.25">
      <c r="A1647" s="692"/>
      <c r="B1647" s="1780" t="s">
        <v>171</v>
      </c>
      <c r="C1647" s="713"/>
      <c r="D1647" s="880"/>
      <c r="E1647" s="714"/>
      <c r="F1647" s="714"/>
      <c r="G1647" s="714"/>
      <c r="H1647" s="714"/>
      <c r="I1647" s="714"/>
      <c r="J1647" s="714"/>
      <c r="K1647" s="714"/>
      <c r="L1647" s="714"/>
      <c r="M1647" s="714"/>
      <c r="N1647" s="714"/>
      <c r="O1647" s="753"/>
      <c r="P1647" s="754"/>
    </row>
    <row r="1648" spans="1:89" ht="17.25" customHeight="1" x14ac:dyDescent="0.25">
      <c r="A1648" s="692"/>
      <c r="B1648" s="1780" t="s">
        <v>2014</v>
      </c>
      <c r="C1648" s="713"/>
      <c r="D1648" s="880"/>
      <c r="E1648" s="714"/>
      <c r="F1648" s="714"/>
      <c r="G1648" s="714"/>
      <c r="H1648" s="714"/>
      <c r="I1648" s="714"/>
      <c r="J1648" s="714"/>
      <c r="K1648" s="714"/>
      <c r="L1648" s="714"/>
      <c r="M1648" s="714"/>
      <c r="N1648" s="714"/>
      <c r="O1648" s="753"/>
      <c r="P1648" s="754"/>
    </row>
    <row r="1649" spans="1:89" ht="17.25" customHeight="1" x14ac:dyDescent="0.25">
      <c r="A1649" s="692"/>
      <c r="B1649" s="1780" t="s">
        <v>2015</v>
      </c>
      <c r="C1649" s="713"/>
      <c r="D1649" s="880"/>
      <c r="E1649" s="714"/>
      <c r="F1649" s="714"/>
      <c r="G1649" s="714"/>
      <c r="H1649" s="714"/>
      <c r="I1649" s="714"/>
      <c r="J1649" s="714"/>
      <c r="K1649" s="714"/>
      <c r="L1649" s="714"/>
      <c r="M1649" s="714"/>
      <c r="N1649" s="714"/>
      <c r="O1649" s="753"/>
      <c r="P1649" s="754"/>
    </row>
    <row r="1650" spans="1:89" ht="17.25" customHeight="1" x14ac:dyDescent="0.25">
      <c r="A1650" s="692"/>
      <c r="B1650" s="1780" t="s">
        <v>2016</v>
      </c>
      <c r="C1650" s="713"/>
      <c r="D1650" s="880"/>
      <c r="E1650" s="714"/>
      <c r="F1650" s="714"/>
      <c r="G1650" s="714"/>
      <c r="H1650" s="714"/>
      <c r="I1650" s="714"/>
      <c r="J1650" s="714"/>
      <c r="K1650" s="714"/>
      <c r="L1650" s="714"/>
      <c r="M1650" s="714"/>
      <c r="N1650" s="714"/>
      <c r="O1650" s="753"/>
      <c r="P1650" s="754"/>
    </row>
    <row r="1651" spans="1:89" ht="17.25" customHeight="1" x14ac:dyDescent="0.25">
      <c r="A1651" s="692"/>
      <c r="B1651" s="1780" t="s">
        <v>2017</v>
      </c>
      <c r="C1651" s="713"/>
      <c r="D1651" s="880"/>
      <c r="E1651" s="714"/>
      <c r="F1651" s="714"/>
      <c r="G1651" s="714"/>
      <c r="H1651" s="714"/>
      <c r="I1651" s="714"/>
      <c r="J1651" s="714"/>
      <c r="K1651" s="714"/>
      <c r="L1651" s="714"/>
      <c r="M1651" s="714"/>
      <c r="N1651" s="714"/>
      <c r="O1651" s="753"/>
      <c r="P1651" s="754"/>
    </row>
    <row r="1652" spans="1:89" ht="17.25" customHeight="1" x14ac:dyDescent="0.25">
      <c r="A1652" s="692"/>
      <c r="B1652" s="1371"/>
      <c r="C1652" s="693"/>
      <c r="D1652" s="739"/>
      <c r="E1652" s="695"/>
      <c r="F1652" s="695"/>
      <c r="G1652" s="695"/>
      <c r="H1652" s="695"/>
      <c r="I1652" s="695"/>
      <c r="J1652" s="695"/>
      <c r="K1652" s="695"/>
      <c r="L1652" s="695"/>
      <c r="M1652" s="695"/>
      <c r="N1652" s="695"/>
      <c r="O1652" s="696"/>
      <c r="P1652" s="687"/>
    </row>
    <row r="1653" spans="1:89" ht="17.25" customHeight="1" x14ac:dyDescent="0.25">
      <c r="A1653" s="740"/>
      <c r="B1653" s="741" t="s">
        <v>19</v>
      </c>
      <c r="C1653" s="828"/>
      <c r="D1653" s="738"/>
      <c r="E1653" s="705"/>
      <c r="F1653" s="705"/>
      <c r="G1653" s="705"/>
      <c r="H1653" s="705"/>
      <c r="I1653" s="705"/>
      <c r="J1653" s="705"/>
      <c r="K1653" s="705"/>
      <c r="L1653" s="705"/>
      <c r="M1653" s="705"/>
      <c r="N1653" s="705"/>
      <c r="O1653" s="1370"/>
      <c r="P1653" s="829"/>
    </row>
    <row r="1654" spans="1:89" s="672" customFormat="1" ht="17.25" customHeight="1" x14ac:dyDescent="0.25">
      <c r="A1654" s="742">
        <v>2</v>
      </c>
      <c r="B1654" s="756" t="s">
        <v>26</v>
      </c>
      <c r="C1654" s="699">
        <v>1</v>
      </c>
      <c r="D1654" s="739" t="s">
        <v>25</v>
      </c>
      <c r="E1654" s="695">
        <v>50000</v>
      </c>
      <c r="F1654" s="714"/>
      <c r="G1654" s="714"/>
      <c r="H1654" s="714"/>
      <c r="I1654" s="714"/>
      <c r="J1654" s="714">
        <f>C1654*E1654</f>
        <v>50000</v>
      </c>
      <c r="K1654" s="714">
        <f>I1654+J1654</f>
        <v>50000</v>
      </c>
      <c r="L1654" s="714"/>
      <c r="M1654" s="714"/>
      <c r="N1654" s="714"/>
      <c r="O1654" s="753">
        <f>N1654+K1654+H1654</f>
        <v>50000</v>
      </c>
      <c r="P1654" s="754"/>
      <c r="Q1654" s="1581"/>
      <c r="R1654" s="1581"/>
      <c r="S1654" s="1581"/>
      <c r="T1654" s="1581"/>
      <c r="U1654" s="1581"/>
      <c r="V1654" s="1581"/>
      <c r="W1654" s="1581"/>
      <c r="X1654" s="1581"/>
      <c r="Y1654" s="1581"/>
      <c r="Z1654" s="1581"/>
      <c r="AA1654" s="1581"/>
      <c r="AB1654" s="1581"/>
      <c r="AC1654" s="1581"/>
      <c r="AD1654" s="1581"/>
      <c r="AE1654" s="1581"/>
      <c r="AF1654" s="1581"/>
      <c r="AG1654" s="1581"/>
      <c r="AH1654" s="1581"/>
      <c r="AI1654" s="1581"/>
      <c r="AJ1654" s="1581"/>
      <c r="AK1654" s="1581"/>
      <c r="AL1654" s="1581"/>
      <c r="AM1654" s="1581"/>
      <c r="AN1654" s="1581"/>
      <c r="AO1654" s="1581"/>
      <c r="AP1654" s="1581"/>
      <c r="AQ1654" s="1581"/>
      <c r="AR1654" s="1581"/>
      <c r="AS1654" s="1581"/>
      <c r="AT1654" s="1581"/>
      <c r="AU1654" s="1581"/>
      <c r="AV1654" s="1581"/>
      <c r="AW1654" s="1581"/>
      <c r="AX1654" s="1581"/>
      <c r="AY1654" s="1581"/>
      <c r="AZ1654" s="1581"/>
      <c r="BA1654" s="1581"/>
      <c r="BB1654" s="1581"/>
      <c r="BC1654" s="1581"/>
      <c r="BD1654" s="1581"/>
      <c r="BE1654" s="1581"/>
      <c r="BF1654" s="1581"/>
      <c r="BG1654" s="1581"/>
      <c r="BH1654" s="1581"/>
      <c r="BI1654" s="1581"/>
      <c r="BJ1654" s="1581"/>
      <c r="BK1654" s="1581"/>
      <c r="BL1654" s="1581"/>
      <c r="BM1654" s="1581"/>
      <c r="BN1654" s="1581"/>
      <c r="BO1654" s="1581"/>
      <c r="BP1654" s="1581"/>
      <c r="BQ1654" s="1581"/>
      <c r="BR1654" s="1581"/>
      <c r="BS1654" s="1581"/>
      <c r="BT1654" s="1581"/>
      <c r="BU1654" s="1581"/>
      <c r="BV1654" s="1581"/>
      <c r="BW1654" s="1581"/>
      <c r="BX1654" s="1581"/>
      <c r="BY1654" s="1581"/>
      <c r="BZ1654" s="1581"/>
      <c r="CA1654" s="1581"/>
      <c r="CB1654" s="1581"/>
      <c r="CC1654" s="1581"/>
      <c r="CD1654" s="1581"/>
      <c r="CE1654" s="1581"/>
      <c r="CF1654" s="1581"/>
      <c r="CG1654" s="1581"/>
      <c r="CH1654" s="1581"/>
      <c r="CI1654" s="1581"/>
      <c r="CJ1654" s="1581"/>
      <c r="CK1654" s="1581"/>
    </row>
    <row r="1655" spans="1:89" ht="17.25" customHeight="1" x14ac:dyDescent="0.25">
      <c r="A1655" s="742"/>
      <c r="B1655" s="756"/>
      <c r="C1655" s="699"/>
      <c r="D1655" s="739"/>
      <c r="E1655" s="695"/>
      <c r="F1655" s="714"/>
      <c r="G1655" s="714"/>
      <c r="H1655" s="714"/>
      <c r="I1655" s="714"/>
      <c r="J1655" s="714"/>
      <c r="K1655" s="714"/>
      <c r="L1655" s="714"/>
      <c r="M1655" s="714"/>
      <c r="N1655" s="714"/>
      <c r="O1655" s="753"/>
      <c r="P1655" s="754"/>
    </row>
    <row r="1656" spans="1:89" s="672" customFormat="1" ht="17.25" customHeight="1" x14ac:dyDescent="0.25">
      <c r="A1656" s="737" t="s">
        <v>28</v>
      </c>
      <c r="B1656" s="752" t="s">
        <v>29</v>
      </c>
      <c r="C1656" s="1377"/>
      <c r="D1656" s="738"/>
      <c r="E1656" s="705"/>
      <c r="F1656" s="874">
        <f>SUM(F1657:F1685)</f>
        <v>0</v>
      </c>
      <c r="G1656" s="874">
        <f>SUM(G1657:G1685)</f>
        <v>0</v>
      </c>
      <c r="H1656" s="874">
        <f>F1656+G1656</f>
        <v>0</v>
      </c>
      <c r="I1656" s="874">
        <f>SUM(I1657:I1685)</f>
        <v>0</v>
      </c>
      <c r="J1656" s="874">
        <f>SUM(J1657:J1685)</f>
        <v>529440</v>
      </c>
      <c r="K1656" s="874">
        <f>I1656+J1656</f>
        <v>529440</v>
      </c>
      <c r="L1656" s="874">
        <f>SUM(L1657:L1685)</f>
        <v>15000</v>
      </c>
      <c r="M1656" s="874">
        <f>SUM(M1657:M1685)</f>
        <v>0</v>
      </c>
      <c r="N1656" s="874">
        <f>L1656+M1656</f>
        <v>15000</v>
      </c>
      <c r="O1656" s="775">
        <f>N1656+K1656+H1656</f>
        <v>544440</v>
      </c>
      <c r="P1656" s="776"/>
      <c r="Q1656" s="1581"/>
      <c r="R1656" s="1581"/>
      <c r="S1656" s="1581"/>
      <c r="T1656" s="1581"/>
      <c r="U1656" s="1581"/>
      <c r="V1656" s="1581"/>
      <c r="W1656" s="1581"/>
      <c r="X1656" s="1581"/>
      <c r="Y1656" s="1581"/>
      <c r="Z1656" s="1581"/>
      <c r="AA1656" s="1581"/>
      <c r="AB1656" s="1581"/>
      <c r="AC1656" s="1581"/>
      <c r="AD1656" s="1581"/>
      <c r="AE1656" s="1581"/>
      <c r="AF1656" s="1581"/>
      <c r="AG1656" s="1581"/>
      <c r="AH1656" s="1581"/>
      <c r="AI1656" s="1581"/>
      <c r="AJ1656" s="1581"/>
      <c r="AK1656" s="1581"/>
      <c r="AL1656" s="1581"/>
      <c r="AM1656" s="1581"/>
      <c r="AN1656" s="1581"/>
      <c r="AO1656" s="1581"/>
      <c r="AP1656" s="1581"/>
      <c r="AQ1656" s="1581"/>
      <c r="AR1656" s="1581"/>
      <c r="AS1656" s="1581"/>
      <c r="AT1656" s="1581"/>
      <c r="AU1656" s="1581"/>
      <c r="AV1656" s="1581"/>
      <c r="AW1656" s="1581"/>
      <c r="AX1656" s="1581"/>
      <c r="AY1656" s="1581"/>
      <c r="AZ1656" s="1581"/>
      <c r="BA1656" s="1581"/>
      <c r="BB1656" s="1581"/>
      <c r="BC1656" s="1581"/>
      <c r="BD1656" s="1581"/>
      <c r="BE1656" s="1581"/>
      <c r="BF1656" s="1581"/>
      <c r="BG1656" s="1581"/>
      <c r="BH1656" s="1581"/>
      <c r="BI1656" s="1581"/>
      <c r="BJ1656" s="1581"/>
      <c r="BK1656" s="1581"/>
      <c r="BL1656" s="1581"/>
      <c r="BM1656" s="1581"/>
      <c r="BN1656" s="1581"/>
      <c r="BO1656" s="1581"/>
      <c r="BP1656" s="1581"/>
      <c r="BQ1656" s="1581"/>
      <c r="BR1656" s="1581"/>
      <c r="BS1656" s="1581"/>
      <c r="BT1656" s="1581"/>
      <c r="BU1656" s="1581"/>
      <c r="BV1656" s="1581"/>
      <c r="BW1656" s="1581"/>
      <c r="BX1656" s="1581"/>
      <c r="BY1656" s="1581"/>
      <c r="BZ1656" s="1581"/>
      <c r="CA1656" s="1581"/>
      <c r="CB1656" s="1581"/>
      <c r="CC1656" s="1581"/>
      <c r="CD1656" s="1581"/>
      <c r="CE1656" s="1581"/>
      <c r="CF1656" s="1581"/>
      <c r="CG1656" s="1581"/>
      <c r="CH1656" s="1581"/>
      <c r="CI1656" s="1581"/>
      <c r="CJ1656" s="1581"/>
      <c r="CK1656" s="1581"/>
    </row>
    <row r="1657" spans="1:89" ht="17.25" customHeight="1" x14ac:dyDescent="0.25">
      <c r="A1657" s="742">
        <v>1</v>
      </c>
      <c r="B1657" s="756" t="s">
        <v>19</v>
      </c>
      <c r="C1657" s="699"/>
      <c r="D1657" s="739"/>
      <c r="E1657" s="695"/>
      <c r="F1657" s="714"/>
      <c r="G1657" s="714"/>
      <c r="H1657" s="714"/>
      <c r="I1657" s="714"/>
      <c r="J1657" s="714"/>
      <c r="K1657" s="714"/>
      <c r="L1657" s="714"/>
      <c r="M1657" s="714"/>
      <c r="N1657" s="714"/>
      <c r="O1657" s="753">
        <f>N1657+K1657+H1657</f>
        <v>0</v>
      </c>
      <c r="P1657" s="754"/>
    </row>
    <row r="1658" spans="1:89" ht="17.25" customHeight="1" x14ac:dyDescent="0.25">
      <c r="A1658" s="742"/>
      <c r="B1658" s="756" t="s">
        <v>30</v>
      </c>
      <c r="C1658" s="699">
        <v>12</v>
      </c>
      <c r="D1658" s="739" t="s">
        <v>20</v>
      </c>
      <c r="E1658" s="695">
        <v>1300</v>
      </c>
      <c r="F1658" s="714"/>
      <c r="G1658" s="714"/>
      <c r="H1658" s="714"/>
      <c r="I1658" s="714"/>
      <c r="J1658" s="714">
        <f>C1658*E1658</f>
        <v>15600</v>
      </c>
      <c r="K1658" s="714">
        <f>I1658+J1658</f>
        <v>15600</v>
      </c>
      <c r="L1658" s="714"/>
      <c r="M1658" s="714"/>
      <c r="N1658" s="714"/>
      <c r="O1658" s="753">
        <f>N1658+K1658+H1658</f>
        <v>15600</v>
      </c>
      <c r="P1658" s="754"/>
    </row>
    <row r="1659" spans="1:89" ht="17.25" customHeight="1" x14ac:dyDescent="0.25">
      <c r="A1659" s="742"/>
      <c r="B1659" s="756" t="s">
        <v>31</v>
      </c>
      <c r="C1659" s="699">
        <v>12</v>
      </c>
      <c r="D1659" s="739" t="s">
        <v>20</v>
      </c>
      <c r="E1659" s="695">
        <v>1100</v>
      </c>
      <c r="F1659" s="714"/>
      <c r="G1659" s="714"/>
      <c r="H1659" s="714"/>
      <c r="I1659" s="714"/>
      <c r="J1659" s="714">
        <f>C1659*E1659</f>
        <v>13200</v>
      </c>
      <c r="K1659" s="714">
        <f>I1659+J1659</f>
        <v>13200</v>
      </c>
      <c r="L1659" s="714"/>
      <c r="M1659" s="714"/>
      <c r="N1659" s="714"/>
      <c r="O1659" s="753">
        <f t="shared" ref="O1659:O1682" si="118">N1659+K1659+H1659</f>
        <v>13200</v>
      </c>
      <c r="P1659" s="754"/>
    </row>
    <row r="1660" spans="1:89" ht="17.25" customHeight="1" x14ac:dyDescent="0.25">
      <c r="A1660" s="742"/>
      <c r="B1660" s="756" t="s">
        <v>32</v>
      </c>
      <c r="C1660" s="699">
        <v>12</v>
      </c>
      <c r="D1660" s="739" t="s">
        <v>20</v>
      </c>
      <c r="E1660" s="695">
        <v>800</v>
      </c>
      <c r="F1660" s="714"/>
      <c r="G1660" s="714"/>
      <c r="H1660" s="714"/>
      <c r="I1660" s="714"/>
      <c r="J1660" s="714">
        <f>C1660*E1660</f>
        <v>9600</v>
      </c>
      <c r="K1660" s="714">
        <f>I1660+J1660</f>
        <v>9600</v>
      </c>
      <c r="L1660" s="714"/>
      <c r="M1660" s="714"/>
      <c r="N1660" s="714"/>
      <c r="O1660" s="753">
        <f t="shared" si="118"/>
        <v>9600</v>
      </c>
      <c r="P1660" s="754"/>
    </row>
    <row r="1661" spans="1:89" ht="17.25" customHeight="1" x14ac:dyDescent="0.25">
      <c r="A1661" s="742"/>
      <c r="B1661" s="756" t="s">
        <v>33</v>
      </c>
      <c r="C1661" s="699">
        <v>60</v>
      </c>
      <c r="D1661" s="739" t="s">
        <v>20</v>
      </c>
      <c r="E1661" s="695">
        <v>500</v>
      </c>
      <c r="F1661" s="714"/>
      <c r="G1661" s="714"/>
      <c r="H1661" s="714"/>
      <c r="I1661" s="714"/>
      <c r="J1661" s="714">
        <f>C1661*E1661</f>
        <v>30000</v>
      </c>
      <c r="K1661" s="714">
        <f>I1661+J1661</f>
        <v>30000</v>
      </c>
      <c r="L1661" s="714"/>
      <c r="M1661" s="714"/>
      <c r="N1661" s="714"/>
      <c r="O1661" s="753">
        <f t="shared" si="118"/>
        <v>30000</v>
      </c>
      <c r="P1661" s="754"/>
    </row>
    <row r="1662" spans="1:89" ht="17.25" customHeight="1" x14ac:dyDescent="0.25">
      <c r="A1662" s="742"/>
      <c r="B1662" s="756" t="s">
        <v>34</v>
      </c>
      <c r="C1662" s="699"/>
      <c r="D1662" s="739"/>
      <c r="E1662" s="695"/>
      <c r="F1662" s="714"/>
      <c r="G1662" s="714"/>
      <c r="H1662" s="714"/>
      <c r="I1662" s="714"/>
      <c r="J1662" s="714"/>
      <c r="K1662" s="714"/>
      <c r="L1662" s="714"/>
      <c r="M1662" s="714"/>
      <c r="N1662" s="714"/>
      <c r="O1662" s="753">
        <f t="shared" si="118"/>
        <v>0</v>
      </c>
      <c r="P1662" s="754"/>
    </row>
    <row r="1663" spans="1:89" ht="17.25" customHeight="1" x14ac:dyDescent="0.25">
      <c r="A1663" s="742"/>
      <c r="B1663" s="756" t="s">
        <v>35</v>
      </c>
      <c r="C1663" s="699">
        <v>12</v>
      </c>
      <c r="D1663" s="739" t="s">
        <v>20</v>
      </c>
      <c r="E1663" s="695">
        <v>400</v>
      </c>
      <c r="F1663" s="714"/>
      <c r="G1663" s="714"/>
      <c r="H1663" s="714"/>
      <c r="I1663" s="714"/>
      <c r="J1663" s="714">
        <f>C1663*E1663</f>
        <v>4800</v>
      </c>
      <c r="K1663" s="714">
        <f>I1663+J1663</f>
        <v>4800</v>
      </c>
      <c r="L1663" s="714"/>
      <c r="M1663" s="714"/>
      <c r="N1663" s="714"/>
      <c r="O1663" s="753">
        <f t="shared" si="118"/>
        <v>4800</v>
      </c>
      <c r="P1663" s="754"/>
    </row>
    <row r="1664" spans="1:89" ht="17.25" customHeight="1" x14ac:dyDescent="0.25">
      <c r="A1664" s="742"/>
      <c r="B1664" s="756" t="s">
        <v>36</v>
      </c>
      <c r="C1664" s="699">
        <v>48</v>
      </c>
      <c r="D1664" s="739" t="s">
        <v>20</v>
      </c>
      <c r="E1664" s="695">
        <v>300</v>
      </c>
      <c r="F1664" s="714"/>
      <c r="G1664" s="714"/>
      <c r="H1664" s="714"/>
      <c r="I1664" s="714"/>
      <c r="J1664" s="714">
        <f>C1664*E1664</f>
        <v>14400</v>
      </c>
      <c r="K1664" s="714">
        <f>I1664+J1664</f>
        <v>14400</v>
      </c>
      <c r="L1664" s="714"/>
      <c r="M1664" s="714"/>
      <c r="N1664" s="714"/>
      <c r="O1664" s="753">
        <f t="shared" si="118"/>
        <v>14400</v>
      </c>
      <c r="P1664" s="754"/>
    </row>
    <row r="1665" spans="1:16" ht="17.25" customHeight="1" x14ac:dyDescent="0.25">
      <c r="A1665" s="742"/>
      <c r="B1665" s="756"/>
      <c r="C1665" s="699"/>
      <c r="D1665" s="739"/>
      <c r="E1665" s="695"/>
      <c r="F1665" s="714"/>
      <c r="G1665" s="714"/>
      <c r="H1665" s="714"/>
      <c r="I1665" s="714"/>
      <c r="J1665" s="714"/>
      <c r="K1665" s="714"/>
      <c r="L1665" s="714"/>
      <c r="M1665" s="714"/>
      <c r="N1665" s="714"/>
      <c r="O1665" s="753">
        <f t="shared" si="118"/>
        <v>0</v>
      </c>
      <c r="P1665" s="754"/>
    </row>
    <row r="1666" spans="1:16" ht="17.25" customHeight="1" x14ac:dyDescent="0.25">
      <c r="A1666" s="742">
        <v>2</v>
      </c>
      <c r="B1666" s="756" t="s">
        <v>38</v>
      </c>
      <c r="C1666" s="699">
        <v>1</v>
      </c>
      <c r="D1666" s="739" t="s">
        <v>25</v>
      </c>
      <c r="E1666" s="695">
        <v>33240</v>
      </c>
      <c r="F1666" s="714"/>
      <c r="G1666" s="714"/>
      <c r="H1666" s="714"/>
      <c r="I1666" s="714"/>
      <c r="J1666" s="714">
        <f>C1666*E1666</f>
        <v>33240</v>
      </c>
      <c r="K1666" s="714">
        <f>I1666+J1666</f>
        <v>33240</v>
      </c>
      <c r="L1666" s="714"/>
      <c r="M1666" s="714"/>
      <c r="N1666" s="714"/>
      <c r="O1666" s="753">
        <f t="shared" si="118"/>
        <v>33240</v>
      </c>
      <c r="P1666" s="754"/>
    </row>
    <row r="1667" spans="1:16" ht="17.25" customHeight="1" x14ac:dyDescent="0.25">
      <c r="A1667" s="742"/>
      <c r="B1667" s="756" t="s">
        <v>39</v>
      </c>
      <c r="C1667" s="699">
        <v>1</v>
      </c>
      <c r="D1667" s="739" t="s">
        <v>25</v>
      </c>
      <c r="E1667" s="695">
        <v>4600</v>
      </c>
      <c r="F1667" s="714"/>
      <c r="G1667" s="714"/>
      <c r="H1667" s="714"/>
      <c r="I1667" s="714"/>
      <c r="J1667" s="714">
        <f>C1667*E1667</f>
        <v>4600</v>
      </c>
      <c r="K1667" s="714">
        <f>I1667+J1667</f>
        <v>4600</v>
      </c>
      <c r="L1667" s="714"/>
      <c r="M1667" s="714"/>
      <c r="N1667" s="714"/>
      <c r="O1667" s="753">
        <f t="shared" si="118"/>
        <v>4600</v>
      </c>
      <c r="P1667" s="754"/>
    </row>
    <row r="1668" spans="1:16" ht="17.25" customHeight="1" x14ac:dyDescent="0.25">
      <c r="A1668" s="742"/>
      <c r="B1668" s="756"/>
      <c r="C1668" s="699"/>
      <c r="D1668" s="739"/>
      <c r="E1668" s="695"/>
      <c r="F1668" s="714"/>
      <c r="G1668" s="714"/>
      <c r="H1668" s="714"/>
      <c r="I1668" s="714"/>
      <c r="J1668" s="714"/>
      <c r="K1668" s="714"/>
      <c r="L1668" s="714"/>
      <c r="M1668" s="714"/>
      <c r="N1668" s="714"/>
      <c r="O1668" s="753">
        <f t="shared" si="118"/>
        <v>0</v>
      </c>
      <c r="P1668" s="754"/>
    </row>
    <row r="1669" spans="1:16" ht="17.25" customHeight="1" x14ac:dyDescent="0.25">
      <c r="A1669" s="742">
        <v>3</v>
      </c>
      <c r="B1669" s="756" t="s">
        <v>27</v>
      </c>
      <c r="C1669" s="699"/>
      <c r="D1669" s="739"/>
      <c r="E1669" s="695"/>
      <c r="F1669" s="714"/>
      <c r="G1669" s="714"/>
      <c r="H1669" s="714"/>
      <c r="I1669" s="714"/>
      <c r="J1669" s="714"/>
      <c r="K1669" s="714"/>
      <c r="L1669" s="714"/>
      <c r="M1669" s="714"/>
      <c r="N1669" s="714"/>
      <c r="O1669" s="753">
        <f t="shared" si="118"/>
        <v>0</v>
      </c>
      <c r="P1669" s="754"/>
    </row>
    <row r="1670" spans="1:16" ht="17.25" customHeight="1" x14ac:dyDescent="0.25">
      <c r="A1670" s="742"/>
      <c r="B1670" s="756" t="s">
        <v>42</v>
      </c>
      <c r="C1670" s="699">
        <v>1</v>
      </c>
      <c r="D1670" s="739" t="s">
        <v>25</v>
      </c>
      <c r="E1670" s="695">
        <v>30000</v>
      </c>
      <c r="F1670" s="714"/>
      <c r="G1670" s="714"/>
      <c r="H1670" s="714"/>
      <c r="I1670" s="714"/>
      <c r="J1670" s="714">
        <f>C1670*E1670</f>
        <v>30000</v>
      </c>
      <c r="K1670" s="714">
        <f>I1670+J1670</f>
        <v>30000</v>
      </c>
      <c r="L1670" s="714"/>
      <c r="M1670" s="714"/>
      <c r="N1670" s="714"/>
      <c r="O1670" s="753">
        <f t="shared" si="118"/>
        <v>30000</v>
      </c>
      <c r="P1670" s="754"/>
    </row>
    <row r="1671" spans="1:16" ht="17.25" customHeight="1" x14ac:dyDescent="0.25">
      <c r="A1671" s="742"/>
      <c r="B1671" s="756"/>
      <c r="C1671" s="699"/>
      <c r="D1671" s="739"/>
      <c r="E1671" s="695"/>
      <c r="F1671" s="714"/>
      <c r="G1671" s="714"/>
      <c r="H1671" s="714"/>
      <c r="I1671" s="714"/>
      <c r="J1671" s="714"/>
      <c r="K1671" s="714"/>
      <c r="L1671" s="714"/>
      <c r="M1671" s="714"/>
      <c r="N1671" s="714"/>
      <c r="O1671" s="753">
        <f t="shared" si="118"/>
        <v>0</v>
      </c>
      <c r="P1671" s="754"/>
    </row>
    <row r="1672" spans="1:16" ht="17.25" customHeight="1" x14ac:dyDescent="0.25">
      <c r="A1672" s="742">
        <v>4</v>
      </c>
      <c r="B1672" s="756" t="s">
        <v>40</v>
      </c>
      <c r="C1672" s="699"/>
      <c r="D1672" s="739"/>
      <c r="E1672" s="695"/>
      <c r="F1672" s="714"/>
      <c r="G1672" s="714"/>
      <c r="H1672" s="714"/>
      <c r="I1672" s="714"/>
      <c r="J1672" s="714"/>
      <c r="K1672" s="714"/>
      <c r="L1672" s="714"/>
      <c r="M1672" s="714"/>
      <c r="N1672" s="714"/>
      <c r="O1672" s="753">
        <f t="shared" si="118"/>
        <v>0</v>
      </c>
      <c r="P1672" s="754"/>
    </row>
    <row r="1673" spans="1:16" ht="17.25" customHeight="1" x14ac:dyDescent="0.25">
      <c r="A1673" s="742"/>
      <c r="B1673" s="756" t="s">
        <v>41</v>
      </c>
      <c r="C1673" s="699">
        <v>1</v>
      </c>
      <c r="D1673" s="727" t="s">
        <v>25</v>
      </c>
      <c r="E1673" s="695">
        <v>45000</v>
      </c>
      <c r="F1673" s="714"/>
      <c r="G1673" s="714"/>
      <c r="H1673" s="714"/>
      <c r="I1673" s="714"/>
      <c r="J1673" s="714">
        <f>C1673*E1673</f>
        <v>45000</v>
      </c>
      <c r="K1673" s="714">
        <f>I1673+J1673</f>
        <v>45000</v>
      </c>
      <c r="L1673" s="714"/>
      <c r="M1673" s="714"/>
      <c r="N1673" s="714"/>
      <c r="O1673" s="753">
        <f t="shared" si="118"/>
        <v>45000</v>
      </c>
      <c r="P1673" s="754"/>
    </row>
    <row r="1674" spans="1:16" ht="17.25" customHeight="1" x14ac:dyDescent="0.25">
      <c r="A1674" s="742"/>
      <c r="B1674" s="756"/>
      <c r="C1674" s="699"/>
      <c r="D1674" s="727"/>
      <c r="E1674" s="695"/>
      <c r="F1674" s="714"/>
      <c r="G1674" s="714"/>
      <c r="H1674" s="714"/>
      <c r="I1674" s="714"/>
      <c r="J1674" s="714"/>
      <c r="K1674" s="714"/>
      <c r="L1674" s="714"/>
      <c r="M1674" s="714"/>
      <c r="N1674" s="714"/>
      <c r="O1674" s="753">
        <f t="shared" si="118"/>
        <v>0</v>
      </c>
      <c r="P1674" s="754"/>
    </row>
    <row r="1675" spans="1:16" ht="17.25" customHeight="1" x14ac:dyDescent="0.25">
      <c r="A1675" s="742">
        <v>5</v>
      </c>
      <c r="B1675" s="756" t="s">
        <v>43</v>
      </c>
      <c r="C1675" s="699"/>
      <c r="D1675" s="727"/>
      <c r="E1675" s="695"/>
      <c r="F1675" s="714"/>
      <c r="G1675" s="714"/>
      <c r="H1675" s="714"/>
      <c r="I1675" s="714"/>
      <c r="J1675" s="714"/>
      <c r="K1675" s="714"/>
      <c r="L1675" s="714"/>
      <c r="M1675" s="714"/>
      <c r="N1675" s="714"/>
      <c r="O1675" s="753">
        <f t="shared" si="118"/>
        <v>0</v>
      </c>
      <c r="P1675" s="754"/>
    </row>
    <row r="1676" spans="1:16" ht="17.25" customHeight="1" x14ac:dyDescent="0.25">
      <c r="A1676" s="742"/>
      <c r="B1676" s="756" t="s">
        <v>44</v>
      </c>
      <c r="C1676" s="713">
        <v>8</v>
      </c>
      <c r="D1676" s="727" t="s">
        <v>45</v>
      </c>
      <c r="E1676" s="695">
        <v>6000</v>
      </c>
      <c r="F1676" s="714"/>
      <c r="G1676" s="714"/>
      <c r="H1676" s="714"/>
      <c r="I1676" s="714"/>
      <c r="J1676" s="714">
        <f>C1676*E1676</f>
        <v>48000</v>
      </c>
      <c r="K1676" s="714">
        <f>I1676+J1676</f>
        <v>48000</v>
      </c>
      <c r="L1676" s="714"/>
      <c r="M1676" s="714"/>
      <c r="N1676" s="714"/>
      <c r="O1676" s="753">
        <f t="shared" si="118"/>
        <v>48000</v>
      </c>
      <c r="P1676" s="754"/>
    </row>
    <row r="1677" spans="1:16" ht="17.25" customHeight="1" x14ac:dyDescent="0.25">
      <c r="A1677" s="742"/>
      <c r="B1677" s="756"/>
      <c r="C1677" s="713"/>
      <c r="D1677" s="727"/>
      <c r="E1677" s="695"/>
      <c r="F1677" s="714"/>
      <c r="G1677" s="714"/>
      <c r="H1677" s="714"/>
      <c r="I1677" s="714"/>
      <c r="J1677" s="714"/>
      <c r="K1677" s="714"/>
      <c r="L1677" s="714"/>
      <c r="M1677" s="714"/>
      <c r="N1677" s="714"/>
      <c r="O1677" s="753">
        <f t="shared" si="118"/>
        <v>0</v>
      </c>
      <c r="P1677" s="754"/>
    </row>
    <row r="1678" spans="1:16" ht="17.25" customHeight="1" x14ac:dyDescent="0.25">
      <c r="A1678" s="742">
        <v>6</v>
      </c>
      <c r="B1678" s="756" t="s">
        <v>48</v>
      </c>
      <c r="C1678" s="713"/>
      <c r="D1678" s="727"/>
      <c r="E1678" s="695" t="s">
        <v>49</v>
      </c>
      <c r="F1678" s="714"/>
      <c r="G1678" s="714"/>
      <c r="H1678" s="714"/>
      <c r="I1678" s="714"/>
      <c r="J1678" s="714"/>
      <c r="K1678" s="714">
        <f>J1678+I1678</f>
        <v>0</v>
      </c>
      <c r="L1678" s="714"/>
      <c r="M1678" s="714"/>
      <c r="N1678" s="714"/>
      <c r="O1678" s="753">
        <f t="shared" si="118"/>
        <v>0</v>
      </c>
      <c r="P1678" s="754"/>
    </row>
    <row r="1679" spans="1:16" ht="17.25" customHeight="1" x14ac:dyDescent="0.25">
      <c r="A1679" s="742"/>
      <c r="B1679" s="756" t="s">
        <v>50</v>
      </c>
      <c r="C1679" s="713">
        <v>40</v>
      </c>
      <c r="D1679" s="739" t="s">
        <v>51</v>
      </c>
      <c r="E1679" s="714">
        <v>3500</v>
      </c>
      <c r="F1679" s="714"/>
      <c r="G1679" s="714"/>
      <c r="H1679" s="714"/>
      <c r="I1679" s="714"/>
      <c r="J1679" s="714">
        <f t="shared" ref="J1679:J1684" si="119">C1679*E1679</f>
        <v>140000</v>
      </c>
      <c r="K1679" s="714">
        <f t="shared" ref="K1679:K1684" si="120">I1679+J1679</f>
        <v>140000</v>
      </c>
      <c r="L1679" s="714"/>
      <c r="M1679" s="714"/>
      <c r="N1679" s="714"/>
      <c r="O1679" s="753">
        <f t="shared" si="118"/>
        <v>140000</v>
      </c>
      <c r="P1679" s="754"/>
    </row>
    <row r="1680" spans="1:16" ht="17.25" customHeight="1" x14ac:dyDescent="0.25">
      <c r="A1680" s="742"/>
      <c r="B1680" s="756" t="s">
        <v>52</v>
      </c>
      <c r="C1680" s="713">
        <v>120</v>
      </c>
      <c r="D1680" s="739" t="s">
        <v>53</v>
      </c>
      <c r="E1680" s="714">
        <v>500</v>
      </c>
      <c r="F1680" s="714"/>
      <c r="G1680" s="714"/>
      <c r="H1680" s="714"/>
      <c r="I1680" s="714"/>
      <c r="J1680" s="714">
        <f t="shared" si="119"/>
        <v>60000</v>
      </c>
      <c r="K1680" s="714">
        <f t="shared" si="120"/>
        <v>60000</v>
      </c>
      <c r="L1680" s="714"/>
      <c r="M1680" s="714"/>
      <c r="N1680" s="714"/>
      <c r="O1680" s="753">
        <f t="shared" si="118"/>
        <v>60000</v>
      </c>
      <c r="P1680" s="754"/>
    </row>
    <row r="1681" spans="1:89" ht="17.25" customHeight="1" x14ac:dyDescent="0.25">
      <c r="A1681" s="742"/>
      <c r="B1681" s="756" t="s">
        <v>54</v>
      </c>
      <c r="C1681" s="713">
        <v>80</v>
      </c>
      <c r="D1681" s="739" t="s">
        <v>55</v>
      </c>
      <c r="E1681" s="714">
        <v>450</v>
      </c>
      <c r="F1681" s="714"/>
      <c r="G1681" s="714"/>
      <c r="H1681" s="714"/>
      <c r="I1681" s="714"/>
      <c r="J1681" s="714">
        <f t="shared" si="119"/>
        <v>36000</v>
      </c>
      <c r="K1681" s="714">
        <f t="shared" si="120"/>
        <v>36000</v>
      </c>
      <c r="L1681" s="714"/>
      <c r="M1681" s="714"/>
      <c r="N1681" s="714"/>
      <c r="O1681" s="753">
        <f t="shared" si="118"/>
        <v>36000</v>
      </c>
      <c r="P1681" s="754"/>
    </row>
    <row r="1682" spans="1:89" ht="17.25" customHeight="1" x14ac:dyDescent="0.25">
      <c r="A1682" s="742"/>
      <c r="B1682" s="756" t="s">
        <v>56</v>
      </c>
      <c r="C1682" s="713">
        <v>50</v>
      </c>
      <c r="D1682" s="739" t="s">
        <v>55</v>
      </c>
      <c r="E1682" s="714">
        <v>900</v>
      </c>
      <c r="F1682" s="714"/>
      <c r="G1682" s="714"/>
      <c r="H1682" s="714"/>
      <c r="I1682" s="714"/>
      <c r="J1682" s="714">
        <f t="shared" si="119"/>
        <v>45000</v>
      </c>
      <c r="K1682" s="714">
        <f t="shared" si="120"/>
        <v>45000</v>
      </c>
      <c r="L1682" s="714"/>
      <c r="M1682" s="714"/>
      <c r="N1682" s="714"/>
      <c r="O1682" s="753">
        <f t="shared" si="118"/>
        <v>45000</v>
      </c>
      <c r="P1682" s="754"/>
    </row>
    <row r="1683" spans="1:89" ht="17.25" customHeight="1" x14ac:dyDescent="0.25">
      <c r="A1683" s="692"/>
      <c r="B1683" s="1371"/>
      <c r="C1683" s="693"/>
      <c r="D1683" s="727"/>
      <c r="E1683" s="695"/>
      <c r="F1683" s="695"/>
      <c r="G1683" s="695"/>
      <c r="H1683" s="695"/>
      <c r="I1683" s="695"/>
      <c r="J1683" s="695">
        <f t="shared" si="119"/>
        <v>0</v>
      </c>
      <c r="K1683" s="695">
        <f t="shared" si="120"/>
        <v>0</v>
      </c>
      <c r="L1683" s="695"/>
      <c r="M1683" s="695"/>
      <c r="N1683" s="695"/>
      <c r="O1683" s="696">
        <f>N1683+K1683+H1683</f>
        <v>0</v>
      </c>
      <c r="P1683" s="687"/>
    </row>
    <row r="1684" spans="1:89" ht="17.25" customHeight="1" x14ac:dyDescent="0.25">
      <c r="A1684" s="692">
        <v>7</v>
      </c>
      <c r="B1684" s="1371" t="s">
        <v>57</v>
      </c>
      <c r="C1684" s="693"/>
      <c r="D1684" s="727"/>
      <c r="E1684" s="695"/>
      <c r="F1684" s="695"/>
      <c r="G1684" s="695"/>
      <c r="H1684" s="695"/>
      <c r="I1684" s="695"/>
      <c r="J1684" s="695">
        <f t="shared" si="119"/>
        <v>0</v>
      </c>
      <c r="K1684" s="695">
        <f t="shared" si="120"/>
        <v>0</v>
      </c>
      <c r="L1684" s="695"/>
      <c r="M1684" s="695"/>
      <c r="N1684" s="695"/>
      <c r="O1684" s="696">
        <f>N1684+K1684+H1684</f>
        <v>0</v>
      </c>
      <c r="P1684" s="687"/>
    </row>
    <row r="1685" spans="1:89" ht="17.25" customHeight="1" x14ac:dyDescent="0.25">
      <c r="A1685" s="692"/>
      <c r="B1685" s="1371" t="s">
        <v>168</v>
      </c>
      <c r="C1685" s="693">
        <v>1</v>
      </c>
      <c r="D1685" s="727" t="s">
        <v>16</v>
      </c>
      <c r="E1685" s="695">
        <v>15000</v>
      </c>
      <c r="F1685" s="695"/>
      <c r="G1685" s="695"/>
      <c r="H1685" s="695"/>
      <c r="I1685" s="695"/>
      <c r="J1685" s="695"/>
      <c r="K1685" s="695"/>
      <c r="L1685" s="695">
        <f>E1685*C1685</f>
        <v>15000</v>
      </c>
      <c r="M1685" s="695"/>
      <c r="N1685" s="695">
        <f>M1685+L1685</f>
        <v>15000</v>
      </c>
      <c r="O1685" s="696">
        <f>N1685+K1685+H1685</f>
        <v>15000</v>
      </c>
      <c r="P1685" s="687"/>
    </row>
    <row r="1686" spans="1:89" ht="17.25" customHeight="1" x14ac:dyDescent="0.25">
      <c r="A1686" s="820"/>
      <c r="B1686" s="894"/>
      <c r="C1686" s="830"/>
      <c r="D1686" s="831"/>
      <c r="E1686" s="821"/>
      <c r="F1686" s="821"/>
      <c r="G1686" s="821"/>
      <c r="H1686" s="821"/>
      <c r="I1686" s="821"/>
      <c r="J1686" s="821"/>
      <c r="K1686" s="821"/>
      <c r="L1686" s="821"/>
      <c r="M1686" s="821"/>
      <c r="N1686" s="821"/>
      <c r="O1686" s="822"/>
      <c r="P1686" s="687"/>
    </row>
    <row r="1687" spans="1:89" ht="22.5" customHeight="1" x14ac:dyDescent="0.25">
      <c r="A1687" s="1352">
        <v>30</v>
      </c>
      <c r="B1687" s="1367" t="s">
        <v>173</v>
      </c>
      <c r="C1687" s="1212"/>
      <c r="D1687" s="1213"/>
      <c r="E1687" s="1214"/>
      <c r="F1687" s="1290">
        <f>F1689+F1700+F1718+F1697</f>
        <v>0</v>
      </c>
      <c r="G1687" s="1290">
        <f>G1689+G1700+G1718+G1697</f>
        <v>0</v>
      </c>
      <c r="H1687" s="1214">
        <f>G1687+F1687</f>
        <v>0</v>
      </c>
      <c r="I1687" s="1290">
        <f>I1689+I1700+I1718+I1697</f>
        <v>0</v>
      </c>
      <c r="J1687" s="1290">
        <f>J1689+J1700+J1718+J1697</f>
        <v>12536000</v>
      </c>
      <c r="K1687" s="1214">
        <f>J1687+I1687</f>
        <v>12536000</v>
      </c>
      <c r="L1687" s="1290">
        <f>L1689+L1700+L1718+L1697</f>
        <v>7025000</v>
      </c>
      <c r="M1687" s="1290">
        <f>M1689+M1700+M1718+M1697</f>
        <v>0</v>
      </c>
      <c r="N1687" s="1214">
        <f>M1687+L1687</f>
        <v>7025000</v>
      </c>
      <c r="O1687" s="1215">
        <f t="shared" ref="O1687:O1692" si="121">N1687+K1687+H1687</f>
        <v>19561000</v>
      </c>
      <c r="P1687" s="680"/>
    </row>
    <row r="1688" spans="1:89" ht="17.25" customHeight="1" x14ac:dyDescent="0.25">
      <c r="A1688" s="730"/>
      <c r="B1688" s="873"/>
      <c r="C1688" s="682"/>
      <c r="D1688" s="683"/>
      <c r="E1688" s="685"/>
      <c r="F1688" s="685"/>
      <c r="G1688" s="685"/>
      <c r="H1688" s="685"/>
      <c r="I1688" s="685"/>
      <c r="J1688" s="685"/>
      <c r="K1688" s="685"/>
      <c r="L1688" s="685"/>
      <c r="M1688" s="685"/>
      <c r="N1688" s="685"/>
      <c r="O1688" s="686">
        <f t="shared" si="121"/>
        <v>0</v>
      </c>
      <c r="P1688" s="687"/>
    </row>
    <row r="1689" spans="1:89" s="672" customFormat="1" ht="42" customHeight="1" x14ac:dyDescent="0.25">
      <c r="A1689" s="737" t="s">
        <v>15</v>
      </c>
      <c r="B1689" s="1372" t="s">
        <v>1156</v>
      </c>
      <c r="C1689" s="828"/>
      <c r="D1689" s="738"/>
      <c r="E1689" s="705"/>
      <c r="F1689" s="874">
        <f>SUM(F1690:F1696)</f>
        <v>0</v>
      </c>
      <c r="G1689" s="874">
        <f>SUM(G1690:G1696)</f>
        <v>0</v>
      </c>
      <c r="H1689" s="705">
        <f>G1689+F1689</f>
        <v>0</v>
      </c>
      <c r="I1689" s="874">
        <f>SUM(I1690:I1696)</f>
        <v>0</v>
      </c>
      <c r="J1689" s="874">
        <f>SUM(J1690:J1696)</f>
        <v>0</v>
      </c>
      <c r="K1689" s="705">
        <f>J1689+I1689</f>
        <v>0</v>
      </c>
      <c r="L1689" s="874">
        <f>SUM(L1690:L1696)</f>
        <v>7000000</v>
      </c>
      <c r="M1689" s="874">
        <f>SUM(M1690:M1696)</f>
        <v>0</v>
      </c>
      <c r="N1689" s="705">
        <f>M1689+L1689</f>
        <v>7000000</v>
      </c>
      <c r="O1689" s="1370">
        <f t="shared" si="121"/>
        <v>7000000</v>
      </c>
      <c r="P1689" s="829"/>
      <c r="Q1689" s="1581"/>
      <c r="R1689" s="1581"/>
      <c r="S1689" s="1581"/>
      <c r="T1689" s="1581"/>
      <c r="U1689" s="1581"/>
      <c r="V1689" s="1581"/>
      <c r="W1689" s="1581"/>
      <c r="X1689" s="1581"/>
      <c r="Y1689" s="1581"/>
      <c r="Z1689" s="1581"/>
      <c r="AA1689" s="1581"/>
      <c r="AB1689" s="1581"/>
      <c r="AC1689" s="1581"/>
      <c r="AD1689" s="1581"/>
      <c r="AE1689" s="1581"/>
      <c r="AF1689" s="1581"/>
      <c r="AG1689" s="1581"/>
      <c r="AH1689" s="1581"/>
      <c r="AI1689" s="1581"/>
      <c r="AJ1689" s="1581"/>
      <c r="AK1689" s="1581"/>
      <c r="AL1689" s="1581"/>
      <c r="AM1689" s="1581"/>
      <c r="AN1689" s="1581"/>
      <c r="AO1689" s="1581"/>
      <c r="AP1689" s="1581"/>
      <c r="AQ1689" s="1581"/>
      <c r="AR1689" s="1581"/>
      <c r="AS1689" s="1581"/>
      <c r="AT1689" s="1581"/>
      <c r="AU1689" s="1581"/>
      <c r="AV1689" s="1581"/>
      <c r="AW1689" s="1581"/>
      <c r="AX1689" s="1581"/>
      <c r="AY1689" s="1581"/>
      <c r="AZ1689" s="1581"/>
      <c r="BA1689" s="1581"/>
      <c r="BB1689" s="1581"/>
      <c r="BC1689" s="1581"/>
      <c r="BD1689" s="1581"/>
      <c r="BE1689" s="1581"/>
      <c r="BF1689" s="1581"/>
      <c r="BG1689" s="1581"/>
      <c r="BH1689" s="1581"/>
      <c r="BI1689" s="1581"/>
      <c r="BJ1689" s="1581"/>
      <c r="BK1689" s="1581"/>
      <c r="BL1689" s="1581"/>
      <c r="BM1689" s="1581"/>
      <c r="BN1689" s="1581"/>
      <c r="BO1689" s="1581"/>
      <c r="BP1689" s="1581"/>
      <c r="BQ1689" s="1581"/>
      <c r="BR1689" s="1581"/>
      <c r="BS1689" s="1581"/>
      <c r="BT1689" s="1581"/>
      <c r="BU1689" s="1581"/>
      <c r="BV1689" s="1581"/>
      <c r="BW1689" s="1581"/>
      <c r="BX1689" s="1581"/>
      <c r="BY1689" s="1581"/>
      <c r="BZ1689" s="1581"/>
      <c r="CA1689" s="1581"/>
      <c r="CB1689" s="1581"/>
      <c r="CC1689" s="1581"/>
      <c r="CD1689" s="1581"/>
      <c r="CE1689" s="1581"/>
      <c r="CF1689" s="1581"/>
      <c r="CG1689" s="1581"/>
      <c r="CH1689" s="1581"/>
      <c r="CI1689" s="1581"/>
      <c r="CJ1689" s="1581"/>
      <c r="CK1689" s="1581"/>
    </row>
    <row r="1690" spans="1:89" ht="17.25" customHeight="1" x14ac:dyDescent="0.25">
      <c r="A1690" s="692">
        <v>1</v>
      </c>
      <c r="B1690" s="711" t="s">
        <v>705</v>
      </c>
      <c r="C1690" s="713">
        <v>1</v>
      </c>
      <c r="D1690" s="727" t="s">
        <v>16</v>
      </c>
      <c r="E1690" s="695">
        <v>900000</v>
      </c>
      <c r="F1690" s="695"/>
      <c r="G1690" s="695"/>
      <c r="H1690" s="695"/>
      <c r="I1690" s="695"/>
      <c r="J1690" s="695"/>
      <c r="K1690" s="695"/>
      <c r="L1690" s="695">
        <f>E1690*C1690</f>
        <v>900000</v>
      </c>
      <c r="M1690" s="695"/>
      <c r="N1690" s="695">
        <f>L1690+M1690</f>
        <v>900000</v>
      </c>
      <c r="O1690" s="696">
        <f t="shared" si="121"/>
        <v>900000</v>
      </c>
      <c r="P1690" s="687"/>
    </row>
    <row r="1691" spans="1:89" ht="30" x14ac:dyDescent="0.25">
      <c r="A1691" s="692">
        <v>2</v>
      </c>
      <c r="B1691" s="674" t="s">
        <v>706</v>
      </c>
      <c r="C1691" s="713">
        <v>1</v>
      </c>
      <c r="D1691" s="727" t="s">
        <v>16</v>
      </c>
      <c r="E1691" s="695">
        <f>2700000</f>
        <v>2700000</v>
      </c>
      <c r="F1691" s="695"/>
      <c r="G1691" s="695"/>
      <c r="H1691" s="695"/>
      <c r="I1691" s="695"/>
      <c r="J1691" s="695"/>
      <c r="K1691" s="695"/>
      <c r="L1691" s="695">
        <f>E1691*C1691</f>
        <v>2700000</v>
      </c>
      <c r="M1691" s="695"/>
      <c r="N1691" s="695">
        <f>L1691+M1691</f>
        <v>2700000</v>
      </c>
      <c r="O1691" s="696">
        <f t="shared" si="121"/>
        <v>2700000</v>
      </c>
      <c r="P1691" s="687"/>
    </row>
    <row r="1692" spans="1:89" ht="30" x14ac:dyDescent="0.25">
      <c r="A1692" s="692">
        <v>3</v>
      </c>
      <c r="B1692" s="674" t="s">
        <v>707</v>
      </c>
      <c r="C1692" s="713">
        <v>1</v>
      </c>
      <c r="D1692" s="727" t="s">
        <v>16</v>
      </c>
      <c r="E1692" s="695">
        <f>2400000</f>
        <v>2400000</v>
      </c>
      <c r="F1692" s="695"/>
      <c r="G1692" s="695"/>
      <c r="H1692" s="695"/>
      <c r="I1692" s="695"/>
      <c r="J1692" s="695"/>
      <c r="K1692" s="695"/>
      <c r="L1692" s="695">
        <f>E1692*C1692</f>
        <v>2400000</v>
      </c>
      <c r="M1692" s="695"/>
      <c r="N1692" s="695">
        <f>L1692+M1692</f>
        <v>2400000</v>
      </c>
      <c r="O1692" s="696">
        <f t="shared" si="121"/>
        <v>2400000</v>
      </c>
      <c r="P1692" s="687"/>
    </row>
    <row r="1693" spans="1:89" ht="15" x14ac:dyDescent="0.25">
      <c r="A1693" s="692"/>
      <c r="B1693" s="674"/>
      <c r="C1693" s="713"/>
      <c r="D1693" s="727"/>
      <c r="E1693" s="695"/>
      <c r="F1693" s="695"/>
      <c r="G1693" s="695"/>
      <c r="H1693" s="695"/>
      <c r="I1693" s="695"/>
      <c r="J1693" s="695"/>
      <c r="K1693" s="695"/>
      <c r="L1693" s="695"/>
      <c r="M1693" s="695"/>
      <c r="N1693" s="695"/>
      <c r="O1693" s="696"/>
      <c r="P1693" s="687"/>
    </row>
    <row r="1694" spans="1:89" ht="15" x14ac:dyDescent="0.25">
      <c r="A1694" s="692"/>
      <c r="B1694" s="711" t="s">
        <v>1687</v>
      </c>
      <c r="C1694" s="713"/>
      <c r="D1694" s="727"/>
      <c r="E1694" s="695"/>
      <c r="F1694" s="695"/>
      <c r="G1694" s="695"/>
      <c r="H1694" s="695"/>
      <c r="I1694" s="695"/>
      <c r="J1694" s="695"/>
      <c r="K1694" s="695"/>
      <c r="L1694" s="695"/>
      <c r="M1694" s="695"/>
      <c r="N1694" s="695"/>
      <c r="O1694" s="696"/>
      <c r="P1694" s="687"/>
    </row>
    <row r="1695" spans="1:89" ht="17.25" customHeight="1" x14ac:dyDescent="0.25">
      <c r="A1695" s="692"/>
      <c r="B1695" s="679" t="s">
        <v>1688</v>
      </c>
      <c r="C1695" s="713">
        <v>1</v>
      </c>
      <c r="D1695" s="727" t="s">
        <v>16</v>
      </c>
      <c r="E1695" s="695">
        <v>1000000</v>
      </c>
      <c r="F1695" s="695"/>
      <c r="G1695" s="695"/>
      <c r="H1695" s="695"/>
      <c r="I1695" s="695"/>
      <c r="J1695" s="695"/>
      <c r="K1695" s="695"/>
      <c r="L1695" s="695">
        <f>E1695*C1695</f>
        <v>1000000</v>
      </c>
      <c r="M1695" s="695"/>
      <c r="N1695" s="695">
        <f>L1695+M1695</f>
        <v>1000000</v>
      </c>
      <c r="O1695" s="696">
        <f>N1695+K1695+H1695</f>
        <v>1000000</v>
      </c>
      <c r="P1695" s="687"/>
    </row>
    <row r="1696" spans="1:89" ht="15" x14ac:dyDescent="0.25">
      <c r="A1696" s="692"/>
      <c r="B1696" s="674"/>
      <c r="C1696" s="713"/>
      <c r="D1696" s="727"/>
      <c r="E1696" s="695"/>
      <c r="F1696" s="695"/>
      <c r="G1696" s="695"/>
      <c r="H1696" s="695"/>
      <c r="I1696" s="695"/>
      <c r="J1696" s="695"/>
      <c r="K1696" s="695"/>
      <c r="L1696" s="695"/>
      <c r="M1696" s="695"/>
      <c r="N1696" s="695"/>
      <c r="O1696" s="696"/>
      <c r="P1696" s="687"/>
    </row>
    <row r="1697" spans="1:89" s="672" customFormat="1" ht="17.25" customHeight="1" x14ac:dyDescent="0.25">
      <c r="A1697" s="1210" t="s">
        <v>89</v>
      </c>
      <c r="B1697" s="1262" t="s">
        <v>1736</v>
      </c>
      <c r="C1697" s="1212"/>
      <c r="D1697" s="1213"/>
      <c r="E1697" s="1290"/>
      <c r="F1697" s="1214">
        <f>F1698</f>
        <v>0</v>
      </c>
      <c r="G1697" s="1214">
        <f>SUM(G1698:G1698)</f>
        <v>0</v>
      </c>
      <c r="H1697" s="1214">
        <f>G1697+F1697</f>
        <v>0</v>
      </c>
      <c r="I1697" s="1214">
        <f>SUM(I1698:I1698)</f>
        <v>0</v>
      </c>
      <c r="J1697" s="1214">
        <f>SUM(J1698:J1698)</f>
        <v>5000000</v>
      </c>
      <c r="K1697" s="1214">
        <f>J1697+I1697</f>
        <v>5000000</v>
      </c>
      <c r="L1697" s="1214">
        <f>SUM(L1698:L1698)</f>
        <v>0</v>
      </c>
      <c r="M1697" s="1214">
        <f>SUM(M1698:M1698)</f>
        <v>0</v>
      </c>
      <c r="N1697" s="1214">
        <f>M1697+L1697</f>
        <v>0</v>
      </c>
      <c r="O1697" s="1215">
        <f>N1697+K1697+H1697</f>
        <v>5000000</v>
      </c>
      <c r="P1697" s="680"/>
      <c r="Q1697" s="1581"/>
      <c r="R1697" s="1581"/>
      <c r="S1697" s="1581"/>
      <c r="T1697" s="1581"/>
      <c r="U1697" s="1581"/>
      <c r="V1697" s="1581"/>
      <c r="W1697" s="1581"/>
      <c r="X1697" s="1581"/>
      <c r="Y1697" s="1581"/>
      <c r="Z1697" s="1581"/>
      <c r="AA1697" s="1581"/>
      <c r="AB1697" s="1581"/>
      <c r="AC1697" s="1581"/>
      <c r="AD1697" s="1581"/>
      <c r="AE1697" s="1581"/>
      <c r="AF1697" s="1581"/>
      <c r="AG1697" s="1581"/>
      <c r="AH1697" s="1581"/>
      <c r="AI1697" s="1581"/>
      <c r="AJ1697" s="1581"/>
      <c r="AK1697" s="1581"/>
      <c r="AL1697" s="1581"/>
      <c r="AM1697" s="1581"/>
      <c r="AN1697" s="1581"/>
      <c r="AO1697" s="1581"/>
      <c r="AP1697" s="1581"/>
      <c r="AQ1697" s="1581"/>
      <c r="AR1697" s="1581"/>
      <c r="AS1697" s="1581"/>
      <c r="AT1697" s="1581"/>
      <c r="AU1697" s="1581"/>
      <c r="AV1697" s="1581"/>
      <c r="AW1697" s="1581"/>
      <c r="AX1697" s="1581"/>
      <c r="AY1697" s="1581"/>
      <c r="AZ1697" s="1581"/>
      <c r="BA1697" s="1581"/>
      <c r="BB1697" s="1581"/>
      <c r="BC1697" s="1581"/>
      <c r="BD1697" s="1581"/>
      <c r="BE1697" s="1581"/>
      <c r="BF1697" s="1581"/>
      <c r="BG1697" s="1581"/>
      <c r="BH1697" s="1581"/>
      <c r="BI1697" s="1581"/>
      <c r="BJ1697" s="1581"/>
      <c r="BK1697" s="1581"/>
      <c r="BL1697" s="1581"/>
      <c r="BM1697" s="1581"/>
      <c r="BN1697" s="1581"/>
      <c r="BO1697" s="1581"/>
      <c r="BP1697" s="1581"/>
      <c r="BQ1697" s="1581"/>
      <c r="BR1697" s="1581"/>
      <c r="BS1697" s="1581"/>
      <c r="BT1697" s="1581"/>
      <c r="BU1697" s="1581"/>
      <c r="BV1697" s="1581"/>
      <c r="BW1697" s="1581"/>
      <c r="BX1697" s="1581"/>
      <c r="BY1697" s="1581"/>
      <c r="BZ1697" s="1581"/>
      <c r="CA1697" s="1581"/>
      <c r="CB1697" s="1581"/>
      <c r="CC1697" s="1581"/>
      <c r="CD1697" s="1581"/>
      <c r="CE1697" s="1581"/>
      <c r="CF1697" s="1581"/>
      <c r="CG1697" s="1581"/>
      <c r="CH1697" s="1581"/>
      <c r="CI1697" s="1581"/>
      <c r="CJ1697" s="1581"/>
      <c r="CK1697" s="1581"/>
    </row>
    <row r="1698" spans="1:89" ht="17.25" customHeight="1" x14ac:dyDescent="0.25">
      <c r="A1698" s="681">
        <v>1</v>
      </c>
      <c r="B1698" s="1291" t="s">
        <v>2287</v>
      </c>
      <c r="C1698" s="682">
        <v>1</v>
      </c>
      <c r="D1698" s="683" t="s">
        <v>16</v>
      </c>
      <c r="E1698" s="684">
        <v>5000000</v>
      </c>
      <c r="F1698" s="685"/>
      <c r="G1698" s="685"/>
      <c r="H1698" s="685"/>
      <c r="I1698" s="685"/>
      <c r="J1698" s="685">
        <f>C1698*E1698</f>
        <v>5000000</v>
      </c>
      <c r="K1698" s="685">
        <f>I1698+J1698</f>
        <v>5000000</v>
      </c>
      <c r="L1698" s="685"/>
      <c r="M1698" s="685"/>
      <c r="N1698" s="685"/>
      <c r="O1698" s="686">
        <f>N1698+K1698+H1698</f>
        <v>5000000</v>
      </c>
      <c r="P1698" s="687"/>
    </row>
    <row r="1699" spans="1:89" ht="15" x14ac:dyDescent="0.25">
      <c r="A1699" s="692"/>
      <c r="B1699" s="674"/>
      <c r="C1699" s="713"/>
      <c r="D1699" s="727"/>
      <c r="E1699" s="695"/>
      <c r="F1699" s="695"/>
      <c r="G1699" s="695"/>
      <c r="H1699" s="695"/>
      <c r="I1699" s="695"/>
      <c r="J1699" s="695"/>
      <c r="K1699" s="695"/>
      <c r="L1699" s="695"/>
      <c r="M1699" s="695"/>
      <c r="N1699" s="695"/>
      <c r="O1699" s="696"/>
      <c r="P1699" s="687"/>
    </row>
    <row r="1700" spans="1:89" s="672" customFormat="1" ht="17.25" customHeight="1" x14ac:dyDescent="0.25">
      <c r="A1700" s="740" t="s">
        <v>22</v>
      </c>
      <c r="B1700" s="759" t="s">
        <v>23</v>
      </c>
      <c r="C1700" s="886"/>
      <c r="D1700" s="1369"/>
      <c r="E1700" s="705"/>
      <c r="F1700" s="705">
        <f>SUM(F1701:F1715)</f>
        <v>0</v>
      </c>
      <c r="G1700" s="705">
        <f>SUM(G1701:G1715)</f>
        <v>0</v>
      </c>
      <c r="H1700" s="705">
        <f>F1700+G1700</f>
        <v>0</v>
      </c>
      <c r="I1700" s="705">
        <f>SUM(I1701:I1715)</f>
        <v>0</v>
      </c>
      <c r="J1700" s="705">
        <f>SUM(J1701:J1715)</f>
        <v>6913600</v>
      </c>
      <c r="K1700" s="705">
        <f>I1700+J1700</f>
        <v>6913600</v>
      </c>
      <c r="L1700" s="705">
        <f>SUM(L1701:L1715)</f>
        <v>0</v>
      </c>
      <c r="M1700" s="705">
        <f>SUM(M1701:M1715)</f>
        <v>0</v>
      </c>
      <c r="N1700" s="705">
        <f>L1700+M1700</f>
        <v>0</v>
      </c>
      <c r="O1700" s="1370">
        <f>N1700+K1700+H1700</f>
        <v>6913600</v>
      </c>
      <c r="P1700" s="829"/>
      <c r="Q1700" s="1581"/>
      <c r="R1700" s="1581"/>
      <c r="S1700" s="1581"/>
      <c r="T1700" s="1581"/>
      <c r="U1700" s="1581"/>
      <c r="V1700" s="1581"/>
      <c r="W1700" s="1581"/>
      <c r="X1700" s="1581"/>
      <c r="Y1700" s="1581"/>
      <c r="Z1700" s="1581"/>
      <c r="AA1700" s="1581"/>
      <c r="AB1700" s="1581"/>
      <c r="AC1700" s="1581"/>
      <c r="AD1700" s="1581"/>
      <c r="AE1700" s="1581"/>
      <c r="AF1700" s="1581"/>
      <c r="AG1700" s="1581"/>
      <c r="AH1700" s="1581"/>
      <c r="AI1700" s="1581"/>
      <c r="AJ1700" s="1581"/>
      <c r="AK1700" s="1581"/>
      <c r="AL1700" s="1581"/>
      <c r="AM1700" s="1581"/>
      <c r="AN1700" s="1581"/>
      <c r="AO1700" s="1581"/>
      <c r="AP1700" s="1581"/>
      <c r="AQ1700" s="1581"/>
      <c r="AR1700" s="1581"/>
      <c r="AS1700" s="1581"/>
      <c r="AT1700" s="1581"/>
      <c r="AU1700" s="1581"/>
      <c r="AV1700" s="1581"/>
      <c r="AW1700" s="1581"/>
      <c r="AX1700" s="1581"/>
      <c r="AY1700" s="1581"/>
      <c r="AZ1700" s="1581"/>
      <c r="BA1700" s="1581"/>
      <c r="BB1700" s="1581"/>
      <c r="BC1700" s="1581"/>
      <c r="BD1700" s="1581"/>
      <c r="BE1700" s="1581"/>
      <c r="BF1700" s="1581"/>
      <c r="BG1700" s="1581"/>
      <c r="BH1700" s="1581"/>
      <c r="BI1700" s="1581"/>
      <c r="BJ1700" s="1581"/>
      <c r="BK1700" s="1581"/>
      <c r="BL1700" s="1581"/>
      <c r="BM1700" s="1581"/>
      <c r="BN1700" s="1581"/>
      <c r="BO1700" s="1581"/>
      <c r="BP1700" s="1581"/>
      <c r="BQ1700" s="1581"/>
      <c r="BR1700" s="1581"/>
      <c r="BS1700" s="1581"/>
      <c r="BT1700" s="1581"/>
      <c r="BU1700" s="1581"/>
      <c r="BV1700" s="1581"/>
      <c r="BW1700" s="1581"/>
      <c r="BX1700" s="1581"/>
      <c r="BY1700" s="1581"/>
      <c r="BZ1700" s="1581"/>
      <c r="CA1700" s="1581"/>
      <c r="CB1700" s="1581"/>
      <c r="CC1700" s="1581"/>
      <c r="CD1700" s="1581"/>
      <c r="CE1700" s="1581"/>
      <c r="CF1700" s="1581"/>
      <c r="CG1700" s="1581"/>
      <c r="CH1700" s="1581"/>
      <c r="CI1700" s="1581"/>
      <c r="CJ1700" s="1581"/>
      <c r="CK1700" s="1581"/>
    </row>
    <row r="1701" spans="1:89" ht="17.25" customHeight="1" x14ac:dyDescent="0.25">
      <c r="A1701" s="692">
        <v>1</v>
      </c>
      <c r="B1701" s="711" t="s">
        <v>21</v>
      </c>
      <c r="C1701" s="713"/>
      <c r="D1701" s="727"/>
      <c r="E1701" s="695"/>
      <c r="F1701" s="695"/>
      <c r="G1701" s="695"/>
      <c r="H1701" s="695"/>
      <c r="I1701" s="695"/>
      <c r="J1701" s="695"/>
      <c r="K1701" s="695"/>
      <c r="L1701" s="695"/>
      <c r="M1701" s="695"/>
      <c r="N1701" s="695"/>
      <c r="O1701" s="696">
        <f>N1701+K1701+H1701</f>
        <v>0</v>
      </c>
      <c r="P1701" s="687"/>
    </row>
    <row r="1702" spans="1:89" ht="17.25" customHeight="1" x14ac:dyDescent="0.25">
      <c r="A1702" s="692"/>
      <c r="B1702" s="711" t="s">
        <v>174</v>
      </c>
      <c r="C1702" s="713">
        <v>1</v>
      </c>
      <c r="D1702" s="727" t="s">
        <v>16</v>
      </c>
      <c r="E1702" s="695">
        <v>6880000</v>
      </c>
      <c r="F1702" s="695"/>
      <c r="G1702" s="695"/>
      <c r="H1702" s="695"/>
      <c r="I1702" s="695"/>
      <c r="J1702" s="695">
        <f>E1702*C1702</f>
        <v>6880000</v>
      </c>
      <c r="K1702" s="695">
        <f>I1702+J1702</f>
        <v>6880000</v>
      </c>
      <c r="L1702" s="695"/>
      <c r="M1702" s="695"/>
      <c r="N1702" s="695"/>
      <c r="O1702" s="696">
        <f>N1702+K1702+H1702</f>
        <v>6880000</v>
      </c>
      <c r="P1702" s="687"/>
    </row>
    <row r="1703" spans="1:89" ht="17.25" customHeight="1" x14ac:dyDescent="0.25">
      <c r="A1703" s="692"/>
      <c r="B1703" s="1780" t="s">
        <v>2032</v>
      </c>
      <c r="C1703" s="713"/>
      <c r="D1703" s="727"/>
      <c r="E1703" s="695"/>
      <c r="F1703" s="695"/>
      <c r="G1703" s="695"/>
      <c r="H1703" s="695"/>
      <c r="I1703" s="695"/>
      <c r="J1703" s="695"/>
      <c r="K1703" s="695"/>
      <c r="L1703" s="695"/>
      <c r="M1703" s="695"/>
      <c r="N1703" s="695"/>
      <c r="O1703" s="696"/>
      <c r="P1703" s="687"/>
    </row>
    <row r="1704" spans="1:89" ht="17.25" customHeight="1" x14ac:dyDescent="0.25">
      <c r="A1704" s="692"/>
      <c r="B1704" s="1780" t="s">
        <v>2033</v>
      </c>
      <c r="C1704" s="713"/>
      <c r="D1704" s="727"/>
      <c r="E1704" s="695"/>
      <c r="F1704" s="695"/>
      <c r="G1704" s="695"/>
      <c r="H1704" s="695"/>
      <c r="I1704" s="695"/>
      <c r="J1704" s="695"/>
      <c r="K1704" s="695"/>
      <c r="L1704" s="695"/>
      <c r="M1704" s="695"/>
      <c r="N1704" s="695"/>
      <c r="O1704" s="696"/>
      <c r="P1704" s="687"/>
    </row>
    <row r="1705" spans="1:89" ht="17.25" customHeight="1" x14ac:dyDescent="0.25">
      <c r="A1705" s="740"/>
      <c r="B1705" s="1780" t="s">
        <v>2034</v>
      </c>
      <c r="C1705" s="886"/>
      <c r="D1705" s="1403"/>
      <c r="E1705" s="705"/>
      <c r="F1705" s="705"/>
      <c r="G1705" s="705"/>
      <c r="H1705" s="705"/>
      <c r="I1705" s="705"/>
      <c r="J1705" s="705"/>
      <c r="K1705" s="705"/>
      <c r="L1705" s="705"/>
      <c r="M1705" s="705"/>
      <c r="N1705" s="705"/>
      <c r="O1705" s="1370"/>
      <c r="P1705" s="829"/>
    </row>
    <row r="1706" spans="1:89" ht="17.25" customHeight="1" x14ac:dyDescent="0.25">
      <c r="A1706" s="692"/>
      <c r="B1706" s="1780" t="s">
        <v>2035</v>
      </c>
      <c r="C1706" s="693"/>
      <c r="D1706" s="739"/>
      <c r="E1706" s="695"/>
      <c r="F1706" s="695"/>
      <c r="G1706" s="695"/>
      <c r="H1706" s="695"/>
      <c r="I1706" s="695"/>
      <c r="J1706" s="695"/>
      <c r="K1706" s="695"/>
      <c r="L1706" s="695"/>
      <c r="M1706" s="695"/>
      <c r="N1706" s="695"/>
      <c r="O1706" s="696"/>
      <c r="P1706" s="687"/>
    </row>
    <row r="1707" spans="1:89" ht="17.25" customHeight="1" x14ac:dyDescent="0.25">
      <c r="A1707" s="692"/>
      <c r="B1707" s="1780" t="s">
        <v>2036</v>
      </c>
      <c r="C1707" s="693"/>
      <c r="D1707" s="739"/>
      <c r="E1707" s="695"/>
      <c r="F1707" s="695"/>
      <c r="G1707" s="695"/>
      <c r="H1707" s="695"/>
      <c r="I1707" s="695"/>
      <c r="J1707" s="695"/>
      <c r="K1707" s="695"/>
      <c r="L1707" s="695"/>
      <c r="M1707" s="695"/>
      <c r="N1707" s="695"/>
      <c r="O1707" s="696"/>
      <c r="P1707" s="687"/>
    </row>
    <row r="1708" spans="1:89" ht="17.25" customHeight="1" x14ac:dyDescent="0.25">
      <c r="A1708" s="740"/>
      <c r="B1708" s="1780" t="s">
        <v>2037</v>
      </c>
      <c r="C1708" s="886"/>
      <c r="D1708" s="1403"/>
      <c r="E1708" s="705"/>
      <c r="F1708" s="705"/>
      <c r="G1708" s="705"/>
      <c r="H1708" s="705"/>
      <c r="I1708" s="705"/>
      <c r="J1708" s="705"/>
      <c r="K1708" s="705"/>
      <c r="L1708" s="705"/>
      <c r="M1708" s="705"/>
      <c r="N1708" s="705"/>
      <c r="O1708" s="1370"/>
      <c r="P1708" s="829"/>
    </row>
    <row r="1709" spans="1:89" ht="17.25" customHeight="1" x14ac:dyDescent="0.25">
      <c r="A1709" s="692"/>
      <c r="B1709" s="1780" t="s">
        <v>2038</v>
      </c>
      <c r="C1709" s="693"/>
      <c r="D1709" s="739"/>
      <c r="E1709" s="695"/>
      <c r="F1709" s="695"/>
      <c r="G1709" s="695"/>
      <c r="H1709" s="695"/>
      <c r="I1709" s="695"/>
      <c r="J1709" s="695"/>
      <c r="K1709" s="695"/>
      <c r="L1709" s="695"/>
      <c r="M1709" s="695"/>
      <c r="N1709" s="695"/>
      <c r="O1709" s="696"/>
      <c r="P1709" s="687"/>
    </row>
    <row r="1710" spans="1:89" ht="17.25" customHeight="1" x14ac:dyDescent="0.25">
      <c r="A1710" s="692"/>
      <c r="B1710" s="1780" t="s">
        <v>2039</v>
      </c>
      <c r="C1710" s="693"/>
      <c r="D1710" s="739"/>
      <c r="E1710" s="695"/>
      <c r="F1710" s="695"/>
      <c r="G1710" s="695"/>
      <c r="H1710" s="695"/>
      <c r="I1710" s="695"/>
      <c r="J1710" s="695"/>
      <c r="K1710" s="695"/>
      <c r="L1710" s="695"/>
      <c r="M1710" s="695"/>
      <c r="N1710" s="695"/>
      <c r="O1710" s="696"/>
      <c r="P1710" s="687"/>
    </row>
    <row r="1711" spans="1:89" ht="17.25" customHeight="1" x14ac:dyDescent="0.25">
      <c r="A1711" s="740"/>
      <c r="B1711" s="1780" t="s">
        <v>2040</v>
      </c>
      <c r="C1711" s="886"/>
      <c r="D1711" s="1403"/>
      <c r="E1711" s="874"/>
      <c r="F1711" s="705"/>
      <c r="G1711" s="705"/>
      <c r="H1711" s="705"/>
      <c r="I1711" s="705"/>
      <c r="J1711" s="705"/>
      <c r="K1711" s="705"/>
      <c r="L1711" s="705"/>
      <c r="M1711" s="705"/>
      <c r="N1711" s="705"/>
      <c r="O1711" s="1370">
        <f>N1711+K1711+H1711</f>
        <v>0</v>
      </c>
      <c r="P1711" s="829"/>
    </row>
    <row r="1712" spans="1:89" ht="17.25" customHeight="1" x14ac:dyDescent="0.25">
      <c r="A1712" s="692"/>
      <c r="B1712" s="1790" t="s">
        <v>2041</v>
      </c>
      <c r="C1712" s="713"/>
      <c r="D1712" s="880"/>
      <c r="E1712" s="714"/>
      <c r="F1712" s="695"/>
      <c r="G1712" s="695"/>
      <c r="H1712" s="695"/>
      <c r="I1712" s="695"/>
      <c r="J1712" s="695">
        <f>C1712*E1712</f>
        <v>0</v>
      </c>
      <c r="K1712" s="695">
        <f>I1712+J1712</f>
        <v>0</v>
      </c>
      <c r="L1712" s="695"/>
      <c r="M1712" s="695"/>
      <c r="N1712" s="695"/>
      <c r="O1712" s="696">
        <f>N1712+K1712+H1712</f>
        <v>0</v>
      </c>
      <c r="P1712" s="687"/>
    </row>
    <row r="1713" spans="1:89" ht="17.25" customHeight="1" x14ac:dyDescent="0.25">
      <c r="A1713" s="692"/>
      <c r="B1713" s="756"/>
      <c r="C1713" s="713"/>
      <c r="D1713" s="880"/>
      <c r="E1713" s="714"/>
      <c r="F1713" s="714"/>
      <c r="G1713" s="714"/>
      <c r="H1713" s="714"/>
      <c r="I1713" s="714"/>
      <c r="J1713" s="714"/>
      <c r="K1713" s="714"/>
      <c r="L1713" s="714"/>
      <c r="M1713" s="714"/>
      <c r="N1713" s="714"/>
      <c r="O1713" s="753"/>
      <c r="P1713" s="754"/>
    </row>
    <row r="1714" spans="1:89" ht="17.25" customHeight="1" x14ac:dyDescent="0.25">
      <c r="A1714" s="692">
        <v>2</v>
      </c>
      <c r="B1714" s="715" t="s">
        <v>19</v>
      </c>
      <c r="C1714" s="713"/>
      <c r="D1714" s="880"/>
      <c r="E1714" s="714"/>
      <c r="F1714" s="714"/>
      <c r="G1714" s="714"/>
      <c r="H1714" s="714"/>
      <c r="I1714" s="714"/>
      <c r="J1714" s="714"/>
      <c r="K1714" s="714"/>
      <c r="L1714" s="714"/>
      <c r="M1714" s="714"/>
      <c r="N1714" s="714"/>
      <c r="O1714" s="753">
        <f>N1714+K1714+H1714</f>
        <v>0</v>
      </c>
      <c r="P1714" s="754"/>
    </row>
    <row r="1715" spans="1:89" ht="17.25" customHeight="1" x14ac:dyDescent="0.25">
      <c r="A1715" s="692"/>
      <c r="B1715" s="715" t="s">
        <v>708</v>
      </c>
      <c r="C1715" s="713">
        <v>1</v>
      </c>
      <c r="D1715" s="880" t="s">
        <v>16</v>
      </c>
      <c r="E1715" s="714">
        <v>33600</v>
      </c>
      <c r="F1715" s="714"/>
      <c r="G1715" s="714"/>
      <c r="H1715" s="714"/>
      <c r="I1715" s="714"/>
      <c r="J1715" s="714">
        <f>C1715*E1715</f>
        <v>33600</v>
      </c>
      <c r="K1715" s="714">
        <f>I1715+J1715</f>
        <v>33600</v>
      </c>
      <c r="L1715" s="714"/>
      <c r="M1715" s="714"/>
      <c r="N1715" s="714"/>
      <c r="O1715" s="753">
        <f>N1715+K1715+H1715</f>
        <v>33600</v>
      </c>
      <c r="P1715" s="754"/>
    </row>
    <row r="1716" spans="1:89" ht="17.25" customHeight="1" x14ac:dyDescent="0.25">
      <c r="A1716" s="692"/>
      <c r="B1716" s="715"/>
      <c r="C1716" s="713"/>
      <c r="D1716" s="880"/>
      <c r="E1716" s="714"/>
      <c r="F1716" s="714"/>
      <c r="G1716" s="714"/>
      <c r="H1716" s="714"/>
      <c r="I1716" s="714"/>
      <c r="J1716" s="714"/>
      <c r="K1716" s="714"/>
      <c r="L1716" s="714"/>
      <c r="M1716" s="714"/>
      <c r="N1716" s="714"/>
      <c r="O1716" s="753"/>
      <c r="P1716" s="754"/>
    </row>
    <row r="1717" spans="1:89" ht="17.25" customHeight="1" x14ac:dyDescent="0.25">
      <c r="A1717" s="692"/>
      <c r="B1717" s="1391"/>
      <c r="C1717" s="713"/>
      <c r="D1717" s="880"/>
      <c r="E1717" s="714"/>
      <c r="F1717" s="714"/>
      <c r="G1717" s="714"/>
      <c r="H1717" s="714"/>
      <c r="I1717" s="714"/>
      <c r="J1717" s="714"/>
      <c r="K1717" s="714"/>
      <c r="L1717" s="714"/>
      <c r="M1717" s="714"/>
      <c r="N1717" s="714"/>
      <c r="O1717" s="753"/>
      <c r="P1717" s="754"/>
    </row>
    <row r="1718" spans="1:89" s="672" customFormat="1" ht="17.25" customHeight="1" x14ac:dyDescent="0.25">
      <c r="A1718" s="740" t="s">
        <v>28</v>
      </c>
      <c r="B1718" s="1393" t="s">
        <v>29</v>
      </c>
      <c r="C1718" s="886"/>
      <c r="D1718" s="1403"/>
      <c r="E1718" s="874"/>
      <c r="F1718" s="874">
        <f>SUM(F1721:F1751)</f>
        <v>0</v>
      </c>
      <c r="G1718" s="874">
        <f>SUM(G1721:G1751)</f>
        <v>0</v>
      </c>
      <c r="H1718" s="874">
        <f>F1718+G1718</f>
        <v>0</v>
      </c>
      <c r="I1718" s="874">
        <f>SUM(I1721:I1751)</f>
        <v>0</v>
      </c>
      <c r="J1718" s="874">
        <f>SUM(J1721:J1751)</f>
        <v>622400</v>
      </c>
      <c r="K1718" s="874">
        <f>I1718+J1718</f>
        <v>622400</v>
      </c>
      <c r="L1718" s="874">
        <f>SUM(L1721:L1751)</f>
        <v>25000</v>
      </c>
      <c r="M1718" s="874">
        <f>SUM(M1721:M1751)</f>
        <v>0</v>
      </c>
      <c r="N1718" s="874">
        <f>L1718+M1718</f>
        <v>25000</v>
      </c>
      <c r="O1718" s="775">
        <f>N1718+K1718+H1718</f>
        <v>647400</v>
      </c>
      <c r="P1718" s="776"/>
      <c r="Q1718" s="1581"/>
      <c r="R1718" s="1581"/>
      <c r="S1718" s="1581"/>
      <c r="T1718" s="1581"/>
      <c r="U1718" s="1581"/>
      <c r="V1718" s="1581"/>
      <c r="W1718" s="1581"/>
      <c r="X1718" s="1581"/>
      <c r="Y1718" s="1581"/>
      <c r="Z1718" s="1581"/>
      <c r="AA1718" s="1581"/>
      <c r="AB1718" s="1581"/>
      <c r="AC1718" s="1581"/>
      <c r="AD1718" s="1581"/>
      <c r="AE1718" s="1581"/>
      <c r="AF1718" s="1581"/>
      <c r="AG1718" s="1581"/>
      <c r="AH1718" s="1581"/>
      <c r="AI1718" s="1581"/>
      <c r="AJ1718" s="1581"/>
      <c r="AK1718" s="1581"/>
      <c r="AL1718" s="1581"/>
      <c r="AM1718" s="1581"/>
      <c r="AN1718" s="1581"/>
      <c r="AO1718" s="1581"/>
      <c r="AP1718" s="1581"/>
      <c r="AQ1718" s="1581"/>
      <c r="AR1718" s="1581"/>
      <c r="AS1718" s="1581"/>
      <c r="AT1718" s="1581"/>
      <c r="AU1718" s="1581"/>
      <c r="AV1718" s="1581"/>
      <c r="AW1718" s="1581"/>
      <c r="AX1718" s="1581"/>
      <c r="AY1718" s="1581"/>
      <c r="AZ1718" s="1581"/>
      <c r="BA1718" s="1581"/>
      <c r="BB1718" s="1581"/>
      <c r="BC1718" s="1581"/>
      <c r="BD1718" s="1581"/>
      <c r="BE1718" s="1581"/>
      <c r="BF1718" s="1581"/>
      <c r="BG1718" s="1581"/>
      <c r="BH1718" s="1581"/>
      <c r="BI1718" s="1581"/>
      <c r="BJ1718" s="1581"/>
      <c r="BK1718" s="1581"/>
      <c r="BL1718" s="1581"/>
      <c r="BM1718" s="1581"/>
      <c r="BN1718" s="1581"/>
      <c r="BO1718" s="1581"/>
      <c r="BP1718" s="1581"/>
      <c r="BQ1718" s="1581"/>
      <c r="BR1718" s="1581"/>
      <c r="BS1718" s="1581"/>
      <c r="BT1718" s="1581"/>
      <c r="BU1718" s="1581"/>
      <c r="BV1718" s="1581"/>
      <c r="BW1718" s="1581"/>
      <c r="BX1718" s="1581"/>
      <c r="BY1718" s="1581"/>
      <c r="BZ1718" s="1581"/>
      <c r="CA1718" s="1581"/>
      <c r="CB1718" s="1581"/>
      <c r="CC1718" s="1581"/>
      <c r="CD1718" s="1581"/>
      <c r="CE1718" s="1581"/>
      <c r="CF1718" s="1581"/>
      <c r="CG1718" s="1581"/>
      <c r="CH1718" s="1581"/>
      <c r="CI1718" s="1581"/>
      <c r="CJ1718" s="1581"/>
      <c r="CK1718" s="1581"/>
    </row>
    <row r="1719" spans="1:89" ht="17.25" customHeight="1" x14ac:dyDescent="0.25">
      <c r="A1719" s="692"/>
      <c r="B1719" s="1391"/>
      <c r="C1719" s="713"/>
      <c r="D1719" s="880"/>
      <c r="E1719" s="714"/>
      <c r="F1719" s="714"/>
      <c r="G1719" s="714"/>
      <c r="H1719" s="714"/>
      <c r="I1719" s="714"/>
      <c r="J1719" s="714"/>
      <c r="K1719" s="714"/>
      <c r="L1719" s="714"/>
      <c r="M1719" s="714"/>
      <c r="N1719" s="714"/>
      <c r="O1719" s="753"/>
      <c r="P1719" s="754"/>
    </row>
    <row r="1720" spans="1:89" ht="17.25" customHeight="1" x14ac:dyDescent="0.25">
      <c r="A1720" s="692" t="s">
        <v>148</v>
      </c>
      <c r="B1720" s="1391" t="s">
        <v>149</v>
      </c>
      <c r="C1720" s="713"/>
      <c r="D1720" s="880"/>
      <c r="E1720" s="714"/>
      <c r="F1720" s="714"/>
      <c r="G1720" s="714"/>
      <c r="H1720" s="714"/>
      <c r="I1720" s="714"/>
      <c r="J1720" s="714"/>
      <c r="K1720" s="714"/>
      <c r="L1720" s="714"/>
      <c r="M1720" s="714"/>
      <c r="N1720" s="714"/>
      <c r="O1720" s="753"/>
      <c r="P1720" s="754"/>
    </row>
    <row r="1721" spans="1:89" ht="17.25" customHeight="1" x14ac:dyDescent="0.25">
      <c r="A1721" s="692">
        <v>1</v>
      </c>
      <c r="B1721" s="1391" t="s">
        <v>19</v>
      </c>
      <c r="C1721" s="713"/>
      <c r="D1721" s="880"/>
      <c r="E1721" s="714"/>
      <c r="F1721" s="714"/>
      <c r="G1721" s="714"/>
      <c r="H1721" s="714"/>
      <c r="I1721" s="714"/>
      <c r="J1721" s="714"/>
      <c r="K1721" s="714"/>
      <c r="L1721" s="714"/>
      <c r="M1721" s="714"/>
      <c r="N1721" s="714"/>
      <c r="O1721" s="753">
        <f>N1721+K1721+H1721</f>
        <v>0</v>
      </c>
      <c r="P1721" s="754"/>
    </row>
    <row r="1722" spans="1:89" ht="17.25" customHeight="1" x14ac:dyDescent="0.25">
      <c r="A1722" s="692"/>
      <c r="B1722" s="757" t="s">
        <v>30</v>
      </c>
      <c r="C1722" s="713">
        <v>12</v>
      </c>
      <c r="D1722" s="880" t="s">
        <v>20</v>
      </c>
      <c r="E1722" s="714">
        <v>1150</v>
      </c>
      <c r="F1722" s="714"/>
      <c r="G1722" s="714"/>
      <c r="H1722" s="714"/>
      <c r="I1722" s="714"/>
      <c r="J1722" s="714">
        <f>C1722*E1722</f>
        <v>13800</v>
      </c>
      <c r="K1722" s="714">
        <f>I1722+J1722</f>
        <v>13800</v>
      </c>
      <c r="L1722" s="714"/>
      <c r="M1722" s="714"/>
      <c r="N1722" s="714"/>
      <c r="O1722" s="753">
        <f>N1722+K1722+H1722</f>
        <v>13800</v>
      </c>
      <c r="P1722" s="754"/>
    </row>
    <row r="1723" spans="1:89" ht="17.25" customHeight="1" x14ac:dyDescent="0.25">
      <c r="A1723" s="692"/>
      <c r="B1723" s="715" t="s">
        <v>31</v>
      </c>
      <c r="C1723" s="713">
        <v>12</v>
      </c>
      <c r="D1723" s="880" t="s">
        <v>20</v>
      </c>
      <c r="E1723" s="714">
        <v>910</v>
      </c>
      <c r="F1723" s="714"/>
      <c r="G1723" s="714"/>
      <c r="H1723" s="714"/>
      <c r="I1723" s="714"/>
      <c r="J1723" s="714">
        <f>C1723*E1723</f>
        <v>10920</v>
      </c>
      <c r="K1723" s="714">
        <f>I1723+J1723</f>
        <v>10920</v>
      </c>
      <c r="L1723" s="714"/>
      <c r="M1723" s="714"/>
      <c r="N1723" s="714"/>
      <c r="O1723" s="753">
        <f t="shared" ref="O1723:O1751" si="122">N1723+K1723+H1723</f>
        <v>10920</v>
      </c>
      <c r="P1723" s="754"/>
    </row>
    <row r="1724" spans="1:89" ht="17.25" customHeight="1" x14ac:dyDescent="0.25">
      <c r="A1724" s="692"/>
      <c r="B1724" s="893" t="s">
        <v>32</v>
      </c>
      <c r="C1724" s="713">
        <v>12</v>
      </c>
      <c r="D1724" s="880" t="s">
        <v>20</v>
      </c>
      <c r="E1724" s="714">
        <v>790</v>
      </c>
      <c r="F1724" s="714"/>
      <c r="G1724" s="714"/>
      <c r="H1724" s="714"/>
      <c r="I1724" s="714"/>
      <c r="J1724" s="714">
        <f>C1724*E1724</f>
        <v>9480</v>
      </c>
      <c r="K1724" s="714">
        <f>I1724+J1724</f>
        <v>9480</v>
      </c>
      <c r="L1724" s="714"/>
      <c r="M1724" s="714"/>
      <c r="N1724" s="714"/>
      <c r="O1724" s="753">
        <f t="shared" si="122"/>
        <v>9480</v>
      </c>
      <c r="P1724" s="754"/>
    </row>
    <row r="1725" spans="1:89" ht="17.25" customHeight="1" x14ac:dyDescent="0.25">
      <c r="A1725" s="692"/>
      <c r="B1725" s="893" t="s">
        <v>33</v>
      </c>
      <c r="C1725" s="713">
        <v>60</v>
      </c>
      <c r="D1725" s="880" t="s">
        <v>20</v>
      </c>
      <c r="E1725" s="714">
        <v>580</v>
      </c>
      <c r="F1725" s="714"/>
      <c r="G1725" s="714"/>
      <c r="H1725" s="714"/>
      <c r="I1725" s="714"/>
      <c r="J1725" s="714">
        <f>C1725*E1725</f>
        <v>34800</v>
      </c>
      <c r="K1725" s="714">
        <f>I1725+J1725</f>
        <v>34800</v>
      </c>
      <c r="L1725" s="714"/>
      <c r="M1725" s="714"/>
      <c r="N1725" s="714"/>
      <c r="O1725" s="753">
        <f t="shared" si="122"/>
        <v>34800</v>
      </c>
      <c r="P1725" s="754"/>
    </row>
    <row r="1726" spans="1:89" ht="17.25" customHeight="1" x14ac:dyDescent="0.25">
      <c r="A1726" s="692"/>
      <c r="B1726" s="893" t="s">
        <v>34</v>
      </c>
      <c r="C1726" s="713"/>
      <c r="D1726" s="880"/>
      <c r="E1726" s="714"/>
      <c r="F1726" s="714"/>
      <c r="G1726" s="714"/>
      <c r="H1726" s="714"/>
      <c r="I1726" s="714"/>
      <c r="J1726" s="714"/>
      <c r="K1726" s="714"/>
      <c r="L1726" s="714"/>
      <c r="M1726" s="714"/>
      <c r="N1726" s="714"/>
      <c r="O1726" s="753">
        <f t="shared" si="122"/>
        <v>0</v>
      </c>
      <c r="P1726" s="754"/>
    </row>
    <row r="1727" spans="1:89" ht="17.25" customHeight="1" x14ac:dyDescent="0.25">
      <c r="A1727" s="692"/>
      <c r="B1727" s="893" t="s">
        <v>35</v>
      </c>
      <c r="C1727" s="713">
        <v>12</v>
      </c>
      <c r="D1727" s="880" t="s">
        <v>20</v>
      </c>
      <c r="E1727" s="714">
        <v>500</v>
      </c>
      <c r="F1727" s="714"/>
      <c r="G1727" s="714"/>
      <c r="H1727" s="714"/>
      <c r="I1727" s="714"/>
      <c r="J1727" s="714">
        <f>C1727*E1727</f>
        <v>6000</v>
      </c>
      <c r="K1727" s="714">
        <f>I1727+J1727</f>
        <v>6000</v>
      </c>
      <c r="L1727" s="714"/>
      <c r="M1727" s="714"/>
      <c r="N1727" s="714"/>
      <c r="O1727" s="753">
        <f t="shared" si="122"/>
        <v>6000</v>
      </c>
      <c r="P1727" s="754"/>
    </row>
    <row r="1728" spans="1:89" ht="17.25" customHeight="1" x14ac:dyDescent="0.25">
      <c r="A1728" s="692"/>
      <c r="B1728" s="893" t="s">
        <v>36</v>
      </c>
      <c r="C1728" s="713">
        <v>48</v>
      </c>
      <c r="D1728" s="880" t="s">
        <v>20</v>
      </c>
      <c r="E1728" s="714">
        <v>375</v>
      </c>
      <c r="F1728" s="714"/>
      <c r="G1728" s="714"/>
      <c r="H1728" s="714"/>
      <c r="I1728" s="714"/>
      <c r="J1728" s="714">
        <f>C1728*E1728</f>
        <v>18000</v>
      </c>
      <c r="K1728" s="714">
        <f>I1728+J1728</f>
        <v>18000</v>
      </c>
      <c r="L1728" s="714"/>
      <c r="M1728" s="714"/>
      <c r="N1728" s="714"/>
      <c r="O1728" s="753">
        <f t="shared" si="122"/>
        <v>18000</v>
      </c>
      <c r="P1728" s="754"/>
    </row>
    <row r="1729" spans="1:16" ht="17.25" customHeight="1" x14ac:dyDescent="0.25">
      <c r="A1729" s="692"/>
      <c r="B1729" s="893"/>
      <c r="C1729" s="713"/>
      <c r="D1729" s="880"/>
      <c r="E1729" s="714"/>
      <c r="F1729" s="714"/>
      <c r="G1729" s="714"/>
      <c r="H1729" s="714"/>
      <c r="I1729" s="714"/>
      <c r="J1729" s="714"/>
      <c r="K1729" s="714"/>
      <c r="L1729" s="714"/>
      <c r="M1729" s="714"/>
      <c r="N1729" s="714"/>
      <c r="O1729" s="753">
        <f t="shared" si="122"/>
        <v>0</v>
      </c>
      <c r="P1729" s="754"/>
    </row>
    <row r="1730" spans="1:16" ht="17.25" customHeight="1" x14ac:dyDescent="0.25">
      <c r="A1730" s="692">
        <v>2</v>
      </c>
      <c r="B1730" s="715" t="s">
        <v>175</v>
      </c>
      <c r="C1730" s="713">
        <v>1</v>
      </c>
      <c r="D1730" s="880" t="s">
        <v>25</v>
      </c>
      <c r="E1730" s="714">
        <v>70200</v>
      </c>
      <c r="F1730" s="714"/>
      <c r="G1730" s="714"/>
      <c r="H1730" s="714"/>
      <c r="I1730" s="714"/>
      <c r="J1730" s="714">
        <f>C1730*E1730</f>
        <v>70200</v>
      </c>
      <c r="K1730" s="714">
        <f>I1730+J1730</f>
        <v>70200</v>
      </c>
      <c r="L1730" s="714"/>
      <c r="M1730" s="714"/>
      <c r="N1730" s="714"/>
      <c r="O1730" s="753">
        <f t="shared" si="122"/>
        <v>70200</v>
      </c>
      <c r="P1730" s="754"/>
    </row>
    <row r="1731" spans="1:16" ht="17.25" customHeight="1" x14ac:dyDescent="0.25">
      <c r="A1731" s="692"/>
      <c r="B1731" s="893" t="s">
        <v>176</v>
      </c>
      <c r="C1731" s="713">
        <v>1</v>
      </c>
      <c r="D1731" s="880" t="s">
        <v>25</v>
      </c>
      <c r="E1731" s="714">
        <v>21900</v>
      </c>
      <c r="F1731" s="714"/>
      <c r="G1731" s="714"/>
      <c r="H1731" s="714"/>
      <c r="I1731" s="714"/>
      <c r="J1731" s="714">
        <f>C1731*E1731</f>
        <v>21900</v>
      </c>
      <c r="K1731" s="714">
        <f>I1731+J1731</f>
        <v>21900</v>
      </c>
      <c r="L1731" s="714"/>
      <c r="M1731" s="714"/>
      <c r="N1731" s="714"/>
      <c r="O1731" s="753">
        <f>N1731+K1731+H1731</f>
        <v>21900</v>
      </c>
      <c r="P1731" s="754"/>
    </row>
    <row r="1732" spans="1:16" ht="17.25" customHeight="1" x14ac:dyDescent="0.25">
      <c r="A1732" s="692"/>
      <c r="B1732" s="893" t="s">
        <v>39</v>
      </c>
      <c r="C1732" s="713">
        <v>1</v>
      </c>
      <c r="D1732" s="880" t="s">
        <v>25</v>
      </c>
      <c r="E1732" s="714">
        <v>4600</v>
      </c>
      <c r="F1732" s="714"/>
      <c r="G1732" s="714"/>
      <c r="H1732" s="714"/>
      <c r="I1732" s="714"/>
      <c r="J1732" s="714">
        <f>C1732*E1732</f>
        <v>4600</v>
      </c>
      <c r="K1732" s="714">
        <f>I1732+J1732</f>
        <v>4600</v>
      </c>
      <c r="L1732" s="714"/>
      <c r="M1732" s="714"/>
      <c r="N1732" s="714"/>
      <c r="O1732" s="753">
        <f t="shared" si="122"/>
        <v>4600</v>
      </c>
      <c r="P1732" s="754"/>
    </row>
    <row r="1733" spans="1:16" ht="17.25" customHeight="1" x14ac:dyDescent="0.25">
      <c r="A1733" s="692"/>
      <c r="B1733" s="1371"/>
      <c r="C1733" s="693"/>
      <c r="D1733" s="739"/>
      <c r="E1733" s="695"/>
      <c r="F1733" s="695"/>
      <c r="G1733" s="695"/>
      <c r="H1733" s="695"/>
      <c r="I1733" s="695"/>
      <c r="J1733" s="695"/>
      <c r="K1733" s="695"/>
      <c r="L1733" s="695"/>
      <c r="M1733" s="695"/>
      <c r="N1733" s="695"/>
      <c r="O1733" s="696">
        <f t="shared" si="122"/>
        <v>0</v>
      </c>
      <c r="P1733" s="687"/>
    </row>
    <row r="1734" spans="1:16" ht="17.25" customHeight="1" x14ac:dyDescent="0.25">
      <c r="A1734" s="740">
        <v>3</v>
      </c>
      <c r="B1734" s="741" t="s">
        <v>27</v>
      </c>
      <c r="C1734" s="828"/>
      <c r="D1734" s="738"/>
      <c r="E1734" s="705"/>
      <c r="F1734" s="705"/>
      <c r="G1734" s="705"/>
      <c r="H1734" s="705"/>
      <c r="I1734" s="705"/>
      <c r="J1734" s="705"/>
      <c r="K1734" s="705"/>
      <c r="L1734" s="705"/>
      <c r="M1734" s="705"/>
      <c r="N1734" s="705"/>
      <c r="O1734" s="1370">
        <f t="shared" si="122"/>
        <v>0</v>
      </c>
      <c r="P1734" s="829"/>
    </row>
    <row r="1735" spans="1:16" ht="17.25" customHeight="1" x14ac:dyDescent="0.25">
      <c r="A1735" s="692"/>
      <c r="B1735" s="1371" t="s">
        <v>42</v>
      </c>
      <c r="C1735" s="693">
        <v>1</v>
      </c>
      <c r="D1735" s="739" t="s">
        <v>25</v>
      </c>
      <c r="E1735" s="695">
        <v>50000</v>
      </c>
      <c r="F1735" s="695"/>
      <c r="G1735" s="695"/>
      <c r="H1735" s="695"/>
      <c r="I1735" s="695"/>
      <c r="J1735" s="695">
        <f>C1735*E1735</f>
        <v>50000</v>
      </c>
      <c r="K1735" s="695">
        <f>I1735+J1735</f>
        <v>50000</v>
      </c>
      <c r="L1735" s="695"/>
      <c r="M1735" s="695"/>
      <c r="N1735" s="695"/>
      <c r="O1735" s="696">
        <f t="shared" si="122"/>
        <v>50000</v>
      </c>
      <c r="P1735" s="687"/>
    </row>
    <row r="1736" spans="1:16" ht="17.25" customHeight="1" x14ac:dyDescent="0.25">
      <c r="A1736" s="742"/>
      <c r="B1736" s="756"/>
      <c r="C1736" s="699"/>
      <c r="D1736" s="739"/>
      <c r="E1736" s="695"/>
      <c r="F1736" s="714"/>
      <c r="G1736" s="714"/>
      <c r="H1736" s="714"/>
      <c r="I1736" s="714"/>
      <c r="J1736" s="714"/>
      <c r="K1736" s="714"/>
      <c r="L1736" s="714"/>
      <c r="M1736" s="714"/>
      <c r="N1736" s="714"/>
      <c r="O1736" s="753">
        <f t="shared" si="122"/>
        <v>0</v>
      </c>
      <c r="P1736" s="754"/>
    </row>
    <row r="1737" spans="1:16" ht="17.25" customHeight="1" x14ac:dyDescent="0.25">
      <c r="A1737" s="742">
        <v>4</v>
      </c>
      <c r="B1737" s="756" t="s">
        <v>40</v>
      </c>
      <c r="C1737" s="699"/>
      <c r="D1737" s="739"/>
      <c r="E1737" s="695"/>
      <c r="F1737" s="714"/>
      <c r="G1737" s="714"/>
      <c r="H1737" s="714"/>
      <c r="I1737" s="714"/>
      <c r="J1737" s="714"/>
      <c r="K1737" s="714"/>
      <c r="L1737" s="714"/>
      <c r="M1737" s="714"/>
      <c r="N1737" s="714"/>
      <c r="O1737" s="753">
        <f t="shared" si="122"/>
        <v>0</v>
      </c>
      <c r="P1737" s="754"/>
    </row>
    <row r="1738" spans="1:16" ht="17.25" customHeight="1" x14ac:dyDescent="0.25">
      <c r="A1738" s="742"/>
      <c r="B1738" s="756" t="s">
        <v>41</v>
      </c>
      <c r="C1738" s="699">
        <v>1</v>
      </c>
      <c r="D1738" s="739" t="s">
        <v>25</v>
      </c>
      <c r="E1738" s="695">
        <v>62700</v>
      </c>
      <c r="F1738" s="714"/>
      <c r="G1738" s="714"/>
      <c r="H1738" s="714"/>
      <c r="I1738" s="714"/>
      <c r="J1738" s="714">
        <f>C1738*E1738</f>
        <v>62700</v>
      </c>
      <c r="K1738" s="714">
        <f>I1738+J1738</f>
        <v>62700</v>
      </c>
      <c r="L1738" s="714"/>
      <c r="M1738" s="714"/>
      <c r="N1738" s="714"/>
      <c r="O1738" s="753">
        <f t="shared" si="122"/>
        <v>62700</v>
      </c>
      <c r="P1738" s="754"/>
    </row>
    <row r="1739" spans="1:16" ht="17.25" customHeight="1" x14ac:dyDescent="0.25">
      <c r="A1739" s="742"/>
      <c r="B1739" s="756"/>
      <c r="C1739" s="699"/>
      <c r="D1739" s="739"/>
      <c r="E1739" s="695"/>
      <c r="F1739" s="714"/>
      <c r="G1739" s="714"/>
      <c r="H1739" s="714"/>
      <c r="I1739" s="714"/>
      <c r="J1739" s="714"/>
      <c r="K1739" s="714"/>
      <c r="L1739" s="714"/>
      <c r="M1739" s="714"/>
      <c r="N1739" s="714"/>
      <c r="O1739" s="753">
        <f t="shared" si="122"/>
        <v>0</v>
      </c>
      <c r="P1739" s="754"/>
    </row>
    <row r="1740" spans="1:16" ht="17.25" customHeight="1" x14ac:dyDescent="0.25">
      <c r="A1740" s="742">
        <v>5</v>
      </c>
      <c r="B1740" s="756" t="s">
        <v>43</v>
      </c>
      <c r="C1740" s="699"/>
      <c r="D1740" s="739"/>
      <c r="E1740" s="695"/>
      <c r="F1740" s="714"/>
      <c r="G1740" s="714"/>
      <c r="H1740" s="714"/>
      <c r="I1740" s="714"/>
      <c r="J1740" s="714"/>
      <c r="K1740" s="714"/>
      <c r="L1740" s="714"/>
      <c r="M1740" s="714"/>
      <c r="N1740" s="714"/>
      <c r="O1740" s="753">
        <f t="shared" si="122"/>
        <v>0</v>
      </c>
      <c r="P1740" s="754"/>
    </row>
    <row r="1741" spans="1:16" ht="17.25" customHeight="1" x14ac:dyDescent="0.25">
      <c r="A1741" s="742"/>
      <c r="B1741" s="756" t="s">
        <v>44</v>
      </c>
      <c r="C1741" s="699">
        <v>6</v>
      </c>
      <c r="D1741" s="739" t="s">
        <v>45</v>
      </c>
      <c r="E1741" s="695">
        <v>7500</v>
      </c>
      <c r="F1741" s="714"/>
      <c r="G1741" s="714"/>
      <c r="H1741" s="714"/>
      <c r="I1741" s="714"/>
      <c r="J1741" s="714">
        <f>C1741*E1741</f>
        <v>45000</v>
      </c>
      <c r="K1741" s="714">
        <f>I1741+J1741</f>
        <v>45000</v>
      </c>
      <c r="L1741" s="714"/>
      <c r="M1741" s="714"/>
      <c r="N1741" s="714"/>
      <c r="O1741" s="753">
        <f t="shared" si="122"/>
        <v>45000</v>
      </c>
      <c r="P1741" s="754"/>
    </row>
    <row r="1742" spans="1:16" ht="17.25" customHeight="1" x14ac:dyDescent="0.25">
      <c r="A1742" s="742"/>
      <c r="B1742" s="756"/>
      <c r="C1742" s="699"/>
      <c r="D1742" s="739"/>
      <c r="E1742" s="695"/>
      <c r="F1742" s="714"/>
      <c r="G1742" s="714"/>
      <c r="H1742" s="714"/>
      <c r="I1742" s="714"/>
      <c r="J1742" s="714"/>
      <c r="K1742" s="714"/>
      <c r="L1742" s="714"/>
      <c r="M1742" s="714"/>
      <c r="N1742" s="714"/>
      <c r="O1742" s="753">
        <f t="shared" si="122"/>
        <v>0</v>
      </c>
      <c r="P1742" s="754"/>
    </row>
    <row r="1743" spans="1:16" ht="17.25" customHeight="1" x14ac:dyDescent="0.25">
      <c r="A1743" s="742">
        <v>6</v>
      </c>
      <c r="B1743" s="756" t="s">
        <v>48</v>
      </c>
      <c r="C1743" s="699"/>
      <c r="D1743" s="739"/>
      <c r="E1743" s="695" t="s">
        <v>49</v>
      </c>
      <c r="F1743" s="714"/>
      <c r="G1743" s="714"/>
      <c r="H1743" s="714"/>
      <c r="I1743" s="714"/>
      <c r="J1743" s="714"/>
      <c r="K1743" s="714">
        <f>J1743+I1743</f>
        <v>0</v>
      </c>
      <c r="L1743" s="714"/>
      <c r="M1743" s="714"/>
      <c r="N1743" s="714"/>
      <c r="O1743" s="753">
        <f t="shared" si="122"/>
        <v>0</v>
      </c>
      <c r="P1743" s="754"/>
    </row>
    <row r="1744" spans="1:16" ht="17.25" customHeight="1" x14ac:dyDescent="0.25">
      <c r="A1744" s="742"/>
      <c r="B1744" s="756" t="s">
        <v>50</v>
      </c>
      <c r="C1744" s="699">
        <v>25</v>
      </c>
      <c r="D1744" s="739" t="s">
        <v>51</v>
      </c>
      <c r="E1744" s="695">
        <v>6420</v>
      </c>
      <c r="F1744" s="714"/>
      <c r="G1744" s="714"/>
      <c r="H1744" s="714"/>
      <c r="I1744" s="714"/>
      <c r="J1744" s="714">
        <f t="shared" ref="J1744:J1749" si="123">C1744*E1744</f>
        <v>160500</v>
      </c>
      <c r="K1744" s="714">
        <f t="shared" ref="K1744:K1749" si="124">I1744+J1744</f>
        <v>160500</v>
      </c>
      <c r="L1744" s="714"/>
      <c r="M1744" s="714"/>
      <c r="N1744" s="714"/>
      <c r="O1744" s="753">
        <f t="shared" si="122"/>
        <v>160500</v>
      </c>
      <c r="P1744" s="754"/>
    </row>
    <row r="1745" spans="1:89" ht="17.25" customHeight="1" x14ac:dyDescent="0.25">
      <c r="A1745" s="742"/>
      <c r="B1745" s="756" t="s">
        <v>52</v>
      </c>
      <c r="C1745" s="699">
        <v>75</v>
      </c>
      <c r="D1745" s="739" t="s">
        <v>53</v>
      </c>
      <c r="E1745" s="695">
        <v>625</v>
      </c>
      <c r="F1745" s="714"/>
      <c r="G1745" s="714"/>
      <c r="H1745" s="714"/>
      <c r="I1745" s="714"/>
      <c r="J1745" s="714">
        <f t="shared" si="123"/>
        <v>46875</v>
      </c>
      <c r="K1745" s="714">
        <f t="shared" si="124"/>
        <v>46875</v>
      </c>
      <c r="L1745" s="714"/>
      <c r="M1745" s="714"/>
      <c r="N1745" s="714"/>
      <c r="O1745" s="753">
        <f t="shared" si="122"/>
        <v>46875</v>
      </c>
      <c r="P1745" s="754"/>
    </row>
    <row r="1746" spans="1:89" ht="17.25" customHeight="1" x14ac:dyDescent="0.25">
      <c r="A1746" s="742"/>
      <c r="B1746" s="715" t="s">
        <v>54</v>
      </c>
      <c r="C1746" s="699">
        <v>75</v>
      </c>
      <c r="D1746" s="739" t="s">
        <v>55</v>
      </c>
      <c r="E1746" s="695">
        <v>625</v>
      </c>
      <c r="F1746" s="714"/>
      <c r="G1746" s="714"/>
      <c r="H1746" s="714"/>
      <c r="I1746" s="714"/>
      <c r="J1746" s="714">
        <f t="shared" si="123"/>
        <v>46875</v>
      </c>
      <c r="K1746" s="714">
        <f t="shared" si="124"/>
        <v>46875</v>
      </c>
      <c r="L1746" s="714"/>
      <c r="M1746" s="714"/>
      <c r="N1746" s="714"/>
      <c r="O1746" s="753">
        <f t="shared" si="122"/>
        <v>46875</v>
      </c>
      <c r="P1746" s="754"/>
    </row>
    <row r="1747" spans="1:89" ht="17.25" customHeight="1" x14ac:dyDescent="0.25">
      <c r="A1747" s="742"/>
      <c r="B1747" s="715" t="s">
        <v>56</v>
      </c>
      <c r="C1747" s="699">
        <v>50</v>
      </c>
      <c r="D1747" s="739" t="s">
        <v>55</v>
      </c>
      <c r="E1747" s="695">
        <v>415</v>
      </c>
      <c r="F1747" s="714"/>
      <c r="G1747" s="714"/>
      <c r="H1747" s="714"/>
      <c r="I1747" s="714"/>
      <c r="J1747" s="714">
        <f t="shared" si="123"/>
        <v>20750</v>
      </c>
      <c r="K1747" s="714">
        <f t="shared" si="124"/>
        <v>20750</v>
      </c>
      <c r="L1747" s="714"/>
      <c r="M1747" s="714"/>
      <c r="N1747" s="714"/>
      <c r="O1747" s="753">
        <f t="shared" si="122"/>
        <v>20750</v>
      </c>
      <c r="P1747" s="754"/>
    </row>
    <row r="1748" spans="1:89" ht="17.25" customHeight="1" x14ac:dyDescent="0.25">
      <c r="A1748" s="742"/>
      <c r="B1748" s="756"/>
      <c r="C1748" s="699"/>
      <c r="D1748" s="739"/>
      <c r="E1748" s="695"/>
      <c r="F1748" s="714"/>
      <c r="G1748" s="714"/>
      <c r="H1748" s="714"/>
      <c r="I1748" s="714"/>
      <c r="J1748" s="714">
        <f t="shared" si="123"/>
        <v>0</v>
      </c>
      <c r="K1748" s="714">
        <f t="shared" si="124"/>
        <v>0</v>
      </c>
      <c r="L1748" s="714"/>
      <c r="M1748" s="714"/>
      <c r="N1748" s="714"/>
      <c r="O1748" s="753">
        <f t="shared" si="122"/>
        <v>0</v>
      </c>
      <c r="P1748" s="754"/>
    </row>
    <row r="1749" spans="1:89" ht="17.25" customHeight="1" x14ac:dyDescent="0.25">
      <c r="A1749" s="742">
        <v>7</v>
      </c>
      <c r="B1749" s="756" t="s">
        <v>57</v>
      </c>
      <c r="C1749" s="699"/>
      <c r="D1749" s="739"/>
      <c r="E1749" s="695"/>
      <c r="F1749" s="714"/>
      <c r="G1749" s="714"/>
      <c r="H1749" s="714"/>
      <c r="I1749" s="714"/>
      <c r="J1749" s="714">
        <f t="shared" si="123"/>
        <v>0</v>
      </c>
      <c r="K1749" s="714">
        <f t="shared" si="124"/>
        <v>0</v>
      </c>
      <c r="L1749" s="714"/>
      <c r="M1749" s="714"/>
      <c r="N1749" s="714"/>
      <c r="O1749" s="753">
        <f t="shared" si="122"/>
        <v>0</v>
      </c>
      <c r="P1749" s="754"/>
    </row>
    <row r="1750" spans="1:89" ht="17.25" customHeight="1" x14ac:dyDescent="0.25">
      <c r="A1750" s="742"/>
      <c r="B1750" s="756" t="s">
        <v>168</v>
      </c>
      <c r="C1750" s="699">
        <v>1</v>
      </c>
      <c r="D1750" s="739" t="s">
        <v>16</v>
      </c>
      <c r="E1750" s="695">
        <v>15000</v>
      </c>
      <c r="F1750" s="714"/>
      <c r="G1750" s="714"/>
      <c r="H1750" s="714"/>
      <c r="I1750" s="714"/>
      <c r="J1750" s="714"/>
      <c r="K1750" s="714"/>
      <c r="L1750" s="714">
        <f>E1750*C1750</f>
        <v>15000</v>
      </c>
      <c r="M1750" s="714"/>
      <c r="N1750" s="714">
        <f>M1750+L1750</f>
        <v>15000</v>
      </c>
      <c r="O1750" s="753">
        <f t="shared" si="122"/>
        <v>15000</v>
      </c>
      <c r="P1750" s="754"/>
    </row>
    <row r="1751" spans="1:89" ht="17.25" customHeight="1" x14ac:dyDescent="0.25">
      <c r="A1751" s="742"/>
      <c r="B1751" s="756" t="s">
        <v>177</v>
      </c>
      <c r="C1751" s="699">
        <v>1</v>
      </c>
      <c r="D1751" s="739" t="s">
        <v>16</v>
      </c>
      <c r="E1751" s="695">
        <v>10000</v>
      </c>
      <c r="F1751" s="714"/>
      <c r="G1751" s="714"/>
      <c r="H1751" s="714"/>
      <c r="I1751" s="714"/>
      <c r="J1751" s="714"/>
      <c r="K1751" s="714"/>
      <c r="L1751" s="714">
        <f>E1751*C1751</f>
        <v>10000</v>
      </c>
      <c r="M1751" s="714"/>
      <c r="N1751" s="714">
        <f>M1751+L1751</f>
        <v>10000</v>
      </c>
      <c r="O1751" s="753">
        <f t="shared" si="122"/>
        <v>10000</v>
      </c>
      <c r="P1751" s="754"/>
    </row>
    <row r="1752" spans="1:89" ht="17.25" customHeight="1" x14ac:dyDescent="0.25">
      <c r="A1752" s="820"/>
      <c r="B1752" s="894"/>
      <c r="C1752" s="830"/>
      <c r="D1752" s="831"/>
      <c r="E1752" s="821"/>
      <c r="F1752" s="821"/>
      <c r="G1752" s="821"/>
      <c r="H1752" s="821"/>
      <c r="I1752" s="821"/>
      <c r="J1752" s="821"/>
      <c r="K1752" s="821"/>
      <c r="L1752" s="821"/>
      <c r="M1752" s="821"/>
      <c r="N1752" s="821"/>
      <c r="O1752" s="822"/>
      <c r="P1752" s="687"/>
    </row>
    <row r="1753" spans="1:89" ht="24.75" customHeight="1" x14ac:dyDescent="0.25">
      <c r="A1753" s="1352">
        <v>31</v>
      </c>
      <c r="B1753" s="1367" t="s">
        <v>178</v>
      </c>
      <c r="C1753" s="1212"/>
      <c r="D1753" s="1213"/>
      <c r="E1753" s="1214"/>
      <c r="F1753" s="1290">
        <f>F1755+F1759+F1772</f>
        <v>0</v>
      </c>
      <c r="G1753" s="1290">
        <f>G1755+G1759+G1772</f>
        <v>0</v>
      </c>
      <c r="H1753" s="1214">
        <f>G1753+F1753</f>
        <v>0</v>
      </c>
      <c r="I1753" s="1290">
        <f>I1755+I1759+I1772</f>
        <v>0</v>
      </c>
      <c r="J1753" s="1290">
        <f>J1755+J1759+J1772</f>
        <v>3804187</v>
      </c>
      <c r="K1753" s="1214">
        <f>J1753+I1753</f>
        <v>3804187</v>
      </c>
      <c r="L1753" s="1290">
        <f>L1755+L1759+L1772</f>
        <v>3560362</v>
      </c>
      <c r="M1753" s="1290">
        <f>M1755+M1759+M1772</f>
        <v>0</v>
      </c>
      <c r="N1753" s="1214">
        <f>M1753+L1753</f>
        <v>3560362</v>
      </c>
      <c r="O1753" s="1215">
        <f>N1753+K1753+H1753</f>
        <v>7364549</v>
      </c>
      <c r="P1753" s="680"/>
    </row>
    <row r="1754" spans="1:89" ht="17.25" customHeight="1" x14ac:dyDescent="0.25">
      <c r="A1754" s="909"/>
      <c r="B1754" s="910"/>
      <c r="C1754" s="817"/>
      <c r="D1754" s="807"/>
      <c r="E1754" s="818"/>
      <c r="F1754" s="818"/>
      <c r="G1754" s="818"/>
      <c r="H1754" s="818"/>
      <c r="I1754" s="818"/>
      <c r="J1754" s="818"/>
      <c r="K1754" s="818"/>
      <c r="L1754" s="818"/>
      <c r="M1754" s="818"/>
      <c r="N1754" s="818"/>
      <c r="O1754" s="819">
        <f>N1754+K1754+H1754</f>
        <v>0</v>
      </c>
      <c r="P1754" s="687"/>
    </row>
    <row r="1755" spans="1:89" s="672" customFormat="1" ht="39" customHeight="1" x14ac:dyDescent="0.25">
      <c r="A1755" s="1352" t="s">
        <v>15</v>
      </c>
      <c r="B1755" s="1314" t="s">
        <v>1156</v>
      </c>
      <c r="C1755" s="1212"/>
      <c r="D1755" s="1316"/>
      <c r="E1755" s="1214"/>
      <c r="F1755" s="1290">
        <f>SUM(F1756:F1757)</f>
        <v>0</v>
      </c>
      <c r="G1755" s="1290">
        <f>SUM(G1756:G1757)</f>
        <v>0</v>
      </c>
      <c r="H1755" s="1214">
        <f>F1755+G1755</f>
        <v>0</v>
      </c>
      <c r="I1755" s="1290">
        <f>SUM(I1756:I1757)</f>
        <v>0</v>
      </c>
      <c r="J1755" s="1290">
        <f>SUM(J1756:J1757)</f>
        <v>0</v>
      </c>
      <c r="K1755" s="1214">
        <f>I1755+J1755</f>
        <v>0</v>
      </c>
      <c r="L1755" s="1290">
        <f>SUM(L1756:L1757)</f>
        <v>3560362</v>
      </c>
      <c r="M1755" s="1290">
        <f>SUM(M1756:M1757)</f>
        <v>0</v>
      </c>
      <c r="N1755" s="1214">
        <f>L1755+M1755</f>
        <v>3560362</v>
      </c>
      <c r="O1755" s="1215">
        <f>N1755+K1755+H1755</f>
        <v>3560362</v>
      </c>
      <c r="P1755" s="680"/>
      <c r="Q1755" s="1581"/>
      <c r="R1755" s="1581"/>
      <c r="S1755" s="1581"/>
      <c r="T1755" s="1581"/>
      <c r="U1755" s="1581"/>
      <c r="V1755" s="1581"/>
      <c r="W1755" s="1581"/>
      <c r="X1755" s="1581"/>
      <c r="Y1755" s="1581"/>
      <c r="Z1755" s="1581"/>
      <c r="AA1755" s="1581"/>
      <c r="AB1755" s="1581"/>
      <c r="AC1755" s="1581"/>
      <c r="AD1755" s="1581"/>
      <c r="AE1755" s="1581"/>
      <c r="AF1755" s="1581"/>
      <c r="AG1755" s="1581"/>
      <c r="AH1755" s="1581"/>
      <c r="AI1755" s="1581"/>
      <c r="AJ1755" s="1581"/>
      <c r="AK1755" s="1581"/>
      <c r="AL1755" s="1581"/>
      <c r="AM1755" s="1581"/>
      <c r="AN1755" s="1581"/>
      <c r="AO1755" s="1581"/>
      <c r="AP1755" s="1581"/>
      <c r="AQ1755" s="1581"/>
      <c r="AR1755" s="1581"/>
      <c r="AS1755" s="1581"/>
      <c r="AT1755" s="1581"/>
      <c r="AU1755" s="1581"/>
      <c r="AV1755" s="1581"/>
      <c r="AW1755" s="1581"/>
      <c r="AX1755" s="1581"/>
      <c r="AY1755" s="1581"/>
      <c r="AZ1755" s="1581"/>
      <c r="BA1755" s="1581"/>
      <c r="BB1755" s="1581"/>
      <c r="BC1755" s="1581"/>
      <c r="BD1755" s="1581"/>
      <c r="BE1755" s="1581"/>
      <c r="BF1755" s="1581"/>
      <c r="BG1755" s="1581"/>
      <c r="BH1755" s="1581"/>
      <c r="BI1755" s="1581"/>
      <c r="BJ1755" s="1581"/>
      <c r="BK1755" s="1581"/>
      <c r="BL1755" s="1581"/>
      <c r="BM1755" s="1581"/>
      <c r="BN1755" s="1581"/>
      <c r="BO1755" s="1581"/>
      <c r="BP1755" s="1581"/>
      <c r="BQ1755" s="1581"/>
      <c r="BR1755" s="1581"/>
      <c r="BS1755" s="1581"/>
      <c r="BT1755" s="1581"/>
      <c r="BU1755" s="1581"/>
      <c r="BV1755" s="1581"/>
      <c r="BW1755" s="1581"/>
      <c r="BX1755" s="1581"/>
      <c r="BY1755" s="1581"/>
      <c r="BZ1755" s="1581"/>
      <c r="CA1755" s="1581"/>
      <c r="CB1755" s="1581"/>
      <c r="CC1755" s="1581"/>
      <c r="CD1755" s="1581"/>
      <c r="CE1755" s="1581"/>
      <c r="CF1755" s="1581"/>
      <c r="CG1755" s="1581"/>
      <c r="CH1755" s="1581"/>
      <c r="CI1755" s="1581"/>
      <c r="CJ1755" s="1581"/>
      <c r="CK1755" s="1581"/>
    </row>
    <row r="1756" spans="1:89" ht="17.25" customHeight="1" x14ac:dyDescent="0.25">
      <c r="A1756" s="681">
        <v>1</v>
      </c>
      <c r="B1756" s="1549" t="s">
        <v>1567</v>
      </c>
      <c r="C1756" s="872">
        <v>1</v>
      </c>
      <c r="D1756" s="683" t="s">
        <v>16</v>
      </c>
      <c r="E1756" s="685">
        <v>1877476</v>
      </c>
      <c r="F1756" s="685"/>
      <c r="G1756" s="685"/>
      <c r="H1756" s="685"/>
      <c r="I1756" s="685"/>
      <c r="J1756" s="685"/>
      <c r="K1756" s="685"/>
      <c r="L1756" s="685">
        <f>E1756*C1756</f>
        <v>1877476</v>
      </c>
      <c r="M1756" s="685"/>
      <c r="N1756" s="685">
        <f>L1756+M1756</f>
        <v>1877476</v>
      </c>
      <c r="O1756" s="686">
        <f>N1756+K1756+H1756</f>
        <v>1877476</v>
      </c>
      <c r="P1756" s="687"/>
    </row>
    <row r="1757" spans="1:89" ht="17.25" customHeight="1" x14ac:dyDescent="0.25">
      <c r="A1757" s="692">
        <v>2</v>
      </c>
      <c r="B1757" s="715" t="s">
        <v>1568</v>
      </c>
      <c r="C1757" s="713">
        <v>1</v>
      </c>
      <c r="D1757" s="727" t="s">
        <v>16</v>
      </c>
      <c r="E1757" s="695">
        <v>1682886</v>
      </c>
      <c r="F1757" s="695"/>
      <c r="G1757" s="695"/>
      <c r="H1757" s="695"/>
      <c r="I1757" s="695"/>
      <c r="J1757" s="695"/>
      <c r="K1757" s="695"/>
      <c r="L1757" s="695">
        <f>E1757*C1757</f>
        <v>1682886</v>
      </c>
      <c r="M1757" s="695"/>
      <c r="N1757" s="695">
        <f>L1757+M1757</f>
        <v>1682886</v>
      </c>
      <c r="O1757" s="696">
        <f>N1757+K1757+H1757</f>
        <v>1682886</v>
      </c>
      <c r="P1757" s="687"/>
    </row>
    <row r="1758" spans="1:89" ht="17.25" customHeight="1" x14ac:dyDescent="0.25">
      <c r="A1758" s="820"/>
      <c r="B1758" s="907"/>
      <c r="C1758" s="830"/>
      <c r="D1758" s="865"/>
      <c r="E1758" s="821"/>
      <c r="F1758" s="821"/>
      <c r="G1758" s="821"/>
      <c r="H1758" s="821"/>
      <c r="I1758" s="821"/>
      <c r="J1758" s="821"/>
      <c r="K1758" s="821"/>
      <c r="L1758" s="821"/>
      <c r="M1758" s="821"/>
      <c r="N1758" s="821"/>
      <c r="O1758" s="822"/>
      <c r="P1758" s="687"/>
    </row>
    <row r="1759" spans="1:89" s="672" customFormat="1" ht="17.25" customHeight="1" x14ac:dyDescent="0.25">
      <c r="A1759" s="1210" t="s">
        <v>22</v>
      </c>
      <c r="B1759" s="1550" t="s">
        <v>23</v>
      </c>
      <c r="C1759" s="1490"/>
      <c r="D1759" s="1491"/>
      <c r="E1759" s="1290"/>
      <c r="F1759" s="1290">
        <f>SUM(F1760:F1769)</f>
        <v>0</v>
      </c>
      <c r="G1759" s="1290">
        <f>SUM(G1760:G1769)</f>
        <v>0</v>
      </c>
      <c r="H1759" s="1290">
        <f>F1759+G1759</f>
        <v>0</v>
      </c>
      <c r="I1759" s="1290">
        <f>SUM(I1760:I1769)</f>
        <v>0</v>
      </c>
      <c r="J1759" s="1290">
        <f>SUM(J1760:J1769)</f>
        <v>3052800</v>
      </c>
      <c r="K1759" s="1290">
        <f>I1759+J1759</f>
        <v>3052800</v>
      </c>
      <c r="L1759" s="1290">
        <f>SUM(L1760:L1769)</f>
        <v>0</v>
      </c>
      <c r="M1759" s="1290">
        <f>SUM(M1760:M1769)</f>
        <v>0</v>
      </c>
      <c r="N1759" s="1290">
        <f>L1759+M1759</f>
        <v>0</v>
      </c>
      <c r="O1759" s="1494">
        <f>N1759+K1759+H1759</f>
        <v>3052800</v>
      </c>
      <c r="P1759" s="912"/>
      <c r="Q1759" s="1581"/>
      <c r="R1759" s="1581"/>
      <c r="S1759" s="1581"/>
      <c r="T1759" s="1581"/>
      <c r="U1759" s="1581"/>
      <c r="V1759" s="1581"/>
      <c r="W1759" s="1581"/>
      <c r="X1759" s="1581"/>
      <c r="Y1759" s="1581"/>
      <c r="Z1759" s="1581"/>
      <c r="AA1759" s="1581"/>
      <c r="AB1759" s="1581"/>
      <c r="AC1759" s="1581"/>
      <c r="AD1759" s="1581"/>
      <c r="AE1759" s="1581"/>
      <c r="AF1759" s="1581"/>
      <c r="AG1759" s="1581"/>
      <c r="AH1759" s="1581"/>
      <c r="AI1759" s="1581"/>
      <c r="AJ1759" s="1581"/>
      <c r="AK1759" s="1581"/>
      <c r="AL1759" s="1581"/>
      <c r="AM1759" s="1581"/>
      <c r="AN1759" s="1581"/>
      <c r="AO1759" s="1581"/>
      <c r="AP1759" s="1581"/>
      <c r="AQ1759" s="1581"/>
      <c r="AR1759" s="1581"/>
      <c r="AS1759" s="1581"/>
      <c r="AT1759" s="1581"/>
      <c r="AU1759" s="1581"/>
      <c r="AV1759" s="1581"/>
      <c r="AW1759" s="1581"/>
      <c r="AX1759" s="1581"/>
      <c r="AY1759" s="1581"/>
      <c r="AZ1759" s="1581"/>
      <c r="BA1759" s="1581"/>
      <c r="BB1759" s="1581"/>
      <c r="BC1759" s="1581"/>
      <c r="BD1759" s="1581"/>
      <c r="BE1759" s="1581"/>
      <c r="BF1759" s="1581"/>
      <c r="BG1759" s="1581"/>
      <c r="BH1759" s="1581"/>
      <c r="BI1759" s="1581"/>
      <c r="BJ1759" s="1581"/>
      <c r="BK1759" s="1581"/>
      <c r="BL1759" s="1581"/>
      <c r="BM1759" s="1581"/>
      <c r="BN1759" s="1581"/>
      <c r="BO1759" s="1581"/>
      <c r="BP1759" s="1581"/>
      <c r="BQ1759" s="1581"/>
      <c r="BR1759" s="1581"/>
      <c r="BS1759" s="1581"/>
      <c r="BT1759" s="1581"/>
      <c r="BU1759" s="1581"/>
      <c r="BV1759" s="1581"/>
      <c r="BW1759" s="1581"/>
      <c r="BX1759" s="1581"/>
      <c r="BY1759" s="1581"/>
      <c r="BZ1759" s="1581"/>
      <c r="CA1759" s="1581"/>
      <c r="CB1759" s="1581"/>
      <c r="CC1759" s="1581"/>
      <c r="CD1759" s="1581"/>
      <c r="CE1759" s="1581"/>
      <c r="CF1759" s="1581"/>
      <c r="CG1759" s="1581"/>
      <c r="CH1759" s="1581"/>
      <c r="CI1759" s="1581"/>
      <c r="CJ1759" s="1581"/>
      <c r="CK1759" s="1581"/>
    </row>
    <row r="1760" spans="1:89" ht="17.25" customHeight="1" x14ac:dyDescent="0.25">
      <c r="A1760" s="681">
        <v>1</v>
      </c>
      <c r="B1760" s="1551" t="s">
        <v>21</v>
      </c>
      <c r="C1760" s="872"/>
      <c r="D1760" s="1338"/>
      <c r="E1760" s="684"/>
      <c r="F1760" s="684"/>
      <c r="G1760" s="684"/>
      <c r="H1760" s="684"/>
      <c r="I1760" s="684"/>
      <c r="J1760" s="684"/>
      <c r="K1760" s="684"/>
      <c r="L1760" s="684"/>
      <c r="M1760" s="684"/>
      <c r="N1760" s="684"/>
      <c r="O1760" s="867">
        <f>N1760+K1760+H1760</f>
        <v>0</v>
      </c>
      <c r="P1760" s="754"/>
    </row>
    <row r="1761" spans="1:16" ht="17.25" customHeight="1" x14ac:dyDescent="0.25">
      <c r="A1761" s="692"/>
      <c r="B1761" s="1447" t="s">
        <v>179</v>
      </c>
      <c r="C1761" s="713">
        <v>1</v>
      </c>
      <c r="D1761" s="880" t="s">
        <v>25</v>
      </c>
      <c r="E1761" s="714">
        <v>2992800</v>
      </c>
      <c r="F1761" s="714"/>
      <c r="G1761" s="714"/>
      <c r="H1761" s="714"/>
      <c r="I1761" s="714"/>
      <c r="J1761" s="714">
        <f>E1761*C1761</f>
        <v>2992800</v>
      </c>
      <c r="K1761" s="714">
        <f>I1761+J1761</f>
        <v>2992800</v>
      </c>
      <c r="L1761" s="714"/>
      <c r="M1761" s="714"/>
      <c r="N1761" s="714"/>
      <c r="O1761" s="753">
        <f>N1761+K1761+H1761</f>
        <v>2992800</v>
      </c>
      <c r="P1761" s="754"/>
    </row>
    <row r="1762" spans="1:16" ht="17.25" customHeight="1" x14ac:dyDescent="0.25">
      <c r="A1762" s="692"/>
      <c r="B1762" s="1780" t="s">
        <v>2027</v>
      </c>
      <c r="C1762" s="713"/>
      <c r="D1762" s="880"/>
      <c r="E1762" s="714"/>
      <c r="F1762" s="714"/>
      <c r="G1762" s="714"/>
      <c r="H1762" s="714"/>
      <c r="I1762" s="714"/>
      <c r="J1762" s="714"/>
      <c r="K1762" s="714"/>
      <c r="L1762" s="714"/>
      <c r="M1762" s="714"/>
      <c r="N1762" s="714"/>
      <c r="O1762" s="753"/>
      <c r="P1762" s="754"/>
    </row>
    <row r="1763" spans="1:16" ht="17.25" customHeight="1" x14ac:dyDescent="0.25">
      <c r="A1763" s="692"/>
      <c r="B1763" s="1780" t="s">
        <v>2028</v>
      </c>
      <c r="C1763" s="713"/>
      <c r="D1763" s="880"/>
      <c r="E1763" s="714"/>
      <c r="F1763" s="714"/>
      <c r="G1763" s="714"/>
      <c r="H1763" s="714"/>
      <c r="I1763" s="714"/>
      <c r="J1763" s="714"/>
      <c r="K1763" s="714"/>
      <c r="L1763" s="714"/>
      <c r="M1763" s="714"/>
      <c r="N1763" s="714"/>
      <c r="O1763" s="753"/>
      <c r="P1763" s="754"/>
    </row>
    <row r="1764" spans="1:16" ht="17.25" customHeight="1" x14ac:dyDescent="0.25">
      <c r="A1764" s="692"/>
      <c r="B1764" s="1780" t="s">
        <v>2029</v>
      </c>
      <c r="C1764" s="713"/>
      <c r="D1764" s="880"/>
      <c r="E1764" s="714"/>
      <c r="F1764" s="714"/>
      <c r="G1764" s="714"/>
      <c r="H1764" s="714"/>
      <c r="I1764" s="714"/>
      <c r="J1764" s="714"/>
      <c r="K1764" s="714"/>
      <c r="L1764" s="714"/>
      <c r="M1764" s="714"/>
      <c r="N1764" s="714"/>
      <c r="O1764" s="753"/>
      <c r="P1764" s="754"/>
    </row>
    <row r="1765" spans="1:16" ht="17.25" customHeight="1" x14ac:dyDescent="0.25">
      <c r="A1765" s="692"/>
      <c r="B1765" s="1780" t="s">
        <v>2030</v>
      </c>
      <c r="C1765" s="713"/>
      <c r="D1765" s="880"/>
      <c r="E1765" s="714"/>
      <c r="F1765" s="714"/>
      <c r="G1765" s="714"/>
      <c r="H1765" s="714"/>
      <c r="I1765" s="714"/>
      <c r="J1765" s="714"/>
      <c r="K1765" s="714"/>
      <c r="L1765" s="714"/>
      <c r="M1765" s="714"/>
      <c r="N1765" s="714"/>
      <c r="O1765" s="753"/>
      <c r="P1765" s="754"/>
    </row>
    <row r="1766" spans="1:16" ht="17.25" customHeight="1" x14ac:dyDescent="0.25">
      <c r="A1766" s="692"/>
      <c r="B1766" s="1790" t="s">
        <v>2031</v>
      </c>
      <c r="C1766" s="713"/>
      <c r="D1766" s="880"/>
      <c r="E1766" s="714"/>
      <c r="F1766" s="714"/>
      <c r="G1766" s="714"/>
      <c r="H1766" s="714"/>
      <c r="I1766" s="714"/>
      <c r="J1766" s="714"/>
      <c r="K1766" s="714"/>
      <c r="L1766" s="714"/>
      <c r="M1766" s="714"/>
      <c r="N1766" s="714"/>
      <c r="O1766" s="753"/>
      <c r="P1766" s="754"/>
    </row>
    <row r="1767" spans="1:16" ht="17.25" customHeight="1" x14ac:dyDescent="0.25">
      <c r="A1767" s="692"/>
      <c r="B1767" s="1371"/>
      <c r="C1767" s="693"/>
      <c r="D1767" s="739"/>
      <c r="E1767" s="695"/>
      <c r="F1767" s="695"/>
      <c r="G1767" s="695"/>
      <c r="H1767" s="695"/>
      <c r="I1767" s="695"/>
      <c r="J1767" s="695"/>
      <c r="K1767" s="695"/>
      <c r="L1767" s="695"/>
      <c r="M1767" s="695"/>
      <c r="N1767" s="695"/>
      <c r="O1767" s="696"/>
      <c r="P1767" s="687"/>
    </row>
    <row r="1768" spans="1:16" ht="17.25" customHeight="1" x14ac:dyDescent="0.25">
      <c r="A1768" s="692">
        <v>2</v>
      </c>
      <c r="B1768" s="1371" t="s">
        <v>19</v>
      </c>
      <c r="C1768" s="693"/>
      <c r="D1768" s="739"/>
      <c r="E1768" s="695"/>
      <c r="F1768" s="695"/>
      <c r="G1768" s="695"/>
      <c r="H1768" s="695"/>
      <c r="I1768" s="695"/>
      <c r="J1768" s="695"/>
      <c r="K1768" s="695"/>
      <c r="L1768" s="695"/>
      <c r="M1768" s="695"/>
      <c r="N1768" s="695"/>
      <c r="O1768" s="696">
        <f>N1768+K1768+H1768</f>
        <v>0</v>
      </c>
      <c r="P1768" s="687"/>
    </row>
    <row r="1769" spans="1:16" ht="17.25" customHeight="1" x14ac:dyDescent="0.25">
      <c r="A1769" s="740"/>
      <c r="B1769" s="741" t="s">
        <v>26</v>
      </c>
      <c r="C1769" s="828">
        <v>1</v>
      </c>
      <c r="D1769" s="738" t="s">
        <v>25</v>
      </c>
      <c r="E1769" s="705">
        <v>60000</v>
      </c>
      <c r="F1769" s="705"/>
      <c r="G1769" s="705"/>
      <c r="H1769" s="705"/>
      <c r="I1769" s="705"/>
      <c r="J1769" s="705">
        <f>C1769*E1769</f>
        <v>60000</v>
      </c>
      <c r="K1769" s="705">
        <f>I1769+J1769</f>
        <v>60000</v>
      </c>
      <c r="L1769" s="705"/>
      <c r="M1769" s="705"/>
      <c r="N1769" s="705"/>
      <c r="O1769" s="1370">
        <f>N1769+K1769+H1769</f>
        <v>60000</v>
      </c>
      <c r="P1769" s="829"/>
    </row>
    <row r="1770" spans="1:16" ht="17.25" customHeight="1" x14ac:dyDescent="0.25">
      <c r="A1770" s="742"/>
      <c r="B1770" s="756"/>
      <c r="C1770" s="699"/>
      <c r="D1770" s="739"/>
      <c r="E1770" s="695"/>
      <c r="F1770" s="714"/>
      <c r="G1770" s="714"/>
      <c r="H1770" s="714"/>
      <c r="I1770" s="714"/>
      <c r="J1770" s="714"/>
      <c r="K1770" s="714"/>
      <c r="L1770" s="714"/>
      <c r="M1770" s="714"/>
      <c r="N1770" s="714"/>
      <c r="O1770" s="753"/>
      <c r="P1770" s="754"/>
    </row>
    <row r="1771" spans="1:16" ht="17.25" customHeight="1" x14ac:dyDescent="0.25">
      <c r="A1771" s="881"/>
      <c r="B1771" s="907"/>
      <c r="C1771" s="834"/>
      <c r="D1771" s="865"/>
      <c r="E1771" s="821"/>
      <c r="F1771" s="721"/>
      <c r="G1771" s="721"/>
      <c r="H1771" s="721"/>
      <c r="I1771" s="721"/>
      <c r="J1771" s="721"/>
      <c r="K1771" s="721"/>
      <c r="L1771" s="721"/>
      <c r="M1771" s="721"/>
      <c r="N1771" s="721"/>
      <c r="O1771" s="884">
        <f>N1771+K1771+H1771</f>
        <v>0</v>
      </c>
      <c r="P1771" s="754"/>
    </row>
    <row r="1772" spans="1:16" ht="17.25" customHeight="1" x14ac:dyDescent="0.25">
      <c r="A1772" s="1352" t="s">
        <v>28</v>
      </c>
      <c r="B1772" s="1367" t="s">
        <v>29</v>
      </c>
      <c r="C1772" s="1255"/>
      <c r="D1772" s="1316"/>
      <c r="E1772" s="1214"/>
      <c r="F1772" s="1290">
        <f>SUM(F1773:F1798)</f>
        <v>0</v>
      </c>
      <c r="G1772" s="1290">
        <f>SUM(G1773:G1798)</f>
        <v>0</v>
      </c>
      <c r="H1772" s="1290">
        <f>F1772+G1772</f>
        <v>0</v>
      </c>
      <c r="I1772" s="1290">
        <f>SUM(I1773:I1798)</f>
        <v>0</v>
      </c>
      <c r="J1772" s="1290">
        <f>SUM(J1773:J1798)</f>
        <v>751387</v>
      </c>
      <c r="K1772" s="1290">
        <f>I1772+J1772</f>
        <v>751387</v>
      </c>
      <c r="L1772" s="1290">
        <f>SUM(L1773:L1798)</f>
        <v>0</v>
      </c>
      <c r="M1772" s="1290">
        <f>SUM(M1773:M1798)</f>
        <v>0</v>
      </c>
      <c r="N1772" s="1290">
        <f>L1772+M1772</f>
        <v>0</v>
      </c>
      <c r="O1772" s="1494">
        <f>N1772+K1772+H1772</f>
        <v>751387</v>
      </c>
      <c r="P1772" s="912"/>
    </row>
    <row r="1773" spans="1:16" ht="17.25" customHeight="1" x14ac:dyDescent="0.25">
      <c r="A1773" s="730">
        <v>1</v>
      </c>
      <c r="B1773" s="873" t="s">
        <v>19</v>
      </c>
      <c r="C1773" s="835"/>
      <c r="D1773" s="863"/>
      <c r="E1773" s="685"/>
      <c r="F1773" s="684"/>
      <c r="G1773" s="684"/>
      <c r="H1773" s="684"/>
      <c r="I1773" s="684"/>
      <c r="J1773" s="684"/>
      <c r="K1773" s="684"/>
      <c r="L1773" s="684"/>
      <c r="M1773" s="684"/>
      <c r="N1773" s="684"/>
      <c r="O1773" s="867">
        <f>N1773+K1773+H1773</f>
        <v>0</v>
      </c>
      <c r="P1773" s="754"/>
    </row>
    <row r="1774" spans="1:16" ht="17.25" customHeight="1" x14ac:dyDescent="0.25">
      <c r="A1774" s="742"/>
      <c r="B1774" s="756" t="s">
        <v>30</v>
      </c>
      <c r="C1774" s="699">
        <v>12</v>
      </c>
      <c r="D1774" s="739" t="s">
        <v>20</v>
      </c>
      <c r="E1774" s="695">
        <v>1580</v>
      </c>
      <c r="F1774" s="714"/>
      <c r="G1774" s="714"/>
      <c r="H1774" s="714"/>
      <c r="I1774" s="714"/>
      <c r="J1774" s="714">
        <f>C1774*E1774</f>
        <v>18960</v>
      </c>
      <c r="K1774" s="714">
        <f>I1774+J1774</f>
        <v>18960</v>
      </c>
      <c r="L1774" s="714"/>
      <c r="M1774" s="714"/>
      <c r="N1774" s="714"/>
      <c r="O1774" s="753">
        <f>N1774+K1774+H1774</f>
        <v>18960</v>
      </c>
      <c r="P1774" s="754"/>
    </row>
    <row r="1775" spans="1:16" ht="17.25" customHeight="1" x14ac:dyDescent="0.25">
      <c r="A1775" s="742"/>
      <c r="B1775" s="756" t="s">
        <v>31</v>
      </c>
      <c r="C1775" s="699">
        <v>12</v>
      </c>
      <c r="D1775" s="739" t="s">
        <v>20</v>
      </c>
      <c r="E1775" s="695">
        <v>1250</v>
      </c>
      <c r="F1775" s="714"/>
      <c r="G1775" s="714"/>
      <c r="H1775" s="714"/>
      <c r="I1775" s="714"/>
      <c r="J1775" s="714">
        <f>C1775*E1775</f>
        <v>15000</v>
      </c>
      <c r="K1775" s="714">
        <f>I1775+J1775</f>
        <v>15000</v>
      </c>
      <c r="L1775" s="714"/>
      <c r="M1775" s="714"/>
      <c r="N1775" s="714"/>
      <c r="O1775" s="753">
        <f t="shared" ref="O1775:O1782" si="125">N1775+K1775+H1775</f>
        <v>15000</v>
      </c>
      <c r="P1775" s="754"/>
    </row>
    <row r="1776" spans="1:16" ht="17.25" customHeight="1" x14ac:dyDescent="0.25">
      <c r="A1776" s="742"/>
      <c r="B1776" s="756" t="s">
        <v>32</v>
      </c>
      <c r="C1776" s="699">
        <v>12</v>
      </c>
      <c r="D1776" s="739" t="s">
        <v>20</v>
      </c>
      <c r="E1776" s="695">
        <v>1090</v>
      </c>
      <c r="F1776" s="714"/>
      <c r="G1776" s="714"/>
      <c r="H1776" s="714"/>
      <c r="I1776" s="714"/>
      <c r="J1776" s="714">
        <f>C1776*E1776</f>
        <v>13080</v>
      </c>
      <c r="K1776" s="714">
        <f>I1776+J1776</f>
        <v>13080</v>
      </c>
      <c r="L1776" s="714"/>
      <c r="M1776" s="714"/>
      <c r="N1776" s="714"/>
      <c r="O1776" s="753">
        <f t="shared" si="125"/>
        <v>13080</v>
      </c>
      <c r="P1776" s="754"/>
    </row>
    <row r="1777" spans="1:16" ht="17.25" customHeight="1" x14ac:dyDescent="0.25">
      <c r="A1777" s="742"/>
      <c r="B1777" s="756" t="s">
        <v>33</v>
      </c>
      <c r="C1777" s="699">
        <v>60</v>
      </c>
      <c r="D1777" s="739" t="s">
        <v>20</v>
      </c>
      <c r="E1777" s="695">
        <v>810</v>
      </c>
      <c r="F1777" s="714"/>
      <c r="G1777" s="714"/>
      <c r="H1777" s="714"/>
      <c r="I1777" s="714"/>
      <c r="J1777" s="714">
        <f>C1777*E1777</f>
        <v>48600</v>
      </c>
      <c r="K1777" s="714">
        <f>I1777+J1777</f>
        <v>48600</v>
      </c>
      <c r="L1777" s="714"/>
      <c r="M1777" s="714"/>
      <c r="N1777" s="714"/>
      <c r="O1777" s="753">
        <f t="shared" si="125"/>
        <v>48600</v>
      </c>
      <c r="P1777" s="754"/>
    </row>
    <row r="1778" spans="1:16" ht="17.25" customHeight="1" x14ac:dyDescent="0.25">
      <c r="A1778" s="742"/>
      <c r="B1778" s="756" t="s">
        <v>34</v>
      </c>
      <c r="C1778" s="699"/>
      <c r="D1778" s="739"/>
      <c r="E1778" s="695"/>
      <c r="F1778" s="714"/>
      <c r="G1778" s="714"/>
      <c r="H1778" s="714"/>
      <c r="I1778" s="714"/>
      <c r="J1778" s="714"/>
      <c r="K1778" s="714"/>
      <c r="L1778" s="714"/>
      <c r="M1778" s="714"/>
      <c r="N1778" s="714"/>
      <c r="O1778" s="753">
        <f t="shared" si="125"/>
        <v>0</v>
      </c>
      <c r="P1778" s="754"/>
    </row>
    <row r="1779" spans="1:16" ht="17.25" customHeight="1" x14ac:dyDescent="0.25">
      <c r="A1779" s="742"/>
      <c r="B1779" s="715" t="s">
        <v>35</v>
      </c>
      <c r="C1779" s="699">
        <v>12</v>
      </c>
      <c r="D1779" s="739" t="s">
        <v>20</v>
      </c>
      <c r="E1779" s="695">
        <v>600</v>
      </c>
      <c r="F1779" s="714"/>
      <c r="G1779" s="714"/>
      <c r="H1779" s="714"/>
      <c r="I1779" s="714"/>
      <c r="J1779" s="714">
        <f>C1779*E1779</f>
        <v>7200</v>
      </c>
      <c r="K1779" s="714">
        <f>I1779+J1779</f>
        <v>7200</v>
      </c>
      <c r="L1779" s="714"/>
      <c r="M1779" s="714"/>
      <c r="N1779" s="714"/>
      <c r="O1779" s="753">
        <f t="shared" si="125"/>
        <v>7200</v>
      </c>
      <c r="P1779" s="754"/>
    </row>
    <row r="1780" spans="1:16" ht="17.25" customHeight="1" x14ac:dyDescent="0.25">
      <c r="A1780" s="742"/>
      <c r="B1780" s="715" t="s">
        <v>36</v>
      </c>
      <c r="C1780" s="699">
        <v>48</v>
      </c>
      <c r="D1780" s="739" t="s">
        <v>20</v>
      </c>
      <c r="E1780" s="695">
        <v>350</v>
      </c>
      <c r="F1780" s="714"/>
      <c r="G1780" s="714"/>
      <c r="H1780" s="714"/>
      <c r="I1780" s="714"/>
      <c r="J1780" s="714">
        <f>C1780*E1780</f>
        <v>16800</v>
      </c>
      <c r="K1780" s="714">
        <f>I1780+J1780</f>
        <v>16800</v>
      </c>
      <c r="L1780" s="714"/>
      <c r="M1780" s="714"/>
      <c r="N1780" s="714"/>
      <c r="O1780" s="753">
        <f t="shared" si="125"/>
        <v>16800</v>
      </c>
      <c r="P1780" s="754"/>
    </row>
    <row r="1781" spans="1:16" ht="17.25" customHeight="1" x14ac:dyDescent="0.25">
      <c r="A1781" s="742"/>
      <c r="B1781" s="756"/>
      <c r="C1781" s="699"/>
      <c r="D1781" s="739"/>
      <c r="E1781" s="695"/>
      <c r="F1781" s="714"/>
      <c r="G1781" s="714"/>
      <c r="H1781" s="714"/>
      <c r="I1781" s="714"/>
      <c r="J1781" s="714"/>
      <c r="K1781" s="714"/>
      <c r="L1781" s="714"/>
      <c r="M1781" s="714"/>
      <c r="N1781" s="714"/>
      <c r="O1781" s="753">
        <f t="shared" si="125"/>
        <v>0</v>
      </c>
      <c r="P1781" s="754"/>
    </row>
    <row r="1782" spans="1:16" ht="17.25" customHeight="1" x14ac:dyDescent="0.25">
      <c r="A1782" s="742">
        <v>2</v>
      </c>
      <c r="B1782" s="756" t="s">
        <v>180</v>
      </c>
      <c r="C1782" s="699">
        <v>1</v>
      </c>
      <c r="D1782" s="739" t="s">
        <v>25</v>
      </c>
      <c r="E1782" s="695">
        <v>59700</v>
      </c>
      <c r="F1782" s="714"/>
      <c r="G1782" s="714"/>
      <c r="H1782" s="714"/>
      <c r="I1782" s="714"/>
      <c r="J1782" s="714">
        <f>C1782*E1782</f>
        <v>59700</v>
      </c>
      <c r="K1782" s="714">
        <f>I1782+J1782</f>
        <v>59700</v>
      </c>
      <c r="L1782" s="714"/>
      <c r="M1782" s="714"/>
      <c r="N1782" s="714"/>
      <c r="O1782" s="753">
        <f t="shared" si="125"/>
        <v>59700</v>
      </c>
      <c r="P1782" s="754"/>
    </row>
    <row r="1783" spans="1:16" ht="17.25" customHeight="1" x14ac:dyDescent="0.25">
      <c r="A1783" s="742"/>
      <c r="B1783" s="756" t="s">
        <v>181</v>
      </c>
      <c r="C1783" s="699">
        <v>1</v>
      </c>
      <c r="D1783" s="739" t="s">
        <v>25</v>
      </c>
      <c r="E1783" s="695">
        <v>5000</v>
      </c>
      <c r="F1783" s="714"/>
      <c r="G1783" s="714"/>
      <c r="H1783" s="714"/>
      <c r="I1783" s="714"/>
      <c r="J1783" s="714">
        <f>C1783*E1783</f>
        <v>5000</v>
      </c>
      <c r="K1783" s="714">
        <f>I1783+J1783</f>
        <v>5000</v>
      </c>
      <c r="L1783" s="714"/>
      <c r="M1783" s="714"/>
      <c r="N1783" s="714"/>
      <c r="O1783" s="753">
        <f>N1783+K1783+H1783</f>
        <v>5000</v>
      </c>
      <c r="P1783" s="754"/>
    </row>
    <row r="1784" spans="1:16" ht="17.25" customHeight="1" x14ac:dyDescent="0.25">
      <c r="A1784" s="742"/>
      <c r="B1784" s="756"/>
      <c r="C1784" s="699"/>
      <c r="D1784" s="739"/>
      <c r="E1784" s="695"/>
      <c r="F1784" s="714"/>
      <c r="G1784" s="714"/>
      <c r="H1784" s="714"/>
      <c r="I1784" s="714"/>
      <c r="J1784" s="714"/>
      <c r="K1784" s="714"/>
      <c r="L1784" s="714"/>
      <c r="M1784" s="714"/>
      <c r="N1784" s="714"/>
      <c r="O1784" s="753">
        <f t="shared" ref="O1784:O1798" si="126">N1784+K1784+H1784</f>
        <v>0</v>
      </c>
      <c r="P1784" s="754"/>
    </row>
    <row r="1785" spans="1:16" ht="17.25" customHeight="1" x14ac:dyDescent="0.25">
      <c r="A1785" s="742">
        <v>3</v>
      </c>
      <c r="B1785" s="756" t="s">
        <v>27</v>
      </c>
      <c r="C1785" s="699"/>
      <c r="D1785" s="739"/>
      <c r="E1785" s="695"/>
      <c r="F1785" s="714"/>
      <c r="G1785" s="714"/>
      <c r="H1785" s="714"/>
      <c r="I1785" s="714"/>
      <c r="J1785" s="714"/>
      <c r="K1785" s="714"/>
      <c r="L1785" s="714"/>
      <c r="M1785" s="714"/>
      <c r="N1785" s="714"/>
      <c r="O1785" s="753">
        <f t="shared" si="126"/>
        <v>0</v>
      </c>
      <c r="P1785" s="754"/>
    </row>
    <row r="1786" spans="1:16" ht="17.25" customHeight="1" x14ac:dyDescent="0.25">
      <c r="A1786" s="742"/>
      <c r="B1786" s="756" t="s">
        <v>42</v>
      </c>
      <c r="C1786" s="699">
        <v>1</v>
      </c>
      <c r="D1786" s="739" t="s">
        <v>25</v>
      </c>
      <c r="E1786" s="695">
        <v>30447</v>
      </c>
      <c r="F1786" s="714"/>
      <c r="G1786" s="714"/>
      <c r="H1786" s="714"/>
      <c r="I1786" s="714"/>
      <c r="J1786" s="714">
        <f>C1786*E1786</f>
        <v>30447</v>
      </c>
      <c r="K1786" s="714">
        <f>I1786+J1786</f>
        <v>30447</v>
      </c>
      <c r="L1786" s="714"/>
      <c r="M1786" s="714"/>
      <c r="N1786" s="714"/>
      <c r="O1786" s="753">
        <f t="shared" si="126"/>
        <v>30447</v>
      </c>
      <c r="P1786" s="754"/>
    </row>
    <row r="1787" spans="1:16" ht="17.25" customHeight="1" x14ac:dyDescent="0.25">
      <c r="A1787" s="742"/>
      <c r="B1787" s="756"/>
      <c r="C1787" s="699"/>
      <c r="D1787" s="739"/>
      <c r="E1787" s="695"/>
      <c r="F1787" s="714"/>
      <c r="G1787" s="714"/>
      <c r="H1787" s="714"/>
      <c r="I1787" s="714"/>
      <c r="J1787" s="714"/>
      <c r="K1787" s="714"/>
      <c r="L1787" s="714"/>
      <c r="M1787" s="714"/>
      <c r="N1787" s="714"/>
      <c r="O1787" s="753">
        <f t="shared" si="126"/>
        <v>0</v>
      </c>
      <c r="P1787" s="754"/>
    </row>
    <row r="1788" spans="1:16" ht="17.25" customHeight="1" x14ac:dyDescent="0.25">
      <c r="A1788" s="742">
        <v>4</v>
      </c>
      <c r="B1788" s="756" t="s">
        <v>40</v>
      </c>
      <c r="C1788" s="699"/>
      <c r="D1788" s="739"/>
      <c r="E1788" s="695"/>
      <c r="F1788" s="714"/>
      <c r="G1788" s="714"/>
      <c r="H1788" s="714"/>
      <c r="I1788" s="714"/>
      <c r="J1788" s="714"/>
      <c r="K1788" s="714"/>
      <c r="L1788" s="714"/>
      <c r="M1788" s="714"/>
      <c r="N1788" s="714"/>
      <c r="O1788" s="753">
        <f t="shared" si="126"/>
        <v>0</v>
      </c>
      <c r="P1788" s="754"/>
    </row>
    <row r="1789" spans="1:16" ht="17.25" customHeight="1" x14ac:dyDescent="0.25">
      <c r="A1789" s="742"/>
      <c r="B1789" s="756" t="s">
        <v>41</v>
      </c>
      <c r="C1789" s="699">
        <v>1</v>
      </c>
      <c r="D1789" s="727" t="s">
        <v>25</v>
      </c>
      <c r="E1789" s="695">
        <v>30000</v>
      </c>
      <c r="F1789" s="714"/>
      <c r="G1789" s="714"/>
      <c r="H1789" s="714"/>
      <c r="I1789" s="714"/>
      <c r="J1789" s="714">
        <f>C1789*E1789</f>
        <v>30000</v>
      </c>
      <c r="K1789" s="714">
        <f>I1789+J1789</f>
        <v>30000</v>
      </c>
      <c r="L1789" s="714"/>
      <c r="M1789" s="714"/>
      <c r="N1789" s="714"/>
      <c r="O1789" s="753">
        <f t="shared" si="126"/>
        <v>30000</v>
      </c>
      <c r="P1789" s="754"/>
    </row>
    <row r="1790" spans="1:16" ht="17.25" customHeight="1" x14ac:dyDescent="0.25">
      <c r="A1790" s="742"/>
      <c r="B1790" s="756"/>
      <c r="C1790" s="699"/>
      <c r="D1790" s="727"/>
      <c r="E1790" s="695"/>
      <c r="F1790" s="714"/>
      <c r="G1790" s="714"/>
      <c r="H1790" s="714"/>
      <c r="I1790" s="714"/>
      <c r="J1790" s="714"/>
      <c r="K1790" s="714"/>
      <c r="L1790" s="714"/>
      <c r="M1790" s="714"/>
      <c r="N1790" s="714"/>
      <c r="O1790" s="753">
        <f t="shared" si="126"/>
        <v>0</v>
      </c>
      <c r="P1790" s="754"/>
    </row>
    <row r="1791" spans="1:16" ht="17.25" customHeight="1" x14ac:dyDescent="0.25">
      <c r="A1791" s="742">
        <v>5</v>
      </c>
      <c r="B1791" s="756" t="s">
        <v>43</v>
      </c>
      <c r="C1791" s="699"/>
      <c r="D1791" s="727"/>
      <c r="E1791" s="695"/>
      <c r="F1791" s="714"/>
      <c r="G1791" s="714"/>
      <c r="H1791" s="714"/>
      <c r="I1791" s="714"/>
      <c r="J1791" s="714"/>
      <c r="K1791" s="714"/>
      <c r="L1791" s="714"/>
      <c r="M1791" s="714"/>
      <c r="N1791" s="714"/>
      <c r="O1791" s="753">
        <f t="shared" si="126"/>
        <v>0</v>
      </c>
      <c r="P1791" s="754"/>
    </row>
    <row r="1792" spans="1:16" ht="17.25" customHeight="1" x14ac:dyDescent="0.25">
      <c r="A1792" s="742"/>
      <c r="B1792" s="756" t="s">
        <v>44</v>
      </c>
      <c r="C1792" s="699">
        <v>12</v>
      </c>
      <c r="D1792" s="716" t="s">
        <v>45</v>
      </c>
      <c r="E1792" s="695">
        <v>10000</v>
      </c>
      <c r="F1792" s="714"/>
      <c r="G1792" s="714"/>
      <c r="H1792" s="714"/>
      <c r="I1792" s="714"/>
      <c r="J1792" s="714">
        <f>C1792*E1792</f>
        <v>120000</v>
      </c>
      <c r="K1792" s="714">
        <f>I1792+J1792</f>
        <v>120000</v>
      </c>
      <c r="L1792" s="714"/>
      <c r="M1792" s="714"/>
      <c r="N1792" s="714"/>
      <c r="O1792" s="753">
        <f t="shared" si="126"/>
        <v>120000</v>
      </c>
      <c r="P1792" s="754"/>
    </row>
    <row r="1793" spans="1:89" ht="17.25" customHeight="1" x14ac:dyDescent="0.25">
      <c r="A1793" s="742"/>
      <c r="B1793" s="756"/>
      <c r="C1793" s="699"/>
      <c r="D1793" s="716"/>
      <c r="E1793" s="695"/>
      <c r="F1793" s="714"/>
      <c r="G1793" s="714"/>
      <c r="H1793" s="714"/>
      <c r="I1793" s="714"/>
      <c r="J1793" s="714"/>
      <c r="K1793" s="714"/>
      <c r="L1793" s="714"/>
      <c r="M1793" s="714"/>
      <c r="N1793" s="714"/>
      <c r="O1793" s="753">
        <f t="shared" si="126"/>
        <v>0</v>
      </c>
      <c r="P1793" s="754"/>
    </row>
    <row r="1794" spans="1:89" ht="17.25" customHeight="1" x14ac:dyDescent="0.25">
      <c r="A1794" s="742">
        <v>6</v>
      </c>
      <c r="B1794" s="756" t="s">
        <v>48</v>
      </c>
      <c r="C1794" s="699"/>
      <c r="D1794" s="716"/>
      <c r="E1794" s="695" t="s">
        <v>49</v>
      </c>
      <c r="F1794" s="714"/>
      <c r="G1794" s="714"/>
      <c r="H1794" s="714"/>
      <c r="I1794" s="714"/>
      <c r="J1794" s="714"/>
      <c r="K1794" s="714">
        <f>J1794+I1794</f>
        <v>0</v>
      </c>
      <c r="L1794" s="714"/>
      <c r="M1794" s="714"/>
      <c r="N1794" s="714"/>
      <c r="O1794" s="753">
        <f t="shared" si="126"/>
        <v>0</v>
      </c>
      <c r="P1794" s="754"/>
    </row>
    <row r="1795" spans="1:89" ht="17.25" customHeight="1" x14ac:dyDescent="0.25">
      <c r="A1795" s="742"/>
      <c r="B1795" s="756" t="s">
        <v>50</v>
      </c>
      <c r="C1795" s="699">
        <v>40</v>
      </c>
      <c r="D1795" s="716" t="s">
        <v>51</v>
      </c>
      <c r="E1795" s="695">
        <v>6600</v>
      </c>
      <c r="F1795" s="714"/>
      <c r="G1795" s="714"/>
      <c r="H1795" s="714"/>
      <c r="I1795" s="714"/>
      <c r="J1795" s="714">
        <f>C1795*E1795</f>
        <v>264000</v>
      </c>
      <c r="K1795" s="714">
        <f t="shared" ref="K1795:K1800" si="127">I1795+J1795</f>
        <v>264000</v>
      </c>
      <c r="L1795" s="714"/>
      <c r="M1795" s="714"/>
      <c r="N1795" s="714"/>
      <c r="O1795" s="753">
        <f t="shared" si="126"/>
        <v>264000</v>
      </c>
      <c r="P1795" s="754"/>
    </row>
    <row r="1796" spans="1:89" ht="17.25" customHeight="1" x14ac:dyDescent="0.25">
      <c r="A1796" s="742"/>
      <c r="B1796" s="744" t="s">
        <v>52</v>
      </c>
      <c r="C1796" s="699">
        <v>80</v>
      </c>
      <c r="D1796" s="716" t="s">
        <v>53</v>
      </c>
      <c r="E1796" s="695">
        <v>610</v>
      </c>
      <c r="F1796" s="714"/>
      <c r="G1796" s="714"/>
      <c r="H1796" s="714"/>
      <c r="I1796" s="714"/>
      <c r="J1796" s="714">
        <f>C1796*E1796</f>
        <v>48800</v>
      </c>
      <c r="K1796" s="714">
        <f t="shared" si="127"/>
        <v>48800</v>
      </c>
      <c r="L1796" s="714"/>
      <c r="M1796" s="714"/>
      <c r="N1796" s="714"/>
      <c r="O1796" s="753">
        <f t="shared" si="126"/>
        <v>48800</v>
      </c>
      <c r="P1796" s="754"/>
    </row>
    <row r="1797" spans="1:89" ht="17.25" customHeight="1" x14ac:dyDescent="0.25">
      <c r="A1797" s="742"/>
      <c r="B1797" s="744" t="s">
        <v>54</v>
      </c>
      <c r="C1797" s="699">
        <v>120</v>
      </c>
      <c r="D1797" s="716" t="s">
        <v>55</v>
      </c>
      <c r="E1797" s="695">
        <v>530</v>
      </c>
      <c r="F1797" s="714"/>
      <c r="G1797" s="714"/>
      <c r="H1797" s="714"/>
      <c r="I1797" s="714"/>
      <c r="J1797" s="714">
        <f>C1797*E1797</f>
        <v>63600</v>
      </c>
      <c r="K1797" s="714">
        <f t="shared" si="127"/>
        <v>63600</v>
      </c>
      <c r="L1797" s="714"/>
      <c r="M1797" s="714"/>
      <c r="N1797" s="714"/>
      <c r="O1797" s="753">
        <f t="shared" si="126"/>
        <v>63600</v>
      </c>
      <c r="P1797" s="754"/>
    </row>
    <row r="1798" spans="1:89" ht="17.25" customHeight="1" x14ac:dyDescent="0.25">
      <c r="A1798" s="742"/>
      <c r="B1798" s="744" t="s">
        <v>56</v>
      </c>
      <c r="C1798" s="699">
        <v>60</v>
      </c>
      <c r="D1798" s="716" t="s">
        <v>55</v>
      </c>
      <c r="E1798" s="695">
        <v>170</v>
      </c>
      <c r="F1798" s="714"/>
      <c r="G1798" s="714"/>
      <c r="H1798" s="714"/>
      <c r="I1798" s="714"/>
      <c r="J1798" s="714">
        <f>C1798*E1798</f>
        <v>10200</v>
      </c>
      <c r="K1798" s="714">
        <f t="shared" si="127"/>
        <v>10200</v>
      </c>
      <c r="L1798" s="714"/>
      <c r="M1798" s="714"/>
      <c r="N1798" s="714"/>
      <c r="O1798" s="753">
        <f t="shared" si="126"/>
        <v>10200</v>
      </c>
      <c r="P1798" s="754"/>
    </row>
    <row r="1799" spans="1:89" ht="17.25" customHeight="1" x14ac:dyDescent="0.25">
      <c r="A1799" s="881"/>
      <c r="B1799" s="797" t="s">
        <v>1569</v>
      </c>
      <c r="C1799" s="834">
        <v>1</v>
      </c>
      <c r="D1799" s="720" t="s">
        <v>60</v>
      </c>
      <c r="E1799" s="821"/>
      <c r="F1799" s="721"/>
      <c r="G1799" s="721"/>
      <c r="H1799" s="721"/>
      <c r="I1799" s="721"/>
      <c r="J1799" s="721">
        <f>C1799*E1799</f>
        <v>0</v>
      </c>
      <c r="K1799" s="721">
        <f t="shared" si="127"/>
        <v>0</v>
      </c>
      <c r="L1799" s="721"/>
      <c r="M1799" s="721"/>
      <c r="N1799" s="721"/>
      <c r="O1799" s="884">
        <f>N1799+K1799+H1799</f>
        <v>0</v>
      </c>
      <c r="P1799" s="754"/>
    </row>
    <row r="1800" spans="1:89" ht="22.5" customHeight="1" x14ac:dyDescent="0.25">
      <c r="A1800" s="1352">
        <v>32</v>
      </c>
      <c r="B1800" s="1367" t="s">
        <v>182</v>
      </c>
      <c r="C1800" s="1212"/>
      <c r="D1800" s="1213"/>
      <c r="E1800" s="1214"/>
      <c r="F1800" s="1290">
        <f>F1802+F1813+F1856</f>
        <v>0</v>
      </c>
      <c r="G1800" s="1290">
        <f>G1802+G1813+G1856</f>
        <v>0</v>
      </c>
      <c r="H1800" s="1214">
        <f>F1800+G1800</f>
        <v>0</v>
      </c>
      <c r="I1800" s="1290">
        <f>I1802+I1813+I1856</f>
        <v>0</v>
      </c>
      <c r="J1800" s="1290">
        <f>J1802+J1813+J1856</f>
        <v>11796833</v>
      </c>
      <c r="K1800" s="1214">
        <f t="shared" si="127"/>
        <v>11796833</v>
      </c>
      <c r="L1800" s="1290">
        <f>L1802+L1813+L1856</f>
        <v>5718900.5999999996</v>
      </c>
      <c r="M1800" s="1290">
        <f>M1802+M1813+M1856</f>
        <v>0</v>
      </c>
      <c r="N1800" s="1214">
        <f>L1800+M1800</f>
        <v>5718900.5999999996</v>
      </c>
      <c r="O1800" s="1215">
        <f t="shared" ref="O1800:O1808" si="128">N1800+K1800+H1800</f>
        <v>17515733.600000001</v>
      </c>
      <c r="P1800" s="680"/>
    </row>
    <row r="1801" spans="1:89" ht="17.25" customHeight="1" x14ac:dyDescent="0.25">
      <c r="A1801" s="730"/>
      <c r="B1801" s="873"/>
      <c r="C1801" s="682"/>
      <c r="D1801" s="683"/>
      <c r="E1801" s="685"/>
      <c r="F1801" s="685"/>
      <c r="G1801" s="685"/>
      <c r="H1801" s="685"/>
      <c r="I1801" s="685"/>
      <c r="J1801" s="685"/>
      <c r="K1801" s="685"/>
      <c r="L1801" s="685"/>
      <c r="M1801" s="685"/>
      <c r="N1801" s="685"/>
      <c r="O1801" s="686">
        <f t="shared" si="128"/>
        <v>0</v>
      </c>
      <c r="P1801" s="687"/>
    </row>
    <row r="1802" spans="1:89" s="672" customFormat="1" ht="35.25" customHeight="1" x14ac:dyDescent="0.25">
      <c r="A1802" s="737" t="s">
        <v>15</v>
      </c>
      <c r="B1802" s="1372" t="s">
        <v>1156</v>
      </c>
      <c r="C1802" s="828"/>
      <c r="D1802" s="738"/>
      <c r="E1802" s="705"/>
      <c r="F1802" s="874">
        <f>SUM(F1803:F1811)</f>
        <v>0</v>
      </c>
      <c r="G1802" s="874">
        <f>SUM(G1803:G1811)</f>
        <v>0</v>
      </c>
      <c r="H1802" s="705">
        <f>F1802+G1802</f>
        <v>0</v>
      </c>
      <c r="I1802" s="874">
        <f>SUM(I1803:I1811)</f>
        <v>0</v>
      </c>
      <c r="J1802" s="874">
        <f>SUM(J1803:J1811)</f>
        <v>0</v>
      </c>
      <c r="K1802" s="705">
        <f>I1802+J1802</f>
        <v>0</v>
      </c>
      <c r="L1802" s="874">
        <f>SUM(L1803:L1811)</f>
        <v>5718900.5999999996</v>
      </c>
      <c r="M1802" s="874">
        <f>SUM(M1803:M1811)</f>
        <v>0</v>
      </c>
      <c r="N1802" s="705">
        <f>L1802+M1802</f>
        <v>5718900.5999999996</v>
      </c>
      <c r="O1802" s="1370">
        <f t="shared" si="128"/>
        <v>5718900.5999999996</v>
      </c>
      <c r="P1802" s="829"/>
      <c r="Q1802" s="1581"/>
      <c r="R1802" s="1581"/>
      <c r="S1802" s="1581"/>
      <c r="T1802" s="1581"/>
      <c r="U1802" s="1581"/>
      <c r="V1802" s="1581"/>
      <c r="W1802" s="1581"/>
      <c r="X1802" s="1581"/>
      <c r="Y1802" s="1581"/>
      <c r="Z1802" s="1581"/>
      <c r="AA1802" s="1581"/>
      <c r="AB1802" s="1581"/>
      <c r="AC1802" s="1581"/>
      <c r="AD1802" s="1581"/>
      <c r="AE1802" s="1581"/>
      <c r="AF1802" s="1581"/>
      <c r="AG1802" s="1581"/>
      <c r="AH1802" s="1581"/>
      <c r="AI1802" s="1581"/>
      <c r="AJ1802" s="1581"/>
      <c r="AK1802" s="1581"/>
      <c r="AL1802" s="1581"/>
      <c r="AM1802" s="1581"/>
      <c r="AN1802" s="1581"/>
      <c r="AO1802" s="1581"/>
      <c r="AP1802" s="1581"/>
      <c r="AQ1802" s="1581"/>
      <c r="AR1802" s="1581"/>
      <c r="AS1802" s="1581"/>
      <c r="AT1802" s="1581"/>
      <c r="AU1802" s="1581"/>
      <c r="AV1802" s="1581"/>
      <c r="AW1802" s="1581"/>
      <c r="AX1802" s="1581"/>
      <c r="AY1802" s="1581"/>
      <c r="AZ1802" s="1581"/>
      <c r="BA1802" s="1581"/>
      <c r="BB1802" s="1581"/>
      <c r="BC1802" s="1581"/>
      <c r="BD1802" s="1581"/>
      <c r="BE1802" s="1581"/>
      <c r="BF1802" s="1581"/>
      <c r="BG1802" s="1581"/>
      <c r="BH1802" s="1581"/>
      <c r="BI1802" s="1581"/>
      <c r="BJ1802" s="1581"/>
      <c r="BK1802" s="1581"/>
      <c r="BL1802" s="1581"/>
      <c r="BM1802" s="1581"/>
      <c r="BN1802" s="1581"/>
      <c r="BO1802" s="1581"/>
      <c r="BP1802" s="1581"/>
      <c r="BQ1802" s="1581"/>
      <c r="BR1802" s="1581"/>
      <c r="BS1802" s="1581"/>
      <c r="BT1802" s="1581"/>
      <c r="BU1802" s="1581"/>
      <c r="BV1802" s="1581"/>
      <c r="BW1802" s="1581"/>
      <c r="BX1802" s="1581"/>
      <c r="BY1802" s="1581"/>
      <c r="BZ1802" s="1581"/>
      <c r="CA1802" s="1581"/>
      <c r="CB1802" s="1581"/>
      <c r="CC1802" s="1581"/>
      <c r="CD1802" s="1581"/>
      <c r="CE1802" s="1581"/>
      <c r="CF1802" s="1581"/>
      <c r="CG1802" s="1581"/>
      <c r="CH1802" s="1581"/>
      <c r="CI1802" s="1581"/>
      <c r="CJ1802" s="1581"/>
      <c r="CK1802" s="1581"/>
    </row>
    <row r="1803" spans="1:89" ht="17.25" customHeight="1" x14ac:dyDescent="0.2">
      <c r="A1803" s="742">
        <v>1</v>
      </c>
      <c r="B1803" s="1552" t="s">
        <v>1570</v>
      </c>
      <c r="C1803" s="693">
        <v>1</v>
      </c>
      <c r="D1803" s="739" t="s">
        <v>16</v>
      </c>
      <c r="E1803" s="695">
        <v>1345261.6</v>
      </c>
      <c r="F1803" s="695"/>
      <c r="G1803" s="695"/>
      <c r="H1803" s="695"/>
      <c r="I1803" s="695"/>
      <c r="J1803" s="695"/>
      <c r="K1803" s="695"/>
      <c r="L1803" s="695">
        <f t="shared" ref="L1803:L1808" si="129">E1803*C1803</f>
        <v>1345261.6</v>
      </c>
      <c r="M1803" s="695"/>
      <c r="N1803" s="695">
        <f t="shared" ref="N1803:N1808" si="130">L1803+M1803</f>
        <v>1345261.6</v>
      </c>
      <c r="O1803" s="696">
        <f t="shared" si="128"/>
        <v>1345261.6</v>
      </c>
      <c r="P1803" s="687"/>
    </row>
    <row r="1804" spans="1:89" ht="17.25" customHeight="1" x14ac:dyDescent="0.2">
      <c r="A1804" s="742">
        <v>2</v>
      </c>
      <c r="B1804" s="1552" t="s">
        <v>1571</v>
      </c>
      <c r="C1804" s="693">
        <v>1</v>
      </c>
      <c r="D1804" s="739" t="s">
        <v>16</v>
      </c>
      <c r="E1804" s="695">
        <v>1373639</v>
      </c>
      <c r="F1804" s="695"/>
      <c r="G1804" s="695"/>
      <c r="H1804" s="695"/>
      <c r="I1804" s="695"/>
      <c r="J1804" s="695"/>
      <c r="K1804" s="695"/>
      <c r="L1804" s="695">
        <f t="shared" si="129"/>
        <v>1373639</v>
      </c>
      <c r="M1804" s="695"/>
      <c r="N1804" s="695">
        <f t="shared" si="130"/>
        <v>1373639</v>
      </c>
      <c r="O1804" s="696">
        <f t="shared" si="128"/>
        <v>1373639</v>
      </c>
      <c r="P1804" s="687"/>
    </row>
    <row r="1805" spans="1:89" ht="17.25" customHeight="1" x14ac:dyDescent="0.25">
      <c r="A1805" s="742">
        <v>3</v>
      </c>
      <c r="B1805" s="1553" t="s">
        <v>1572</v>
      </c>
      <c r="C1805" s="693">
        <v>1</v>
      </c>
      <c r="D1805" s="739" t="s">
        <v>16</v>
      </c>
      <c r="E1805" s="695">
        <v>1000000</v>
      </c>
      <c r="F1805" s="695"/>
      <c r="G1805" s="695"/>
      <c r="H1805" s="695"/>
      <c r="I1805" s="695"/>
      <c r="J1805" s="695"/>
      <c r="K1805" s="695"/>
      <c r="L1805" s="695">
        <f t="shared" si="129"/>
        <v>1000000</v>
      </c>
      <c r="M1805" s="695"/>
      <c r="N1805" s="695">
        <f t="shared" si="130"/>
        <v>1000000</v>
      </c>
      <c r="O1805" s="696">
        <f t="shared" si="128"/>
        <v>1000000</v>
      </c>
      <c r="P1805" s="687"/>
    </row>
    <row r="1806" spans="1:89" ht="17.25" customHeight="1" x14ac:dyDescent="0.25">
      <c r="A1806" s="742">
        <v>4</v>
      </c>
      <c r="B1806" s="744" t="s">
        <v>1573</v>
      </c>
      <c r="C1806" s="693">
        <v>1</v>
      </c>
      <c r="D1806" s="739" t="s">
        <v>16</v>
      </c>
      <c r="E1806" s="695">
        <v>1000000</v>
      </c>
      <c r="F1806" s="695"/>
      <c r="G1806" s="695"/>
      <c r="H1806" s="695"/>
      <c r="I1806" s="695"/>
      <c r="J1806" s="695"/>
      <c r="K1806" s="695"/>
      <c r="L1806" s="695">
        <f t="shared" si="129"/>
        <v>1000000</v>
      </c>
      <c r="M1806" s="695"/>
      <c r="N1806" s="695">
        <f t="shared" si="130"/>
        <v>1000000</v>
      </c>
      <c r="O1806" s="696">
        <f t="shared" si="128"/>
        <v>1000000</v>
      </c>
      <c r="P1806" s="687"/>
    </row>
    <row r="1807" spans="1:89" ht="17.25" hidden="1" customHeight="1" x14ac:dyDescent="0.25">
      <c r="A1807" s="692">
        <v>5</v>
      </c>
      <c r="B1807" s="756" t="s">
        <v>1574</v>
      </c>
      <c r="C1807" s="713">
        <v>0</v>
      </c>
      <c r="D1807" s="880" t="s">
        <v>16</v>
      </c>
      <c r="E1807" s="695">
        <v>1500000</v>
      </c>
      <c r="F1807" s="695"/>
      <c r="G1807" s="695"/>
      <c r="H1807" s="695"/>
      <c r="I1807" s="695"/>
      <c r="J1807" s="695"/>
      <c r="K1807" s="695"/>
      <c r="L1807" s="695">
        <f t="shared" si="129"/>
        <v>0</v>
      </c>
      <c r="M1807" s="695"/>
      <c r="N1807" s="695">
        <f t="shared" si="130"/>
        <v>0</v>
      </c>
      <c r="O1807" s="696">
        <f t="shared" si="128"/>
        <v>0</v>
      </c>
      <c r="P1807" s="687"/>
    </row>
    <row r="1808" spans="1:89" ht="17.25" hidden="1" customHeight="1" x14ac:dyDescent="0.25">
      <c r="A1808" s="692">
        <v>6</v>
      </c>
      <c r="B1808" s="756" t="s">
        <v>1575</v>
      </c>
      <c r="C1808" s="693">
        <v>0</v>
      </c>
      <c r="D1808" s="739" t="s">
        <v>16</v>
      </c>
      <c r="E1808" s="695">
        <v>1500000</v>
      </c>
      <c r="F1808" s="695"/>
      <c r="G1808" s="695"/>
      <c r="H1808" s="695"/>
      <c r="I1808" s="695"/>
      <c r="J1808" s="695"/>
      <c r="K1808" s="695"/>
      <c r="L1808" s="695">
        <f t="shared" si="129"/>
        <v>0</v>
      </c>
      <c r="M1808" s="695"/>
      <c r="N1808" s="695">
        <f t="shared" si="130"/>
        <v>0</v>
      </c>
      <c r="O1808" s="696">
        <f t="shared" si="128"/>
        <v>0</v>
      </c>
      <c r="P1808" s="687"/>
    </row>
    <row r="1809" spans="1:89" ht="17.25" customHeight="1" x14ac:dyDescent="0.25">
      <c r="A1809" s="692"/>
      <c r="B1809" s="744"/>
      <c r="C1809" s="693"/>
      <c r="D1809" s="739"/>
      <c r="E1809" s="695"/>
      <c r="F1809" s="695"/>
      <c r="G1809" s="695"/>
      <c r="H1809" s="695"/>
      <c r="I1809" s="695"/>
      <c r="J1809" s="695"/>
      <c r="K1809" s="695"/>
      <c r="L1809" s="695"/>
      <c r="M1809" s="695"/>
      <c r="N1809" s="695"/>
      <c r="O1809" s="696"/>
      <c r="P1809" s="687"/>
    </row>
    <row r="1810" spans="1:89" ht="17.25" customHeight="1" x14ac:dyDescent="0.25">
      <c r="A1810" s="692"/>
      <c r="B1810" s="744" t="s">
        <v>1689</v>
      </c>
      <c r="C1810" s="693"/>
      <c r="D1810" s="739"/>
      <c r="E1810" s="695"/>
      <c r="F1810" s="695"/>
      <c r="G1810" s="695"/>
      <c r="H1810" s="695"/>
      <c r="I1810" s="695"/>
      <c r="J1810" s="695"/>
      <c r="K1810" s="695"/>
      <c r="L1810" s="695"/>
      <c r="M1810" s="695"/>
      <c r="N1810" s="695"/>
      <c r="O1810" s="696"/>
      <c r="P1810" s="687"/>
    </row>
    <row r="1811" spans="1:89" ht="17.25" customHeight="1" x14ac:dyDescent="0.25">
      <c r="A1811" s="742">
        <v>5</v>
      </c>
      <c r="B1811" s="744" t="s">
        <v>1690</v>
      </c>
      <c r="C1811" s="693">
        <v>1</v>
      </c>
      <c r="D1811" s="739" t="s">
        <v>16</v>
      </c>
      <c r="E1811" s="695">
        <v>1000000</v>
      </c>
      <c r="F1811" s="695"/>
      <c r="G1811" s="695"/>
      <c r="H1811" s="695"/>
      <c r="I1811" s="695"/>
      <c r="J1811" s="695"/>
      <c r="K1811" s="695"/>
      <c r="L1811" s="695">
        <f>E1811*C1811</f>
        <v>1000000</v>
      </c>
      <c r="M1811" s="695"/>
      <c r="N1811" s="695">
        <f>L1811+M1811</f>
        <v>1000000</v>
      </c>
      <c r="O1811" s="696">
        <f>N1811+K1811+H1811</f>
        <v>1000000</v>
      </c>
      <c r="P1811" s="687"/>
    </row>
    <row r="1812" spans="1:89" s="1559" customFormat="1" ht="17.25" customHeight="1" x14ac:dyDescent="0.25">
      <c r="A1812" s="1554"/>
      <c r="B1812" s="1555"/>
      <c r="C1812" s="1556"/>
      <c r="D1812" s="1557"/>
      <c r="E1812" s="745"/>
      <c r="F1812" s="745"/>
      <c r="G1812" s="745"/>
      <c r="H1812" s="745"/>
      <c r="I1812" s="745"/>
      <c r="J1812" s="745"/>
      <c r="K1812" s="745"/>
      <c r="L1812" s="745"/>
      <c r="M1812" s="745"/>
      <c r="N1812" s="745"/>
      <c r="O1812" s="1558"/>
      <c r="P1812" s="746"/>
      <c r="Q1812" s="1566"/>
      <c r="R1812" s="1566"/>
      <c r="S1812" s="1566"/>
      <c r="T1812" s="1566"/>
      <c r="U1812" s="1566"/>
      <c r="V1812" s="1566"/>
      <c r="W1812" s="1566"/>
      <c r="X1812" s="1566"/>
      <c r="Y1812" s="1566"/>
      <c r="Z1812" s="1566"/>
      <c r="AA1812" s="1566"/>
      <c r="AB1812" s="1566"/>
      <c r="AC1812" s="1566"/>
      <c r="AD1812" s="1566"/>
      <c r="AE1812" s="1566"/>
      <c r="AF1812" s="1566"/>
      <c r="AG1812" s="1566"/>
      <c r="AH1812" s="1566"/>
      <c r="AI1812" s="1566"/>
      <c r="AJ1812" s="1566"/>
      <c r="AK1812" s="1566"/>
      <c r="AL1812" s="1566"/>
      <c r="AM1812" s="1566"/>
      <c r="AN1812" s="1566"/>
      <c r="AO1812" s="1566"/>
      <c r="AP1812" s="1566"/>
      <c r="AQ1812" s="1566"/>
      <c r="AR1812" s="1566"/>
      <c r="AS1812" s="1566"/>
      <c r="AT1812" s="1566"/>
      <c r="AU1812" s="1566"/>
      <c r="AV1812" s="1566"/>
      <c r="AW1812" s="1566"/>
      <c r="AX1812" s="1566"/>
      <c r="AY1812" s="1566"/>
      <c r="AZ1812" s="1566"/>
      <c r="BA1812" s="1566"/>
      <c r="BB1812" s="1566"/>
      <c r="BC1812" s="1566"/>
      <c r="BD1812" s="1566"/>
      <c r="BE1812" s="1566"/>
      <c r="BF1812" s="1566"/>
      <c r="BG1812" s="1566"/>
      <c r="BH1812" s="1566"/>
      <c r="BI1812" s="1566"/>
      <c r="BJ1812" s="1566"/>
      <c r="BK1812" s="1566"/>
      <c r="BL1812" s="1566"/>
      <c r="BM1812" s="1566"/>
      <c r="BN1812" s="1566"/>
      <c r="BO1812" s="1566"/>
      <c r="BP1812" s="1566"/>
      <c r="BQ1812" s="1566"/>
      <c r="BR1812" s="1566"/>
      <c r="BS1812" s="1566"/>
      <c r="BT1812" s="1566"/>
      <c r="BU1812" s="1566"/>
      <c r="BV1812" s="1566"/>
      <c r="BW1812" s="1566"/>
      <c r="BX1812" s="1566"/>
      <c r="BY1812" s="1566"/>
      <c r="BZ1812" s="1566"/>
      <c r="CA1812" s="1566"/>
      <c r="CB1812" s="1566"/>
      <c r="CC1812" s="1566"/>
      <c r="CD1812" s="1566"/>
      <c r="CE1812" s="1566"/>
      <c r="CF1812" s="1566"/>
      <c r="CG1812" s="1566"/>
      <c r="CH1812" s="1566"/>
      <c r="CI1812" s="1566"/>
      <c r="CJ1812" s="1566"/>
      <c r="CK1812" s="1566"/>
    </row>
    <row r="1813" spans="1:89" s="1561" customFormat="1" ht="21" customHeight="1" x14ac:dyDescent="0.25">
      <c r="A1813" s="1554" t="s">
        <v>22</v>
      </c>
      <c r="B1813" s="1560" t="s">
        <v>23</v>
      </c>
      <c r="C1813" s="1556"/>
      <c r="D1813" s="1557"/>
      <c r="E1813" s="745"/>
      <c r="F1813" s="745">
        <f>SUM(F1814:F1855)</f>
        <v>0</v>
      </c>
      <c r="G1813" s="745">
        <f>SUM(G1814:G1855)</f>
        <v>0</v>
      </c>
      <c r="H1813" s="745">
        <f>F1813+G1813</f>
        <v>0</v>
      </c>
      <c r="I1813" s="745">
        <f>SUM(I1814:I1855)</f>
        <v>0</v>
      </c>
      <c r="J1813" s="745">
        <f>SUM(J1814:J1855)</f>
        <v>11229633</v>
      </c>
      <c r="K1813" s="745">
        <f>I1813+J1813</f>
        <v>11229633</v>
      </c>
      <c r="L1813" s="745">
        <f>SUM(L1814:L1855)</f>
        <v>0</v>
      </c>
      <c r="M1813" s="745">
        <f>SUM(M1814:M1855)</f>
        <v>0</v>
      </c>
      <c r="N1813" s="745">
        <f>L1813+M1813</f>
        <v>0</v>
      </c>
      <c r="O1813" s="1558">
        <f>N1813+K1813+H1813</f>
        <v>11229633</v>
      </c>
      <c r="P1813" s="746"/>
    </row>
    <row r="1814" spans="1:89" s="1566" customFormat="1" ht="21" customHeight="1" x14ac:dyDescent="0.25">
      <c r="A1814" s="1562">
        <v>1</v>
      </c>
      <c r="B1814" s="1563" t="s">
        <v>21</v>
      </c>
      <c r="C1814" s="1564"/>
      <c r="D1814" s="1565"/>
      <c r="E1814" s="747"/>
      <c r="F1814" s="747"/>
      <c r="G1814" s="747"/>
      <c r="H1814" s="747"/>
      <c r="I1814" s="747"/>
      <c r="J1814" s="747"/>
      <c r="K1814" s="747"/>
      <c r="L1814" s="747"/>
      <c r="M1814" s="747"/>
      <c r="N1814" s="747"/>
      <c r="O1814" s="748">
        <f>N1814+K1814+H1814</f>
        <v>0</v>
      </c>
      <c r="P1814" s="749"/>
    </row>
    <row r="1815" spans="1:89" s="1566" customFormat="1" ht="21" customHeight="1" x14ac:dyDescent="0.25">
      <c r="A1815" s="1562"/>
      <c r="B1815" s="1563" t="s">
        <v>1576</v>
      </c>
      <c r="C1815" s="1564">
        <v>1</v>
      </c>
      <c r="D1815" s="1565" t="s">
        <v>25</v>
      </c>
      <c r="E1815" s="747">
        <v>11129633</v>
      </c>
      <c r="F1815" s="747"/>
      <c r="G1815" s="747"/>
      <c r="H1815" s="747"/>
      <c r="I1815" s="747"/>
      <c r="J1815" s="747">
        <f>E1815*C1815</f>
        <v>11129633</v>
      </c>
      <c r="K1815" s="747">
        <f>I1815+J1815</f>
        <v>11129633</v>
      </c>
      <c r="L1815" s="747"/>
      <c r="M1815" s="747"/>
      <c r="N1815" s="747"/>
      <c r="O1815" s="748">
        <f>N1815+K1815+H1815</f>
        <v>11129633</v>
      </c>
      <c r="P1815" s="749"/>
    </row>
    <row r="1816" spans="1:89" s="1566" customFormat="1" ht="21" customHeight="1" x14ac:dyDescent="0.25">
      <c r="A1816" s="1562"/>
      <c r="B1816" s="1560" t="s">
        <v>1097</v>
      </c>
      <c r="C1816" s="1564"/>
      <c r="D1816" s="1565"/>
      <c r="E1816" s="747"/>
      <c r="F1816" s="747"/>
      <c r="G1816" s="747"/>
      <c r="H1816" s="747"/>
      <c r="I1816" s="747"/>
      <c r="J1816" s="747"/>
      <c r="K1816" s="747"/>
      <c r="L1816" s="747"/>
      <c r="M1816" s="747"/>
      <c r="N1816" s="747"/>
      <c r="O1816" s="748"/>
      <c r="P1816" s="749"/>
    </row>
    <row r="1817" spans="1:89" s="1566" customFormat="1" ht="21" customHeight="1" x14ac:dyDescent="0.25">
      <c r="A1817" s="1562"/>
      <c r="B1817" s="1563" t="s">
        <v>1098</v>
      </c>
      <c r="C1817" s="1564"/>
      <c r="D1817" s="1565"/>
      <c r="E1817" s="747"/>
      <c r="F1817" s="747"/>
      <c r="G1817" s="747"/>
      <c r="H1817" s="747"/>
      <c r="I1817" s="747"/>
      <c r="J1817" s="747"/>
      <c r="K1817" s="747"/>
      <c r="L1817" s="747"/>
      <c r="M1817" s="747"/>
      <c r="N1817" s="747"/>
      <c r="O1817" s="748"/>
      <c r="P1817" s="749"/>
    </row>
    <row r="1818" spans="1:89" s="1566" customFormat="1" ht="21" customHeight="1" x14ac:dyDescent="0.25">
      <c r="A1818" s="1562"/>
      <c r="B1818" s="1563" t="s">
        <v>1099</v>
      </c>
      <c r="C1818" s="1564"/>
      <c r="D1818" s="1565"/>
      <c r="E1818" s="747"/>
      <c r="F1818" s="747"/>
      <c r="G1818" s="747"/>
      <c r="H1818" s="747"/>
      <c r="I1818" s="747"/>
      <c r="J1818" s="747"/>
      <c r="K1818" s="747"/>
      <c r="L1818" s="747"/>
      <c r="M1818" s="747"/>
      <c r="N1818" s="747"/>
      <c r="O1818" s="748"/>
      <c r="P1818" s="749"/>
    </row>
    <row r="1819" spans="1:89" s="1559" customFormat="1" ht="21" customHeight="1" x14ac:dyDescent="0.25">
      <c r="A1819" s="1562"/>
      <c r="B1819" s="1563" t="s">
        <v>1577</v>
      </c>
      <c r="C1819" s="1564"/>
      <c r="D1819" s="1565"/>
      <c r="E1819" s="747"/>
      <c r="F1819" s="747"/>
      <c r="G1819" s="747"/>
      <c r="H1819" s="747"/>
      <c r="I1819" s="747"/>
      <c r="J1819" s="747"/>
      <c r="K1819" s="747"/>
      <c r="L1819" s="747"/>
      <c r="M1819" s="747"/>
      <c r="N1819" s="747"/>
      <c r="O1819" s="748"/>
      <c r="P1819" s="749"/>
      <c r="Q1819" s="1566"/>
      <c r="R1819" s="1566"/>
      <c r="S1819" s="1566"/>
      <c r="T1819" s="1566"/>
      <c r="U1819" s="1566"/>
      <c r="V1819" s="1566"/>
      <c r="W1819" s="1566"/>
      <c r="X1819" s="1566"/>
      <c r="Y1819" s="1566"/>
      <c r="Z1819" s="1566"/>
      <c r="AA1819" s="1566"/>
      <c r="AB1819" s="1566"/>
      <c r="AC1819" s="1566"/>
      <c r="AD1819" s="1566"/>
      <c r="AE1819" s="1566"/>
      <c r="AF1819" s="1566"/>
      <c r="AG1819" s="1566"/>
      <c r="AH1819" s="1566"/>
      <c r="AI1819" s="1566"/>
      <c r="AJ1819" s="1566"/>
      <c r="AK1819" s="1566"/>
      <c r="AL1819" s="1566"/>
      <c r="AM1819" s="1566"/>
      <c r="AN1819" s="1566"/>
      <c r="AO1819" s="1566"/>
      <c r="AP1819" s="1566"/>
      <c r="AQ1819" s="1566"/>
      <c r="AR1819" s="1566"/>
      <c r="AS1819" s="1566"/>
      <c r="AT1819" s="1566"/>
      <c r="AU1819" s="1566"/>
      <c r="AV1819" s="1566"/>
      <c r="AW1819" s="1566"/>
      <c r="AX1819" s="1566"/>
      <c r="AY1819" s="1566"/>
      <c r="AZ1819" s="1566"/>
      <c r="BA1819" s="1566"/>
      <c r="BB1819" s="1566"/>
      <c r="BC1819" s="1566"/>
      <c r="BD1819" s="1566"/>
      <c r="BE1819" s="1566"/>
      <c r="BF1819" s="1566"/>
      <c r="BG1819" s="1566"/>
      <c r="BH1819" s="1566"/>
      <c r="BI1819" s="1566"/>
      <c r="BJ1819" s="1566"/>
      <c r="BK1819" s="1566"/>
      <c r="BL1819" s="1566"/>
      <c r="BM1819" s="1566"/>
      <c r="BN1819" s="1566"/>
      <c r="BO1819" s="1566"/>
      <c r="BP1819" s="1566"/>
      <c r="BQ1819" s="1566"/>
      <c r="BR1819" s="1566"/>
      <c r="BS1819" s="1566"/>
      <c r="BT1819" s="1566"/>
      <c r="BU1819" s="1566"/>
      <c r="BV1819" s="1566"/>
      <c r="BW1819" s="1566"/>
      <c r="BX1819" s="1566"/>
      <c r="BY1819" s="1566"/>
      <c r="BZ1819" s="1566"/>
      <c r="CA1819" s="1566"/>
      <c r="CB1819" s="1566"/>
      <c r="CC1819" s="1566"/>
      <c r="CD1819" s="1566"/>
      <c r="CE1819" s="1566"/>
      <c r="CF1819" s="1566"/>
      <c r="CG1819" s="1566"/>
      <c r="CH1819" s="1566"/>
      <c r="CI1819" s="1566"/>
      <c r="CJ1819" s="1566"/>
      <c r="CK1819" s="1566"/>
    </row>
    <row r="1820" spans="1:89" s="1559" customFormat="1" ht="21" customHeight="1" x14ac:dyDescent="0.2">
      <c r="A1820" s="1562"/>
      <c r="B1820" s="1552" t="s">
        <v>1100</v>
      </c>
      <c r="C1820" s="1564"/>
      <c r="D1820" s="1565"/>
      <c r="E1820" s="747"/>
      <c r="F1820" s="747"/>
      <c r="G1820" s="747"/>
      <c r="H1820" s="747"/>
      <c r="I1820" s="747"/>
      <c r="J1820" s="747"/>
      <c r="K1820" s="747"/>
      <c r="L1820" s="747"/>
      <c r="M1820" s="747"/>
      <c r="N1820" s="747"/>
      <c r="O1820" s="748"/>
      <c r="P1820" s="749"/>
      <c r="Q1820" s="1566"/>
      <c r="R1820" s="1566"/>
      <c r="S1820" s="1566"/>
      <c r="T1820" s="1566"/>
      <c r="U1820" s="1566"/>
      <c r="V1820" s="1566"/>
      <c r="W1820" s="1566"/>
      <c r="X1820" s="1566"/>
      <c r="Y1820" s="1566"/>
      <c r="Z1820" s="1566"/>
      <c r="AA1820" s="1566"/>
      <c r="AB1820" s="1566"/>
      <c r="AC1820" s="1566"/>
      <c r="AD1820" s="1566"/>
      <c r="AE1820" s="1566"/>
      <c r="AF1820" s="1566"/>
      <c r="AG1820" s="1566"/>
      <c r="AH1820" s="1566"/>
      <c r="AI1820" s="1566"/>
      <c r="AJ1820" s="1566"/>
      <c r="AK1820" s="1566"/>
      <c r="AL1820" s="1566"/>
      <c r="AM1820" s="1566"/>
      <c r="AN1820" s="1566"/>
      <c r="AO1820" s="1566"/>
      <c r="AP1820" s="1566"/>
      <c r="AQ1820" s="1566"/>
      <c r="AR1820" s="1566"/>
      <c r="AS1820" s="1566"/>
      <c r="AT1820" s="1566"/>
      <c r="AU1820" s="1566"/>
      <c r="AV1820" s="1566"/>
      <c r="AW1820" s="1566"/>
      <c r="AX1820" s="1566"/>
      <c r="AY1820" s="1566"/>
      <c r="AZ1820" s="1566"/>
      <c r="BA1820" s="1566"/>
      <c r="BB1820" s="1566"/>
      <c r="BC1820" s="1566"/>
      <c r="BD1820" s="1566"/>
      <c r="BE1820" s="1566"/>
      <c r="BF1820" s="1566"/>
      <c r="BG1820" s="1566"/>
      <c r="BH1820" s="1566"/>
      <c r="BI1820" s="1566"/>
      <c r="BJ1820" s="1566"/>
      <c r="BK1820" s="1566"/>
      <c r="BL1820" s="1566"/>
      <c r="BM1820" s="1566"/>
      <c r="BN1820" s="1566"/>
      <c r="BO1820" s="1566"/>
      <c r="BP1820" s="1566"/>
      <c r="BQ1820" s="1566"/>
      <c r="BR1820" s="1566"/>
      <c r="BS1820" s="1566"/>
      <c r="BT1820" s="1566"/>
      <c r="BU1820" s="1566"/>
      <c r="BV1820" s="1566"/>
      <c r="BW1820" s="1566"/>
      <c r="BX1820" s="1566"/>
      <c r="BY1820" s="1566"/>
      <c r="BZ1820" s="1566"/>
      <c r="CA1820" s="1566"/>
      <c r="CB1820" s="1566"/>
      <c r="CC1820" s="1566"/>
      <c r="CD1820" s="1566"/>
      <c r="CE1820" s="1566"/>
      <c r="CF1820" s="1566"/>
      <c r="CG1820" s="1566"/>
      <c r="CH1820" s="1566"/>
      <c r="CI1820" s="1566"/>
      <c r="CJ1820" s="1566"/>
      <c r="CK1820" s="1566"/>
    </row>
    <row r="1821" spans="1:89" s="1559" customFormat="1" ht="21" customHeight="1" x14ac:dyDescent="0.25">
      <c r="A1821" s="1562"/>
      <c r="B1821" s="1567" t="s">
        <v>1578</v>
      </c>
      <c r="C1821" s="1564"/>
      <c r="D1821" s="1565"/>
      <c r="E1821" s="747"/>
      <c r="F1821" s="747"/>
      <c r="G1821" s="747"/>
      <c r="H1821" s="747"/>
      <c r="I1821" s="747"/>
      <c r="J1821" s="747"/>
      <c r="K1821" s="747"/>
      <c r="L1821" s="747"/>
      <c r="M1821" s="747"/>
      <c r="N1821" s="747"/>
      <c r="O1821" s="748"/>
      <c r="P1821" s="749"/>
      <c r="Q1821" s="1566"/>
      <c r="R1821" s="1566"/>
      <c r="S1821" s="1566"/>
      <c r="T1821" s="1566"/>
      <c r="U1821" s="1566"/>
      <c r="V1821" s="1566"/>
      <c r="W1821" s="1566"/>
      <c r="X1821" s="1566"/>
      <c r="Y1821" s="1566"/>
      <c r="Z1821" s="1566"/>
      <c r="AA1821" s="1566"/>
      <c r="AB1821" s="1566"/>
      <c r="AC1821" s="1566"/>
      <c r="AD1821" s="1566"/>
      <c r="AE1821" s="1566"/>
      <c r="AF1821" s="1566"/>
      <c r="AG1821" s="1566"/>
      <c r="AH1821" s="1566"/>
      <c r="AI1821" s="1566"/>
      <c r="AJ1821" s="1566"/>
      <c r="AK1821" s="1566"/>
      <c r="AL1821" s="1566"/>
      <c r="AM1821" s="1566"/>
      <c r="AN1821" s="1566"/>
      <c r="AO1821" s="1566"/>
      <c r="AP1821" s="1566"/>
      <c r="AQ1821" s="1566"/>
      <c r="AR1821" s="1566"/>
      <c r="AS1821" s="1566"/>
      <c r="AT1821" s="1566"/>
      <c r="AU1821" s="1566"/>
      <c r="AV1821" s="1566"/>
      <c r="AW1821" s="1566"/>
      <c r="AX1821" s="1566"/>
      <c r="AY1821" s="1566"/>
      <c r="AZ1821" s="1566"/>
      <c r="BA1821" s="1566"/>
      <c r="BB1821" s="1566"/>
      <c r="BC1821" s="1566"/>
      <c r="BD1821" s="1566"/>
      <c r="BE1821" s="1566"/>
      <c r="BF1821" s="1566"/>
      <c r="BG1821" s="1566"/>
      <c r="BH1821" s="1566"/>
      <c r="BI1821" s="1566"/>
      <c r="BJ1821" s="1566"/>
      <c r="BK1821" s="1566"/>
      <c r="BL1821" s="1566"/>
      <c r="BM1821" s="1566"/>
      <c r="BN1821" s="1566"/>
      <c r="BO1821" s="1566"/>
      <c r="BP1821" s="1566"/>
      <c r="BQ1821" s="1566"/>
      <c r="BR1821" s="1566"/>
      <c r="BS1821" s="1566"/>
      <c r="BT1821" s="1566"/>
      <c r="BU1821" s="1566"/>
      <c r="BV1821" s="1566"/>
      <c r="BW1821" s="1566"/>
      <c r="BX1821" s="1566"/>
      <c r="BY1821" s="1566"/>
      <c r="BZ1821" s="1566"/>
      <c r="CA1821" s="1566"/>
      <c r="CB1821" s="1566"/>
      <c r="CC1821" s="1566"/>
      <c r="CD1821" s="1566"/>
      <c r="CE1821" s="1566"/>
      <c r="CF1821" s="1566"/>
      <c r="CG1821" s="1566"/>
      <c r="CH1821" s="1566"/>
      <c r="CI1821" s="1566"/>
      <c r="CJ1821" s="1566"/>
      <c r="CK1821" s="1566"/>
    </row>
    <row r="1822" spans="1:89" s="1559" customFormat="1" ht="21" customHeight="1" x14ac:dyDescent="0.25">
      <c r="A1822" s="1562"/>
      <c r="B1822" s="1567" t="s">
        <v>1101</v>
      </c>
      <c r="C1822" s="1564"/>
      <c r="D1822" s="1565"/>
      <c r="E1822" s="747"/>
      <c r="F1822" s="747"/>
      <c r="G1822" s="747"/>
      <c r="H1822" s="747"/>
      <c r="I1822" s="747"/>
      <c r="J1822" s="747"/>
      <c r="K1822" s="747"/>
      <c r="L1822" s="747"/>
      <c r="M1822" s="747"/>
      <c r="N1822" s="747"/>
      <c r="O1822" s="748"/>
      <c r="P1822" s="749"/>
      <c r="Q1822" s="1566"/>
      <c r="R1822" s="1566"/>
      <c r="S1822" s="1566"/>
      <c r="T1822" s="1566"/>
      <c r="U1822" s="1566"/>
      <c r="V1822" s="1566"/>
      <c r="W1822" s="1566"/>
      <c r="X1822" s="1566"/>
      <c r="Y1822" s="1566"/>
      <c r="Z1822" s="1566"/>
      <c r="AA1822" s="1566"/>
      <c r="AB1822" s="1566"/>
      <c r="AC1822" s="1566"/>
      <c r="AD1822" s="1566"/>
      <c r="AE1822" s="1566"/>
      <c r="AF1822" s="1566"/>
      <c r="AG1822" s="1566"/>
      <c r="AH1822" s="1566"/>
      <c r="AI1822" s="1566"/>
      <c r="AJ1822" s="1566"/>
      <c r="AK1822" s="1566"/>
      <c r="AL1822" s="1566"/>
      <c r="AM1822" s="1566"/>
      <c r="AN1822" s="1566"/>
      <c r="AO1822" s="1566"/>
      <c r="AP1822" s="1566"/>
      <c r="AQ1822" s="1566"/>
      <c r="AR1822" s="1566"/>
      <c r="AS1822" s="1566"/>
      <c r="AT1822" s="1566"/>
      <c r="AU1822" s="1566"/>
      <c r="AV1822" s="1566"/>
      <c r="AW1822" s="1566"/>
      <c r="AX1822" s="1566"/>
      <c r="AY1822" s="1566"/>
      <c r="AZ1822" s="1566"/>
      <c r="BA1822" s="1566"/>
      <c r="BB1822" s="1566"/>
      <c r="BC1822" s="1566"/>
      <c r="BD1822" s="1566"/>
      <c r="BE1822" s="1566"/>
      <c r="BF1822" s="1566"/>
      <c r="BG1822" s="1566"/>
      <c r="BH1822" s="1566"/>
      <c r="BI1822" s="1566"/>
      <c r="BJ1822" s="1566"/>
      <c r="BK1822" s="1566"/>
      <c r="BL1822" s="1566"/>
      <c r="BM1822" s="1566"/>
      <c r="BN1822" s="1566"/>
      <c r="BO1822" s="1566"/>
      <c r="BP1822" s="1566"/>
      <c r="BQ1822" s="1566"/>
      <c r="BR1822" s="1566"/>
      <c r="BS1822" s="1566"/>
      <c r="BT1822" s="1566"/>
      <c r="BU1822" s="1566"/>
      <c r="BV1822" s="1566"/>
      <c r="BW1822" s="1566"/>
      <c r="BX1822" s="1566"/>
      <c r="BY1822" s="1566"/>
      <c r="BZ1822" s="1566"/>
      <c r="CA1822" s="1566"/>
      <c r="CB1822" s="1566"/>
      <c r="CC1822" s="1566"/>
      <c r="CD1822" s="1566"/>
      <c r="CE1822" s="1566"/>
      <c r="CF1822" s="1566"/>
      <c r="CG1822" s="1566"/>
      <c r="CH1822" s="1566"/>
      <c r="CI1822" s="1566"/>
      <c r="CJ1822" s="1566"/>
      <c r="CK1822" s="1566"/>
    </row>
    <row r="1823" spans="1:89" s="1559" customFormat="1" ht="21" customHeight="1" x14ac:dyDescent="0.25">
      <c r="A1823" s="1562"/>
      <c r="B1823" s="1567" t="s">
        <v>1579</v>
      </c>
      <c r="C1823" s="1564"/>
      <c r="D1823" s="1565"/>
      <c r="E1823" s="747"/>
      <c r="F1823" s="747"/>
      <c r="G1823" s="747"/>
      <c r="H1823" s="747"/>
      <c r="I1823" s="747"/>
      <c r="J1823" s="747"/>
      <c r="K1823" s="747"/>
      <c r="L1823" s="747"/>
      <c r="M1823" s="747"/>
      <c r="N1823" s="747"/>
      <c r="O1823" s="748"/>
      <c r="P1823" s="749"/>
      <c r="Q1823" s="1566"/>
      <c r="R1823" s="1566"/>
      <c r="S1823" s="1566"/>
      <c r="T1823" s="1566"/>
      <c r="U1823" s="1566"/>
      <c r="V1823" s="1566"/>
      <c r="W1823" s="1566"/>
      <c r="X1823" s="1566"/>
      <c r="Y1823" s="1566"/>
      <c r="Z1823" s="1566"/>
      <c r="AA1823" s="1566"/>
      <c r="AB1823" s="1566"/>
      <c r="AC1823" s="1566"/>
      <c r="AD1823" s="1566"/>
      <c r="AE1823" s="1566"/>
      <c r="AF1823" s="1566"/>
      <c r="AG1823" s="1566"/>
      <c r="AH1823" s="1566"/>
      <c r="AI1823" s="1566"/>
      <c r="AJ1823" s="1566"/>
      <c r="AK1823" s="1566"/>
      <c r="AL1823" s="1566"/>
      <c r="AM1823" s="1566"/>
      <c r="AN1823" s="1566"/>
      <c r="AO1823" s="1566"/>
      <c r="AP1823" s="1566"/>
      <c r="AQ1823" s="1566"/>
      <c r="AR1823" s="1566"/>
      <c r="AS1823" s="1566"/>
      <c r="AT1823" s="1566"/>
      <c r="AU1823" s="1566"/>
      <c r="AV1823" s="1566"/>
      <c r="AW1823" s="1566"/>
      <c r="AX1823" s="1566"/>
      <c r="AY1823" s="1566"/>
      <c r="AZ1823" s="1566"/>
      <c r="BA1823" s="1566"/>
      <c r="BB1823" s="1566"/>
      <c r="BC1823" s="1566"/>
      <c r="BD1823" s="1566"/>
      <c r="BE1823" s="1566"/>
      <c r="BF1823" s="1566"/>
      <c r="BG1823" s="1566"/>
      <c r="BH1823" s="1566"/>
      <c r="BI1823" s="1566"/>
      <c r="BJ1823" s="1566"/>
      <c r="BK1823" s="1566"/>
      <c r="BL1823" s="1566"/>
      <c r="BM1823" s="1566"/>
      <c r="BN1823" s="1566"/>
      <c r="BO1823" s="1566"/>
      <c r="BP1823" s="1566"/>
      <c r="BQ1823" s="1566"/>
      <c r="BR1823" s="1566"/>
      <c r="BS1823" s="1566"/>
      <c r="BT1823" s="1566"/>
      <c r="BU1823" s="1566"/>
      <c r="BV1823" s="1566"/>
      <c r="BW1823" s="1566"/>
      <c r="BX1823" s="1566"/>
      <c r="BY1823" s="1566"/>
      <c r="BZ1823" s="1566"/>
      <c r="CA1823" s="1566"/>
      <c r="CB1823" s="1566"/>
      <c r="CC1823" s="1566"/>
      <c r="CD1823" s="1566"/>
      <c r="CE1823" s="1566"/>
      <c r="CF1823" s="1566"/>
      <c r="CG1823" s="1566"/>
      <c r="CH1823" s="1566"/>
      <c r="CI1823" s="1566"/>
      <c r="CJ1823" s="1566"/>
      <c r="CK1823" s="1566"/>
    </row>
    <row r="1824" spans="1:89" s="1559" customFormat="1" ht="21" customHeight="1" x14ac:dyDescent="0.25">
      <c r="A1824" s="1562"/>
      <c r="B1824" s="1568" t="s">
        <v>1102</v>
      </c>
      <c r="C1824" s="1564"/>
      <c r="D1824" s="1565"/>
      <c r="E1824" s="747"/>
      <c r="F1824" s="747"/>
      <c r="G1824" s="747"/>
      <c r="H1824" s="747"/>
      <c r="I1824" s="747"/>
      <c r="J1824" s="747"/>
      <c r="K1824" s="747"/>
      <c r="L1824" s="747"/>
      <c r="M1824" s="747"/>
      <c r="N1824" s="747"/>
      <c r="O1824" s="748"/>
      <c r="P1824" s="749"/>
      <c r="Q1824" s="1566"/>
      <c r="R1824" s="1566"/>
      <c r="S1824" s="1566"/>
      <c r="T1824" s="1566"/>
      <c r="U1824" s="1566"/>
      <c r="V1824" s="1566"/>
      <c r="W1824" s="1566"/>
      <c r="X1824" s="1566"/>
      <c r="Y1824" s="1566"/>
      <c r="Z1824" s="1566"/>
      <c r="AA1824" s="1566"/>
      <c r="AB1824" s="1566"/>
      <c r="AC1824" s="1566"/>
      <c r="AD1824" s="1566"/>
      <c r="AE1824" s="1566"/>
      <c r="AF1824" s="1566"/>
      <c r="AG1824" s="1566"/>
      <c r="AH1824" s="1566"/>
      <c r="AI1824" s="1566"/>
      <c r="AJ1824" s="1566"/>
      <c r="AK1824" s="1566"/>
      <c r="AL1824" s="1566"/>
      <c r="AM1824" s="1566"/>
      <c r="AN1824" s="1566"/>
      <c r="AO1824" s="1566"/>
      <c r="AP1824" s="1566"/>
      <c r="AQ1824" s="1566"/>
      <c r="AR1824" s="1566"/>
      <c r="AS1824" s="1566"/>
      <c r="AT1824" s="1566"/>
      <c r="AU1824" s="1566"/>
      <c r="AV1824" s="1566"/>
      <c r="AW1824" s="1566"/>
      <c r="AX1824" s="1566"/>
      <c r="AY1824" s="1566"/>
      <c r="AZ1824" s="1566"/>
      <c r="BA1824" s="1566"/>
      <c r="BB1824" s="1566"/>
      <c r="BC1824" s="1566"/>
      <c r="BD1824" s="1566"/>
      <c r="BE1824" s="1566"/>
      <c r="BF1824" s="1566"/>
      <c r="BG1824" s="1566"/>
      <c r="BH1824" s="1566"/>
      <c r="BI1824" s="1566"/>
      <c r="BJ1824" s="1566"/>
      <c r="BK1824" s="1566"/>
      <c r="BL1824" s="1566"/>
      <c r="BM1824" s="1566"/>
      <c r="BN1824" s="1566"/>
      <c r="BO1824" s="1566"/>
      <c r="BP1824" s="1566"/>
      <c r="BQ1824" s="1566"/>
      <c r="BR1824" s="1566"/>
      <c r="BS1824" s="1566"/>
      <c r="BT1824" s="1566"/>
      <c r="BU1824" s="1566"/>
      <c r="BV1824" s="1566"/>
      <c r="BW1824" s="1566"/>
      <c r="BX1824" s="1566"/>
      <c r="BY1824" s="1566"/>
      <c r="BZ1824" s="1566"/>
      <c r="CA1824" s="1566"/>
      <c r="CB1824" s="1566"/>
      <c r="CC1824" s="1566"/>
      <c r="CD1824" s="1566"/>
      <c r="CE1824" s="1566"/>
      <c r="CF1824" s="1566"/>
      <c r="CG1824" s="1566"/>
      <c r="CH1824" s="1566"/>
      <c r="CI1824" s="1566"/>
      <c r="CJ1824" s="1566"/>
      <c r="CK1824" s="1566"/>
    </row>
    <row r="1825" spans="1:89" s="1559" customFormat="1" ht="21" customHeight="1" x14ac:dyDescent="0.25">
      <c r="A1825" s="1562"/>
      <c r="B1825" s="1567" t="s">
        <v>1103</v>
      </c>
      <c r="C1825" s="1564"/>
      <c r="D1825" s="1565"/>
      <c r="E1825" s="747"/>
      <c r="F1825" s="747"/>
      <c r="G1825" s="747"/>
      <c r="H1825" s="747"/>
      <c r="I1825" s="747"/>
      <c r="J1825" s="747"/>
      <c r="K1825" s="747"/>
      <c r="L1825" s="747"/>
      <c r="M1825" s="747"/>
      <c r="N1825" s="747"/>
      <c r="O1825" s="748"/>
      <c r="P1825" s="749"/>
      <c r="Q1825" s="1566"/>
      <c r="R1825" s="1566"/>
      <c r="S1825" s="1566"/>
      <c r="T1825" s="1566"/>
      <c r="U1825" s="1566"/>
      <c r="V1825" s="1566"/>
      <c r="W1825" s="1566"/>
      <c r="X1825" s="1566"/>
      <c r="Y1825" s="1566"/>
      <c r="Z1825" s="1566"/>
      <c r="AA1825" s="1566"/>
      <c r="AB1825" s="1566"/>
      <c r="AC1825" s="1566"/>
      <c r="AD1825" s="1566"/>
      <c r="AE1825" s="1566"/>
      <c r="AF1825" s="1566"/>
      <c r="AG1825" s="1566"/>
      <c r="AH1825" s="1566"/>
      <c r="AI1825" s="1566"/>
      <c r="AJ1825" s="1566"/>
      <c r="AK1825" s="1566"/>
      <c r="AL1825" s="1566"/>
      <c r="AM1825" s="1566"/>
      <c r="AN1825" s="1566"/>
      <c r="AO1825" s="1566"/>
      <c r="AP1825" s="1566"/>
      <c r="AQ1825" s="1566"/>
      <c r="AR1825" s="1566"/>
      <c r="AS1825" s="1566"/>
      <c r="AT1825" s="1566"/>
      <c r="AU1825" s="1566"/>
      <c r="AV1825" s="1566"/>
      <c r="AW1825" s="1566"/>
      <c r="AX1825" s="1566"/>
      <c r="AY1825" s="1566"/>
      <c r="AZ1825" s="1566"/>
      <c r="BA1825" s="1566"/>
      <c r="BB1825" s="1566"/>
      <c r="BC1825" s="1566"/>
      <c r="BD1825" s="1566"/>
      <c r="BE1825" s="1566"/>
      <c r="BF1825" s="1566"/>
      <c r="BG1825" s="1566"/>
      <c r="BH1825" s="1566"/>
      <c r="BI1825" s="1566"/>
      <c r="BJ1825" s="1566"/>
      <c r="BK1825" s="1566"/>
      <c r="BL1825" s="1566"/>
      <c r="BM1825" s="1566"/>
      <c r="BN1825" s="1566"/>
      <c r="BO1825" s="1566"/>
      <c r="BP1825" s="1566"/>
      <c r="BQ1825" s="1566"/>
      <c r="BR1825" s="1566"/>
      <c r="BS1825" s="1566"/>
      <c r="BT1825" s="1566"/>
      <c r="BU1825" s="1566"/>
      <c r="BV1825" s="1566"/>
      <c r="BW1825" s="1566"/>
      <c r="BX1825" s="1566"/>
      <c r="BY1825" s="1566"/>
      <c r="BZ1825" s="1566"/>
      <c r="CA1825" s="1566"/>
      <c r="CB1825" s="1566"/>
      <c r="CC1825" s="1566"/>
      <c r="CD1825" s="1566"/>
      <c r="CE1825" s="1566"/>
      <c r="CF1825" s="1566"/>
      <c r="CG1825" s="1566"/>
      <c r="CH1825" s="1566"/>
      <c r="CI1825" s="1566"/>
      <c r="CJ1825" s="1566"/>
      <c r="CK1825" s="1566"/>
    </row>
    <row r="1826" spans="1:89" s="1559" customFormat="1" ht="21" customHeight="1" x14ac:dyDescent="0.25">
      <c r="A1826" s="1562"/>
      <c r="B1826" s="1567" t="s">
        <v>1104</v>
      </c>
      <c r="C1826" s="1564"/>
      <c r="D1826" s="1565"/>
      <c r="E1826" s="747"/>
      <c r="F1826" s="747"/>
      <c r="G1826" s="747"/>
      <c r="H1826" s="747"/>
      <c r="I1826" s="747"/>
      <c r="J1826" s="747"/>
      <c r="K1826" s="747"/>
      <c r="L1826" s="747"/>
      <c r="M1826" s="747"/>
      <c r="N1826" s="747"/>
      <c r="O1826" s="748"/>
      <c r="P1826" s="749"/>
      <c r="Q1826" s="1566"/>
      <c r="R1826" s="1566"/>
      <c r="S1826" s="1566"/>
      <c r="T1826" s="1566"/>
      <c r="U1826" s="1566"/>
      <c r="V1826" s="1566"/>
      <c r="W1826" s="1566"/>
      <c r="X1826" s="1566"/>
      <c r="Y1826" s="1566"/>
      <c r="Z1826" s="1566"/>
      <c r="AA1826" s="1566"/>
      <c r="AB1826" s="1566"/>
      <c r="AC1826" s="1566"/>
      <c r="AD1826" s="1566"/>
      <c r="AE1826" s="1566"/>
      <c r="AF1826" s="1566"/>
      <c r="AG1826" s="1566"/>
      <c r="AH1826" s="1566"/>
      <c r="AI1826" s="1566"/>
      <c r="AJ1826" s="1566"/>
      <c r="AK1826" s="1566"/>
      <c r="AL1826" s="1566"/>
      <c r="AM1826" s="1566"/>
      <c r="AN1826" s="1566"/>
      <c r="AO1826" s="1566"/>
      <c r="AP1826" s="1566"/>
      <c r="AQ1826" s="1566"/>
      <c r="AR1826" s="1566"/>
      <c r="AS1826" s="1566"/>
      <c r="AT1826" s="1566"/>
      <c r="AU1826" s="1566"/>
      <c r="AV1826" s="1566"/>
      <c r="AW1826" s="1566"/>
      <c r="AX1826" s="1566"/>
      <c r="AY1826" s="1566"/>
      <c r="AZ1826" s="1566"/>
      <c r="BA1826" s="1566"/>
      <c r="BB1826" s="1566"/>
      <c r="BC1826" s="1566"/>
      <c r="BD1826" s="1566"/>
      <c r="BE1826" s="1566"/>
      <c r="BF1826" s="1566"/>
      <c r="BG1826" s="1566"/>
      <c r="BH1826" s="1566"/>
      <c r="BI1826" s="1566"/>
      <c r="BJ1826" s="1566"/>
      <c r="BK1826" s="1566"/>
      <c r="BL1826" s="1566"/>
      <c r="BM1826" s="1566"/>
      <c r="BN1826" s="1566"/>
      <c r="BO1826" s="1566"/>
      <c r="BP1826" s="1566"/>
      <c r="BQ1826" s="1566"/>
      <c r="BR1826" s="1566"/>
      <c r="BS1826" s="1566"/>
      <c r="BT1826" s="1566"/>
      <c r="BU1826" s="1566"/>
      <c r="BV1826" s="1566"/>
      <c r="BW1826" s="1566"/>
      <c r="BX1826" s="1566"/>
      <c r="BY1826" s="1566"/>
      <c r="BZ1826" s="1566"/>
      <c r="CA1826" s="1566"/>
      <c r="CB1826" s="1566"/>
      <c r="CC1826" s="1566"/>
      <c r="CD1826" s="1566"/>
      <c r="CE1826" s="1566"/>
      <c r="CF1826" s="1566"/>
      <c r="CG1826" s="1566"/>
      <c r="CH1826" s="1566"/>
      <c r="CI1826" s="1566"/>
      <c r="CJ1826" s="1566"/>
      <c r="CK1826" s="1566"/>
    </row>
    <row r="1827" spans="1:89" s="1559" customFormat="1" ht="21" customHeight="1" x14ac:dyDescent="0.2">
      <c r="A1827" s="1562"/>
      <c r="B1827" s="1552" t="s">
        <v>1105</v>
      </c>
      <c r="C1827" s="1564"/>
      <c r="D1827" s="1565"/>
      <c r="E1827" s="747"/>
      <c r="F1827" s="747"/>
      <c r="G1827" s="747"/>
      <c r="H1827" s="747"/>
      <c r="I1827" s="747"/>
      <c r="J1827" s="747"/>
      <c r="K1827" s="747"/>
      <c r="L1827" s="747"/>
      <c r="M1827" s="747"/>
      <c r="N1827" s="747"/>
      <c r="O1827" s="748"/>
      <c r="P1827" s="749"/>
      <c r="Q1827" s="1566"/>
      <c r="R1827" s="1566"/>
      <c r="S1827" s="1566"/>
      <c r="T1827" s="1566"/>
      <c r="U1827" s="1566"/>
      <c r="V1827" s="1566"/>
      <c r="W1827" s="1566"/>
      <c r="X1827" s="1566"/>
      <c r="Y1827" s="1566"/>
      <c r="Z1827" s="1566"/>
      <c r="AA1827" s="1566"/>
      <c r="AB1827" s="1566"/>
      <c r="AC1827" s="1566"/>
      <c r="AD1827" s="1566"/>
      <c r="AE1827" s="1566"/>
      <c r="AF1827" s="1566"/>
      <c r="AG1827" s="1566"/>
      <c r="AH1827" s="1566"/>
      <c r="AI1827" s="1566"/>
      <c r="AJ1827" s="1566"/>
      <c r="AK1827" s="1566"/>
      <c r="AL1827" s="1566"/>
      <c r="AM1827" s="1566"/>
      <c r="AN1827" s="1566"/>
      <c r="AO1827" s="1566"/>
      <c r="AP1827" s="1566"/>
      <c r="AQ1827" s="1566"/>
      <c r="AR1827" s="1566"/>
      <c r="AS1827" s="1566"/>
      <c r="AT1827" s="1566"/>
      <c r="AU1827" s="1566"/>
      <c r="AV1827" s="1566"/>
      <c r="AW1827" s="1566"/>
      <c r="AX1827" s="1566"/>
      <c r="AY1827" s="1566"/>
      <c r="AZ1827" s="1566"/>
      <c r="BA1827" s="1566"/>
      <c r="BB1827" s="1566"/>
      <c r="BC1827" s="1566"/>
      <c r="BD1827" s="1566"/>
      <c r="BE1827" s="1566"/>
      <c r="BF1827" s="1566"/>
      <c r="BG1827" s="1566"/>
      <c r="BH1827" s="1566"/>
      <c r="BI1827" s="1566"/>
      <c r="BJ1827" s="1566"/>
      <c r="BK1827" s="1566"/>
      <c r="BL1827" s="1566"/>
      <c r="BM1827" s="1566"/>
      <c r="BN1827" s="1566"/>
      <c r="BO1827" s="1566"/>
      <c r="BP1827" s="1566"/>
      <c r="BQ1827" s="1566"/>
      <c r="BR1827" s="1566"/>
      <c r="BS1827" s="1566"/>
      <c r="BT1827" s="1566"/>
      <c r="BU1827" s="1566"/>
      <c r="BV1827" s="1566"/>
      <c r="BW1827" s="1566"/>
      <c r="BX1827" s="1566"/>
      <c r="BY1827" s="1566"/>
      <c r="BZ1827" s="1566"/>
      <c r="CA1827" s="1566"/>
      <c r="CB1827" s="1566"/>
      <c r="CC1827" s="1566"/>
      <c r="CD1827" s="1566"/>
      <c r="CE1827" s="1566"/>
      <c r="CF1827" s="1566"/>
      <c r="CG1827" s="1566"/>
      <c r="CH1827" s="1566"/>
      <c r="CI1827" s="1566"/>
      <c r="CJ1827" s="1566"/>
      <c r="CK1827" s="1566"/>
    </row>
    <row r="1828" spans="1:89" s="1559" customFormat="1" ht="21" customHeight="1" x14ac:dyDescent="0.25">
      <c r="A1828" s="1562"/>
      <c r="B1828" s="1567" t="s">
        <v>1106</v>
      </c>
      <c r="C1828" s="1564"/>
      <c r="D1828" s="1565"/>
      <c r="E1828" s="747"/>
      <c r="F1828" s="747"/>
      <c r="G1828" s="747"/>
      <c r="H1828" s="747"/>
      <c r="I1828" s="747"/>
      <c r="J1828" s="747"/>
      <c r="K1828" s="747"/>
      <c r="L1828" s="747"/>
      <c r="M1828" s="747"/>
      <c r="N1828" s="747"/>
      <c r="O1828" s="748"/>
      <c r="P1828" s="749"/>
      <c r="Q1828" s="1566"/>
      <c r="R1828" s="1566"/>
      <c r="S1828" s="1566"/>
      <c r="T1828" s="1566"/>
      <c r="U1828" s="1566"/>
      <c r="V1828" s="1566"/>
      <c r="W1828" s="1566"/>
      <c r="X1828" s="1566"/>
      <c r="Y1828" s="1566"/>
      <c r="Z1828" s="1566"/>
      <c r="AA1828" s="1566"/>
      <c r="AB1828" s="1566"/>
      <c r="AC1828" s="1566"/>
      <c r="AD1828" s="1566"/>
      <c r="AE1828" s="1566"/>
      <c r="AF1828" s="1566"/>
      <c r="AG1828" s="1566"/>
      <c r="AH1828" s="1566"/>
      <c r="AI1828" s="1566"/>
      <c r="AJ1828" s="1566"/>
      <c r="AK1828" s="1566"/>
      <c r="AL1828" s="1566"/>
      <c r="AM1828" s="1566"/>
      <c r="AN1828" s="1566"/>
      <c r="AO1828" s="1566"/>
      <c r="AP1828" s="1566"/>
      <c r="AQ1828" s="1566"/>
      <c r="AR1828" s="1566"/>
      <c r="AS1828" s="1566"/>
      <c r="AT1828" s="1566"/>
      <c r="AU1828" s="1566"/>
      <c r="AV1828" s="1566"/>
      <c r="AW1828" s="1566"/>
      <c r="AX1828" s="1566"/>
      <c r="AY1828" s="1566"/>
      <c r="AZ1828" s="1566"/>
      <c r="BA1828" s="1566"/>
      <c r="BB1828" s="1566"/>
      <c r="BC1828" s="1566"/>
      <c r="BD1828" s="1566"/>
      <c r="BE1828" s="1566"/>
      <c r="BF1828" s="1566"/>
      <c r="BG1828" s="1566"/>
      <c r="BH1828" s="1566"/>
      <c r="BI1828" s="1566"/>
      <c r="BJ1828" s="1566"/>
      <c r="BK1828" s="1566"/>
      <c r="BL1828" s="1566"/>
      <c r="BM1828" s="1566"/>
      <c r="BN1828" s="1566"/>
      <c r="BO1828" s="1566"/>
      <c r="BP1828" s="1566"/>
      <c r="BQ1828" s="1566"/>
      <c r="BR1828" s="1566"/>
      <c r="BS1828" s="1566"/>
      <c r="BT1828" s="1566"/>
      <c r="BU1828" s="1566"/>
      <c r="BV1828" s="1566"/>
      <c r="BW1828" s="1566"/>
      <c r="BX1828" s="1566"/>
      <c r="BY1828" s="1566"/>
      <c r="BZ1828" s="1566"/>
      <c r="CA1828" s="1566"/>
      <c r="CB1828" s="1566"/>
      <c r="CC1828" s="1566"/>
      <c r="CD1828" s="1566"/>
      <c r="CE1828" s="1566"/>
      <c r="CF1828" s="1566"/>
      <c r="CG1828" s="1566"/>
      <c r="CH1828" s="1566"/>
      <c r="CI1828" s="1566"/>
      <c r="CJ1828" s="1566"/>
      <c r="CK1828" s="1566"/>
    </row>
    <row r="1829" spans="1:89" s="1559" customFormat="1" ht="21" customHeight="1" x14ac:dyDescent="0.25">
      <c r="A1829" s="1562"/>
      <c r="B1829" s="1567" t="s">
        <v>1107</v>
      </c>
      <c r="C1829" s="1564"/>
      <c r="D1829" s="1565"/>
      <c r="E1829" s="747"/>
      <c r="F1829" s="747"/>
      <c r="G1829" s="747"/>
      <c r="H1829" s="747"/>
      <c r="I1829" s="747"/>
      <c r="J1829" s="747"/>
      <c r="K1829" s="747"/>
      <c r="L1829" s="747"/>
      <c r="M1829" s="747"/>
      <c r="N1829" s="747"/>
      <c r="O1829" s="748"/>
      <c r="P1829" s="749"/>
      <c r="Q1829" s="1566"/>
      <c r="R1829" s="1566"/>
      <c r="S1829" s="1566"/>
      <c r="T1829" s="1566"/>
      <c r="U1829" s="1566"/>
      <c r="V1829" s="1566"/>
      <c r="W1829" s="1566"/>
      <c r="X1829" s="1566"/>
      <c r="Y1829" s="1566"/>
      <c r="Z1829" s="1566"/>
      <c r="AA1829" s="1566"/>
      <c r="AB1829" s="1566"/>
      <c r="AC1829" s="1566"/>
      <c r="AD1829" s="1566"/>
      <c r="AE1829" s="1566"/>
      <c r="AF1829" s="1566"/>
      <c r="AG1829" s="1566"/>
      <c r="AH1829" s="1566"/>
      <c r="AI1829" s="1566"/>
      <c r="AJ1829" s="1566"/>
      <c r="AK1829" s="1566"/>
      <c r="AL1829" s="1566"/>
      <c r="AM1829" s="1566"/>
      <c r="AN1829" s="1566"/>
      <c r="AO1829" s="1566"/>
      <c r="AP1829" s="1566"/>
      <c r="AQ1829" s="1566"/>
      <c r="AR1829" s="1566"/>
      <c r="AS1829" s="1566"/>
      <c r="AT1829" s="1566"/>
      <c r="AU1829" s="1566"/>
      <c r="AV1829" s="1566"/>
      <c r="AW1829" s="1566"/>
      <c r="AX1829" s="1566"/>
      <c r="AY1829" s="1566"/>
      <c r="AZ1829" s="1566"/>
      <c r="BA1829" s="1566"/>
      <c r="BB1829" s="1566"/>
      <c r="BC1829" s="1566"/>
      <c r="BD1829" s="1566"/>
      <c r="BE1829" s="1566"/>
      <c r="BF1829" s="1566"/>
      <c r="BG1829" s="1566"/>
      <c r="BH1829" s="1566"/>
      <c r="BI1829" s="1566"/>
      <c r="BJ1829" s="1566"/>
      <c r="BK1829" s="1566"/>
      <c r="BL1829" s="1566"/>
      <c r="BM1829" s="1566"/>
      <c r="BN1829" s="1566"/>
      <c r="BO1829" s="1566"/>
      <c r="BP1829" s="1566"/>
      <c r="BQ1829" s="1566"/>
      <c r="BR1829" s="1566"/>
      <c r="BS1829" s="1566"/>
      <c r="BT1829" s="1566"/>
      <c r="BU1829" s="1566"/>
      <c r="BV1829" s="1566"/>
      <c r="BW1829" s="1566"/>
      <c r="BX1829" s="1566"/>
      <c r="BY1829" s="1566"/>
      <c r="BZ1829" s="1566"/>
      <c r="CA1829" s="1566"/>
      <c r="CB1829" s="1566"/>
      <c r="CC1829" s="1566"/>
      <c r="CD1829" s="1566"/>
      <c r="CE1829" s="1566"/>
      <c r="CF1829" s="1566"/>
      <c r="CG1829" s="1566"/>
      <c r="CH1829" s="1566"/>
      <c r="CI1829" s="1566"/>
      <c r="CJ1829" s="1566"/>
      <c r="CK1829" s="1566"/>
    </row>
    <row r="1830" spans="1:89" s="1559" customFormat="1" ht="21" customHeight="1" x14ac:dyDescent="0.25">
      <c r="A1830" s="1562"/>
      <c r="B1830" s="1567" t="s">
        <v>1108</v>
      </c>
      <c r="C1830" s="1564"/>
      <c r="D1830" s="1565"/>
      <c r="E1830" s="747"/>
      <c r="F1830" s="747"/>
      <c r="G1830" s="747"/>
      <c r="H1830" s="747"/>
      <c r="I1830" s="747"/>
      <c r="J1830" s="747"/>
      <c r="K1830" s="747"/>
      <c r="L1830" s="747"/>
      <c r="M1830" s="747"/>
      <c r="N1830" s="747"/>
      <c r="O1830" s="748"/>
      <c r="P1830" s="749"/>
      <c r="Q1830" s="1566"/>
      <c r="R1830" s="1566"/>
      <c r="S1830" s="1566"/>
      <c r="T1830" s="1566"/>
      <c r="U1830" s="1566"/>
      <c r="V1830" s="1566"/>
      <c r="W1830" s="1566"/>
      <c r="X1830" s="1566"/>
      <c r="Y1830" s="1566"/>
      <c r="Z1830" s="1566"/>
      <c r="AA1830" s="1566"/>
      <c r="AB1830" s="1566"/>
      <c r="AC1830" s="1566"/>
      <c r="AD1830" s="1566"/>
      <c r="AE1830" s="1566"/>
      <c r="AF1830" s="1566"/>
      <c r="AG1830" s="1566"/>
      <c r="AH1830" s="1566"/>
      <c r="AI1830" s="1566"/>
      <c r="AJ1830" s="1566"/>
      <c r="AK1830" s="1566"/>
      <c r="AL1830" s="1566"/>
      <c r="AM1830" s="1566"/>
      <c r="AN1830" s="1566"/>
      <c r="AO1830" s="1566"/>
      <c r="AP1830" s="1566"/>
      <c r="AQ1830" s="1566"/>
      <c r="AR1830" s="1566"/>
      <c r="AS1830" s="1566"/>
      <c r="AT1830" s="1566"/>
      <c r="AU1830" s="1566"/>
      <c r="AV1830" s="1566"/>
      <c r="AW1830" s="1566"/>
      <c r="AX1830" s="1566"/>
      <c r="AY1830" s="1566"/>
      <c r="AZ1830" s="1566"/>
      <c r="BA1830" s="1566"/>
      <c r="BB1830" s="1566"/>
      <c r="BC1830" s="1566"/>
      <c r="BD1830" s="1566"/>
      <c r="BE1830" s="1566"/>
      <c r="BF1830" s="1566"/>
      <c r="BG1830" s="1566"/>
      <c r="BH1830" s="1566"/>
      <c r="BI1830" s="1566"/>
      <c r="BJ1830" s="1566"/>
      <c r="BK1830" s="1566"/>
      <c r="BL1830" s="1566"/>
      <c r="BM1830" s="1566"/>
      <c r="BN1830" s="1566"/>
      <c r="BO1830" s="1566"/>
      <c r="BP1830" s="1566"/>
      <c r="BQ1830" s="1566"/>
      <c r="BR1830" s="1566"/>
      <c r="BS1830" s="1566"/>
      <c r="BT1830" s="1566"/>
      <c r="BU1830" s="1566"/>
      <c r="BV1830" s="1566"/>
      <c r="BW1830" s="1566"/>
      <c r="BX1830" s="1566"/>
      <c r="BY1830" s="1566"/>
      <c r="BZ1830" s="1566"/>
      <c r="CA1830" s="1566"/>
      <c r="CB1830" s="1566"/>
      <c r="CC1830" s="1566"/>
      <c r="CD1830" s="1566"/>
      <c r="CE1830" s="1566"/>
      <c r="CF1830" s="1566"/>
      <c r="CG1830" s="1566"/>
      <c r="CH1830" s="1566"/>
      <c r="CI1830" s="1566"/>
      <c r="CJ1830" s="1566"/>
      <c r="CK1830" s="1566"/>
    </row>
    <row r="1831" spans="1:89" s="1559" customFormat="1" ht="21" customHeight="1" x14ac:dyDescent="0.25">
      <c r="A1831" s="1562"/>
      <c r="B1831" s="1568" t="s">
        <v>1109</v>
      </c>
      <c r="C1831" s="1564"/>
      <c r="D1831" s="1565"/>
      <c r="E1831" s="747"/>
      <c r="F1831" s="747"/>
      <c r="G1831" s="747"/>
      <c r="H1831" s="747"/>
      <c r="I1831" s="747"/>
      <c r="J1831" s="747"/>
      <c r="K1831" s="747"/>
      <c r="L1831" s="747"/>
      <c r="M1831" s="747"/>
      <c r="N1831" s="747"/>
      <c r="O1831" s="748"/>
      <c r="P1831" s="749"/>
      <c r="Q1831" s="1566"/>
      <c r="R1831" s="1566"/>
      <c r="S1831" s="1566"/>
      <c r="T1831" s="1566"/>
      <c r="U1831" s="1566"/>
      <c r="V1831" s="1566"/>
      <c r="W1831" s="1566"/>
      <c r="X1831" s="1566"/>
      <c r="Y1831" s="1566"/>
      <c r="Z1831" s="1566"/>
      <c r="AA1831" s="1566"/>
      <c r="AB1831" s="1566"/>
      <c r="AC1831" s="1566"/>
      <c r="AD1831" s="1566"/>
      <c r="AE1831" s="1566"/>
      <c r="AF1831" s="1566"/>
      <c r="AG1831" s="1566"/>
      <c r="AH1831" s="1566"/>
      <c r="AI1831" s="1566"/>
      <c r="AJ1831" s="1566"/>
      <c r="AK1831" s="1566"/>
      <c r="AL1831" s="1566"/>
      <c r="AM1831" s="1566"/>
      <c r="AN1831" s="1566"/>
      <c r="AO1831" s="1566"/>
      <c r="AP1831" s="1566"/>
      <c r="AQ1831" s="1566"/>
      <c r="AR1831" s="1566"/>
      <c r="AS1831" s="1566"/>
      <c r="AT1831" s="1566"/>
      <c r="AU1831" s="1566"/>
      <c r="AV1831" s="1566"/>
      <c r="AW1831" s="1566"/>
      <c r="AX1831" s="1566"/>
      <c r="AY1831" s="1566"/>
      <c r="AZ1831" s="1566"/>
      <c r="BA1831" s="1566"/>
      <c r="BB1831" s="1566"/>
      <c r="BC1831" s="1566"/>
      <c r="BD1831" s="1566"/>
      <c r="BE1831" s="1566"/>
      <c r="BF1831" s="1566"/>
      <c r="BG1831" s="1566"/>
      <c r="BH1831" s="1566"/>
      <c r="BI1831" s="1566"/>
      <c r="BJ1831" s="1566"/>
      <c r="BK1831" s="1566"/>
      <c r="BL1831" s="1566"/>
      <c r="BM1831" s="1566"/>
      <c r="BN1831" s="1566"/>
      <c r="BO1831" s="1566"/>
      <c r="BP1831" s="1566"/>
      <c r="BQ1831" s="1566"/>
      <c r="BR1831" s="1566"/>
      <c r="BS1831" s="1566"/>
      <c r="BT1831" s="1566"/>
      <c r="BU1831" s="1566"/>
      <c r="BV1831" s="1566"/>
      <c r="BW1831" s="1566"/>
      <c r="BX1831" s="1566"/>
      <c r="BY1831" s="1566"/>
      <c r="BZ1831" s="1566"/>
      <c r="CA1831" s="1566"/>
      <c r="CB1831" s="1566"/>
      <c r="CC1831" s="1566"/>
      <c r="CD1831" s="1566"/>
      <c r="CE1831" s="1566"/>
      <c r="CF1831" s="1566"/>
      <c r="CG1831" s="1566"/>
      <c r="CH1831" s="1566"/>
      <c r="CI1831" s="1566"/>
      <c r="CJ1831" s="1566"/>
      <c r="CK1831" s="1566"/>
    </row>
    <row r="1832" spans="1:89" s="1559" customFormat="1" ht="21" customHeight="1" x14ac:dyDescent="0.2">
      <c r="A1832" s="1562"/>
      <c r="B1832" s="1569" t="s">
        <v>1110</v>
      </c>
      <c r="C1832" s="1564"/>
      <c r="D1832" s="1565"/>
      <c r="E1832" s="747"/>
      <c r="F1832" s="747"/>
      <c r="G1832" s="747"/>
      <c r="H1832" s="747"/>
      <c r="I1832" s="747"/>
      <c r="J1832" s="747"/>
      <c r="K1832" s="747"/>
      <c r="L1832" s="747"/>
      <c r="M1832" s="747"/>
      <c r="N1832" s="747"/>
      <c r="O1832" s="748"/>
      <c r="P1832" s="749"/>
      <c r="Q1832" s="1566"/>
      <c r="R1832" s="1566"/>
      <c r="S1832" s="1566"/>
      <c r="T1832" s="1566"/>
      <c r="U1832" s="1566"/>
      <c r="V1832" s="1566"/>
      <c r="W1832" s="1566"/>
      <c r="X1832" s="1566"/>
      <c r="Y1832" s="1566"/>
      <c r="Z1832" s="1566"/>
      <c r="AA1832" s="1566"/>
      <c r="AB1832" s="1566"/>
      <c r="AC1832" s="1566"/>
      <c r="AD1832" s="1566"/>
      <c r="AE1832" s="1566"/>
      <c r="AF1832" s="1566"/>
      <c r="AG1832" s="1566"/>
      <c r="AH1832" s="1566"/>
      <c r="AI1832" s="1566"/>
      <c r="AJ1832" s="1566"/>
      <c r="AK1832" s="1566"/>
      <c r="AL1832" s="1566"/>
      <c r="AM1832" s="1566"/>
      <c r="AN1832" s="1566"/>
      <c r="AO1832" s="1566"/>
      <c r="AP1832" s="1566"/>
      <c r="AQ1832" s="1566"/>
      <c r="AR1832" s="1566"/>
      <c r="AS1832" s="1566"/>
      <c r="AT1832" s="1566"/>
      <c r="AU1832" s="1566"/>
      <c r="AV1832" s="1566"/>
      <c r="AW1832" s="1566"/>
      <c r="AX1832" s="1566"/>
      <c r="AY1832" s="1566"/>
      <c r="AZ1832" s="1566"/>
      <c r="BA1832" s="1566"/>
      <c r="BB1832" s="1566"/>
      <c r="BC1832" s="1566"/>
      <c r="BD1832" s="1566"/>
      <c r="BE1832" s="1566"/>
      <c r="BF1832" s="1566"/>
      <c r="BG1832" s="1566"/>
      <c r="BH1832" s="1566"/>
      <c r="BI1832" s="1566"/>
      <c r="BJ1832" s="1566"/>
      <c r="BK1832" s="1566"/>
      <c r="BL1832" s="1566"/>
      <c r="BM1832" s="1566"/>
      <c r="BN1832" s="1566"/>
      <c r="BO1832" s="1566"/>
      <c r="BP1832" s="1566"/>
      <c r="BQ1832" s="1566"/>
      <c r="BR1832" s="1566"/>
      <c r="BS1832" s="1566"/>
      <c r="BT1832" s="1566"/>
      <c r="BU1832" s="1566"/>
      <c r="BV1832" s="1566"/>
      <c r="BW1832" s="1566"/>
      <c r="BX1832" s="1566"/>
      <c r="BY1832" s="1566"/>
      <c r="BZ1832" s="1566"/>
      <c r="CA1832" s="1566"/>
      <c r="CB1832" s="1566"/>
      <c r="CC1832" s="1566"/>
      <c r="CD1832" s="1566"/>
      <c r="CE1832" s="1566"/>
      <c r="CF1832" s="1566"/>
      <c r="CG1832" s="1566"/>
      <c r="CH1832" s="1566"/>
      <c r="CI1832" s="1566"/>
      <c r="CJ1832" s="1566"/>
      <c r="CK1832" s="1566"/>
    </row>
    <row r="1833" spans="1:89" s="1559" customFormat="1" ht="21" customHeight="1" x14ac:dyDescent="0.25">
      <c r="A1833" s="1562"/>
      <c r="B1833" s="1567" t="s">
        <v>1111</v>
      </c>
      <c r="C1833" s="1564"/>
      <c r="D1833" s="1565"/>
      <c r="E1833" s="747"/>
      <c r="F1833" s="747"/>
      <c r="G1833" s="747"/>
      <c r="H1833" s="747"/>
      <c r="I1833" s="747"/>
      <c r="J1833" s="747"/>
      <c r="K1833" s="747"/>
      <c r="L1833" s="747"/>
      <c r="M1833" s="747"/>
      <c r="N1833" s="747"/>
      <c r="O1833" s="748"/>
      <c r="P1833" s="749"/>
      <c r="Q1833" s="1566"/>
      <c r="R1833" s="1566"/>
      <c r="S1833" s="1566"/>
      <c r="T1833" s="1566"/>
      <c r="U1833" s="1566"/>
      <c r="V1833" s="1566"/>
      <c r="W1833" s="1566"/>
      <c r="X1833" s="1566"/>
      <c r="Y1833" s="1566"/>
      <c r="Z1833" s="1566"/>
      <c r="AA1833" s="1566"/>
      <c r="AB1833" s="1566"/>
      <c r="AC1833" s="1566"/>
      <c r="AD1833" s="1566"/>
      <c r="AE1833" s="1566"/>
      <c r="AF1833" s="1566"/>
      <c r="AG1833" s="1566"/>
      <c r="AH1833" s="1566"/>
      <c r="AI1833" s="1566"/>
      <c r="AJ1833" s="1566"/>
      <c r="AK1833" s="1566"/>
      <c r="AL1833" s="1566"/>
      <c r="AM1833" s="1566"/>
      <c r="AN1833" s="1566"/>
      <c r="AO1833" s="1566"/>
      <c r="AP1833" s="1566"/>
      <c r="AQ1833" s="1566"/>
      <c r="AR1833" s="1566"/>
      <c r="AS1833" s="1566"/>
      <c r="AT1833" s="1566"/>
      <c r="AU1833" s="1566"/>
      <c r="AV1833" s="1566"/>
      <c r="AW1833" s="1566"/>
      <c r="AX1833" s="1566"/>
      <c r="AY1833" s="1566"/>
      <c r="AZ1833" s="1566"/>
      <c r="BA1833" s="1566"/>
      <c r="BB1833" s="1566"/>
      <c r="BC1833" s="1566"/>
      <c r="BD1833" s="1566"/>
      <c r="BE1833" s="1566"/>
      <c r="BF1833" s="1566"/>
      <c r="BG1833" s="1566"/>
      <c r="BH1833" s="1566"/>
      <c r="BI1833" s="1566"/>
      <c r="BJ1833" s="1566"/>
      <c r="BK1833" s="1566"/>
      <c r="BL1833" s="1566"/>
      <c r="BM1833" s="1566"/>
      <c r="BN1833" s="1566"/>
      <c r="BO1833" s="1566"/>
      <c r="BP1833" s="1566"/>
      <c r="BQ1833" s="1566"/>
      <c r="BR1833" s="1566"/>
      <c r="BS1833" s="1566"/>
      <c r="BT1833" s="1566"/>
      <c r="BU1833" s="1566"/>
      <c r="BV1833" s="1566"/>
      <c r="BW1833" s="1566"/>
      <c r="BX1833" s="1566"/>
      <c r="BY1833" s="1566"/>
      <c r="BZ1833" s="1566"/>
      <c r="CA1833" s="1566"/>
      <c r="CB1833" s="1566"/>
      <c r="CC1833" s="1566"/>
      <c r="CD1833" s="1566"/>
      <c r="CE1833" s="1566"/>
      <c r="CF1833" s="1566"/>
      <c r="CG1833" s="1566"/>
      <c r="CH1833" s="1566"/>
      <c r="CI1833" s="1566"/>
      <c r="CJ1833" s="1566"/>
      <c r="CK1833" s="1566"/>
    </row>
    <row r="1834" spans="1:89" s="1559" customFormat="1" ht="21" customHeight="1" x14ac:dyDescent="0.25">
      <c r="A1834" s="1562"/>
      <c r="B1834" s="1567" t="s">
        <v>1112</v>
      </c>
      <c r="C1834" s="1564"/>
      <c r="D1834" s="1565"/>
      <c r="E1834" s="747"/>
      <c r="F1834" s="747"/>
      <c r="G1834" s="747"/>
      <c r="H1834" s="747"/>
      <c r="I1834" s="747"/>
      <c r="J1834" s="747"/>
      <c r="K1834" s="747"/>
      <c r="L1834" s="747"/>
      <c r="M1834" s="747"/>
      <c r="N1834" s="747"/>
      <c r="O1834" s="748"/>
      <c r="P1834" s="749"/>
      <c r="Q1834" s="1566"/>
      <c r="R1834" s="1566"/>
      <c r="S1834" s="1566"/>
      <c r="T1834" s="1566"/>
      <c r="U1834" s="1566"/>
      <c r="V1834" s="1566"/>
      <c r="W1834" s="1566"/>
      <c r="X1834" s="1566"/>
      <c r="Y1834" s="1566"/>
      <c r="Z1834" s="1566"/>
      <c r="AA1834" s="1566"/>
      <c r="AB1834" s="1566"/>
      <c r="AC1834" s="1566"/>
      <c r="AD1834" s="1566"/>
      <c r="AE1834" s="1566"/>
      <c r="AF1834" s="1566"/>
      <c r="AG1834" s="1566"/>
      <c r="AH1834" s="1566"/>
      <c r="AI1834" s="1566"/>
      <c r="AJ1834" s="1566"/>
      <c r="AK1834" s="1566"/>
      <c r="AL1834" s="1566"/>
      <c r="AM1834" s="1566"/>
      <c r="AN1834" s="1566"/>
      <c r="AO1834" s="1566"/>
      <c r="AP1834" s="1566"/>
      <c r="AQ1834" s="1566"/>
      <c r="AR1834" s="1566"/>
      <c r="AS1834" s="1566"/>
      <c r="AT1834" s="1566"/>
      <c r="AU1834" s="1566"/>
      <c r="AV1834" s="1566"/>
      <c r="AW1834" s="1566"/>
      <c r="AX1834" s="1566"/>
      <c r="AY1834" s="1566"/>
      <c r="AZ1834" s="1566"/>
      <c r="BA1834" s="1566"/>
      <c r="BB1834" s="1566"/>
      <c r="BC1834" s="1566"/>
      <c r="BD1834" s="1566"/>
      <c r="BE1834" s="1566"/>
      <c r="BF1834" s="1566"/>
      <c r="BG1834" s="1566"/>
      <c r="BH1834" s="1566"/>
      <c r="BI1834" s="1566"/>
      <c r="BJ1834" s="1566"/>
      <c r="BK1834" s="1566"/>
      <c r="BL1834" s="1566"/>
      <c r="BM1834" s="1566"/>
      <c r="BN1834" s="1566"/>
      <c r="BO1834" s="1566"/>
      <c r="BP1834" s="1566"/>
      <c r="BQ1834" s="1566"/>
      <c r="BR1834" s="1566"/>
      <c r="BS1834" s="1566"/>
      <c r="BT1834" s="1566"/>
      <c r="BU1834" s="1566"/>
      <c r="BV1834" s="1566"/>
      <c r="BW1834" s="1566"/>
      <c r="BX1834" s="1566"/>
      <c r="BY1834" s="1566"/>
      <c r="BZ1834" s="1566"/>
      <c r="CA1834" s="1566"/>
      <c r="CB1834" s="1566"/>
      <c r="CC1834" s="1566"/>
      <c r="CD1834" s="1566"/>
      <c r="CE1834" s="1566"/>
      <c r="CF1834" s="1566"/>
      <c r="CG1834" s="1566"/>
      <c r="CH1834" s="1566"/>
      <c r="CI1834" s="1566"/>
      <c r="CJ1834" s="1566"/>
      <c r="CK1834" s="1566"/>
    </row>
    <row r="1835" spans="1:89" s="1559" customFormat="1" ht="21" customHeight="1" x14ac:dyDescent="0.25">
      <c r="A1835" s="1562"/>
      <c r="B1835" s="1567" t="s">
        <v>1113</v>
      </c>
      <c r="C1835" s="1564"/>
      <c r="D1835" s="1565"/>
      <c r="E1835" s="747"/>
      <c r="F1835" s="747"/>
      <c r="G1835" s="747"/>
      <c r="H1835" s="747"/>
      <c r="I1835" s="747"/>
      <c r="J1835" s="747"/>
      <c r="K1835" s="747"/>
      <c r="L1835" s="747"/>
      <c r="M1835" s="747"/>
      <c r="N1835" s="747"/>
      <c r="O1835" s="748"/>
      <c r="P1835" s="749"/>
      <c r="Q1835" s="1566"/>
      <c r="R1835" s="1566"/>
      <c r="S1835" s="1566"/>
      <c r="T1835" s="1566"/>
      <c r="U1835" s="1566"/>
      <c r="V1835" s="1566"/>
      <c r="W1835" s="1566"/>
      <c r="X1835" s="1566"/>
      <c r="Y1835" s="1566"/>
      <c r="Z1835" s="1566"/>
      <c r="AA1835" s="1566"/>
      <c r="AB1835" s="1566"/>
      <c r="AC1835" s="1566"/>
      <c r="AD1835" s="1566"/>
      <c r="AE1835" s="1566"/>
      <c r="AF1835" s="1566"/>
      <c r="AG1835" s="1566"/>
      <c r="AH1835" s="1566"/>
      <c r="AI1835" s="1566"/>
      <c r="AJ1835" s="1566"/>
      <c r="AK1835" s="1566"/>
      <c r="AL1835" s="1566"/>
      <c r="AM1835" s="1566"/>
      <c r="AN1835" s="1566"/>
      <c r="AO1835" s="1566"/>
      <c r="AP1835" s="1566"/>
      <c r="AQ1835" s="1566"/>
      <c r="AR1835" s="1566"/>
      <c r="AS1835" s="1566"/>
      <c r="AT1835" s="1566"/>
      <c r="AU1835" s="1566"/>
      <c r="AV1835" s="1566"/>
      <c r="AW1835" s="1566"/>
      <c r="AX1835" s="1566"/>
      <c r="AY1835" s="1566"/>
      <c r="AZ1835" s="1566"/>
      <c r="BA1835" s="1566"/>
      <c r="BB1835" s="1566"/>
      <c r="BC1835" s="1566"/>
      <c r="BD1835" s="1566"/>
      <c r="BE1835" s="1566"/>
      <c r="BF1835" s="1566"/>
      <c r="BG1835" s="1566"/>
      <c r="BH1835" s="1566"/>
      <c r="BI1835" s="1566"/>
      <c r="BJ1835" s="1566"/>
      <c r="BK1835" s="1566"/>
      <c r="BL1835" s="1566"/>
      <c r="BM1835" s="1566"/>
      <c r="BN1835" s="1566"/>
      <c r="BO1835" s="1566"/>
      <c r="BP1835" s="1566"/>
      <c r="BQ1835" s="1566"/>
      <c r="BR1835" s="1566"/>
      <c r="BS1835" s="1566"/>
      <c r="BT1835" s="1566"/>
      <c r="BU1835" s="1566"/>
      <c r="BV1835" s="1566"/>
      <c r="BW1835" s="1566"/>
      <c r="BX1835" s="1566"/>
      <c r="BY1835" s="1566"/>
      <c r="BZ1835" s="1566"/>
      <c r="CA1835" s="1566"/>
      <c r="CB1835" s="1566"/>
      <c r="CC1835" s="1566"/>
      <c r="CD1835" s="1566"/>
      <c r="CE1835" s="1566"/>
      <c r="CF1835" s="1566"/>
      <c r="CG1835" s="1566"/>
      <c r="CH1835" s="1566"/>
      <c r="CI1835" s="1566"/>
      <c r="CJ1835" s="1566"/>
      <c r="CK1835" s="1566"/>
    </row>
    <row r="1836" spans="1:89" s="1559" customFormat="1" ht="21" customHeight="1" x14ac:dyDescent="0.25">
      <c r="A1836" s="1562"/>
      <c r="B1836" s="1568" t="s">
        <v>1114</v>
      </c>
      <c r="C1836" s="1564"/>
      <c r="D1836" s="1565"/>
      <c r="E1836" s="747"/>
      <c r="F1836" s="747"/>
      <c r="G1836" s="747"/>
      <c r="H1836" s="747"/>
      <c r="I1836" s="747"/>
      <c r="J1836" s="747"/>
      <c r="K1836" s="747"/>
      <c r="L1836" s="747"/>
      <c r="M1836" s="747"/>
      <c r="N1836" s="747"/>
      <c r="O1836" s="748"/>
      <c r="P1836" s="749"/>
      <c r="Q1836" s="1566"/>
      <c r="R1836" s="1566"/>
      <c r="S1836" s="1566"/>
      <c r="T1836" s="1566"/>
      <c r="U1836" s="1566"/>
      <c r="V1836" s="1566"/>
      <c r="W1836" s="1566"/>
      <c r="X1836" s="1566"/>
      <c r="Y1836" s="1566"/>
      <c r="Z1836" s="1566"/>
      <c r="AA1836" s="1566"/>
      <c r="AB1836" s="1566"/>
      <c r="AC1836" s="1566"/>
      <c r="AD1836" s="1566"/>
      <c r="AE1836" s="1566"/>
      <c r="AF1836" s="1566"/>
      <c r="AG1836" s="1566"/>
      <c r="AH1836" s="1566"/>
      <c r="AI1836" s="1566"/>
      <c r="AJ1836" s="1566"/>
      <c r="AK1836" s="1566"/>
      <c r="AL1836" s="1566"/>
      <c r="AM1836" s="1566"/>
      <c r="AN1836" s="1566"/>
      <c r="AO1836" s="1566"/>
      <c r="AP1836" s="1566"/>
      <c r="AQ1836" s="1566"/>
      <c r="AR1836" s="1566"/>
      <c r="AS1836" s="1566"/>
      <c r="AT1836" s="1566"/>
      <c r="AU1836" s="1566"/>
      <c r="AV1836" s="1566"/>
      <c r="AW1836" s="1566"/>
      <c r="AX1836" s="1566"/>
      <c r="AY1836" s="1566"/>
      <c r="AZ1836" s="1566"/>
      <c r="BA1836" s="1566"/>
      <c r="BB1836" s="1566"/>
      <c r="BC1836" s="1566"/>
      <c r="BD1836" s="1566"/>
      <c r="BE1836" s="1566"/>
      <c r="BF1836" s="1566"/>
      <c r="BG1836" s="1566"/>
      <c r="BH1836" s="1566"/>
      <c r="BI1836" s="1566"/>
      <c r="BJ1836" s="1566"/>
      <c r="BK1836" s="1566"/>
      <c r="BL1836" s="1566"/>
      <c r="BM1836" s="1566"/>
      <c r="BN1836" s="1566"/>
      <c r="BO1836" s="1566"/>
      <c r="BP1836" s="1566"/>
      <c r="BQ1836" s="1566"/>
      <c r="BR1836" s="1566"/>
      <c r="BS1836" s="1566"/>
      <c r="BT1836" s="1566"/>
      <c r="BU1836" s="1566"/>
      <c r="BV1836" s="1566"/>
      <c r="BW1836" s="1566"/>
      <c r="BX1836" s="1566"/>
      <c r="BY1836" s="1566"/>
      <c r="BZ1836" s="1566"/>
      <c r="CA1836" s="1566"/>
      <c r="CB1836" s="1566"/>
      <c r="CC1836" s="1566"/>
      <c r="CD1836" s="1566"/>
      <c r="CE1836" s="1566"/>
      <c r="CF1836" s="1566"/>
      <c r="CG1836" s="1566"/>
      <c r="CH1836" s="1566"/>
      <c r="CI1836" s="1566"/>
      <c r="CJ1836" s="1566"/>
      <c r="CK1836" s="1566"/>
    </row>
    <row r="1837" spans="1:89" s="1559" customFormat="1" ht="21" customHeight="1" x14ac:dyDescent="0.2">
      <c r="A1837" s="1562"/>
      <c r="B1837" s="1569" t="s">
        <v>1115</v>
      </c>
      <c r="C1837" s="1564"/>
      <c r="D1837" s="1565"/>
      <c r="E1837" s="747"/>
      <c r="F1837" s="747"/>
      <c r="G1837" s="747"/>
      <c r="H1837" s="747"/>
      <c r="I1837" s="747"/>
      <c r="J1837" s="747"/>
      <c r="K1837" s="747"/>
      <c r="L1837" s="747"/>
      <c r="M1837" s="747"/>
      <c r="N1837" s="747"/>
      <c r="O1837" s="748"/>
      <c r="P1837" s="749"/>
      <c r="Q1837" s="1566"/>
      <c r="R1837" s="1566"/>
      <c r="S1837" s="1566"/>
      <c r="T1837" s="1566"/>
      <c r="U1837" s="1566"/>
      <c r="V1837" s="1566"/>
      <c r="W1837" s="1566"/>
      <c r="X1837" s="1566"/>
      <c r="Y1837" s="1566"/>
      <c r="Z1837" s="1566"/>
      <c r="AA1837" s="1566"/>
      <c r="AB1837" s="1566"/>
      <c r="AC1837" s="1566"/>
      <c r="AD1837" s="1566"/>
      <c r="AE1837" s="1566"/>
      <c r="AF1837" s="1566"/>
      <c r="AG1837" s="1566"/>
      <c r="AH1837" s="1566"/>
      <c r="AI1837" s="1566"/>
      <c r="AJ1837" s="1566"/>
      <c r="AK1837" s="1566"/>
      <c r="AL1837" s="1566"/>
      <c r="AM1837" s="1566"/>
      <c r="AN1837" s="1566"/>
      <c r="AO1837" s="1566"/>
      <c r="AP1837" s="1566"/>
      <c r="AQ1837" s="1566"/>
      <c r="AR1837" s="1566"/>
      <c r="AS1837" s="1566"/>
      <c r="AT1837" s="1566"/>
      <c r="AU1837" s="1566"/>
      <c r="AV1837" s="1566"/>
      <c r="AW1837" s="1566"/>
      <c r="AX1837" s="1566"/>
      <c r="AY1837" s="1566"/>
      <c r="AZ1837" s="1566"/>
      <c r="BA1837" s="1566"/>
      <c r="BB1837" s="1566"/>
      <c r="BC1837" s="1566"/>
      <c r="BD1837" s="1566"/>
      <c r="BE1837" s="1566"/>
      <c r="BF1837" s="1566"/>
      <c r="BG1837" s="1566"/>
      <c r="BH1837" s="1566"/>
      <c r="BI1837" s="1566"/>
      <c r="BJ1837" s="1566"/>
      <c r="BK1837" s="1566"/>
      <c r="BL1837" s="1566"/>
      <c r="BM1837" s="1566"/>
      <c r="BN1837" s="1566"/>
      <c r="BO1837" s="1566"/>
      <c r="BP1837" s="1566"/>
      <c r="BQ1837" s="1566"/>
      <c r="BR1837" s="1566"/>
      <c r="BS1837" s="1566"/>
      <c r="BT1837" s="1566"/>
      <c r="BU1837" s="1566"/>
      <c r="BV1837" s="1566"/>
      <c r="BW1837" s="1566"/>
      <c r="BX1837" s="1566"/>
      <c r="BY1837" s="1566"/>
      <c r="BZ1837" s="1566"/>
      <c r="CA1837" s="1566"/>
      <c r="CB1837" s="1566"/>
      <c r="CC1837" s="1566"/>
      <c r="CD1837" s="1566"/>
      <c r="CE1837" s="1566"/>
      <c r="CF1837" s="1566"/>
      <c r="CG1837" s="1566"/>
      <c r="CH1837" s="1566"/>
      <c r="CI1837" s="1566"/>
      <c r="CJ1837" s="1566"/>
      <c r="CK1837" s="1566"/>
    </row>
    <row r="1838" spans="1:89" s="1559" customFormat="1" ht="21" customHeight="1" x14ac:dyDescent="0.25">
      <c r="A1838" s="1562"/>
      <c r="B1838" s="1563" t="s">
        <v>1116</v>
      </c>
      <c r="C1838" s="1564"/>
      <c r="D1838" s="1565"/>
      <c r="E1838" s="747"/>
      <c r="F1838" s="747"/>
      <c r="G1838" s="747"/>
      <c r="H1838" s="747"/>
      <c r="I1838" s="747"/>
      <c r="J1838" s="747"/>
      <c r="K1838" s="747"/>
      <c r="L1838" s="747"/>
      <c r="M1838" s="747"/>
      <c r="N1838" s="747"/>
      <c r="O1838" s="748"/>
      <c r="P1838" s="749"/>
      <c r="Q1838" s="1566"/>
      <c r="R1838" s="1566"/>
      <c r="S1838" s="1566"/>
      <c r="T1838" s="1566"/>
      <c r="U1838" s="1566"/>
      <c r="V1838" s="1566"/>
      <c r="W1838" s="1566"/>
      <c r="X1838" s="1566"/>
      <c r="Y1838" s="1566"/>
      <c r="Z1838" s="1566"/>
      <c r="AA1838" s="1566"/>
      <c r="AB1838" s="1566"/>
      <c r="AC1838" s="1566"/>
      <c r="AD1838" s="1566"/>
      <c r="AE1838" s="1566"/>
      <c r="AF1838" s="1566"/>
      <c r="AG1838" s="1566"/>
      <c r="AH1838" s="1566"/>
      <c r="AI1838" s="1566"/>
      <c r="AJ1838" s="1566"/>
      <c r="AK1838" s="1566"/>
      <c r="AL1838" s="1566"/>
      <c r="AM1838" s="1566"/>
      <c r="AN1838" s="1566"/>
      <c r="AO1838" s="1566"/>
      <c r="AP1838" s="1566"/>
      <c r="AQ1838" s="1566"/>
      <c r="AR1838" s="1566"/>
      <c r="AS1838" s="1566"/>
      <c r="AT1838" s="1566"/>
      <c r="AU1838" s="1566"/>
      <c r="AV1838" s="1566"/>
      <c r="AW1838" s="1566"/>
      <c r="AX1838" s="1566"/>
      <c r="AY1838" s="1566"/>
      <c r="AZ1838" s="1566"/>
      <c r="BA1838" s="1566"/>
      <c r="BB1838" s="1566"/>
      <c r="BC1838" s="1566"/>
      <c r="BD1838" s="1566"/>
      <c r="BE1838" s="1566"/>
      <c r="BF1838" s="1566"/>
      <c r="BG1838" s="1566"/>
      <c r="BH1838" s="1566"/>
      <c r="BI1838" s="1566"/>
      <c r="BJ1838" s="1566"/>
      <c r="BK1838" s="1566"/>
      <c r="BL1838" s="1566"/>
      <c r="BM1838" s="1566"/>
      <c r="BN1838" s="1566"/>
      <c r="BO1838" s="1566"/>
      <c r="BP1838" s="1566"/>
      <c r="BQ1838" s="1566"/>
      <c r="BR1838" s="1566"/>
      <c r="BS1838" s="1566"/>
      <c r="BT1838" s="1566"/>
      <c r="BU1838" s="1566"/>
      <c r="BV1838" s="1566"/>
      <c r="BW1838" s="1566"/>
      <c r="BX1838" s="1566"/>
      <c r="BY1838" s="1566"/>
      <c r="BZ1838" s="1566"/>
      <c r="CA1838" s="1566"/>
      <c r="CB1838" s="1566"/>
      <c r="CC1838" s="1566"/>
      <c r="CD1838" s="1566"/>
      <c r="CE1838" s="1566"/>
      <c r="CF1838" s="1566"/>
      <c r="CG1838" s="1566"/>
      <c r="CH1838" s="1566"/>
      <c r="CI1838" s="1566"/>
      <c r="CJ1838" s="1566"/>
      <c r="CK1838" s="1566"/>
    </row>
    <row r="1839" spans="1:89" s="1559" customFormat="1" ht="21" customHeight="1" x14ac:dyDescent="0.25">
      <c r="A1839" s="1562"/>
      <c r="B1839" s="1567" t="s">
        <v>1117</v>
      </c>
      <c r="C1839" s="1564"/>
      <c r="D1839" s="1565"/>
      <c r="E1839" s="747"/>
      <c r="F1839" s="747"/>
      <c r="G1839" s="747"/>
      <c r="H1839" s="747"/>
      <c r="I1839" s="747"/>
      <c r="J1839" s="747"/>
      <c r="K1839" s="747"/>
      <c r="L1839" s="747"/>
      <c r="M1839" s="747"/>
      <c r="N1839" s="747"/>
      <c r="O1839" s="748"/>
      <c r="P1839" s="749"/>
      <c r="Q1839" s="1566"/>
      <c r="R1839" s="1566"/>
      <c r="S1839" s="1566"/>
      <c r="T1839" s="1566"/>
      <c r="U1839" s="1566"/>
      <c r="V1839" s="1566"/>
      <c r="W1839" s="1566"/>
      <c r="X1839" s="1566"/>
      <c r="Y1839" s="1566"/>
      <c r="Z1839" s="1566"/>
      <c r="AA1839" s="1566"/>
      <c r="AB1839" s="1566"/>
      <c r="AC1839" s="1566"/>
      <c r="AD1839" s="1566"/>
      <c r="AE1839" s="1566"/>
      <c r="AF1839" s="1566"/>
      <c r="AG1839" s="1566"/>
      <c r="AH1839" s="1566"/>
      <c r="AI1839" s="1566"/>
      <c r="AJ1839" s="1566"/>
      <c r="AK1839" s="1566"/>
      <c r="AL1839" s="1566"/>
      <c r="AM1839" s="1566"/>
      <c r="AN1839" s="1566"/>
      <c r="AO1839" s="1566"/>
      <c r="AP1839" s="1566"/>
      <c r="AQ1839" s="1566"/>
      <c r="AR1839" s="1566"/>
      <c r="AS1839" s="1566"/>
      <c r="AT1839" s="1566"/>
      <c r="AU1839" s="1566"/>
      <c r="AV1839" s="1566"/>
      <c r="AW1839" s="1566"/>
      <c r="AX1839" s="1566"/>
      <c r="AY1839" s="1566"/>
      <c r="AZ1839" s="1566"/>
      <c r="BA1839" s="1566"/>
      <c r="BB1839" s="1566"/>
      <c r="BC1839" s="1566"/>
      <c r="BD1839" s="1566"/>
      <c r="BE1839" s="1566"/>
      <c r="BF1839" s="1566"/>
      <c r="BG1839" s="1566"/>
      <c r="BH1839" s="1566"/>
      <c r="BI1839" s="1566"/>
      <c r="BJ1839" s="1566"/>
      <c r="BK1839" s="1566"/>
      <c r="BL1839" s="1566"/>
      <c r="BM1839" s="1566"/>
      <c r="BN1839" s="1566"/>
      <c r="BO1839" s="1566"/>
      <c r="BP1839" s="1566"/>
      <c r="BQ1839" s="1566"/>
      <c r="BR1839" s="1566"/>
      <c r="BS1839" s="1566"/>
      <c r="BT1839" s="1566"/>
      <c r="BU1839" s="1566"/>
      <c r="BV1839" s="1566"/>
      <c r="BW1839" s="1566"/>
      <c r="BX1839" s="1566"/>
      <c r="BY1839" s="1566"/>
      <c r="BZ1839" s="1566"/>
      <c r="CA1839" s="1566"/>
      <c r="CB1839" s="1566"/>
      <c r="CC1839" s="1566"/>
      <c r="CD1839" s="1566"/>
      <c r="CE1839" s="1566"/>
      <c r="CF1839" s="1566"/>
      <c r="CG1839" s="1566"/>
      <c r="CH1839" s="1566"/>
      <c r="CI1839" s="1566"/>
      <c r="CJ1839" s="1566"/>
      <c r="CK1839" s="1566"/>
    </row>
    <row r="1840" spans="1:89" s="1559" customFormat="1" ht="21" customHeight="1" x14ac:dyDescent="0.25">
      <c r="A1840" s="1562"/>
      <c r="B1840" s="1567" t="s">
        <v>1118</v>
      </c>
      <c r="C1840" s="1564"/>
      <c r="D1840" s="1565"/>
      <c r="E1840" s="747"/>
      <c r="F1840" s="747"/>
      <c r="G1840" s="747"/>
      <c r="H1840" s="747"/>
      <c r="I1840" s="747"/>
      <c r="J1840" s="747"/>
      <c r="K1840" s="747"/>
      <c r="L1840" s="747"/>
      <c r="M1840" s="747"/>
      <c r="N1840" s="747"/>
      <c r="O1840" s="748"/>
      <c r="P1840" s="749"/>
      <c r="Q1840" s="1566"/>
      <c r="R1840" s="1566"/>
      <c r="S1840" s="1566"/>
      <c r="T1840" s="1566"/>
      <c r="U1840" s="1566"/>
      <c r="V1840" s="1566"/>
      <c r="W1840" s="1566"/>
      <c r="X1840" s="1566"/>
      <c r="Y1840" s="1566"/>
      <c r="Z1840" s="1566"/>
      <c r="AA1840" s="1566"/>
      <c r="AB1840" s="1566"/>
      <c r="AC1840" s="1566"/>
      <c r="AD1840" s="1566"/>
      <c r="AE1840" s="1566"/>
      <c r="AF1840" s="1566"/>
      <c r="AG1840" s="1566"/>
      <c r="AH1840" s="1566"/>
      <c r="AI1840" s="1566"/>
      <c r="AJ1840" s="1566"/>
      <c r="AK1840" s="1566"/>
      <c r="AL1840" s="1566"/>
      <c r="AM1840" s="1566"/>
      <c r="AN1840" s="1566"/>
      <c r="AO1840" s="1566"/>
      <c r="AP1840" s="1566"/>
      <c r="AQ1840" s="1566"/>
      <c r="AR1840" s="1566"/>
      <c r="AS1840" s="1566"/>
      <c r="AT1840" s="1566"/>
      <c r="AU1840" s="1566"/>
      <c r="AV1840" s="1566"/>
      <c r="AW1840" s="1566"/>
      <c r="AX1840" s="1566"/>
      <c r="AY1840" s="1566"/>
      <c r="AZ1840" s="1566"/>
      <c r="BA1840" s="1566"/>
      <c r="BB1840" s="1566"/>
      <c r="BC1840" s="1566"/>
      <c r="BD1840" s="1566"/>
      <c r="BE1840" s="1566"/>
      <c r="BF1840" s="1566"/>
      <c r="BG1840" s="1566"/>
      <c r="BH1840" s="1566"/>
      <c r="BI1840" s="1566"/>
      <c r="BJ1840" s="1566"/>
      <c r="BK1840" s="1566"/>
      <c r="BL1840" s="1566"/>
      <c r="BM1840" s="1566"/>
      <c r="BN1840" s="1566"/>
      <c r="BO1840" s="1566"/>
      <c r="BP1840" s="1566"/>
      <c r="BQ1840" s="1566"/>
      <c r="BR1840" s="1566"/>
      <c r="BS1840" s="1566"/>
      <c r="BT1840" s="1566"/>
      <c r="BU1840" s="1566"/>
      <c r="BV1840" s="1566"/>
      <c r="BW1840" s="1566"/>
      <c r="BX1840" s="1566"/>
      <c r="BY1840" s="1566"/>
      <c r="BZ1840" s="1566"/>
      <c r="CA1840" s="1566"/>
      <c r="CB1840" s="1566"/>
      <c r="CC1840" s="1566"/>
      <c r="CD1840" s="1566"/>
      <c r="CE1840" s="1566"/>
      <c r="CF1840" s="1566"/>
      <c r="CG1840" s="1566"/>
      <c r="CH1840" s="1566"/>
      <c r="CI1840" s="1566"/>
      <c r="CJ1840" s="1566"/>
      <c r="CK1840" s="1566"/>
    </row>
    <row r="1841" spans="1:89" s="1559" customFormat="1" ht="21" customHeight="1" x14ac:dyDescent="0.25">
      <c r="A1841" s="1562"/>
      <c r="B1841" s="1570" t="s">
        <v>1119</v>
      </c>
      <c r="C1841" s="1571"/>
      <c r="D1841" s="1565"/>
      <c r="E1841" s="747"/>
      <c r="F1841" s="747"/>
      <c r="G1841" s="747"/>
      <c r="H1841" s="747"/>
      <c r="I1841" s="747"/>
      <c r="J1841" s="747"/>
      <c r="K1841" s="747"/>
      <c r="L1841" s="747"/>
      <c r="M1841" s="747"/>
      <c r="N1841" s="747"/>
      <c r="O1841" s="748"/>
      <c r="P1841" s="749"/>
      <c r="Q1841" s="1566"/>
      <c r="R1841" s="1566"/>
      <c r="S1841" s="1566"/>
      <c r="T1841" s="1566"/>
      <c r="U1841" s="1566"/>
      <c r="V1841" s="1566"/>
      <c r="W1841" s="1566"/>
      <c r="X1841" s="1566"/>
      <c r="Y1841" s="1566"/>
      <c r="Z1841" s="1566"/>
      <c r="AA1841" s="1566"/>
      <c r="AB1841" s="1566"/>
      <c r="AC1841" s="1566"/>
      <c r="AD1841" s="1566"/>
      <c r="AE1841" s="1566"/>
      <c r="AF1841" s="1566"/>
      <c r="AG1841" s="1566"/>
      <c r="AH1841" s="1566"/>
      <c r="AI1841" s="1566"/>
      <c r="AJ1841" s="1566"/>
      <c r="AK1841" s="1566"/>
      <c r="AL1841" s="1566"/>
      <c r="AM1841" s="1566"/>
      <c r="AN1841" s="1566"/>
      <c r="AO1841" s="1566"/>
      <c r="AP1841" s="1566"/>
      <c r="AQ1841" s="1566"/>
      <c r="AR1841" s="1566"/>
      <c r="AS1841" s="1566"/>
      <c r="AT1841" s="1566"/>
      <c r="AU1841" s="1566"/>
      <c r="AV1841" s="1566"/>
      <c r="AW1841" s="1566"/>
      <c r="AX1841" s="1566"/>
      <c r="AY1841" s="1566"/>
      <c r="AZ1841" s="1566"/>
      <c r="BA1841" s="1566"/>
      <c r="BB1841" s="1566"/>
      <c r="BC1841" s="1566"/>
      <c r="BD1841" s="1566"/>
      <c r="BE1841" s="1566"/>
      <c r="BF1841" s="1566"/>
      <c r="BG1841" s="1566"/>
      <c r="BH1841" s="1566"/>
      <c r="BI1841" s="1566"/>
      <c r="BJ1841" s="1566"/>
      <c r="BK1841" s="1566"/>
      <c r="BL1841" s="1566"/>
      <c r="BM1841" s="1566"/>
      <c r="BN1841" s="1566"/>
      <c r="BO1841" s="1566"/>
      <c r="BP1841" s="1566"/>
      <c r="BQ1841" s="1566"/>
      <c r="BR1841" s="1566"/>
      <c r="BS1841" s="1566"/>
      <c r="BT1841" s="1566"/>
      <c r="BU1841" s="1566"/>
      <c r="BV1841" s="1566"/>
      <c r="BW1841" s="1566"/>
      <c r="BX1841" s="1566"/>
      <c r="BY1841" s="1566"/>
      <c r="BZ1841" s="1566"/>
      <c r="CA1841" s="1566"/>
      <c r="CB1841" s="1566"/>
      <c r="CC1841" s="1566"/>
      <c r="CD1841" s="1566"/>
      <c r="CE1841" s="1566"/>
      <c r="CF1841" s="1566"/>
      <c r="CG1841" s="1566"/>
      <c r="CH1841" s="1566"/>
      <c r="CI1841" s="1566"/>
      <c r="CJ1841" s="1566"/>
      <c r="CK1841" s="1566"/>
    </row>
    <row r="1842" spans="1:89" s="1559" customFormat="1" ht="21" customHeight="1" x14ac:dyDescent="0.2">
      <c r="A1842" s="1562"/>
      <c r="B1842" s="689" t="s">
        <v>1120</v>
      </c>
      <c r="C1842" s="1571"/>
      <c r="D1842" s="1565"/>
      <c r="E1842" s="747"/>
      <c r="F1842" s="747"/>
      <c r="G1842" s="747"/>
      <c r="H1842" s="747"/>
      <c r="I1842" s="747"/>
      <c r="J1842" s="747"/>
      <c r="K1842" s="747"/>
      <c r="L1842" s="747"/>
      <c r="M1842" s="747"/>
      <c r="N1842" s="747"/>
      <c r="O1842" s="748"/>
      <c r="P1842" s="749"/>
      <c r="Q1842" s="1566"/>
      <c r="R1842" s="1566"/>
      <c r="S1842" s="1566"/>
      <c r="T1842" s="1566"/>
      <c r="U1842" s="1566"/>
      <c r="V1842" s="1566"/>
      <c r="W1842" s="1566"/>
      <c r="X1842" s="1566"/>
      <c r="Y1842" s="1566"/>
      <c r="Z1842" s="1566"/>
      <c r="AA1842" s="1566"/>
      <c r="AB1842" s="1566"/>
      <c r="AC1842" s="1566"/>
      <c r="AD1842" s="1566"/>
      <c r="AE1842" s="1566"/>
      <c r="AF1842" s="1566"/>
      <c r="AG1842" s="1566"/>
      <c r="AH1842" s="1566"/>
      <c r="AI1842" s="1566"/>
      <c r="AJ1842" s="1566"/>
      <c r="AK1842" s="1566"/>
      <c r="AL1842" s="1566"/>
      <c r="AM1842" s="1566"/>
      <c r="AN1842" s="1566"/>
      <c r="AO1842" s="1566"/>
      <c r="AP1842" s="1566"/>
      <c r="AQ1842" s="1566"/>
      <c r="AR1842" s="1566"/>
      <c r="AS1842" s="1566"/>
      <c r="AT1842" s="1566"/>
      <c r="AU1842" s="1566"/>
      <c r="AV1842" s="1566"/>
      <c r="AW1842" s="1566"/>
      <c r="AX1842" s="1566"/>
      <c r="AY1842" s="1566"/>
      <c r="AZ1842" s="1566"/>
      <c r="BA1842" s="1566"/>
      <c r="BB1842" s="1566"/>
      <c r="BC1842" s="1566"/>
      <c r="BD1842" s="1566"/>
      <c r="BE1842" s="1566"/>
      <c r="BF1842" s="1566"/>
      <c r="BG1842" s="1566"/>
      <c r="BH1842" s="1566"/>
      <c r="BI1842" s="1566"/>
      <c r="BJ1842" s="1566"/>
      <c r="BK1842" s="1566"/>
      <c r="BL1842" s="1566"/>
      <c r="BM1842" s="1566"/>
      <c r="BN1842" s="1566"/>
      <c r="BO1842" s="1566"/>
      <c r="BP1842" s="1566"/>
      <c r="BQ1842" s="1566"/>
      <c r="BR1842" s="1566"/>
      <c r="BS1842" s="1566"/>
      <c r="BT1842" s="1566"/>
      <c r="BU1842" s="1566"/>
      <c r="BV1842" s="1566"/>
      <c r="BW1842" s="1566"/>
      <c r="BX1842" s="1566"/>
      <c r="BY1842" s="1566"/>
      <c r="BZ1842" s="1566"/>
      <c r="CA1842" s="1566"/>
      <c r="CB1842" s="1566"/>
      <c r="CC1842" s="1566"/>
      <c r="CD1842" s="1566"/>
      <c r="CE1842" s="1566"/>
      <c r="CF1842" s="1566"/>
      <c r="CG1842" s="1566"/>
      <c r="CH1842" s="1566"/>
      <c r="CI1842" s="1566"/>
      <c r="CJ1842" s="1566"/>
      <c r="CK1842" s="1566"/>
    </row>
    <row r="1843" spans="1:89" s="1559" customFormat="1" ht="21" customHeight="1" x14ac:dyDescent="0.25">
      <c r="A1843" s="1562"/>
      <c r="B1843" s="1572" t="s">
        <v>1121</v>
      </c>
      <c r="C1843" s="1571"/>
      <c r="D1843" s="1565"/>
      <c r="E1843" s="747"/>
      <c r="F1843" s="747"/>
      <c r="G1843" s="747"/>
      <c r="H1843" s="747"/>
      <c r="I1843" s="747"/>
      <c r="J1843" s="747"/>
      <c r="K1843" s="747"/>
      <c r="L1843" s="747"/>
      <c r="M1843" s="747"/>
      <c r="N1843" s="747"/>
      <c r="O1843" s="748"/>
      <c r="P1843" s="749"/>
      <c r="Q1843" s="1566"/>
      <c r="R1843" s="1566"/>
      <c r="S1843" s="1566"/>
      <c r="T1843" s="1566"/>
      <c r="U1843" s="1566"/>
      <c r="V1843" s="1566"/>
      <c r="W1843" s="1566"/>
      <c r="X1843" s="1566"/>
      <c r="Y1843" s="1566"/>
      <c r="Z1843" s="1566"/>
      <c r="AA1843" s="1566"/>
      <c r="AB1843" s="1566"/>
      <c r="AC1843" s="1566"/>
      <c r="AD1843" s="1566"/>
      <c r="AE1843" s="1566"/>
      <c r="AF1843" s="1566"/>
      <c r="AG1843" s="1566"/>
      <c r="AH1843" s="1566"/>
      <c r="AI1843" s="1566"/>
      <c r="AJ1843" s="1566"/>
      <c r="AK1843" s="1566"/>
      <c r="AL1843" s="1566"/>
      <c r="AM1843" s="1566"/>
      <c r="AN1843" s="1566"/>
      <c r="AO1843" s="1566"/>
      <c r="AP1843" s="1566"/>
      <c r="AQ1843" s="1566"/>
      <c r="AR1843" s="1566"/>
      <c r="AS1843" s="1566"/>
      <c r="AT1843" s="1566"/>
      <c r="AU1843" s="1566"/>
      <c r="AV1843" s="1566"/>
      <c r="AW1843" s="1566"/>
      <c r="AX1843" s="1566"/>
      <c r="AY1843" s="1566"/>
      <c r="AZ1843" s="1566"/>
      <c r="BA1843" s="1566"/>
      <c r="BB1843" s="1566"/>
      <c r="BC1843" s="1566"/>
      <c r="BD1843" s="1566"/>
      <c r="BE1843" s="1566"/>
      <c r="BF1843" s="1566"/>
      <c r="BG1843" s="1566"/>
      <c r="BH1843" s="1566"/>
      <c r="BI1843" s="1566"/>
      <c r="BJ1843" s="1566"/>
      <c r="BK1843" s="1566"/>
      <c r="BL1843" s="1566"/>
      <c r="BM1843" s="1566"/>
      <c r="BN1843" s="1566"/>
      <c r="BO1843" s="1566"/>
      <c r="BP1843" s="1566"/>
      <c r="BQ1843" s="1566"/>
      <c r="BR1843" s="1566"/>
      <c r="BS1843" s="1566"/>
      <c r="BT1843" s="1566"/>
      <c r="BU1843" s="1566"/>
      <c r="BV1843" s="1566"/>
      <c r="BW1843" s="1566"/>
      <c r="BX1843" s="1566"/>
      <c r="BY1843" s="1566"/>
      <c r="BZ1843" s="1566"/>
      <c r="CA1843" s="1566"/>
      <c r="CB1843" s="1566"/>
      <c r="CC1843" s="1566"/>
      <c r="CD1843" s="1566"/>
      <c r="CE1843" s="1566"/>
      <c r="CF1843" s="1566"/>
      <c r="CG1843" s="1566"/>
      <c r="CH1843" s="1566"/>
      <c r="CI1843" s="1566"/>
      <c r="CJ1843" s="1566"/>
      <c r="CK1843" s="1566"/>
    </row>
    <row r="1844" spans="1:89" ht="21" customHeight="1" x14ac:dyDescent="0.25">
      <c r="A1844" s="742"/>
      <c r="B1844" s="1572" t="s">
        <v>1122</v>
      </c>
      <c r="C1844" s="1340"/>
      <c r="D1844" s="739"/>
      <c r="E1844" s="695"/>
      <c r="F1844" s="695"/>
      <c r="G1844" s="695"/>
      <c r="H1844" s="695"/>
      <c r="I1844" s="695"/>
      <c r="J1844" s="695"/>
      <c r="K1844" s="695"/>
      <c r="L1844" s="695"/>
      <c r="M1844" s="695"/>
      <c r="N1844" s="695"/>
      <c r="O1844" s="696"/>
      <c r="P1844" s="687"/>
    </row>
    <row r="1845" spans="1:89" ht="21" customHeight="1" x14ac:dyDescent="0.25">
      <c r="A1845" s="742"/>
      <c r="B1845" s="1572" t="s">
        <v>1123</v>
      </c>
      <c r="C1845" s="1340"/>
      <c r="D1845" s="739"/>
      <c r="E1845" s="695"/>
      <c r="F1845" s="695"/>
      <c r="G1845" s="695"/>
      <c r="H1845" s="695"/>
      <c r="I1845" s="695"/>
      <c r="J1845" s="695"/>
      <c r="K1845" s="695"/>
      <c r="L1845" s="695"/>
      <c r="M1845" s="695"/>
      <c r="N1845" s="695"/>
      <c r="O1845" s="696"/>
      <c r="P1845" s="687"/>
    </row>
    <row r="1846" spans="1:89" ht="21" customHeight="1" x14ac:dyDescent="0.25">
      <c r="A1846" s="742">
        <v>2</v>
      </c>
      <c r="B1846" s="1570" t="s">
        <v>1124</v>
      </c>
      <c r="C1846" s="1340"/>
      <c r="D1846" s="739"/>
      <c r="E1846" s="695"/>
      <c r="F1846" s="695"/>
      <c r="G1846" s="695"/>
      <c r="H1846" s="695"/>
      <c r="I1846" s="695"/>
      <c r="J1846" s="695"/>
      <c r="K1846" s="695"/>
      <c r="L1846" s="695"/>
      <c r="M1846" s="695"/>
      <c r="N1846" s="695"/>
      <c r="O1846" s="696">
        <f>N1846+K1846+H1846</f>
        <v>0</v>
      </c>
      <c r="P1846" s="687"/>
    </row>
    <row r="1847" spans="1:89" ht="21" customHeight="1" x14ac:dyDescent="0.25">
      <c r="A1847" s="742"/>
      <c r="B1847" s="1572" t="s">
        <v>1125</v>
      </c>
      <c r="C1847" s="1340"/>
      <c r="D1847" s="739"/>
      <c r="E1847" s="695"/>
      <c r="F1847" s="695"/>
      <c r="G1847" s="695"/>
      <c r="H1847" s="695"/>
      <c r="I1847" s="695"/>
      <c r="J1847" s="695"/>
      <c r="K1847" s="695"/>
      <c r="L1847" s="695"/>
      <c r="M1847" s="695"/>
      <c r="N1847" s="695"/>
      <c r="O1847" s="696"/>
      <c r="P1847" s="687"/>
    </row>
    <row r="1848" spans="1:89" ht="17.25" customHeight="1" x14ac:dyDescent="0.25">
      <c r="A1848" s="742"/>
      <c r="B1848" s="1373" t="s">
        <v>1126</v>
      </c>
      <c r="C1848" s="1340"/>
      <c r="D1848" s="739"/>
      <c r="E1848" s="695"/>
      <c r="F1848" s="695"/>
      <c r="G1848" s="695"/>
      <c r="H1848" s="695"/>
      <c r="I1848" s="695"/>
      <c r="J1848" s="695"/>
      <c r="K1848" s="695"/>
      <c r="L1848" s="695"/>
      <c r="M1848" s="695"/>
      <c r="N1848" s="695"/>
      <c r="O1848" s="696"/>
      <c r="P1848" s="687"/>
    </row>
    <row r="1849" spans="1:89" ht="17.25" customHeight="1" x14ac:dyDescent="0.2">
      <c r="A1849" s="742"/>
      <c r="B1849" s="689" t="s">
        <v>1127</v>
      </c>
      <c r="C1849" s="1340"/>
      <c r="D1849" s="739"/>
      <c r="E1849" s="695"/>
      <c r="F1849" s="695"/>
      <c r="G1849" s="695"/>
      <c r="H1849" s="695"/>
      <c r="I1849" s="695"/>
      <c r="J1849" s="695"/>
      <c r="K1849" s="695"/>
      <c r="L1849" s="695"/>
      <c r="M1849" s="695"/>
      <c r="N1849" s="695"/>
      <c r="O1849" s="696"/>
      <c r="P1849" s="687"/>
    </row>
    <row r="1850" spans="1:89" ht="17.25" customHeight="1" x14ac:dyDescent="0.2">
      <c r="A1850" s="742"/>
      <c r="B1850" s="689" t="s">
        <v>1128</v>
      </c>
      <c r="C1850" s="1571"/>
      <c r="D1850" s="1565"/>
      <c r="E1850" s="747"/>
      <c r="F1850" s="747"/>
      <c r="G1850" s="747"/>
      <c r="H1850" s="747"/>
      <c r="I1850" s="747"/>
      <c r="J1850" s="747"/>
      <c r="K1850" s="747"/>
      <c r="L1850" s="747"/>
      <c r="M1850" s="747"/>
      <c r="N1850" s="747"/>
      <c r="O1850" s="748"/>
      <c r="P1850" s="749"/>
    </row>
    <row r="1851" spans="1:89" ht="17.25" customHeight="1" x14ac:dyDescent="0.25">
      <c r="A1851" s="742"/>
      <c r="B1851" s="1373" t="s">
        <v>1129</v>
      </c>
      <c r="C1851" s="1340"/>
      <c r="D1851" s="739"/>
      <c r="E1851" s="695"/>
      <c r="F1851" s="695"/>
      <c r="G1851" s="695"/>
      <c r="H1851" s="695"/>
      <c r="I1851" s="695"/>
      <c r="J1851" s="695"/>
      <c r="K1851" s="695"/>
      <c r="L1851" s="695"/>
      <c r="M1851" s="695"/>
      <c r="N1851" s="695"/>
      <c r="O1851" s="696"/>
      <c r="P1851" s="687"/>
    </row>
    <row r="1852" spans="1:89" s="1559" customFormat="1" ht="17.25" customHeight="1" x14ac:dyDescent="0.25">
      <c r="A1852" s="1554"/>
      <c r="B1852" s="1573"/>
      <c r="C1852" s="1574"/>
      <c r="D1852" s="1575"/>
      <c r="E1852" s="1576"/>
      <c r="F1852" s="1576"/>
      <c r="G1852" s="1576"/>
      <c r="H1852" s="1576"/>
      <c r="I1852" s="1576"/>
      <c r="J1852" s="1576"/>
      <c r="K1852" s="1576"/>
      <c r="L1852" s="1576"/>
      <c r="M1852" s="1576"/>
      <c r="N1852" s="1576"/>
      <c r="O1852" s="1577"/>
      <c r="P1852" s="1578"/>
      <c r="Q1852" s="1566"/>
      <c r="R1852" s="1566"/>
      <c r="S1852" s="1566"/>
      <c r="T1852" s="1566"/>
      <c r="U1852" s="1566"/>
      <c r="V1852" s="1566"/>
      <c r="W1852" s="1566"/>
      <c r="X1852" s="1566"/>
      <c r="Y1852" s="1566"/>
      <c r="Z1852" s="1566"/>
      <c r="AA1852" s="1566"/>
      <c r="AB1852" s="1566"/>
      <c r="AC1852" s="1566"/>
      <c r="AD1852" s="1566"/>
      <c r="AE1852" s="1566"/>
      <c r="AF1852" s="1566"/>
      <c r="AG1852" s="1566"/>
      <c r="AH1852" s="1566"/>
      <c r="AI1852" s="1566"/>
      <c r="AJ1852" s="1566"/>
      <c r="AK1852" s="1566"/>
      <c r="AL1852" s="1566"/>
      <c r="AM1852" s="1566"/>
      <c r="AN1852" s="1566"/>
      <c r="AO1852" s="1566"/>
      <c r="AP1852" s="1566"/>
      <c r="AQ1852" s="1566"/>
      <c r="AR1852" s="1566"/>
      <c r="AS1852" s="1566"/>
      <c r="AT1852" s="1566"/>
      <c r="AU1852" s="1566"/>
      <c r="AV1852" s="1566"/>
      <c r="AW1852" s="1566"/>
      <c r="AX1852" s="1566"/>
      <c r="AY1852" s="1566"/>
      <c r="AZ1852" s="1566"/>
      <c r="BA1852" s="1566"/>
      <c r="BB1852" s="1566"/>
      <c r="BC1852" s="1566"/>
      <c r="BD1852" s="1566"/>
      <c r="BE1852" s="1566"/>
      <c r="BF1852" s="1566"/>
      <c r="BG1852" s="1566"/>
      <c r="BH1852" s="1566"/>
      <c r="BI1852" s="1566"/>
      <c r="BJ1852" s="1566"/>
      <c r="BK1852" s="1566"/>
      <c r="BL1852" s="1566"/>
      <c r="BM1852" s="1566"/>
      <c r="BN1852" s="1566"/>
      <c r="BO1852" s="1566"/>
      <c r="BP1852" s="1566"/>
      <c r="BQ1852" s="1566"/>
      <c r="BR1852" s="1566"/>
      <c r="BS1852" s="1566"/>
      <c r="BT1852" s="1566"/>
      <c r="BU1852" s="1566"/>
      <c r="BV1852" s="1566"/>
      <c r="BW1852" s="1566"/>
      <c r="BX1852" s="1566"/>
      <c r="BY1852" s="1566"/>
      <c r="BZ1852" s="1566"/>
      <c r="CA1852" s="1566"/>
      <c r="CB1852" s="1566"/>
      <c r="CC1852" s="1566"/>
      <c r="CD1852" s="1566"/>
      <c r="CE1852" s="1566"/>
      <c r="CF1852" s="1566"/>
      <c r="CG1852" s="1566"/>
      <c r="CH1852" s="1566"/>
      <c r="CI1852" s="1566"/>
      <c r="CJ1852" s="1566"/>
      <c r="CK1852" s="1566"/>
    </row>
    <row r="1853" spans="1:89" ht="17.25" customHeight="1" x14ac:dyDescent="0.25">
      <c r="A1853" s="742"/>
      <c r="B1853" s="744" t="s">
        <v>1130</v>
      </c>
      <c r="C1853" s="693"/>
      <c r="D1853" s="739"/>
      <c r="E1853" s="695"/>
      <c r="F1853" s="695"/>
      <c r="G1853" s="695"/>
      <c r="H1853" s="695"/>
      <c r="I1853" s="695"/>
      <c r="J1853" s="695"/>
      <c r="K1853" s="695"/>
      <c r="L1853" s="695"/>
      <c r="M1853" s="695"/>
      <c r="N1853" s="695"/>
      <c r="O1853" s="696"/>
      <c r="P1853" s="687"/>
    </row>
    <row r="1854" spans="1:89" ht="17.25" customHeight="1" x14ac:dyDescent="0.2">
      <c r="A1854" s="742"/>
      <c r="B1854" s="1569" t="s">
        <v>1131</v>
      </c>
      <c r="C1854" s="693">
        <v>1</v>
      </c>
      <c r="D1854" s="739" t="s">
        <v>25</v>
      </c>
      <c r="E1854" s="695">
        <v>100000</v>
      </c>
      <c r="F1854" s="695"/>
      <c r="G1854" s="695"/>
      <c r="H1854" s="695"/>
      <c r="I1854" s="695"/>
      <c r="J1854" s="695">
        <f>C1854*E1854</f>
        <v>100000</v>
      </c>
      <c r="K1854" s="695">
        <f>I1854+J1854</f>
        <v>100000</v>
      </c>
      <c r="L1854" s="695"/>
      <c r="M1854" s="695"/>
      <c r="N1854" s="695"/>
      <c r="O1854" s="696">
        <f>N1854+K1854+H1854</f>
        <v>100000</v>
      </c>
      <c r="P1854" s="687"/>
    </row>
    <row r="1855" spans="1:89" ht="17.25" customHeight="1" x14ac:dyDescent="0.2">
      <c r="A1855" s="742"/>
      <c r="B1855" s="1569"/>
      <c r="C1855" s="693"/>
      <c r="D1855" s="739"/>
      <c r="E1855" s="695"/>
      <c r="F1855" s="747"/>
      <c r="G1855" s="747"/>
      <c r="H1855" s="747"/>
      <c r="I1855" s="747"/>
      <c r="J1855" s="747"/>
      <c r="K1855" s="747"/>
      <c r="L1855" s="747"/>
      <c r="M1855" s="747"/>
      <c r="N1855" s="747"/>
      <c r="O1855" s="748"/>
      <c r="P1855" s="749"/>
    </row>
    <row r="1856" spans="1:89" s="672" customFormat="1" ht="17.25" customHeight="1" x14ac:dyDescent="0.2">
      <c r="A1856" s="737" t="s">
        <v>28</v>
      </c>
      <c r="B1856" s="1579" t="s">
        <v>29</v>
      </c>
      <c r="C1856" s="828"/>
      <c r="D1856" s="738"/>
      <c r="E1856" s="705"/>
      <c r="F1856" s="745">
        <f>SUM(F1859:F1878)</f>
        <v>0</v>
      </c>
      <c r="G1856" s="745">
        <f>SUM(G1859:G1878)</f>
        <v>0</v>
      </c>
      <c r="H1856" s="745">
        <f>F1856+G1856</f>
        <v>0</v>
      </c>
      <c r="I1856" s="745">
        <f>SUM(I1859:I1878)</f>
        <v>0</v>
      </c>
      <c r="J1856" s="745">
        <f>SUM(J1859:J1878)</f>
        <v>567200</v>
      </c>
      <c r="K1856" s="745">
        <f>I1856+J1856</f>
        <v>567200</v>
      </c>
      <c r="L1856" s="745">
        <f>SUM(L1859:L1878)</f>
        <v>0</v>
      </c>
      <c r="M1856" s="745">
        <f>SUM(M1859:M1878)</f>
        <v>0</v>
      </c>
      <c r="N1856" s="745">
        <f>L1856+M1856</f>
        <v>0</v>
      </c>
      <c r="O1856" s="1558">
        <f>N1856+K1856+H1856</f>
        <v>567200</v>
      </c>
      <c r="P1856" s="746"/>
      <c r="Q1856" s="1581"/>
      <c r="R1856" s="1581"/>
      <c r="S1856" s="1581"/>
      <c r="T1856" s="1581"/>
      <c r="U1856" s="1581"/>
      <c r="V1856" s="1581"/>
      <c r="W1856" s="1581"/>
      <c r="X1856" s="1581"/>
      <c r="Y1856" s="1581"/>
      <c r="Z1856" s="1581"/>
      <c r="AA1856" s="1581"/>
      <c r="AB1856" s="1581"/>
      <c r="AC1856" s="1581"/>
      <c r="AD1856" s="1581"/>
      <c r="AE1856" s="1581"/>
      <c r="AF1856" s="1581"/>
      <c r="AG1856" s="1581"/>
      <c r="AH1856" s="1581"/>
      <c r="AI1856" s="1581"/>
      <c r="AJ1856" s="1581"/>
      <c r="AK1856" s="1581"/>
      <c r="AL1856" s="1581"/>
      <c r="AM1856" s="1581"/>
      <c r="AN1856" s="1581"/>
      <c r="AO1856" s="1581"/>
      <c r="AP1856" s="1581"/>
      <c r="AQ1856" s="1581"/>
      <c r="AR1856" s="1581"/>
      <c r="AS1856" s="1581"/>
      <c r="AT1856" s="1581"/>
      <c r="AU1856" s="1581"/>
      <c r="AV1856" s="1581"/>
      <c r="AW1856" s="1581"/>
      <c r="AX1856" s="1581"/>
      <c r="AY1856" s="1581"/>
      <c r="AZ1856" s="1581"/>
      <c r="BA1856" s="1581"/>
      <c r="BB1856" s="1581"/>
      <c r="BC1856" s="1581"/>
      <c r="BD1856" s="1581"/>
      <c r="BE1856" s="1581"/>
      <c r="BF1856" s="1581"/>
      <c r="BG1856" s="1581"/>
      <c r="BH1856" s="1581"/>
      <c r="BI1856" s="1581"/>
      <c r="BJ1856" s="1581"/>
      <c r="BK1856" s="1581"/>
      <c r="BL1856" s="1581"/>
      <c r="BM1856" s="1581"/>
      <c r="BN1856" s="1581"/>
      <c r="BO1856" s="1581"/>
      <c r="BP1856" s="1581"/>
      <c r="BQ1856" s="1581"/>
      <c r="BR1856" s="1581"/>
      <c r="BS1856" s="1581"/>
      <c r="BT1856" s="1581"/>
      <c r="BU1856" s="1581"/>
      <c r="BV1856" s="1581"/>
      <c r="BW1856" s="1581"/>
      <c r="BX1856" s="1581"/>
      <c r="BY1856" s="1581"/>
      <c r="BZ1856" s="1581"/>
      <c r="CA1856" s="1581"/>
      <c r="CB1856" s="1581"/>
      <c r="CC1856" s="1581"/>
      <c r="CD1856" s="1581"/>
      <c r="CE1856" s="1581"/>
      <c r="CF1856" s="1581"/>
      <c r="CG1856" s="1581"/>
      <c r="CH1856" s="1581"/>
      <c r="CI1856" s="1581"/>
      <c r="CJ1856" s="1581"/>
      <c r="CK1856" s="1581"/>
    </row>
    <row r="1857" spans="1:16" ht="17.25" customHeight="1" x14ac:dyDescent="0.2">
      <c r="A1857" s="742"/>
      <c r="B1857" s="1569"/>
      <c r="C1857" s="693"/>
      <c r="D1857" s="739"/>
      <c r="E1857" s="695"/>
      <c r="F1857" s="747"/>
      <c r="G1857" s="747"/>
      <c r="H1857" s="747"/>
      <c r="I1857" s="747"/>
      <c r="J1857" s="747"/>
      <c r="K1857" s="747"/>
      <c r="L1857" s="747"/>
      <c r="M1857" s="747"/>
      <c r="N1857" s="747"/>
      <c r="O1857" s="748"/>
      <c r="P1857" s="749"/>
    </row>
    <row r="1858" spans="1:16" ht="17.25" customHeight="1" x14ac:dyDescent="0.2">
      <c r="A1858" s="742"/>
      <c r="B1858" s="1569" t="s">
        <v>19</v>
      </c>
      <c r="C1858" s="693"/>
      <c r="D1858" s="739"/>
      <c r="E1858" s="695"/>
      <c r="F1858" s="747"/>
      <c r="G1858" s="747"/>
      <c r="H1858" s="747"/>
      <c r="I1858" s="747"/>
      <c r="J1858" s="747"/>
      <c r="K1858" s="747"/>
      <c r="L1858" s="747"/>
      <c r="M1858" s="747"/>
      <c r="N1858" s="747"/>
      <c r="O1858" s="748"/>
      <c r="P1858" s="749"/>
    </row>
    <row r="1859" spans="1:16" ht="17.25" customHeight="1" x14ac:dyDescent="0.2">
      <c r="A1859" s="742"/>
      <c r="B1859" s="1569" t="s">
        <v>1132</v>
      </c>
      <c r="C1859" s="693">
        <v>12</v>
      </c>
      <c r="D1859" s="739" t="s">
        <v>20</v>
      </c>
      <c r="E1859" s="695">
        <v>1500</v>
      </c>
      <c r="F1859" s="747"/>
      <c r="G1859" s="747"/>
      <c r="H1859" s="747"/>
      <c r="I1859" s="747"/>
      <c r="J1859" s="747">
        <f>E1859*C1859</f>
        <v>18000</v>
      </c>
      <c r="K1859" s="747">
        <f>I1859+J1859</f>
        <v>18000</v>
      </c>
      <c r="L1859" s="747"/>
      <c r="M1859" s="747"/>
      <c r="N1859" s="747"/>
      <c r="O1859" s="748">
        <f>N1859+K1859+H1859</f>
        <v>18000</v>
      </c>
      <c r="P1859" s="749"/>
    </row>
    <row r="1860" spans="1:16" ht="17.25" customHeight="1" x14ac:dyDescent="0.2">
      <c r="A1860" s="742"/>
      <c r="B1860" s="1569" t="s">
        <v>1133</v>
      </c>
      <c r="C1860" s="693">
        <v>12</v>
      </c>
      <c r="D1860" s="739" t="s">
        <v>20</v>
      </c>
      <c r="E1860" s="695">
        <v>1100</v>
      </c>
      <c r="F1860" s="747"/>
      <c r="G1860" s="747"/>
      <c r="H1860" s="747"/>
      <c r="I1860" s="747"/>
      <c r="J1860" s="747">
        <f t="shared" ref="J1860:J1878" si="131">E1860*C1860</f>
        <v>13200</v>
      </c>
      <c r="K1860" s="747">
        <f t="shared" ref="K1860:K1878" si="132">I1860+J1860</f>
        <v>13200</v>
      </c>
      <c r="L1860" s="747"/>
      <c r="M1860" s="747"/>
      <c r="N1860" s="747"/>
      <c r="O1860" s="748">
        <f t="shared" ref="O1860:O1878" si="133">N1860+K1860+H1860</f>
        <v>13200</v>
      </c>
      <c r="P1860" s="749"/>
    </row>
    <row r="1861" spans="1:16" ht="17.25" customHeight="1" x14ac:dyDescent="0.2">
      <c r="A1861" s="742"/>
      <c r="B1861" s="1569" t="s">
        <v>1134</v>
      </c>
      <c r="C1861" s="693">
        <v>12</v>
      </c>
      <c r="D1861" s="739" t="s">
        <v>20</v>
      </c>
      <c r="E1861" s="695">
        <v>1000</v>
      </c>
      <c r="F1861" s="747"/>
      <c r="G1861" s="747"/>
      <c r="H1861" s="747"/>
      <c r="I1861" s="747"/>
      <c r="J1861" s="747">
        <f t="shared" si="131"/>
        <v>12000</v>
      </c>
      <c r="K1861" s="747">
        <f t="shared" si="132"/>
        <v>12000</v>
      </c>
      <c r="L1861" s="747"/>
      <c r="M1861" s="747"/>
      <c r="N1861" s="747"/>
      <c r="O1861" s="748">
        <f t="shared" si="133"/>
        <v>12000</v>
      </c>
      <c r="P1861" s="749"/>
    </row>
    <row r="1862" spans="1:16" ht="17.25" customHeight="1" x14ac:dyDescent="0.2">
      <c r="A1862" s="742"/>
      <c r="B1862" s="1569" t="s">
        <v>1135</v>
      </c>
      <c r="C1862" s="693">
        <v>60</v>
      </c>
      <c r="D1862" s="739" t="s">
        <v>20</v>
      </c>
      <c r="E1862" s="695">
        <v>900</v>
      </c>
      <c r="F1862" s="747"/>
      <c r="G1862" s="747"/>
      <c r="H1862" s="747"/>
      <c r="I1862" s="747"/>
      <c r="J1862" s="747">
        <f t="shared" si="131"/>
        <v>54000</v>
      </c>
      <c r="K1862" s="747">
        <f t="shared" si="132"/>
        <v>54000</v>
      </c>
      <c r="L1862" s="747"/>
      <c r="M1862" s="747"/>
      <c r="N1862" s="747"/>
      <c r="O1862" s="748">
        <f t="shared" si="133"/>
        <v>54000</v>
      </c>
      <c r="P1862" s="749"/>
    </row>
    <row r="1863" spans="1:16" ht="17.25" customHeight="1" x14ac:dyDescent="0.2">
      <c r="A1863" s="742"/>
      <c r="B1863" s="1569" t="s">
        <v>1136</v>
      </c>
      <c r="C1863" s="693"/>
      <c r="D1863" s="739"/>
      <c r="E1863" s="695"/>
      <c r="F1863" s="747"/>
      <c r="G1863" s="747"/>
      <c r="H1863" s="747"/>
      <c r="I1863" s="747"/>
      <c r="J1863" s="747">
        <f t="shared" si="131"/>
        <v>0</v>
      </c>
      <c r="K1863" s="747">
        <f t="shared" si="132"/>
        <v>0</v>
      </c>
      <c r="L1863" s="747"/>
      <c r="M1863" s="747"/>
      <c r="N1863" s="747"/>
      <c r="O1863" s="748">
        <f t="shared" si="133"/>
        <v>0</v>
      </c>
      <c r="P1863" s="749"/>
    </row>
    <row r="1864" spans="1:16" ht="17.25" customHeight="1" x14ac:dyDescent="0.2">
      <c r="A1864" s="742"/>
      <c r="B1864" s="1569" t="s">
        <v>1137</v>
      </c>
      <c r="C1864" s="693">
        <v>12</v>
      </c>
      <c r="D1864" s="739" t="s">
        <v>20</v>
      </c>
      <c r="E1864" s="695">
        <v>400</v>
      </c>
      <c r="F1864" s="747"/>
      <c r="G1864" s="747"/>
      <c r="H1864" s="747"/>
      <c r="I1864" s="747"/>
      <c r="J1864" s="747">
        <f t="shared" si="131"/>
        <v>4800</v>
      </c>
      <c r="K1864" s="747">
        <f t="shared" si="132"/>
        <v>4800</v>
      </c>
      <c r="L1864" s="747"/>
      <c r="M1864" s="747"/>
      <c r="N1864" s="747"/>
      <c r="O1864" s="748">
        <f t="shared" si="133"/>
        <v>4800</v>
      </c>
      <c r="P1864" s="749"/>
    </row>
    <row r="1865" spans="1:16" ht="17.25" customHeight="1" x14ac:dyDescent="0.2">
      <c r="A1865" s="742"/>
      <c r="B1865" s="1569" t="s">
        <v>1138</v>
      </c>
      <c r="C1865" s="693">
        <v>36</v>
      </c>
      <c r="D1865" s="739" t="s">
        <v>20</v>
      </c>
      <c r="E1865" s="695">
        <v>300</v>
      </c>
      <c r="F1865" s="747"/>
      <c r="G1865" s="747"/>
      <c r="H1865" s="747"/>
      <c r="I1865" s="747"/>
      <c r="J1865" s="747">
        <f t="shared" si="131"/>
        <v>10800</v>
      </c>
      <c r="K1865" s="747">
        <f t="shared" si="132"/>
        <v>10800</v>
      </c>
      <c r="L1865" s="747"/>
      <c r="M1865" s="747"/>
      <c r="N1865" s="747"/>
      <c r="O1865" s="748">
        <f t="shared" si="133"/>
        <v>10800</v>
      </c>
      <c r="P1865" s="749"/>
    </row>
    <row r="1866" spans="1:16" ht="17.25" customHeight="1" x14ac:dyDescent="0.2">
      <c r="A1866" s="742"/>
      <c r="B1866" s="1569" t="s">
        <v>1139</v>
      </c>
      <c r="C1866" s="693">
        <v>1</v>
      </c>
      <c r="D1866" s="739" t="s">
        <v>25</v>
      </c>
      <c r="E1866" s="695">
        <v>25000</v>
      </c>
      <c r="F1866" s="747"/>
      <c r="G1866" s="747"/>
      <c r="H1866" s="747"/>
      <c r="I1866" s="747"/>
      <c r="J1866" s="747">
        <f t="shared" si="131"/>
        <v>25000</v>
      </c>
      <c r="K1866" s="747">
        <f t="shared" si="132"/>
        <v>25000</v>
      </c>
      <c r="L1866" s="747"/>
      <c r="M1866" s="747"/>
      <c r="N1866" s="747"/>
      <c r="O1866" s="748">
        <f t="shared" si="133"/>
        <v>25000</v>
      </c>
      <c r="P1866" s="749"/>
    </row>
    <row r="1867" spans="1:16" ht="17.25" customHeight="1" x14ac:dyDescent="0.2">
      <c r="A1867" s="742"/>
      <c r="B1867" s="1569" t="s">
        <v>1140</v>
      </c>
      <c r="C1867" s="693">
        <v>1</v>
      </c>
      <c r="D1867" s="739" t="s">
        <v>25</v>
      </c>
      <c r="E1867" s="695">
        <v>4600</v>
      </c>
      <c r="F1867" s="747"/>
      <c r="G1867" s="747"/>
      <c r="H1867" s="747"/>
      <c r="I1867" s="747"/>
      <c r="J1867" s="747">
        <f t="shared" si="131"/>
        <v>4600</v>
      </c>
      <c r="K1867" s="747">
        <f t="shared" si="132"/>
        <v>4600</v>
      </c>
      <c r="L1867" s="747"/>
      <c r="M1867" s="747"/>
      <c r="N1867" s="747"/>
      <c r="O1867" s="748">
        <f t="shared" si="133"/>
        <v>4600</v>
      </c>
      <c r="P1867" s="749"/>
    </row>
    <row r="1868" spans="1:16" ht="17.25" customHeight="1" x14ac:dyDescent="0.2">
      <c r="A1868" s="742"/>
      <c r="B1868" s="1569" t="s">
        <v>27</v>
      </c>
      <c r="C1868" s="693"/>
      <c r="D1868" s="739"/>
      <c r="E1868" s="695"/>
      <c r="F1868" s="747"/>
      <c r="G1868" s="747"/>
      <c r="H1868" s="747"/>
      <c r="I1868" s="747"/>
      <c r="J1868" s="747">
        <f t="shared" si="131"/>
        <v>0</v>
      </c>
      <c r="K1868" s="747">
        <f t="shared" si="132"/>
        <v>0</v>
      </c>
      <c r="L1868" s="747"/>
      <c r="M1868" s="747"/>
      <c r="N1868" s="747"/>
      <c r="O1868" s="748">
        <f t="shared" si="133"/>
        <v>0</v>
      </c>
      <c r="P1868" s="749"/>
    </row>
    <row r="1869" spans="1:16" ht="17.25" customHeight="1" x14ac:dyDescent="0.2">
      <c r="A1869" s="742"/>
      <c r="B1869" s="1552" t="s">
        <v>1141</v>
      </c>
      <c r="C1869" s="693">
        <v>1</v>
      </c>
      <c r="D1869" s="739" t="s">
        <v>25</v>
      </c>
      <c r="E1869" s="695">
        <v>25000</v>
      </c>
      <c r="F1869" s="747"/>
      <c r="G1869" s="747"/>
      <c r="H1869" s="747"/>
      <c r="I1869" s="747"/>
      <c r="J1869" s="747">
        <f t="shared" si="131"/>
        <v>25000</v>
      </c>
      <c r="K1869" s="747">
        <f t="shared" si="132"/>
        <v>25000</v>
      </c>
      <c r="L1869" s="747"/>
      <c r="M1869" s="747"/>
      <c r="N1869" s="747"/>
      <c r="O1869" s="748">
        <f t="shared" si="133"/>
        <v>25000</v>
      </c>
      <c r="P1869" s="749"/>
    </row>
    <row r="1870" spans="1:16" ht="17.25" customHeight="1" x14ac:dyDescent="0.2">
      <c r="A1870" s="742"/>
      <c r="B1870" s="1569" t="s">
        <v>1142</v>
      </c>
      <c r="C1870" s="693"/>
      <c r="D1870" s="739"/>
      <c r="E1870" s="695"/>
      <c r="F1870" s="747"/>
      <c r="G1870" s="747"/>
      <c r="H1870" s="747"/>
      <c r="I1870" s="747"/>
      <c r="J1870" s="747">
        <f t="shared" si="131"/>
        <v>0</v>
      </c>
      <c r="K1870" s="747">
        <f t="shared" si="132"/>
        <v>0</v>
      </c>
      <c r="L1870" s="747"/>
      <c r="M1870" s="747"/>
      <c r="N1870" s="747"/>
      <c r="O1870" s="748">
        <f t="shared" si="133"/>
        <v>0</v>
      </c>
      <c r="P1870" s="749"/>
    </row>
    <row r="1871" spans="1:16" ht="17.25" customHeight="1" x14ac:dyDescent="0.2">
      <c r="A1871" s="742"/>
      <c r="B1871" s="1569" t="s">
        <v>1143</v>
      </c>
      <c r="C1871" s="693">
        <v>1</v>
      </c>
      <c r="D1871" s="739" t="s">
        <v>25</v>
      </c>
      <c r="E1871" s="695">
        <v>35000</v>
      </c>
      <c r="F1871" s="747"/>
      <c r="G1871" s="747"/>
      <c r="H1871" s="747"/>
      <c r="I1871" s="747"/>
      <c r="J1871" s="747">
        <f t="shared" si="131"/>
        <v>35000</v>
      </c>
      <c r="K1871" s="747">
        <f t="shared" si="132"/>
        <v>35000</v>
      </c>
      <c r="L1871" s="747"/>
      <c r="M1871" s="747"/>
      <c r="N1871" s="747"/>
      <c r="O1871" s="748">
        <f t="shared" si="133"/>
        <v>35000</v>
      </c>
      <c r="P1871" s="749"/>
    </row>
    <row r="1872" spans="1:16" ht="17.25" customHeight="1" x14ac:dyDescent="0.2">
      <c r="A1872" s="742"/>
      <c r="B1872" s="1569" t="s">
        <v>43</v>
      </c>
      <c r="C1872" s="693"/>
      <c r="D1872" s="739"/>
      <c r="E1872" s="695"/>
      <c r="F1872" s="747"/>
      <c r="G1872" s="747"/>
      <c r="H1872" s="747"/>
      <c r="I1872" s="747"/>
      <c r="J1872" s="747">
        <f t="shared" si="131"/>
        <v>0</v>
      </c>
      <c r="K1872" s="747">
        <f t="shared" si="132"/>
        <v>0</v>
      </c>
      <c r="L1872" s="747"/>
      <c r="M1872" s="747"/>
      <c r="N1872" s="747"/>
      <c r="O1872" s="748">
        <f t="shared" si="133"/>
        <v>0</v>
      </c>
      <c r="P1872" s="749"/>
    </row>
    <row r="1873" spans="1:89" ht="17.25" customHeight="1" x14ac:dyDescent="0.2">
      <c r="A1873" s="742"/>
      <c r="B1873" s="1569" t="s">
        <v>1144</v>
      </c>
      <c r="C1873" s="693">
        <v>6</v>
      </c>
      <c r="D1873" s="739" t="s">
        <v>45</v>
      </c>
      <c r="E1873" s="695">
        <v>6000</v>
      </c>
      <c r="F1873" s="747"/>
      <c r="G1873" s="747"/>
      <c r="H1873" s="747"/>
      <c r="I1873" s="747"/>
      <c r="J1873" s="747">
        <f t="shared" si="131"/>
        <v>36000</v>
      </c>
      <c r="K1873" s="747">
        <f t="shared" si="132"/>
        <v>36000</v>
      </c>
      <c r="L1873" s="747"/>
      <c r="M1873" s="747"/>
      <c r="N1873" s="747"/>
      <c r="O1873" s="748">
        <f t="shared" si="133"/>
        <v>36000</v>
      </c>
      <c r="P1873" s="749"/>
    </row>
    <row r="1874" spans="1:89" ht="17.25" customHeight="1" x14ac:dyDescent="0.2">
      <c r="A1874" s="742"/>
      <c r="B1874" s="1569" t="s">
        <v>48</v>
      </c>
      <c r="C1874" s="693"/>
      <c r="D1874" s="739"/>
      <c r="E1874" s="695"/>
      <c r="F1874" s="747"/>
      <c r="G1874" s="747"/>
      <c r="H1874" s="747"/>
      <c r="I1874" s="747"/>
      <c r="J1874" s="747">
        <f t="shared" si="131"/>
        <v>0</v>
      </c>
      <c r="K1874" s="747">
        <f t="shared" si="132"/>
        <v>0</v>
      </c>
      <c r="L1874" s="747"/>
      <c r="M1874" s="747"/>
      <c r="N1874" s="747"/>
      <c r="O1874" s="748">
        <f t="shared" si="133"/>
        <v>0</v>
      </c>
      <c r="P1874" s="749"/>
    </row>
    <row r="1875" spans="1:89" ht="17.25" customHeight="1" x14ac:dyDescent="0.2">
      <c r="A1875" s="742"/>
      <c r="B1875" s="1412" t="s">
        <v>1145</v>
      </c>
      <c r="C1875" s="693">
        <v>40</v>
      </c>
      <c r="D1875" s="739" t="s">
        <v>51</v>
      </c>
      <c r="E1875" s="695">
        <v>6000</v>
      </c>
      <c r="F1875" s="747"/>
      <c r="G1875" s="747"/>
      <c r="H1875" s="747"/>
      <c r="I1875" s="747"/>
      <c r="J1875" s="747">
        <f t="shared" si="131"/>
        <v>240000</v>
      </c>
      <c r="K1875" s="747">
        <f t="shared" si="132"/>
        <v>240000</v>
      </c>
      <c r="L1875" s="747"/>
      <c r="M1875" s="747"/>
      <c r="N1875" s="747"/>
      <c r="O1875" s="748">
        <f t="shared" si="133"/>
        <v>240000</v>
      </c>
      <c r="P1875" s="749"/>
    </row>
    <row r="1876" spans="1:89" ht="17.25" customHeight="1" x14ac:dyDescent="0.2">
      <c r="A1876" s="742"/>
      <c r="B1876" s="1412" t="s">
        <v>1146</v>
      </c>
      <c r="C1876" s="693">
        <v>64</v>
      </c>
      <c r="D1876" s="739" t="s">
        <v>55</v>
      </c>
      <c r="E1876" s="695">
        <v>450</v>
      </c>
      <c r="F1876" s="747"/>
      <c r="G1876" s="747"/>
      <c r="H1876" s="747"/>
      <c r="I1876" s="747"/>
      <c r="J1876" s="747">
        <f t="shared" si="131"/>
        <v>28800</v>
      </c>
      <c r="K1876" s="747">
        <f t="shared" si="132"/>
        <v>28800</v>
      </c>
      <c r="L1876" s="747"/>
      <c r="M1876" s="747"/>
      <c r="N1876" s="747"/>
      <c r="O1876" s="748">
        <f t="shared" si="133"/>
        <v>28800</v>
      </c>
      <c r="P1876" s="749"/>
    </row>
    <row r="1877" spans="1:89" ht="17.25" customHeight="1" x14ac:dyDescent="0.2">
      <c r="A1877" s="742"/>
      <c r="B1877" s="1412" t="s">
        <v>1147</v>
      </c>
      <c r="C1877" s="693">
        <v>80</v>
      </c>
      <c r="D1877" s="739" t="s">
        <v>55</v>
      </c>
      <c r="E1877" s="695">
        <v>450</v>
      </c>
      <c r="F1877" s="747"/>
      <c r="G1877" s="747"/>
      <c r="H1877" s="747"/>
      <c r="I1877" s="747"/>
      <c r="J1877" s="747">
        <f t="shared" si="131"/>
        <v>36000</v>
      </c>
      <c r="K1877" s="747">
        <f t="shared" si="132"/>
        <v>36000</v>
      </c>
      <c r="L1877" s="747"/>
      <c r="M1877" s="747"/>
      <c r="N1877" s="747"/>
      <c r="O1877" s="748">
        <f t="shared" si="133"/>
        <v>36000</v>
      </c>
      <c r="P1877" s="749"/>
    </row>
    <row r="1878" spans="1:89" ht="17.25" customHeight="1" x14ac:dyDescent="0.2">
      <c r="A1878" s="742"/>
      <c r="B1878" s="1412" t="s">
        <v>1148</v>
      </c>
      <c r="C1878" s="693">
        <v>80</v>
      </c>
      <c r="D1878" s="739" t="s">
        <v>55</v>
      </c>
      <c r="E1878" s="695">
        <v>300</v>
      </c>
      <c r="F1878" s="747"/>
      <c r="G1878" s="747"/>
      <c r="H1878" s="747"/>
      <c r="I1878" s="747"/>
      <c r="J1878" s="747">
        <f t="shared" si="131"/>
        <v>24000</v>
      </c>
      <c r="K1878" s="747">
        <f t="shared" si="132"/>
        <v>24000</v>
      </c>
      <c r="L1878" s="747"/>
      <c r="M1878" s="747"/>
      <c r="N1878" s="747"/>
      <c r="O1878" s="748">
        <f t="shared" si="133"/>
        <v>24000</v>
      </c>
      <c r="P1878" s="749"/>
    </row>
    <row r="1879" spans="1:89" ht="17.25" customHeight="1" x14ac:dyDescent="0.2">
      <c r="A1879" s="881"/>
      <c r="B1879" s="911"/>
      <c r="C1879" s="830"/>
      <c r="D1879" s="865"/>
      <c r="E1879" s="821"/>
      <c r="F1879" s="750"/>
      <c r="G1879" s="750"/>
      <c r="H1879" s="750"/>
      <c r="I1879" s="750"/>
      <c r="J1879" s="750"/>
      <c r="K1879" s="750"/>
      <c r="L1879" s="750"/>
      <c r="M1879" s="750"/>
      <c r="N1879" s="750"/>
      <c r="O1879" s="751"/>
      <c r="P1879" s="749"/>
    </row>
    <row r="1880" spans="1:89" ht="26.25" customHeight="1" x14ac:dyDescent="0.25">
      <c r="A1880" s="1352">
        <v>33</v>
      </c>
      <c r="B1880" s="1367" t="s">
        <v>185</v>
      </c>
      <c r="C1880" s="1212"/>
      <c r="D1880" s="1213"/>
      <c r="E1880" s="1214"/>
      <c r="F1880" s="1290">
        <f>F1882+F1887+F1912</f>
        <v>0</v>
      </c>
      <c r="G1880" s="1290">
        <f>G1882+G1887+G1912</f>
        <v>0</v>
      </c>
      <c r="H1880" s="1214">
        <f>G1880+F1880</f>
        <v>0</v>
      </c>
      <c r="I1880" s="1290">
        <f>I1882+I1887+I1912</f>
        <v>0</v>
      </c>
      <c r="J1880" s="1290">
        <f>J1882+J1887+J1912</f>
        <v>8494986</v>
      </c>
      <c r="K1880" s="1214">
        <f>J1880+I1880</f>
        <v>8494986</v>
      </c>
      <c r="L1880" s="1290">
        <f>L1882+L1887+L1912</f>
        <v>3000000</v>
      </c>
      <c r="M1880" s="1290">
        <f>M1882+M1887+M1912</f>
        <v>0</v>
      </c>
      <c r="N1880" s="1214">
        <f>M1880+L1880</f>
        <v>3000000</v>
      </c>
      <c r="O1880" s="1215">
        <f t="shared" ref="O1880:O1885" si="134">N1880+K1880+H1880</f>
        <v>11494986</v>
      </c>
      <c r="P1880" s="680"/>
    </row>
    <row r="1881" spans="1:89" ht="17.25" customHeight="1" x14ac:dyDescent="0.25">
      <c r="A1881" s="730"/>
      <c r="B1881" s="873"/>
      <c r="C1881" s="682"/>
      <c r="D1881" s="683"/>
      <c r="E1881" s="685"/>
      <c r="F1881" s="685"/>
      <c r="G1881" s="685"/>
      <c r="H1881" s="685"/>
      <c r="I1881" s="685"/>
      <c r="J1881" s="685"/>
      <c r="K1881" s="685"/>
      <c r="L1881" s="685"/>
      <c r="M1881" s="685"/>
      <c r="N1881" s="685"/>
      <c r="O1881" s="686">
        <f t="shared" si="134"/>
        <v>0</v>
      </c>
      <c r="P1881" s="687"/>
    </row>
    <row r="1882" spans="1:89" s="672" customFormat="1" ht="37.5" customHeight="1" x14ac:dyDescent="0.25">
      <c r="A1882" s="737" t="s">
        <v>15</v>
      </c>
      <c r="B1882" s="1372" t="s">
        <v>1156</v>
      </c>
      <c r="C1882" s="828"/>
      <c r="D1882" s="738"/>
      <c r="E1882" s="705"/>
      <c r="F1882" s="874">
        <f>SUM(F1883:F1885)</f>
        <v>0</v>
      </c>
      <c r="G1882" s="874">
        <f>SUM(G1883:G1885)</f>
        <v>0</v>
      </c>
      <c r="H1882" s="705">
        <f>G1882+F1882</f>
        <v>0</v>
      </c>
      <c r="I1882" s="874">
        <f>SUM(I1883:I1885)</f>
        <v>0</v>
      </c>
      <c r="J1882" s="874">
        <f>SUM(J1883:J1885)</f>
        <v>0</v>
      </c>
      <c r="K1882" s="705">
        <f>J1882+I1882</f>
        <v>0</v>
      </c>
      <c r="L1882" s="874">
        <f>SUM(L1883:L1885)</f>
        <v>3000000</v>
      </c>
      <c r="M1882" s="874">
        <f>SUM(M1883:M1885)</f>
        <v>0</v>
      </c>
      <c r="N1882" s="705">
        <f>M1882+L1882</f>
        <v>3000000</v>
      </c>
      <c r="O1882" s="1370">
        <f t="shared" si="134"/>
        <v>3000000</v>
      </c>
      <c r="P1882" s="829"/>
      <c r="Q1882" s="1581"/>
      <c r="R1882" s="1581"/>
      <c r="S1882" s="1581"/>
      <c r="T1882" s="1581"/>
      <c r="U1882" s="1581"/>
      <c r="V1882" s="1581"/>
      <c r="W1882" s="1581"/>
      <c r="X1882" s="1581"/>
      <c r="Y1882" s="1581"/>
      <c r="Z1882" s="1581"/>
      <c r="AA1882" s="1581"/>
      <c r="AB1882" s="1581"/>
      <c r="AC1882" s="1581"/>
      <c r="AD1882" s="1581"/>
      <c r="AE1882" s="1581"/>
      <c r="AF1882" s="1581"/>
      <c r="AG1882" s="1581"/>
      <c r="AH1882" s="1581"/>
      <c r="AI1882" s="1581"/>
      <c r="AJ1882" s="1581"/>
      <c r="AK1882" s="1581"/>
      <c r="AL1882" s="1581"/>
      <c r="AM1882" s="1581"/>
      <c r="AN1882" s="1581"/>
      <c r="AO1882" s="1581"/>
      <c r="AP1882" s="1581"/>
      <c r="AQ1882" s="1581"/>
      <c r="AR1882" s="1581"/>
      <c r="AS1882" s="1581"/>
      <c r="AT1882" s="1581"/>
      <c r="AU1882" s="1581"/>
      <c r="AV1882" s="1581"/>
      <c r="AW1882" s="1581"/>
      <c r="AX1882" s="1581"/>
      <c r="AY1882" s="1581"/>
      <c r="AZ1882" s="1581"/>
      <c r="BA1882" s="1581"/>
      <c r="BB1882" s="1581"/>
      <c r="BC1882" s="1581"/>
      <c r="BD1882" s="1581"/>
      <c r="BE1882" s="1581"/>
      <c r="BF1882" s="1581"/>
      <c r="BG1882" s="1581"/>
      <c r="BH1882" s="1581"/>
      <c r="BI1882" s="1581"/>
      <c r="BJ1882" s="1581"/>
      <c r="BK1882" s="1581"/>
      <c r="BL1882" s="1581"/>
      <c r="BM1882" s="1581"/>
      <c r="BN1882" s="1581"/>
      <c r="BO1882" s="1581"/>
      <c r="BP1882" s="1581"/>
      <c r="BQ1882" s="1581"/>
      <c r="BR1882" s="1581"/>
      <c r="BS1882" s="1581"/>
      <c r="BT1882" s="1581"/>
      <c r="BU1882" s="1581"/>
      <c r="BV1882" s="1581"/>
      <c r="BW1882" s="1581"/>
      <c r="BX1882" s="1581"/>
      <c r="BY1882" s="1581"/>
      <c r="BZ1882" s="1581"/>
      <c r="CA1882" s="1581"/>
      <c r="CB1882" s="1581"/>
      <c r="CC1882" s="1581"/>
      <c r="CD1882" s="1581"/>
      <c r="CE1882" s="1581"/>
      <c r="CF1882" s="1581"/>
      <c r="CG1882" s="1581"/>
      <c r="CH1882" s="1581"/>
      <c r="CI1882" s="1581"/>
      <c r="CJ1882" s="1581"/>
      <c r="CK1882" s="1581"/>
    </row>
    <row r="1883" spans="1:89" ht="17.25" customHeight="1" x14ac:dyDescent="0.25">
      <c r="A1883" s="742">
        <v>1</v>
      </c>
      <c r="B1883" s="756" t="s">
        <v>709</v>
      </c>
      <c r="C1883" s="713">
        <v>1</v>
      </c>
      <c r="D1883" s="727" t="s">
        <v>16</v>
      </c>
      <c r="E1883" s="714">
        <v>1000000</v>
      </c>
      <c r="F1883" s="714"/>
      <c r="G1883" s="714"/>
      <c r="H1883" s="714"/>
      <c r="I1883" s="714"/>
      <c r="J1883" s="714"/>
      <c r="K1883" s="714"/>
      <c r="L1883" s="714">
        <f>E1883*C1883</f>
        <v>1000000</v>
      </c>
      <c r="M1883" s="714"/>
      <c r="N1883" s="695">
        <f>L1883+M1883</f>
        <v>1000000</v>
      </c>
      <c r="O1883" s="696">
        <f t="shared" si="134"/>
        <v>1000000</v>
      </c>
      <c r="P1883" s="687"/>
    </row>
    <row r="1884" spans="1:89" ht="19.5" customHeight="1" x14ac:dyDescent="0.25">
      <c r="A1884" s="692">
        <v>2</v>
      </c>
      <c r="B1884" s="1580" t="s">
        <v>710</v>
      </c>
      <c r="C1884" s="713">
        <v>1</v>
      </c>
      <c r="D1884" s="739" t="s">
        <v>16</v>
      </c>
      <c r="E1884" s="695">
        <v>1000000</v>
      </c>
      <c r="F1884" s="714"/>
      <c r="G1884" s="714"/>
      <c r="H1884" s="714"/>
      <c r="I1884" s="714"/>
      <c r="J1884" s="714"/>
      <c r="K1884" s="714"/>
      <c r="L1884" s="714">
        <f>E1884*C1884</f>
        <v>1000000</v>
      </c>
      <c r="M1884" s="714"/>
      <c r="N1884" s="695">
        <f>L1884+M1884</f>
        <v>1000000</v>
      </c>
      <c r="O1884" s="696">
        <f t="shared" si="134"/>
        <v>1000000</v>
      </c>
      <c r="P1884" s="687"/>
    </row>
    <row r="1885" spans="1:89" ht="17.25" customHeight="1" x14ac:dyDescent="0.25">
      <c r="A1885" s="742">
        <v>3</v>
      </c>
      <c r="B1885" s="757" t="s">
        <v>711</v>
      </c>
      <c r="C1885" s="713">
        <v>1</v>
      </c>
      <c r="D1885" s="880" t="s">
        <v>16</v>
      </c>
      <c r="E1885" s="714">
        <v>1000000</v>
      </c>
      <c r="F1885" s="714"/>
      <c r="G1885" s="714"/>
      <c r="H1885" s="714"/>
      <c r="I1885" s="714"/>
      <c r="J1885" s="714"/>
      <c r="K1885" s="714"/>
      <c r="L1885" s="714">
        <f>E1885*C1885</f>
        <v>1000000</v>
      </c>
      <c r="M1885" s="714"/>
      <c r="N1885" s="695">
        <f>L1885+M1885</f>
        <v>1000000</v>
      </c>
      <c r="O1885" s="696">
        <f t="shared" si="134"/>
        <v>1000000</v>
      </c>
      <c r="P1885" s="687"/>
    </row>
    <row r="1886" spans="1:89" ht="17.25" customHeight="1" x14ac:dyDescent="0.25">
      <c r="A1886" s="692"/>
      <c r="B1886" s="756"/>
      <c r="C1886" s="713"/>
      <c r="D1886" s="880"/>
      <c r="E1886" s="714"/>
      <c r="F1886" s="714"/>
      <c r="G1886" s="714"/>
      <c r="H1886" s="714"/>
      <c r="I1886" s="714"/>
      <c r="J1886" s="714"/>
      <c r="K1886" s="714"/>
      <c r="L1886" s="714"/>
      <c r="M1886" s="714"/>
      <c r="N1886" s="714"/>
      <c r="O1886" s="753"/>
      <c r="P1886" s="754"/>
    </row>
    <row r="1887" spans="1:89" s="1581" customFormat="1" ht="17.25" customHeight="1" x14ac:dyDescent="0.25">
      <c r="A1887" s="740" t="s">
        <v>22</v>
      </c>
      <c r="B1887" s="752" t="s">
        <v>23</v>
      </c>
      <c r="C1887" s="886"/>
      <c r="D1887" s="1403"/>
      <c r="E1887" s="874"/>
      <c r="F1887" s="874">
        <f>SUM(F1888:F1910)</f>
        <v>0</v>
      </c>
      <c r="G1887" s="874">
        <f>SUM(G1888:G1910)</f>
        <v>0</v>
      </c>
      <c r="H1887" s="874">
        <f>F1887+G1887</f>
        <v>0</v>
      </c>
      <c r="I1887" s="874">
        <f>SUM(I1888:I1910)</f>
        <v>0</v>
      </c>
      <c r="J1887" s="874">
        <f>SUM(J1888:J1910)</f>
        <v>7884986</v>
      </c>
      <c r="K1887" s="874">
        <f>I1887+J1887</f>
        <v>7884986</v>
      </c>
      <c r="L1887" s="874">
        <f>SUM(L1888:L1910)</f>
        <v>0</v>
      </c>
      <c r="M1887" s="874">
        <f>SUM(M1888:M1910)</f>
        <v>0</v>
      </c>
      <c r="N1887" s="874">
        <f>L1887+M1887</f>
        <v>0</v>
      </c>
      <c r="O1887" s="775">
        <f>N1887+K1887+H1887</f>
        <v>7884986</v>
      </c>
      <c r="P1887" s="776"/>
    </row>
    <row r="1888" spans="1:89" ht="17.25" customHeight="1" x14ac:dyDescent="0.25">
      <c r="A1888" s="692">
        <v>1</v>
      </c>
      <c r="B1888" s="1432" t="s">
        <v>21</v>
      </c>
      <c r="C1888" s="713"/>
      <c r="D1888" s="880"/>
      <c r="E1888" s="714"/>
      <c r="F1888" s="714"/>
      <c r="G1888" s="714"/>
      <c r="H1888" s="714"/>
      <c r="I1888" s="714"/>
      <c r="J1888" s="714"/>
      <c r="K1888" s="714"/>
      <c r="L1888" s="714"/>
      <c r="M1888" s="714"/>
      <c r="N1888" s="714"/>
      <c r="O1888" s="753">
        <f>N1888+K1888+H1888</f>
        <v>0</v>
      </c>
      <c r="P1888" s="754"/>
    </row>
    <row r="1889" spans="1:16" ht="17.25" customHeight="1" x14ac:dyDescent="0.25">
      <c r="A1889" s="692"/>
      <c r="B1889" s="1432" t="s">
        <v>183</v>
      </c>
      <c r="C1889" s="713">
        <v>1</v>
      </c>
      <c r="D1889" s="880" t="s">
        <v>25</v>
      </c>
      <c r="E1889" s="714">
        <v>7824986</v>
      </c>
      <c r="F1889" s="714">
        <v>0</v>
      </c>
      <c r="G1889" s="714"/>
      <c r="H1889" s="714"/>
      <c r="I1889" s="714"/>
      <c r="J1889" s="714">
        <f>E1889*C1889</f>
        <v>7824986</v>
      </c>
      <c r="K1889" s="714">
        <f>I1889+J1889</f>
        <v>7824986</v>
      </c>
      <c r="L1889" s="714"/>
      <c r="M1889" s="714"/>
      <c r="N1889" s="714"/>
      <c r="O1889" s="753">
        <f>N1889+K1889+H1889</f>
        <v>7824986</v>
      </c>
      <c r="P1889" s="754"/>
    </row>
    <row r="1890" spans="1:16" ht="17.25" customHeight="1" x14ac:dyDescent="0.25">
      <c r="A1890" s="692"/>
      <c r="B1890" s="1807" t="s">
        <v>2062</v>
      </c>
      <c r="C1890" s="713"/>
      <c r="D1890" s="880"/>
      <c r="E1890" s="714"/>
      <c r="F1890" s="714"/>
      <c r="G1890" s="714"/>
      <c r="H1890" s="714"/>
      <c r="I1890" s="714"/>
      <c r="J1890" s="714"/>
      <c r="K1890" s="714"/>
      <c r="L1890" s="714"/>
      <c r="M1890" s="714"/>
      <c r="N1890" s="714"/>
      <c r="O1890" s="753"/>
      <c r="P1890" s="754"/>
    </row>
    <row r="1891" spans="1:16" ht="17.25" customHeight="1" x14ac:dyDescent="0.25">
      <c r="A1891" s="692"/>
      <c r="B1891" s="1780" t="s">
        <v>2042</v>
      </c>
      <c r="C1891" s="713"/>
      <c r="D1891" s="880"/>
      <c r="E1891" s="714"/>
      <c r="F1891" s="714"/>
      <c r="G1891" s="714"/>
      <c r="H1891" s="714"/>
      <c r="I1891" s="714"/>
      <c r="J1891" s="714"/>
      <c r="K1891" s="714"/>
      <c r="L1891" s="714"/>
      <c r="M1891" s="714"/>
      <c r="N1891" s="714"/>
      <c r="O1891" s="753"/>
      <c r="P1891" s="754"/>
    </row>
    <row r="1892" spans="1:16" ht="17.25" customHeight="1" x14ac:dyDescent="0.25">
      <c r="A1892" s="692"/>
      <c r="B1892" s="1780" t="s">
        <v>2043</v>
      </c>
      <c r="C1892" s="713"/>
      <c r="D1892" s="880"/>
      <c r="E1892" s="714"/>
      <c r="F1892" s="714"/>
      <c r="G1892" s="714"/>
      <c r="H1892" s="714"/>
      <c r="I1892" s="714"/>
      <c r="J1892" s="714"/>
      <c r="K1892" s="714"/>
      <c r="L1892" s="714"/>
      <c r="M1892" s="714"/>
      <c r="N1892" s="714"/>
      <c r="O1892" s="753"/>
      <c r="P1892" s="754"/>
    </row>
    <row r="1893" spans="1:16" ht="17.25" customHeight="1" x14ac:dyDescent="0.25">
      <c r="A1893" s="692"/>
      <c r="B1893" s="1780" t="s">
        <v>2044</v>
      </c>
      <c r="C1893" s="713"/>
      <c r="D1893" s="880"/>
      <c r="E1893" s="714"/>
      <c r="F1893" s="714"/>
      <c r="G1893" s="714"/>
      <c r="H1893" s="714"/>
      <c r="I1893" s="714"/>
      <c r="J1893" s="714"/>
      <c r="K1893" s="714"/>
      <c r="L1893" s="714"/>
      <c r="M1893" s="714"/>
      <c r="N1893" s="714"/>
      <c r="O1893" s="753"/>
      <c r="P1893" s="754"/>
    </row>
    <row r="1894" spans="1:16" ht="17.25" customHeight="1" x14ac:dyDescent="0.25">
      <c r="A1894" s="692"/>
      <c r="B1894" s="1780" t="s">
        <v>2045</v>
      </c>
      <c r="C1894" s="713"/>
      <c r="D1894" s="880"/>
      <c r="E1894" s="714"/>
      <c r="F1894" s="714"/>
      <c r="G1894" s="714"/>
      <c r="H1894" s="714"/>
      <c r="I1894" s="714"/>
      <c r="J1894" s="714"/>
      <c r="K1894" s="714"/>
      <c r="L1894" s="714"/>
      <c r="M1894" s="714"/>
      <c r="N1894" s="714"/>
      <c r="O1894" s="753"/>
      <c r="P1894" s="754"/>
    </row>
    <row r="1895" spans="1:16" ht="17.25" customHeight="1" x14ac:dyDescent="0.25">
      <c r="A1895" s="692"/>
      <c r="B1895" s="1780" t="s">
        <v>2046</v>
      </c>
      <c r="C1895" s="713"/>
      <c r="D1895" s="880"/>
      <c r="E1895" s="714"/>
      <c r="F1895" s="714"/>
      <c r="G1895" s="714"/>
      <c r="H1895" s="714"/>
      <c r="I1895" s="714"/>
      <c r="J1895" s="714"/>
      <c r="K1895" s="714"/>
      <c r="L1895" s="714"/>
      <c r="M1895" s="714"/>
      <c r="N1895" s="714"/>
      <c r="O1895" s="753"/>
      <c r="P1895" s="754"/>
    </row>
    <row r="1896" spans="1:16" ht="17.25" customHeight="1" x14ac:dyDescent="0.25">
      <c r="A1896" s="692"/>
      <c r="B1896" s="1780" t="s">
        <v>2047</v>
      </c>
      <c r="C1896" s="713"/>
      <c r="D1896" s="880"/>
      <c r="E1896" s="714"/>
      <c r="F1896" s="714"/>
      <c r="G1896" s="714"/>
      <c r="H1896" s="714"/>
      <c r="I1896" s="714"/>
      <c r="J1896" s="714"/>
      <c r="K1896" s="714"/>
      <c r="L1896" s="714"/>
      <c r="M1896" s="714"/>
      <c r="N1896" s="714"/>
      <c r="O1896" s="753"/>
      <c r="P1896" s="754"/>
    </row>
    <row r="1897" spans="1:16" ht="17.25" customHeight="1" x14ac:dyDescent="0.25">
      <c r="A1897" s="692"/>
      <c r="B1897" s="1780" t="s">
        <v>2048</v>
      </c>
      <c r="C1897" s="713"/>
      <c r="D1897" s="880"/>
      <c r="E1897" s="714"/>
      <c r="F1897" s="714"/>
      <c r="G1897" s="714"/>
      <c r="H1897" s="714"/>
      <c r="I1897" s="714"/>
      <c r="J1897" s="714"/>
      <c r="K1897" s="714"/>
      <c r="L1897" s="714"/>
      <c r="M1897" s="714"/>
      <c r="N1897" s="714"/>
      <c r="O1897" s="753"/>
      <c r="P1897" s="754"/>
    </row>
    <row r="1898" spans="1:16" ht="17.25" customHeight="1" x14ac:dyDescent="0.25">
      <c r="A1898" s="692"/>
      <c r="B1898" s="1780" t="s">
        <v>2049</v>
      </c>
      <c r="C1898" s="713"/>
      <c r="D1898" s="880"/>
      <c r="E1898" s="714"/>
      <c r="F1898" s="714"/>
      <c r="G1898" s="714"/>
      <c r="H1898" s="714"/>
      <c r="I1898" s="714"/>
      <c r="J1898" s="714"/>
      <c r="K1898" s="714"/>
      <c r="L1898" s="714"/>
      <c r="M1898" s="714"/>
      <c r="N1898" s="714"/>
      <c r="O1898" s="753"/>
      <c r="P1898" s="754"/>
    </row>
    <row r="1899" spans="1:16" ht="17.25" customHeight="1" x14ac:dyDescent="0.25">
      <c r="A1899" s="692"/>
      <c r="B1899" s="1780" t="s">
        <v>2050</v>
      </c>
      <c r="C1899" s="713"/>
      <c r="D1899" s="880"/>
      <c r="E1899" s="714"/>
      <c r="F1899" s="714"/>
      <c r="G1899" s="714"/>
      <c r="H1899" s="714"/>
      <c r="I1899" s="714"/>
      <c r="J1899" s="714"/>
      <c r="K1899" s="714"/>
      <c r="L1899" s="714"/>
      <c r="M1899" s="714"/>
      <c r="N1899" s="714"/>
      <c r="O1899" s="753"/>
      <c r="P1899" s="754"/>
    </row>
    <row r="1900" spans="1:16" ht="17.25" customHeight="1" x14ac:dyDescent="0.25">
      <c r="A1900" s="692"/>
      <c r="B1900" s="1780" t="s">
        <v>2051</v>
      </c>
      <c r="C1900" s="713"/>
      <c r="D1900" s="880"/>
      <c r="E1900" s="714"/>
      <c r="F1900" s="714"/>
      <c r="G1900" s="714"/>
      <c r="H1900" s="714"/>
      <c r="I1900" s="714"/>
      <c r="J1900" s="714"/>
      <c r="K1900" s="714"/>
      <c r="L1900" s="714"/>
      <c r="M1900" s="714"/>
      <c r="N1900" s="714"/>
      <c r="O1900" s="753"/>
      <c r="P1900" s="754"/>
    </row>
    <row r="1901" spans="1:16" ht="17.25" customHeight="1" x14ac:dyDescent="0.25">
      <c r="A1901" s="692"/>
      <c r="B1901" s="1582" t="s">
        <v>2061</v>
      </c>
      <c r="C1901" s="713"/>
      <c r="D1901" s="880"/>
      <c r="E1901" s="714"/>
      <c r="F1901" s="714"/>
      <c r="G1901" s="714"/>
      <c r="H1901" s="714"/>
      <c r="I1901" s="714"/>
      <c r="J1901" s="714"/>
      <c r="K1901" s="714"/>
      <c r="L1901" s="714"/>
      <c r="M1901" s="714"/>
      <c r="N1901" s="714"/>
      <c r="O1901" s="753"/>
      <c r="P1901" s="754"/>
    </row>
    <row r="1902" spans="1:16" ht="17.25" customHeight="1" x14ac:dyDescent="0.25">
      <c r="A1902" s="692"/>
      <c r="B1902" s="1780" t="s">
        <v>2052</v>
      </c>
      <c r="C1902" s="713"/>
      <c r="D1902" s="880"/>
      <c r="E1902" s="714"/>
      <c r="F1902" s="714"/>
      <c r="G1902" s="714"/>
      <c r="H1902" s="714"/>
      <c r="I1902" s="714"/>
      <c r="J1902" s="714"/>
      <c r="K1902" s="714"/>
      <c r="L1902" s="714"/>
      <c r="M1902" s="714"/>
      <c r="N1902" s="714"/>
      <c r="O1902" s="753"/>
      <c r="P1902" s="754"/>
    </row>
    <row r="1903" spans="1:16" ht="17.25" customHeight="1" x14ac:dyDescent="0.25">
      <c r="A1903" s="692"/>
      <c r="B1903" s="1780" t="s">
        <v>2053</v>
      </c>
      <c r="C1903" s="713"/>
      <c r="D1903" s="880"/>
      <c r="E1903" s="714"/>
      <c r="F1903" s="714"/>
      <c r="G1903" s="714"/>
      <c r="H1903" s="714"/>
      <c r="I1903" s="714"/>
      <c r="J1903" s="714"/>
      <c r="K1903" s="714"/>
      <c r="L1903" s="714"/>
      <c r="M1903" s="714"/>
      <c r="N1903" s="714"/>
      <c r="O1903" s="753"/>
      <c r="P1903" s="754"/>
    </row>
    <row r="1904" spans="1:16" ht="17.25" customHeight="1" x14ac:dyDescent="0.25">
      <c r="A1904" s="692"/>
      <c r="B1904" s="1780" t="s">
        <v>2054</v>
      </c>
      <c r="C1904" s="713"/>
      <c r="D1904" s="880"/>
      <c r="E1904" s="714"/>
      <c r="F1904" s="714"/>
      <c r="G1904" s="714"/>
      <c r="H1904" s="714"/>
      <c r="I1904" s="714"/>
      <c r="J1904" s="714"/>
      <c r="K1904" s="714"/>
      <c r="L1904" s="714"/>
      <c r="M1904" s="714"/>
      <c r="N1904" s="714"/>
      <c r="O1904" s="753"/>
      <c r="P1904" s="754"/>
    </row>
    <row r="1905" spans="1:89" ht="17.25" customHeight="1" x14ac:dyDescent="0.25">
      <c r="A1905" s="692"/>
      <c r="B1905" s="1808" t="s">
        <v>2055</v>
      </c>
      <c r="C1905" s="713"/>
      <c r="D1905" s="880"/>
      <c r="E1905" s="714"/>
      <c r="F1905" s="714"/>
      <c r="G1905" s="714"/>
      <c r="H1905" s="714"/>
      <c r="I1905" s="714"/>
      <c r="J1905" s="714"/>
      <c r="K1905" s="714"/>
      <c r="L1905" s="714"/>
      <c r="M1905" s="714"/>
      <c r="N1905" s="714"/>
      <c r="O1905" s="753"/>
      <c r="P1905" s="754"/>
    </row>
    <row r="1906" spans="1:89" ht="17.25" customHeight="1" x14ac:dyDescent="0.25">
      <c r="A1906" s="692"/>
      <c r="B1906" s="1350" t="s">
        <v>2056</v>
      </c>
      <c r="C1906" s="713"/>
      <c r="D1906" s="880"/>
      <c r="E1906" s="714"/>
      <c r="F1906" s="714"/>
      <c r="G1906" s="714"/>
      <c r="H1906" s="714"/>
      <c r="I1906" s="714"/>
      <c r="J1906" s="714"/>
      <c r="K1906" s="714"/>
      <c r="L1906" s="714"/>
      <c r="M1906" s="714"/>
      <c r="N1906" s="714"/>
      <c r="O1906" s="753"/>
      <c r="P1906" s="754"/>
    </row>
    <row r="1907" spans="1:89" ht="17.25" customHeight="1" x14ac:dyDescent="0.25">
      <c r="A1907" s="692"/>
      <c r="B1907" s="1350" t="s">
        <v>2057</v>
      </c>
      <c r="C1907" s="713"/>
      <c r="D1907" s="880"/>
      <c r="E1907" s="714"/>
      <c r="F1907" s="714"/>
      <c r="G1907" s="714"/>
      <c r="H1907" s="714"/>
      <c r="I1907" s="714"/>
      <c r="J1907" s="714"/>
      <c r="K1907" s="714"/>
      <c r="L1907" s="714"/>
      <c r="M1907" s="714"/>
      <c r="N1907" s="714"/>
      <c r="O1907" s="753"/>
      <c r="P1907" s="754"/>
    </row>
    <row r="1908" spans="1:89" ht="17.25" customHeight="1" x14ac:dyDescent="0.25">
      <c r="A1908" s="692"/>
      <c r="B1908" s="1350" t="s">
        <v>2058</v>
      </c>
      <c r="C1908" s="713"/>
      <c r="D1908" s="880"/>
      <c r="E1908" s="714"/>
      <c r="F1908" s="714"/>
      <c r="G1908" s="714"/>
      <c r="H1908" s="714"/>
      <c r="I1908" s="714"/>
      <c r="J1908" s="714"/>
      <c r="K1908" s="714"/>
      <c r="L1908" s="714"/>
      <c r="M1908" s="714"/>
      <c r="N1908" s="714"/>
      <c r="O1908" s="753"/>
      <c r="P1908" s="754"/>
    </row>
    <row r="1909" spans="1:89" ht="17.25" customHeight="1" x14ac:dyDescent="0.25">
      <c r="A1909" s="692">
        <v>0</v>
      </c>
      <c r="B1909" s="1350" t="s">
        <v>2059</v>
      </c>
      <c r="C1909" s="693"/>
      <c r="D1909" s="739"/>
      <c r="E1909" s="695"/>
      <c r="F1909" s="695"/>
      <c r="G1909" s="695"/>
      <c r="H1909" s="695"/>
      <c r="I1909" s="695"/>
      <c r="J1909" s="695"/>
      <c r="K1909" s="695"/>
      <c r="L1909" s="695"/>
      <c r="M1909" s="695"/>
      <c r="N1909" s="695"/>
      <c r="O1909" s="696">
        <f>N1909+K1909+H1909</f>
        <v>0</v>
      </c>
      <c r="P1909" s="687"/>
    </row>
    <row r="1910" spans="1:89" ht="17.25" customHeight="1" x14ac:dyDescent="0.25">
      <c r="A1910" s="692"/>
      <c r="B1910" s="1350" t="s">
        <v>2060</v>
      </c>
      <c r="C1910" s="693">
        <v>1</v>
      </c>
      <c r="D1910" s="739" t="s">
        <v>25</v>
      </c>
      <c r="E1910" s="695">
        <v>60000</v>
      </c>
      <c r="F1910" s="695"/>
      <c r="G1910" s="695"/>
      <c r="H1910" s="695"/>
      <c r="I1910" s="695"/>
      <c r="J1910" s="695">
        <f>C1910*E1910</f>
        <v>60000</v>
      </c>
      <c r="K1910" s="695">
        <f>I1910+J1910</f>
        <v>60000</v>
      </c>
      <c r="L1910" s="695"/>
      <c r="M1910" s="695"/>
      <c r="N1910" s="695"/>
      <c r="O1910" s="696">
        <f>N1910+K1910+H1910</f>
        <v>60000</v>
      </c>
      <c r="P1910" s="687"/>
    </row>
    <row r="1911" spans="1:89" ht="17.25" customHeight="1" x14ac:dyDescent="0.25">
      <c r="A1911" s="740"/>
      <c r="B1911" s="741"/>
      <c r="C1911" s="828"/>
      <c r="D1911" s="738"/>
      <c r="E1911" s="705"/>
      <c r="F1911" s="705"/>
      <c r="G1911" s="705"/>
      <c r="H1911" s="705"/>
      <c r="I1911" s="705"/>
      <c r="J1911" s="705"/>
      <c r="K1911" s="705"/>
      <c r="L1911" s="705"/>
      <c r="M1911" s="705"/>
      <c r="N1911" s="705"/>
      <c r="O1911" s="1370"/>
      <c r="P1911" s="829"/>
    </row>
    <row r="1912" spans="1:89" s="672" customFormat="1" ht="17.25" customHeight="1" x14ac:dyDescent="0.25">
      <c r="A1912" s="740" t="s">
        <v>28</v>
      </c>
      <c r="B1912" s="741" t="s">
        <v>29</v>
      </c>
      <c r="C1912" s="828"/>
      <c r="D1912" s="738"/>
      <c r="E1912" s="705"/>
      <c r="F1912" s="705">
        <f>SUM(F1913:F1938)</f>
        <v>0</v>
      </c>
      <c r="G1912" s="705">
        <f>SUM(G1913:G1938)</f>
        <v>0</v>
      </c>
      <c r="H1912" s="705">
        <f>F1912+G1912</f>
        <v>0</v>
      </c>
      <c r="I1912" s="705">
        <f>SUM(I1913:I1938)</f>
        <v>0</v>
      </c>
      <c r="J1912" s="705">
        <f>SUM(J1913:J1938)</f>
        <v>610000</v>
      </c>
      <c r="K1912" s="705">
        <f>I1912+J1912</f>
        <v>610000</v>
      </c>
      <c r="L1912" s="705">
        <f>SUM(L1913:L1938)</f>
        <v>0</v>
      </c>
      <c r="M1912" s="705">
        <f>SUM(M1913:M1938)</f>
        <v>0</v>
      </c>
      <c r="N1912" s="705">
        <f>L1912+M1912</f>
        <v>0</v>
      </c>
      <c r="O1912" s="1370">
        <f>N1912+K1912+H1912</f>
        <v>610000</v>
      </c>
      <c r="P1912" s="829"/>
      <c r="Q1912" s="1581"/>
      <c r="R1912" s="1581"/>
      <c r="S1912" s="1581"/>
      <c r="T1912" s="1581"/>
      <c r="U1912" s="1581"/>
      <c r="V1912" s="1581"/>
      <c r="W1912" s="1581"/>
      <c r="X1912" s="1581"/>
      <c r="Y1912" s="1581"/>
      <c r="Z1912" s="1581"/>
      <c r="AA1912" s="1581"/>
      <c r="AB1912" s="1581"/>
      <c r="AC1912" s="1581"/>
      <c r="AD1912" s="1581"/>
      <c r="AE1912" s="1581"/>
      <c r="AF1912" s="1581"/>
      <c r="AG1912" s="1581"/>
      <c r="AH1912" s="1581"/>
      <c r="AI1912" s="1581"/>
      <c r="AJ1912" s="1581"/>
      <c r="AK1912" s="1581"/>
      <c r="AL1912" s="1581"/>
      <c r="AM1912" s="1581"/>
      <c r="AN1912" s="1581"/>
      <c r="AO1912" s="1581"/>
      <c r="AP1912" s="1581"/>
      <c r="AQ1912" s="1581"/>
      <c r="AR1912" s="1581"/>
      <c r="AS1912" s="1581"/>
      <c r="AT1912" s="1581"/>
      <c r="AU1912" s="1581"/>
      <c r="AV1912" s="1581"/>
      <c r="AW1912" s="1581"/>
      <c r="AX1912" s="1581"/>
      <c r="AY1912" s="1581"/>
      <c r="AZ1912" s="1581"/>
      <c r="BA1912" s="1581"/>
      <c r="BB1912" s="1581"/>
      <c r="BC1912" s="1581"/>
      <c r="BD1912" s="1581"/>
      <c r="BE1912" s="1581"/>
      <c r="BF1912" s="1581"/>
      <c r="BG1912" s="1581"/>
      <c r="BH1912" s="1581"/>
      <c r="BI1912" s="1581"/>
      <c r="BJ1912" s="1581"/>
      <c r="BK1912" s="1581"/>
      <c r="BL1912" s="1581"/>
      <c r="BM1912" s="1581"/>
      <c r="BN1912" s="1581"/>
      <c r="BO1912" s="1581"/>
      <c r="BP1912" s="1581"/>
      <c r="BQ1912" s="1581"/>
      <c r="BR1912" s="1581"/>
      <c r="BS1912" s="1581"/>
      <c r="BT1912" s="1581"/>
      <c r="BU1912" s="1581"/>
      <c r="BV1912" s="1581"/>
      <c r="BW1912" s="1581"/>
      <c r="BX1912" s="1581"/>
      <c r="BY1912" s="1581"/>
      <c r="BZ1912" s="1581"/>
      <c r="CA1912" s="1581"/>
      <c r="CB1912" s="1581"/>
      <c r="CC1912" s="1581"/>
      <c r="CD1912" s="1581"/>
      <c r="CE1912" s="1581"/>
      <c r="CF1912" s="1581"/>
      <c r="CG1912" s="1581"/>
      <c r="CH1912" s="1581"/>
      <c r="CI1912" s="1581"/>
      <c r="CJ1912" s="1581"/>
      <c r="CK1912" s="1581"/>
    </row>
    <row r="1913" spans="1:89" ht="17.25" customHeight="1" x14ac:dyDescent="0.25">
      <c r="A1913" s="742">
        <v>1</v>
      </c>
      <c r="B1913" s="756" t="s">
        <v>19</v>
      </c>
      <c r="C1913" s="699"/>
      <c r="D1913" s="739"/>
      <c r="E1913" s="695"/>
      <c r="F1913" s="714"/>
      <c r="G1913" s="714"/>
      <c r="H1913" s="714"/>
      <c r="I1913" s="714"/>
      <c r="J1913" s="714"/>
      <c r="K1913" s="714"/>
      <c r="L1913" s="714"/>
      <c r="M1913" s="714"/>
      <c r="N1913" s="714"/>
      <c r="O1913" s="753">
        <f>N1913+K1913+H1913</f>
        <v>0</v>
      </c>
      <c r="P1913" s="754"/>
    </row>
    <row r="1914" spans="1:89" ht="17.25" customHeight="1" x14ac:dyDescent="0.25">
      <c r="A1914" s="742"/>
      <c r="B1914" s="756" t="s">
        <v>30</v>
      </c>
      <c r="C1914" s="699">
        <v>12</v>
      </c>
      <c r="D1914" s="739" t="s">
        <v>20</v>
      </c>
      <c r="E1914" s="695">
        <v>1600</v>
      </c>
      <c r="F1914" s="714"/>
      <c r="G1914" s="714"/>
      <c r="H1914" s="714"/>
      <c r="I1914" s="714"/>
      <c r="J1914" s="714">
        <f>C1914*E1914</f>
        <v>19200</v>
      </c>
      <c r="K1914" s="714">
        <f>I1914+J1914</f>
        <v>19200</v>
      </c>
      <c r="L1914" s="714"/>
      <c r="M1914" s="714"/>
      <c r="N1914" s="714"/>
      <c r="O1914" s="753">
        <f>N1914+K1914+H1914</f>
        <v>19200</v>
      </c>
      <c r="P1914" s="754"/>
    </row>
    <row r="1915" spans="1:89" ht="17.25" customHeight="1" x14ac:dyDescent="0.25">
      <c r="A1915" s="742"/>
      <c r="B1915" s="756" t="s">
        <v>31</v>
      </c>
      <c r="C1915" s="699">
        <v>12</v>
      </c>
      <c r="D1915" s="739" t="s">
        <v>20</v>
      </c>
      <c r="E1915" s="695">
        <v>1300</v>
      </c>
      <c r="F1915" s="714"/>
      <c r="G1915" s="714"/>
      <c r="H1915" s="714"/>
      <c r="I1915" s="714"/>
      <c r="J1915" s="714">
        <f>C1915*E1915</f>
        <v>15600</v>
      </c>
      <c r="K1915" s="714">
        <f>I1915+J1915</f>
        <v>15600</v>
      </c>
      <c r="L1915" s="714"/>
      <c r="M1915" s="714"/>
      <c r="N1915" s="714"/>
      <c r="O1915" s="753">
        <f t="shared" ref="O1915:O1938" si="135">N1915+K1915+H1915</f>
        <v>15600</v>
      </c>
      <c r="P1915" s="754"/>
    </row>
    <row r="1916" spans="1:89" ht="17.25" customHeight="1" x14ac:dyDescent="0.25">
      <c r="A1916" s="742"/>
      <c r="B1916" s="756" t="s">
        <v>32</v>
      </c>
      <c r="C1916" s="699">
        <v>12</v>
      </c>
      <c r="D1916" s="739" t="s">
        <v>20</v>
      </c>
      <c r="E1916" s="695">
        <v>1100</v>
      </c>
      <c r="F1916" s="714"/>
      <c r="G1916" s="714"/>
      <c r="H1916" s="714"/>
      <c r="I1916" s="714"/>
      <c r="J1916" s="714">
        <f>C1916*E1916</f>
        <v>13200</v>
      </c>
      <c r="K1916" s="714">
        <f>I1916+J1916</f>
        <v>13200</v>
      </c>
      <c r="L1916" s="714"/>
      <c r="M1916" s="714"/>
      <c r="N1916" s="714"/>
      <c r="O1916" s="753">
        <f t="shared" si="135"/>
        <v>13200</v>
      </c>
      <c r="P1916" s="754"/>
    </row>
    <row r="1917" spans="1:89" ht="17.25" customHeight="1" x14ac:dyDescent="0.25">
      <c r="A1917" s="742"/>
      <c r="B1917" s="756" t="s">
        <v>33</v>
      </c>
      <c r="C1917" s="699">
        <v>60</v>
      </c>
      <c r="D1917" s="739" t="s">
        <v>20</v>
      </c>
      <c r="E1917" s="695">
        <v>950</v>
      </c>
      <c r="F1917" s="714"/>
      <c r="G1917" s="714"/>
      <c r="H1917" s="714"/>
      <c r="I1917" s="714"/>
      <c r="J1917" s="714">
        <f>C1917*E1917</f>
        <v>57000</v>
      </c>
      <c r="K1917" s="714">
        <f>I1917+J1917</f>
        <v>57000</v>
      </c>
      <c r="L1917" s="714"/>
      <c r="M1917" s="714"/>
      <c r="N1917" s="714"/>
      <c r="O1917" s="753">
        <f t="shared" si="135"/>
        <v>57000</v>
      </c>
      <c r="P1917" s="754"/>
    </row>
    <row r="1918" spans="1:89" ht="17.25" customHeight="1" x14ac:dyDescent="0.25">
      <c r="A1918" s="742"/>
      <c r="B1918" s="756" t="s">
        <v>34</v>
      </c>
      <c r="C1918" s="699"/>
      <c r="D1918" s="739"/>
      <c r="E1918" s="695"/>
      <c r="F1918" s="714"/>
      <c r="G1918" s="714"/>
      <c r="H1918" s="714"/>
      <c r="I1918" s="714"/>
      <c r="J1918" s="714"/>
      <c r="K1918" s="714"/>
      <c r="L1918" s="714"/>
      <c r="M1918" s="714"/>
      <c r="N1918" s="714"/>
      <c r="O1918" s="753">
        <f t="shared" si="135"/>
        <v>0</v>
      </c>
      <c r="P1918" s="754"/>
    </row>
    <row r="1919" spans="1:89" ht="17.25" customHeight="1" x14ac:dyDescent="0.25">
      <c r="A1919" s="742"/>
      <c r="B1919" s="756" t="s">
        <v>35</v>
      </c>
      <c r="C1919" s="699">
        <v>12</v>
      </c>
      <c r="D1919" s="739" t="s">
        <v>20</v>
      </c>
      <c r="E1919" s="695">
        <v>400</v>
      </c>
      <c r="F1919" s="714"/>
      <c r="G1919" s="714"/>
      <c r="H1919" s="714"/>
      <c r="I1919" s="714"/>
      <c r="J1919" s="714">
        <f>C1919*E1919</f>
        <v>4800</v>
      </c>
      <c r="K1919" s="714">
        <f>I1919+J1919</f>
        <v>4800</v>
      </c>
      <c r="L1919" s="714"/>
      <c r="M1919" s="714"/>
      <c r="N1919" s="714"/>
      <c r="O1919" s="753">
        <f t="shared" si="135"/>
        <v>4800</v>
      </c>
      <c r="P1919" s="754"/>
    </row>
    <row r="1920" spans="1:89" ht="17.25" customHeight="1" x14ac:dyDescent="0.25">
      <c r="A1920" s="742"/>
      <c r="B1920" s="756" t="s">
        <v>36</v>
      </c>
      <c r="C1920" s="699">
        <v>36</v>
      </c>
      <c r="D1920" s="739" t="s">
        <v>20</v>
      </c>
      <c r="E1920" s="695">
        <v>300</v>
      </c>
      <c r="F1920" s="714"/>
      <c r="G1920" s="714"/>
      <c r="H1920" s="714"/>
      <c r="I1920" s="714"/>
      <c r="J1920" s="714">
        <f>C1920*E1920</f>
        <v>10800</v>
      </c>
      <c r="K1920" s="714">
        <f>I1920+J1920</f>
        <v>10800</v>
      </c>
      <c r="L1920" s="714"/>
      <c r="M1920" s="714"/>
      <c r="N1920" s="714"/>
      <c r="O1920" s="753">
        <f t="shared" si="135"/>
        <v>10800</v>
      </c>
      <c r="P1920" s="754"/>
    </row>
    <row r="1921" spans="1:16" ht="17.25" customHeight="1" x14ac:dyDescent="0.25">
      <c r="A1921" s="742"/>
      <c r="B1921" s="756"/>
      <c r="C1921" s="699"/>
      <c r="D1921" s="739"/>
      <c r="E1921" s="695"/>
      <c r="F1921" s="714"/>
      <c r="G1921" s="714"/>
      <c r="H1921" s="714"/>
      <c r="I1921" s="714"/>
      <c r="J1921" s="714"/>
      <c r="K1921" s="714"/>
      <c r="L1921" s="714"/>
      <c r="M1921" s="714"/>
      <c r="N1921" s="714"/>
      <c r="O1921" s="753">
        <f t="shared" si="135"/>
        <v>0</v>
      </c>
      <c r="P1921" s="754"/>
    </row>
    <row r="1922" spans="1:16" ht="17.25" customHeight="1" x14ac:dyDescent="0.25">
      <c r="A1922" s="742">
        <v>2</v>
      </c>
      <c r="B1922" s="756" t="s">
        <v>38</v>
      </c>
      <c r="C1922" s="699">
        <v>1</v>
      </c>
      <c r="D1922" s="739" t="s">
        <v>25</v>
      </c>
      <c r="E1922" s="695">
        <v>30000</v>
      </c>
      <c r="F1922" s="714"/>
      <c r="G1922" s="714"/>
      <c r="H1922" s="714"/>
      <c r="I1922" s="714"/>
      <c r="J1922" s="714">
        <f>C1922*E1922</f>
        <v>30000</v>
      </c>
      <c r="K1922" s="714">
        <f>I1922+J1922</f>
        <v>30000</v>
      </c>
      <c r="L1922" s="714"/>
      <c r="M1922" s="714"/>
      <c r="N1922" s="714"/>
      <c r="O1922" s="753">
        <f t="shared" si="135"/>
        <v>30000</v>
      </c>
      <c r="P1922" s="754"/>
    </row>
    <row r="1923" spans="1:16" ht="17.25" customHeight="1" x14ac:dyDescent="0.25">
      <c r="A1923" s="742"/>
      <c r="B1923" s="756" t="s">
        <v>39</v>
      </c>
      <c r="C1923" s="699">
        <v>1</v>
      </c>
      <c r="D1923" s="739" t="s">
        <v>25</v>
      </c>
      <c r="E1923" s="695">
        <v>5100</v>
      </c>
      <c r="F1923" s="714"/>
      <c r="G1923" s="714"/>
      <c r="H1923" s="714"/>
      <c r="I1923" s="714"/>
      <c r="J1923" s="714">
        <f>C1923*E1923</f>
        <v>5100</v>
      </c>
      <c r="K1923" s="714">
        <f>I1923+J1923</f>
        <v>5100</v>
      </c>
      <c r="L1923" s="714"/>
      <c r="M1923" s="714"/>
      <c r="N1923" s="714"/>
      <c r="O1923" s="753">
        <f t="shared" si="135"/>
        <v>5100</v>
      </c>
      <c r="P1923" s="754"/>
    </row>
    <row r="1924" spans="1:16" ht="17.25" customHeight="1" x14ac:dyDescent="0.25">
      <c r="A1924" s="742"/>
      <c r="B1924" s="756"/>
      <c r="C1924" s="699"/>
      <c r="D1924" s="739"/>
      <c r="E1924" s="695"/>
      <c r="F1924" s="714"/>
      <c r="G1924" s="714"/>
      <c r="H1924" s="714"/>
      <c r="I1924" s="714"/>
      <c r="J1924" s="714"/>
      <c r="K1924" s="714"/>
      <c r="L1924" s="714"/>
      <c r="M1924" s="714"/>
      <c r="N1924" s="714"/>
      <c r="O1924" s="753">
        <f t="shared" si="135"/>
        <v>0</v>
      </c>
      <c r="P1924" s="754"/>
    </row>
    <row r="1925" spans="1:16" ht="17.25" customHeight="1" x14ac:dyDescent="0.25">
      <c r="A1925" s="742">
        <v>3</v>
      </c>
      <c r="B1925" s="756" t="s">
        <v>27</v>
      </c>
      <c r="C1925" s="699"/>
      <c r="D1925" s="739"/>
      <c r="E1925" s="695"/>
      <c r="F1925" s="714"/>
      <c r="G1925" s="714"/>
      <c r="H1925" s="714"/>
      <c r="I1925" s="714"/>
      <c r="J1925" s="714"/>
      <c r="K1925" s="714"/>
      <c r="L1925" s="714"/>
      <c r="M1925" s="714"/>
      <c r="N1925" s="714"/>
      <c r="O1925" s="753">
        <f t="shared" si="135"/>
        <v>0</v>
      </c>
      <c r="P1925" s="754"/>
    </row>
    <row r="1926" spans="1:16" ht="17.25" customHeight="1" x14ac:dyDescent="0.25">
      <c r="A1926" s="742"/>
      <c r="B1926" s="756" t="s">
        <v>42</v>
      </c>
      <c r="C1926" s="699">
        <v>1</v>
      </c>
      <c r="D1926" s="739" t="s">
        <v>25</v>
      </c>
      <c r="E1926" s="695">
        <v>36000</v>
      </c>
      <c r="F1926" s="714"/>
      <c r="G1926" s="714"/>
      <c r="H1926" s="714"/>
      <c r="I1926" s="714"/>
      <c r="J1926" s="714">
        <f>C1926*E1926</f>
        <v>36000</v>
      </c>
      <c r="K1926" s="714">
        <f>I1926+J1926</f>
        <v>36000</v>
      </c>
      <c r="L1926" s="714"/>
      <c r="M1926" s="714"/>
      <c r="N1926" s="714"/>
      <c r="O1926" s="753">
        <f t="shared" si="135"/>
        <v>36000</v>
      </c>
      <c r="P1926" s="754"/>
    </row>
    <row r="1927" spans="1:16" ht="17.25" customHeight="1" x14ac:dyDescent="0.25">
      <c r="A1927" s="742"/>
      <c r="B1927" s="756"/>
      <c r="C1927" s="699"/>
      <c r="D1927" s="739"/>
      <c r="E1927" s="695"/>
      <c r="F1927" s="714"/>
      <c r="G1927" s="714"/>
      <c r="H1927" s="714"/>
      <c r="I1927" s="714"/>
      <c r="J1927" s="714"/>
      <c r="K1927" s="714"/>
      <c r="L1927" s="714"/>
      <c r="M1927" s="714"/>
      <c r="N1927" s="714"/>
      <c r="O1927" s="753">
        <f t="shared" si="135"/>
        <v>0</v>
      </c>
      <c r="P1927" s="754"/>
    </row>
    <row r="1928" spans="1:16" ht="17.25" customHeight="1" x14ac:dyDescent="0.25">
      <c r="A1928" s="742">
        <v>4</v>
      </c>
      <c r="B1928" s="756" t="s">
        <v>40</v>
      </c>
      <c r="C1928" s="699"/>
      <c r="D1928" s="739"/>
      <c r="E1928" s="695"/>
      <c r="F1928" s="714"/>
      <c r="G1928" s="714"/>
      <c r="H1928" s="714"/>
      <c r="I1928" s="714"/>
      <c r="J1928" s="714"/>
      <c r="K1928" s="714"/>
      <c r="L1928" s="714"/>
      <c r="M1928" s="714"/>
      <c r="N1928" s="714"/>
      <c r="O1928" s="753">
        <f t="shared" si="135"/>
        <v>0</v>
      </c>
      <c r="P1928" s="754"/>
    </row>
    <row r="1929" spans="1:16" ht="17.25" customHeight="1" x14ac:dyDescent="0.25">
      <c r="A1929" s="742"/>
      <c r="B1929" s="756" t="s">
        <v>41</v>
      </c>
      <c r="C1929" s="699">
        <v>1</v>
      </c>
      <c r="D1929" s="739" t="s">
        <v>25</v>
      </c>
      <c r="E1929" s="695">
        <v>41500</v>
      </c>
      <c r="F1929" s="714"/>
      <c r="G1929" s="714"/>
      <c r="H1929" s="714"/>
      <c r="I1929" s="714"/>
      <c r="J1929" s="714">
        <f>C1929*E1929</f>
        <v>41500</v>
      </c>
      <c r="K1929" s="714">
        <f>I1929+J1929</f>
        <v>41500</v>
      </c>
      <c r="L1929" s="714"/>
      <c r="M1929" s="714"/>
      <c r="N1929" s="714"/>
      <c r="O1929" s="753">
        <f t="shared" si="135"/>
        <v>41500</v>
      </c>
      <c r="P1929" s="754"/>
    </row>
    <row r="1930" spans="1:16" ht="17.25" customHeight="1" x14ac:dyDescent="0.25">
      <c r="A1930" s="742"/>
      <c r="B1930" s="756"/>
      <c r="C1930" s="699"/>
      <c r="D1930" s="739"/>
      <c r="E1930" s="695"/>
      <c r="F1930" s="714"/>
      <c r="G1930" s="714"/>
      <c r="H1930" s="714"/>
      <c r="I1930" s="714"/>
      <c r="J1930" s="714"/>
      <c r="K1930" s="714"/>
      <c r="L1930" s="714"/>
      <c r="M1930" s="714"/>
      <c r="N1930" s="714"/>
      <c r="O1930" s="753">
        <f t="shared" si="135"/>
        <v>0</v>
      </c>
      <c r="P1930" s="754"/>
    </row>
    <row r="1931" spans="1:16" ht="17.25" customHeight="1" x14ac:dyDescent="0.25">
      <c r="A1931" s="742">
        <v>5</v>
      </c>
      <c r="B1931" s="756" t="s">
        <v>43</v>
      </c>
      <c r="C1931" s="699"/>
      <c r="D1931" s="739"/>
      <c r="E1931" s="695"/>
      <c r="F1931" s="714"/>
      <c r="G1931" s="714"/>
      <c r="H1931" s="714"/>
      <c r="I1931" s="714"/>
      <c r="J1931" s="714"/>
      <c r="K1931" s="714"/>
      <c r="L1931" s="714"/>
      <c r="M1931" s="714"/>
      <c r="N1931" s="714"/>
      <c r="O1931" s="753">
        <f t="shared" si="135"/>
        <v>0</v>
      </c>
      <c r="P1931" s="754"/>
    </row>
    <row r="1932" spans="1:16" ht="17.25" customHeight="1" x14ac:dyDescent="0.25">
      <c r="A1932" s="742"/>
      <c r="B1932" s="756" t="s">
        <v>44</v>
      </c>
      <c r="C1932" s="699">
        <v>6</v>
      </c>
      <c r="D1932" s="727" t="s">
        <v>45</v>
      </c>
      <c r="E1932" s="695">
        <v>8000</v>
      </c>
      <c r="F1932" s="714"/>
      <c r="G1932" s="714"/>
      <c r="H1932" s="714"/>
      <c r="I1932" s="714"/>
      <c r="J1932" s="714">
        <f>C1932*E1932</f>
        <v>48000</v>
      </c>
      <c r="K1932" s="714">
        <f>I1932+J1932</f>
        <v>48000</v>
      </c>
      <c r="L1932" s="714"/>
      <c r="M1932" s="714"/>
      <c r="N1932" s="714"/>
      <c r="O1932" s="753">
        <f t="shared" si="135"/>
        <v>48000</v>
      </c>
      <c r="P1932" s="754"/>
    </row>
    <row r="1933" spans="1:16" ht="17.25" customHeight="1" x14ac:dyDescent="0.25">
      <c r="A1933" s="742"/>
      <c r="B1933" s="756"/>
      <c r="C1933" s="699"/>
      <c r="D1933" s="727"/>
      <c r="E1933" s="695"/>
      <c r="F1933" s="714"/>
      <c r="G1933" s="714"/>
      <c r="H1933" s="714"/>
      <c r="I1933" s="714"/>
      <c r="J1933" s="714"/>
      <c r="K1933" s="714"/>
      <c r="L1933" s="714"/>
      <c r="M1933" s="714"/>
      <c r="N1933" s="714"/>
      <c r="O1933" s="753">
        <f t="shared" si="135"/>
        <v>0</v>
      </c>
      <c r="P1933" s="754"/>
    </row>
    <row r="1934" spans="1:16" ht="17.25" customHeight="1" x14ac:dyDescent="0.25">
      <c r="A1934" s="742">
        <v>6</v>
      </c>
      <c r="B1934" s="756" t="s">
        <v>48</v>
      </c>
      <c r="C1934" s="699"/>
      <c r="D1934" s="727"/>
      <c r="E1934" s="695" t="s">
        <v>49</v>
      </c>
      <c r="F1934" s="714"/>
      <c r="G1934" s="714"/>
      <c r="H1934" s="714"/>
      <c r="I1934" s="714"/>
      <c r="J1934" s="714"/>
      <c r="K1934" s="714">
        <f>J1934+I1934</f>
        <v>0</v>
      </c>
      <c r="L1934" s="714"/>
      <c r="M1934" s="714"/>
      <c r="N1934" s="714"/>
      <c r="O1934" s="753">
        <f t="shared" si="135"/>
        <v>0</v>
      </c>
      <c r="P1934" s="754"/>
    </row>
    <row r="1935" spans="1:16" ht="17.25" customHeight="1" x14ac:dyDescent="0.25">
      <c r="A1935" s="742"/>
      <c r="B1935" s="893" t="s">
        <v>184</v>
      </c>
      <c r="C1935" s="713">
        <v>40</v>
      </c>
      <c r="D1935" s="727" t="s">
        <v>51</v>
      </c>
      <c r="E1935" s="714">
        <v>6000</v>
      </c>
      <c r="F1935" s="714"/>
      <c r="G1935" s="714"/>
      <c r="H1935" s="714"/>
      <c r="I1935" s="714"/>
      <c r="J1935" s="714">
        <f>C1935*E1935</f>
        <v>240000</v>
      </c>
      <c r="K1935" s="714">
        <f>I1935+J1935</f>
        <v>240000</v>
      </c>
      <c r="L1935" s="714"/>
      <c r="M1935" s="714"/>
      <c r="N1935" s="714"/>
      <c r="O1935" s="753">
        <f t="shared" si="135"/>
        <v>240000</v>
      </c>
      <c r="P1935" s="754"/>
    </row>
    <row r="1936" spans="1:16" ht="17.25" customHeight="1" x14ac:dyDescent="0.25">
      <c r="A1936" s="742"/>
      <c r="B1936" s="756" t="s">
        <v>52</v>
      </c>
      <c r="C1936" s="713">
        <v>64</v>
      </c>
      <c r="D1936" s="727" t="s">
        <v>53</v>
      </c>
      <c r="E1936" s="714">
        <v>450</v>
      </c>
      <c r="F1936" s="714"/>
      <c r="G1936" s="714"/>
      <c r="H1936" s="714"/>
      <c r="I1936" s="714"/>
      <c r="J1936" s="714">
        <f>C1936*E1936</f>
        <v>28800</v>
      </c>
      <c r="K1936" s="714">
        <f>I1936+J1936</f>
        <v>28800</v>
      </c>
      <c r="L1936" s="714"/>
      <c r="M1936" s="714"/>
      <c r="N1936" s="714"/>
      <c r="O1936" s="753">
        <f t="shared" si="135"/>
        <v>28800</v>
      </c>
      <c r="P1936" s="754"/>
    </row>
    <row r="1937" spans="1:16" ht="17.25" customHeight="1" x14ac:dyDescent="0.25">
      <c r="A1937" s="742"/>
      <c r="B1937" s="756" t="s">
        <v>54</v>
      </c>
      <c r="C1937" s="713">
        <v>80</v>
      </c>
      <c r="D1937" s="727" t="s">
        <v>55</v>
      </c>
      <c r="E1937" s="714">
        <v>400</v>
      </c>
      <c r="F1937" s="714"/>
      <c r="G1937" s="714"/>
      <c r="H1937" s="714"/>
      <c r="I1937" s="714"/>
      <c r="J1937" s="714">
        <f>C1937*E1937</f>
        <v>32000</v>
      </c>
      <c r="K1937" s="714">
        <f>I1937+J1937</f>
        <v>32000</v>
      </c>
      <c r="L1937" s="714"/>
      <c r="M1937" s="714"/>
      <c r="N1937" s="714"/>
      <c r="O1937" s="753">
        <f t="shared" si="135"/>
        <v>32000</v>
      </c>
      <c r="P1937" s="754"/>
    </row>
    <row r="1938" spans="1:16" ht="30" customHeight="1" x14ac:dyDescent="0.25">
      <c r="A1938" s="742"/>
      <c r="B1938" s="756" t="s">
        <v>56</v>
      </c>
      <c r="C1938" s="713">
        <v>80</v>
      </c>
      <c r="D1938" s="727" t="s">
        <v>55</v>
      </c>
      <c r="E1938" s="714">
        <v>350</v>
      </c>
      <c r="F1938" s="714"/>
      <c r="G1938" s="714"/>
      <c r="H1938" s="714"/>
      <c r="I1938" s="714"/>
      <c r="J1938" s="714">
        <f>C1938*E1938</f>
        <v>28000</v>
      </c>
      <c r="K1938" s="714">
        <f>I1938+J1938</f>
        <v>28000</v>
      </c>
      <c r="L1938" s="714"/>
      <c r="M1938" s="714"/>
      <c r="N1938" s="714"/>
      <c r="O1938" s="753">
        <f t="shared" si="135"/>
        <v>28000</v>
      </c>
      <c r="P1938" s="754"/>
    </row>
    <row r="1939" spans="1:16" ht="30" customHeight="1" x14ac:dyDescent="0.25">
      <c r="A1939" s="881"/>
      <c r="B1939" s="907"/>
      <c r="C1939" s="719"/>
      <c r="D1939" s="831"/>
      <c r="E1939" s="721"/>
      <c r="F1939" s="721"/>
      <c r="G1939" s="721"/>
      <c r="H1939" s="721"/>
      <c r="I1939" s="721"/>
      <c r="J1939" s="721"/>
      <c r="K1939" s="721"/>
      <c r="L1939" s="721"/>
      <c r="M1939" s="721"/>
      <c r="N1939" s="721"/>
      <c r="O1939" s="884"/>
      <c r="P1939" s="754"/>
    </row>
    <row r="1940" spans="1:16" ht="39.75" customHeight="1" x14ac:dyDescent="0.25">
      <c r="A1940" s="1764">
        <v>34</v>
      </c>
      <c r="B1940" s="1228" t="s">
        <v>186</v>
      </c>
      <c r="C1940" s="1490"/>
      <c r="D1940" s="1583"/>
      <c r="E1940" s="1290"/>
      <c r="F1940" s="896">
        <f>SUM(F1941:F2132)</f>
        <v>0</v>
      </c>
      <c r="G1940" s="896">
        <f>SUM(G1941:G2132)</f>
        <v>0</v>
      </c>
      <c r="H1940" s="896">
        <f>G1940+F1940</f>
        <v>0</v>
      </c>
      <c r="I1940" s="896">
        <f>SUM(I1941:I2132)</f>
        <v>3452135</v>
      </c>
      <c r="J1940" s="896">
        <f>SUM(J1941:J2132)</f>
        <v>3915770</v>
      </c>
      <c r="K1940" s="896">
        <f>J1940+I1940</f>
        <v>7367905</v>
      </c>
      <c r="L1940" s="896">
        <f>SUM(L1941:L2132)</f>
        <v>11596035</v>
      </c>
      <c r="M1940" s="896">
        <f>SUM(M1941:M2132)</f>
        <v>0</v>
      </c>
      <c r="N1940" s="896">
        <f>M1940+L1940</f>
        <v>11596035</v>
      </c>
      <c r="O1940" s="1494">
        <f>N1940+K1940+H1940</f>
        <v>18963940</v>
      </c>
      <c r="P1940" s="912"/>
    </row>
    <row r="1941" spans="1:16" ht="17.25" customHeight="1" x14ac:dyDescent="0.25">
      <c r="A1941" s="730"/>
      <c r="B1941" s="755"/>
      <c r="C1941" s="872"/>
      <c r="D1941" s="683"/>
      <c r="E1941" s="685"/>
      <c r="F1941" s="684"/>
      <c r="G1941" s="684"/>
      <c r="H1941" s="684"/>
      <c r="I1941" s="684"/>
      <c r="J1941" s="684"/>
      <c r="K1941" s="684"/>
      <c r="L1941" s="684"/>
      <c r="M1941" s="684"/>
      <c r="N1941" s="684"/>
      <c r="O1941" s="867"/>
      <c r="P1941" s="754"/>
    </row>
    <row r="1942" spans="1:16" ht="21" customHeight="1" x14ac:dyDescent="0.25">
      <c r="A1942" s="742"/>
      <c r="B1942" s="920" t="s">
        <v>866</v>
      </c>
      <c r="C1942" s="713">
        <v>3</v>
      </c>
      <c r="D1942" s="727"/>
      <c r="E1942" s="695" t="s">
        <v>867</v>
      </c>
      <c r="F1942" s="714"/>
      <c r="G1942" s="714"/>
      <c r="H1942" s="714"/>
      <c r="I1942" s="714"/>
      <c r="J1942" s="714"/>
      <c r="K1942" s="714"/>
      <c r="L1942" s="714"/>
      <c r="M1942" s="714"/>
      <c r="N1942" s="695"/>
      <c r="O1942" s="696"/>
      <c r="P1942" s="687"/>
    </row>
    <row r="1943" spans="1:16" ht="21" customHeight="1" x14ac:dyDescent="0.25">
      <c r="A1943" s="742"/>
      <c r="B1943" s="921"/>
      <c r="C1943" s="713"/>
      <c r="D1943" s="727"/>
      <c r="E1943" s="695"/>
      <c r="F1943" s="714"/>
      <c r="G1943" s="714"/>
      <c r="H1943" s="714"/>
      <c r="I1943" s="714"/>
      <c r="J1943" s="714">
        <f t="shared" ref="J1943:J1952" si="136">C1943*E1943</f>
        <v>0</v>
      </c>
      <c r="K1943" s="714">
        <f t="shared" ref="K1943:K1952" si="137">I1943+J1943</f>
        <v>0</v>
      </c>
      <c r="L1943" s="714"/>
      <c r="M1943" s="714"/>
      <c r="N1943" s="714"/>
      <c r="O1943" s="753">
        <f t="shared" ref="O1943:O1952" si="138">N1943+K1943+H1943</f>
        <v>0</v>
      </c>
      <c r="P1943" s="754"/>
    </row>
    <row r="1944" spans="1:16" ht="21" customHeight="1" x14ac:dyDescent="0.25">
      <c r="A1944" s="742"/>
      <c r="B1944" s="921" t="s">
        <v>868</v>
      </c>
      <c r="C1944" s="713"/>
      <c r="D1944" s="727"/>
      <c r="E1944" s="695"/>
      <c r="F1944" s="714"/>
      <c r="G1944" s="714"/>
      <c r="H1944" s="714"/>
      <c r="I1944" s="714"/>
      <c r="J1944" s="714">
        <f t="shared" si="136"/>
        <v>0</v>
      </c>
      <c r="K1944" s="714">
        <f t="shared" si="137"/>
        <v>0</v>
      </c>
      <c r="L1944" s="714"/>
      <c r="M1944" s="714"/>
      <c r="N1944" s="714"/>
      <c r="O1944" s="753">
        <f t="shared" si="138"/>
        <v>0</v>
      </c>
      <c r="P1944" s="754"/>
    </row>
    <row r="1945" spans="1:16" ht="21" customHeight="1" x14ac:dyDescent="0.25">
      <c r="A1945" s="742"/>
      <c r="B1945" s="921"/>
      <c r="C1945" s="713"/>
      <c r="D1945" s="727"/>
      <c r="E1945" s="695"/>
      <c r="F1945" s="714"/>
      <c r="G1945" s="714"/>
      <c r="H1945" s="714"/>
      <c r="I1945" s="714"/>
      <c r="J1945" s="714">
        <f t="shared" si="136"/>
        <v>0</v>
      </c>
      <c r="K1945" s="714">
        <f t="shared" si="137"/>
        <v>0</v>
      </c>
      <c r="L1945" s="714"/>
      <c r="M1945" s="714"/>
      <c r="N1945" s="714"/>
      <c r="O1945" s="753">
        <f t="shared" si="138"/>
        <v>0</v>
      </c>
      <c r="P1945" s="754"/>
    </row>
    <row r="1946" spans="1:16" ht="21" customHeight="1" x14ac:dyDescent="0.25">
      <c r="A1946" s="737" t="s">
        <v>575</v>
      </c>
      <c r="B1946" s="1114" t="s">
        <v>869</v>
      </c>
      <c r="C1946" s="713"/>
      <c r="D1946" s="727"/>
      <c r="E1946" s="695"/>
      <c r="F1946" s="714"/>
      <c r="G1946" s="714"/>
      <c r="H1946" s="714"/>
      <c r="I1946" s="714"/>
      <c r="J1946" s="714">
        <f t="shared" si="136"/>
        <v>0</v>
      </c>
      <c r="K1946" s="714">
        <f t="shared" si="137"/>
        <v>0</v>
      </c>
      <c r="L1946" s="714"/>
      <c r="M1946" s="714"/>
      <c r="N1946" s="714"/>
      <c r="O1946" s="753">
        <f t="shared" si="138"/>
        <v>0</v>
      </c>
      <c r="P1946" s="754"/>
    </row>
    <row r="1947" spans="1:16" ht="21" customHeight="1" x14ac:dyDescent="0.25">
      <c r="A1947" s="742"/>
      <c r="B1947" s="921" t="s">
        <v>877</v>
      </c>
      <c r="C1947" s="713"/>
      <c r="D1947" s="727"/>
      <c r="E1947" s="695"/>
      <c r="F1947" s="714"/>
      <c r="G1947" s="714"/>
      <c r="H1947" s="714"/>
      <c r="I1947" s="714"/>
      <c r="J1947" s="714">
        <f t="shared" si="136"/>
        <v>0</v>
      </c>
      <c r="K1947" s="714">
        <f t="shared" si="137"/>
        <v>0</v>
      </c>
      <c r="L1947" s="714"/>
      <c r="M1947" s="714"/>
      <c r="N1947" s="714"/>
      <c r="O1947" s="753">
        <f t="shared" si="138"/>
        <v>0</v>
      </c>
      <c r="P1947" s="754"/>
    </row>
    <row r="1948" spans="1:16" ht="21" customHeight="1" x14ac:dyDescent="0.25">
      <c r="A1948" s="742"/>
      <c r="B1948" s="922" t="s">
        <v>1658</v>
      </c>
      <c r="C1948" s="713">
        <v>12</v>
      </c>
      <c r="D1948" s="727" t="s">
        <v>20</v>
      </c>
      <c r="E1948" s="695">
        <v>500</v>
      </c>
      <c r="F1948" s="714"/>
      <c r="G1948" s="714"/>
      <c r="H1948" s="714"/>
      <c r="I1948" s="714"/>
      <c r="J1948" s="714">
        <f t="shared" si="136"/>
        <v>6000</v>
      </c>
      <c r="K1948" s="714">
        <f t="shared" si="137"/>
        <v>6000</v>
      </c>
      <c r="L1948" s="714"/>
      <c r="M1948" s="714"/>
      <c r="N1948" s="714"/>
      <c r="O1948" s="753">
        <f t="shared" si="138"/>
        <v>6000</v>
      </c>
      <c r="P1948" s="754"/>
    </row>
    <row r="1949" spans="1:16" ht="21" customHeight="1" x14ac:dyDescent="0.25">
      <c r="A1949" s="742"/>
      <c r="B1949" s="922" t="s">
        <v>1659</v>
      </c>
      <c r="C1949" s="713">
        <v>12</v>
      </c>
      <c r="D1949" s="727" t="s">
        <v>20</v>
      </c>
      <c r="E1949" s="695">
        <v>400</v>
      </c>
      <c r="F1949" s="714"/>
      <c r="G1949" s="714"/>
      <c r="H1949" s="714"/>
      <c r="I1949" s="714"/>
      <c r="J1949" s="714">
        <f t="shared" si="136"/>
        <v>4800</v>
      </c>
      <c r="K1949" s="714">
        <f t="shared" si="137"/>
        <v>4800</v>
      </c>
      <c r="L1949" s="714"/>
      <c r="M1949" s="714"/>
      <c r="N1949" s="714"/>
      <c r="O1949" s="753">
        <f t="shared" si="138"/>
        <v>4800</v>
      </c>
      <c r="P1949" s="754"/>
    </row>
    <row r="1950" spans="1:16" ht="21" customHeight="1" x14ac:dyDescent="0.25">
      <c r="A1950" s="742"/>
      <c r="B1950" s="922" t="s">
        <v>1660</v>
      </c>
      <c r="C1950" s="713">
        <v>12</v>
      </c>
      <c r="D1950" s="727" t="s">
        <v>20</v>
      </c>
      <c r="E1950" s="695">
        <v>350</v>
      </c>
      <c r="F1950" s="714"/>
      <c r="G1950" s="714"/>
      <c r="H1950" s="714"/>
      <c r="I1950" s="714"/>
      <c r="J1950" s="714">
        <f t="shared" si="136"/>
        <v>4200</v>
      </c>
      <c r="K1950" s="714">
        <f t="shared" si="137"/>
        <v>4200</v>
      </c>
      <c r="L1950" s="714"/>
      <c r="M1950" s="714"/>
      <c r="N1950" s="714"/>
      <c r="O1950" s="753">
        <f t="shared" si="138"/>
        <v>4200</v>
      </c>
      <c r="P1950" s="754"/>
    </row>
    <row r="1951" spans="1:16" ht="21" customHeight="1" x14ac:dyDescent="0.25">
      <c r="A1951" s="742"/>
      <c r="B1951" s="1584" t="s">
        <v>1661</v>
      </c>
      <c r="C1951" s="713">
        <v>12</v>
      </c>
      <c r="D1951" s="727" t="s">
        <v>20</v>
      </c>
      <c r="E1951" s="695">
        <v>300</v>
      </c>
      <c r="F1951" s="714"/>
      <c r="G1951" s="714"/>
      <c r="H1951" s="714"/>
      <c r="I1951" s="714"/>
      <c r="J1951" s="714">
        <f t="shared" si="136"/>
        <v>3600</v>
      </c>
      <c r="K1951" s="714">
        <f t="shared" si="137"/>
        <v>3600</v>
      </c>
      <c r="L1951" s="714"/>
      <c r="M1951" s="714"/>
      <c r="N1951" s="714"/>
      <c r="O1951" s="753">
        <f t="shared" si="138"/>
        <v>3600</v>
      </c>
      <c r="P1951" s="754"/>
    </row>
    <row r="1952" spans="1:16" ht="21" customHeight="1" x14ac:dyDescent="0.25">
      <c r="A1952" s="742"/>
      <c r="B1952" s="922" t="s">
        <v>2105</v>
      </c>
      <c r="C1952" s="713">
        <v>264</v>
      </c>
      <c r="D1952" s="727" t="s">
        <v>20</v>
      </c>
      <c r="E1952" s="695">
        <v>300</v>
      </c>
      <c r="F1952" s="714"/>
      <c r="G1952" s="714"/>
      <c r="H1952" s="714"/>
      <c r="I1952" s="714"/>
      <c r="J1952" s="714">
        <f t="shared" si="136"/>
        <v>79200</v>
      </c>
      <c r="K1952" s="714">
        <f t="shared" si="137"/>
        <v>79200</v>
      </c>
      <c r="L1952" s="714"/>
      <c r="M1952" s="714"/>
      <c r="N1952" s="714"/>
      <c r="O1952" s="753">
        <f t="shared" si="138"/>
        <v>79200</v>
      </c>
      <c r="P1952" s="754"/>
    </row>
    <row r="1953" spans="1:89" s="1108" customFormat="1" ht="21" customHeight="1" x14ac:dyDescent="0.25">
      <c r="A1953" s="1107">
        <v>1</v>
      </c>
      <c r="B1953" s="1585" t="s">
        <v>877</v>
      </c>
      <c r="C1953" s="1586"/>
      <c r="D1953" s="1587"/>
      <c r="E1953" s="1588"/>
      <c r="F1953" s="1589"/>
      <c r="G1953" s="1589"/>
      <c r="H1953" s="1589"/>
      <c r="I1953" s="1589"/>
      <c r="J1953" s="1590"/>
      <c r="K1953" s="1589"/>
      <c r="L1953" s="1589"/>
      <c r="M1953" s="1589"/>
      <c r="N1953" s="1589"/>
      <c r="O1953" s="1591"/>
      <c r="P1953" s="1592"/>
      <c r="Q1953" s="1626"/>
      <c r="R1953" s="1626"/>
      <c r="S1953" s="1626"/>
      <c r="T1953" s="1626"/>
      <c r="U1953" s="1626"/>
      <c r="V1953" s="1626"/>
      <c r="W1953" s="1626"/>
      <c r="X1953" s="1626"/>
      <c r="Y1953" s="1626"/>
      <c r="Z1953" s="1626"/>
      <c r="AA1953" s="1626"/>
      <c r="AB1953" s="1626"/>
      <c r="AC1953" s="1626"/>
      <c r="AD1953" s="1626"/>
      <c r="AE1953" s="1626"/>
      <c r="AF1953" s="1626"/>
      <c r="AG1953" s="1626"/>
      <c r="AH1953" s="1626"/>
      <c r="AI1953" s="1626"/>
      <c r="AJ1953" s="1626"/>
      <c r="AK1953" s="1626"/>
      <c r="AL1953" s="1626"/>
      <c r="AM1953" s="1626"/>
      <c r="AN1953" s="1626"/>
      <c r="AO1953" s="1626"/>
      <c r="AP1953" s="1626"/>
      <c r="AQ1953" s="1626"/>
      <c r="AR1953" s="1626"/>
      <c r="AS1953" s="1626"/>
      <c r="AT1953" s="1626"/>
      <c r="AU1953" s="1626"/>
      <c r="AV1953" s="1626"/>
      <c r="AW1953" s="1626"/>
      <c r="AX1953" s="1626"/>
      <c r="AY1953" s="1626"/>
      <c r="AZ1953" s="1626"/>
      <c r="BA1953" s="1626"/>
      <c r="BB1953" s="1626"/>
      <c r="BC1953" s="1626"/>
      <c r="BD1953" s="1626"/>
      <c r="BE1953" s="1626"/>
      <c r="BF1953" s="1626"/>
      <c r="BG1953" s="1626"/>
      <c r="BH1953" s="1626"/>
      <c r="BI1953" s="1626"/>
      <c r="BJ1953" s="1626"/>
      <c r="BK1953" s="1626"/>
      <c r="BL1953" s="1626"/>
      <c r="BM1953" s="1626"/>
      <c r="BN1953" s="1626"/>
      <c r="BO1953" s="1626"/>
      <c r="BP1953" s="1626"/>
      <c r="BQ1953" s="1626"/>
      <c r="BR1953" s="1626"/>
      <c r="BS1953" s="1626"/>
      <c r="BT1953" s="1626"/>
      <c r="BU1953" s="1626"/>
      <c r="BV1953" s="1626"/>
      <c r="BW1953" s="1626"/>
      <c r="BX1953" s="1626"/>
      <c r="BY1953" s="1626"/>
      <c r="BZ1953" s="1626"/>
      <c r="CA1953" s="1626"/>
      <c r="CB1953" s="1626"/>
      <c r="CC1953" s="1626"/>
      <c r="CD1953" s="1626"/>
      <c r="CE1953" s="1626"/>
      <c r="CF1953" s="1626"/>
      <c r="CG1953" s="1626"/>
      <c r="CH1953" s="1626"/>
      <c r="CI1953" s="1626"/>
      <c r="CJ1953" s="1626"/>
      <c r="CK1953" s="1626"/>
    </row>
    <row r="1954" spans="1:89" s="1108" customFormat="1" ht="21" customHeight="1" x14ac:dyDescent="0.25">
      <c r="A1954" s="1107"/>
      <c r="B1954" s="1593" t="s">
        <v>2106</v>
      </c>
      <c r="C1954" s="1586">
        <f>2*139*8</f>
        <v>2224</v>
      </c>
      <c r="D1954" s="1587" t="s">
        <v>20</v>
      </c>
      <c r="E1954" s="1588">
        <v>300</v>
      </c>
      <c r="F1954" s="1589"/>
      <c r="G1954" s="1589"/>
      <c r="H1954" s="1589"/>
      <c r="I1954" s="1589"/>
      <c r="J1954" s="1590">
        <f t="shared" ref="J1954:J1961" si="139">C1954*E1954</f>
        <v>667200</v>
      </c>
      <c r="K1954" s="1589">
        <f t="shared" ref="K1954:K1961" si="140">I1954+J1954</f>
        <v>667200</v>
      </c>
      <c r="L1954" s="1589"/>
      <c r="M1954" s="1589"/>
      <c r="N1954" s="1589"/>
      <c r="O1954" s="1591">
        <f t="shared" ref="O1954:O1961" si="141">N1954+K1954+H1954</f>
        <v>667200</v>
      </c>
      <c r="P1954" s="1592"/>
      <c r="Q1954" s="1626"/>
      <c r="R1954" s="1626"/>
      <c r="S1954" s="1626"/>
      <c r="T1954" s="1626"/>
      <c r="U1954" s="1626"/>
      <c r="V1954" s="1626"/>
      <c r="W1954" s="1626"/>
      <c r="X1954" s="1626"/>
      <c r="Y1954" s="1626"/>
      <c r="Z1954" s="1626"/>
      <c r="AA1954" s="1626"/>
      <c r="AB1954" s="1626"/>
      <c r="AC1954" s="1626"/>
      <c r="AD1954" s="1626"/>
      <c r="AE1954" s="1626"/>
      <c r="AF1954" s="1626"/>
      <c r="AG1954" s="1626"/>
      <c r="AH1954" s="1626"/>
      <c r="AI1954" s="1626"/>
      <c r="AJ1954" s="1626"/>
      <c r="AK1954" s="1626"/>
      <c r="AL1954" s="1626"/>
      <c r="AM1954" s="1626"/>
      <c r="AN1954" s="1626"/>
      <c r="AO1954" s="1626"/>
      <c r="AP1954" s="1626"/>
      <c r="AQ1954" s="1626"/>
      <c r="AR1954" s="1626"/>
      <c r="AS1954" s="1626"/>
      <c r="AT1954" s="1626"/>
      <c r="AU1954" s="1626"/>
      <c r="AV1954" s="1626"/>
      <c r="AW1954" s="1626"/>
      <c r="AX1954" s="1626"/>
      <c r="AY1954" s="1626"/>
      <c r="AZ1954" s="1626"/>
      <c r="BA1954" s="1626"/>
      <c r="BB1954" s="1626"/>
      <c r="BC1954" s="1626"/>
      <c r="BD1954" s="1626"/>
      <c r="BE1954" s="1626"/>
      <c r="BF1954" s="1626"/>
      <c r="BG1954" s="1626"/>
      <c r="BH1954" s="1626"/>
      <c r="BI1954" s="1626"/>
      <c r="BJ1954" s="1626"/>
      <c r="BK1954" s="1626"/>
      <c r="BL1954" s="1626"/>
      <c r="BM1954" s="1626"/>
      <c r="BN1954" s="1626"/>
      <c r="BO1954" s="1626"/>
      <c r="BP1954" s="1626"/>
      <c r="BQ1954" s="1626"/>
      <c r="BR1954" s="1626"/>
      <c r="BS1954" s="1626"/>
      <c r="BT1954" s="1626"/>
      <c r="BU1954" s="1626"/>
      <c r="BV1954" s="1626"/>
      <c r="BW1954" s="1626"/>
      <c r="BX1954" s="1626"/>
      <c r="BY1954" s="1626"/>
      <c r="BZ1954" s="1626"/>
      <c r="CA1954" s="1626"/>
      <c r="CB1954" s="1626"/>
      <c r="CC1954" s="1626"/>
      <c r="CD1954" s="1626"/>
      <c r="CE1954" s="1626"/>
      <c r="CF1954" s="1626"/>
      <c r="CG1954" s="1626"/>
      <c r="CH1954" s="1626"/>
      <c r="CI1954" s="1626"/>
      <c r="CJ1954" s="1626"/>
      <c r="CK1954" s="1626"/>
    </row>
    <row r="1955" spans="1:89" s="1108" customFormat="1" ht="21" customHeight="1" x14ac:dyDescent="0.25">
      <c r="A1955" s="1107"/>
      <c r="B1955" s="1593" t="s">
        <v>2107</v>
      </c>
      <c r="C1955" s="1586">
        <f>2*9*8</f>
        <v>144</v>
      </c>
      <c r="D1955" s="1587" t="s">
        <v>871</v>
      </c>
      <c r="E1955" s="1588">
        <v>300</v>
      </c>
      <c r="F1955" s="1589"/>
      <c r="G1955" s="1589"/>
      <c r="H1955" s="1589"/>
      <c r="I1955" s="1589"/>
      <c r="J1955" s="1590">
        <f t="shared" si="139"/>
        <v>43200</v>
      </c>
      <c r="K1955" s="1589">
        <f t="shared" si="140"/>
        <v>43200</v>
      </c>
      <c r="L1955" s="1589"/>
      <c r="M1955" s="1589"/>
      <c r="N1955" s="1589"/>
      <c r="O1955" s="1591">
        <f t="shared" si="141"/>
        <v>43200</v>
      </c>
      <c r="P1955" s="1592"/>
      <c r="Q1955" s="1626"/>
      <c r="R1955" s="1626"/>
      <c r="S1955" s="1626"/>
      <c r="T1955" s="1626"/>
      <c r="U1955" s="1626"/>
      <c r="V1955" s="1626"/>
      <c r="W1955" s="1626"/>
      <c r="X1955" s="1626"/>
      <c r="Y1955" s="1626"/>
      <c r="Z1955" s="1626"/>
      <c r="AA1955" s="1626"/>
      <c r="AB1955" s="1626"/>
      <c r="AC1955" s="1626"/>
      <c r="AD1955" s="1626"/>
      <c r="AE1955" s="1626"/>
      <c r="AF1955" s="1626"/>
      <c r="AG1955" s="1626"/>
      <c r="AH1955" s="1626"/>
      <c r="AI1955" s="1626"/>
      <c r="AJ1955" s="1626"/>
      <c r="AK1955" s="1626"/>
      <c r="AL1955" s="1626"/>
      <c r="AM1955" s="1626"/>
      <c r="AN1955" s="1626"/>
      <c r="AO1955" s="1626"/>
      <c r="AP1955" s="1626"/>
      <c r="AQ1955" s="1626"/>
      <c r="AR1955" s="1626"/>
      <c r="AS1955" s="1626"/>
      <c r="AT1955" s="1626"/>
      <c r="AU1955" s="1626"/>
      <c r="AV1955" s="1626"/>
      <c r="AW1955" s="1626"/>
      <c r="AX1955" s="1626"/>
      <c r="AY1955" s="1626"/>
      <c r="AZ1955" s="1626"/>
      <c r="BA1955" s="1626"/>
      <c r="BB1955" s="1626"/>
      <c r="BC1955" s="1626"/>
      <c r="BD1955" s="1626"/>
      <c r="BE1955" s="1626"/>
      <c r="BF1955" s="1626"/>
      <c r="BG1955" s="1626"/>
      <c r="BH1955" s="1626"/>
      <c r="BI1955" s="1626"/>
      <c r="BJ1955" s="1626"/>
      <c r="BK1955" s="1626"/>
      <c r="BL1955" s="1626"/>
      <c r="BM1955" s="1626"/>
      <c r="BN1955" s="1626"/>
      <c r="BO1955" s="1626"/>
      <c r="BP1955" s="1626"/>
      <c r="BQ1955" s="1626"/>
      <c r="BR1955" s="1626"/>
      <c r="BS1955" s="1626"/>
      <c r="BT1955" s="1626"/>
      <c r="BU1955" s="1626"/>
      <c r="BV1955" s="1626"/>
      <c r="BW1955" s="1626"/>
      <c r="BX1955" s="1626"/>
      <c r="BY1955" s="1626"/>
      <c r="BZ1955" s="1626"/>
      <c r="CA1955" s="1626"/>
      <c r="CB1955" s="1626"/>
      <c r="CC1955" s="1626"/>
      <c r="CD1955" s="1626"/>
      <c r="CE1955" s="1626"/>
      <c r="CF1955" s="1626"/>
      <c r="CG1955" s="1626"/>
      <c r="CH1955" s="1626"/>
      <c r="CI1955" s="1626"/>
      <c r="CJ1955" s="1626"/>
      <c r="CK1955" s="1626"/>
    </row>
    <row r="1956" spans="1:89" s="1108" customFormat="1" ht="21" customHeight="1" x14ac:dyDescent="0.25">
      <c r="A1956" s="1107"/>
      <c r="B1956" s="1594" t="s">
        <v>27</v>
      </c>
      <c r="C1956" s="1586"/>
      <c r="D1956" s="1587"/>
      <c r="E1956" s="1588"/>
      <c r="F1956" s="1589"/>
      <c r="G1956" s="1589"/>
      <c r="H1956" s="1589"/>
      <c r="I1956" s="1589"/>
      <c r="J1956" s="1590"/>
      <c r="K1956" s="1589"/>
      <c r="L1956" s="1589"/>
      <c r="M1956" s="1589"/>
      <c r="N1956" s="1589"/>
      <c r="O1956" s="1591"/>
      <c r="P1956" s="1592"/>
      <c r="Q1956" s="1626"/>
      <c r="R1956" s="1626"/>
      <c r="S1956" s="1626"/>
      <c r="T1956" s="1626"/>
      <c r="U1956" s="1626"/>
      <c r="V1956" s="1626"/>
      <c r="W1956" s="1626"/>
      <c r="X1956" s="1626"/>
      <c r="Y1956" s="1626"/>
      <c r="Z1956" s="1626"/>
      <c r="AA1956" s="1626"/>
      <c r="AB1956" s="1626"/>
      <c r="AC1956" s="1626"/>
      <c r="AD1956" s="1626"/>
      <c r="AE1956" s="1626"/>
      <c r="AF1956" s="1626"/>
      <c r="AG1956" s="1626"/>
      <c r="AH1956" s="1626"/>
      <c r="AI1956" s="1626"/>
      <c r="AJ1956" s="1626"/>
      <c r="AK1956" s="1626"/>
      <c r="AL1956" s="1626"/>
      <c r="AM1956" s="1626"/>
      <c r="AN1956" s="1626"/>
      <c r="AO1956" s="1626"/>
      <c r="AP1956" s="1626"/>
      <c r="AQ1956" s="1626"/>
      <c r="AR1956" s="1626"/>
      <c r="AS1956" s="1626"/>
      <c r="AT1956" s="1626"/>
      <c r="AU1956" s="1626"/>
      <c r="AV1956" s="1626"/>
      <c r="AW1956" s="1626"/>
      <c r="AX1956" s="1626"/>
      <c r="AY1956" s="1626"/>
      <c r="AZ1956" s="1626"/>
      <c r="BA1956" s="1626"/>
      <c r="BB1956" s="1626"/>
      <c r="BC1956" s="1626"/>
      <c r="BD1956" s="1626"/>
      <c r="BE1956" s="1626"/>
      <c r="BF1956" s="1626"/>
      <c r="BG1956" s="1626"/>
      <c r="BH1956" s="1626"/>
      <c r="BI1956" s="1626"/>
      <c r="BJ1956" s="1626"/>
      <c r="BK1956" s="1626"/>
      <c r="BL1956" s="1626"/>
      <c r="BM1956" s="1626"/>
      <c r="BN1956" s="1626"/>
      <c r="BO1956" s="1626"/>
      <c r="BP1956" s="1626"/>
      <c r="BQ1956" s="1626"/>
      <c r="BR1956" s="1626"/>
      <c r="BS1956" s="1626"/>
      <c r="BT1956" s="1626"/>
      <c r="BU1956" s="1626"/>
      <c r="BV1956" s="1626"/>
      <c r="BW1956" s="1626"/>
      <c r="BX1956" s="1626"/>
      <c r="BY1956" s="1626"/>
      <c r="BZ1956" s="1626"/>
      <c r="CA1956" s="1626"/>
      <c r="CB1956" s="1626"/>
      <c r="CC1956" s="1626"/>
      <c r="CD1956" s="1626"/>
      <c r="CE1956" s="1626"/>
      <c r="CF1956" s="1626"/>
      <c r="CG1956" s="1626"/>
      <c r="CH1956" s="1626"/>
      <c r="CI1956" s="1626"/>
      <c r="CJ1956" s="1626"/>
      <c r="CK1956" s="1626"/>
    </row>
    <row r="1957" spans="1:89" s="1108" customFormat="1" ht="21" customHeight="1" x14ac:dyDescent="0.25">
      <c r="A1957" s="1107"/>
      <c r="B1957" s="1593" t="s">
        <v>872</v>
      </c>
      <c r="C1957" s="1586">
        <v>1</v>
      </c>
      <c r="D1957" s="1587" t="s">
        <v>188</v>
      </c>
      <c r="E1957" s="1588">
        <v>27000</v>
      </c>
      <c r="F1957" s="1589"/>
      <c r="G1957" s="1589"/>
      <c r="H1957" s="1589"/>
      <c r="I1957" s="1589"/>
      <c r="J1957" s="1590">
        <f t="shared" si="139"/>
        <v>27000</v>
      </c>
      <c r="K1957" s="1589">
        <f t="shared" si="140"/>
        <v>27000</v>
      </c>
      <c r="L1957" s="1589"/>
      <c r="M1957" s="1589"/>
      <c r="N1957" s="1589"/>
      <c r="O1957" s="1591">
        <f t="shared" si="141"/>
        <v>27000</v>
      </c>
      <c r="P1957" s="1592"/>
      <c r="Q1957" s="1626"/>
      <c r="R1957" s="1626"/>
      <c r="S1957" s="1626"/>
      <c r="T1957" s="1626"/>
      <c r="U1957" s="1626"/>
      <c r="V1957" s="1626"/>
      <c r="W1957" s="1626"/>
      <c r="X1957" s="1626"/>
      <c r="Y1957" s="1626"/>
      <c r="Z1957" s="1626"/>
      <c r="AA1957" s="1626"/>
      <c r="AB1957" s="1626"/>
      <c r="AC1957" s="1626"/>
      <c r="AD1957" s="1626"/>
      <c r="AE1957" s="1626"/>
      <c r="AF1957" s="1626"/>
      <c r="AG1957" s="1626"/>
      <c r="AH1957" s="1626"/>
      <c r="AI1957" s="1626"/>
      <c r="AJ1957" s="1626"/>
      <c r="AK1957" s="1626"/>
      <c r="AL1957" s="1626"/>
      <c r="AM1957" s="1626"/>
      <c r="AN1957" s="1626"/>
      <c r="AO1957" s="1626"/>
      <c r="AP1957" s="1626"/>
      <c r="AQ1957" s="1626"/>
      <c r="AR1957" s="1626"/>
      <c r="AS1957" s="1626"/>
      <c r="AT1957" s="1626"/>
      <c r="AU1957" s="1626"/>
      <c r="AV1957" s="1626"/>
      <c r="AW1957" s="1626"/>
      <c r="AX1957" s="1626"/>
      <c r="AY1957" s="1626"/>
      <c r="AZ1957" s="1626"/>
      <c r="BA1957" s="1626"/>
      <c r="BB1957" s="1626"/>
      <c r="BC1957" s="1626"/>
      <c r="BD1957" s="1626"/>
      <c r="BE1957" s="1626"/>
      <c r="BF1957" s="1626"/>
      <c r="BG1957" s="1626"/>
      <c r="BH1957" s="1626"/>
      <c r="BI1957" s="1626"/>
      <c r="BJ1957" s="1626"/>
      <c r="BK1957" s="1626"/>
      <c r="BL1957" s="1626"/>
      <c r="BM1957" s="1626"/>
      <c r="BN1957" s="1626"/>
      <c r="BO1957" s="1626"/>
      <c r="BP1957" s="1626"/>
      <c r="BQ1957" s="1626"/>
      <c r="BR1957" s="1626"/>
      <c r="BS1957" s="1626"/>
      <c r="BT1957" s="1626"/>
      <c r="BU1957" s="1626"/>
      <c r="BV1957" s="1626"/>
      <c r="BW1957" s="1626"/>
      <c r="BX1957" s="1626"/>
      <c r="BY1957" s="1626"/>
      <c r="BZ1957" s="1626"/>
      <c r="CA1957" s="1626"/>
      <c r="CB1957" s="1626"/>
      <c r="CC1957" s="1626"/>
      <c r="CD1957" s="1626"/>
      <c r="CE1957" s="1626"/>
      <c r="CF1957" s="1626"/>
      <c r="CG1957" s="1626"/>
      <c r="CH1957" s="1626"/>
      <c r="CI1957" s="1626"/>
      <c r="CJ1957" s="1626"/>
      <c r="CK1957" s="1626"/>
    </row>
    <row r="1958" spans="1:89" s="1108" customFormat="1" ht="21" customHeight="1" x14ac:dyDescent="0.25">
      <c r="A1958" s="1107"/>
      <c r="B1958" s="1594" t="s">
        <v>223</v>
      </c>
      <c r="C1958" s="1586"/>
      <c r="D1958" s="1587"/>
      <c r="E1958" s="1588"/>
      <c r="F1958" s="1589"/>
      <c r="G1958" s="1589"/>
      <c r="H1958" s="1589"/>
      <c r="I1958" s="1589"/>
      <c r="J1958" s="1590"/>
      <c r="K1958" s="1589"/>
      <c r="L1958" s="1589"/>
      <c r="M1958" s="1589"/>
      <c r="N1958" s="1589"/>
      <c r="O1958" s="1591"/>
      <c r="P1958" s="1592"/>
      <c r="Q1958" s="1626"/>
      <c r="R1958" s="1626"/>
      <c r="S1958" s="1626"/>
      <c r="T1958" s="1626"/>
      <c r="U1958" s="1626"/>
      <c r="V1958" s="1626"/>
      <c r="W1958" s="1626"/>
      <c r="X1958" s="1626"/>
      <c r="Y1958" s="1626"/>
      <c r="Z1958" s="1626"/>
      <c r="AA1958" s="1626"/>
      <c r="AB1958" s="1626"/>
      <c r="AC1958" s="1626"/>
      <c r="AD1958" s="1626"/>
      <c r="AE1958" s="1626"/>
      <c r="AF1958" s="1626"/>
      <c r="AG1958" s="1626"/>
      <c r="AH1958" s="1626"/>
      <c r="AI1958" s="1626"/>
      <c r="AJ1958" s="1626"/>
      <c r="AK1958" s="1626"/>
      <c r="AL1958" s="1626"/>
      <c r="AM1958" s="1626"/>
      <c r="AN1958" s="1626"/>
      <c r="AO1958" s="1626"/>
      <c r="AP1958" s="1626"/>
      <c r="AQ1958" s="1626"/>
      <c r="AR1958" s="1626"/>
      <c r="AS1958" s="1626"/>
      <c r="AT1958" s="1626"/>
      <c r="AU1958" s="1626"/>
      <c r="AV1958" s="1626"/>
      <c r="AW1958" s="1626"/>
      <c r="AX1958" s="1626"/>
      <c r="AY1958" s="1626"/>
      <c r="AZ1958" s="1626"/>
      <c r="BA1958" s="1626"/>
      <c r="BB1958" s="1626"/>
      <c r="BC1958" s="1626"/>
      <c r="BD1958" s="1626"/>
      <c r="BE1958" s="1626"/>
      <c r="BF1958" s="1626"/>
      <c r="BG1958" s="1626"/>
      <c r="BH1958" s="1626"/>
      <c r="BI1958" s="1626"/>
      <c r="BJ1958" s="1626"/>
      <c r="BK1958" s="1626"/>
      <c r="BL1958" s="1626"/>
      <c r="BM1958" s="1626"/>
      <c r="BN1958" s="1626"/>
      <c r="BO1958" s="1626"/>
      <c r="BP1958" s="1626"/>
      <c r="BQ1958" s="1626"/>
      <c r="BR1958" s="1626"/>
      <c r="BS1958" s="1626"/>
      <c r="BT1958" s="1626"/>
      <c r="BU1958" s="1626"/>
      <c r="BV1958" s="1626"/>
      <c r="BW1958" s="1626"/>
      <c r="BX1958" s="1626"/>
      <c r="BY1958" s="1626"/>
      <c r="BZ1958" s="1626"/>
      <c r="CA1958" s="1626"/>
      <c r="CB1958" s="1626"/>
      <c r="CC1958" s="1626"/>
      <c r="CD1958" s="1626"/>
      <c r="CE1958" s="1626"/>
      <c r="CF1958" s="1626"/>
      <c r="CG1958" s="1626"/>
      <c r="CH1958" s="1626"/>
      <c r="CI1958" s="1626"/>
      <c r="CJ1958" s="1626"/>
      <c r="CK1958" s="1626"/>
    </row>
    <row r="1959" spans="1:89" s="1108" customFormat="1" ht="21" customHeight="1" x14ac:dyDescent="0.25">
      <c r="A1959" s="1107"/>
      <c r="B1959" s="1593" t="s">
        <v>873</v>
      </c>
      <c r="C1959" s="1586">
        <v>1</v>
      </c>
      <c r="D1959" s="1587" t="s">
        <v>874</v>
      </c>
      <c r="E1959" s="1588">
        <v>30000</v>
      </c>
      <c r="F1959" s="1589"/>
      <c r="G1959" s="1589"/>
      <c r="H1959" s="1589"/>
      <c r="I1959" s="1589"/>
      <c r="J1959" s="1590">
        <f t="shared" si="139"/>
        <v>30000</v>
      </c>
      <c r="K1959" s="1589">
        <f t="shared" si="140"/>
        <v>30000</v>
      </c>
      <c r="L1959" s="1589"/>
      <c r="M1959" s="1589"/>
      <c r="N1959" s="1589"/>
      <c r="O1959" s="1591">
        <f t="shared" si="141"/>
        <v>30000</v>
      </c>
      <c r="P1959" s="1592"/>
      <c r="Q1959" s="1626"/>
      <c r="R1959" s="1626"/>
      <c r="S1959" s="1626"/>
      <c r="T1959" s="1626"/>
      <c r="U1959" s="1626"/>
      <c r="V1959" s="1626"/>
      <c r="W1959" s="1626"/>
      <c r="X1959" s="1626"/>
      <c r="Y1959" s="1626"/>
      <c r="Z1959" s="1626"/>
      <c r="AA1959" s="1626"/>
      <c r="AB1959" s="1626"/>
      <c r="AC1959" s="1626"/>
      <c r="AD1959" s="1626"/>
      <c r="AE1959" s="1626"/>
      <c r="AF1959" s="1626"/>
      <c r="AG1959" s="1626"/>
      <c r="AH1959" s="1626"/>
      <c r="AI1959" s="1626"/>
      <c r="AJ1959" s="1626"/>
      <c r="AK1959" s="1626"/>
      <c r="AL1959" s="1626"/>
      <c r="AM1959" s="1626"/>
      <c r="AN1959" s="1626"/>
      <c r="AO1959" s="1626"/>
      <c r="AP1959" s="1626"/>
      <c r="AQ1959" s="1626"/>
      <c r="AR1959" s="1626"/>
      <c r="AS1959" s="1626"/>
      <c r="AT1959" s="1626"/>
      <c r="AU1959" s="1626"/>
      <c r="AV1959" s="1626"/>
      <c r="AW1959" s="1626"/>
      <c r="AX1959" s="1626"/>
      <c r="AY1959" s="1626"/>
      <c r="AZ1959" s="1626"/>
      <c r="BA1959" s="1626"/>
      <c r="BB1959" s="1626"/>
      <c r="BC1959" s="1626"/>
      <c r="BD1959" s="1626"/>
      <c r="BE1959" s="1626"/>
      <c r="BF1959" s="1626"/>
      <c r="BG1959" s="1626"/>
      <c r="BH1959" s="1626"/>
      <c r="BI1959" s="1626"/>
      <c r="BJ1959" s="1626"/>
      <c r="BK1959" s="1626"/>
      <c r="BL1959" s="1626"/>
      <c r="BM1959" s="1626"/>
      <c r="BN1959" s="1626"/>
      <c r="BO1959" s="1626"/>
      <c r="BP1959" s="1626"/>
      <c r="BQ1959" s="1626"/>
      <c r="BR1959" s="1626"/>
      <c r="BS1959" s="1626"/>
      <c r="BT1959" s="1626"/>
      <c r="BU1959" s="1626"/>
      <c r="BV1959" s="1626"/>
      <c r="BW1959" s="1626"/>
      <c r="BX1959" s="1626"/>
      <c r="BY1959" s="1626"/>
      <c r="BZ1959" s="1626"/>
      <c r="CA1959" s="1626"/>
      <c r="CB1959" s="1626"/>
      <c r="CC1959" s="1626"/>
      <c r="CD1959" s="1626"/>
      <c r="CE1959" s="1626"/>
      <c r="CF1959" s="1626"/>
      <c r="CG1959" s="1626"/>
      <c r="CH1959" s="1626"/>
      <c r="CI1959" s="1626"/>
      <c r="CJ1959" s="1626"/>
      <c r="CK1959" s="1626"/>
    </row>
    <row r="1960" spans="1:89" s="1108" customFormat="1" ht="21" customHeight="1" x14ac:dyDescent="0.25">
      <c r="A1960" s="1107"/>
      <c r="B1960" s="1593" t="s">
        <v>883</v>
      </c>
      <c r="C1960" s="1586">
        <v>1</v>
      </c>
      <c r="D1960" s="1587" t="s">
        <v>874</v>
      </c>
      <c r="E1960" s="1588">
        <v>76396</v>
      </c>
      <c r="F1960" s="1588"/>
      <c r="G1960" s="1588"/>
      <c r="H1960" s="1588"/>
      <c r="I1960" s="1588"/>
      <c r="J1960" s="1590">
        <f t="shared" si="139"/>
        <v>76396</v>
      </c>
      <c r="K1960" s="1589">
        <f t="shared" si="140"/>
        <v>76396</v>
      </c>
      <c r="L1960" s="1589"/>
      <c r="M1960" s="1589"/>
      <c r="N1960" s="1589"/>
      <c r="O1960" s="1591">
        <f t="shared" si="141"/>
        <v>76396</v>
      </c>
      <c r="P1960" s="1592"/>
      <c r="Q1960" s="1626"/>
      <c r="R1960" s="1626"/>
      <c r="S1960" s="1626"/>
      <c r="T1960" s="1626"/>
      <c r="U1960" s="1626"/>
      <c r="V1960" s="1626"/>
      <c r="W1960" s="1626"/>
      <c r="X1960" s="1626"/>
      <c r="Y1960" s="1626"/>
      <c r="Z1960" s="1626"/>
      <c r="AA1960" s="1626"/>
      <c r="AB1960" s="1626"/>
      <c r="AC1960" s="1626"/>
      <c r="AD1960" s="1626"/>
      <c r="AE1960" s="1626"/>
      <c r="AF1960" s="1626"/>
      <c r="AG1960" s="1626"/>
      <c r="AH1960" s="1626"/>
      <c r="AI1960" s="1626"/>
      <c r="AJ1960" s="1626"/>
      <c r="AK1960" s="1626"/>
      <c r="AL1960" s="1626"/>
      <c r="AM1960" s="1626"/>
      <c r="AN1960" s="1626"/>
      <c r="AO1960" s="1626"/>
      <c r="AP1960" s="1626"/>
      <c r="AQ1960" s="1626"/>
      <c r="AR1960" s="1626"/>
      <c r="AS1960" s="1626"/>
      <c r="AT1960" s="1626"/>
      <c r="AU1960" s="1626"/>
      <c r="AV1960" s="1626"/>
      <c r="AW1960" s="1626"/>
      <c r="AX1960" s="1626"/>
      <c r="AY1960" s="1626"/>
      <c r="AZ1960" s="1626"/>
      <c r="BA1960" s="1626"/>
      <c r="BB1960" s="1626"/>
      <c r="BC1960" s="1626"/>
      <c r="BD1960" s="1626"/>
      <c r="BE1960" s="1626"/>
      <c r="BF1960" s="1626"/>
      <c r="BG1960" s="1626"/>
      <c r="BH1960" s="1626"/>
      <c r="BI1960" s="1626"/>
      <c r="BJ1960" s="1626"/>
      <c r="BK1960" s="1626"/>
      <c r="BL1960" s="1626"/>
      <c r="BM1960" s="1626"/>
      <c r="BN1960" s="1626"/>
      <c r="BO1960" s="1626"/>
      <c r="BP1960" s="1626"/>
      <c r="BQ1960" s="1626"/>
      <c r="BR1960" s="1626"/>
      <c r="BS1960" s="1626"/>
      <c r="BT1960" s="1626"/>
      <c r="BU1960" s="1626"/>
      <c r="BV1960" s="1626"/>
      <c r="BW1960" s="1626"/>
      <c r="BX1960" s="1626"/>
      <c r="BY1960" s="1626"/>
      <c r="BZ1960" s="1626"/>
      <c r="CA1960" s="1626"/>
      <c r="CB1960" s="1626"/>
      <c r="CC1960" s="1626"/>
      <c r="CD1960" s="1626"/>
      <c r="CE1960" s="1626"/>
      <c r="CF1960" s="1626"/>
      <c r="CG1960" s="1626"/>
      <c r="CH1960" s="1626"/>
      <c r="CI1960" s="1626"/>
      <c r="CJ1960" s="1626"/>
      <c r="CK1960" s="1626"/>
    </row>
    <row r="1961" spans="1:89" s="1108" customFormat="1" ht="21" customHeight="1" x14ac:dyDescent="0.25">
      <c r="A1961" s="1107"/>
      <c r="B1961" s="1593" t="s">
        <v>191</v>
      </c>
      <c r="C1961" s="1595">
        <v>1</v>
      </c>
      <c r="D1961" s="1587" t="s">
        <v>874</v>
      </c>
      <c r="E1961" s="1588">
        <v>301646</v>
      </c>
      <c r="F1961" s="1588"/>
      <c r="G1961" s="1588"/>
      <c r="H1961" s="1588"/>
      <c r="I1961" s="1588"/>
      <c r="J1961" s="1590">
        <f t="shared" si="139"/>
        <v>301646</v>
      </c>
      <c r="K1961" s="1589">
        <f t="shared" si="140"/>
        <v>301646</v>
      </c>
      <c r="L1961" s="1589"/>
      <c r="M1961" s="1589"/>
      <c r="N1961" s="1589"/>
      <c r="O1961" s="1591">
        <f t="shared" si="141"/>
        <v>301646</v>
      </c>
      <c r="P1961" s="1592"/>
      <c r="Q1961" s="1626"/>
      <c r="R1961" s="1626"/>
      <c r="S1961" s="1626"/>
      <c r="T1961" s="1626"/>
      <c r="U1961" s="1626"/>
      <c r="V1961" s="1626"/>
      <c r="W1961" s="1626"/>
      <c r="X1961" s="1626"/>
      <c r="Y1961" s="1626"/>
      <c r="Z1961" s="1626"/>
      <c r="AA1961" s="1626"/>
      <c r="AB1961" s="1626"/>
      <c r="AC1961" s="1626"/>
      <c r="AD1961" s="1626"/>
      <c r="AE1961" s="1626"/>
      <c r="AF1961" s="1626"/>
      <c r="AG1961" s="1626"/>
      <c r="AH1961" s="1626"/>
      <c r="AI1961" s="1626"/>
      <c r="AJ1961" s="1626"/>
      <c r="AK1961" s="1626"/>
      <c r="AL1961" s="1626"/>
      <c r="AM1961" s="1626"/>
      <c r="AN1961" s="1626"/>
      <c r="AO1961" s="1626"/>
      <c r="AP1961" s="1626"/>
      <c r="AQ1961" s="1626"/>
      <c r="AR1961" s="1626"/>
      <c r="AS1961" s="1626"/>
      <c r="AT1961" s="1626"/>
      <c r="AU1961" s="1626"/>
      <c r="AV1961" s="1626"/>
      <c r="AW1961" s="1626"/>
      <c r="AX1961" s="1626"/>
      <c r="AY1961" s="1626"/>
      <c r="AZ1961" s="1626"/>
      <c r="BA1961" s="1626"/>
      <c r="BB1961" s="1626"/>
      <c r="BC1961" s="1626"/>
      <c r="BD1961" s="1626"/>
      <c r="BE1961" s="1626"/>
      <c r="BF1961" s="1626"/>
      <c r="BG1961" s="1626"/>
      <c r="BH1961" s="1626"/>
      <c r="BI1961" s="1626"/>
      <c r="BJ1961" s="1626"/>
      <c r="BK1961" s="1626"/>
      <c r="BL1961" s="1626"/>
      <c r="BM1961" s="1626"/>
      <c r="BN1961" s="1626"/>
      <c r="BO1961" s="1626"/>
      <c r="BP1961" s="1626"/>
      <c r="BQ1961" s="1626"/>
      <c r="BR1961" s="1626"/>
      <c r="BS1961" s="1626"/>
      <c r="BT1961" s="1626"/>
      <c r="BU1961" s="1626"/>
      <c r="BV1961" s="1626"/>
      <c r="BW1961" s="1626"/>
      <c r="BX1961" s="1626"/>
      <c r="BY1961" s="1626"/>
      <c r="BZ1961" s="1626"/>
      <c r="CA1961" s="1626"/>
      <c r="CB1961" s="1626"/>
      <c r="CC1961" s="1626"/>
      <c r="CD1961" s="1626"/>
      <c r="CE1961" s="1626"/>
      <c r="CF1961" s="1626"/>
      <c r="CG1961" s="1626"/>
      <c r="CH1961" s="1626"/>
      <c r="CI1961" s="1626"/>
      <c r="CJ1961" s="1626"/>
      <c r="CK1961" s="1626"/>
    </row>
    <row r="1962" spans="1:89" ht="21" customHeight="1" x14ac:dyDescent="0.25">
      <c r="A1962" s="742"/>
      <c r="B1962" s="756"/>
      <c r="C1962" s="713"/>
      <c r="D1962" s="727"/>
      <c r="E1962" s="695"/>
      <c r="F1962" s="714"/>
      <c r="G1962" s="714"/>
      <c r="H1962" s="714"/>
      <c r="I1962" s="714"/>
      <c r="J1962" s="714"/>
      <c r="K1962" s="714"/>
      <c r="L1962" s="714"/>
      <c r="M1962" s="714"/>
      <c r="N1962" s="714"/>
      <c r="O1962" s="753"/>
      <c r="P1962" s="754"/>
    </row>
    <row r="1963" spans="1:89" ht="21" customHeight="1" x14ac:dyDescent="0.25">
      <c r="A1963" s="742" t="s">
        <v>1726</v>
      </c>
      <c r="B1963" s="1115" t="s">
        <v>876</v>
      </c>
      <c r="C1963" s="713">
        <v>1</v>
      </c>
      <c r="D1963" s="727" t="s">
        <v>188</v>
      </c>
      <c r="E1963" s="695"/>
      <c r="F1963" s="714"/>
      <c r="G1963" s="714"/>
      <c r="H1963" s="714"/>
      <c r="I1963" s="714"/>
      <c r="J1963" s="714">
        <f>C1963*E1963</f>
        <v>0</v>
      </c>
      <c r="K1963" s="714">
        <f>I1963+J1963</f>
        <v>0</v>
      </c>
      <c r="L1963" s="714"/>
      <c r="M1963" s="714"/>
      <c r="N1963" s="714"/>
      <c r="O1963" s="753">
        <f>N1963+K1963+H1963</f>
        <v>0</v>
      </c>
      <c r="P1963" s="754"/>
    </row>
    <row r="1964" spans="1:89" ht="21" customHeight="1" x14ac:dyDescent="0.25">
      <c r="A1964" s="742"/>
      <c r="B1964" s="756" t="s">
        <v>1658</v>
      </c>
      <c r="C1964" s="713">
        <v>12</v>
      </c>
      <c r="D1964" s="727" t="s">
        <v>20</v>
      </c>
      <c r="E1964" s="695">
        <v>500</v>
      </c>
      <c r="F1964" s="714"/>
      <c r="G1964" s="714"/>
      <c r="H1964" s="714"/>
      <c r="I1964" s="714"/>
      <c r="J1964" s="714">
        <v>6000</v>
      </c>
      <c r="K1964" s="714">
        <v>6000</v>
      </c>
      <c r="L1964" s="714"/>
      <c r="M1964" s="714"/>
      <c r="N1964" s="714"/>
      <c r="O1964" s="753">
        <v>6000</v>
      </c>
      <c r="P1964" s="754"/>
    </row>
    <row r="1965" spans="1:89" ht="21" customHeight="1" x14ac:dyDescent="0.25">
      <c r="A1965" s="742"/>
      <c r="B1965" s="756" t="s">
        <v>1659</v>
      </c>
      <c r="C1965" s="713">
        <v>12</v>
      </c>
      <c r="D1965" s="727" t="s">
        <v>20</v>
      </c>
      <c r="E1965" s="695">
        <v>400</v>
      </c>
      <c r="F1965" s="714"/>
      <c r="G1965" s="714"/>
      <c r="H1965" s="714"/>
      <c r="I1965" s="714"/>
      <c r="J1965" s="714">
        <v>4800</v>
      </c>
      <c r="K1965" s="714">
        <v>4800</v>
      </c>
      <c r="L1965" s="714"/>
      <c r="M1965" s="714"/>
      <c r="N1965" s="714"/>
      <c r="O1965" s="753">
        <v>4800</v>
      </c>
      <c r="P1965" s="754"/>
    </row>
    <row r="1966" spans="1:89" ht="21" customHeight="1" x14ac:dyDescent="0.25">
      <c r="A1966" s="742"/>
      <c r="B1966" s="756" t="s">
        <v>1660</v>
      </c>
      <c r="C1966" s="713">
        <v>12</v>
      </c>
      <c r="D1966" s="727" t="s">
        <v>20</v>
      </c>
      <c r="E1966" s="695">
        <v>350</v>
      </c>
      <c r="F1966" s="714"/>
      <c r="G1966" s="714"/>
      <c r="H1966" s="714"/>
      <c r="I1966" s="714"/>
      <c r="J1966" s="714">
        <v>4200</v>
      </c>
      <c r="K1966" s="714">
        <v>4200</v>
      </c>
      <c r="L1966" s="714"/>
      <c r="M1966" s="714"/>
      <c r="N1966" s="714"/>
      <c r="O1966" s="753">
        <v>4200</v>
      </c>
      <c r="P1966" s="754"/>
    </row>
    <row r="1967" spans="1:89" ht="21" customHeight="1" x14ac:dyDescent="0.25">
      <c r="A1967" s="742"/>
      <c r="B1967" s="756" t="s">
        <v>1661</v>
      </c>
      <c r="C1967" s="713">
        <v>12</v>
      </c>
      <c r="D1967" s="727" t="s">
        <v>20</v>
      </c>
      <c r="E1967" s="695">
        <v>300</v>
      </c>
      <c r="F1967" s="714"/>
      <c r="G1967" s="714"/>
      <c r="H1967" s="714"/>
      <c r="I1967" s="714"/>
      <c r="J1967" s="714">
        <v>3600</v>
      </c>
      <c r="K1967" s="714">
        <v>3600</v>
      </c>
      <c r="L1967" s="714"/>
      <c r="M1967" s="714"/>
      <c r="N1967" s="714"/>
      <c r="O1967" s="753">
        <v>3600</v>
      </c>
      <c r="P1967" s="754"/>
    </row>
    <row r="1968" spans="1:89" ht="21" customHeight="1" x14ac:dyDescent="0.25">
      <c r="A1968" s="742"/>
      <c r="B1968" s="771" t="s">
        <v>2108</v>
      </c>
      <c r="C1968" s="713">
        <v>252</v>
      </c>
      <c r="D1968" s="727" t="s">
        <v>20</v>
      </c>
      <c r="E1968" s="695">
        <v>300</v>
      </c>
      <c r="F1968" s="714"/>
      <c r="G1968" s="714"/>
      <c r="H1968" s="714"/>
      <c r="I1968" s="714"/>
      <c r="J1968" s="714">
        <v>75600</v>
      </c>
      <c r="K1968" s="714">
        <v>75600</v>
      </c>
      <c r="L1968" s="714"/>
      <c r="M1968" s="714"/>
      <c r="N1968" s="714"/>
      <c r="O1968" s="753">
        <v>75600</v>
      </c>
      <c r="P1968" s="754"/>
    </row>
    <row r="1969" spans="1:89" ht="21" customHeight="1" x14ac:dyDescent="0.25">
      <c r="A1969" s="742"/>
      <c r="B1969" s="756" t="s">
        <v>877</v>
      </c>
      <c r="C1969" s="713"/>
      <c r="D1969" s="727"/>
      <c r="E1969" s="695"/>
      <c r="F1969" s="714"/>
      <c r="G1969" s="714"/>
      <c r="H1969" s="714"/>
      <c r="I1969" s="714"/>
      <c r="J1969" s="714"/>
      <c r="K1969" s="714"/>
      <c r="L1969" s="714"/>
      <c r="M1969" s="714"/>
      <c r="N1969" s="714"/>
      <c r="O1969" s="753"/>
      <c r="P1969" s="754"/>
    </row>
    <row r="1970" spans="1:89" ht="21" customHeight="1" x14ac:dyDescent="0.25">
      <c r="A1970" s="742"/>
      <c r="B1970" s="756" t="s">
        <v>2109</v>
      </c>
      <c r="C1970" s="713">
        <v>162</v>
      </c>
      <c r="D1970" s="727" t="s">
        <v>55</v>
      </c>
      <c r="E1970" s="695">
        <v>300</v>
      </c>
      <c r="F1970" s="714"/>
      <c r="G1970" s="714"/>
      <c r="H1970" s="714"/>
      <c r="I1970" s="714"/>
      <c r="J1970" s="714">
        <v>48600</v>
      </c>
      <c r="K1970" s="714">
        <v>48600</v>
      </c>
      <c r="L1970" s="714"/>
      <c r="M1970" s="714"/>
      <c r="N1970" s="714"/>
      <c r="O1970" s="753">
        <v>48600</v>
      </c>
      <c r="P1970" s="754"/>
    </row>
    <row r="1971" spans="1:89" ht="21" customHeight="1" x14ac:dyDescent="0.25">
      <c r="A1971" s="742"/>
      <c r="B1971" s="756" t="s">
        <v>2110</v>
      </c>
      <c r="C1971" s="713">
        <v>81</v>
      </c>
      <c r="D1971" s="727" t="s">
        <v>55</v>
      </c>
      <c r="E1971" s="695">
        <v>300</v>
      </c>
      <c r="F1971" s="714"/>
      <c r="G1971" s="714"/>
      <c r="H1971" s="714"/>
      <c r="I1971" s="714"/>
      <c r="J1971" s="714">
        <v>24300</v>
      </c>
      <c r="K1971" s="714">
        <v>24300</v>
      </c>
      <c r="L1971" s="714"/>
      <c r="M1971" s="714"/>
      <c r="N1971" s="714"/>
      <c r="O1971" s="753">
        <v>24300</v>
      </c>
      <c r="P1971" s="754"/>
    </row>
    <row r="1972" spans="1:89" ht="21" customHeight="1" x14ac:dyDescent="0.25">
      <c r="A1972" s="742"/>
      <c r="B1972" s="756" t="s">
        <v>27</v>
      </c>
      <c r="C1972" s="713"/>
      <c r="D1972" s="727"/>
      <c r="E1972" s="695"/>
      <c r="F1972" s="714"/>
      <c r="G1972" s="714"/>
      <c r="H1972" s="714"/>
      <c r="I1972" s="714"/>
      <c r="J1972" s="714"/>
      <c r="K1972" s="714"/>
      <c r="L1972" s="714"/>
      <c r="M1972" s="714"/>
      <c r="N1972" s="714"/>
      <c r="O1972" s="753"/>
      <c r="P1972" s="754"/>
    </row>
    <row r="1973" spans="1:89" ht="21" customHeight="1" x14ac:dyDescent="0.25">
      <c r="A1973" s="742"/>
      <c r="B1973" s="756" t="s">
        <v>872</v>
      </c>
      <c r="C1973" s="713">
        <v>1</v>
      </c>
      <c r="D1973" s="727" t="s">
        <v>188</v>
      </c>
      <c r="E1973" s="695">
        <v>30000</v>
      </c>
      <c r="F1973" s="714"/>
      <c r="G1973" s="714"/>
      <c r="H1973" s="714"/>
      <c r="I1973" s="714"/>
      <c r="J1973" s="714">
        <v>30000</v>
      </c>
      <c r="K1973" s="714">
        <v>30000</v>
      </c>
      <c r="L1973" s="714"/>
      <c r="M1973" s="714"/>
      <c r="N1973" s="714"/>
      <c r="O1973" s="753">
        <v>30000</v>
      </c>
      <c r="P1973" s="754"/>
    </row>
    <row r="1974" spans="1:89" ht="21" customHeight="1" x14ac:dyDescent="0.25">
      <c r="A1974" s="742"/>
      <c r="B1974" s="756" t="s">
        <v>223</v>
      </c>
      <c r="C1974" s="713"/>
      <c r="D1974" s="739"/>
      <c r="E1974" s="695"/>
      <c r="F1974" s="714"/>
      <c r="G1974" s="714"/>
      <c r="H1974" s="714"/>
      <c r="I1974" s="714"/>
      <c r="J1974" s="714"/>
      <c r="K1974" s="714"/>
      <c r="L1974" s="714"/>
      <c r="M1974" s="714"/>
      <c r="N1974" s="714"/>
      <c r="O1974" s="753"/>
      <c r="P1974" s="754"/>
    </row>
    <row r="1975" spans="1:89" ht="21" customHeight="1" x14ac:dyDescent="0.25">
      <c r="A1975" s="742"/>
      <c r="B1975" s="756" t="s">
        <v>873</v>
      </c>
      <c r="C1975" s="713">
        <v>1</v>
      </c>
      <c r="D1975" s="739" t="s">
        <v>874</v>
      </c>
      <c r="E1975" s="695">
        <v>35000</v>
      </c>
      <c r="F1975" s="714"/>
      <c r="G1975" s="714"/>
      <c r="H1975" s="714"/>
      <c r="I1975" s="714"/>
      <c r="J1975" s="714">
        <v>35000</v>
      </c>
      <c r="K1975" s="714">
        <v>35000</v>
      </c>
      <c r="L1975" s="714"/>
      <c r="M1975" s="714"/>
      <c r="N1975" s="714"/>
      <c r="O1975" s="753">
        <v>35000</v>
      </c>
      <c r="P1975" s="754"/>
    </row>
    <row r="1976" spans="1:89" ht="21" customHeight="1" x14ac:dyDescent="0.25">
      <c r="A1976" s="742"/>
      <c r="B1976" s="756" t="s">
        <v>875</v>
      </c>
      <c r="C1976" s="713"/>
      <c r="D1976" s="739"/>
      <c r="E1976" s="695"/>
      <c r="F1976" s="714"/>
      <c r="G1976" s="714"/>
      <c r="H1976" s="714"/>
      <c r="I1976" s="714"/>
      <c r="J1976" s="714"/>
      <c r="K1976" s="714"/>
      <c r="L1976" s="714"/>
      <c r="M1976" s="714"/>
      <c r="N1976" s="714"/>
      <c r="O1976" s="753"/>
      <c r="P1976" s="754"/>
    </row>
    <row r="1977" spans="1:89" ht="21" customHeight="1" x14ac:dyDescent="0.25">
      <c r="A1977" s="742"/>
      <c r="B1977" s="756" t="s">
        <v>191</v>
      </c>
      <c r="C1977" s="713">
        <v>1</v>
      </c>
      <c r="D1977" s="739" t="s">
        <v>188</v>
      </c>
      <c r="E1977" s="695">
        <v>136870</v>
      </c>
      <c r="F1977" s="714"/>
      <c r="G1977" s="714"/>
      <c r="H1977" s="714"/>
      <c r="I1977" s="714"/>
      <c r="J1977" s="714">
        <v>136870</v>
      </c>
      <c r="K1977" s="714">
        <v>136870</v>
      </c>
      <c r="L1977" s="714"/>
      <c r="M1977" s="714"/>
      <c r="N1977" s="714"/>
      <c r="O1977" s="753">
        <v>136870</v>
      </c>
      <c r="P1977" s="754"/>
    </row>
    <row r="1978" spans="1:89" ht="17.25" customHeight="1" x14ac:dyDescent="0.25">
      <c r="A1978" s="742"/>
      <c r="B1978" s="756"/>
      <c r="C1978" s="713"/>
      <c r="D1978" s="739"/>
      <c r="E1978" s="695"/>
      <c r="F1978" s="714"/>
      <c r="G1978" s="714"/>
      <c r="H1978" s="714"/>
      <c r="I1978" s="714"/>
      <c r="J1978" s="714"/>
      <c r="K1978" s="714"/>
      <c r="L1978" s="714"/>
      <c r="M1978" s="714"/>
      <c r="N1978" s="714"/>
      <c r="O1978" s="753"/>
      <c r="P1978" s="754"/>
    </row>
    <row r="1979" spans="1:89" ht="17.25" customHeight="1" x14ac:dyDescent="0.25">
      <c r="A1979" s="740"/>
      <c r="B1979" s="741"/>
      <c r="C1979" s="828"/>
      <c r="D1979" s="738"/>
      <c r="E1979" s="705"/>
      <c r="F1979" s="714"/>
      <c r="G1979" s="714"/>
      <c r="H1979" s="714"/>
      <c r="I1979" s="714"/>
      <c r="J1979" s="714"/>
      <c r="K1979" s="714"/>
      <c r="L1979" s="714"/>
      <c r="M1979" s="714"/>
      <c r="N1979" s="714"/>
      <c r="O1979" s="753"/>
      <c r="P1979" s="754"/>
    </row>
    <row r="1980" spans="1:89" s="1108" customFormat="1" ht="17.25" customHeight="1" x14ac:dyDescent="0.25">
      <c r="A1980" s="1596" t="s">
        <v>1729</v>
      </c>
      <c r="B1980" s="1597" t="s">
        <v>1691</v>
      </c>
      <c r="C1980" s="1586">
        <v>1</v>
      </c>
      <c r="D1980" s="1587" t="s">
        <v>188</v>
      </c>
      <c r="E1980" s="1588">
        <v>250000</v>
      </c>
      <c r="F1980" s="1589"/>
      <c r="G1980" s="1589"/>
      <c r="H1980" s="1589"/>
      <c r="I1980" s="1589"/>
      <c r="J1980" s="1590">
        <f t="shared" ref="J1980:J1986" si="142">C1980*E1980</f>
        <v>250000</v>
      </c>
      <c r="K1980" s="1589">
        <f t="shared" ref="K1980:K1986" si="143">I1980+J1980</f>
        <v>250000</v>
      </c>
      <c r="L1980" s="1589"/>
      <c r="M1980" s="1589"/>
      <c r="N1980" s="1589"/>
      <c r="O1980" s="1591">
        <f t="shared" ref="O1980:O1986" si="144">N1980+K1980+H1980</f>
        <v>250000</v>
      </c>
      <c r="P1980" s="1592"/>
      <c r="Q1980" s="1626"/>
      <c r="R1980" s="1626"/>
      <c r="S1980" s="1626"/>
      <c r="T1980" s="1626"/>
      <c r="U1980" s="1626"/>
      <c r="V1980" s="1626"/>
      <c r="W1980" s="1626"/>
      <c r="X1980" s="1626"/>
      <c r="Y1980" s="1626"/>
      <c r="Z1980" s="1626"/>
      <c r="AA1980" s="1626"/>
      <c r="AB1980" s="1626"/>
      <c r="AC1980" s="1626"/>
      <c r="AD1980" s="1626"/>
      <c r="AE1980" s="1626"/>
      <c r="AF1980" s="1626"/>
      <c r="AG1980" s="1626"/>
      <c r="AH1980" s="1626"/>
      <c r="AI1980" s="1626"/>
      <c r="AJ1980" s="1626"/>
      <c r="AK1980" s="1626"/>
      <c r="AL1980" s="1626"/>
      <c r="AM1980" s="1626"/>
      <c r="AN1980" s="1626"/>
      <c r="AO1980" s="1626"/>
      <c r="AP1980" s="1626"/>
      <c r="AQ1980" s="1626"/>
      <c r="AR1980" s="1626"/>
      <c r="AS1980" s="1626"/>
      <c r="AT1980" s="1626"/>
      <c r="AU1980" s="1626"/>
      <c r="AV1980" s="1626"/>
      <c r="AW1980" s="1626"/>
      <c r="AX1980" s="1626"/>
      <c r="AY1980" s="1626"/>
      <c r="AZ1980" s="1626"/>
      <c r="BA1980" s="1626"/>
      <c r="BB1980" s="1626"/>
      <c r="BC1980" s="1626"/>
      <c r="BD1980" s="1626"/>
      <c r="BE1980" s="1626"/>
      <c r="BF1980" s="1626"/>
      <c r="BG1980" s="1626"/>
      <c r="BH1980" s="1626"/>
      <c r="BI1980" s="1626"/>
      <c r="BJ1980" s="1626"/>
      <c r="BK1980" s="1626"/>
      <c r="BL1980" s="1626"/>
      <c r="BM1980" s="1626"/>
      <c r="BN1980" s="1626"/>
      <c r="BO1980" s="1626"/>
      <c r="BP1980" s="1626"/>
      <c r="BQ1980" s="1626"/>
      <c r="BR1980" s="1626"/>
      <c r="BS1980" s="1626"/>
      <c r="BT1980" s="1626"/>
      <c r="BU1980" s="1626"/>
      <c r="BV1980" s="1626"/>
      <c r="BW1980" s="1626"/>
      <c r="BX1980" s="1626"/>
      <c r="BY1980" s="1626"/>
      <c r="BZ1980" s="1626"/>
      <c r="CA1980" s="1626"/>
      <c r="CB1980" s="1626"/>
      <c r="CC1980" s="1626"/>
      <c r="CD1980" s="1626"/>
      <c r="CE1980" s="1626"/>
      <c r="CF1980" s="1626"/>
      <c r="CG1980" s="1626"/>
      <c r="CH1980" s="1626"/>
      <c r="CI1980" s="1626"/>
      <c r="CJ1980" s="1626"/>
      <c r="CK1980" s="1626"/>
    </row>
    <row r="1981" spans="1:89" s="1108" customFormat="1" ht="17.25" customHeight="1" x14ac:dyDescent="0.25">
      <c r="A1981" s="1596" t="s">
        <v>1732</v>
      </c>
      <c r="B1981" s="1598" t="s">
        <v>2111</v>
      </c>
      <c r="C1981" s="1586">
        <v>1</v>
      </c>
      <c r="D1981" s="1587" t="s">
        <v>188</v>
      </c>
      <c r="E1981" s="1588">
        <v>100000</v>
      </c>
      <c r="F1981" s="1589"/>
      <c r="G1981" s="1589"/>
      <c r="H1981" s="1589"/>
      <c r="I1981" s="1589"/>
      <c r="J1981" s="1590">
        <f t="shared" si="142"/>
        <v>100000</v>
      </c>
      <c r="K1981" s="1589">
        <f t="shared" si="143"/>
        <v>100000</v>
      </c>
      <c r="L1981" s="1589"/>
      <c r="M1981" s="1589"/>
      <c r="N1981" s="1589"/>
      <c r="O1981" s="1591">
        <f t="shared" si="144"/>
        <v>100000</v>
      </c>
      <c r="P1981" s="1592"/>
      <c r="Q1981" s="1626"/>
      <c r="R1981" s="1626"/>
      <c r="S1981" s="1626"/>
      <c r="T1981" s="1626"/>
      <c r="U1981" s="1626"/>
      <c r="V1981" s="1626"/>
      <c r="W1981" s="1626"/>
      <c r="X1981" s="1626"/>
      <c r="Y1981" s="1626"/>
      <c r="Z1981" s="1626"/>
      <c r="AA1981" s="1626"/>
      <c r="AB1981" s="1626"/>
      <c r="AC1981" s="1626"/>
      <c r="AD1981" s="1626"/>
      <c r="AE1981" s="1626"/>
      <c r="AF1981" s="1626"/>
      <c r="AG1981" s="1626"/>
      <c r="AH1981" s="1626"/>
      <c r="AI1981" s="1626"/>
      <c r="AJ1981" s="1626"/>
      <c r="AK1981" s="1626"/>
      <c r="AL1981" s="1626"/>
      <c r="AM1981" s="1626"/>
      <c r="AN1981" s="1626"/>
      <c r="AO1981" s="1626"/>
      <c r="AP1981" s="1626"/>
      <c r="AQ1981" s="1626"/>
      <c r="AR1981" s="1626"/>
      <c r="AS1981" s="1626"/>
      <c r="AT1981" s="1626"/>
      <c r="AU1981" s="1626"/>
      <c r="AV1981" s="1626"/>
      <c r="AW1981" s="1626"/>
      <c r="AX1981" s="1626"/>
      <c r="AY1981" s="1626"/>
      <c r="AZ1981" s="1626"/>
      <c r="BA1981" s="1626"/>
      <c r="BB1981" s="1626"/>
      <c r="BC1981" s="1626"/>
      <c r="BD1981" s="1626"/>
      <c r="BE1981" s="1626"/>
      <c r="BF1981" s="1626"/>
      <c r="BG1981" s="1626"/>
      <c r="BH1981" s="1626"/>
      <c r="BI1981" s="1626"/>
      <c r="BJ1981" s="1626"/>
      <c r="BK1981" s="1626"/>
      <c r="BL1981" s="1626"/>
      <c r="BM1981" s="1626"/>
      <c r="BN1981" s="1626"/>
      <c r="BO1981" s="1626"/>
      <c r="BP1981" s="1626"/>
      <c r="BQ1981" s="1626"/>
      <c r="BR1981" s="1626"/>
      <c r="BS1981" s="1626"/>
      <c r="BT1981" s="1626"/>
      <c r="BU1981" s="1626"/>
      <c r="BV1981" s="1626"/>
      <c r="BW1981" s="1626"/>
      <c r="BX1981" s="1626"/>
      <c r="BY1981" s="1626"/>
      <c r="BZ1981" s="1626"/>
      <c r="CA1981" s="1626"/>
      <c r="CB1981" s="1626"/>
      <c r="CC1981" s="1626"/>
      <c r="CD1981" s="1626"/>
      <c r="CE1981" s="1626"/>
      <c r="CF1981" s="1626"/>
      <c r="CG1981" s="1626"/>
      <c r="CH1981" s="1626"/>
      <c r="CI1981" s="1626"/>
      <c r="CJ1981" s="1626"/>
      <c r="CK1981" s="1626"/>
    </row>
    <row r="1982" spans="1:89" s="1108" customFormat="1" ht="17.25" customHeight="1" x14ac:dyDescent="0.25">
      <c r="A1982" s="1596" t="s">
        <v>618</v>
      </c>
      <c r="B1982" s="1598" t="s">
        <v>1693</v>
      </c>
      <c r="C1982" s="1586">
        <v>1</v>
      </c>
      <c r="D1982" s="1587" t="s">
        <v>188</v>
      </c>
      <c r="E1982" s="1588">
        <v>100000</v>
      </c>
      <c r="F1982" s="1589"/>
      <c r="G1982" s="1589"/>
      <c r="H1982" s="1589"/>
      <c r="I1982" s="1589"/>
      <c r="J1982" s="1590">
        <f t="shared" si="142"/>
        <v>100000</v>
      </c>
      <c r="K1982" s="1589">
        <f t="shared" si="143"/>
        <v>100000</v>
      </c>
      <c r="L1982" s="1589"/>
      <c r="M1982" s="1589"/>
      <c r="N1982" s="1589"/>
      <c r="O1982" s="1591">
        <f t="shared" si="144"/>
        <v>100000</v>
      </c>
      <c r="P1982" s="1592"/>
      <c r="Q1982" s="1626"/>
      <c r="R1982" s="1626"/>
      <c r="S1982" s="1626"/>
      <c r="T1982" s="1626"/>
      <c r="U1982" s="1626"/>
      <c r="V1982" s="1626"/>
      <c r="W1982" s="1626"/>
      <c r="X1982" s="1626"/>
      <c r="Y1982" s="1626"/>
      <c r="Z1982" s="1626"/>
      <c r="AA1982" s="1626"/>
      <c r="AB1982" s="1626"/>
      <c r="AC1982" s="1626"/>
      <c r="AD1982" s="1626"/>
      <c r="AE1982" s="1626"/>
      <c r="AF1982" s="1626"/>
      <c r="AG1982" s="1626"/>
      <c r="AH1982" s="1626"/>
      <c r="AI1982" s="1626"/>
      <c r="AJ1982" s="1626"/>
      <c r="AK1982" s="1626"/>
      <c r="AL1982" s="1626"/>
      <c r="AM1982" s="1626"/>
      <c r="AN1982" s="1626"/>
      <c r="AO1982" s="1626"/>
      <c r="AP1982" s="1626"/>
      <c r="AQ1982" s="1626"/>
      <c r="AR1982" s="1626"/>
      <c r="AS1982" s="1626"/>
      <c r="AT1982" s="1626"/>
      <c r="AU1982" s="1626"/>
      <c r="AV1982" s="1626"/>
      <c r="AW1982" s="1626"/>
      <c r="AX1982" s="1626"/>
      <c r="AY1982" s="1626"/>
      <c r="AZ1982" s="1626"/>
      <c r="BA1982" s="1626"/>
      <c r="BB1982" s="1626"/>
      <c r="BC1982" s="1626"/>
      <c r="BD1982" s="1626"/>
      <c r="BE1982" s="1626"/>
      <c r="BF1982" s="1626"/>
      <c r="BG1982" s="1626"/>
      <c r="BH1982" s="1626"/>
      <c r="BI1982" s="1626"/>
      <c r="BJ1982" s="1626"/>
      <c r="BK1982" s="1626"/>
      <c r="BL1982" s="1626"/>
      <c r="BM1982" s="1626"/>
      <c r="BN1982" s="1626"/>
      <c r="BO1982" s="1626"/>
      <c r="BP1982" s="1626"/>
      <c r="BQ1982" s="1626"/>
      <c r="BR1982" s="1626"/>
      <c r="BS1982" s="1626"/>
      <c r="BT1982" s="1626"/>
      <c r="BU1982" s="1626"/>
      <c r="BV1982" s="1626"/>
      <c r="BW1982" s="1626"/>
      <c r="BX1982" s="1626"/>
      <c r="BY1982" s="1626"/>
      <c r="BZ1982" s="1626"/>
      <c r="CA1982" s="1626"/>
      <c r="CB1982" s="1626"/>
      <c r="CC1982" s="1626"/>
      <c r="CD1982" s="1626"/>
      <c r="CE1982" s="1626"/>
      <c r="CF1982" s="1626"/>
      <c r="CG1982" s="1626"/>
      <c r="CH1982" s="1626"/>
      <c r="CI1982" s="1626"/>
      <c r="CJ1982" s="1626"/>
      <c r="CK1982" s="1626"/>
    </row>
    <row r="1983" spans="1:89" s="1108" customFormat="1" ht="17.25" customHeight="1" x14ac:dyDescent="0.25">
      <c r="A1983" s="1596" t="s">
        <v>1746</v>
      </c>
      <c r="B1983" s="1598" t="s">
        <v>1694</v>
      </c>
      <c r="C1983" s="1586"/>
      <c r="D1983" s="1587"/>
      <c r="E1983" s="1588"/>
      <c r="F1983" s="1589"/>
      <c r="G1983" s="1589"/>
      <c r="H1983" s="1589"/>
      <c r="I1983" s="1589"/>
      <c r="J1983" s="1590"/>
      <c r="K1983" s="1589"/>
      <c r="L1983" s="1589"/>
      <c r="M1983" s="1589"/>
      <c r="N1983" s="1589"/>
      <c r="O1983" s="1591"/>
      <c r="P1983" s="1592"/>
      <c r="Q1983" s="1626"/>
      <c r="R1983" s="1626"/>
      <c r="S1983" s="1626"/>
      <c r="T1983" s="1626"/>
      <c r="U1983" s="1626"/>
      <c r="V1983" s="1626"/>
      <c r="W1983" s="1626"/>
      <c r="X1983" s="1626"/>
      <c r="Y1983" s="1626"/>
      <c r="Z1983" s="1626"/>
      <c r="AA1983" s="1626"/>
      <c r="AB1983" s="1626"/>
      <c r="AC1983" s="1626"/>
      <c r="AD1983" s="1626"/>
      <c r="AE1983" s="1626"/>
      <c r="AF1983" s="1626"/>
      <c r="AG1983" s="1626"/>
      <c r="AH1983" s="1626"/>
      <c r="AI1983" s="1626"/>
      <c r="AJ1983" s="1626"/>
      <c r="AK1983" s="1626"/>
      <c r="AL1983" s="1626"/>
      <c r="AM1983" s="1626"/>
      <c r="AN1983" s="1626"/>
      <c r="AO1983" s="1626"/>
      <c r="AP1983" s="1626"/>
      <c r="AQ1983" s="1626"/>
      <c r="AR1983" s="1626"/>
      <c r="AS1983" s="1626"/>
      <c r="AT1983" s="1626"/>
      <c r="AU1983" s="1626"/>
      <c r="AV1983" s="1626"/>
      <c r="AW1983" s="1626"/>
      <c r="AX1983" s="1626"/>
      <c r="AY1983" s="1626"/>
      <c r="AZ1983" s="1626"/>
      <c r="BA1983" s="1626"/>
      <c r="BB1983" s="1626"/>
      <c r="BC1983" s="1626"/>
      <c r="BD1983" s="1626"/>
      <c r="BE1983" s="1626"/>
      <c r="BF1983" s="1626"/>
      <c r="BG1983" s="1626"/>
      <c r="BH1983" s="1626"/>
      <c r="BI1983" s="1626"/>
      <c r="BJ1983" s="1626"/>
      <c r="BK1983" s="1626"/>
      <c r="BL1983" s="1626"/>
      <c r="BM1983" s="1626"/>
      <c r="BN1983" s="1626"/>
      <c r="BO1983" s="1626"/>
      <c r="BP1983" s="1626"/>
      <c r="BQ1983" s="1626"/>
      <c r="BR1983" s="1626"/>
      <c r="BS1983" s="1626"/>
      <c r="BT1983" s="1626"/>
      <c r="BU1983" s="1626"/>
      <c r="BV1983" s="1626"/>
      <c r="BW1983" s="1626"/>
      <c r="BX1983" s="1626"/>
      <c r="BY1983" s="1626"/>
      <c r="BZ1983" s="1626"/>
      <c r="CA1983" s="1626"/>
      <c r="CB1983" s="1626"/>
      <c r="CC1983" s="1626"/>
      <c r="CD1983" s="1626"/>
      <c r="CE1983" s="1626"/>
      <c r="CF1983" s="1626"/>
      <c r="CG1983" s="1626"/>
      <c r="CH1983" s="1626"/>
      <c r="CI1983" s="1626"/>
      <c r="CJ1983" s="1626"/>
      <c r="CK1983" s="1626"/>
    </row>
    <row r="1984" spans="1:89" s="1108" customFormat="1" ht="17.25" customHeight="1" x14ac:dyDescent="0.25">
      <c r="A1984" s="1596" t="s">
        <v>1747</v>
      </c>
      <c r="B1984" s="1598" t="s">
        <v>2112</v>
      </c>
      <c r="C1984" s="1586">
        <v>1</v>
      </c>
      <c r="D1984" s="1587" t="s">
        <v>188</v>
      </c>
      <c r="E1984" s="1588">
        <v>450000</v>
      </c>
      <c r="F1984" s="1589"/>
      <c r="G1984" s="1589"/>
      <c r="H1984" s="1589"/>
      <c r="I1984" s="1589"/>
      <c r="J1984" s="1590">
        <f t="shared" si="142"/>
        <v>450000</v>
      </c>
      <c r="K1984" s="1589">
        <f t="shared" si="143"/>
        <v>450000</v>
      </c>
      <c r="L1984" s="1589"/>
      <c r="M1984" s="1589"/>
      <c r="N1984" s="1589"/>
      <c r="O1984" s="1591">
        <f t="shared" si="144"/>
        <v>450000</v>
      </c>
      <c r="P1984" s="1592"/>
      <c r="Q1984" s="1626"/>
      <c r="R1984" s="1626"/>
      <c r="S1984" s="1626"/>
      <c r="T1984" s="1626"/>
      <c r="U1984" s="1626"/>
      <c r="V1984" s="1626"/>
      <c r="W1984" s="1626"/>
      <c r="X1984" s="1626"/>
      <c r="Y1984" s="1626"/>
      <c r="Z1984" s="1626"/>
      <c r="AA1984" s="1626"/>
      <c r="AB1984" s="1626"/>
      <c r="AC1984" s="1626"/>
      <c r="AD1984" s="1626"/>
      <c r="AE1984" s="1626"/>
      <c r="AF1984" s="1626"/>
      <c r="AG1984" s="1626"/>
      <c r="AH1984" s="1626"/>
      <c r="AI1984" s="1626"/>
      <c r="AJ1984" s="1626"/>
      <c r="AK1984" s="1626"/>
      <c r="AL1984" s="1626"/>
      <c r="AM1984" s="1626"/>
      <c r="AN1984" s="1626"/>
      <c r="AO1984" s="1626"/>
      <c r="AP1984" s="1626"/>
      <c r="AQ1984" s="1626"/>
      <c r="AR1984" s="1626"/>
      <c r="AS1984" s="1626"/>
      <c r="AT1984" s="1626"/>
      <c r="AU1984" s="1626"/>
      <c r="AV1984" s="1626"/>
      <c r="AW1984" s="1626"/>
      <c r="AX1984" s="1626"/>
      <c r="AY1984" s="1626"/>
      <c r="AZ1984" s="1626"/>
      <c r="BA1984" s="1626"/>
      <c r="BB1984" s="1626"/>
      <c r="BC1984" s="1626"/>
      <c r="BD1984" s="1626"/>
      <c r="BE1984" s="1626"/>
      <c r="BF1984" s="1626"/>
      <c r="BG1984" s="1626"/>
      <c r="BH1984" s="1626"/>
      <c r="BI1984" s="1626"/>
      <c r="BJ1984" s="1626"/>
      <c r="BK1984" s="1626"/>
      <c r="BL1984" s="1626"/>
      <c r="BM1984" s="1626"/>
      <c r="BN1984" s="1626"/>
      <c r="BO1984" s="1626"/>
      <c r="BP1984" s="1626"/>
      <c r="BQ1984" s="1626"/>
      <c r="BR1984" s="1626"/>
      <c r="BS1984" s="1626"/>
      <c r="BT1984" s="1626"/>
      <c r="BU1984" s="1626"/>
      <c r="BV1984" s="1626"/>
      <c r="BW1984" s="1626"/>
      <c r="BX1984" s="1626"/>
      <c r="BY1984" s="1626"/>
      <c r="BZ1984" s="1626"/>
      <c r="CA1984" s="1626"/>
      <c r="CB1984" s="1626"/>
      <c r="CC1984" s="1626"/>
      <c r="CD1984" s="1626"/>
      <c r="CE1984" s="1626"/>
      <c r="CF1984" s="1626"/>
      <c r="CG1984" s="1626"/>
      <c r="CH1984" s="1626"/>
      <c r="CI1984" s="1626"/>
      <c r="CJ1984" s="1626"/>
      <c r="CK1984" s="1626"/>
    </row>
    <row r="1985" spans="1:89" s="1108" customFormat="1" ht="17.25" customHeight="1" x14ac:dyDescent="0.25">
      <c r="A1985" s="1596" t="s">
        <v>2139</v>
      </c>
      <c r="B1985" s="1597" t="s">
        <v>1699</v>
      </c>
      <c r="C1985" s="1586">
        <v>1</v>
      </c>
      <c r="D1985" s="1587" t="s">
        <v>188</v>
      </c>
      <c r="E1985" s="1588">
        <v>150000</v>
      </c>
      <c r="F1985" s="1589"/>
      <c r="G1985" s="1589"/>
      <c r="H1985" s="1589"/>
      <c r="I1985" s="1589"/>
      <c r="J1985" s="1590">
        <f t="shared" si="142"/>
        <v>150000</v>
      </c>
      <c r="K1985" s="1589">
        <f t="shared" si="143"/>
        <v>150000</v>
      </c>
      <c r="L1985" s="1589"/>
      <c r="M1985" s="1589"/>
      <c r="N1985" s="1589"/>
      <c r="O1985" s="1591">
        <f t="shared" si="144"/>
        <v>150000</v>
      </c>
      <c r="P1985" s="1592"/>
      <c r="Q1985" s="1626"/>
      <c r="R1985" s="1626"/>
      <c r="S1985" s="1626"/>
      <c r="T1985" s="1626"/>
      <c r="U1985" s="1626"/>
      <c r="V1985" s="1626"/>
      <c r="W1985" s="1626"/>
      <c r="X1985" s="1626"/>
      <c r="Y1985" s="1626"/>
      <c r="Z1985" s="1626"/>
      <c r="AA1985" s="1626"/>
      <c r="AB1985" s="1626"/>
      <c r="AC1985" s="1626"/>
      <c r="AD1985" s="1626"/>
      <c r="AE1985" s="1626"/>
      <c r="AF1985" s="1626"/>
      <c r="AG1985" s="1626"/>
      <c r="AH1985" s="1626"/>
      <c r="AI1985" s="1626"/>
      <c r="AJ1985" s="1626"/>
      <c r="AK1985" s="1626"/>
      <c r="AL1985" s="1626"/>
      <c r="AM1985" s="1626"/>
      <c r="AN1985" s="1626"/>
      <c r="AO1985" s="1626"/>
      <c r="AP1985" s="1626"/>
      <c r="AQ1985" s="1626"/>
      <c r="AR1985" s="1626"/>
      <c r="AS1985" s="1626"/>
      <c r="AT1985" s="1626"/>
      <c r="AU1985" s="1626"/>
      <c r="AV1985" s="1626"/>
      <c r="AW1985" s="1626"/>
      <c r="AX1985" s="1626"/>
      <c r="AY1985" s="1626"/>
      <c r="AZ1985" s="1626"/>
      <c r="BA1985" s="1626"/>
      <c r="BB1985" s="1626"/>
      <c r="BC1985" s="1626"/>
      <c r="BD1985" s="1626"/>
      <c r="BE1985" s="1626"/>
      <c r="BF1985" s="1626"/>
      <c r="BG1985" s="1626"/>
      <c r="BH1985" s="1626"/>
      <c r="BI1985" s="1626"/>
      <c r="BJ1985" s="1626"/>
      <c r="BK1985" s="1626"/>
      <c r="BL1985" s="1626"/>
      <c r="BM1985" s="1626"/>
      <c r="BN1985" s="1626"/>
      <c r="BO1985" s="1626"/>
      <c r="BP1985" s="1626"/>
      <c r="BQ1985" s="1626"/>
      <c r="BR1985" s="1626"/>
      <c r="BS1985" s="1626"/>
      <c r="BT1985" s="1626"/>
      <c r="BU1985" s="1626"/>
      <c r="BV1985" s="1626"/>
      <c r="BW1985" s="1626"/>
      <c r="BX1985" s="1626"/>
      <c r="BY1985" s="1626"/>
      <c r="BZ1985" s="1626"/>
      <c r="CA1985" s="1626"/>
      <c r="CB1985" s="1626"/>
      <c r="CC1985" s="1626"/>
      <c r="CD1985" s="1626"/>
      <c r="CE1985" s="1626"/>
      <c r="CF1985" s="1626"/>
      <c r="CG1985" s="1626"/>
      <c r="CH1985" s="1626"/>
      <c r="CI1985" s="1626"/>
      <c r="CJ1985" s="1626"/>
      <c r="CK1985" s="1626"/>
    </row>
    <row r="1986" spans="1:89" s="1108" customFormat="1" ht="43.15" customHeight="1" x14ac:dyDescent="0.25">
      <c r="A1986" s="1596" t="s">
        <v>2140</v>
      </c>
      <c r="B1986" s="1599" t="s">
        <v>1580</v>
      </c>
      <c r="C1986" s="1586">
        <v>1</v>
      </c>
      <c r="D1986" s="1600" t="s">
        <v>895</v>
      </c>
      <c r="E1986" s="1601">
        <v>100000</v>
      </c>
      <c r="F1986" s="1589"/>
      <c r="G1986" s="1589"/>
      <c r="H1986" s="1589"/>
      <c r="I1986" s="1589"/>
      <c r="J1986" s="1590">
        <f t="shared" si="142"/>
        <v>100000</v>
      </c>
      <c r="K1986" s="1589">
        <f t="shared" si="143"/>
        <v>100000</v>
      </c>
      <c r="L1986" s="1589"/>
      <c r="M1986" s="1589"/>
      <c r="N1986" s="1589"/>
      <c r="O1986" s="1591">
        <f t="shared" si="144"/>
        <v>100000</v>
      </c>
      <c r="P1986" s="1592"/>
      <c r="Q1986" s="1626"/>
      <c r="R1986" s="1626"/>
      <c r="S1986" s="1626"/>
      <c r="T1986" s="1626"/>
      <c r="U1986" s="1626"/>
      <c r="V1986" s="1626"/>
      <c r="W1986" s="1626"/>
      <c r="X1986" s="1626"/>
      <c r="Y1986" s="1626"/>
      <c r="Z1986" s="1626"/>
      <c r="AA1986" s="1626"/>
      <c r="AB1986" s="1626"/>
      <c r="AC1986" s="1626"/>
      <c r="AD1986" s="1626"/>
      <c r="AE1986" s="1626"/>
      <c r="AF1986" s="1626"/>
      <c r="AG1986" s="1626"/>
      <c r="AH1986" s="1626"/>
      <c r="AI1986" s="1626"/>
      <c r="AJ1986" s="1626"/>
      <c r="AK1986" s="1626"/>
      <c r="AL1986" s="1626"/>
      <c r="AM1986" s="1626"/>
      <c r="AN1986" s="1626"/>
      <c r="AO1986" s="1626"/>
      <c r="AP1986" s="1626"/>
      <c r="AQ1986" s="1626"/>
      <c r="AR1986" s="1626"/>
      <c r="AS1986" s="1626"/>
      <c r="AT1986" s="1626"/>
      <c r="AU1986" s="1626"/>
      <c r="AV1986" s="1626"/>
      <c r="AW1986" s="1626"/>
      <c r="AX1986" s="1626"/>
      <c r="AY1986" s="1626"/>
      <c r="AZ1986" s="1626"/>
      <c r="BA1986" s="1626"/>
      <c r="BB1986" s="1626"/>
      <c r="BC1986" s="1626"/>
      <c r="BD1986" s="1626"/>
      <c r="BE1986" s="1626"/>
      <c r="BF1986" s="1626"/>
      <c r="BG1986" s="1626"/>
      <c r="BH1986" s="1626"/>
      <c r="BI1986" s="1626"/>
      <c r="BJ1986" s="1626"/>
      <c r="BK1986" s="1626"/>
      <c r="BL1986" s="1626"/>
      <c r="BM1986" s="1626"/>
      <c r="BN1986" s="1626"/>
      <c r="BO1986" s="1626"/>
      <c r="BP1986" s="1626"/>
      <c r="BQ1986" s="1626"/>
      <c r="BR1986" s="1626"/>
      <c r="BS1986" s="1626"/>
      <c r="BT1986" s="1626"/>
      <c r="BU1986" s="1626"/>
      <c r="BV1986" s="1626"/>
      <c r="BW1986" s="1626"/>
      <c r="BX1986" s="1626"/>
      <c r="BY1986" s="1626"/>
      <c r="BZ1986" s="1626"/>
      <c r="CA1986" s="1626"/>
      <c r="CB1986" s="1626"/>
      <c r="CC1986" s="1626"/>
      <c r="CD1986" s="1626"/>
      <c r="CE1986" s="1626"/>
      <c r="CF1986" s="1626"/>
      <c r="CG1986" s="1626"/>
      <c r="CH1986" s="1626"/>
      <c r="CI1986" s="1626"/>
      <c r="CJ1986" s="1626"/>
      <c r="CK1986" s="1626"/>
    </row>
    <row r="1987" spans="1:89" ht="17.25" customHeight="1" x14ac:dyDescent="0.25">
      <c r="A1987" s="742"/>
      <c r="B1987" s="924"/>
      <c r="C1987" s="699"/>
      <c r="D1987" s="725"/>
      <c r="E1987" s="700"/>
      <c r="F1987" s="714"/>
      <c r="G1987" s="714"/>
      <c r="H1987" s="714"/>
      <c r="I1987" s="714"/>
      <c r="J1987" s="714"/>
      <c r="K1987" s="714"/>
      <c r="L1987" s="714"/>
      <c r="M1987" s="714"/>
      <c r="N1987" s="714"/>
      <c r="O1987" s="753"/>
      <c r="P1987" s="754"/>
    </row>
    <row r="1988" spans="1:89" ht="17.25" customHeight="1" x14ac:dyDescent="0.25">
      <c r="A1988" s="742" t="s">
        <v>2141</v>
      </c>
      <c r="B1988" s="1116" t="s">
        <v>882</v>
      </c>
      <c r="C1988" s="699">
        <v>1</v>
      </c>
      <c r="D1988" s="727" t="s">
        <v>188</v>
      </c>
      <c r="E1988" s="695"/>
      <c r="F1988" s="714"/>
      <c r="G1988" s="714"/>
      <c r="H1988" s="714"/>
      <c r="I1988" s="714"/>
      <c r="J1988" s="714">
        <f t="shared" ref="J1988:J1993" si="145">C1988*E1988</f>
        <v>0</v>
      </c>
      <c r="K1988" s="714">
        <f t="shared" ref="K1988:K1993" si="146">I1988+J1988</f>
        <v>0</v>
      </c>
      <c r="L1988" s="714"/>
      <c r="M1988" s="714"/>
      <c r="N1988" s="714"/>
      <c r="O1988" s="753">
        <f t="shared" ref="O1988:O1993" si="147">N1988+K1988+H1988</f>
        <v>0</v>
      </c>
      <c r="P1988" s="754"/>
    </row>
    <row r="1989" spans="1:89" s="1108" customFormat="1" ht="17.25" customHeight="1" x14ac:dyDescent="0.25">
      <c r="A1989" s="1107"/>
      <c r="B1989" s="1585" t="s">
        <v>1658</v>
      </c>
      <c r="C1989" s="1595">
        <v>12</v>
      </c>
      <c r="D1989" s="1587" t="s">
        <v>20</v>
      </c>
      <c r="E1989" s="1588">
        <v>500</v>
      </c>
      <c r="F1989" s="1589"/>
      <c r="G1989" s="1589"/>
      <c r="H1989" s="1589"/>
      <c r="I1989" s="1589"/>
      <c r="J1989" s="1590">
        <f t="shared" si="145"/>
        <v>6000</v>
      </c>
      <c r="K1989" s="1589">
        <f t="shared" si="146"/>
        <v>6000</v>
      </c>
      <c r="L1989" s="1589"/>
      <c r="M1989" s="1589"/>
      <c r="N1989" s="1589"/>
      <c r="O1989" s="1591">
        <f t="shared" si="147"/>
        <v>6000</v>
      </c>
      <c r="P1989" s="1592"/>
      <c r="Q1989" s="1626"/>
      <c r="R1989" s="1626"/>
      <c r="S1989" s="1626"/>
      <c r="T1989" s="1626"/>
      <c r="U1989" s="1626"/>
      <c r="V1989" s="1626"/>
      <c r="W1989" s="1626"/>
      <c r="X1989" s="1626"/>
      <c r="Y1989" s="1626"/>
      <c r="Z1989" s="1626"/>
      <c r="AA1989" s="1626"/>
      <c r="AB1989" s="1626"/>
      <c r="AC1989" s="1626"/>
      <c r="AD1989" s="1626"/>
      <c r="AE1989" s="1626"/>
      <c r="AF1989" s="1626"/>
      <c r="AG1989" s="1626"/>
      <c r="AH1989" s="1626"/>
      <c r="AI1989" s="1626"/>
      <c r="AJ1989" s="1626"/>
      <c r="AK1989" s="1626"/>
      <c r="AL1989" s="1626"/>
      <c r="AM1989" s="1626"/>
      <c r="AN1989" s="1626"/>
      <c r="AO1989" s="1626"/>
      <c r="AP1989" s="1626"/>
      <c r="AQ1989" s="1626"/>
      <c r="AR1989" s="1626"/>
      <c r="AS1989" s="1626"/>
      <c r="AT1989" s="1626"/>
      <c r="AU1989" s="1626"/>
      <c r="AV1989" s="1626"/>
      <c r="AW1989" s="1626"/>
      <c r="AX1989" s="1626"/>
      <c r="AY1989" s="1626"/>
      <c r="AZ1989" s="1626"/>
      <c r="BA1989" s="1626"/>
      <c r="BB1989" s="1626"/>
      <c r="BC1989" s="1626"/>
      <c r="BD1989" s="1626"/>
      <c r="BE1989" s="1626"/>
      <c r="BF1989" s="1626"/>
      <c r="BG1989" s="1626"/>
      <c r="BH1989" s="1626"/>
      <c r="BI1989" s="1626"/>
      <c r="BJ1989" s="1626"/>
      <c r="BK1989" s="1626"/>
      <c r="BL1989" s="1626"/>
      <c r="BM1989" s="1626"/>
      <c r="BN1989" s="1626"/>
      <c r="BO1989" s="1626"/>
      <c r="BP1989" s="1626"/>
      <c r="BQ1989" s="1626"/>
      <c r="BR1989" s="1626"/>
      <c r="BS1989" s="1626"/>
      <c r="BT1989" s="1626"/>
      <c r="BU1989" s="1626"/>
      <c r="BV1989" s="1626"/>
      <c r="BW1989" s="1626"/>
      <c r="BX1989" s="1626"/>
      <c r="BY1989" s="1626"/>
      <c r="BZ1989" s="1626"/>
      <c r="CA1989" s="1626"/>
      <c r="CB1989" s="1626"/>
      <c r="CC1989" s="1626"/>
      <c r="CD1989" s="1626"/>
      <c r="CE1989" s="1626"/>
      <c r="CF1989" s="1626"/>
      <c r="CG1989" s="1626"/>
      <c r="CH1989" s="1626"/>
      <c r="CI1989" s="1626"/>
      <c r="CJ1989" s="1626"/>
      <c r="CK1989" s="1626"/>
    </row>
    <row r="1990" spans="1:89" s="1108" customFormat="1" ht="17.25" customHeight="1" x14ac:dyDescent="0.25">
      <c r="A1990" s="1107"/>
      <c r="B1990" s="1585" t="s">
        <v>1659</v>
      </c>
      <c r="C1990" s="1595">
        <v>12</v>
      </c>
      <c r="D1990" s="1587" t="s">
        <v>20</v>
      </c>
      <c r="E1990" s="1588">
        <v>400</v>
      </c>
      <c r="F1990" s="1589"/>
      <c r="G1990" s="1589"/>
      <c r="H1990" s="1589"/>
      <c r="I1990" s="1589"/>
      <c r="J1990" s="1590">
        <f t="shared" si="145"/>
        <v>4800</v>
      </c>
      <c r="K1990" s="1589">
        <f t="shared" si="146"/>
        <v>4800</v>
      </c>
      <c r="L1990" s="1589"/>
      <c r="M1990" s="1589"/>
      <c r="N1990" s="1589"/>
      <c r="O1990" s="1591">
        <f t="shared" si="147"/>
        <v>4800</v>
      </c>
      <c r="P1990" s="1592"/>
      <c r="Q1990" s="1626"/>
      <c r="R1990" s="1626"/>
      <c r="S1990" s="1626"/>
      <c r="T1990" s="1626"/>
      <c r="U1990" s="1626"/>
      <c r="V1990" s="1626"/>
      <c r="W1990" s="1626"/>
      <c r="X1990" s="1626"/>
      <c r="Y1990" s="1626"/>
      <c r="Z1990" s="1626"/>
      <c r="AA1990" s="1626"/>
      <c r="AB1990" s="1626"/>
      <c r="AC1990" s="1626"/>
      <c r="AD1990" s="1626"/>
      <c r="AE1990" s="1626"/>
      <c r="AF1990" s="1626"/>
      <c r="AG1990" s="1626"/>
      <c r="AH1990" s="1626"/>
      <c r="AI1990" s="1626"/>
      <c r="AJ1990" s="1626"/>
      <c r="AK1990" s="1626"/>
      <c r="AL1990" s="1626"/>
      <c r="AM1990" s="1626"/>
      <c r="AN1990" s="1626"/>
      <c r="AO1990" s="1626"/>
      <c r="AP1990" s="1626"/>
      <c r="AQ1990" s="1626"/>
      <c r="AR1990" s="1626"/>
      <c r="AS1990" s="1626"/>
      <c r="AT1990" s="1626"/>
      <c r="AU1990" s="1626"/>
      <c r="AV1990" s="1626"/>
      <c r="AW1990" s="1626"/>
      <c r="AX1990" s="1626"/>
      <c r="AY1990" s="1626"/>
      <c r="AZ1990" s="1626"/>
      <c r="BA1990" s="1626"/>
      <c r="BB1990" s="1626"/>
      <c r="BC1990" s="1626"/>
      <c r="BD1990" s="1626"/>
      <c r="BE1990" s="1626"/>
      <c r="BF1990" s="1626"/>
      <c r="BG1990" s="1626"/>
      <c r="BH1990" s="1626"/>
      <c r="BI1990" s="1626"/>
      <c r="BJ1990" s="1626"/>
      <c r="BK1990" s="1626"/>
      <c r="BL1990" s="1626"/>
      <c r="BM1990" s="1626"/>
      <c r="BN1990" s="1626"/>
      <c r="BO1990" s="1626"/>
      <c r="BP1990" s="1626"/>
      <c r="BQ1990" s="1626"/>
      <c r="BR1990" s="1626"/>
      <c r="BS1990" s="1626"/>
      <c r="BT1990" s="1626"/>
      <c r="BU1990" s="1626"/>
      <c r="BV1990" s="1626"/>
      <c r="BW1990" s="1626"/>
      <c r="BX1990" s="1626"/>
      <c r="BY1990" s="1626"/>
      <c r="BZ1990" s="1626"/>
      <c r="CA1990" s="1626"/>
      <c r="CB1990" s="1626"/>
      <c r="CC1990" s="1626"/>
      <c r="CD1990" s="1626"/>
      <c r="CE1990" s="1626"/>
      <c r="CF1990" s="1626"/>
      <c r="CG1990" s="1626"/>
      <c r="CH1990" s="1626"/>
      <c r="CI1990" s="1626"/>
      <c r="CJ1990" s="1626"/>
      <c r="CK1990" s="1626"/>
    </row>
    <row r="1991" spans="1:89" s="1108" customFormat="1" ht="17.25" customHeight="1" x14ac:dyDescent="0.25">
      <c r="A1991" s="1107">
        <v>2</v>
      </c>
      <c r="B1991" s="1585" t="s">
        <v>1660</v>
      </c>
      <c r="C1991" s="1595">
        <v>12</v>
      </c>
      <c r="D1991" s="1587" t="s">
        <v>20</v>
      </c>
      <c r="E1991" s="1588">
        <v>350</v>
      </c>
      <c r="F1991" s="1589"/>
      <c r="G1991" s="1589"/>
      <c r="H1991" s="1589"/>
      <c r="I1991" s="1589"/>
      <c r="J1991" s="1590">
        <f t="shared" si="145"/>
        <v>4200</v>
      </c>
      <c r="K1991" s="1589">
        <f t="shared" si="146"/>
        <v>4200</v>
      </c>
      <c r="L1991" s="1589"/>
      <c r="M1991" s="1589"/>
      <c r="N1991" s="1589"/>
      <c r="O1991" s="1591">
        <f t="shared" si="147"/>
        <v>4200</v>
      </c>
      <c r="P1991" s="1592"/>
      <c r="Q1991" s="1626"/>
      <c r="R1991" s="1626"/>
      <c r="S1991" s="1626"/>
      <c r="T1991" s="1626"/>
      <c r="U1991" s="1626"/>
      <c r="V1991" s="1626"/>
      <c r="W1991" s="1626"/>
      <c r="X1991" s="1626"/>
      <c r="Y1991" s="1626"/>
      <c r="Z1991" s="1626"/>
      <c r="AA1991" s="1626"/>
      <c r="AB1991" s="1626"/>
      <c r="AC1991" s="1626"/>
      <c r="AD1991" s="1626"/>
      <c r="AE1991" s="1626"/>
      <c r="AF1991" s="1626"/>
      <c r="AG1991" s="1626"/>
      <c r="AH1991" s="1626"/>
      <c r="AI1991" s="1626"/>
      <c r="AJ1991" s="1626"/>
      <c r="AK1991" s="1626"/>
      <c r="AL1991" s="1626"/>
      <c r="AM1991" s="1626"/>
      <c r="AN1991" s="1626"/>
      <c r="AO1991" s="1626"/>
      <c r="AP1991" s="1626"/>
      <c r="AQ1991" s="1626"/>
      <c r="AR1991" s="1626"/>
      <c r="AS1991" s="1626"/>
      <c r="AT1991" s="1626"/>
      <c r="AU1991" s="1626"/>
      <c r="AV1991" s="1626"/>
      <c r="AW1991" s="1626"/>
      <c r="AX1991" s="1626"/>
      <c r="AY1991" s="1626"/>
      <c r="AZ1991" s="1626"/>
      <c r="BA1991" s="1626"/>
      <c r="BB1991" s="1626"/>
      <c r="BC1991" s="1626"/>
      <c r="BD1991" s="1626"/>
      <c r="BE1991" s="1626"/>
      <c r="BF1991" s="1626"/>
      <c r="BG1991" s="1626"/>
      <c r="BH1991" s="1626"/>
      <c r="BI1991" s="1626"/>
      <c r="BJ1991" s="1626"/>
      <c r="BK1991" s="1626"/>
      <c r="BL1991" s="1626"/>
      <c r="BM1991" s="1626"/>
      <c r="BN1991" s="1626"/>
      <c r="BO1991" s="1626"/>
      <c r="BP1991" s="1626"/>
      <c r="BQ1991" s="1626"/>
      <c r="BR1991" s="1626"/>
      <c r="BS1991" s="1626"/>
      <c r="BT1991" s="1626"/>
      <c r="BU1991" s="1626"/>
      <c r="BV1991" s="1626"/>
      <c r="BW1991" s="1626"/>
      <c r="BX1991" s="1626"/>
      <c r="BY1991" s="1626"/>
      <c r="BZ1991" s="1626"/>
      <c r="CA1991" s="1626"/>
      <c r="CB1991" s="1626"/>
      <c r="CC1991" s="1626"/>
      <c r="CD1991" s="1626"/>
      <c r="CE1991" s="1626"/>
      <c r="CF1991" s="1626"/>
      <c r="CG1991" s="1626"/>
      <c r="CH1991" s="1626"/>
      <c r="CI1991" s="1626"/>
      <c r="CJ1991" s="1626"/>
      <c r="CK1991" s="1626"/>
    </row>
    <row r="1992" spans="1:89" s="1108" customFormat="1" ht="17.25" customHeight="1" x14ac:dyDescent="0.25">
      <c r="A1992" s="1107"/>
      <c r="B1992" s="1585" t="s">
        <v>1661</v>
      </c>
      <c r="C1992" s="1595">
        <v>12</v>
      </c>
      <c r="D1992" s="1587" t="s">
        <v>20</v>
      </c>
      <c r="E1992" s="1588">
        <v>300</v>
      </c>
      <c r="F1992" s="1589"/>
      <c r="G1992" s="1589"/>
      <c r="H1992" s="1589"/>
      <c r="I1992" s="1589"/>
      <c r="J1992" s="1590">
        <f t="shared" si="145"/>
        <v>3600</v>
      </c>
      <c r="K1992" s="1589">
        <f t="shared" si="146"/>
        <v>3600</v>
      </c>
      <c r="L1992" s="1589"/>
      <c r="M1992" s="1589"/>
      <c r="N1992" s="1589"/>
      <c r="O1992" s="1591">
        <f t="shared" si="147"/>
        <v>3600</v>
      </c>
      <c r="P1992" s="1592"/>
      <c r="Q1992" s="1626"/>
      <c r="R1992" s="1626"/>
      <c r="S1992" s="1626"/>
      <c r="T1992" s="1626"/>
      <c r="U1992" s="1626"/>
      <c r="V1992" s="1626"/>
      <c r="W1992" s="1626"/>
      <c r="X1992" s="1626"/>
      <c r="Y1992" s="1626"/>
      <c r="Z1992" s="1626"/>
      <c r="AA1992" s="1626"/>
      <c r="AB1992" s="1626"/>
      <c r="AC1992" s="1626"/>
      <c r="AD1992" s="1626"/>
      <c r="AE1992" s="1626"/>
      <c r="AF1992" s="1626"/>
      <c r="AG1992" s="1626"/>
      <c r="AH1992" s="1626"/>
      <c r="AI1992" s="1626"/>
      <c r="AJ1992" s="1626"/>
      <c r="AK1992" s="1626"/>
      <c r="AL1992" s="1626"/>
      <c r="AM1992" s="1626"/>
      <c r="AN1992" s="1626"/>
      <c r="AO1992" s="1626"/>
      <c r="AP1992" s="1626"/>
      <c r="AQ1992" s="1626"/>
      <c r="AR1992" s="1626"/>
      <c r="AS1992" s="1626"/>
      <c r="AT1992" s="1626"/>
      <c r="AU1992" s="1626"/>
      <c r="AV1992" s="1626"/>
      <c r="AW1992" s="1626"/>
      <c r="AX1992" s="1626"/>
      <c r="AY1992" s="1626"/>
      <c r="AZ1992" s="1626"/>
      <c r="BA1992" s="1626"/>
      <c r="BB1992" s="1626"/>
      <c r="BC1992" s="1626"/>
      <c r="BD1992" s="1626"/>
      <c r="BE1992" s="1626"/>
      <c r="BF1992" s="1626"/>
      <c r="BG1992" s="1626"/>
      <c r="BH1992" s="1626"/>
      <c r="BI1992" s="1626"/>
      <c r="BJ1992" s="1626"/>
      <c r="BK1992" s="1626"/>
      <c r="BL1992" s="1626"/>
      <c r="BM1992" s="1626"/>
      <c r="BN1992" s="1626"/>
      <c r="BO1992" s="1626"/>
      <c r="BP1992" s="1626"/>
      <c r="BQ1992" s="1626"/>
      <c r="BR1992" s="1626"/>
      <c r="BS1992" s="1626"/>
      <c r="BT1992" s="1626"/>
      <c r="BU1992" s="1626"/>
      <c r="BV1992" s="1626"/>
      <c r="BW1992" s="1626"/>
      <c r="BX1992" s="1626"/>
      <c r="BY1992" s="1626"/>
      <c r="BZ1992" s="1626"/>
      <c r="CA1992" s="1626"/>
      <c r="CB1992" s="1626"/>
      <c r="CC1992" s="1626"/>
      <c r="CD1992" s="1626"/>
      <c r="CE1992" s="1626"/>
      <c r="CF1992" s="1626"/>
      <c r="CG1992" s="1626"/>
      <c r="CH1992" s="1626"/>
      <c r="CI1992" s="1626"/>
      <c r="CJ1992" s="1626"/>
      <c r="CK1992" s="1626"/>
    </row>
    <row r="1993" spans="1:89" s="1108" customFormat="1" ht="17.25" customHeight="1" x14ac:dyDescent="0.25">
      <c r="A1993" s="1107">
        <v>4</v>
      </c>
      <c r="B1993" s="1585" t="s">
        <v>2113</v>
      </c>
      <c r="C1993" s="1595">
        <f>22*12</f>
        <v>264</v>
      </c>
      <c r="D1993" s="1587" t="s">
        <v>20</v>
      </c>
      <c r="E1993" s="1588">
        <v>300</v>
      </c>
      <c r="F1993" s="1589"/>
      <c r="G1993" s="1589"/>
      <c r="H1993" s="1589"/>
      <c r="I1993" s="1589"/>
      <c r="J1993" s="1590">
        <f t="shared" si="145"/>
        <v>79200</v>
      </c>
      <c r="K1993" s="1589">
        <f t="shared" si="146"/>
        <v>79200</v>
      </c>
      <c r="L1993" s="1589"/>
      <c r="M1993" s="1589"/>
      <c r="N1993" s="1589"/>
      <c r="O1993" s="1591">
        <f t="shared" si="147"/>
        <v>79200</v>
      </c>
      <c r="P1993" s="1592"/>
      <c r="Q1993" s="1626"/>
      <c r="R1993" s="1626"/>
      <c r="S1993" s="1626"/>
      <c r="T1993" s="1626"/>
      <c r="U1993" s="1626"/>
      <c r="V1993" s="1626"/>
      <c r="W1993" s="1626"/>
      <c r="X1993" s="1626"/>
      <c r="Y1993" s="1626"/>
      <c r="Z1993" s="1626"/>
      <c r="AA1993" s="1626"/>
      <c r="AB1993" s="1626"/>
      <c r="AC1993" s="1626"/>
      <c r="AD1993" s="1626"/>
      <c r="AE1993" s="1626"/>
      <c r="AF1993" s="1626"/>
      <c r="AG1993" s="1626"/>
      <c r="AH1993" s="1626"/>
      <c r="AI1993" s="1626"/>
      <c r="AJ1993" s="1626"/>
      <c r="AK1993" s="1626"/>
      <c r="AL1993" s="1626"/>
      <c r="AM1993" s="1626"/>
      <c r="AN1993" s="1626"/>
      <c r="AO1993" s="1626"/>
      <c r="AP1993" s="1626"/>
      <c r="AQ1993" s="1626"/>
      <c r="AR1993" s="1626"/>
      <c r="AS1993" s="1626"/>
      <c r="AT1993" s="1626"/>
      <c r="AU1993" s="1626"/>
      <c r="AV1993" s="1626"/>
      <c r="AW1993" s="1626"/>
      <c r="AX1993" s="1626"/>
      <c r="AY1993" s="1626"/>
      <c r="AZ1993" s="1626"/>
      <c r="BA1993" s="1626"/>
      <c r="BB1993" s="1626"/>
      <c r="BC1993" s="1626"/>
      <c r="BD1993" s="1626"/>
      <c r="BE1993" s="1626"/>
      <c r="BF1993" s="1626"/>
      <c r="BG1993" s="1626"/>
      <c r="BH1993" s="1626"/>
      <c r="BI1993" s="1626"/>
      <c r="BJ1993" s="1626"/>
      <c r="BK1993" s="1626"/>
      <c r="BL1993" s="1626"/>
      <c r="BM1993" s="1626"/>
      <c r="BN1993" s="1626"/>
      <c r="BO1993" s="1626"/>
      <c r="BP1993" s="1626"/>
      <c r="BQ1993" s="1626"/>
      <c r="BR1993" s="1626"/>
      <c r="BS1993" s="1626"/>
      <c r="BT1993" s="1626"/>
      <c r="BU1993" s="1626"/>
      <c r="BV1993" s="1626"/>
      <c r="BW1993" s="1626"/>
      <c r="BX1993" s="1626"/>
      <c r="BY1993" s="1626"/>
      <c r="BZ1993" s="1626"/>
      <c r="CA1993" s="1626"/>
      <c r="CB1993" s="1626"/>
      <c r="CC1993" s="1626"/>
      <c r="CD1993" s="1626"/>
      <c r="CE1993" s="1626"/>
      <c r="CF1993" s="1626"/>
      <c r="CG1993" s="1626"/>
      <c r="CH1993" s="1626"/>
      <c r="CI1993" s="1626"/>
      <c r="CJ1993" s="1626"/>
      <c r="CK1993" s="1626"/>
    </row>
    <row r="1994" spans="1:89" s="1108" customFormat="1" ht="17.25" customHeight="1" x14ac:dyDescent="0.25">
      <c r="A1994" s="1107"/>
      <c r="B1994" s="1585" t="s">
        <v>877</v>
      </c>
      <c r="C1994" s="1586"/>
      <c r="D1994" s="1587"/>
      <c r="E1994" s="1588"/>
      <c r="F1994" s="1589"/>
      <c r="G1994" s="1589"/>
      <c r="H1994" s="1589"/>
      <c r="I1994" s="1589"/>
      <c r="J1994" s="1590"/>
      <c r="K1994" s="1589"/>
      <c r="L1994" s="1589"/>
      <c r="M1994" s="1589"/>
      <c r="N1994" s="1589"/>
      <c r="O1994" s="1591"/>
      <c r="P1994" s="1592"/>
      <c r="Q1994" s="1626"/>
      <c r="R1994" s="1626"/>
      <c r="S1994" s="1626"/>
      <c r="T1994" s="1626"/>
      <c r="U1994" s="1626"/>
      <c r="V1994" s="1626"/>
      <c r="W1994" s="1626"/>
      <c r="X1994" s="1626"/>
      <c r="Y1994" s="1626"/>
      <c r="Z1994" s="1626"/>
      <c r="AA1994" s="1626"/>
      <c r="AB1994" s="1626"/>
      <c r="AC1994" s="1626"/>
      <c r="AD1994" s="1626"/>
      <c r="AE1994" s="1626"/>
      <c r="AF1994" s="1626"/>
      <c r="AG1994" s="1626"/>
      <c r="AH1994" s="1626"/>
      <c r="AI1994" s="1626"/>
      <c r="AJ1994" s="1626"/>
      <c r="AK1994" s="1626"/>
      <c r="AL1994" s="1626"/>
      <c r="AM1994" s="1626"/>
      <c r="AN1994" s="1626"/>
      <c r="AO1994" s="1626"/>
      <c r="AP1994" s="1626"/>
      <c r="AQ1994" s="1626"/>
      <c r="AR1994" s="1626"/>
      <c r="AS1994" s="1626"/>
      <c r="AT1994" s="1626"/>
      <c r="AU1994" s="1626"/>
      <c r="AV1994" s="1626"/>
      <c r="AW1994" s="1626"/>
      <c r="AX1994" s="1626"/>
      <c r="AY1994" s="1626"/>
      <c r="AZ1994" s="1626"/>
      <c r="BA1994" s="1626"/>
      <c r="BB1994" s="1626"/>
      <c r="BC1994" s="1626"/>
      <c r="BD1994" s="1626"/>
      <c r="BE1994" s="1626"/>
      <c r="BF1994" s="1626"/>
      <c r="BG1994" s="1626"/>
      <c r="BH1994" s="1626"/>
      <c r="BI1994" s="1626"/>
      <c r="BJ1994" s="1626"/>
      <c r="BK1994" s="1626"/>
      <c r="BL1994" s="1626"/>
      <c r="BM1994" s="1626"/>
      <c r="BN1994" s="1626"/>
      <c r="BO1994" s="1626"/>
      <c r="BP1994" s="1626"/>
      <c r="BQ1994" s="1626"/>
      <c r="BR1994" s="1626"/>
      <c r="BS1994" s="1626"/>
      <c r="BT1994" s="1626"/>
      <c r="BU1994" s="1626"/>
      <c r="BV1994" s="1626"/>
      <c r="BW1994" s="1626"/>
      <c r="BX1994" s="1626"/>
      <c r="BY1994" s="1626"/>
      <c r="BZ1994" s="1626"/>
      <c r="CA1994" s="1626"/>
      <c r="CB1994" s="1626"/>
      <c r="CC1994" s="1626"/>
      <c r="CD1994" s="1626"/>
      <c r="CE1994" s="1626"/>
      <c r="CF1994" s="1626"/>
      <c r="CG1994" s="1626"/>
      <c r="CH1994" s="1626"/>
      <c r="CI1994" s="1626"/>
      <c r="CJ1994" s="1626"/>
      <c r="CK1994" s="1626"/>
    </row>
    <row r="1995" spans="1:89" s="1603" customFormat="1" ht="17.25" customHeight="1" x14ac:dyDescent="0.25">
      <c r="A1995" s="1107"/>
      <c r="B1995" s="1593" t="s">
        <v>2114</v>
      </c>
      <c r="C1995" s="1586">
        <f>1*139*8</f>
        <v>1112</v>
      </c>
      <c r="D1995" s="1587" t="s">
        <v>20</v>
      </c>
      <c r="E1995" s="1588">
        <v>300</v>
      </c>
      <c r="F1995" s="1589"/>
      <c r="G1995" s="1589"/>
      <c r="H1995" s="1589"/>
      <c r="I1995" s="1589"/>
      <c r="J1995" s="1590">
        <f>C1995*E1995</f>
        <v>333600</v>
      </c>
      <c r="K1995" s="1589">
        <f>I1995+J1995</f>
        <v>333600</v>
      </c>
      <c r="L1995" s="1589"/>
      <c r="M1995" s="1589"/>
      <c r="N1995" s="1589"/>
      <c r="O1995" s="1591">
        <f>N1995+K1995+H1995</f>
        <v>333600</v>
      </c>
      <c r="P1995" s="1602"/>
      <c r="Q1995" s="1626"/>
      <c r="R1995" s="1626"/>
      <c r="S1995" s="1626"/>
      <c r="T1995" s="1626"/>
      <c r="U1995" s="1626"/>
      <c r="V1995" s="1626"/>
      <c r="W1995" s="1626"/>
      <c r="X1995" s="1626"/>
      <c r="Y1995" s="1626"/>
      <c r="Z1995" s="1626"/>
      <c r="AA1995" s="1626"/>
      <c r="AB1995" s="1626"/>
      <c r="AC1995" s="1626"/>
      <c r="AD1995" s="1626"/>
      <c r="AE1995" s="1626"/>
      <c r="AF1995" s="1626"/>
      <c r="AG1995" s="1626"/>
      <c r="AH1995" s="1626"/>
      <c r="AI1995" s="1626"/>
      <c r="AJ1995" s="1626"/>
      <c r="AK1995" s="1626"/>
      <c r="AL1995" s="1626"/>
      <c r="AM1995" s="1626"/>
      <c r="AN1995" s="1626"/>
      <c r="AO1995" s="1626"/>
      <c r="AP1995" s="1626"/>
      <c r="AQ1995" s="1626"/>
      <c r="AR1995" s="1626"/>
      <c r="AS1995" s="1626"/>
      <c r="AT1995" s="1626"/>
      <c r="AU1995" s="1626"/>
      <c r="AV1995" s="1626"/>
      <c r="AW1995" s="1626"/>
      <c r="AX1995" s="1626"/>
      <c r="AY1995" s="1626"/>
      <c r="AZ1995" s="1626"/>
      <c r="BA1995" s="1626"/>
      <c r="BB1995" s="1626"/>
      <c r="BC1995" s="1626"/>
      <c r="BD1995" s="1626"/>
      <c r="BE1995" s="1626"/>
      <c r="BF1995" s="1626"/>
      <c r="BG1995" s="1626"/>
      <c r="BH1995" s="1626"/>
      <c r="BI1995" s="1626"/>
      <c r="BJ1995" s="1626"/>
      <c r="BK1995" s="1626"/>
      <c r="BL1995" s="1626"/>
      <c r="BM1995" s="1626"/>
      <c r="BN1995" s="1626"/>
      <c r="BO1995" s="1626"/>
      <c r="BP1995" s="1626"/>
      <c r="BQ1995" s="1626"/>
      <c r="BR1995" s="1626"/>
      <c r="BS1995" s="1626"/>
      <c r="BT1995" s="1626"/>
      <c r="BU1995" s="1626"/>
      <c r="BV1995" s="1626"/>
      <c r="BW1995" s="1626"/>
      <c r="BX1995" s="1626"/>
      <c r="BY1995" s="1626"/>
      <c r="BZ1995" s="1626"/>
      <c r="CA1995" s="1626"/>
      <c r="CB1995" s="1626"/>
      <c r="CC1995" s="1626"/>
      <c r="CD1995" s="1626"/>
      <c r="CE1995" s="1626"/>
      <c r="CF1995" s="1626"/>
      <c r="CG1995" s="1626"/>
      <c r="CH1995" s="1626"/>
      <c r="CI1995" s="1626"/>
      <c r="CJ1995" s="1626"/>
      <c r="CK1995" s="1626"/>
    </row>
    <row r="1996" spans="1:89" s="1605" customFormat="1" ht="17.25" customHeight="1" x14ac:dyDescent="0.25">
      <c r="A1996" s="1107"/>
      <c r="B1996" s="1593" t="s">
        <v>2115</v>
      </c>
      <c r="C1996" s="1586">
        <f>9*8</f>
        <v>72</v>
      </c>
      <c r="D1996" s="1587" t="s">
        <v>871</v>
      </c>
      <c r="E1996" s="1588">
        <v>300</v>
      </c>
      <c r="F1996" s="1589"/>
      <c r="G1996" s="1589"/>
      <c r="H1996" s="1589"/>
      <c r="I1996" s="1589"/>
      <c r="J1996" s="1590">
        <f>C1996*E1996</f>
        <v>21600</v>
      </c>
      <c r="K1996" s="1589">
        <f>I1996+J1996</f>
        <v>21600</v>
      </c>
      <c r="L1996" s="1589"/>
      <c r="M1996" s="1589"/>
      <c r="N1996" s="1589"/>
      <c r="O1996" s="1591">
        <f>N1996+K1996+H1996</f>
        <v>21600</v>
      </c>
      <c r="P1996" s="1604"/>
      <c r="Q1996" s="1626"/>
      <c r="R1996" s="1626"/>
      <c r="S1996" s="1626"/>
      <c r="T1996" s="1626"/>
      <c r="U1996" s="1626"/>
      <c r="V1996" s="1626"/>
      <c r="W1996" s="1626"/>
      <c r="X1996" s="1626"/>
      <c r="Y1996" s="1626"/>
      <c r="Z1996" s="1626"/>
      <c r="AA1996" s="1626"/>
      <c r="AB1996" s="1626"/>
      <c r="AC1996" s="1626"/>
      <c r="AD1996" s="1626"/>
      <c r="AE1996" s="1626"/>
      <c r="AF1996" s="1626"/>
      <c r="AG1996" s="1626"/>
      <c r="AH1996" s="1626"/>
      <c r="AI1996" s="1626"/>
      <c r="AJ1996" s="1626"/>
      <c r="AK1996" s="1626"/>
      <c r="AL1996" s="1626"/>
      <c r="AM1996" s="1626"/>
      <c r="AN1996" s="1626"/>
      <c r="AO1996" s="1626"/>
      <c r="AP1996" s="1626"/>
      <c r="AQ1996" s="1626"/>
      <c r="AR1996" s="1626"/>
      <c r="AS1996" s="1626"/>
      <c r="AT1996" s="1626"/>
      <c r="AU1996" s="1626"/>
      <c r="AV1996" s="1626"/>
      <c r="AW1996" s="1626"/>
      <c r="AX1996" s="1626"/>
      <c r="AY1996" s="1626"/>
      <c r="AZ1996" s="1626"/>
      <c r="BA1996" s="1626"/>
      <c r="BB1996" s="1626"/>
      <c r="BC1996" s="1626"/>
      <c r="BD1996" s="1626"/>
      <c r="BE1996" s="1626"/>
      <c r="BF1996" s="1626"/>
      <c r="BG1996" s="1626"/>
      <c r="BH1996" s="1626"/>
      <c r="BI1996" s="1626"/>
      <c r="BJ1996" s="1626"/>
      <c r="BK1996" s="1626"/>
      <c r="BL1996" s="1626"/>
      <c r="BM1996" s="1626"/>
      <c r="BN1996" s="1626"/>
      <c r="BO1996" s="1626"/>
      <c r="BP1996" s="1626"/>
      <c r="BQ1996" s="1626"/>
      <c r="BR1996" s="1626"/>
      <c r="BS1996" s="1626"/>
      <c r="BT1996" s="1626"/>
      <c r="BU1996" s="1626"/>
      <c r="BV1996" s="1626"/>
      <c r="BW1996" s="1626"/>
      <c r="BX1996" s="1626"/>
      <c r="BY1996" s="1626"/>
      <c r="BZ1996" s="1626"/>
      <c r="CA1996" s="1626"/>
      <c r="CB1996" s="1626"/>
      <c r="CC1996" s="1626"/>
      <c r="CD1996" s="1626"/>
      <c r="CE1996" s="1626"/>
      <c r="CF1996" s="1626"/>
      <c r="CG1996" s="1626"/>
      <c r="CH1996" s="1626"/>
      <c r="CI1996" s="1626"/>
      <c r="CJ1996" s="1626"/>
      <c r="CK1996" s="1626"/>
    </row>
    <row r="1997" spans="1:89" s="1108" customFormat="1" ht="17.25" customHeight="1" x14ac:dyDescent="0.25">
      <c r="A1997" s="1107"/>
      <c r="B1997" s="1594" t="s">
        <v>27</v>
      </c>
      <c r="C1997" s="1586"/>
      <c r="D1997" s="1587"/>
      <c r="E1997" s="1588"/>
      <c r="F1997" s="1589"/>
      <c r="G1997" s="1589"/>
      <c r="H1997" s="1589"/>
      <c r="I1997" s="1589"/>
      <c r="J1997" s="1590"/>
      <c r="K1997" s="1589"/>
      <c r="L1997" s="1589"/>
      <c r="M1997" s="1589"/>
      <c r="N1997" s="1589"/>
      <c r="O1997" s="1591"/>
      <c r="P1997" s="1592"/>
      <c r="Q1997" s="1626"/>
      <c r="R1997" s="1626"/>
      <c r="S1997" s="1626"/>
      <c r="T1997" s="1626"/>
      <c r="U1997" s="1626"/>
      <c r="V1997" s="1626"/>
      <c r="W1997" s="1626"/>
      <c r="X1997" s="1626"/>
      <c r="Y1997" s="1626"/>
      <c r="Z1997" s="1626"/>
      <c r="AA1997" s="1626"/>
      <c r="AB1997" s="1626"/>
      <c r="AC1997" s="1626"/>
      <c r="AD1997" s="1626"/>
      <c r="AE1997" s="1626"/>
      <c r="AF1997" s="1626"/>
      <c r="AG1997" s="1626"/>
      <c r="AH1997" s="1626"/>
      <c r="AI1997" s="1626"/>
      <c r="AJ1997" s="1626"/>
      <c r="AK1997" s="1626"/>
      <c r="AL1997" s="1626"/>
      <c r="AM1997" s="1626"/>
      <c r="AN1997" s="1626"/>
      <c r="AO1997" s="1626"/>
      <c r="AP1997" s="1626"/>
      <c r="AQ1997" s="1626"/>
      <c r="AR1997" s="1626"/>
      <c r="AS1997" s="1626"/>
      <c r="AT1997" s="1626"/>
      <c r="AU1997" s="1626"/>
      <c r="AV1997" s="1626"/>
      <c r="AW1997" s="1626"/>
      <c r="AX1997" s="1626"/>
      <c r="AY1997" s="1626"/>
      <c r="AZ1997" s="1626"/>
      <c r="BA1997" s="1626"/>
      <c r="BB1997" s="1626"/>
      <c r="BC1997" s="1626"/>
      <c r="BD1997" s="1626"/>
      <c r="BE1997" s="1626"/>
      <c r="BF1997" s="1626"/>
      <c r="BG1997" s="1626"/>
      <c r="BH1997" s="1626"/>
      <c r="BI1997" s="1626"/>
      <c r="BJ1997" s="1626"/>
      <c r="BK1997" s="1626"/>
      <c r="BL1997" s="1626"/>
      <c r="BM1997" s="1626"/>
      <c r="BN1997" s="1626"/>
      <c r="BO1997" s="1626"/>
      <c r="BP1997" s="1626"/>
      <c r="BQ1997" s="1626"/>
      <c r="BR1997" s="1626"/>
      <c r="BS1997" s="1626"/>
      <c r="BT1997" s="1626"/>
      <c r="BU1997" s="1626"/>
      <c r="BV1997" s="1626"/>
      <c r="BW1997" s="1626"/>
      <c r="BX1997" s="1626"/>
      <c r="BY1997" s="1626"/>
      <c r="BZ1997" s="1626"/>
      <c r="CA1997" s="1626"/>
      <c r="CB1997" s="1626"/>
      <c r="CC1997" s="1626"/>
      <c r="CD1997" s="1626"/>
      <c r="CE1997" s="1626"/>
      <c r="CF1997" s="1626"/>
      <c r="CG1997" s="1626"/>
      <c r="CH1997" s="1626"/>
      <c r="CI1997" s="1626"/>
      <c r="CJ1997" s="1626"/>
      <c r="CK1997" s="1626"/>
    </row>
    <row r="1998" spans="1:89" s="1108" customFormat="1" ht="17.25" customHeight="1" x14ac:dyDescent="0.25">
      <c r="A1998" s="1107"/>
      <c r="B1998" s="1593" t="s">
        <v>872</v>
      </c>
      <c r="C1998" s="1586">
        <v>1</v>
      </c>
      <c r="D1998" s="1587" t="s">
        <v>188</v>
      </c>
      <c r="E1998" s="1588">
        <v>27000</v>
      </c>
      <c r="F1998" s="1589"/>
      <c r="G1998" s="1589"/>
      <c r="H1998" s="1589"/>
      <c r="I1998" s="1589"/>
      <c r="J1998" s="1590">
        <f>C1998*E1998</f>
        <v>27000</v>
      </c>
      <c r="K1998" s="1589">
        <f>I1998+J1998</f>
        <v>27000</v>
      </c>
      <c r="L1998" s="1589"/>
      <c r="M1998" s="1589"/>
      <c r="N1998" s="1589"/>
      <c r="O1998" s="1591">
        <f>N1998+K1998+H1998</f>
        <v>27000</v>
      </c>
      <c r="P1998" s="1592"/>
      <c r="Q1998" s="1626"/>
      <c r="R1998" s="1626"/>
      <c r="S1998" s="1626"/>
      <c r="T1998" s="1626"/>
      <c r="U1998" s="1626"/>
      <c r="V1998" s="1626"/>
      <c r="W1998" s="1626"/>
      <c r="X1998" s="1626"/>
      <c r="Y1998" s="1626"/>
      <c r="Z1998" s="1626"/>
      <c r="AA1998" s="1626"/>
      <c r="AB1998" s="1626"/>
      <c r="AC1998" s="1626"/>
      <c r="AD1998" s="1626"/>
      <c r="AE1998" s="1626"/>
      <c r="AF1998" s="1626"/>
      <c r="AG1998" s="1626"/>
      <c r="AH1998" s="1626"/>
      <c r="AI1998" s="1626"/>
      <c r="AJ1998" s="1626"/>
      <c r="AK1998" s="1626"/>
      <c r="AL1998" s="1626"/>
      <c r="AM1998" s="1626"/>
      <c r="AN1998" s="1626"/>
      <c r="AO1998" s="1626"/>
      <c r="AP1998" s="1626"/>
      <c r="AQ1998" s="1626"/>
      <c r="AR1998" s="1626"/>
      <c r="AS1998" s="1626"/>
      <c r="AT1998" s="1626"/>
      <c r="AU1998" s="1626"/>
      <c r="AV1998" s="1626"/>
      <c r="AW1998" s="1626"/>
      <c r="AX1998" s="1626"/>
      <c r="AY1998" s="1626"/>
      <c r="AZ1998" s="1626"/>
      <c r="BA1998" s="1626"/>
      <c r="BB1998" s="1626"/>
      <c r="BC1998" s="1626"/>
      <c r="BD1998" s="1626"/>
      <c r="BE1998" s="1626"/>
      <c r="BF1998" s="1626"/>
      <c r="BG1998" s="1626"/>
      <c r="BH1998" s="1626"/>
      <c r="BI1998" s="1626"/>
      <c r="BJ1998" s="1626"/>
      <c r="BK1998" s="1626"/>
      <c r="BL1998" s="1626"/>
      <c r="BM1998" s="1626"/>
      <c r="BN1998" s="1626"/>
      <c r="BO1998" s="1626"/>
      <c r="BP1998" s="1626"/>
      <c r="BQ1998" s="1626"/>
      <c r="BR1998" s="1626"/>
      <c r="BS1998" s="1626"/>
      <c r="BT1998" s="1626"/>
      <c r="BU1998" s="1626"/>
      <c r="BV1998" s="1626"/>
      <c r="BW1998" s="1626"/>
      <c r="BX1998" s="1626"/>
      <c r="BY1998" s="1626"/>
      <c r="BZ1998" s="1626"/>
      <c r="CA1998" s="1626"/>
      <c r="CB1998" s="1626"/>
      <c r="CC1998" s="1626"/>
      <c r="CD1998" s="1626"/>
      <c r="CE1998" s="1626"/>
      <c r="CF1998" s="1626"/>
      <c r="CG1998" s="1626"/>
      <c r="CH1998" s="1626"/>
      <c r="CI1998" s="1626"/>
      <c r="CJ1998" s="1626"/>
      <c r="CK1998" s="1626"/>
    </row>
    <row r="1999" spans="1:89" s="1108" customFormat="1" ht="17.25" customHeight="1" x14ac:dyDescent="0.25">
      <c r="A1999" s="1107"/>
      <c r="B1999" s="1594" t="s">
        <v>223</v>
      </c>
      <c r="C1999" s="1586"/>
      <c r="D1999" s="1587"/>
      <c r="E1999" s="1588"/>
      <c r="F1999" s="1589"/>
      <c r="G1999" s="1589"/>
      <c r="H1999" s="1589"/>
      <c r="I1999" s="1589"/>
      <c r="J1999" s="1590">
        <f>C1999*E1999</f>
        <v>0</v>
      </c>
      <c r="K1999" s="1589">
        <f>I1999+J1999</f>
        <v>0</v>
      </c>
      <c r="L1999" s="1589"/>
      <c r="M1999" s="1589"/>
      <c r="N1999" s="1589"/>
      <c r="O1999" s="1591">
        <f>N1999+K1999+H1999</f>
        <v>0</v>
      </c>
      <c r="P1999" s="1592"/>
      <c r="Q1999" s="1626"/>
      <c r="R1999" s="1626"/>
      <c r="S1999" s="1626"/>
      <c r="T1999" s="1626"/>
      <c r="U1999" s="1626"/>
      <c r="V1999" s="1626"/>
      <c r="W1999" s="1626"/>
      <c r="X1999" s="1626"/>
      <c r="Y1999" s="1626"/>
      <c r="Z1999" s="1626"/>
      <c r="AA1999" s="1626"/>
      <c r="AB1999" s="1626"/>
      <c r="AC1999" s="1626"/>
      <c r="AD1999" s="1626"/>
      <c r="AE1999" s="1626"/>
      <c r="AF1999" s="1626"/>
      <c r="AG1999" s="1626"/>
      <c r="AH1999" s="1626"/>
      <c r="AI1999" s="1626"/>
      <c r="AJ1999" s="1626"/>
      <c r="AK1999" s="1626"/>
      <c r="AL1999" s="1626"/>
      <c r="AM1999" s="1626"/>
      <c r="AN1999" s="1626"/>
      <c r="AO1999" s="1626"/>
      <c r="AP1999" s="1626"/>
      <c r="AQ1999" s="1626"/>
      <c r="AR1999" s="1626"/>
      <c r="AS1999" s="1626"/>
      <c r="AT1999" s="1626"/>
      <c r="AU1999" s="1626"/>
      <c r="AV1999" s="1626"/>
      <c r="AW1999" s="1626"/>
      <c r="AX1999" s="1626"/>
      <c r="AY1999" s="1626"/>
      <c r="AZ1999" s="1626"/>
      <c r="BA1999" s="1626"/>
      <c r="BB1999" s="1626"/>
      <c r="BC1999" s="1626"/>
      <c r="BD1999" s="1626"/>
      <c r="BE1999" s="1626"/>
      <c r="BF1999" s="1626"/>
      <c r="BG1999" s="1626"/>
      <c r="BH1999" s="1626"/>
      <c r="BI1999" s="1626"/>
      <c r="BJ1999" s="1626"/>
      <c r="BK1999" s="1626"/>
      <c r="BL1999" s="1626"/>
      <c r="BM1999" s="1626"/>
      <c r="BN1999" s="1626"/>
      <c r="BO1999" s="1626"/>
      <c r="BP1999" s="1626"/>
      <c r="BQ1999" s="1626"/>
      <c r="BR1999" s="1626"/>
      <c r="BS1999" s="1626"/>
      <c r="BT1999" s="1626"/>
      <c r="BU1999" s="1626"/>
      <c r="BV1999" s="1626"/>
      <c r="BW1999" s="1626"/>
      <c r="BX1999" s="1626"/>
      <c r="BY1999" s="1626"/>
      <c r="BZ1999" s="1626"/>
      <c r="CA1999" s="1626"/>
      <c r="CB1999" s="1626"/>
      <c r="CC1999" s="1626"/>
      <c r="CD1999" s="1626"/>
      <c r="CE1999" s="1626"/>
      <c r="CF1999" s="1626"/>
      <c r="CG1999" s="1626"/>
      <c r="CH1999" s="1626"/>
      <c r="CI1999" s="1626"/>
      <c r="CJ1999" s="1626"/>
      <c r="CK1999" s="1626"/>
    </row>
    <row r="2000" spans="1:89" s="1108" customFormat="1" ht="17.25" customHeight="1" x14ac:dyDescent="0.25">
      <c r="A2000" s="1107"/>
      <c r="B2000" s="1593" t="s">
        <v>873</v>
      </c>
      <c r="C2000" s="1586">
        <v>1</v>
      </c>
      <c r="D2000" s="1587" t="s">
        <v>188</v>
      </c>
      <c r="E2000" s="1588">
        <v>30000</v>
      </c>
      <c r="F2000" s="1589"/>
      <c r="G2000" s="1589"/>
      <c r="H2000" s="1589"/>
      <c r="I2000" s="1589"/>
      <c r="J2000" s="1590">
        <f>C2000*E2000</f>
        <v>30000</v>
      </c>
      <c r="K2000" s="1589">
        <f>I2000+J2000</f>
        <v>30000</v>
      </c>
      <c r="L2000" s="1589"/>
      <c r="M2000" s="1589"/>
      <c r="N2000" s="1589"/>
      <c r="O2000" s="1591">
        <f>N2000+K2000+H2000</f>
        <v>30000</v>
      </c>
      <c r="P2000" s="1592"/>
      <c r="Q2000" s="1626"/>
      <c r="R2000" s="1626"/>
      <c r="S2000" s="1626"/>
      <c r="T2000" s="1626"/>
      <c r="U2000" s="1626"/>
      <c r="V2000" s="1626"/>
      <c r="W2000" s="1626"/>
      <c r="X2000" s="1626"/>
      <c r="Y2000" s="1626"/>
      <c r="Z2000" s="1626"/>
      <c r="AA2000" s="1626"/>
      <c r="AB2000" s="1626"/>
      <c r="AC2000" s="1626"/>
      <c r="AD2000" s="1626"/>
      <c r="AE2000" s="1626"/>
      <c r="AF2000" s="1626"/>
      <c r="AG2000" s="1626"/>
      <c r="AH2000" s="1626"/>
      <c r="AI2000" s="1626"/>
      <c r="AJ2000" s="1626"/>
      <c r="AK2000" s="1626"/>
      <c r="AL2000" s="1626"/>
      <c r="AM2000" s="1626"/>
      <c r="AN2000" s="1626"/>
      <c r="AO2000" s="1626"/>
      <c r="AP2000" s="1626"/>
      <c r="AQ2000" s="1626"/>
      <c r="AR2000" s="1626"/>
      <c r="AS2000" s="1626"/>
      <c r="AT2000" s="1626"/>
      <c r="AU2000" s="1626"/>
      <c r="AV2000" s="1626"/>
      <c r="AW2000" s="1626"/>
      <c r="AX2000" s="1626"/>
      <c r="AY2000" s="1626"/>
      <c r="AZ2000" s="1626"/>
      <c r="BA2000" s="1626"/>
      <c r="BB2000" s="1626"/>
      <c r="BC2000" s="1626"/>
      <c r="BD2000" s="1626"/>
      <c r="BE2000" s="1626"/>
      <c r="BF2000" s="1626"/>
      <c r="BG2000" s="1626"/>
      <c r="BH2000" s="1626"/>
      <c r="BI2000" s="1626"/>
      <c r="BJ2000" s="1626"/>
      <c r="BK2000" s="1626"/>
      <c r="BL2000" s="1626"/>
      <c r="BM2000" s="1626"/>
      <c r="BN2000" s="1626"/>
      <c r="BO2000" s="1626"/>
      <c r="BP2000" s="1626"/>
      <c r="BQ2000" s="1626"/>
      <c r="BR2000" s="1626"/>
      <c r="BS2000" s="1626"/>
      <c r="BT2000" s="1626"/>
      <c r="BU2000" s="1626"/>
      <c r="BV2000" s="1626"/>
      <c r="BW2000" s="1626"/>
      <c r="BX2000" s="1626"/>
      <c r="BY2000" s="1626"/>
      <c r="BZ2000" s="1626"/>
      <c r="CA2000" s="1626"/>
      <c r="CB2000" s="1626"/>
      <c r="CC2000" s="1626"/>
      <c r="CD2000" s="1626"/>
      <c r="CE2000" s="1626"/>
      <c r="CF2000" s="1626"/>
      <c r="CG2000" s="1626"/>
      <c r="CH2000" s="1626"/>
      <c r="CI2000" s="1626"/>
      <c r="CJ2000" s="1626"/>
      <c r="CK2000" s="1626"/>
    </row>
    <row r="2001" spans="1:89" s="1108" customFormat="1" ht="21" customHeight="1" x14ac:dyDescent="0.25">
      <c r="A2001" s="1107"/>
      <c r="B2001" s="1593" t="s">
        <v>191</v>
      </c>
      <c r="C2001" s="1595">
        <v>1</v>
      </c>
      <c r="D2001" s="1587" t="s">
        <v>188</v>
      </c>
      <c r="E2001" s="1588">
        <v>0</v>
      </c>
      <c r="F2001" s="1588">
        <v>0</v>
      </c>
      <c r="G2001" s="1588">
        <v>0</v>
      </c>
      <c r="H2001" s="1588">
        <v>0</v>
      </c>
      <c r="I2001" s="1588">
        <v>0</v>
      </c>
      <c r="J2001" s="1590">
        <f>C2001*E2001</f>
        <v>0</v>
      </c>
      <c r="K2001" s="1589">
        <f>I2001+J2001</f>
        <v>0</v>
      </c>
      <c r="L2001" s="1589"/>
      <c r="M2001" s="1589"/>
      <c r="N2001" s="1589"/>
      <c r="O2001" s="1591">
        <f>N2001+K2001+H2001</f>
        <v>0</v>
      </c>
      <c r="P2001" s="1592"/>
      <c r="Q2001" s="1626"/>
      <c r="R2001" s="1626"/>
      <c r="S2001" s="1626"/>
      <c r="T2001" s="1626"/>
      <c r="U2001" s="1626"/>
      <c r="V2001" s="1626"/>
      <c r="W2001" s="1626"/>
      <c r="X2001" s="1626"/>
      <c r="Y2001" s="1626"/>
      <c r="Z2001" s="1626"/>
      <c r="AA2001" s="1626"/>
      <c r="AB2001" s="1626"/>
      <c r="AC2001" s="1626"/>
      <c r="AD2001" s="1626"/>
      <c r="AE2001" s="1626"/>
      <c r="AF2001" s="1626"/>
      <c r="AG2001" s="1626"/>
      <c r="AH2001" s="1626"/>
      <c r="AI2001" s="1626"/>
      <c r="AJ2001" s="1626"/>
      <c r="AK2001" s="1626"/>
      <c r="AL2001" s="1626"/>
      <c r="AM2001" s="1626"/>
      <c r="AN2001" s="1626"/>
      <c r="AO2001" s="1626"/>
      <c r="AP2001" s="1626"/>
      <c r="AQ2001" s="1626"/>
      <c r="AR2001" s="1626"/>
      <c r="AS2001" s="1626"/>
      <c r="AT2001" s="1626"/>
      <c r="AU2001" s="1626"/>
      <c r="AV2001" s="1626"/>
      <c r="AW2001" s="1626"/>
      <c r="AX2001" s="1626"/>
      <c r="AY2001" s="1626"/>
      <c r="AZ2001" s="1626"/>
      <c r="BA2001" s="1626"/>
      <c r="BB2001" s="1626"/>
      <c r="BC2001" s="1626"/>
      <c r="BD2001" s="1626"/>
      <c r="BE2001" s="1626"/>
      <c r="BF2001" s="1626"/>
      <c r="BG2001" s="1626"/>
      <c r="BH2001" s="1626"/>
      <c r="BI2001" s="1626"/>
      <c r="BJ2001" s="1626"/>
      <c r="BK2001" s="1626"/>
      <c r="BL2001" s="1626"/>
      <c r="BM2001" s="1626"/>
      <c r="BN2001" s="1626"/>
      <c r="BO2001" s="1626"/>
      <c r="BP2001" s="1626"/>
      <c r="BQ2001" s="1626"/>
      <c r="BR2001" s="1626"/>
      <c r="BS2001" s="1626"/>
      <c r="BT2001" s="1626"/>
      <c r="BU2001" s="1626"/>
      <c r="BV2001" s="1626"/>
      <c r="BW2001" s="1626"/>
      <c r="BX2001" s="1626"/>
      <c r="BY2001" s="1626"/>
      <c r="BZ2001" s="1626"/>
      <c r="CA2001" s="1626"/>
      <c r="CB2001" s="1626"/>
      <c r="CC2001" s="1626"/>
      <c r="CD2001" s="1626"/>
      <c r="CE2001" s="1626"/>
      <c r="CF2001" s="1626"/>
      <c r="CG2001" s="1626"/>
      <c r="CH2001" s="1626"/>
      <c r="CI2001" s="1626"/>
      <c r="CJ2001" s="1626"/>
      <c r="CK2001" s="1626"/>
    </row>
    <row r="2002" spans="1:89" ht="17.25" customHeight="1" x14ac:dyDescent="0.25">
      <c r="A2002" s="742"/>
      <c r="B2002" s="756"/>
      <c r="C2002" s="699"/>
      <c r="D2002" s="727"/>
      <c r="E2002" s="695"/>
      <c r="F2002" s="714"/>
      <c r="G2002" s="714"/>
      <c r="H2002" s="714"/>
      <c r="I2002" s="714"/>
      <c r="J2002" s="714"/>
      <c r="K2002" s="714"/>
      <c r="L2002" s="714"/>
      <c r="M2002" s="714"/>
      <c r="N2002" s="714"/>
      <c r="O2002" s="753"/>
      <c r="P2002" s="754"/>
    </row>
    <row r="2003" spans="1:89" ht="17.25" customHeight="1" x14ac:dyDescent="0.25">
      <c r="A2003" s="737" t="s">
        <v>2142</v>
      </c>
      <c r="B2003" s="1105" t="s">
        <v>884</v>
      </c>
      <c r="C2003" s="699">
        <v>0</v>
      </c>
      <c r="D2003" s="727" t="s">
        <v>188</v>
      </c>
      <c r="E2003" s="695">
        <v>50000</v>
      </c>
      <c r="F2003" s="714"/>
      <c r="G2003" s="714"/>
      <c r="H2003" s="714"/>
      <c r="I2003" s="714"/>
      <c r="J2003" s="714">
        <f>C2003*E2003</f>
        <v>0</v>
      </c>
      <c r="K2003" s="714">
        <f>I2003+J2003</f>
        <v>0</v>
      </c>
      <c r="L2003" s="714"/>
      <c r="M2003" s="714"/>
      <c r="N2003" s="714"/>
      <c r="O2003" s="753">
        <f>N2003+K2003+H2003</f>
        <v>0</v>
      </c>
      <c r="P2003" s="754"/>
    </row>
    <row r="2004" spans="1:89" ht="17.25" customHeight="1" x14ac:dyDescent="0.25">
      <c r="A2004" s="737"/>
      <c r="B2004" s="752"/>
      <c r="C2004" s="713"/>
      <c r="D2004" s="727"/>
      <c r="E2004" s="695"/>
      <c r="F2004" s="714"/>
      <c r="G2004" s="714"/>
      <c r="H2004" s="714"/>
      <c r="I2004" s="714"/>
      <c r="J2004" s="714"/>
      <c r="K2004" s="714"/>
      <c r="L2004" s="714"/>
      <c r="M2004" s="714"/>
      <c r="N2004" s="714"/>
      <c r="O2004" s="753"/>
      <c r="P2004" s="754"/>
    </row>
    <row r="2005" spans="1:89" ht="17.25" customHeight="1" x14ac:dyDescent="0.25">
      <c r="A2005" s="737" t="s">
        <v>2143</v>
      </c>
      <c r="B2005" s="1105" t="s">
        <v>885</v>
      </c>
      <c r="C2005" s="713"/>
      <c r="D2005" s="727"/>
      <c r="E2005" s="695"/>
      <c r="F2005" s="714"/>
      <c r="G2005" s="714"/>
      <c r="H2005" s="714"/>
      <c r="I2005" s="714"/>
      <c r="J2005" s="714">
        <f>C2005*E2005</f>
        <v>0</v>
      </c>
      <c r="K2005" s="714">
        <f>I2005+J2005</f>
        <v>0</v>
      </c>
      <c r="L2005" s="714"/>
      <c r="M2005" s="714"/>
      <c r="N2005" s="714"/>
      <c r="O2005" s="753">
        <f>N2005+K2005+H2005</f>
        <v>0</v>
      </c>
      <c r="P2005" s="754"/>
    </row>
    <row r="2006" spans="1:89" s="691" customFormat="1" ht="17.25" customHeight="1" x14ac:dyDescent="0.25">
      <c r="A2006" s="742"/>
      <c r="B2006" s="756" t="s">
        <v>1798</v>
      </c>
      <c r="C2006" s="713">
        <v>1</v>
      </c>
      <c r="D2006" s="727" t="s">
        <v>16</v>
      </c>
      <c r="E2006" s="695">
        <f>250000*9</f>
        <v>2250000</v>
      </c>
      <c r="F2006" s="747"/>
      <c r="G2006" s="747"/>
      <c r="H2006" s="747"/>
      <c r="I2006" s="747"/>
      <c r="J2006" s="747"/>
      <c r="K2006" s="747"/>
      <c r="L2006" s="747">
        <f>E2006*C2006</f>
        <v>2250000</v>
      </c>
      <c r="M2006" s="747">
        <v>0</v>
      </c>
      <c r="N2006" s="747">
        <f>M2006+L2006</f>
        <v>2250000</v>
      </c>
      <c r="O2006" s="748">
        <f>N2006+K2006+H2006</f>
        <v>2250000</v>
      </c>
      <c r="P2006" s="749"/>
      <c r="Q2006" s="679"/>
      <c r="R2006" s="679"/>
      <c r="S2006" s="679"/>
      <c r="T2006" s="679"/>
      <c r="U2006" s="679"/>
      <c r="V2006" s="679"/>
      <c r="W2006" s="679"/>
      <c r="X2006" s="679"/>
      <c r="Y2006" s="679"/>
      <c r="Z2006" s="679"/>
      <c r="AA2006" s="679"/>
      <c r="AB2006" s="679"/>
      <c r="AC2006" s="679"/>
      <c r="AD2006" s="679"/>
      <c r="AE2006" s="679"/>
      <c r="AF2006" s="679"/>
      <c r="AG2006" s="679"/>
      <c r="AH2006" s="679"/>
      <c r="AI2006" s="679"/>
      <c r="AJ2006" s="679"/>
      <c r="AK2006" s="679"/>
      <c r="AL2006" s="679"/>
      <c r="AM2006" s="679"/>
      <c r="AN2006" s="679"/>
      <c r="AO2006" s="679"/>
      <c r="AP2006" s="679"/>
      <c r="AQ2006" s="679"/>
      <c r="AR2006" s="679"/>
      <c r="AS2006" s="679"/>
      <c r="AT2006" s="679"/>
      <c r="AU2006" s="679"/>
      <c r="AV2006" s="679"/>
      <c r="AW2006" s="679"/>
      <c r="AX2006" s="679"/>
      <c r="AY2006" s="679"/>
      <c r="AZ2006" s="679"/>
      <c r="BA2006" s="679"/>
      <c r="BB2006" s="679"/>
      <c r="BC2006" s="679"/>
      <c r="BD2006" s="679"/>
      <c r="BE2006" s="679"/>
      <c r="BF2006" s="679"/>
      <c r="BG2006" s="679"/>
      <c r="BH2006" s="679"/>
      <c r="BI2006" s="679"/>
      <c r="BJ2006" s="679"/>
      <c r="BK2006" s="679"/>
      <c r="BL2006" s="679"/>
      <c r="BM2006" s="679"/>
      <c r="BN2006" s="679"/>
      <c r="BO2006" s="679"/>
      <c r="BP2006" s="679"/>
      <c r="BQ2006" s="679"/>
      <c r="BR2006" s="679"/>
      <c r="BS2006" s="679"/>
      <c r="BT2006" s="679"/>
      <c r="BU2006" s="679"/>
      <c r="BV2006" s="679"/>
      <c r="BW2006" s="679"/>
      <c r="BX2006" s="679"/>
      <c r="BY2006" s="679"/>
      <c r="BZ2006" s="679"/>
      <c r="CA2006" s="679"/>
      <c r="CB2006" s="679"/>
      <c r="CC2006" s="679"/>
      <c r="CD2006" s="679"/>
      <c r="CE2006" s="679"/>
      <c r="CF2006" s="679"/>
      <c r="CG2006" s="679"/>
      <c r="CH2006" s="679"/>
      <c r="CI2006" s="679"/>
      <c r="CJ2006" s="679"/>
      <c r="CK2006" s="679"/>
    </row>
    <row r="2007" spans="1:89" ht="17.25" customHeight="1" x14ac:dyDescent="0.25">
      <c r="A2007" s="742"/>
      <c r="B2007" s="711"/>
      <c r="C2007" s="713"/>
      <c r="D2007" s="757"/>
      <c r="E2007" s="758"/>
      <c r="F2007" s="714"/>
      <c r="G2007" s="714"/>
      <c r="H2007" s="714"/>
      <c r="I2007" s="714"/>
      <c r="J2007" s="714">
        <f>C2007*E2007</f>
        <v>0</v>
      </c>
      <c r="K2007" s="714">
        <f>I2007+J2007</f>
        <v>0</v>
      </c>
      <c r="L2007" s="714"/>
      <c r="M2007" s="714"/>
      <c r="N2007" s="714"/>
      <c r="O2007" s="753">
        <f>N2007+K2007+H2007</f>
        <v>0</v>
      </c>
      <c r="P2007" s="754"/>
    </row>
    <row r="2008" spans="1:89" ht="17.25" customHeight="1" x14ac:dyDescent="0.25">
      <c r="A2008" s="742" t="s">
        <v>2144</v>
      </c>
      <c r="B2008" s="1606" t="s">
        <v>886</v>
      </c>
      <c r="C2008" s="713">
        <v>1</v>
      </c>
      <c r="D2008" s="757" t="s">
        <v>188</v>
      </c>
      <c r="E2008" s="758"/>
      <c r="F2008" s="714"/>
      <c r="G2008" s="714"/>
      <c r="H2008" s="714"/>
      <c r="I2008" s="714"/>
      <c r="J2008" s="714">
        <f>C2008*E2008</f>
        <v>0</v>
      </c>
      <c r="K2008" s="714">
        <f>I2008+J2008</f>
        <v>0</v>
      </c>
      <c r="L2008" s="714"/>
      <c r="M2008" s="714"/>
      <c r="N2008" s="714"/>
      <c r="O2008" s="753">
        <f>N2008+K2008+H2008</f>
        <v>0</v>
      </c>
      <c r="P2008" s="754"/>
    </row>
    <row r="2009" spans="1:89" s="1108" customFormat="1" ht="17.25" customHeight="1" x14ac:dyDescent="0.25">
      <c r="A2009" s="1107"/>
      <c r="B2009" s="1607" t="s">
        <v>40</v>
      </c>
      <c r="C2009" s="1595"/>
      <c r="D2009" s="1608"/>
      <c r="E2009" s="1609"/>
      <c r="F2009" s="1589"/>
      <c r="G2009" s="1589"/>
      <c r="H2009" s="1589"/>
      <c r="I2009" s="1589"/>
      <c r="J2009" s="1590"/>
      <c r="K2009" s="1589"/>
      <c r="L2009" s="1589"/>
      <c r="M2009" s="1589"/>
      <c r="N2009" s="1589"/>
      <c r="O2009" s="1591"/>
      <c r="P2009" s="1592"/>
      <c r="Q2009" s="1626"/>
      <c r="R2009" s="1626"/>
      <c r="S2009" s="1626"/>
      <c r="T2009" s="1626"/>
      <c r="U2009" s="1626"/>
      <c r="V2009" s="1626"/>
      <c r="W2009" s="1626"/>
      <c r="X2009" s="1626"/>
      <c r="Y2009" s="1626"/>
      <c r="Z2009" s="1626"/>
      <c r="AA2009" s="1626"/>
      <c r="AB2009" s="1626"/>
      <c r="AC2009" s="1626"/>
      <c r="AD2009" s="1626"/>
      <c r="AE2009" s="1626"/>
      <c r="AF2009" s="1626"/>
      <c r="AG2009" s="1626"/>
      <c r="AH2009" s="1626"/>
      <c r="AI2009" s="1626"/>
      <c r="AJ2009" s="1626"/>
      <c r="AK2009" s="1626"/>
      <c r="AL2009" s="1626"/>
      <c r="AM2009" s="1626"/>
      <c r="AN2009" s="1626"/>
      <c r="AO2009" s="1626"/>
      <c r="AP2009" s="1626"/>
      <c r="AQ2009" s="1626"/>
      <c r="AR2009" s="1626"/>
      <c r="AS2009" s="1626"/>
      <c r="AT2009" s="1626"/>
      <c r="AU2009" s="1626"/>
      <c r="AV2009" s="1626"/>
      <c r="AW2009" s="1626"/>
      <c r="AX2009" s="1626"/>
      <c r="AY2009" s="1626"/>
      <c r="AZ2009" s="1626"/>
      <c r="BA2009" s="1626"/>
      <c r="BB2009" s="1626"/>
      <c r="BC2009" s="1626"/>
      <c r="BD2009" s="1626"/>
      <c r="BE2009" s="1626"/>
      <c r="BF2009" s="1626"/>
      <c r="BG2009" s="1626"/>
      <c r="BH2009" s="1626"/>
      <c r="BI2009" s="1626"/>
      <c r="BJ2009" s="1626"/>
      <c r="BK2009" s="1626"/>
      <c r="BL2009" s="1626"/>
      <c r="BM2009" s="1626"/>
      <c r="BN2009" s="1626"/>
      <c r="BO2009" s="1626"/>
      <c r="BP2009" s="1626"/>
      <c r="BQ2009" s="1626"/>
      <c r="BR2009" s="1626"/>
      <c r="BS2009" s="1626"/>
      <c r="BT2009" s="1626"/>
      <c r="BU2009" s="1626"/>
      <c r="BV2009" s="1626"/>
      <c r="BW2009" s="1626"/>
      <c r="BX2009" s="1626"/>
      <c r="BY2009" s="1626"/>
      <c r="BZ2009" s="1626"/>
      <c r="CA2009" s="1626"/>
      <c r="CB2009" s="1626"/>
      <c r="CC2009" s="1626"/>
      <c r="CD2009" s="1626"/>
      <c r="CE2009" s="1626"/>
      <c r="CF2009" s="1626"/>
      <c r="CG2009" s="1626"/>
      <c r="CH2009" s="1626"/>
      <c r="CI2009" s="1626"/>
      <c r="CJ2009" s="1626"/>
      <c r="CK2009" s="1626"/>
    </row>
    <row r="2010" spans="1:89" s="1108" customFormat="1" ht="17.25" customHeight="1" x14ac:dyDescent="0.25">
      <c r="A2010" s="1107"/>
      <c r="B2010" s="1607" t="s">
        <v>887</v>
      </c>
      <c r="C2010" s="1595">
        <v>1</v>
      </c>
      <c r="D2010" s="1608" t="s">
        <v>188</v>
      </c>
      <c r="E2010" s="1609">
        <v>25000</v>
      </c>
      <c r="F2010" s="1589"/>
      <c r="G2010" s="1589"/>
      <c r="H2010" s="1589"/>
      <c r="I2010" s="1589"/>
      <c r="J2010" s="1590">
        <f t="shared" ref="J2010:J2015" si="148">C2010*E2010</f>
        <v>25000</v>
      </c>
      <c r="K2010" s="1589">
        <f t="shared" ref="K2010:K2015" si="149">I2010+J2010</f>
        <v>25000</v>
      </c>
      <c r="L2010" s="1589"/>
      <c r="M2010" s="1589"/>
      <c r="N2010" s="1589"/>
      <c r="O2010" s="1591">
        <f t="shared" ref="O2010:O2015" si="150">N2010+K2010+H2010</f>
        <v>25000</v>
      </c>
      <c r="P2010" s="1592"/>
      <c r="Q2010" s="1626"/>
      <c r="R2010" s="1626"/>
      <c r="S2010" s="1626"/>
      <c r="T2010" s="1626"/>
      <c r="U2010" s="1626"/>
      <c r="V2010" s="1626"/>
      <c r="W2010" s="1626"/>
      <c r="X2010" s="1626"/>
      <c r="Y2010" s="1626"/>
      <c r="Z2010" s="1626"/>
      <c r="AA2010" s="1626"/>
      <c r="AB2010" s="1626"/>
      <c r="AC2010" s="1626"/>
      <c r="AD2010" s="1626"/>
      <c r="AE2010" s="1626"/>
      <c r="AF2010" s="1626"/>
      <c r="AG2010" s="1626"/>
      <c r="AH2010" s="1626"/>
      <c r="AI2010" s="1626"/>
      <c r="AJ2010" s="1626"/>
      <c r="AK2010" s="1626"/>
      <c r="AL2010" s="1626"/>
      <c r="AM2010" s="1626"/>
      <c r="AN2010" s="1626"/>
      <c r="AO2010" s="1626"/>
      <c r="AP2010" s="1626"/>
      <c r="AQ2010" s="1626"/>
      <c r="AR2010" s="1626"/>
      <c r="AS2010" s="1626"/>
      <c r="AT2010" s="1626"/>
      <c r="AU2010" s="1626"/>
      <c r="AV2010" s="1626"/>
      <c r="AW2010" s="1626"/>
      <c r="AX2010" s="1626"/>
      <c r="AY2010" s="1626"/>
      <c r="AZ2010" s="1626"/>
      <c r="BA2010" s="1626"/>
      <c r="BB2010" s="1626"/>
      <c r="BC2010" s="1626"/>
      <c r="BD2010" s="1626"/>
      <c r="BE2010" s="1626"/>
      <c r="BF2010" s="1626"/>
      <c r="BG2010" s="1626"/>
      <c r="BH2010" s="1626"/>
      <c r="BI2010" s="1626"/>
      <c r="BJ2010" s="1626"/>
      <c r="BK2010" s="1626"/>
      <c r="BL2010" s="1626"/>
      <c r="BM2010" s="1626"/>
      <c r="BN2010" s="1626"/>
      <c r="BO2010" s="1626"/>
      <c r="BP2010" s="1626"/>
      <c r="BQ2010" s="1626"/>
      <c r="BR2010" s="1626"/>
      <c r="BS2010" s="1626"/>
      <c r="BT2010" s="1626"/>
      <c r="BU2010" s="1626"/>
      <c r="BV2010" s="1626"/>
      <c r="BW2010" s="1626"/>
      <c r="BX2010" s="1626"/>
      <c r="BY2010" s="1626"/>
      <c r="BZ2010" s="1626"/>
      <c r="CA2010" s="1626"/>
      <c r="CB2010" s="1626"/>
      <c r="CC2010" s="1626"/>
      <c r="CD2010" s="1626"/>
      <c r="CE2010" s="1626"/>
      <c r="CF2010" s="1626"/>
      <c r="CG2010" s="1626"/>
      <c r="CH2010" s="1626"/>
      <c r="CI2010" s="1626"/>
      <c r="CJ2010" s="1626"/>
      <c r="CK2010" s="1626"/>
    </row>
    <row r="2011" spans="1:89" s="1108" customFormat="1" ht="17.25" customHeight="1" x14ac:dyDescent="0.25">
      <c r="A2011" s="1107"/>
      <c r="B2011" s="1607" t="s">
        <v>875</v>
      </c>
      <c r="C2011" s="1586"/>
      <c r="D2011" s="1600"/>
      <c r="E2011" s="1601"/>
      <c r="F2011" s="1589"/>
      <c r="G2011" s="1589"/>
      <c r="H2011" s="1589"/>
      <c r="I2011" s="1589"/>
      <c r="J2011" s="1590"/>
      <c r="K2011" s="1589"/>
      <c r="L2011" s="1589"/>
      <c r="M2011" s="1589"/>
      <c r="N2011" s="1589"/>
      <c r="O2011" s="1591"/>
      <c r="P2011" s="1592"/>
      <c r="Q2011" s="1626"/>
      <c r="R2011" s="1626"/>
      <c r="S2011" s="1626"/>
      <c r="T2011" s="1626"/>
      <c r="U2011" s="1626"/>
      <c r="V2011" s="1626"/>
      <c r="W2011" s="1626"/>
      <c r="X2011" s="1626"/>
      <c r="Y2011" s="1626"/>
      <c r="Z2011" s="1626"/>
      <c r="AA2011" s="1626"/>
      <c r="AB2011" s="1626"/>
      <c r="AC2011" s="1626"/>
      <c r="AD2011" s="1626"/>
      <c r="AE2011" s="1626"/>
      <c r="AF2011" s="1626"/>
      <c r="AG2011" s="1626"/>
      <c r="AH2011" s="1626"/>
      <c r="AI2011" s="1626"/>
      <c r="AJ2011" s="1626"/>
      <c r="AK2011" s="1626"/>
      <c r="AL2011" s="1626"/>
      <c r="AM2011" s="1626"/>
      <c r="AN2011" s="1626"/>
      <c r="AO2011" s="1626"/>
      <c r="AP2011" s="1626"/>
      <c r="AQ2011" s="1626"/>
      <c r="AR2011" s="1626"/>
      <c r="AS2011" s="1626"/>
      <c r="AT2011" s="1626"/>
      <c r="AU2011" s="1626"/>
      <c r="AV2011" s="1626"/>
      <c r="AW2011" s="1626"/>
      <c r="AX2011" s="1626"/>
      <c r="AY2011" s="1626"/>
      <c r="AZ2011" s="1626"/>
      <c r="BA2011" s="1626"/>
      <c r="BB2011" s="1626"/>
      <c r="BC2011" s="1626"/>
      <c r="BD2011" s="1626"/>
      <c r="BE2011" s="1626"/>
      <c r="BF2011" s="1626"/>
      <c r="BG2011" s="1626"/>
      <c r="BH2011" s="1626"/>
      <c r="BI2011" s="1626"/>
      <c r="BJ2011" s="1626"/>
      <c r="BK2011" s="1626"/>
      <c r="BL2011" s="1626"/>
      <c r="BM2011" s="1626"/>
      <c r="BN2011" s="1626"/>
      <c r="BO2011" s="1626"/>
      <c r="BP2011" s="1626"/>
      <c r="BQ2011" s="1626"/>
      <c r="BR2011" s="1626"/>
      <c r="BS2011" s="1626"/>
      <c r="BT2011" s="1626"/>
      <c r="BU2011" s="1626"/>
      <c r="BV2011" s="1626"/>
      <c r="BW2011" s="1626"/>
      <c r="BX2011" s="1626"/>
      <c r="BY2011" s="1626"/>
      <c r="BZ2011" s="1626"/>
      <c r="CA2011" s="1626"/>
      <c r="CB2011" s="1626"/>
      <c r="CC2011" s="1626"/>
      <c r="CD2011" s="1626"/>
      <c r="CE2011" s="1626"/>
      <c r="CF2011" s="1626"/>
      <c r="CG2011" s="1626"/>
      <c r="CH2011" s="1626"/>
      <c r="CI2011" s="1626"/>
      <c r="CJ2011" s="1626"/>
      <c r="CK2011" s="1626"/>
    </row>
    <row r="2012" spans="1:89" s="1108" customFormat="1" ht="17.25" customHeight="1" x14ac:dyDescent="0.25">
      <c r="A2012" s="1107"/>
      <c r="B2012" s="1607" t="s">
        <v>192</v>
      </c>
      <c r="C2012" s="1586">
        <v>21</v>
      </c>
      <c r="D2012" s="1600" t="s">
        <v>51</v>
      </c>
      <c r="E2012" s="1601">
        <v>1800</v>
      </c>
      <c r="F2012" s="1589"/>
      <c r="G2012" s="1589"/>
      <c r="H2012" s="1589"/>
      <c r="I2012" s="1589"/>
      <c r="J2012" s="1590">
        <f t="shared" si="148"/>
        <v>37800</v>
      </c>
      <c r="K2012" s="1589">
        <f t="shared" si="149"/>
        <v>37800</v>
      </c>
      <c r="L2012" s="1589"/>
      <c r="M2012" s="1589"/>
      <c r="N2012" s="1589"/>
      <c r="O2012" s="1591">
        <f t="shared" si="150"/>
        <v>37800</v>
      </c>
      <c r="P2012" s="1592"/>
      <c r="Q2012" s="1626"/>
      <c r="R2012" s="1626"/>
      <c r="S2012" s="1626"/>
      <c r="T2012" s="1626"/>
      <c r="U2012" s="1626"/>
      <c r="V2012" s="1626"/>
      <c r="W2012" s="1626"/>
      <c r="X2012" s="1626"/>
      <c r="Y2012" s="1626"/>
      <c r="Z2012" s="1626"/>
      <c r="AA2012" s="1626"/>
      <c r="AB2012" s="1626"/>
      <c r="AC2012" s="1626"/>
      <c r="AD2012" s="1626"/>
      <c r="AE2012" s="1626"/>
      <c r="AF2012" s="1626"/>
      <c r="AG2012" s="1626"/>
      <c r="AH2012" s="1626"/>
      <c r="AI2012" s="1626"/>
      <c r="AJ2012" s="1626"/>
      <c r="AK2012" s="1626"/>
      <c r="AL2012" s="1626"/>
      <c r="AM2012" s="1626"/>
      <c r="AN2012" s="1626"/>
      <c r="AO2012" s="1626"/>
      <c r="AP2012" s="1626"/>
      <c r="AQ2012" s="1626"/>
      <c r="AR2012" s="1626"/>
      <c r="AS2012" s="1626"/>
      <c r="AT2012" s="1626"/>
      <c r="AU2012" s="1626"/>
      <c r="AV2012" s="1626"/>
      <c r="AW2012" s="1626"/>
      <c r="AX2012" s="1626"/>
      <c r="AY2012" s="1626"/>
      <c r="AZ2012" s="1626"/>
      <c r="BA2012" s="1626"/>
      <c r="BB2012" s="1626"/>
      <c r="BC2012" s="1626"/>
      <c r="BD2012" s="1626"/>
      <c r="BE2012" s="1626"/>
      <c r="BF2012" s="1626"/>
      <c r="BG2012" s="1626"/>
      <c r="BH2012" s="1626"/>
      <c r="BI2012" s="1626"/>
      <c r="BJ2012" s="1626"/>
      <c r="BK2012" s="1626"/>
      <c r="BL2012" s="1626"/>
      <c r="BM2012" s="1626"/>
      <c r="BN2012" s="1626"/>
      <c r="BO2012" s="1626"/>
      <c r="BP2012" s="1626"/>
      <c r="BQ2012" s="1626"/>
      <c r="BR2012" s="1626"/>
      <c r="BS2012" s="1626"/>
      <c r="BT2012" s="1626"/>
      <c r="BU2012" s="1626"/>
      <c r="BV2012" s="1626"/>
      <c r="BW2012" s="1626"/>
      <c r="BX2012" s="1626"/>
      <c r="BY2012" s="1626"/>
      <c r="BZ2012" s="1626"/>
      <c r="CA2012" s="1626"/>
      <c r="CB2012" s="1626"/>
      <c r="CC2012" s="1626"/>
      <c r="CD2012" s="1626"/>
      <c r="CE2012" s="1626"/>
      <c r="CF2012" s="1626"/>
      <c r="CG2012" s="1626"/>
      <c r="CH2012" s="1626"/>
      <c r="CI2012" s="1626"/>
      <c r="CJ2012" s="1626"/>
      <c r="CK2012" s="1626"/>
    </row>
    <row r="2013" spans="1:89" s="1108" customFormat="1" ht="17.25" customHeight="1" x14ac:dyDescent="0.25">
      <c r="A2013" s="1107"/>
      <c r="B2013" s="1607" t="s">
        <v>1262</v>
      </c>
      <c r="C2013" s="1586">
        <f>21*9*3</f>
        <v>567</v>
      </c>
      <c r="D2013" s="1600" t="s">
        <v>55</v>
      </c>
      <c r="E2013" s="1601">
        <v>380</v>
      </c>
      <c r="F2013" s="1589"/>
      <c r="G2013" s="1589"/>
      <c r="H2013" s="1589"/>
      <c r="I2013" s="1589"/>
      <c r="J2013" s="1590">
        <f t="shared" si="148"/>
        <v>215460</v>
      </c>
      <c r="K2013" s="1589">
        <f t="shared" si="149"/>
        <v>215460</v>
      </c>
      <c r="L2013" s="1589"/>
      <c r="M2013" s="1589"/>
      <c r="N2013" s="1589"/>
      <c r="O2013" s="1591">
        <f t="shared" si="150"/>
        <v>215460</v>
      </c>
      <c r="P2013" s="1592"/>
      <c r="Q2013" s="1626"/>
      <c r="R2013" s="1626"/>
      <c r="S2013" s="1626"/>
      <c r="T2013" s="1626"/>
      <c r="U2013" s="1626"/>
      <c r="V2013" s="1626"/>
      <c r="W2013" s="1626"/>
      <c r="X2013" s="1626"/>
      <c r="Y2013" s="1626"/>
      <c r="Z2013" s="1626"/>
      <c r="AA2013" s="1626"/>
      <c r="AB2013" s="1626"/>
      <c r="AC2013" s="1626"/>
      <c r="AD2013" s="1626"/>
      <c r="AE2013" s="1626"/>
      <c r="AF2013" s="1626"/>
      <c r="AG2013" s="1626"/>
      <c r="AH2013" s="1626"/>
      <c r="AI2013" s="1626"/>
      <c r="AJ2013" s="1626"/>
      <c r="AK2013" s="1626"/>
      <c r="AL2013" s="1626"/>
      <c r="AM2013" s="1626"/>
      <c r="AN2013" s="1626"/>
      <c r="AO2013" s="1626"/>
      <c r="AP2013" s="1626"/>
      <c r="AQ2013" s="1626"/>
      <c r="AR2013" s="1626"/>
      <c r="AS2013" s="1626"/>
      <c r="AT2013" s="1626"/>
      <c r="AU2013" s="1626"/>
      <c r="AV2013" s="1626"/>
      <c r="AW2013" s="1626"/>
      <c r="AX2013" s="1626"/>
      <c r="AY2013" s="1626"/>
      <c r="AZ2013" s="1626"/>
      <c r="BA2013" s="1626"/>
      <c r="BB2013" s="1626"/>
      <c r="BC2013" s="1626"/>
      <c r="BD2013" s="1626"/>
      <c r="BE2013" s="1626"/>
      <c r="BF2013" s="1626"/>
      <c r="BG2013" s="1626"/>
      <c r="BH2013" s="1626"/>
      <c r="BI2013" s="1626"/>
      <c r="BJ2013" s="1626"/>
      <c r="BK2013" s="1626"/>
      <c r="BL2013" s="1626"/>
      <c r="BM2013" s="1626"/>
      <c r="BN2013" s="1626"/>
      <c r="BO2013" s="1626"/>
      <c r="BP2013" s="1626"/>
      <c r="BQ2013" s="1626"/>
      <c r="BR2013" s="1626"/>
      <c r="BS2013" s="1626"/>
      <c r="BT2013" s="1626"/>
      <c r="BU2013" s="1626"/>
      <c r="BV2013" s="1626"/>
      <c r="BW2013" s="1626"/>
      <c r="BX2013" s="1626"/>
      <c r="BY2013" s="1626"/>
      <c r="BZ2013" s="1626"/>
      <c r="CA2013" s="1626"/>
      <c r="CB2013" s="1626"/>
      <c r="CC2013" s="1626"/>
      <c r="CD2013" s="1626"/>
      <c r="CE2013" s="1626"/>
      <c r="CF2013" s="1626"/>
      <c r="CG2013" s="1626"/>
      <c r="CH2013" s="1626"/>
      <c r="CI2013" s="1626"/>
      <c r="CJ2013" s="1626"/>
      <c r="CK2013" s="1626"/>
    </row>
    <row r="2014" spans="1:89" s="1108" customFormat="1" ht="17.25" customHeight="1" x14ac:dyDescent="0.25">
      <c r="A2014" s="1107"/>
      <c r="B2014" s="1607" t="s">
        <v>193</v>
      </c>
      <c r="C2014" s="1586">
        <f>21*2</f>
        <v>42</v>
      </c>
      <c r="D2014" s="1600" t="s">
        <v>55</v>
      </c>
      <c r="E2014" s="1601">
        <v>614</v>
      </c>
      <c r="F2014" s="1589"/>
      <c r="G2014" s="1589"/>
      <c r="H2014" s="1589"/>
      <c r="I2014" s="1589"/>
      <c r="J2014" s="1590">
        <f t="shared" si="148"/>
        <v>25788</v>
      </c>
      <c r="K2014" s="1589">
        <f t="shared" si="149"/>
        <v>25788</v>
      </c>
      <c r="L2014" s="1589"/>
      <c r="M2014" s="1589"/>
      <c r="N2014" s="1589"/>
      <c r="O2014" s="1591">
        <f t="shared" si="150"/>
        <v>25788</v>
      </c>
      <c r="P2014" s="1592"/>
      <c r="Q2014" s="1626"/>
      <c r="R2014" s="1626"/>
      <c r="S2014" s="1626"/>
      <c r="T2014" s="1626"/>
      <c r="U2014" s="1626"/>
      <c r="V2014" s="1626"/>
      <c r="W2014" s="1626"/>
      <c r="X2014" s="1626"/>
      <c r="Y2014" s="1626"/>
      <c r="Z2014" s="1626"/>
      <c r="AA2014" s="1626"/>
      <c r="AB2014" s="1626"/>
      <c r="AC2014" s="1626"/>
      <c r="AD2014" s="1626"/>
      <c r="AE2014" s="1626"/>
      <c r="AF2014" s="1626"/>
      <c r="AG2014" s="1626"/>
      <c r="AH2014" s="1626"/>
      <c r="AI2014" s="1626"/>
      <c r="AJ2014" s="1626"/>
      <c r="AK2014" s="1626"/>
      <c r="AL2014" s="1626"/>
      <c r="AM2014" s="1626"/>
      <c r="AN2014" s="1626"/>
      <c r="AO2014" s="1626"/>
      <c r="AP2014" s="1626"/>
      <c r="AQ2014" s="1626"/>
      <c r="AR2014" s="1626"/>
      <c r="AS2014" s="1626"/>
      <c r="AT2014" s="1626"/>
      <c r="AU2014" s="1626"/>
      <c r="AV2014" s="1626"/>
      <c r="AW2014" s="1626"/>
      <c r="AX2014" s="1626"/>
      <c r="AY2014" s="1626"/>
      <c r="AZ2014" s="1626"/>
      <c r="BA2014" s="1626"/>
      <c r="BB2014" s="1626"/>
      <c r="BC2014" s="1626"/>
      <c r="BD2014" s="1626"/>
      <c r="BE2014" s="1626"/>
      <c r="BF2014" s="1626"/>
      <c r="BG2014" s="1626"/>
      <c r="BH2014" s="1626"/>
      <c r="BI2014" s="1626"/>
      <c r="BJ2014" s="1626"/>
      <c r="BK2014" s="1626"/>
      <c r="BL2014" s="1626"/>
      <c r="BM2014" s="1626"/>
      <c r="BN2014" s="1626"/>
      <c r="BO2014" s="1626"/>
      <c r="BP2014" s="1626"/>
      <c r="BQ2014" s="1626"/>
      <c r="BR2014" s="1626"/>
      <c r="BS2014" s="1626"/>
      <c r="BT2014" s="1626"/>
      <c r="BU2014" s="1626"/>
      <c r="BV2014" s="1626"/>
      <c r="BW2014" s="1626"/>
      <c r="BX2014" s="1626"/>
      <c r="BY2014" s="1626"/>
      <c r="BZ2014" s="1626"/>
      <c r="CA2014" s="1626"/>
      <c r="CB2014" s="1626"/>
      <c r="CC2014" s="1626"/>
      <c r="CD2014" s="1626"/>
      <c r="CE2014" s="1626"/>
      <c r="CF2014" s="1626"/>
      <c r="CG2014" s="1626"/>
      <c r="CH2014" s="1626"/>
      <c r="CI2014" s="1626"/>
      <c r="CJ2014" s="1626"/>
      <c r="CK2014" s="1626"/>
    </row>
    <row r="2015" spans="1:89" s="1108" customFormat="1" ht="17.25" customHeight="1" x14ac:dyDescent="0.25">
      <c r="A2015" s="1107"/>
      <c r="B2015" s="1607" t="s">
        <v>2116</v>
      </c>
      <c r="C2015" s="1586">
        <f>C2012*2</f>
        <v>42</v>
      </c>
      <c r="D2015" s="1600" t="s">
        <v>51</v>
      </c>
      <c r="E2015" s="1601">
        <v>80</v>
      </c>
      <c r="F2015" s="1589"/>
      <c r="G2015" s="1589"/>
      <c r="H2015" s="1589"/>
      <c r="I2015" s="1589"/>
      <c r="J2015" s="1590">
        <f t="shared" si="148"/>
        <v>3360</v>
      </c>
      <c r="K2015" s="1589">
        <f t="shared" si="149"/>
        <v>3360</v>
      </c>
      <c r="L2015" s="1589"/>
      <c r="M2015" s="1589"/>
      <c r="N2015" s="1589"/>
      <c r="O2015" s="1591">
        <f t="shared" si="150"/>
        <v>3360</v>
      </c>
      <c r="P2015" s="1592"/>
      <c r="Q2015" s="1626"/>
      <c r="R2015" s="1626"/>
      <c r="S2015" s="1626"/>
      <c r="T2015" s="1626"/>
      <c r="U2015" s="1626"/>
      <c r="V2015" s="1626"/>
      <c r="W2015" s="1626"/>
      <c r="X2015" s="1626"/>
      <c r="Y2015" s="1626"/>
      <c r="Z2015" s="1626"/>
      <c r="AA2015" s="1626"/>
      <c r="AB2015" s="1626"/>
      <c r="AC2015" s="1626"/>
      <c r="AD2015" s="1626"/>
      <c r="AE2015" s="1626"/>
      <c r="AF2015" s="1626"/>
      <c r="AG2015" s="1626"/>
      <c r="AH2015" s="1626"/>
      <c r="AI2015" s="1626"/>
      <c r="AJ2015" s="1626"/>
      <c r="AK2015" s="1626"/>
      <c r="AL2015" s="1626"/>
      <c r="AM2015" s="1626"/>
      <c r="AN2015" s="1626"/>
      <c r="AO2015" s="1626"/>
      <c r="AP2015" s="1626"/>
      <c r="AQ2015" s="1626"/>
      <c r="AR2015" s="1626"/>
      <c r="AS2015" s="1626"/>
      <c r="AT2015" s="1626"/>
      <c r="AU2015" s="1626"/>
      <c r="AV2015" s="1626"/>
      <c r="AW2015" s="1626"/>
      <c r="AX2015" s="1626"/>
      <c r="AY2015" s="1626"/>
      <c r="AZ2015" s="1626"/>
      <c r="BA2015" s="1626"/>
      <c r="BB2015" s="1626"/>
      <c r="BC2015" s="1626"/>
      <c r="BD2015" s="1626"/>
      <c r="BE2015" s="1626"/>
      <c r="BF2015" s="1626"/>
      <c r="BG2015" s="1626"/>
      <c r="BH2015" s="1626"/>
      <c r="BI2015" s="1626"/>
      <c r="BJ2015" s="1626"/>
      <c r="BK2015" s="1626"/>
      <c r="BL2015" s="1626"/>
      <c r="BM2015" s="1626"/>
      <c r="BN2015" s="1626"/>
      <c r="BO2015" s="1626"/>
      <c r="BP2015" s="1626"/>
      <c r="BQ2015" s="1626"/>
      <c r="BR2015" s="1626"/>
      <c r="BS2015" s="1626"/>
      <c r="BT2015" s="1626"/>
      <c r="BU2015" s="1626"/>
      <c r="BV2015" s="1626"/>
      <c r="BW2015" s="1626"/>
      <c r="BX2015" s="1626"/>
      <c r="BY2015" s="1626"/>
      <c r="BZ2015" s="1626"/>
      <c r="CA2015" s="1626"/>
      <c r="CB2015" s="1626"/>
      <c r="CC2015" s="1626"/>
      <c r="CD2015" s="1626"/>
      <c r="CE2015" s="1626"/>
      <c r="CF2015" s="1626"/>
      <c r="CG2015" s="1626"/>
      <c r="CH2015" s="1626"/>
      <c r="CI2015" s="1626"/>
      <c r="CJ2015" s="1626"/>
      <c r="CK2015" s="1626"/>
    </row>
    <row r="2016" spans="1:89" ht="17.25" customHeight="1" x14ac:dyDescent="0.25">
      <c r="A2016" s="742"/>
      <c r="B2016" s="924"/>
      <c r="C2016" s="699"/>
      <c r="D2016" s="762"/>
      <c r="E2016" s="700"/>
      <c r="F2016" s="714"/>
      <c r="G2016" s="714"/>
      <c r="H2016" s="714"/>
      <c r="I2016" s="714"/>
      <c r="J2016" s="714">
        <f>C2016*E2016</f>
        <v>0</v>
      </c>
      <c r="K2016" s="714">
        <f>I2016+J2016</f>
        <v>0</v>
      </c>
      <c r="L2016" s="714"/>
      <c r="M2016" s="714"/>
      <c r="N2016" s="714"/>
      <c r="O2016" s="753">
        <f>N2016+K2016+H2016</f>
        <v>0</v>
      </c>
      <c r="P2016" s="754"/>
    </row>
    <row r="2017" spans="1:89" ht="17.25" customHeight="1" x14ac:dyDescent="0.25">
      <c r="A2017" s="737" t="s">
        <v>2145</v>
      </c>
      <c r="B2017" s="1610" t="s">
        <v>894</v>
      </c>
      <c r="C2017" s="699">
        <v>1</v>
      </c>
      <c r="D2017" s="762" t="s">
        <v>895</v>
      </c>
      <c r="E2017" s="700">
        <v>130000</v>
      </c>
      <c r="F2017" s="714"/>
      <c r="G2017" s="714"/>
      <c r="H2017" s="714"/>
      <c r="I2017" s="714"/>
      <c r="J2017" s="714">
        <f>C2017*E2017</f>
        <v>130000</v>
      </c>
      <c r="K2017" s="714">
        <f>I2017+J2017</f>
        <v>130000</v>
      </c>
      <c r="L2017" s="714"/>
      <c r="M2017" s="714"/>
      <c r="N2017" s="714"/>
      <c r="O2017" s="753">
        <f>N2017+K2017+H2017</f>
        <v>130000</v>
      </c>
      <c r="P2017" s="754"/>
    </row>
    <row r="2018" spans="1:89" ht="17.25" customHeight="1" x14ac:dyDescent="0.25">
      <c r="A2018" s="742"/>
      <c r="B2018" s="924"/>
      <c r="C2018" s="699"/>
      <c r="D2018" s="762"/>
      <c r="E2018" s="700"/>
      <c r="F2018" s="714"/>
      <c r="G2018" s="714"/>
      <c r="H2018" s="714"/>
      <c r="I2018" s="714"/>
      <c r="J2018" s="714"/>
      <c r="K2018" s="714"/>
      <c r="L2018" s="714"/>
      <c r="M2018" s="714"/>
      <c r="N2018" s="714"/>
      <c r="O2018" s="753"/>
      <c r="P2018" s="754"/>
    </row>
    <row r="2019" spans="1:89" s="1108" customFormat="1" ht="17.25" customHeight="1" x14ac:dyDescent="0.25">
      <c r="A2019" s="1596" t="s">
        <v>2147</v>
      </c>
      <c r="B2019" s="1611" t="s">
        <v>896</v>
      </c>
      <c r="C2019" s="1586"/>
      <c r="D2019" s="1600"/>
      <c r="E2019" s="1601"/>
      <c r="F2019" s="1589"/>
      <c r="G2019" s="1589"/>
      <c r="H2019" s="1589"/>
      <c r="I2019" s="1589"/>
      <c r="J2019" s="1590"/>
      <c r="K2019" s="1589"/>
      <c r="L2019" s="1589"/>
      <c r="M2019" s="1589"/>
      <c r="N2019" s="1589"/>
      <c r="O2019" s="1591"/>
      <c r="P2019" s="1592"/>
      <c r="Q2019" s="1626"/>
      <c r="R2019" s="1626"/>
      <c r="S2019" s="1626"/>
      <c r="T2019" s="1626"/>
      <c r="U2019" s="1626"/>
      <c r="V2019" s="1626"/>
      <c r="W2019" s="1626"/>
      <c r="X2019" s="1626"/>
      <c r="Y2019" s="1626"/>
      <c r="Z2019" s="1626"/>
      <c r="AA2019" s="1626"/>
      <c r="AB2019" s="1626"/>
      <c r="AC2019" s="1626"/>
      <c r="AD2019" s="1626"/>
      <c r="AE2019" s="1626"/>
      <c r="AF2019" s="1626"/>
      <c r="AG2019" s="1626"/>
      <c r="AH2019" s="1626"/>
      <c r="AI2019" s="1626"/>
      <c r="AJ2019" s="1626"/>
      <c r="AK2019" s="1626"/>
      <c r="AL2019" s="1626"/>
      <c r="AM2019" s="1626"/>
      <c r="AN2019" s="1626"/>
      <c r="AO2019" s="1626"/>
      <c r="AP2019" s="1626"/>
      <c r="AQ2019" s="1626"/>
      <c r="AR2019" s="1626"/>
      <c r="AS2019" s="1626"/>
      <c r="AT2019" s="1626"/>
      <c r="AU2019" s="1626"/>
      <c r="AV2019" s="1626"/>
      <c r="AW2019" s="1626"/>
      <c r="AX2019" s="1626"/>
      <c r="AY2019" s="1626"/>
      <c r="AZ2019" s="1626"/>
      <c r="BA2019" s="1626"/>
      <c r="BB2019" s="1626"/>
      <c r="BC2019" s="1626"/>
      <c r="BD2019" s="1626"/>
      <c r="BE2019" s="1626"/>
      <c r="BF2019" s="1626"/>
      <c r="BG2019" s="1626"/>
      <c r="BH2019" s="1626"/>
      <c r="BI2019" s="1626"/>
      <c r="BJ2019" s="1626"/>
      <c r="BK2019" s="1626"/>
      <c r="BL2019" s="1626"/>
      <c r="BM2019" s="1626"/>
      <c r="BN2019" s="1626"/>
      <c r="BO2019" s="1626"/>
      <c r="BP2019" s="1626"/>
      <c r="BQ2019" s="1626"/>
      <c r="BR2019" s="1626"/>
      <c r="BS2019" s="1626"/>
      <c r="BT2019" s="1626"/>
      <c r="BU2019" s="1626"/>
      <c r="BV2019" s="1626"/>
      <c r="BW2019" s="1626"/>
      <c r="BX2019" s="1626"/>
      <c r="BY2019" s="1626"/>
      <c r="BZ2019" s="1626"/>
      <c r="CA2019" s="1626"/>
      <c r="CB2019" s="1626"/>
      <c r="CC2019" s="1626"/>
      <c r="CD2019" s="1626"/>
      <c r="CE2019" s="1626"/>
      <c r="CF2019" s="1626"/>
      <c r="CG2019" s="1626"/>
      <c r="CH2019" s="1626"/>
      <c r="CI2019" s="1626"/>
      <c r="CJ2019" s="1626"/>
      <c r="CK2019" s="1626"/>
    </row>
    <row r="2020" spans="1:89" s="1108" customFormat="1" ht="17.25" customHeight="1" x14ac:dyDescent="0.25">
      <c r="A2020" s="1107"/>
      <c r="B2020" s="1607" t="s">
        <v>897</v>
      </c>
      <c r="C2020" s="1586"/>
      <c r="D2020" s="1600"/>
      <c r="E2020" s="1601"/>
      <c r="F2020" s="1589"/>
      <c r="G2020" s="1589"/>
      <c r="H2020" s="1589"/>
      <c r="I2020" s="1589"/>
      <c r="J2020" s="1590"/>
      <c r="K2020" s="1589"/>
      <c r="L2020" s="1589"/>
      <c r="M2020" s="1589"/>
      <c r="N2020" s="1589"/>
      <c r="O2020" s="1591"/>
      <c r="P2020" s="1592"/>
      <c r="Q2020" s="1626"/>
      <c r="R2020" s="1626"/>
      <c r="S2020" s="1626"/>
      <c r="T2020" s="1626"/>
      <c r="U2020" s="1626"/>
      <c r="V2020" s="1626"/>
      <c r="W2020" s="1626"/>
      <c r="X2020" s="1626"/>
      <c r="Y2020" s="1626"/>
      <c r="Z2020" s="1626"/>
      <c r="AA2020" s="1626"/>
      <c r="AB2020" s="1626"/>
      <c r="AC2020" s="1626"/>
      <c r="AD2020" s="1626"/>
      <c r="AE2020" s="1626"/>
      <c r="AF2020" s="1626"/>
      <c r="AG2020" s="1626"/>
      <c r="AH2020" s="1626"/>
      <c r="AI2020" s="1626"/>
      <c r="AJ2020" s="1626"/>
      <c r="AK2020" s="1626"/>
      <c r="AL2020" s="1626"/>
      <c r="AM2020" s="1626"/>
      <c r="AN2020" s="1626"/>
      <c r="AO2020" s="1626"/>
      <c r="AP2020" s="1626"/>
      <c r="AQ2020" s="1626"/>
      <c r="AR2020" s="1626"/>
      <c r="AS2020" s="1626"/>
      <c r="AT2020" s="1626"/>
      <c r="AU2020" s="1626"/>
      <c r="AV2020" s="1626"/>
      <c r="AW2020" s="1626"/>
      <c r="AX2020" s="1626"/>
      <c r="AY2020" s="1626"/>
      <c r="AZ2020" s="1626"/>
      <c r="BA2020" s="1626"/>
      <c r="BB2020" s="1626"/>
      <c r="BC2020" s="1626"/>
      <c r="BD2020" s="1626"/>
      <c r="BE2020" s="1626"/>
      <c r="BF2020" s="1626"/>
      <c r="BG2020" s="1626"/>
      <c r="BH2020" s="1626"/>
      <c r="BI2020" s="1626"/>
      <c r="BJ2020" s="1626"/>
      <c r="BK2020" s="1626"/>
      <c r="BL2020" s="1626"/>
      <c r="BM2020" s="1626"/>
      <c r="BN2020" s="1626"/>
      <c r="BO2020" s="1626"/>
      <c r="BP2020" s="1626"/>
      <c r="BQ2020" s="1626"/>
      <c r="BR2020" s="1626"/>
      <c r="BS2020" s="1626"/>
      <c r="BT2020" s="1626"/>
      <c r="BU2020" s="1626"/>
      <c r="BV2020" s="1626"/>
      <c r="BW2020" s="1626"/>
      <c r="BX2020" s="1626"/>
      <c r="BY2020" s="1626"/>
      <c r="BZ2020" s="1626"/>
      <c r="CA2020" s="1626"/>
      <c r="CB2020" s="1626"/>
      <c r="CC2020" s="1626"/>
      <c r="CD2020" s="1626"/>
      <c r="CE2020" s="1626"/>
      <c r="CF2020" s="1626"/>
      <c r="CG2020" s="1626"/>
      <c r="CH2020" s="1626"/>
      <c r="CI2020" s="1626"/>
      <c r="CJ2020" s="1626"/>
      <c r="CK2020" s="1626"/>
    </row>
    <row r="2021" spans="1:89" s="1108" customFormat="1" ht="17.25" customHeight="1" x14ac:dyDescent="0.25">
      <c r="A2021" s="1107"/>
      <c r="B2021" s="1607" t="s">
        <v>315</v>
      </c>
      <c r="C2021" s="1586"/>
      <c r="D2021" s="1600"/>
      <c r="E2021" s="1601"/>
      <c r="F2021" s="1590"/>
      <c r="G2021" s="1590"/>
      <c r="H2021" s="1590"/>
      <c r="I2021" s="1589"/>
      <c r="J2021" s="1590"/>
      <c r="K2021" s="1589"/>
      <c r="L2021" s="1589"/>
      <c r="M2021" s="1589"/>
      <c r="N2021" s="1589"/>
      <c r="O2021" s="1591"/>
      <c r="P2021" s="1592"/>
      <c r="Q2021" s="1626"/>
      <c r="R2021" s="1626"/>
      <c r="S2021" s="1626"/>
      <c r="T2021" s="1626"/>
      <c r="U2021" s="1626"/>
      <c r="V2021" s="1626"/>
      <c r="W2021" s="1626"/>
      <c r="X2021" s="1626"/>
      <c r="Y2021" s="1626"/>
      <c r="Z2021" s="1626"/>
      <c r="AA2021" s="1626"/>
      <c r="AB2021" s="1626"/>
      <c r="AC2021" s="1626"/>
      <c r="AD2021" s="1626"/>
      <c r="AE2021" s="1626"/>
      <c r="AF2021" s="1626"/>
      <c r="AG2021" s="1626"/>
      <c r="AH2021" s="1626"/>
      <c r="AI2021" s="1626"/>
      <c r="AJ2021" s="1626"/>
      <c r="AK2021" s="1626"/>
      <c r="AL2021" s="1626"/>
      <c r="AM2021" s="1626"/>
      <c r="AN2021" s="1626"/>
      <c r="AO2021" s="1626"/>
      <c r="AP2021" s="1626"/>
      <c r="AQ2021" s="1626"/>
      <c r="AR2021" s="1626"/>
      <c r="AS2021" s="1626"/>
      <c r="AT2021" s="1626"/>
      <c r="AU2021" s="1626"/>
      <c r="AV2021" s="1626"/>
      <c r="AW2021" s="1626"/>
      <c r="AX2021" s="1626"/>
      <c r="AY2021" s="1626"/>
      <c r="AZ2021" s="1626"/>
      <c r="BA2021" s="1626"/>
      <c r="BB2021" s="1626"/>
      <c r="BC2021" s="1626"/>
      <c r="BD2021" s="1626"/>
      <c r="BE2021" s="1626"/>
      <c r="BF2021" s="1626"/>
      <c r="BG2021" s="1626"/>
      <c r="BH2021" s="1626"/>
      <c r="BI2021" s="1626"/>
      <c r="BJ2021" s="1626"/>
      <c r="BK2021" s="1626"/>
      <c r="BL2021" s="1626"/>
      <c r="BM2021" s="1626"/>
      <c r="BN2021" s="1626"/>
      <c r="BO2021" s="1626"/>
      <c r="BP2021" s="1626"/>
      <c r="BQ2021" s="1626"/>
      <c r="BR2021" s="1626"/>
      <c r="BS2021" s="1626"/>
      <c r="BT2021" s="1626"/>
      <c r="BU2021" s="1626"/>
      <c r="BV2021" s="1626"/>
      <c r="BW2021" s="1626"/>
      <c r="BX2021" s="1626"/>
      <c r="BY2021" s="1626"/>
      <c r="BZ2021" s="1626"/>
      <c r="CA2021" s="1626"/>
      <c r="CB2021" s="1626"/>
      <c r="CC2021" s="1626"/>
      <c r="CD2021" s="1626"/>
      <c r="CE2021" s="1626"/>
      <c r="CF2021" s="1626"/>
      <c r="CG2021" s="1626"/>
      <c r="CH2021" s="1626"/>
      <c r="CI2021" s="1626"/>
      <c r="CJ2021" s="1626"/>
      <c r="CK2021" s="1626"/>
    </row>
    <row r="2022" spans="1:89" s="1108" customFormat="1" ht="17.25" customHeight="1" x14ac:dyDescent="0.25">
      <c r="A2022" s="1107"/>
      <c r="B2022" s="1607" t="s">
        <v>236</v>
      </c>
      <c r="C2022" s="1586">
        <v>12</v>
      </c>
      <c r="D2022" s="1600" t="s">
        <v>20</v>
      </c>
      <c r="E2022" s="1590">
        <v>1580</v>
      </c>
      <c r="F2022" s="1590"/>
      <c r="G2022" s="1590"/>
      <c r="H2022" s="1590"/>
      <c r="I2022" s="1590"/>
      <c r="J2022" s="1590">
        <f>C2022*E2022</f>
        <v>18960</v>
      </c>
      <c r="K2022" s="1589">
        <f>I2022+J2022</f>
        <v>18960</v>
      </c>
      <c r="L2022" s="1589"/>
      <c r="M2022" s="1589"/>
      <c r="N2022" s="1589"/>
      <c r="O2022" s="1591">
        <f t="shared" ref="O2022:O2076" si="151">N2022+K2022+H2022</f>
        <v>18960</v>
      </c>
      <c r="P2022" s="1592"/>
      <c r="Q2022" s="1626"/>
      <c r="R2022" s="1626"/>
      <c r="S2022" s="1626"/>
      <c r="T2022" s="1626"/>
      <c r="U2022" s="1626"/>
      <c r="V2022" s="1626"/>
      <c r="W2022" s="1626"/>
      <c r="X2022" s="1626"/>
      <c r="Y2022" s="1626"/>
      <c r="Z2022" s="1626"/>
      <c r="AA2022" s="1626"/>
      <c r="AB2022" s="1626"/>
      <c r="AC2022" s="1626"/>
      <c r="AD2022" s="1626"/>
      <c r="AE2022" s="1626"/>
      <c r="AF2022" s="1626"/>
      <c r="AG2022" s="1626"/>
      <c r="AH2022" s="1626"/>
      <c r="AI2022" s="1626"/>
      <c r="AJ2022" s="1626"/>
      <c r="AK2022" s="1626"/>
      <c r="AL2022" s="1626"/>
      <c r="AM2022" s="1626"/>
      <c r="AN2022" s="1626"/>
      <c r="AO2022" s="1626"/>
      <c r="AP2022" s="1626"/>
      <c r="AQ2022" s="1626"/>
      <c r="AR2022" s="1626"/>
      <c r="AS2022" s="1626"/>
      <c r="AT2022" s="1626"/>
      <c r="AU2022" s="1626"/>
      <c r="AV2022" s="1626"/>
      <c r="AW2022" s="1626"/>
      <c r="AX2022" s="1626"/>
      <c r="AY2022" s="1626"/>
      <c r="AZ2022" s="1626"/>
      <c r="BA2022" s="1626"/>
      <c r="BB2022" s="1626"/>
      <c r="BC2022" s="1626"/>
      <c r="BD2022" s="1626"/>
      <c r="BE2022" s="1626"/>
      <c r="BF2022" s="1626"/>
      <c r="BG2022" s="1626"/>
      <c r="BH2022" s="1626"/>
      <c r="BI2022" s="1626"/>
      <c r="BJ2022" s="1626"/>
      <c r="BK2022" s="1626"/>
      <c r="BL2022" s="1626"/>
      <c r="BM2022" s="1626"/>
      <c r="BN2022" s="1626"/>
      <c r="BO2022" s="1626"/>
      <c r="BP2022" s="1626"/>
      <c r="BQ2022" s="1626"/>
      <c r="BR2022" s="1626"/>
      <c r="BS2022" s="1626"/>
      <c r="BT2022" s="1626"/>
      <c r="BU2022" s="1626"/>
      <c r="BV2022" s="1626"/>
      <c r="BW2022" s="1626"/>
      <c r="BX2022" s="1626"/>
      <c r="BY2022" s="1626"/>
      <c r="BZ2022" s="1626"/>
      <c r="CA2022" s="1626"/>
      <c r="CB2022" s="1626"/>
      <c r="CC2022" s="1626"/>
      <c r="CD2022" s="1626"/>
      <c r="CE2022" s="1626"/>
      <c r="CF2022" s="1626"/>
      <c r="CG2022" s="1626"/>
      <c r="CH2022" s="1626"/>
      <c r="CI2022" s="1626"/>
      <c r="CJ2022" s="1626"/>
      <c r="CK2022" s="1626"/>
    </row>
    <row r="2023" spans="1:89" s="1108" customFormat="1" ht="17.25" customHeight="1" x14ac:dyDescent="0.25">
      <c r="A2023" s="1107"/>
      <c r="B2023" s="1607" t="s">
        <v>1697</v>
      </c>
      <c r="C2023" s="1586">
        <v>12</v>
      </c>
      <c r="D2023" s="1600" t="s">
        <v>20</v>
      </c>
      <c r="E2023" s="1590">
        <v>1530</v>
      </c>
      <c r="F2023" s="1590"/>
      <c r="G2023" s="1590"/>
      <c r="H2023" s="1590"/>
      <c r="I2023" s="1590"/>
      <c r="J2023" s="1590">
        <f>C2023*E2023</f>
        <v>18360</v>
      </c>
      <c r="K2023" s="1589">
        <f>I2023+J2023</f>
        <v>18360</v>
      </c>
      <c r="L2023" s="1589"/>
      <c r="M2023" s="1589"/>
      <c r="N2023" s="1589"/>
      <c r="O2023" s="1591">
        <f t="shared" si="151"/>
        <v>18360</v>
      </c>
      <c r="P2023" s="1592"/>
      <c r="Q2023" s="1626"/>
      <c r="R2023" s="1626"/>
      <c r="S2023" s="1626"/>
      <c r="T2023" s="1626"/>
      <c r="U2023" s="1626"/>
      <c r="V2023" s="1626"/>
      <c r="W2023" s="1626"/>
      <c r="X2023" s="1626"/>
      <c r="Y2023" s="1626"/>
      <c r="Z2023" s="1626"/>
      <c r="AA2023" s="1626"/>
      <c r="AB2023" s="1626"/>
      <c r="AC2023" s="1626"/>
      <c r="AD2023" s="1626"/>
      <c r="AE2023" s="1626"/>
      <c r="AF2023" s="1626"/>
      <c r="AG2023" s="1626"/>
      <c r="AH2023" s="1626"/>
      <c r="AI2023" s="1626"/>
      <c r="AJ2023" s="1626"/>
      <c r="AK2023" s="1626"/>
      <c r="AL2023" s="1626"/>
      <c r="AM2023" s="1626"/>
      <c r="AN2023" s="1626"/>
      <c r="AO2023" s="1626"/>
      <c r="AP2023" s="1626"/>
      <c r="AQ2023" s="1626"/>
      <c r="AR2023" s="1626"/>
      <c r="AS2023" s="1626"/>
      <c r="AT2023" s="1626"/>
      <c r="AU2023" s="1626"/>
      <c r="AV2023" s="1626"/>
      <c r="AW2023" s="1626"/>
      <c r="AX2023" s="1626"/>
      <c r="AY2023" s="1626"/>
      <c r="AZ2023" s="1626"/>
      <c r="BA2023" s="1626"/>
      <c r="BB2023" s="1626"/>
      <c r="BC2023" s="1626"/>
      <c r="BD2023" s="1626"/>
      <c r="BE2023" s="1626"/>
      <c r="BF2023" s="1626"/>
      <c r="BG2023" s="1626"/>
      <c r="BH2023" s="1626"/>
      <c r="BI2023" s="1626"/>
      <c r="BJ2023" s="1626"/>
      <c r="BK2023" s="1626"/>
      <c r="BL2023" s="1626"/>
      <c r="BM2023" s="1626"/>
      <c r="BN2023" s="1626"/>
      <c r="BO2023" s="1626"/>
      <c r="BP2023" s="1626"/>
      <c r="BQ2023" s="1626"/>
      <c r="BR2023" s="1626"/>
      <c r="BS2023" s="1626"/>
      <c r="BT2023" s="1626"/>
      <c r="BU2023" s="1626"/>
      <c r="BV2023" s="1626"/>
      <c r="BW2023" s="1626"/>
      <c r="BX2023" s="1626"/>
      <c r="BY2023" s="1626"/>
      <c r="BZ2023" s="1626"/>
      <c r="CA2023" s="1626"/>
      <c r="CB2023" s="1626"/>
      <c r="CC2023" s="1626"/>
      <c r="CD2023" s="1626"/>
      <c r="CE2023" s="1626"/>
      <c r="CF2023" s="1626"/>
      <c r="CG2023" s="1626"/>
      <c r="CH2023" s="1626"/>
      <c r="CI2023" s="1626"/>
      <c r="CJ2023" s="1626"/>
      <c r="CK2023" s="1626"/>
    </row>
    <row r="2024" spans="1:89" s="1108" customFormat="1" ht="17.25" customHeight="1" x14ac:dyDescent="0.25">
      <c r="A2024" s="1107"/>
      <c r="B2024" s="1607" t="s">
        <v>898</v>
      </c>
      <c r="C2024" s="1586">
        <v>12</v>
      </c>
      <c r="D2024" s="1600" t="s">
        <v>20</v>
      </c>
      <c r="E2024" s="1590">
        <v>1250</v>
      </c>
      <c r="F2024" s="1590"/>
      <c r="G2024" s="1590"/>
      <c r="H2024" s="1590"/>
      <c r="I2024" s="1590"/>
      <c r="J2024" s="1590">
        <f>C2024*E2024</f>
        <v>15000</v>
      </c>
      <c r="K2024" s="1589">
        <f>I2024+J2024</f>
        <v>15000</v>
      </c>
      <c r="L2024" s="1589"/>
      <c r="M2024" s="1589"/>
      <c r="N2024" s="1589"/>
      <c r="O2024" s="1591">
        <f t="shared" si="151"/>
        <v>15000</v>
      </c>
      <c r="P2024" s="1592"/>
      <c r="Q2024" s="1626"/>
      <c r="R2024" s="1626"/>
      <c r="S2024" s="1626"/>
      <c r="T2024" s="1626"/>
      <c r="U2024" s="1626"/>
      <c r="V2024" s="1626"/>
      <c r="W2024" s="1626"/>
      <c r="X2024" s="1626"/>
      <c r="Y2024" s="1626"/>
      <c r="Z2024" s="1626"/>
      <c r="AA2024" s="1626"/>
      <c r="AB2024" s="1626"/>
      <c r="AC2024" s="1626"/>
      <c r="AD2024" s="1626"/>
      <c r="AE2024" s="1626"/>
      <c r="AF2024" s="1626"/>
      <c r="AG2024" s="1626"/>
      <c r="AH2024" s="1626"/>
      <c r="AI2024" s="1626"/>
      <c r="AJ2024" s="1626"/>
      <c r="AK2024" s="1626"/>
      <c r="AL2024" s="1626"/>
      <c r="AM2024" s="1626"/>
      <c r="AN2024" s="1626"/>
      <c r="AO2024" s="1626"/>
      <c r="AP2024" s="1626"/>
      <c r="AQ2024" s="1626"/>
      <c r="AR2024" s="1626"/>
      <c r="AS2024" s="1626"/>
      <c r="AT2024" s="1626"/>
      <c r="AU2024" s="1626"/>
      <c r="AV2024" s="1626"/>
      <c r="AW2024" s="1626"/>
      <c r="AX2024" s="1626"/>
      <c r="AY2024" s="1626"/>
      <c r="AZ2024" s="1626"/>
      <c r="BA2024" s="1626"/>
      <c r="BB2024" s="1626"/>
      <c r="BC2024" s="1626"/>
      <c r="BD2024" s="1626"/>
      <c r="BE2024" s="1626"/>
      <c r="BF2024" s="1626"/>
      <c r="BG2024" s="1626"/>
      <c r="BH2024" s="1626"/>
      <c r="BI2024" s="1626"/>
      <c r="BJ2024" s="1626"/>
      <c r="BK2024" s="1626"/>
      <c r="BL2024" s="1626"/>
      <c r="BM2024" s="1626"/>
      <c r="BN2024" s="1626"/>
      <c r="BO2024" s="1626"/>
      <c r="BP2024" s="1626"/>
      <c r="BQ2024" s="1626"/>
      <c r="BR2024" s="1626"/>
      <c r="BS2024" s="1626"/>
      <c r="BT2024" s="1626"/>
      <c r="BU2024" s="1626"/>
      <c r="BV2024" s="1626"/>
      <c r="BW2024" s="1626"/>
      <c r="BX2024" s="1626"/>
      <c r="BY2024" s="1626"/>
      <c r="BZ2024" s="1626"/>
      <c r="CA2024" s="1626"/>
      <c r="CB2024" s="1626"/>
      <c r="CC2024" s="1626"/>
      <c r="CD2024" s="1626"/>
      <c r="CE2024" s="1626"/>
      <c r="CF2024" s="1626"/>
      <c r="CG2024" s="1626"/>
      <c r="CH2024" s="1626"/>
      <c r="CI2024" s="1626"/>
      <c r="CJ2024" s="1626"/>
      <c r="CK2024" s="1626"/>
    </row>
    <row r="2025" spans="1:89" s="1108" customFormat="1" ht="17.25" customHeight="1" x14ac:dyDescent="0.25">
      <c r="A2025" s="1107"/>
      <c r="B2025" s="1607" t="s">
        <v>899</v>
      </c>
      <c r="C2025" s="1586">
        <v>12</v>
      </c>
      <c r="D2025" s="1600" t="s">
        <v>20</v>
      </c>
      <c r="E2025" s="1590">
        <v>1090</v>
      </c>
      <c r="F2025" s="1590"/>
      <c r="G2025" s="1590"/>
      <c r="H2025" s="1590"/>
      <c r="I2025" s="1590"/>
      <c r="J2025" s="1590">
        <f>C2025*E2025</f>
        <v>13080</v>
      </c>
      <c r="K2025" s="1589">
        <f>I2025+J2025</f>
        <v>13080</v>
      </c>
      <c r="L2025" s="1589"/>
      <c r="M2025" s="1589"/>
      <c r="N2025" s="1589"/>
      <c r="O2025" s="1591">
        <f t="shared" si="151"/>
        <v>13080</v>
      </c>
      <c r="P2025" s="1592"/>
      <c r="Q2025" s="1626"/>
      <c r="R2025" s="1626"/>
      <c r="S2025" s="1626"/>
      <c r="T2025" s="1626"/>
      <c r="U2025" s="1626"/>
      <c r="V2025" s="1626"/>
      <c r="W2025" s="1626"/>
      <c r="X2025" s="1626"/>
      <c r="Y2025" s="1626"/>
      <c r="Z2025" s="1626"/>
      <c r="AA2025" s="1626"/>
      <c r="AB2025" s="1626"/>
      <c r="AC2025" s="1626"/>
      <c r="AD2025" s="1626"/>
      <c r="AE2025" s="1626"/>
      <c r="AF2025" s="1626"/>
      <c r="AG2025" s="1626"/>
      <c r="AH2025" s="1626"/>
      <c r="AI2025" s="1626"/>
      <c r="AJ2025" s="1626"/>
      <c r="AK2025" s="1626"/>
      <c r="AL2025" s="1626"/>
      <c r="AM2025" s="1626"/>
      <c r="AN2025" s="1626"/>
      <c r="AO2025" s="1626"/>
      <c r="AP2025" s="1626"/>
      <c r="AQ2025" s="1626"/>
      <c r="AR2025" s="1626"/>
      <c r="AS2025" s="1626"/>
      <c r="AT2025" s="1626"/>
      <c r="AU2025" s="1626"/>
      <c r="AV2025" s="1626"/>
      <c r="AW2025" s="1626"/>
      <c r="AX2025" s="1626"/>
      <c r="AY2025" s="1626"/>
      <c r="AZ2025" s="1626"/>
      <c r="BA2025" s="1626"/>
      <c r="BB2025" s="1626"/>
      <c r="BC2025" s="1626"/>
      <c r="BD2025" s="1626"/>
      <c r="BE2025" s="1626"/>
      <c r="BF2025" s="1626"/>
      <c r="BG2025" s="1626"/>
      <c r="BH2025" s="1626"/>
      <c r="BI2025" s="1626"/>
      <c r="BJ2025" s="1626"/>
      <c r="BK2025" s="1626"/>
      <c r="BL2025" s="1626"/>
      <c r="BM2025" s="1626"/>
      <c r="BN2025" s="1626"/>
      <c r="BO2025" s="1626"/>
      <c r="BP2025" s="1626"/>
      <c r="BQ2025" s="1626"/>
      <c r="BR2025" s="1626"/>
      <c r="BS2025" s="1626"/>
      <c r="BT2025" s="1626"/>
      <c r="BU2025" s="1626"/>
      <c r="BV2025" s="1626"/>
      <c r="BW2025" s="1626"/>
      <c r="BX2025" s="1626"/>
      <c r="BY2025" s="1626"/>
      <c r="BZ2025" s="1626"/>
      <c r="CA2025" s="1626"/>
      <c r="CB2025" s="1626"/>
      <c r="CC2025" s="1626"/>
      <c r="CD2025" s="1626"/>
      <c r="CE2025" s="1626"/>
      <c r="CF2025" s="1626"/>
      <c r="CG2025" s="1626"/>
      <c r="CH2025" s="1626"/>
      <c r="CI2025" s="1626"/>
      <c r="CJ2025" s="1626"/>
      <c r="CK2025" s="1626"/>
    </row>
    <row r="2026" spans="1:89" s="1108" customFormat="1" ht="17.25" customHeight="1" x14ac:dyDescent="0.25">
      <c r="A2026" s="1107"/>
      <c r="B2026" s="1607" t="s">
        <v>900</v>
      </c>
      <c r="C2026" s="1586">
        <v>60</v>
      </c>
      <c r="D2026" s="1600" t="s">
        <v>20</v>
      </c>
      <c r="E2026" s="1590">
        <v>810</v>
      </c>
      <c r="F2026" s="1590"/>
      <c r="G2026" s="1590"/>
      <c r="H2026" s="1590"/>
      <c r="I2026" s="1590"/>
      <c r="J2026" s="1590">
        <f>C2026*E2026</f>
        <v>48600</v>
      </c>
      <c r="K2026" s="1589">
        <f>I2026+J2026</f>
        <v>48600</v>
      </c>
      <c r="L2026" s="1589"/>
      <c r="M2026" s="1589"/>
      <c r="N2026" s="1589"/>
      <c r="O2026" s="1591">
        <f t="shared" si="151"/>
        <v>48600</v>
      </c>
      <c r="P2026" s="1592"/>
      <c r="Q2026" s="1626"/>
      <c r="R2026" s="1626"/>
      <c r="S2026" s="1626"/>
      <c r="T2026" s="1626"/>
      <c r="U2026" s="1626"/>
      <c r="V2026" s="1626"/>
      <c r="W2026" s="1626"/>
      <c r="X2026" s="1626"/>
      <c r="Y2026" s="1626"/>
      <c r="Z2026" s="1626"/>
      <c r="AA2026" s="1626"/>
      <c r="AB2026" s="1626"/>
      <c r="AC2026" s="1626"/>
      <c r="AD2026" s="1626"/>
      <c r="AE2026" s="1626"/>
      <c r="AF2026" s="1626"/>
      <c r="AG2026" s="1626"/>
      <c r="AH2026" s="1626"/>
      <c r="AI2026" s="1626"/>
      <c r="AJ2026" s="1626"/>
      <c r="AK2026" s="1626"/>
      <c r="AL2026" s="1626"/>
      <c r="AM2026" s="1626"/>
      <c r="AN2026" s="1626"/>
      <c r="AO2026" s="1626"/>
      <c r="AP2026" s="1626"/>
      <c r="AQ2026" s="1626"/>
      <c r="AR2026" s="1626"/>
      <c r="AS2026" s="1626"/>
      <c r="AT2026" s="1626"/>
      <c r="AU2026" s="1626"/>
      <c r="AV2026" s="1626"/>
      <c r="AW2026" s="1626"/>
      <c r="AX2026" s="1626"/>
      <c r="AY2026" s="1626"/>
      <c r="AZ2026" s="1626"/>
      <c r="BA2026" s="1626"/>
      <c r="BB2026" s="1626"/>
      <c r="BC2026" s="1626"/>
      <c r="BD2026" s="1626"/>
      <c r="BE2026" s="1626"/>
      <c r="BF2026" s="1626"/>
      <c r="BG2026" s="1626"/>
      <c r="BH2026" s="1626"/>
      <c r="BI2026" s="1626"/>
      <c r="BJ2026" s="1626"/>
      <c r="BK2026" s="1626"/>
      <c r="BL2026" s="1626"/>
      <c r="BM2026" s="1626"/>
      <c r="BN2026" s="1626"/>
      <c r="BO2026" s="1626"/>
      <c r="BP2026" s="1626"/>
      <c r="BQ2026" s="1626"/>
      <c r="BR2026" s="1626"/>
      <c r="BS2026" s="1626"/>
      <c r="BT2026" s="1626"/>
      <c r="BU2026" s="1626"/>
      <c r="BV2026" s="1626"/>
      <c r="BW2026" s="1626"/>
      <c r="BX2026" s="1626"/>
      <c r="BY2026" s="1626"/>
      <c r="BZ2026" s="1626"/>
      <c r="CA2026" s="1626"/>
      <c r="CB2026" s="1626"/>
      <c r="CC2026" s="1626"/>
      <c r="CD2026" s="1626"/>
      <c r="CE2026" s="1626"/>
      <c r="CF2026" s="1626"/>
      <c r="CG2026" s="1626"/>
      <c r="CH2026" s="1626"/>
      <c r="CI2026" s="1626"/>
      <c r="CJ2026" s="1626"/>
      <c r="CK2026" s="1626"/>
    </row>
    <row r="2027" spans="1:89" s="1108" customFormat="1" ht="17.25" customHeight="1" x14ac:dyDescent="0.25">
      <c r="A2027" s="1107"/>
      <c r="B2027" s="1607"/>
      <c r="C2027" s="1586"/>
      <c r="D2027" s="1600"/>
      <c r="E2027" s="1601"/>
      <c r="F2027" s="1589"/>
      <c r="G2027" s="1589"/>
      <c r="H2027" s="1589"/>
      <c r="I2027" s="1589"/>
      <c r="J2027" s="1590"/>
      <c r="K2027" s="1589"/>
      <c r="L2027" s="1589"/>
      <c r="M2027" s="1589"/>
      <c r="N2027" s="1589"/>
      <c r="O2027" s="1591"/>
      <c r="P2027" s="1592"/>
      <c r="Q2027" s="1626"/>
      <c r="R2027" s="1626"/>
      <c r="S2027" s="1626"/>
      <c r="T2027" s="1626"/>
      <c r="U2027" s="1626"/>
      <c r="V2027" s="1626"/>
      <c r="W2027" s="1626"/>
      <c r="X2027" s="1626"/>
      <c r="Y2027" s="1626"/>
      <c r="Z2027" s="1626"/>
      <c r="AA2027" s="1626"/>
      <c r="AB2027" s="1626"/>
      <c r="AC2027" s="1626"/>
      <c r="AD2027" s="1626"/>
      <c r="AE2027" s="1626"/>
      <c r="AF2027" s="1626"/>
      <c r="AG2027" s="1626"/>
      <c r="AH2027" s="1626"/>
      <c r="AI2027" s="1626"/>
      <c r="AJ2027" s="1626"/>
      <c r="AK2027" s="1626"/>
      <c r="AL2027" s="1626"/>
      <c r="AM2027" s="1626"/>
      <c r="AN2027" s="1626"/>
      <c r="AO2027" s="1626"/>
      <c r="AP2027" s="1626"/>
      <c r="AQ2027" s="1626"/>
      <c r="AR2027" s="1626"/>
      <c r="AS2027" s="1626"/>
      <c r="AT2027" s="1626"/>
      <c r="AU2027" s="1626"/>
      <c r="AV2027" s="1626"/>
      <c r="AW2027" s="1626"/>
      <c r="AX2027" s="1626"/>
      <c r="AY2027" s="1626"/>
      <c r="AZ2027" s="1626"/>
      <c r="BA2027" s="1626"/>
      <c r="BB2027" s="1626"/>
      <c r="BC2027" s="1626"/>
      <c r="BD2027" s="1626"/>
      <c r="BE2027" s="1626"/>
      <c r="BF2027" s="1626"/>
      <c r="BG2027" s="1626"/>
      <c r="BH2027" s="1626"/>
      <c r="BI2027" s="1626"/>
      <c r="BJ2027" s="1626"/>
      <c r="BK2027" s="1626"/>
      <c r="BL2027" s="1626"/>
      <c r="BM2027" s="1626"/>
      <c r="BN2027" s="1626"/>
      <c r="BO2027" s="1626"/>
      <c r="BP2027" s="1626"/>
      <c r="BQ2027" s="1626"/>
      <c r="BR2027" s="1626"/>
      <c r="BS2027" s="1626"/>
      <c r="BT2027" s="1626"/>
      <c r="BU2027" s="1626"/>
      <c r="BV2027" s="1626"/>
      <c r="BW2027" s="1626"/>
      <c r="BX2027" s="1626"/>
      <c r="BY2027" s="1626"/>
      <c r="BZ2027" s="1626"/>
      <c r="CA2027" s="1626"/>
      <c r="CB2027" s="1626"/>
      <c r="CC2027" s="1626"/>
      <c r="CD2027" s="1626"/>
      <c r="CE2027" s="1626"/>
      <c r="CF2027" s="1626"/>
      <c r="CG2027" s="1626"/>
      <c r="CH2027" s="1626"/>
      <c r="CI2027" s="1626"/>
      <c r="CJ2027" s="1626"/>
      <c r="CK2027" s="1626"/>
    </row>
    <row r="2028" spans="1:89" s="1108" customFormat="1" ht="17.25" customHeight="1" x14ac:dyDescent="0.25">
      <c r="A2028" s="1107"/>
      <c r="B2028" s="1607" t="s">
        <v>21</v>
      </c>
      <c r="C2028" s="1586"/>
      <c r="D2028" s="1600"/>
      <c r="E2028" s="1601"/>
      <c r="F2028" s="1590"/>
      <c r="G2028" s="1590"/>
      <c r="H2028" s="1590"/>
      <c r="I2028" s="1589"/>
      <c r="J2028" s="1590"/>
      <c r="K2028" s="1589"/>
      <c r="L2028" s="1589"/>
      <c r="M2028" s="1589"/>
      <c r="N2028" s="1589"/>
      <c r="O2028" s="1591"/>
      <c r="P2028" s="1592"/>
      <c r="Q2028" s="1626"/>
      <c r="R2028" s="1626"/>
      <c r="S2028" s="1626"/>
      <c r="T2028" s="1626"/>
      <c r="U2028" s="1626"/>
      <c r="V2028" s="1626"/>
      <c r="W2028" s="1626"/>
      <c r="X2028" s="1626"/>
      <c r="Y2028" s="1626"/>
      <c r="Z2028" s="1626"/>
      <c r="AA2028" s="1626"/>
      <c r="AB2028" s="1626"/>
      <c r="AC2028" s="1626"/>
      <c r="AD2028" s="1626"/>
      <c r="AE2028" s="1626"/>
      <c r="AF2028" s="1626"/>
      <c r="AG2028" s="1626"/>
      <c r="AH2028" s="1626"/>
      <c r="AI2028" s="1626"/>
      <c r="AJ2028" s="1626"/>
      <c r="AK2028" s="1626"/>
      <c r="AL2028" s="1626"/>
      <c r="AM2028" s="1626"/>
      <c r="AN2028" s="1626"/>
      <c r="AO2028" s="1626"/>
      <c r="AP2028" s="1626"/>
      <c r="AQ2028" s="1626"/>
      <c r="AR2028" s="1626"/>
      <c r="AS2028" s="1626"/>
      <c r="AT2028" s="1626"/>
      <c r="AU2028" s="1626"/>
      <c r="AV2028" s="1626"/>
      <c r="AW2028" s="1626"/>
      <c r="AX2028" s="1626"/>
      <c r="AY2028" s="1626"/>
      <c r="AZ2028" s="1626"/>
      <c r="BA2028" s="1626"/>
      <c r="BB2028" s="1626"/>
      <c r="BC2028" s="1626"/>
      <c r="BD2028" s="1626"/>
      <c r="BE2028" s="1626"/>
      <c r="BF2028" s="1626"/>
      <c r="BG2028" s="1626"/>
      <c r="BH2028" s="1626"/>
      <c r="BI2028" s="1626"/>
      <c r="BJ2028" s="1626"/>
      <c r="BK2028" s="1626"/>
      <c r="BL2028" s="1626"/>
      <c r="BM2028" s="1626"/>
      <c r="BN2028" s="1626"/>
      <c r="BO2028" s="1626"/>
      <c r="BP2028" s="1626"/>
      <c r="BQ2028" s="1626"/>
      <c r="BR2028" s="1626"/>
      <c r="BS2028" s="1626"/>
      <c r="BT2028" s="1626"/>
      <c r="BU2028" s="1626"/>
      <c r="BV2028" s="1626"/>
      <c r="BW2028" s="1626"/>
      <c r="BX2028" s="1626"/>
      <c r="BY2028" s="1626"/>
      <c r="BZ2028" s="1626"/>
      <c r="CA2028" s="1626"/>
      <c r="CB2028" s="1626"/>
      <c r="CC2028" s="1626"/>
      <c r="CD2028" s="1626"/>
      <c r="CE2028" s="1626"/>
      <c r="CF2028" s="1626"/>
      <c r="CG2028" s="1626"/>
      <c r="CH2028" s="1626"/>
      <c r="CI2028" s="1626"/>
      <c r="CJ2028" s="1626"/>
      <c r="CK2028" s="1626"/>
    </row>
    <row r="2029" spans="1:89" s="1108" customFormat="1" ht="17.25" customHeight="1" x14ac:dyDescent="0.25">
      <c r="A2029" s="1107"/>
      <c r="B2029" s="1607" t="s">
        <v>1698</v>
      </c>
      <c r="C2029" s="1586">
        <v>1</v>
      </c>
      <c r="D2029" s="1600" t="s">
        <v>47</v>
      </c>
      <c r="E2029" s="1601">
        <v>100000</v>
      </c>
      <c r="F2029" s="1590"/>
      <c r="G2029" s="1590"/>
      <c r="H2029" s="1590"/>
      <c r="I2029" s="1590">
        <f>C2029*E2029</f>
        <v>100000</v>
      </c>
      <c r="J2029" s="1590"/>
      <c r="K2029" s="1589">
        <f t="shared" ref="K2029:K2090" si="152">I2029+J2029</f>
        <v>100000</v>
      </c>
      <c r="L2029" s="1589"/>
      <c r="M2029" s="1589"/>
      <c r="N2029" s="1589"/>
      <c r="O2029" s="1591">
        <f t="shared" si="151"/>
        <v>100000</v>
      </c>
      <c r="P2029" s="1592"/>
      <c r="Q2029" s="1626"/>
      <c r="R2029" s="1626"/>
      <c r="S2029" s="1626"/>
      <c r="T2029" s="1626"/>
      <c r="U2029" s="1626"/>
      <c r="V2029" s="1626"/>
      <c r="W2029" s="1626"/>
      <c r="X2029" s="1626"/>
      <c r="Y2029" s="1626"/>
      <c r="Z2029" s="1626"/>
      <c r="AA2029" s="1626"/>
      <c r="AB2029" s="1626"/>
      <c r="AC2029" s="1626"/>
      <c r="AD2029" s="1626"/>
      <c r="AE2029" s="1626"/>
      <c r="AF2029" s="1626"/>
      <c r="AG2029" s="1626"/>
      <c r="AH2029" s="1626"/>
      <c r="AI2029" s="1626"/>
      <c r="AJ2029" s="1626"/>
      <c r="AK2029" s="1626"/>
      <c r="AL2029" s="1626"/>
      <c r="AM2029" s="1626"/>
      <c r="AN2029" s="1626"/>
      <c r="AO2029" s="1626"/>
      <c r="AP2029" s="1626"/>
      <c r="AQ2029" s="1626"/>
      <c r="AR2029" s="1626"/>
      <c r="AS2029" s="1626"/>
      <c r="AT2029" s="1626"/>
      <c r="AU2029" s="1626"/>
      <c r="AV2029" s="1626"/>
      <c r="AW2029" s="1626"/>
      <c r="AX2029" s="1626"/>
      <c r="AY2029" s="1626"/>
      <c r="AZ2029" s="1626"/>
      <c r="BA2029" s="1626"/>
      <c r="BB2029" s="1626"/>
      <c r="BC2029" s="1626"/>
      <c r="BD2029" s="1626"/>
      <c r="BE2029" s="1626"/>
      <c r="BF2029" s="1626"/>
      <c r="BG2029" s="1626"/>
      <c r="BH2029" s="1626"/>
      <c r="BI2029" s="1626"/>
      <c r="BJ2029" s="1626"/>
      <c r="BK2029" s="1626"/>
      <c r="BL2029" s="1626"/>
      <c r="BM2029" s="1626"/>
      <c r="BN2029" s="1626"/>
      <c r="BO2029" s="1626"/>
      <c r="BP2029" s="1626"/>
      <c r="BQ2029" s="1626"/>
      <c r="BR2029" s="1626"/>
      <c r="BS2029" s="1626"/>
      <c r="BT2029" s="1626"/>
      <c r="BU2029" s="1626"/>
      <c r="BV2029" s="1626"/>
      <c r="BW2029" s="1626"/>
      <c r="BX2029" s="1626"/>
      <c r="BY2029" s="1626"/>
      <c r="BZ2029" s="1626"/>
      <c r="CA2029" s="1626"/>
      <c r="CB2029" s="1626"/>
      <c r="CC2029" s="1626"/>
      <c r="CD2029" s="1626"/>
      <c r="CE2029" s="1626"/>
      <c r="CF2029" s="1626"/>
      <c r="CG2029" s="1626"/>
      <c r="CH2029" s="1626"/>
      <c r="CI2029" s="1626"/>
      <c r="CJ2029" s="1626"/>
      <c r="CK2029" s="1626"/>
    </row>
    <row r="2030" spans="1:89" s="1108" customFormat="1" ht="17.25" customHeight="1" x14ac:dyDescent="0.25">
      <c r="A2030" s="1107"/>
      <c r="B2030" s="1607" t="s">
        <v>901</v>
      </c>
      <c r="C2030" s="1586">
        <v>1</v>
      </c>
      <c r="D2030" s="1600" t="s">
        <v>190</v>
      </c>
      <c r="E2030" s="1601">
        <v>25000</v>
      </c>
      <c r="F2030" s="1590"/>
      <c r="G2030" s="1590"/>
      <c r="H2030" s="1590"/>
      <c r="I2030" s="1590">
        <f t="shared" ref="I2030:I2040" si="153">C2030*E2030</f>
        <v>25000</v>
      </c>
      <c r="J2030" s="1590"/>
      <c r="K2030" s="1589">
        <f t="shared" si="152"/>
        <v>25000</v>
      </c>
      <c r="L2030" s="1589"/>
      <c r="M2030" s="1589"/>
      <c r="N2030" s="1589"/>
      <c r="O2030" s="1591">
        <f t="shared" si="151"/>
        <v>25000</v>
      </c>
      <c r="P2030" s="1592"/>
      <c r="Q2030" s="1626"/>
      <c r="R2030" s="1626"/>
      <c r="S2030" s="1626"/>
      <c r="T2030" s="1626"/>
      <c r="U2030" s="1626"/>
      <c r="V2030" s="1626"/>
      <c r="W2030" s="1626"/>
      <c r="X2030" s="1626"/>
      <c r="Y2030" s="1626"/>
      <c r="Z2030" s="1626"/>
      <c r="AA2030" s="1626"/>
      <c r="AB2030" s="1626"/>
      <c r="AC2030" s="1626"/>
      <c r="AD2030" s="1626"/>
      <c r="AE2030" s="1626"/>
      <c r="AF2030" s="1626"/>
      <c r="AG2030" s="1626"/>
      <c r="AH2030" s="1626"/>
      <c r="AI2030" s="1626"/>
      <c r="AJ2030" s="1626"/>
      <c r="AK2030" s="1626"/>
      <c r="AL2030" s="1626"/>
      <c r="AM2030" s="1626"/>
      <c r="AN2030" s="1626"/>
      <c r="AO2030" s="1626"/>
      <c r="AP2030" s="1626"/>
      <c r="AQ2030" s="1626"/>
      <c r="AR2030" s="1626"/>
      <c r="AS2030" s="1626"/>
      <c r="AT2030" s="1626"/>
      <c r="AU2030" s="1626"/>
      <c r="AV2030" s="1626"/>
      <c r="AW2030" s="1626"/>
      <c r="AX2030" s="1626"/>
      <c r="AY2030" s="1626"/>
      <c r="AZ2030" s="1626"/>
      <c r="BA2030" s="1626"/>
      <c r="BB2030" s="1626"/>
      <c r="BC2030" s="1626"/>
      <c r="BD2030" s="1626"/>
      <c r="BE2030" s="1626"/>
      <c r="BF2030" s="1626"/>
      <c r="BG2030" s="1626"/>
      <c r="BH2030" s="1626"/>
      <c r="BI2030" s="1626"/>
      <c r="BJ2030" s="1626"/>
      <c r="BK2030" s="1626"/>
      <c r="BL2030" s="1626"/>
      <c r="BM2030" s="1626"/>
      <c r="BN2030" s="1626"/>
      <c r="BO2030" s="1626"/>
      <c r="BP2030" s="1626"/>
      <c r="BQ2030" s="1626"/>
      <c r="BR2030" s="1626"/>
      <c r="BS2030" s="1626"/>
      <c r="BT2030" s="1626"/>
      <c r="BU2030" s="1626"/>
      <c r="BV2030" s="1626"/>
      <c r="BW2030" s="1626"/>
      <c r="BX2030" s="1626"/>
      <c r="BY2030" s="1626"/>
      <c r="BZ2030" s="1626"/>
      <c r="CA2030" s="1626"/>
      <c r="CB2030" s="1626"/>
      <c r="CC2030" s="1626"/>
      <c r="CD2030" s="1626"/>
      <c r="CE2030" s="1626"/>
      <c r="CF2030" s="1626"/>
      <c r="CG2030" s="1626"/>
      <c r="CH2030" s="1626"/>
      <c r="CI2030" s="1626"/>
      <c r="CJ2030" s="1626"/>
      <c r="CK2030" s="1626"/>
    </row>
    <row r="2031" spans="1:89" s="1108" customFormat="1" ht="17.25" customHeight="1" x14ac:dyDescent="0.25">
      <c r="A2031" s="1107"/>
      <c r="B2031" s="1607" t="s">
        <v>902</v>
      </c>
      <c r="C2031" s="1586">
        <v>1</v>
      </c>
      <c r="D2031" s="1600" t="s">
        <v>47</v>
      </c>
      <c r="E2031" s="1601">
        <v>50000</v>
      </c>
      <c r="F2031" s="1590"/>
      <c r="G2031" s="1590"/>
      <c r="H2031" s="1590"/>
      <c r="I2031" s="1590">
        <f t="shared" si="153"/>
        <v>50000</v>
      </c>
      <c r="J2031" s="1590"/>
      <c r="K2031" s="1589">
        <f t="shared" si="152"/>
        <v>50000</v>
      </c>
      <c r="L2031" s="1589"/>
      <c r="M2031" s="1589"/>
      <c r="N2031" s="1589"/>
      <c r="O2031" s="1591">
        <f t="shared" si="151"/>
        <v>50000</v>
      </c>
      <c r="P2031" s="1592"/>
      <c r="Q2031" s="1626"/>
      <c r="R2031" s="1626"/>
      <c r="S2031" s="1626"/>
      <c r="T2031" s="1626"/>
      <c r="U2031" s="1626"/>
      <c r="V2031" s="1626"/>
      <c r="W2031" s="1626"/>
      <c r="X2031" s="1626"/>
      <c r="Y2031" s="1626"/>
      <c r="Z2031" s="1626"/>
      <c r="AA2031" s="1626"/>
      <c r="AB2031" s="1626"/>
      <c r="AC2031" s="1626"/>
      <c r="AD2031" s="1626"/>
      <c r="AE2031" s="1626"/>
      <c r="AF2031" s="1626"/>
      <c r="AG2031" s="1626"/>
      <c r="AH2031" s="1626"/>
      <c r="AI2031" s="1626"/>
      <c r="AJ2031" s="1626"/>
      <c r="AK2031" s="1626"/>
      <c r="AL2031" s="1626"/>
      <c r="AM2031" s="1626"/>
      <c r="AN2031" s="1626"/>
      <c r="AO2031" s="1626"/>
      <c r="AP2031" s="1626"/>
      <c r="AQ2031" s="1626"/>
      <c r="AR2031" s="1626"/>
      <c r="AS2031" s="1626"/>
      <c r="AT2031" s="1626"/>
      <c r="AU2031" s="1626"/>
      <c r="AV2031" s="1626"/>
      <c r="AW2031" s="1626"/>
      <c r="AX2031" s="1626"/>
      <c r="AY2031" s="1626"/>
      <c r="AZ2031" s="1626"/>
      <c r="BA2031" s="1626"/>
      <c r="BB2031" s="1626"/>
      <c r="BC2031" s="1626"/>
      <c r="BD2031" s="1626"/>
      <c r="BE2031" s="1626"/>
      <c r="BF2031" s="1626"/>
      <c r="BG2031" s="1626"/>
      <c r="BH2031" s="1626"/>
      <c r="BI2031" s="1626"/>
      <c r="BJ2031" s="1626"/>
      <c r="BK2031" s="1626"/>
      <c r="BL2031" s="1626"/>
      <c r="BM2031" s="1626"/>
      <c r="BN2031" s="1626"/>
      <c r="BO2031" s="1626"/>
      <c r="BP2031" s="1626"/>
      <c r="BQ2031" s="1626"/>
      <c r="BR2031" s="1626"/>
      <c r="BS2031" s="1626"/>
      <c r="BT2031" s="1626"/>
      <c r="BU2031" s="1626"/>
      <c r="BV2031" s="1626"/>
      <c r="BW2031" s="1626"/>
      <c r="BX2031" s="1626"/>
      <c r="BY2031" s="1626"/>
      <c r="BZ2031" s="1626"/>
      <c r="CA2031" s="1626"/>
      <c r="CB2031" s="1626"/>
      <c r="CC2031" s="1626"/>
      <c r="CD2031" s="1626"/>
      <c r="CE2031" s="1626"/>
      <c r="CF2031" s="1626"/>
      <c r="CG2031" s="1626"/>
      <c r="CH2031" s="1626"/>
      <c r="CI2031" s="1626"/>
      <c r="CJ2031" s="1626"/>
      <c r="CK2031" s="1626"/>
    </row>
    <row r="2032" spans="1:89" s="1108" customFormat="1" ht="17.25" customHeight="1" x14ac:dyDescent="0.25">
      <c r="A2032" s="1107"/>
      <c r="B2032" s="1607"/>
      <c r="C2032" s="1586"/>
      <c r="D2032" s="1600"/>
      <c r="E2032" s="1601"/>
      <c r="F2032" s="1590"/>
      <c r="G2032" s="1590"/>
      <c r="H2032" s="1590"/>
      <c r="I2032" s="1589"/>
      <c r="J2032" s="1590"/>
      <c r="K2032" s="1589"/>
      <c r="L2032" s="1589"/>
      <c r="M2032" s="1589"/>
      <c r="N2032" s="1589"/>
      <c r="O2032" s="1591"/>
      <c r="P2032" s="1592"/>
      <c r="Q2032" s="1626"/>
      <c r="R2032" s="1626"/>
      <c r="S2032" s="1626"/>
      <c r="T2032" s="1626"/>
      <c r="U2032" s="1626"/>
      <c r="V2032" s="1626"/>
      <c r="W2032" s="1626"/>
      <c r="X2032" s="1626"/>
      <c r="Y2032" s="1626"/>
      <c r="Z2032" s="1626"/>
      <c r="AA2032" s="1626"/>
      <c r="AB2032" s="1626"/>
      <c r="AC2032" s="1626"/>
      <c r="AD2032" s="1626"/>
      <c r="AE2032" s="1626"/>
      <c r="AF2032" s="1626"/>
      <c r="AG2032" s="1626"/>
      <c r="AH2032" s="1626"/>
      <c r="AI2032" s="1626"/>
      <c r="AJ2032" s="1626"/>
      <c r="AK2032" s="1626"/>
      <c r="AL2032" s="1626"/>
      <c r="AM2032" s="1626"/>
      <c r="AN2032" s="1626"/>
      <c r="AO2032" s="1626"/>
      <c r="AP2032" s="1626"/>
      <c r="AQ2032" s="1626"/>
      <c r="AR2032" s="1626"/>
      <c r="AS2032" s="1626"/>
      <c r="AT2032" s="1626"/>
      <c r="AU2032" s="1626"/>
      <c r="AV2032" s="1626"/>
      <c r="AW2032" s="1626"/>
      <c r="AX2032" s="1626"/>
      <c r="AY2032" s="1626"/>
      <c r="AZ2032" s="1626"/>
      <c r="BA2032" s="1626"/>
      <c r="BB2032" s="1626"/>
      <c r="BC2032" s="1626"/>
      <c r="BD2032" s="1626"/>
      <c r="BE2032" s="1626"/>
      <c r="BF2032" s="1626"/>
      <c r="BG2032" s="1626"/>
      <c r="BH2032" s="1626"/>
      <c r="BI2032" s="1626"/>
      <c r="BJ2032" s="1626"/>
      <c r="BK2032" s="1626"/>
      <c r="BL2032" s="1626"/>
      <c r="BM2032" s="1626"/>
      <c r="BN2032" s="1626"/>
      <c r="BO2032" s="1626"/>
      <c r="BP2032" s="1626"/>
      <c r="BQ2032" s="1626"/>
      <c r="BR2032" s="1626"/>
      <c r="BS2032" s="1626"/>
      <c r="BT2032" s="1626"/>
      <c r="BU2032" s="1626"/>
      <c r="BV2032" s="1626"/>
      <c r="BW2032" s="1626"/>
      <c r="BX2032" s="1626"/>
      <c r="BY2032" s="1626"/>
      <c r="BZ2032" s="1626"/>
      <c r="CA2032" s="1626"/>
      <c r="CB2032" s="1626"/>
      <c r="CC2032" s="1626"/>
      <c r="CD2032" s="1626"/>
      <c r="CE2032" s="1626"/>
      <c r="CF2032" s="1626"/>
      <c r="CG2032" s="1626"/>
      <c r="CH2032" s="1626"/>
      <c r="CI2032" s="1626"/>
      <c r="CJ2032" s="1626"/>
      <c r="CK2032" s="1626"/>
    </row>
    <row r="2033" spans="1:89" s="1108" customFormat="1" ht="17.25" customHeight="1" x14ac:dyDescent="0.25">
      <c r="A2033" s="1107"/>
      <c r="B2033" s="1607" t="s">
        <v>903</v>
      </c>
      <c r="C2033" s="1586">
        <v>21</v>
      </c>
      <c r="D2033" s="1600" t="s">
        <v>159</v>
      </c>
      <c r="E2033" s="1601">
        <v>500</v>
      </c>
      <c r="F2033" s="1590"/>
      <c r="G2033" s="1590"/>
      <c r="H2033" s="1590"/>
      <c r="I2033" s="1590">
        <f t="shared" si="153"/>
        <v>10500</v>
      </c>
      <c r="J2033" s="1590"/>
      <c r="K2033" s="1589">
        <f t="shared" si="152"/>
        <v>10500</v>
      </c>
      <c r="L2033" s="1589"/>
      <c r="M2033" s="1589"/>
      <c r="N2033" s="1589"/>
      <c r="O2033" s="1591">
        <f t="shared" si="151"/>
        <v>10500</v>
      </c>
      <c r="P2033" s="1592"/>
      <c r="Q2033" s="1626"/>
      <c r="R2033" s="1626"/>
      <c r="S2033" s="1626"/>
      <c r="T2033" s="1626"/>
      <c r="U2033" s="1626"/>
      <c r="V2033" s="1626"/>
      <c r="W2033" s="1626"/>
      <c r="X2033" s="1626"/>
      <c r="Y2033" s="1626"/>
      <c r="Z2033" s="1626"/>
      <c r="AA2033" s="1626"/>
      <c r="AB2033" s="1626"/>
      <c r="AC2033" s="1626"/>
      <c r="AD2033" s="1626"/>
      <c r="AE2033" s="1626"/>
      <c r="AF2033" s="1626"/>
      <c r="AG2033" s="1626"/>
      <c r="AH2033" s="1626"/>
      <c r="AI2033" s="1626"/>
      <c r="AJ2033" s="1626"/>
      <c r="AK2033" s="1626"/>
      <c r="AL2033" s="1626"/>
      <c r="AM2033" s="1626"/>
      <c r="AN2033" s="1626"/>
      <c r="AO2033" s="1626"/>
      <c r="AP2033" s="1626"/>
      <c r="AQ2033" s="1626"/>
      <c r="AR2033" s="1626"/>
      <c r="AS2033" s="1626"/>
      <c r="AT2033" s="1626"/>
      <c r="AU2033" s="1626"/>
      <c r="AV2033" s="1626"/>
      <c r="AW2033" s="1626"/>
      <c r="AX2033" s="1626"/>
      <c r="AY2033" s="1626"/>
      <c r="AZ2033" s="1626"/>
      <c r="BA2033" s="1626"/>
      <c r="BB2033" s="1626"/>
      <c r="BC2033" s="1626"/>
      <c r="BD2033" s="1626"/>
      <c r="BE2033" s="1626"/>
      <c r="BF2033" s="1626"/>
      <c r="BG2033" s="1626"/>
      <c r="BH2033" s="1626"/>
      <c r="BI2033" s="1626"/>
      <c r="BJ2033" s="1626"/>
      <c r="BK2033" s="1626"/>
      <c r="BL2033" s="1626"/>
      <c r="BM2033" s="1626"/>
      <c r="BN2033" s="1626"/>
      <c r="BO2033" s="1626"/>
      <c r="BP2033" s="1626"/>
      <c r="BQ2033" s="1626"/>
      <c r="BR2033" s="1626"/>
      <c r="BS2033" s="1626"/>
      <c r="BT2033" s="1626"/>
      <c r="BU2033" s="1626"/>
      <c r="BV2033" s="1626"/>
      <c r="BW2033" s="1626"/>
      <c r="BX2033" s="1626"/>
      <c r="BY2033" s="1626"/>
      <c r="BZ2033" s="1626"/>
      <c r="CA2033" s="1626"/>
      <c r="CB2033" s="1626"/>
      <c r="CC2033" s="1626"/>
      <c r="CD2033" s="1626"/>
      <c r="CE2033" s="1626"/>
      <c r="CF2033" s="1626"/>
      <c r="CG2033" s="1626"/>
      <c r="CH2033" s="1626"/>
      <c r="CI2033" s="1626"/>
      <c r="CJ2033" s="1626"/>
      <c r="CK2033" s="1626"/>
    </row>
    <row r="2034" spans="1:89" s="1108" customFormat="1" ht="17.25" customHeight="1" x14ac:dyDescent="0.25">
      <c r="A2034" s="1107"/>
      <c r="B2034" s="1607" t="s">
        <v>904</v>
      </c>
      <c r="C2034" s="1586">
        <v>21</v>
      </c>
      <c r="D2034" s="1600" t="s">
        <v>221</v>
      </c>
      <c r="E2034" s="1601">
        <v>500</v>
      </c>
      <c r="F2034" s="1590"/>
      <c r="G2034" s="1590"/>
      <c r="H2034" s="1590"/>
      <c r="I2034" s="1590">
        <f t="shared" si="153"/>
        <v>10500</v>
      </c>
      <c r="J2034" s="1590"/>
      <c r="K2034" s="1589">
        <f t="shared" si="152"/>
        <v>10500</v>
      </c>
      <c r="L2034" s="1589"/>
      <c r="M2034" s="1589"/>
      <c r="N2034" s="1589"/>
      <c r="O2034" s="1591">
        <f t="shared" si="151"/>
        <v>10500</v>
      </c>
      <c r="P2034" s="1592"/>
      <c r="Q2034" s="1626"/>
      <c r="R2034" s="1626"/>
      <c r="S2034" s="1626"/>
      <c r="T2034" s="1626"/>
      <c r="U2034" s="1626"/>
      <c r="V2034" s="1626"/>
      <c r="W2034" s="1626"/>
      <c r="X2034" s="1626"/>
      <c r="Y2034" s="1626"/>
      <c r="Z2034" s="1626"/>
      <c r="AA2034" s="1626"/>
      <c r="AB2034" s="1626"/>
      <c r="AC2034" s="1626"/>
      <c r="AD2034" s="1626"/>
      <c r="AE2034" s="1626"/>
      <c r="AF2034" s="1626"/>
      <c r="AG2034" s="1626"/>
      <c r="AH2034" s="1626"/>
      <c r="AI2034" s="1626"/>
      <c r="AJ2034" s="1626"/>
      <c r="AK2034" s="1626"/>
      <c r="AL2034" s="1626"/>
      <c r="AM2034" s="1626"/>
      <c r="AN2034" s="1626"/>
      <c r="AO2034" s="1626"/>
      <c r="AP2034" s="1626"/>
      <c r="AQ2034" s="1626"/>
      <c r="AR2034" s="1626"/>
      <c r="AS2034" s="1626"/>
      <c r="AT2034" s="1626"/>
      <c r="AU2034" s="1626"/>
      <c r="AV2034" s="1626"/>
      <c r="AW2034" s="1626"/>
      <c r="AX2034" s="1626"/>
      <c r="AY2034" s="1626"/>
      <c r="AZ2034" s="1626"/>
      <c r="BA2034" s="1626"/>
      <c r="BB2034" s="1626"/>
      <c r="BC2034" s="1626"/>
      <c r="BD2034" s="1626"/>
      <c r="BE2034" s="1626"/>
      <c r="BF2034" s="1626"/>
      <c r="BG2034" s="1626"/>
      <c r="BH2034" s="1626"/>
      <c r="BI2034" s="1626"/>
      <c r="BJ2034" s="1626"/>
      <c r="BK2034" s="1626"/>
      <c r="BL2034" s="1626"/>
      <c r="BM2034" s="1626"/>
      <c r="BN2034" s="1626"/>
      <c r="BO2034" s="1626"/>
      <c r="BP2034" s="1626"/>
      <c r="BQ2034" s="1626"/>
      <c r="BR2034" s="1626"/>
      <c r="BS2034" s="1626"/>
      <c r="BT2034" s="1626"/>
      <c r="BU2034" s="1626"/>
      <c r="BV2034" s="1626"/>
      <c r="BW2034" s="1626"/>
      <c r="BX2034" s="1626"/>
      <c r="BY2034" s="1626"/>
      <c r="BZ2034" s="1626"/>
      <c r="CA2034" s="1626"/>
      <c r="CB2034" s="1626"/>
      <c r="CC2034" s="1626"/>
      <c r="CD2034" s="1626"/>
      <c r="CE2034" s="1626"/>
      <c r="CF2034" s="1626"/>
      <c r="CG2034" s="1626"/>
      <c r="CH2034" s="1626"/>
      <c r="CI2034" s="1626"/>
      <c r="CJ2034" s="1626"/>
      <c r="CK2034" s="1626"/>
    </row>
    <row r="2035" spans="1:89" s="1108" customFormat="1" ht="17.25" customHeight="1" x14ac:dyDescent="0.25">
      <c r="A2035" s="1107"/>
      <c r="B2035" s="1607" t="s">
        <v>905</v>
      </c>
      <c r="C2035" s="1586">
        <v>4</v>
      </c>
      <c r="D2035" s="1600" t="s">
        <v>159</v>
      </c>
      <c r="E2035" s="1601">
        <v>900</v>
      </c>
      <c r="F2035" s="1589"/>
      <c r="G2035" s="1589"/>
      <c r="H2035" s="1589"/>
      <c r="I2035" s="1590">
        <f t="shared" si="153"/>
        <v>3600</v>
      </c>
      <c r="J2035" s="1589"/>
      <c r="K2035" s="1589">
        <f t="shared" si="152"/>
        <v>3600</v>
      </c>
      <c r="L2035" s="1589"/>
      <c r="M2035" s="1589"/>
      <c r="N2035" s="1589"/>
      <c r="O2035" s="1591">
        <f t="shared" si="151"/>
        <v>3600</v>
      </c>
      <c r="P2035" s="1592"/>
      <c r="Q2035" s="1626"/>
      <c r="R2035" s="1626"/>
      <c r="S2035" s="1626"/>
      <c r="T2035" s="1626"/>
      <c r="U2035" s="1626"/>
      <c r="V2035" s="1626"/>
      <c r="W2035" s="1626"/>
      <c r="X2035" s="1626"/>
      <c r="Y2035" s="1626"/>
      <c r="Z2035" s="1626"/>
      <c r="AA2035" s="1626"/>
      <c r="AB2035" s="1626"/>
      <c r="AC2035" s="1626"/>
      <c r="AD2035" s="1626"/>
      <c r="AE2035" s="1626"/>
      <c r="AF2035" s="1626"/>
      <c r="AG2035" s="1626"/>
      <c r="AH2035" s="1626"/>
      <c r="AI2035" s="1626"/>
      <c r="AJ2035" s="1626"/>
      <c r="AK2035" s="1626"/>
      <c r="AL2035" s="1626"/>
      <c r="AM2035" s="1626"/>
      <c r="AN2035" s="1626"/>
      <c r="AO2035" s="1626"/>
      <c r="AP2035" s="1626"/>
      <c r="AQ2035" s="1626"/>
      <c r="AR2035" s="1626"/>
      <c r="AS2035" s="1626"/>
      <c r="AT2035" s="1626"/>
      <c r="AU2035" s="1626"/>
      <c r="AV2035" s="1626"/>
      <c r="AW2035" s="1626"/>
      <c r="AX2035" s="1626"/>
      <c r="AY2035" s="1626"/>
      <c r="AZ2035" s="1626"/>
      <c r="BA2035" s="1626"/>
      <c r="BB2035" s="1626"/>
      <c r="BC2035" s="1626"/>
      <c r="BD2035" s="1626"/>
      <c r="BE2035" s="1626"/>
      <c r="BF2035" s="1626"/>
      <c r="BG2035" s="1626"/>
      <c r="BH2035" s="1626"/>
      <c r="BI2035" s="1626"/>
      <c r="BJ2035" s="1626"/>
      <c r="BK2035" s="1626"/>
      <c r="BL2035" s="1626"/>
      <c r="BM2035" s="1626"/>
      <c r="BN2035" s="1626"/>
      <c r="BO2035" s="1626"/>
      <c r="BP2035" s="1626"/>
      <c r="BQ2035" s="1626"/>
      <c r="BR2035" s="1626"/>
      <c r="BS2035" s="1626"/>
      <c r="BT2035" s="1626"/>
      <c r="BU2035" s="1626"/>
      <c r="BV2035" s="1626"/>
      <c r="BW2035" s="1626"/>
      <c r="BX2035" s="1626"/>
      <c r="BY2035" s="1626"/>
      <c r="BZ2035" s="1626"/>
      <c r="CA2035" s="1626"/>
      <c r="CB2035" s="1626"/>
      <c r="CC2035" s="1626"/>
      <c r="CD2035" s="1626"/>
      <c r="CE2035" s="1626"/>
      <c r="CF2035" s="1626"/>
      <c r="CG2035" s="1626"/>
      <c r="CH2035" s="1626"/>
      <c r="CI2035" s="1626"/>
      <c r="CJ2035" s="1626"/>
      <c r="CK2035" s="1626"/>
    </row>
    <row r="2036" spans="1:89" s="1108" customFormat="1" ht="17.25" customHeight="1" x14ac:dyDescent="0.25">
      <c r="A2036" s="1107"/>
      <c r="B2036" s="1607" t="s">
        <v>906</v>
      </c>
      <c r="C2036" s="1586">
        <v>2</v>
      </c>
      <c r="D2036" s="1600" t="s">
        <v>159</v>
      </c>
      <c r="E2036" s="1601">
        <v>440</v>
      </c>
      <c r="F2036" s="1589"/>
      <c r="G2036" s="1589"/>
      <c r="H2036" s="1589"/>
      <c r="I2036" s="1590">
        <f t="shared" si="153"/>
        <v>880</v>
      </c>
      <c r="J2036" s="1589"/>
      <c r="K2036" s="1589">
        <f t="shared" si="152"/>
        <v>880</v>
      </c>
      <c r="L2036" s="1589"/>
      <c r="M2036" s="1589"/>
      <c r="N2036" s="1589"/>
      <c r="O2036" s="1591">
        <f t="shared" si="151"/>
        <v>880</v>
      </c>
      <c r="P2036" s="1592"/>
      <c r="Q2036" s="1626"/>
      <c r="R2036" s="1626"/>
      <c r="S2036" s="1626"/>
      <c r="T2036" s="1626"/>
      <c r="U2036" s="1626"/>
      <c r="V2036" s="1626"/>
      <c r="W2036" s="1626"/>
      <c r="X2036" s="1626"/>
      <c r="Y2036" s="1626"/>
      <c r="Z2036" s="1626"/>
      <c r="AA2036" s="1626"/>
      <c r="AB2036" s="1626"/>
      <c r="AC2036" s="1626"/>
      <c r="AD2036" s="1626"/>
      <c r="AE2036" s="1626"/>
      <c r="AF2036" s="1626"/>
      <c r="AG2036" s="1626"/>
      <c r="AH2036" s="1626"/>
      <c r="AI2036" s="1626"/>
      <c r="AJ2036" s="1626"/>
      <c r="AK2036" s="1626"/>
      <c r="AL2036" s="1626"/>
      <c r="AM2036" s="1626"/>
      <c r="AN2036" s="1626"/>
      <c r="AO2036" s="1626"/>
      <c r="AP2036" s="1626"/>
      <c r="AQ2036" s="1626"/>
      <c r="AR2036" s="1626"/>
      <c r="AS2036" s="1626"/>
      <c r="AT2036" s="1626"/>
      <c r="AU2036" s="1626"/>
      <c r="AV2036" s="1626"/>
      <c r="AW2036" s="1626"/>
      <c r="AX2036" s="1626"/>
      <c r="AY2036" s="1626"/>
      <c r="AZ2036" s="1626"/>
      <c r="BA2036" s="1626"/>
      <c r="BB2036" s="1626"/>
      <c r="BC2036" s="1626"/>
      <c r="BD2036" s="1626"/>
      <c r="BE2036" s="1626"/>
      <c r="BF2036" s="1626"/>
      <c r="BG2036" s="1626"/>
      <c r="BH2036" s="1626"/>
      <c r="BI2036" s="1626"/>
      <c r="BJ2036" s="1626"/>
      <c r="BK2036" s="1626"/>
      <c r="BL2036" s="1626"/>
      <c r="BM2036" s="1626"/>
      <c r="BN2036" s="1626"/>
      <c r="BO2036" s="1626"/>
      <c r="BP2036" s="1626"/>
      <c r="BQ2036" s="1626"/>
      <c r="BR2036" s="1626"/>
      <c r="BS2036" s="1626"/>
      <c r="BT2036" s="1626"/>
      <c r="BU2036" s="1626"/>
      <c r="BV2036" s="1626"/>
      <c r="BW2036" s="1626"/>
      <c r="BX2036" s="1626"/>
      <c r="BY2036" s="1626"/>
      <c r="BZ2036" s="1626"/>
      <c r="CA2036" s="1626"/>
      <c r="CB2036" s="1626"/>
      <c r="CC2036" s="1626"/>
      <c r="CD2036" s="1626"/>
      <c r="CE2036" s="1626"/>
      <c r="CF2036" s="1626"/>
      <c r="CG2036" s="1626"/>
      <c r="CH2036" s="1626"/>
      <c r="CI2036" s="1626"/>
      <c r="CJ2036" s="1626"/>
      <c r="CK2036" s="1626"/>
    </row>
    <row r="2037" spans="1:89" s="1108" customFormat="1" ht="17.25" customHeight="1" x14ac:dyDescent="0.25">
      <c r="A2037" s="1107"/>
      <c r="B2037" s="1607" t="s">
        <v>907</v>
      </c>
      <c r="C2037" s="1586">
        <v>1</v>
      </c>
      <c r="D2037" s="1600" t="s">
        <v>47</v>
      </c>
      <c r="E2037" s="1601">
        <v>7500</v>
      </c>
      <c r="F2037" s="1589"/>
      <c r="G2037" s="1589"/>
      <c r="H2037" s="1589"/>
      <c r="I2037" s="1590">
        <f t="shared" si="153"/>
        <v>7500</v>
      </c>
      <c r="J2037" s="1589"/>
      <c r="K2037" s="1589">
        <f t="shared" si="152"/>
        <v>7500</v>
      </c>
      <c r="L2037" s="1589"/>
      <c r="M2037" s="1589"/>
      <c r="N2037" s="1589"/>
      <c r="O2037" s="1591">
        <f t="shared" si="151"/>
        <v>7500</v>
      </c>
      <c r="P2037" s="1592"/>
      <c r="Q2037" s="1626"/>
      <c r="R2037" s="1626"/>
      <c r="S2037" s="1626"/>
      <c r="T2037" s="1626"/>
      <c r="U2037" s="1626"/>
      <c r="V2037" s="1626"/>
      <c r="W2037" s="1626"/>
      <c r="X2037" s="1626"/>
      <c r="Y2037" s="1626"/>
      <c r="Z2037" s="1626"/>
      <c r="AA2037" s="1626"/>
      <c r="AB2037" s="1626"/>
      <c r="AC2037" s="1626"/>
      <c r="AD2037" s="1626"/>
      <c r="AE2037" s="1626"/>
      <c r="AF2037" s="1626"/>
      <c r="AG2037" s="1626"/>
      <c r="AH2037" s="1626"/>
      <c r="AI2037" s="1626"/>
      <c r="AJ2037" s="1626"/>
      <c r="AK2037" s="1626"/>
      <c r="AL2037" s="1626"/>
      <c r="AM2037" s="1626"/>
      <c r="AN2037" s="1626"/>
      <c r="AO2037" s="1626"/>
      <c r="AP2037" s="1626"/>
      <c r="AQ2037" s="1626"/>
      <c r="AR2037" s="1626"/>
      <c r="AS2037" s="1626"/>
      <c r="AT2037" s="1626"/>
      <c r="AU2037" s="1626"/>
      <c r="AV2037" s="1626"/>
      <c r="AW2037" s="1626"/>
      <c r="AX2037" s="1626"/>
      <c r="AY2037" s="1626"/>
      <c r="AZ2037" s="1626"/>
      <c r="BA2037" s="1626"/>
      <c r="BB2037" s="1626"/>
      <c r="BC2037" s="1626"/>
      <c r="BD2037" s="1626"/>
      <c r="BE2037" s="1626"/>
      <c r="BF2037" s="1626"/>
      <c r="BG2037" s="1626"/>
      <c r="BH2037" s="1626"/>
      <c r="BI2037" s="1626"/>
      <c r="BJ2037" s="1626"/>
      <c r="BK2037" s="1626"/>
      <c r="BL2037" s="1626"/>
      <c r="BM2037" s="1626"/>
      <c r="BN2037" s="1626"/>
      <c r="BO2037" s="1626"/>
      <c r="BP2037" s="1626"/>
      <c r="BQ2037" s="1626"/>
      <c r="BR2037" s="1626"/>
      <c r="BS2037" s="1626"/>
      <c r="BT2037" s="1626"/>
      <c r="BU2037" s="1626"/>
      <c r="BV2037" s="1626"/>
      <c r="BW2037" s="1626"/>
      <c r="BX2037" s="1626"/>
      <c r="BY2037" s="1626"/>
      <c r="BZ2037" s="1626"/>
      <c r="CA2037" s="1626"/>
      <c r="CB2037" s="1626"/>
      <c r="CC2037" s="1626"/>
      <c r="CD2037" s="1626"/>
      <c r="CE2037" s="1626"/>
      <c r="CF2037" s="1626"/>
      <c r="CG2037" s="1626"/>
      <c r="CH2037" s="1626"/>
      <c r="CI2037" s="1626"/>
      <c r="CJ2037" s="1626"/>
      <c r="CK2037" s="1626"/>
    </row>
    <row r="2038" spans="1:89" s="1108" customFormat="1" ht="17.25" customHeight="1" x14ac:dyDescent="0.25">
      <c r="A2038" s="1107"/>
      <c r="B2038" s="1607"/>
      <c r="C2038" s="1586"/>
      <c r="D2038" s="1600"/>
      <c r="E2038" s="1601"/>
      <c r="F2038" s="1589"/>
      <c r="G2038" s="1589"/>
      <c r="H2038" s="1589"/>
      <c r="I2038" s="1589"/>
      <c r="J2038" s="1590"/>
      <c r="K2038" s="1589"/>
      <c r="L2038" s="1589"/>
      <c r="M2038" s="1589"/>
      <c r="N2038" s="1589"/>
      <c r="O2038" s="1591"/>
      <c r="P2038" s="1592"/>
      <c r="Q2038" s="1626"/>
      <c r="R2038" s="1626"/>
      <c r="S2038" s="1626"/>
      <c r="T2038" s="1626"/>
      <c r="U2038" s="1626"/>
      <c r="V2038" s="1626"/>
      <c r="W2038" s="1626"/>
      <c r="X2038" s="1626"/>
      <c r="Y2038" s="1626"/>
      <c r="Z2038" s="1626"/>
      <c r="AA2038" s="1626"/>
      <c r="AB2038" s="1626"/>
      <c r="AC2038" s="1626"/>
      <c r="AD2038" s="1626"/>
      <c r="AE2038" s="1626"/>
      <c r="AF2038" s="1626"/>
      <c r="AG2038" s="1626"/>
      <c r="AH2038" s="1626"/>
      <c r="AI2038" s="1626"/>
      <c r="AJ2038" s="1626"/>
      <c r="AK2038" s="1626"/>
      <c r="AL2038" s="1626"/>
      <c r="AM2038" s="1626"/>
      <c r="AN2038" s="1626"/>
      <c r="AO2038" s="1626"/>
      <c r="AP2038" s="1626"/>
      <c r="AQ2038" s="1626"/>
      <c r="AR2038" s="1626"/>
      <c r="AS2038" s="1626"/>
      <c r="AT2038" s="1626"/>
      <c r="AU2038" s="1626"/>
      <c r="AV2038" s="1626"/>
      <c r="AW2038" s="1626"/>
      <c r="AX2038" s="1626"/>
      <c r="AY2038" s="1626"/>
      <c r="AZ2038" s="1626"/>
      <c r="BA2038" s="1626"/>
      <c r="BB2038" s="1626"/>
      <c r="BC2038" s="1626"/>
      <c r="BD2038" s="1626"/>
      <c r="BE2038" s="1626"/>
      <c r="BF2038" s="1626"/>
      <c r="BG2038" s="1626"/>
      <c r="BH2038" s="1626"/>
      <c r="BI2038" s="1626"/>
      <c r="BJ2038" s="1626"/>
      <c r="BK2038" s="1626"/>
      <c r="BL2038" s="1626"/>
      <c r="BM2038" s="1626"/>
      <c r="BN2038" s="1626"/>
      <c r="BO2038" s="1626"/>
      <c r="BP2038" s="1626"/>
      <c r="BQ2038" s="1626"/>
      <c r="BR2038" s="1626"/>
      <c r="BS2038" s="1626"/>
      <c r="BT2038" s="1626"/>
      <c r="BU2038" s="1626"/>
      <c r="BV2038" s="1626"/>
      <c r="BW2038" s="1626"/>
      <c r="BX2038" s="1626"/>
      <c r="BY2038" s="1626"/>
      <c r="BZ2038" s="1626"/>
      <c r="CA2038" s="1626"/>
      <c r="CB2038" s="1626"/>
      <c r="CC2038" s="1626"/>
      <c r="CD2038" s="1626"/>
      <c r="CE2038" s="1626"/>
      <c r="CF2038" s="1626"/>
      <c r="CG2038" s="1626"/>
      <c r="CH2038" s="1626"/>
      <c r="CI2038" s="1626"/>
      <c r="CJ2038" s="1626"/>
      <c r="CK2038" s="1626"/>
    </row>
    <row r="2039" spans="1:89" s="1108" customFormat="1" ht="17.25" customHeight="1" x14ac:dyDescent="0.25">
      <c r="A2039" s="1107"/>
      <c r="B2039" s="1607" t="s">
        <v>27</v>
      </c>
      <c r="C2039" s="1586"/>
      <c r="D2039" s="1600"/>
      <c r="E2039" s="1601"/>
      <c r="F2039" s="1589"/>
      <c r="G2039" s="1589"/>
      <c r="H2039" s="1589"/>
      <c r="I2039" s="1589"/>
      <c r="J2039" s="1590"/>
      <c r="K2039" s="1589"/>
      <c r="L2039" s="1589"/>
      <c r="M2039" s="1589"/>
      <c r="N2039" s="1589"/>
      <c r="O2039" s="1591"/>
      <c r="P2039" s="1592"/>
      <c r="Q2039" s="1626"/>
      <c r="R2039" s="1626"/>
      <c r="S2039" s="1626"/>
      <c r="T2039" s="1626"/>
      <c r="U2039" s="1626"/>
      <c r="V2039" s="1626"/>
      <c r="W2039" s="1626"/>
      <c r="X2039" s="1626"/>
      <c r="Y2039" s="1626"/>
      <c r="Z2039" s="1626"/>
      <c r="AA2039" s="1626"/>
      <c r="AB2039" s="1626"/>
      <c r="AC2039" s="1626"/>
      <c r="AD2039" s="1626"/>
      <c r="AE2039" s="1626"/>
      <c r="AF2039" s="1626"/>
      <c r="AG2039" s="1626"/>
      <c r="AH2039" s="1626"/>
      <c r="AI2039" s="1626"/>
      <c r="AJ2039" s="1626"/>
      <c r="AK2039" s="1626"/>
      <c r="AL2039" s="1626"/>
      <c r="AM2039" s="1626"/>
      <c r="AN2039" s="1626"/>
      <c r="AO2039" s="1626"/>
      <c r="AP2039" s="1626"/>
      <c r="AQ2039" s="1626"/>
      <c r="AR2039" s="1626"/>
      <c r="AS2039" s="1626"/>
      <c r="AT2039" s="1626"/>
      <c r="AU2039" s="1626"/>
      <c r="AV2039" s="1626"/>
      <c r="AW2039" s="1626"/>
      <c r="AX2039" s="1626"/>
      <c r="AY2039" s="1626"/>
      <c r="AZ2039" s="1626"/>
      <c r="BA2039" s="1626"/>
      <c r="BB2039" s="1626"/>
      <c r="BC2039" s="1626"/>
      <c r="BD2039" s="1626"/>
      <c r="BE2039" s="1626"/>
      <c r="BF2039" s="1626"/>
      <c r="BG2039" s="1626"/>
      <c r="BH2039" s="1626"/>
      <c r="BI2039" s="1626"/>
      <c r="BJ2039" s="1626"/>
      <c r="BK2039" s="1626"/>
      <c r="BL2039" s="1626"/>
      <c r="BM2039" s="1626"/>
      <c r="BN2039" s="1626"/>
      <c r="BO2039" s="1626"/>
      <c r="BP2039" s="1626"/>
      <c r="BQ2039" s="1626"/>
      <c r="BR2039" s="1626"/>
      <c r="BS2039" s="1626"/>
      <c r="BT2039" s="1626"/>
      <c r="BU2039" s="1626"/>
      <c r="BV2039" s="1626"/>
      <c r="BW2039" s="1626"/>
      <c r="BX2039" s="1626"/>
      <c r="BY2039" s="1626"/>
      <c r="BZ2039" s="1626"/>
      <c r="CA2039" s="1626"/>
      <c r="CB2039" s="1626"/>
      <c r="CC2039" s="1626"/>
      <c r="CD2039" s="1626"/>
      <c r="CE2039" s="1626"/>
      <c r="CF2039" s="1626"/>
      <c r="CG2039" s="1626"/>
      <c r="CH2039" s="1626"/>
      <c r="CI2039" s="1626"/>
      <c r="CJ2039" s="1626"/>
      <c r="CK2039" s="1626"/>
    </row>
    <row r="2040" spans="1:89" s="1108" customFormat="1" ht="17.25" customHeight="1" x14ac:dyDescent="0.25">
      <c r="A2040" s="1107"/>
      <c r="B2040" s="1607" t="s">
        <v>908</v>
      </c>
      <c r="C2040" s="1586">
        <v>1</v>
      </c>
      <c r="D2040" s="1600" t="s">
        <v>47</v>
      </c>
      <c r="E2040" s="1601">
        <v>120000</v>
      </c>
      <c r="F2040" s="1589"/>
      <c r="G2040" s="1589"/>
      <c r="H2040" s="1589"/>
      <c r="I2040" s="1590">
        <f t="shared" si="153"/>
        <v>120000</v>
      </c>
      <c r="J2040" s="1589"/>
      <c r="K2040" s="1589">
        <f t="shared" si="152"/>
        <v>120000</v>
      </c>
      <c r="L2040" s="1589"/>
      <c r="M2040" s="1589"/>
      <c r="N2040" s="1589"/>
      <c r="O2040" s="1591">
        <f t="shared" si="151"/>
        <v>120000</v>
      </c>
      <c r="P2040" s="1592"/>
      <c r="Q2040" s="1626"/>
      <c r="R2040" s="1626"/>
      <c r="S2040" s="1626"/>
      <c r="T2040" s="1626"/>
      <c r="U2040" s="1626"/>
      <c r="V2040" s="1626"/>
      <c r="W2040" s="1626"/>
      <c r="X2040" s="1626"/>
      <c r="Y2040" s="1626"/>
      <c r="Z2040" s="1626"/>
      <c r="AA2040" s="1626"/>
      <c r="AB2040" s="1626"/>
      <c r="AC2040" s="1626"/>
      <c r="AD2040" s="1626"/>
      <c r="AE2040" s="1626"/>
      <c r="AF2040" s="1626"/>
      <c r="AG2040" s="1626"/>
      <c r="AH2040" s="1626"/>
      <c r="AI2040" s="1626"/>
      <c r="AJ2040" s="1626"/>
      <c r="AK2040" s="1626"/>
      <c r="AL2040" s="1626"/>
      <c r="AM2040" s="1626"/>
      <c r="AN2040" s="1626"/>
      <c r="AO2040" s="1626"/>
      <c r="AP2040" s="1626"/>
      <c r="AQ2040" s="1626"/>
      <c r="AR2040" s="1626"/>
      <c r="AS2040" s="1626"/>
      <c r="AT2040" s="1626"/>
      <c r="AU2040" s="1626"/>
      <c r="AV2040" s="1626"/>
      <c r="AW2040" s="1626"/>
      <c r="AX2040" s="1626"/>
      <c r="AY2040" s="1626"/>
      <c r="AZ2040" s="1626"/>
      <c r="BA2040" s="1626"/>
      <c r="BB2040" s="1626"/>
      <c r="BC2040" s="1626"/>
      <c r="BD2040" s="1626"/>
      <c r="BE2040" s="1626"/>
      <c r="BF2040" s="1626"/>
      <c r="BG2040" s="1626"/>
      <c r="BH2040" s="1626"/>
      <c r="BI2040" s="1626"/>
      <c r="BJ2040" s="1626"/>
      <c r="BK2040" s="1626"/>
      <c r="BL2040" s="1626"/>
      <c r="BM2040" s="1626"/>
      <c r="BN2040" s="1626"/>
      <c r="BO2040" s="1626"/>
      <c r="BP2040" s="1626"/>
      <c r="BQ2040" s="1626"/>
      <c r="BR2040" s="1626"/>
      <c r="BS2040" s="1626"/>
      <c r="BT2040" s="1626"/>
      <c r="BU2040" s="1626"/>
      <c r="BV2040" s="1626"/>
      <c r="BW2040" s="1626"/>
      <c r="BX2040" s="1626"/>
      <c r="BY2040" s="1626"/>
      <c r="BZ2040" s="1626"/>
      <c r="CA2040" s="1626"/>
      <c r="CB2040" s="1626"/>
      <c r="CC2040" s="1626"/>
      <c r="CD2040" s="1626"/>
      <c r="CE2040" s="1626"/>
      <c r="CF2040" s="1626"/>
      <c r="CG2040" s="1626"/>
      <c r="CH2040" s="1626"/>
      <c r="CI2040" s="1626"/>
      <c r="CJ2040" s="1626"/>
      <c r="CK2040" s="1626"/>
    </row>
    <row r="2041" spans="1:89" s="1108" customFormat="1" ht="17.25" customHeight="1" x14ac:dyDescent="0.25">
      <c r="A2041" s="1107"/>
      <c r="B2041" s="1607"/>
      <c r="C2041" s="1586"/>
      <c r="D2041" s="1600"/>
      <c r="E2041" s="1601"/>
      <c r="F2041" s="1589"/>
      <c r="G2041" s="1589"/>
      <c r="H2041" s="1589"/>
      <c r="I2041" s="1589"/>
      <c r="J2041" s="1590"/>
      <c r="K2041" s="1589"/>
      <c r="L2041" s="1589"/>
      <c r="M2041" s="1589"/>
      <c r="N2041" s="1589"/>
      <c r="O2041" s="1591"/>
      <c r="P2041" s="1592"/>
      <c r="Q2041" s="1626"/>
      <c r="R2041" s="1626"/>
      <c r="S2041" s="1626"/>
      <c r="T2041" s="1626"/>
      <c r="U2041" s="1626"/>
      <c r="V2041" s="1626"/>
      <c r="W2041" s="1626"/>
      <c r="X2041" s="1626"/>
      <c r="Y2041" s="1626"/>
      <c r="Z2041" s="1626"/>
      <c r="AA2041" s="1626"/>
      <c r="AB2041" s="1626"/>
      <c r="AC2041" s="1626"/>
      <c r="AD2041" s="1626"/>
      <c r="AE2041" s="1626"/>
      <c r="AF2041" s="1626"/>
      <c r="AG2041" s="1626"/>
      <c r="AH2041" s="1626"/>
      <c r="AI2041" s="1626"/>
      <c r="AJ2041" s="1626"/>
      <c r="AK2041" s="1626"/>
      <c r="AL2041" s="1626"/>
      <c r="AM2041" s="1626"/>
      <c r="AN2041" s="1626"/>
      <c r="AO2041" s="1626"/>
      <c r="AP2041" s="1626"/>
      <c r="AQ2041" s="1626"/>
      <c r="AR2041" s="1626"/>
      <c r="AS2041" s="1626"/>
      <c r="AT2041" s="1626"/>
      <c r="AU2041" s="1626"/>
      <c r="AV2041" s="1626"/>
      <c r="AW2041" s="1626"/>
      <c r="AX2041" s="1626"/>
      <c r="AY2041" s="1626"/>
      <c r="AZ2041" s="1626"/>
      <c r="BA2041" s="1626"/>
      <c r="BB2041" s="1626"/>
      <c r="BC2041" s="1626"/>
      <c r="BD2041" s="1626"/>
      <c r="BE2041" s="1626"/>
      <c r="BF2041" s="1626"/>
      <c r="BG2041" s="1626"/>
      <c r="BH2041" s="1626"/>
      <c r="BI2041" s="1626"/>
      <c r="BJ2041" s="1626"/>
      <c r="BK2041" s="1626"/>
      <c r="BL2041" s="1626"/>
      <c r="BM2041" s="1626"/>
      <c r="BN2041" s="1626"/>
      <c r="BO2041" s="1626"/>
      <c r="BP2041" s="1626"/>
      <c r="BQ2041" s="1626"/>
      <c r="BR2041" s="1626"/>
      <c r="BS2041" s="1626"/>
      <c r="BT2041" s="1626"/>
      <c r="BU2041" s="1626"/>
      <c r="BV2041" s="1626"/>
      <c r="BW2041" s="1626"/>
      <c r="BX2041" s="1626"/>
      <c r="BY2041" s="1626"/>
      <c r="BZ2041" s="1626"/>
      <c r="CA2041" s="1626"/>
      <c r="CB2041" s="1626"/>
      <c r="CC2041" s="1626"/>
      <c r="CD2041" s="1626"/>
      <c r="CE2041" s="1626"/>
      <c r="CF2041" s="1626"/>
      <c r="CG2041" s="1626"/>
      <c r="CH2041" s="1626"/>
      <c r="CI2041" s="1626"/>
      <c r="CJ2041" s="1626"/>
      <c r="CK2041" s="1626"/>
    </row>
    <row r="2042" spans="1:89" s="1108" customFormat="1" ht="17.25" customHeight="1" x14ac:dyDescent="0.25">
      <c r="A2042" s="1107"/>
      <c r="B2042" s="1607" t="s">
        <v>206</v>
      </c>
      <c r="C2042" s="1586"/>
      <c r="D2042" s="1600"/>
      <c r="E2042" s="1601"/>
      <c r="F2042" s="1589"/>
      <c r="G2042" s="1589"/>
      <c r="H2042" s="1589"/>
      <c r="I2042" s="1589"/>
      <c r="J2042" s="1590"/>
      <c r="K2042" s="1589"/>
      <c r="L2042" s="1589"/>
      <c r="M2042" s="1589"/>
      <c r="N2042" s="1589"/>
      <c r="O2042" s="1591"/>
      <c r="P2042" s="1592"/>
      <c r="Q2042" s="1626"/>
      <c r="R2042" s="1626"/>
      <c r="S2042" s="1626"/>
      <c r="T2042" s="1626"/>
      <c r="U2042" s="1626"/>
      <c r="V2042" s="1626"/>
      <c r="W2042" s="1626"/>
      <c r="X2042" s="1626"/>
      <c r="Y2042" s="1626"/>
      <c r="Z2042" s="1626"/>
      <c r="AA2042" s="1626"/>
      <c r="AB2042" s="1626"/>
      <c r="AC2042" s="1626"/>
      <c r="AD2042" s="1626"/>
      <c r="AE2042" s="1626"/>
      <c r="AF2042" s="1626"/>
      <c r="AG2042" s="1626"/>
      <c r="AH2042" s="1626"/>
      <c r="AI2042" s="1626"/>
      <c r="AJ2042" s="1626"/>
      <c r="AK2042" s="1626"/>
      <c r="AL2042" s="1626"/>
      <c r="AM2042" s="1626"/>
      <c r="AN2042" s="1626"/>
      <c r="AO2042" s="1626"/>
      <c r="AP2042" s="1626"/>
      <c r="AQ2042" s="1626"/>
      <c r="AR2042" s="1626"/>
      <c r="AS2042" s="1626"/>
      <c r="AT2042" s="1626"/>
      <c r="AU2042" s="1626"/>
      <c r="AV2042" s="1626"/>
      <c r="AW2042" s="1626"/>
      <c r="AX2042" s="1626"/>
      <c r="AY2042" s="1626"/>
      <c r="AZ2042" s="1626"/>
      <c r="BA2042" s="1626"/>
      <c r="BB2042" s="1626"/>
      <c r="BC2042" s="1626"/>
      <c r="BD2042" s="1626"/>
      <c r="BE2042" s="1626"/>
      <c r="BF2042" s="1626"/>
      <c r="BG2042" s="1626"/>
      <c r="BH2042" s="1626"/>
      <c r="BI2042" s="1626"/>
      <c r="BJ2042" s="1626"/>
      <c r="BK2042" s="1626"/>
      <c r="BL2042" s="1626"/>
      <c r="BM2042" s="1626"/>
      <c r="BN2042" s="1626"/>
      <c r="BO2042" s="1626"/>
      <c r="BP2042" s="1626"/>
      <c r="BQ2042" s="1626"/>
      <c r="BR2042" s="1626"/>
      <c r="BS2042" s="1626"/>
      <c r="BT2042" s="1626"/>
      <c r="BU2042" s="1626"/>
      <c r="BV2042" s="1626"/>
      <c r="BW2042" s="1626"/>
      <c r="BX2042" s="1626"/>
      <c r="BY2042" s="1626"/>
      <c r="BZ2042" s="1626"/>
      <c r="CA2042" s="1626"/>
      <c r="CB2042" s="1626"/>
      <c r="CC2042" s="1626"/>
      <c r="CD2042" s="1626"/>
      <c r="CE2042" s="1626"/>
      <c r="CF2042" s="1626"/>
      <c r="CG2042" s="1626"/>
      <c r="CH2042" s="1626"/>
      <c r="CI2042" s="1626"/>
      <c r="CJ2042" s="1626"/>
      <c r="CK2042" s="1626"/>
    </row>
    <row r="2043" spans="1:89" s="1108" customFormat="1" ht="17.25" customHeight="1" x14ac:dyDescent="0.25">
      <c r="A2043" s="1107"/>
      <c r="B2043" s="1607" t="s">
        <v>909</v>
      </c>
      <c r="C2043" s="1586">
        <v>1</v>
      </c>
      <c r="D2043" s="1600" t="s">
        <v>47</v>
      </c>
      <c r="E2043" s="1601">
        <v>47950</v>
      </c>
      <c r="F2043" s="1589"/>
      <c r="G2043" s="1589"/>
      <c r="H2043" s="1589"/>
      <c r="I2043" s="1589"/>
      <c r="J2043" s="1590">
        <f>C2043*E2043</f>
        <v>47950</v>
      </c>
      <c r="K2043" s="1589">
        <f t="shared" si="152"/>
        <v>47950</v>
      </c>
      <c r="L2043" s="1589"/>
      <c r="M2043" s="1589"/>
      <c r="N2043" s="1589"/>
      <c r="O2043" s="1591">
        <f t="shared" si="151"/>
        <v>47950</v>
      </c>
      <c r="P2043" s="1592"/>
      <c r="Q2043" s="1626"/>
      <c r="R2043" s="1626"/>
      <c r="S2043" s="1626"/>
      <c r="T2043" s="1626"/>
      <c r="U2043" s="1626"/>
      <c r="V2043" s="1626"/>
      <c r="W2043" s="1626"/>
      <c r="X2043" s="1626"/>
      <c r="Y2043" s="1626"/>
      <c r="Z2043" s="1626"/>
      <c r="AA2043" s="1626"/>
      <c r="AB2043" s="1626"/>
      <c r="AC2043" s="1626"/>
      <c r="AD2043" s="1626"/>
      <c r="AE2043" s="1626"/>
      <c r="AF2043" s="1626"/>
      <c r="AG2043" s="1626"/>
      <c r="AH2043" s="1626"/>
      <c r="AI2043" s="1626"/>
      <c r="AJ2043" s="1626"/>
      <c r="AK2043" s="1626"/>
      <c r="AL2043" s="1626"/>
      <c r="AM2043" s="1626"/>
      <c r="AN2043" s="1626"/>
      <c r="AO2043" s="1626"/>
      <c r="AP2043" s="1626"/>
      <c r="AQ2043" s="1626"/>
      <c r="AR2043" s="1626"/>
      <c r="AS2043" s="1626"/>
      <c r="AT2043" s="1626"/>
      <c r="AU2043" s="1626"/>
      <c r="AV2043" s="1626"/>
      <c r="AW2043" s="1626"/>
      <c r="AX2043" s="1626"/>
      <c r="AY2043" s="1626"/>
      <c r="AZ2043" s="1626"/>
      <c r="BA2043" s="1626"/>
      <c r="BB2043" s="1626"/>
      <c r="BC2043" s="1626"/>
      <c r="BD2043" s="1626"/>
      <c r="BE2043" s="1626"/>
      <c r="BF2043" s="1626"/>
      <c r="BG2043" s="1626"/>
      <c r="BH2043" s="1626"/>
      <c r="BI2043" s="1626"/>
      <c r="BJ2043" s="1626"/>
      <c r="BK2043" s="1626"/>
      <c r="BL2043" s="1626"/>
      <c r="BM2043" s="1626"/>
      <c r="BN2043" s="1626"/>
      <c r="BO2043" s="1626"/>
      <c r="BP2043" s="1626"/>
      <c r="BQ2043" s="1626"/>
      <c r="BR2043" s="1626"/>
      <c r="BS2043" s="1626"/>
      <c r="BT2043" s="1626"/>
      <c r="BU2043" s="1626"/>
      <c r="BV2043" s="1626"/>
      <c r="BW2043" s="1626"/>
      <c r="BX2043" s="1626"/>
      <c r="BY2043" s="1626"/>
      <c r="BZ2043" s="1626"/>
      <c r="CA2043" s="1626"/>
      <c r="CB2043" s="1626"/>
      <c r="CC2043" s="1626"/>
      <c r="CD2043" s="1626"/>
      <c r="CE2043" s="1626"/>
      <c r="CF2043" s="1626"/>
      <c r="CG2043" s="1626"/>
      <c r="CH2043" s="1626"/>
      <c r="CI2043" s="1626"/>
      <c r="CJ2043" s="1626"/>
      <c r="CK2043" s="1626"/>
    </row>
    <row r="2044" spans="1:89" s="1108" customFormat="1" ht="17.25" customHeight="1" x14ac:dyDescent="0.25">
      <c r="A2044" s="1107"/>
      <c r="B2044" s="1607" t="s">
        <v>910</v>
      </c>
      <c r="C2044" s="1586">
        <v>1</v>
      </c>
      <c r="D2044" s="1600" t="s">
        <v>47</v>
      </c>
      <c r="E2044" s="1601">
        <v>25000</v>
      </c>
      <c r="F2044" s="1589"/>
      <c r="G2044" s="1589"/>
      <c r="H2044" s="1589"/>
      <c r="I2044" s="1589"/>
      <c r="J2044" s="1590">
        <f>C2044*E2044</f>
        <v>25000</v>
      </c>
      <c r="K2044" s="1589">
        <f t="shared" si="152"/>
        <v>25000</v>
      </c>
      <c r="L2044" s="1589"/>
      <c r="M2044" s="1589"/>
      <c r="N2044" s="1589"/>
      <c r="O2044" s="1591">
        <f t="shared" si="151"/>
        <v>25000</v>
      </c>
      <c r="P2044" s="1592"/>
      <c r="Q2044" s="1626"/>
      <c r="R2044" s="1626"/>
      <c r="S2044" s="1626"/>
      <c r="T2044" s="1626"/>
      <c r="U2044" s="1626"/>
      <c r="V2044" s="1626"/>
      <c r="W2044" s="1626"/>
      <c r="X2044" s="1626"/>
      <c r="Y2044" s="1626"/>
      <c r="Z2044" s="1626"/>
      <c r="AA2044" s="1626"/>
      <c r="AB2044" s="1626"/>
      <c r="AC2044" s="1626"/>
      <c r="AD2044" s="1626"/>
      <c r="AE2044" s="1626"/>
      <c r="AF2044" s="1626"/>
      <c r="AG2044" s="1626"/>
      <c r="AH2044" s="1626"/>
      <c r="AI2044" s="1626"/>
      <c r="AJ2044" s="1626"/>
      <c r="AK2044" s="1626"/>
      <c r="AL2044" s="1626"/>
      <c r="AM2044" s="1626"/>
      <c r="AN2044" s="1626"/>
      <c r="AO2044" s="1626"/>
      <c r="AP2044" s="1626"/>
      <c r="AQ2044" s="1626"/>
      <c r="AR2044" s="1626"/>
      <c r="AS2044" s="1626"/>
      <c r="AT2044" s="1626"/>
      <c r="AU2044" s="1626"/>
      <c r="AV2044" s="1626"/>
      <c r="AW2044" s="1626"/>
      <c r="AX2044" s="1626"/>
      <c r="AY2044" s="1626"/>
      <c r="AZ2044" s="1626"/>
      <c r="BA2044" s="1626"/>
      <c r="BB2044" s="1626"/>
      <c r="BC2044" s="1626"/>
      <c r="BD2044" s="1626"/>
      <c r="BE2044" s="1626"/>
      <c r="BF2044" s="1626"/>
      <c r="BG2044" s="1626"/>
      <c r="BH2044" s="1626"/>
      <c r="BI2044" s="1626"/>
      <c r="BJ2044" s="1626"/>
      <c r="BK2044" s="1626"/>
      <c r="BL2044" s="1626"/>
      <c r="BM2044" s="1626"/>
      <c r="BN2044" s="1626"/>
      <c r="BO2044" s="1626"/>
      <c r="BP2044" s="1626"/>
      <c r="BQ2044" s="1626"/>
      <c r="BR2044" s="1626"/>
      <c r="BS2044" s="1626"/>
      <c r="BT2044" s="1626"/>
      <c r="BU2044" s="1626"/>
      <c r="BV2044" s="1626"/>
      <c r="BW2044" s="1626"/>
      <c r="BX2044" s="1626"/>
      <c r="BY2044" s="1626"/>
      <c r="BZ2044" s="1626"/>
      <c r="CA2044" s="1626"/>
      <c r="CB2044" s="1626"/>
      <c r="CC2044" s="1626"/>
      <c r="CD2044" s="1626"/>
      <c r="CE2044" s="1626"/>
      <c r="CF2044" s="1626"/>
      <c r="CG2044" s="1626"/>
      <c r="CH2044" s="1626"/>
      <c r="CI2044" s="1626"/>
      <c r="CJ2044" s="1626"/>
      <c r="CK2044" s="1626"/>
    </row>
    <row r="2045" spans="1:89" s="1108" customFormat="1" ht="17.25" customHeight="1" x14ac:dyDescent="0.25">
      <c r="A2045" s="1107"/>
      <c r="B2045" s="1607" t="s">
        <v>911</v>
      </c>
      <c r="C2045" s="1586">
        <v>12</v>
      </c>
      <c r="D2045" s="1600" t="s">
        <v>20</v>
      </c>
      <c r="E2045" s="1601">
        <v>400</v>
      </c>
      <c r="F2045" s="1589"/>
      <c r="G2045" s="1589"/>
      <c r="H2045" s="1589"/>
      <c r="I2045" s="1589"/>
      <c r="J2045" s="1590">
        <f>C2045*E2045</f>
        <v>4800</v>
      </c>
      <c r="K2045" s="1589">
        <f t="shared" si="152"/>
        <v>4800</v>
      </c>
      <c r="L2045" s="1589"/>
      <c r="M2045" s="1589"/>
      <c r="N2045" s="1589"/>
      <c r="O2045" s="1591">
        <f t="shared" si="151"/>
        <v>4800</v>
      </c>
      <c r="P2045" s="1592"/>
      <c r="Q2045" s="1626"/>
      <c r="R2045" s="1626"/>
      <c r="S2045" s="1626"/>
      <c r="T2045" s="1626"/>
      <c r="U2045" s="1626"/>
      <c r="V2045" s="1626"/>
      <c r="W2045" s="1626"/>
      <c r="X2045" s="1626"/>
      <c r="Y2045" s="1626"/>
      <c r="Z2045" s="1626"/>
      <c r="AA2045" s="1626"/>
      <c r="AB2045" s="1626"/>
      <c r="AC2045" s="1626"/>
      <c r="AD2045" s="1626"/>
      <c r="AE2045" s="1626"/>
      <c r="AF2045" s="1626"/>
      <c r="AG2045" s="1626"/>
      <c r="AH2045" s="1626"/>
      <c r="AI2045" s="1626"/>
      <c r="AJ2045" s="1626"/>
      <c r="AK2045" s="1626"/>
      <c r="AL2045" s="1626"/>
      <c r="AM2045" s="1626"/>
      <c r="AN2045" s="1626"/>
      <c r="AO2045" s="1626"/>
      <c r="AP2045" s="1626"/>
      <c r="AQ2045" s="1626"/>
      <c r="AR2045" s="1626"/>
      <c r="AS2045" s="1626"/>
      <c r="AT2045" s="1626"/>
      <c r="AU2045" s="1626"/>
      <c r="AV2045" s="1626"/>
      <c r="AW2045" s="1626"/>
      <c r="AX2045" s="1626"/>
      <c r="AY2045" s="1626"/>
      <c r="AZ2045" s="1626"/>
      <c r="BA2045" s="1626"/>
      <c r="BB2045" s="1626"/>
      <c r="BC2045" s="1626"/>
      <c r="BD2045" s="1626"/>
      <c r="BE2045" s="1626"/>
      <c r="BF2045" s="1626"/>
      <c r="BG2045" s="1626"/>
      <c r="BH2045" s="1626"/>
      <c r="BI2045" s="1626"/>
      <c r="BJ2045" s="1626"/>
      <c r="BK2045" s="1626"/>
      <c r="BL2045" s="1626"/>
      <c r="BM2045" s="1626"/>
      <c r="BN2045" s="1626"/>
      <c r="BO2045" s="1626"/>
      <c r="BP2045" s="1626"/>
      <c r="BQ2045" s="1626"/>
      <c r="BR2045" s="1626"/>
      <c r="BS2045" s="1626"/>
      <c r="BT2045" s="1626"/>
      <c r="BU2045" s="1626"/>
      <c r="BV2045" s="1626"/>
      <c r="BW2045" s="1626"/>
      <c r="BX2045" s="1626"/>
      <c r="BY2045" s="1626"/>
      <c r="BZ2045" s="1626"/>
      <c r="CA2045" s="1626"/>
      <c r="CB2045" s="1626"/>
      <c r="CC2045" s="1626"/>
      <c r="CD2045" s="1626"/>
      <c r="CE2045" s="1626"/>
      <c r="CF2045" s="1626"/>
      <c r="CG2045" s="1626"/>
      <c r="CH2045" s="1626"/>
      <c r="CI2045" s="1626"/>
      <c r="CJ2045" s="1626"/>
      <c r="CK2045" s="1626"/>
    </row>
    <row r="2046" spans="1:89" s="1108" customFormat="1" ht="17.25" customHeight="1" x14ac:dyDescent="0.25">
      <c r="A2046" s="1107"/>
      <c r="B2046" s="1607" t="s">
        <v>912</v>
      </c>
      <c r="C2046" s="1586">
        <v>48</v>
      </c>
      <c r="D2046" s="1600" t="s">
        <v>20</v>
      </c>
      <c r="E2046" s="1601">
        <v>300</v>
      </c>
      <c r="F2046" s="1589"/>
      <c r="G2046" s="1589"/>
      <c r="H2046" s="1589"/>
      <c r="I2046" s="1589"/>
      <c r="J2046" s="1590">
        <f>C2046*E2046</f>
        <v>14400</v>
      </c>
      <c r="K2046" s="1589">
        <f t="shared" si="152"/>
        <v>14400</v>
      </c>
      <c r="L2046" s="1589"/>
      <c r="M2046" s="1589"/>
      <c r="N2046" s="1589"/>
      <c r="O2046" s="1591">
        <f t="shared" si="151"/>
        <v>14400</v>
      </c>
      <c r="P2046" s="1592"/>
      <c r="Q2046" s="1626"/>
      <c r="R2046" s="1626"/>
      <c r="S2046" s="1626"/>
      <c r="T2046" s="1626"/>
      <c r="U2046" s="1626"/>
      <c r="V2046" s="1626"/>
      <c r="W2046" s="1626"/>
      <c r="X2046" s="1626"/>
      <c r="Y2046" s="1626"/>
      <c r="Z2046" s="1626"/>
      <c r="AA2046" s="1626"/>
      <c r="AB2046" s="1626"/>
      <c r="AC2046" s="1626"/>
      <c r="AD2046" s="1626"/>
      <c r="AE2046" s="1626"/>
      <c r="AF2046" s="1626"/>
      <c r="AG2046" s="1626"/>
      <c r="AH2046" s="1626"/>
      <c r="AI2046" s="1626"/>
      <c r="AJ2046" s="1626"/>
      <c r="AK2046" s="1626"/>
      <c r="AL2046" s="1626"/>
      <c r="AM2046" s="1626"/>
      <c r="AN2046" s="1626"/>
      <c r="AO2046" s="1626"/>
      <c r="AP2046" s="1626"/>
      <c r="AQ2046" s="1626"/>
      <c r="AR2046" s="1626"/>
      <c r="AS2046" s="1626"/>
      <c r="AT2046" s="1626"/>
      <c r="AU2046" s="1626"/>
      <c r="AV2046" s="1626"/>
      <c r="AW2046" s="1626"/>
      <c r="AX2046" s="1626"/>
      <c r="AY2046" s="1626"/>
      <c r="AZ2046" s="1626"/>
      <c r="BA2046" s="1626"/>
      <c r="BB2046" s="1626"/>
      <c r="BC2046" s="1626"/>
      <c r="BD2046" s="1626"/>
      <c r="BE2046" s="1626"/>
      <c r="BF2046" s="1626"/>
      <c r="BG2046" s="1626"/>
      <c r="BH2046" s="1626"/>
      <c r="BI2046" s="1626"/>
      <c r="BJ2046" s="1626"/>
      <c r="BK2046" s="1626"/>
      <c r="BL2046" s="1626"/>
      <c r="BM2046" s="1626"/>
      <c r="BN2046" s="1626"/>
      <c r="BO2046" s="1626"/>
      <c r="BP2046" s="1626"/>
      <c r="BQ2046" s="1626"/>
      <c r="BR2046" s="1626"/>
      <c r="BS2046" s="1626"/>
      <c r="BT2046" s="1626"/>
      <c r="BU2046" s="1626"/>
      <c r="BV2046" s="1626"/>
      <c r="BW2046" s="1626"/>
      <c r="BX2046" s="1626"/>
      <c r="BY2046" s="1626"/>
      <c r="BZ2046" s="1626"/>
      <c r="CA2046" s="1626"/>
      <c r="CB2046" s="1626"/>
      <c r="CC2046" s="1626"/>
      <c r="CD2046" s="1626"/>
      <c r="CE2046" s="1626"/>
      <c r="CF2046" s="1626"/>
      <c r="CG2046" s="1626"/>
      <c r="CH2046" s="1626"/>
      <c r="CI2046" s="1626"/>
      <c r="CJ2046" s="1626"/>
      <c r="CK2046" s="1626"/>
    </row>
    <row r="2047" spans="1:89" s="1108" customFormat="1" ht="17.25" customHeight="1" x14ac:dyDescent="0.25">
      <c r="A2047" s="1107"/>
      <c r="B2047" s="1607"/>
      <c r="C2047" s="1586"/>
      <c r="D2047" s="1600"/>
      <c r="E2047" s="1601"/>
      <c r="F2047" s="1589"/>
      <c r="G2047" s="1589"/>
      <c r="H2047" s="1589"/>
      <c r="I2047" s="1589"/>
      <c r="J2047" s="1590"/>
      <c r="K2047" s="1589"/>
      <c r="L2047" s="1589"/>
      <c r="M2047" s="1589"/>
      <c r="N2047" s="1589"/>
      <c r="O2047" s="1591"/>
      <c r="P2047" s="1592"/>
      <c r="Q2047" s="1626"/>
      <c r="R2047" s="1626"/>
      <c r="S2047" s="1626"/>
      <c r="T2047" s="1626"/>
      <c r="U2047" s="1626"/>
      <c r="V2047" s="1626"/>
      <c r="W2047" s="1626"/>
      <c r="X2047" s="1626"/>
      <c r="Y2047" s="1626"/>
      <c r="Z2047" s="1626"/>
      <c r="AA2047" s="1626"/>
      <c r="AB2047" s="1626"/>
      <c r="AC2047" s="1626"/>
      <c r="AD2047" s="1626"/>
      <c r="AE2047" s="1626"/>
      <c r="AF2047" s="1626"/>
      <c r="AG2047" s="1626"/>
      <c r="AH2047" s="1626"/>
      <c r="AI2047" s="1626"/>
      <c r="AJ2047" s="1626"/>
      <c r="AK2047" s="1626"/>
      <c r="AL2047" s="1626"/>
      <c r="AM2047" s="1626"/>
      <c r="AN2047" s="1626"/>
      <c r="AO2047" s="1626"/>
      <c r="AP2047" s="1626"/>
      <c r="AQ2047" s="1626"/>
      <c r="AR2047" s="1626"/>
      <c r="AS2047" s="1626"/>
      <c r="AT2047" s="1626"/>
      <c r="AU2047" s="1626"/>
      <c r="AV2047" s="1626"/>
      <c r="AW2047" s="1626"/>
      <c r="AX2047" s="1626"/>
      <c r="AY2047" s="1626"/>
      <c r="AZ2047" s="1626"/>
      <c r="BA2047" s="1626"/>
      <c r="BB2047" s="1626"/>
      <c r="BC2047" s="1626"/>
      <c r="BD2047" s="1626"/>
      <c r="BE2047" s="1626"/>
      <c r="BF2047" s="1626"/>
      <c r="BG2047" s="1626"/>
      <c r="BH2047" s="1626"/>
      <c r="BI2047" s="1626"/>
      <c r="BJ2047" s="1626"/>
      <c r="BK2047" s="1626"/>
      <c r="BL2047" s="1626"/>
      <c r="BM2047" s="1626"/>
      <c r="BN2047" s="1626"/>
      <c r="BO2047" s="1626"/>
      <c r="BP2047" s="1626"/>
      <c r="BQ2047" s="1626"/>
      <c r="BR2047" s="1626"/>
      <c r="BS2047" s="1626"/>
      <c r="BT2047" s="1626"/>
      <c r="BU2047" s="1626"/>
      <c r="BV2047" s="1626"/>
      <c r="BW2047" s="1626"/>
      <c r="BX2047" s="1626"/>
      <c r="BY2047" s="1626"/>
      <c r="BZ2047" s="1626"/>
      <c r="CA2047" s="1626"/>
      <c r="CB2047" s="1626"/>
      <c r="CC2047" s="1626"/>
      <c r="CD2047" s="1626"/>
      <c r="CE2047" s="1626"/>
      <c r="CF2047" s="1626"/>
      <c r="CG2047" s="1626"/>
      <c r="CH2047" s="1626"/>
      <c r="CI2047" s="1626"/>
      <c r="CJ2047" s="1626"/>
      <c r="CK2047" s="1626"/>
    </row>
    <row r="2048" spans="1:89" s="1108" customFormat="1" ht="17.25" customHeight="1" x14ac:dyDescent="0.25">
      <c r="A2048" s="1107"/>
      <c r="B2048" s="1607" t="s">
        <v>913</v>
      </c>
      <c r="C2048" s="1586"/>
      <c r="D2048" s="1600"/>
      <c r="E2048" s="1601"/>
      <c r="F2048" s="1589"/>
      <c r="G2048" s="1589"/>
      <c r="H2048" s="1589"/>
      <c r="I2048" s="1589"/>
      <c r="J2048" s="1590"/>
      <c r="K2048" s="1589"/>
      <c r="L2048" s="1589"/>
      <c r="M2048" s="1589"/>
      <c r="N2048" s="1589"/>
      <c r="O2048" s="1591"/>
      <c r="P2048" s="1592"/>
      <c r="Q2048" s="1626"/>
      <c r="R2048" s="1626"/>
      <c r="S2048" s="1626"/>
      <c r="T2048" s="1626"/>
      <c r="U2048" s="1626"/>
      <c r="V2048" s="1626"/>
      <c r="W2048" s="1626"/>
      <c r="X2048" s="1626"/>
      <c r="Y2048" s="1626"/>
      <c r="Z2048" s="1626"/>
      <c r="AA2048" s="1626"/>
      <c r="AB2048" s="1626"/>
      <c r="AC2048" s="1626"/>
      <c r="AD2048" s="1626"/>
      <c r="AE2048" s="1626"/>
      <c r="AF2048" s="1626"/>
      <c r="AG2048" s="1626"/>
      <c r="AH2048" s="1626"/>
      <c r="AI2048" s="1626"/>
      <c r="AJ2048" s="1626"/>
      <c r="AK2048" s="1626"/>
      <c r="AL2048" s="1626"/>
      <c r="AM2048" s="1626"/>
      <c r="AN2048" s="1626"/>
      <c r="AO2048" s="1626"/>
      <c r="AP2048" s="1626"/>
      <c r="AQ2048" s="1626"/>
      <c r="AR2048" s="1626"/>
      <c r="AS2048" s="1626"/>
      <c r="AT2048" s="1626"/>
      <c r="AU2048" s="1626"/>
      <c r="AV2048" s="1626"/>
      <c r="AW2048" s="1626"/>
      <c r="AX2048" s="1626"/>
      <c r="AY2048" s="1626"/>
      <c r="AZ2048" s="1626"/>
      <c r="BA2048" s="1626"/>
      <c r="BB2048" s="1626"/>
      <c r="BC2048" s="1626"/>
      <c r="BD2048" s="1626"/>
      <c r="BE2048" s="1626"/>
      <c r="BF2048" s="1626"/>
      <c r="BG2048" s="1626"/>
      <c r="BH2048" s="1626"/>
      <c r="BI2048" s="1626"/>
      <c r="BJ2048" s="1626"/>
      <c r="BK2048" s="1626"/>
      <c r="BL2048" s="1626"/>
      <c r="BM2048" s="1626"/>
      <c r="BN2048" s="1626"/>
      <c r="BO2048" s="1626"/>
      <c r="BP2048" s="1626"/>
      <c r="BQ2048" s="1626"/>
      <c r="BR2048" s="1626"/>
      <c r="BS2048" s="1626"/>
      <c r="BT2048" s="1626"/>
      <c r="BU2048" s="1626"/>
      <c r="BV2048" s="1626"/>
      <c r="BW2048" s="1626"/>
      <c r="BX2048" s="1626"/>
      <c r="BY2048" s="1626"/>
      <c r="BZ2048" s="1626"/>
      <c r="CA2048" s="1626"/>
      <c r="CB2048" s="1626"/>
      <c r="CC2048" s="1626"/>
      <c r="CD2048" s="1626"/>
      <c r="CE2048" s="1626"/>
      <c r="CF2048" s="1626"/>
      <c r="CG2048" s="1626"/>
      <c r="CH2048" s="1626"/>
      <c r="CI2048" s="1626"/>
      <c r="CJ2048" s="1626"/>
      <c r="CK2048" s="1626"/>
    </row>
    <row r="2049" spans="1:89" s="1108" customFormat="1" ht="17.25" customHeight="1" x14ac:dyDescent="0.25">
      <c r="A2049" s="1107"/>
      <c r="B2049" s="1607" t="s">
        <v>914</v>
      </c>
      <c r="C2049" s="1586">
        <v>12</v>
      </c>
      <c r="D2049" s="1600" t="s">
        <v>45</v>
      </c>
      <c r="E2049" s="1601">
        <v>5000</v>
      </c>
      <c r="F2049" s="1589"/>
      <c r="G2049" s="1589"/>
      <c r="H2049" s="1589"/>
      <c r="I2049" s="1589">
        <f>C2049*E2049</f>
        <v>60000</v>
      </c>
      <c r="J2049" s="1589"/>
      <c r="K2049" s="1589">
        <f t="shared" si="152"/>
        <v>60000</v>
      </c>
      <c r="L2049" s="1589"/>
      <c r="M2049" s="1589"/>
      <c r="N2049" s="1589"/>
      <c r="O2049" s="1591">
        <f t="shared" si="151"/>
        <v>60000</v>
      </c>
      <c r="P2049" s="1592"/>
      <c r="Q2049" s="1626"/>
      <c r="R2049" s="1626"/>
      <c r="S2049" s="1626"/>
      <c r="T2049" s="1626"/>
      <c r="U2049" s="1626"/>
      <c r="V2049" s="1626"/>
      <c r="W2049" s="1626"/>
      <c r="X2049" s="1626"/>
      <c r="Y2049" s="1626"/>
      <c r="Z2049" s="1626"/>
      <c r="AA2049" s="1626"/>
      <c r="AB2049" s="1626"/>
      <c r="AC2049" s="1626"/>
      <c r="AD2049" s="1626"/>
      <c r="AE2049" s="1626"/>
      <c r="AF2049" s="1626"/>
      <c r="AG2049" s="1626"/>
      <c r="AH2049" s="1626"/>
      <c r="AI2049" s="1626"/>
      <c r="AJ2049" s="1626"/>
      <c r="AK2049" s="1626"/>
      <c r="AL2049" s="1626"/>
      <c r="AM2049" s="1626"/>
      <c r="AN2049" s="1626"/>
      <c r="AO2049" s="1626"/>
      <c r="AP2049" s="1626"/>
      <c r="AQ2049" s="1626"/>
      <c r="AR2049" s="1626"/>
      <c r="AS2049" s="1626"/>
      <c r="AT2049" s="1626"/>
      <c r="AU2049" s="1626"/>
      <c r="AV2049" s="1626"/>
      <c r="AW2049" s="1626"/>
      <c r="AX2049" s="1626"/>
      <c r="AY2049" s="1626"/>
      <c r="AZ2049" s="1626"/>
      <c r="BA2049" s="1626"/>
      <c r="BB2049" s="1626"/>
      <c r="BC2049" s="1626"/>
      <c r="BD2049" s="1626"/>
      <c r="BE2049" s="1626"/>
      <c r="BF2049" s="1626"/>
      <c r="BG2049" s="1626"/>
      <c r="BH2049" s="1626"/>
      <c r="BI2049" s="1626"/>
      <c r="BJ2049" s="1626"/>
      <c r="BK2049" s="1626"/>
      <c r="BL2049" s="1626"/>
      <c r="BM2049" s="1626"/>
      <c r="BN2049" s="1626"/>
      <c r="BO2049" s="1626"/>
      <c r="BP2049" s="1626"/>
      <c r="BQ2049" s="1626"/>
      <c r="BR2049" s="1626"/>
      <c r="BS2049" s="1626"/>
      <c r="BT2049" s="1626"/>
      <c r="BU2049" s="1626"/>
      <c r="BV2049" s="1626"/>
      <c r="BW2049" s="1626"/>
      <c r="BX2049" s="1626"/>
      <c r="BY2049" s="1626"/>
      <c r="BZ2049" s="1626"/>
      <c r="CA2049" s="1626"/>
      <c r="CB2049" s="1626"/>
      <c r="CC2049" s="1626"/>
      <c r="CD2049" s="1626"/>
      <c r="CE2049" s="1626"/>
      <c r="CF2049" s="1626"/>
      <c r="CG2049" s="1626"/>
      <c r="CH2049" s="1626"/>
      <c r="CI2049" s="1626"/>
      <c r="CJ2049" s="1626"/>
      <c r="CK2049" s="1626"/>
    </row>
    <row r="2050" spans="1:89" s="1108" customFormat="1" ht="17.25" customHeight="1" x14ac:dyDescent="0.25">
      <c r="A2050" s="1107"/>
      <c r="B2050" s="1607"/>
      <c r="C2050" s="1586"/>
      <c r="D2050" s="1600"/>
      <c r="E2050" s="1601"/>
      <c r="F2050" s="1589"/>
      <c r="G2050" s="1589"/>
      <c r="H2050" s="1589"/>
      <c r="I2050" s="1589"/>
      <c r="J2050" s="1590"/>
      <c r="K2050" s="1589"/>
      <c r="L2050" s="1589"/>
      <c r="M2050" s="1589"/>
      <c r="N2050" s="1589"/>
      <c r="O2050" s="1591"/>
      <c r="P2050" s="1592"/>
      <c r="Q2050" s="1626"/>
      <c r="R2050" s="1626"/>
      <c r="S2050" s="1626"/>
      <c r="T2050" s="1626"/>
      <c r="U2050" s="1626"/>
      <c r="V2050" s="1626"/>
      <c r="W2050" s="1626"/>
      <c r="X2050" s="1626"/>
      <c r="Y2050" s="1626"/>
      <c r="Z2050" s="1626"/>
      <c r="AA2050" s="1626"/>
      <c r="AB2050" s="1626"/>
      <c r="AC2050" s="1626"/>
      <c r="AD2050" s="1626"/>
      <c r="AE2050" s="1626"/>
      <c r="AF2050" s="1626"/>
      <c r="AG2050" s="1626"/>
      <c r="AH2050" s="1626"/>
      <c r="AI2050" s="1626"/>
      <c r="AJ2050" s="1626"/>
      <c r="AK2050" s="1626"/>
      <c r="AL2050" s="1626"/>
      <c r="AM2050" s="1626"/>
      <c r="AN2050" s="1626"/>
      <c r="AO2050" s="1626"/>
      <c r="AP2050" s="1626"/>
      <c r="AQ2050" s="1626"/>
      <c r="AR2050" s="1626"/>
      <c r="AS2050" s="1626"/>
      <c r="AT2050" s="1626"/>
      <c r="AU2050" s="1626"/>
      <c r="AV2050" s="1626"/>
      <c r="AW2050" s="1626"/>
      <c r="AX2050" s="1626"/>
      <c r="AY2050" s="1626"/>
      <c r="AZ2050" s="1626"/>
      <c r="BA2050" s="1626"/>
      <c r="BB2050" s="1626"/>
      <c r="BC2050" s="1626"/>
      <c r="BD2050" s="1626"/>
      <c r="BE2050" s="1626"/>
      <c r="BF2050" s="1626"/>
      <c r="BG2050" s="1626"/>
      <c r="BH2050" s="1626"/>
      <c r="BI2050" s="1626"/>
      <c r="BJ2050" s="1626"/>
      <c r="BK2050" s="1626"/>
      <c r="BL2050" s="1626"/>
      <c r="BM2050" s="1626"/>
      <c r="BN2050" s="1626"/>
      <c r="BO2050" s="1626"/>
      <c r="BP2050" s="1626"/>
      <c r="BQ2050" s="1626"/>
      <c r="BR2050" s="1626"/>
      <c r="BS2050" s="1626"/>
      <c r="BT2050" s="1626"/>
      <c r="BU2050" s="1626"/>
      <c r="BV2050" s="1626"/>
      <c r="BW2050" s="1626"/>
      <c r="BX2050" s="1626"/>
      <c r="BY2050" s="1626"/>
      <c r="BZ2050" s="1626"/>
      <c r="CA2050" s="1626"/>
      <c r="CB2050" s="1626"/>
      <c r="CC2050" s="1626"/>
      <c r="CD2050" s="1626"/>
      <c r="CE2050" s="1626"/>
      <c r="CF2050" s="1626"/>
      <c r="CG2050" s="1626"/>
      <c r="CH2050" s="1626"/>
      <c r="CI2050" s="1626"/>
      <c r="CJ2050" s="1626"/>
      <c r="CK2050" s="1626"/>
    </row>
    <row r="2051" spans="1:89" s="1108" customFormat="1" ht="17.25" customHeight="1" x14ac:dyDescent="0.25">
      <c r="A2051" s="1107"/>
      <c r="B2051" s="1607" t="s">
        <v>915</v>
      </c>
      <c r="C2051" s="1586"/>
      <c r="D2051" s="1600"/>
      <c r="E2051" s="1601"/>
      <c r="F2051" s="1589"/>
      <c r="G2051" s="1589"/>
      <c r="H2051" s="1589"/>
      <c r="I2051" s="1589"/>
      <c r="J2051" s="1590"/>
      <c r="K2051" s="1589"/>
      <c r="L2051" s="1589"/>
      <c r="M2051" s="1589"/>
      <c r="N2051" s="1589"/>
      <c r="O2051" s="1591"/>
      <c r="P2051" s="1592"/>
      <c r="Q2051" s="1626"/>
      <c r="R2051" s="1626"/>
      <c r="S2051" s="1626"/>
      <c r="T2051" s="1626"/>
      <c r="U2051" s="1626"/>
      <c r="V2051" s="1626"/>
      <c r="W2051" s="1626"/>
      <c r="X2051" s="1626"/>
      <c r="Y2051" s="1626"/>
      <c r="Z2051" s="1626"/>
      <c r="AA2051" s="1626"/>
      <c r="AB2051" s="1626"/>
      <c r="AC2051" s="1626"/>
      <c r="AD2051" s="1626"/>
      <c r="AE2051" s="1626"/>
      <c r="AF2051" s="1626"/>
      <c r="AG2051" s="1626"/>
      <c r="AH2051" s="1626"/>
      <c r="AI2051" s="1626"/>
      <c r="AJ2051" s="1626"/>
      <c r="AK2051" s="1626"/>
      <c r="AL2051" s="1626"/>
      <c r="AM2051" s="1626"/>
      <c r="AN2051" s="1626"/>
      <c r="AO2051" s="1626"/>
      <c r="AP2051" s="1626"/>
      <c r="AQ2051" s="1626"/>
      <c r="AR2051" s="1626"/>
      <c r="AS2051" s="1626"/>
      <c r="AT2051" s="1626"/>
      <c r="AU2051" s="1626"/>
      <c r="AV2051" s="1626"/>
      <c r="AW2051" s="1626"/>
      <c r="AX2051" s="1626"/>
      <c r="AY2051" s="1626"/>
      <c r="AZ2051" s="1626"/>
      <c r="BA2051" s="1626"/>
      <c r="BB2051" s="1626"/>
      <c r="BC2051" s="1626"/>
      <c r="BD2051" s="1626"/>
      <c r="BE2051" s="1626"/>
      <c r="BF2051" s="1626"/>
      <c r="BG2051" s="1626"/>
      <c r="BH2051" s="1626"/>
      <c r="BI2051" s="1626"/>
      <c r="BJ2051" s="1626"/>
      <c r="BK2051" s="1626"/>
      <c r="BL2051" s="1626"/>
      <c r="BM2051" s="1626"/>
      <c r="BN2051" s="1626"/>
      <c r="BO2051" s="1626"/>
      <c r="BP2051" s="1626"/>
      <c r="BQ2051" s="1626"/>
      <c r="BR2051" s="1626"/>
      <c r="BS2051" s="1626"/>
      <c r="BT2051" s="1626"/>
      <c r="BU2051" s="1626"/>
      <c r="BV2051" s="1626"/>
      <c r="BW2051" s="1626"/>
      <c r="BX2051" s="1626"/>
      <c r="BY2051" s="1626"/>
      <c r="BZ2051" s="1626"/>
      <c r="CA2051" s="1626"/>
      <c r="CB2051" s="1626"/>
      <c r="CC2051" s="1626"/>
      <c r="CD2051" s="1626"/>
      <c r="CE2051" s="1626"/>
      <c r="CF2051" s="1626"/>
      <c r="CG2051" s="1626"/>
      <c r="CH2051" s="1626"/>
      <c r="CI2051" s="1626"/>
      <c r="CJ2051" s="1626"/>
      <c r="CK2051" s="1626"/>
    </row>
    <row r="2052" spans="1:89" s="1108" customFormat="1" ht="17.25" customHeight="1" x14ac:dyDescent="0.25">
      <c r="A2052" s="1107"/>
      <c r="B2052" s="1607" t="s">
        <v>916</v>
      </c>
      <c r="C2052" s="1586">
        <v>12</v>
      </c>
      <c r="D2052" s="1600" t="s">
        <v>45</v>
      </c>
      <c r="E2052" s="1601">
        <v>2000</v>
      </c>
      <c r="F2052" s="1589"/>
      <c r="G2052" s="1589"/>
      <c r="H2052" s="1589"/>
      <c r="I2052" s="1589">
        <f t="shared" ref="I2052:I2102" si="154">C2052*E2052</f>
        <v>24000</v>
      </c>
      <c r="J2052" s="1589"/>
      <c r="K2052" s="1589">
        <f t="shared" si="152"/>
        <v>24000</v>
      </c>
      <c r="L2052" s="1589"/>
      <c r="M2052" s="1589"/>
      <c r="N2052" s="1589"/>
      <c r="O2052" s="1591">
        <f t="shared" si="151"/>
        <v>24000</v>
      </c>
      <c r="P2052" s="1592"/>
      <c r="Q2052" s="1626"/>
      <c r="R2052" s="1626"/>
      <c r="S2052" s="1626"/>
      <c r="T2052" s="1626"/>
      <c r="U2052" s="1626"/>
      <c r="V2052" s="1626"/>
      <c r="W2052" s="1626"/>
      <c r="X2052" s="1626"/>
      <c r="Y2052" s="1626"/>
      <c r="Z2052" s="1626"/>
      <c r="AA2052" s="1626"/>
      <c r="AB2052" s="1626"/>
      <c r="AC2052" s="1626"/>
      <c r="AD2052" s="1626"/>
      <c r="AE2052" s="1626"/>
      <c r="AF2052" s="1626"/>
      <c r="AG2052" s="1626"/>
      <c r="AH2052" s="1626"/>
      <c r="AI2052" s="1626"/>
      <c r="AJ2052" s="1626"/>
      <c r="AK2052" s="1626"/>
      <c r="AL2052" s="1626"/>
      <c r="AM2052" s="1626"/>
      <c r="AN2052" s="1626"/>
      <c r="AO2052" s="1626"/>
      <c r="AP2052" s="1626"/>
      <c r="AQ2052" s="1626"/>
      <c r="AR2052" s="1626"/>
      <c r="AS2052" s="1626"/>
      <c r="AT2052" s="1626"/>
      <c r="AU2052" s="1626"/>
      <c r="AV2052" s="1626"/>
      <c r="AW2052" s="1626"/>
      <c r="AX2052" s="1626"/>
      <c r="AY2052" s="1626"/>
      <c r="AZ2052" s="1626"/>
      <c r="BA2052" s="1626"/>
      <c r="BB2052" s="1626"/>
      <c r="BC2052" s="1626"/>
      <c r="BD2052" s="1626"/>
      <c r="BE2052" s="1626"/>
      <c r="BF2052" s="1626"/>
      <c r="BG2052" s="1626"/>
      <c r="BH2052" s="1626"/>
      <c r="BI2052" s="1626"/>
      <c r="BJ2052" s="1626"/>
      <c r="BK2052" s="1626"/>
      <c r="BL2052" s="1626"/>
      <c r="BM2052" s="1626"/>
      <c r="BN2052" s="1626"/>
      <c r="BO2052" s="1626"/>
      <c r="BP2052" s="1626"/>
      <c r="BQ2052" s="1626"/>
      <c r="BR2052" s="1626"/>
      <c r="BS2052" s="1626"/>
      <c r="BT2052" s="1626"/>
      <c r="BU2052" s="1626"/>
      <c r="BV2052" s="1626"/>
      <c r="BW2052" s="1626"/>
      <c r="BX2052" s="1626"/>
      <c r="BY2052" s="1626"/>
      <c r="BZ2052" s="1626"/>
      <c r="CA2052" s="1626"/>
      <c r="CB2052" s="1626"/>
      <c r="CC2052" s="1626"/>
      <c r="CD2052" s="1626"/>
      <c r="CE2052" s="1626"/>
      <c r="CF2052" s="1626"/>
      <c r="CG2052" s="1626"/>
      <c r="CH2052" s="1626"/>
      <c r="CI2052" s="1626"/>
      <c r="CJ2052" s="1626"/>
      <c r="CK2052" s="1626"/>
    </row>
    <row r="2053" spans="1:89" s="1108" customFormat="1" ht="17.25" customHeight="1" x14ac:dyDescent="0.25">
      <c r="A2053" s="1107"/>
      <c r="B2053" s="1607"/>
      <c r="C2053" s="1586"/>
      <c r="D2053" s="1600"/>
      <c r="E2053" s="1601"/>
      <c r="F2053" s="1589"/>
      <c r="G2053" s="1589"/>
      <c r="H2053" s="1589"/>
      <c r="I2053" s="1589"/>
      <c r="J2053" s="1590"/>
      <c r="K2053" s="1589"/>
      <c r="L2053" s="1589"/>
      <c r="M2053" s="1589"/>
      <c r="N2053" s="1589"/>
      <c r="O2053" s="1591"/>
      <c r="P2053" s="1592"/>
      <c r="Q2053" s="1626"/>
      <c r="R2053" s="1626"/>
      <c r="S2053" s="1626"/>
      <c r="T2053" s="1626"/>
      <c r="U2053" s="1626"/>
      <c r="V2053" s="1626"/>
      <c r="W2053" s="1626"/>
      <c r="X2053" s="1626"/>
      <c r="Y2053" s="1626"/>
      <c r="Z2053" s="1626"/>
      <c r="AA2053" s="1626"/>
      <c r="AB2053" s="1626"/>
      <c r="AC2053" s="1626"/>
      <c r="AD2053" s="1626"/>
      <c r="AE2053" s="1626"/>
      <c r="AF2053" s="1626"/>
      <c r="AG2053" s="1626"/>
      <c r="AH2053" s="1626"/>
      <c r="AI2053" s="1626"/>
      <c r="AJ2053" s="1626"/>
      <c r="AK2053" s="1626"/>
      <c r="AL2053" s="1626"/>
      <c r="AM2053" s="1626"/>
      <c r="AN2053" s="1626"/>
      <c r="AO2053" s="1626"/>
      <c r="AP2053" s="1626"/>
      <c r="AQ2053" s="1626"/>
      <c r="AR2053" s="1626"/>
      <c r="AS2053" s="1626"/>
      <c r="AT2053" s="1626"/>
      <c r="AU2053" s="1626"/>
      <c r="AV2053" s="1626"/>
      <c r="AW2053" s="1626"/>
      <c r="AX2053" s="1626"/>
      <c r="AY2053" s="1626"/>
      <c r="AZ2053" s="1626"/>
      <c r="BA2053" s="1626"/>
      <c r="BB2053" s="1626"/>
      <c r="BC2053" s="1626"/>
      <c r="BD2053" s="1626"/>
      <c r="BE2053" s="1626"/>
      <c r="BF2053" s="1626"/>
      <c r="BG2053" s="1626"/>
      <c r="BH2053" s="1626"/>
      <c r="BI2053" s="1626"/>
      <c r="BJ2053" s="1626"/>
      <c r="BK2053" s="1626"/>
      <c r="BL2053" s="1626"/>
      <c r="BM2053" s="1626"/>
      <c r="BN2053" s="1626"/>
      <c r="BO2053" s="1626"/>
      <c r="BP2053" s="1626"/>
      <c r="BQ2053" s="1626"/>
      <c r="BR2053" s="1626"/>
      <c r="BS2053" s="1626"/>
      <c r="BT2053" s="1626"/>
      <c r="BU2053" s="1626"/>
      <c r="BV2053" s="1626"/>
      <c r="BW2053" s="1626"/>
      <c r="BX2053" s="1626"/>
      <c r="BY2053" s="1626"/>
      <c r="BZ2053" s="1626"/>
      <c r="CA2053" s="1626"/>
      <c r="CB2053" s="1626"/>
      <c r="CC2053" s="1626"/>
      <c r="CD2053" s="1626"/>
      <c r="CE2053" s="1626"/>
      <c r="CF2053" s="1626"/>
      <c r="CG2053" s="1626"/>
      <c r="CH2053" s="1626"/>
      <c r="CI2053" s="1626"/>
      <c r="CJ2053" s="1626"/>
      <c r="CK2053" s="1626"/>
    </row>
    <row r="2054" spans="1:89" s="1108" customFormat="1" ht="17.25" customHeight="1" x14ac:dyDescent="0.25">
      <c r="A2054" s="1107"/>
      <c r="B2054" s="1607" t="s">
        <v>917</v>
      </c>
      <c r="C2054" s="1586"/>
      <c r="D2054" s="1600"/>
      <c r="E2054" s="1601"/>
      <c r="F2054" s="1589"/>
      <c r="G2054" s="1589"/>
      <c r="H2054" s="1589"/>
      <c r="I2054" s="1589"/>
      <c r="J2054" s="1590"/>
      <c r="K2054" s="1589"/>
      <c r="L2054" s="1589"/>
      <c r="M2054" s="1589"/>
      <c r="N2054" s="1589"/>
      <c r="O2054" s="1591"/>
      <c r="P2054" s="1592"/>
      <c r="Q2054" s="1626"/>
      <c r="R2054" s="1626"/>
      <c r="S2054" s="1626"/>
      <c r="T2054" s="1626"/>
      <c r="U2054" s="1626"/>
      <c r="V2054" s="1626"/>
      <c r="W2054" s="1626"/>
      <c r="X2054" s="1626"/>
      <c r="Y2054" s="1626"/>
      <c r="Z2054" s="1626"/>
      <c r="AA2054" s="1626"/>
      <c r="AB2054" s="1626"/>
      <c r="AC2054" s="1626"/>
      <c r="AD2054" s="1626"/>
      <c r="AE2054" s="1626"/>
      <c r="AF2054" s="1626"/>
      <c r="AG2054" s="1626"/>
      <c r="AH2054" s="1626"/>
      <c r="AI2054" s="1626"/>
      <c r="AJ2054" s="1626"/>
      <c r="AK2054" s="1626"/>
      <c r="AL2054" s="1626"/>
      <c r="AM2054" s="1626"/>
      <c r="AN2054" s="1626"/>
      <c r="AO2054" s="1626"/>
      <c r="AP2054" s="1626"/>
      <c r="AQ2054" s="1626"/>
      <c r="AR2054" s="1626"/>
      <c r="AS2054" s="1626"/>
      <c r="AT2054" s="1626"/>
      <c r="AU2054" s="1626"/>
      <c r="AV2054" s="1626"/>
      <c r="AW2054" s="1626"/>
      <c r="AX2054" s="1626"/>
      <c r="AY2054" s="1626"/>
      <c r="AZ2054" s="1626"/>
      <c r="BA2054" s="1626"/>
      <c r="BB2054" s="1626"/>
      <c r="BC2054" s="1626"/>
      <c r="BD2054" s="1626"/>
      <c r="BE2054" s="1626"/>
      <c r="BF2054" s="1626"/>
      <c r="BG2054" s="1626"/>
      <c r="BH2054" s="1626"/>
      <c r="BI2054" s="1626"/>
      <c r="BJ2054" s="1626"/>
      <c r="BK2054" s="1626"/>
      <c r="BL2054" s="1626"/>
      <c r="BM2054" s="1626"/>
      <c r="BN2054" s="1626"/>
      <c r="BO2054" s="1626"/>
      <c r="BP2054" s="1626"/>
      <c r="BQ2054" s="1626"/>
      <c r="BR2054" s="1626"/>
      <c r="BS2054" s="1626"/>
      <c r="BT2054" s="1626"/>
      <c r="BU2054" s="1626"/>
      <c r="BV2054" s="1626"/>
      <c r="BW2054" s="1626"/>
      <c r="BX2054" s="1626"/>
      <c r="BY2054" s="1626"/>
      <c r="BZ2054" s="1626"/>
      <c r="CA2054" s="1626"/>
      <c r="CB2054" s="1626"/>
      <c r="CC2054" s="1626"/>
      <c r="CD2054" s="1626"/>
      <c r="CE2054" s="1626"/>
      <c r="CF2054" s="1626"/>
      <c r="CG2054" s="1626"/>
      <c r="CH2054" s="1626"/>
      <c r="CI2054" s="1626"/>
      <c r="CJ2054" s="1626"/>
      <c r="CK2054" s="1626"/>
    </row>
    <row r="2055" spans="1:89" s="1108" customFormat="1" ht="17.25" customHeight="1" x14ac:dyDescent="0.25">
      <c r="A2055" s="1107"/>
      <c r="B2055" s="1607" t="s">
        <v>918</v>
      </c>
      <c r="C2055" s="1586">
        <v>12</v>
      </c>
      <c r="D2055" s="1600" t="s">
        <v>45</v>
      </c>
      <c r="E2055" s="1601">
        <v>500</v>
      </c>
      <c r="F2055" s="1589"/>
      <c r="G2055" s="1589"/>
      <c r="H2055" s="1589"/>
      <c r="I2055" s="1589">
        <f t="shared" si="154"/>
        <v>6000</v>
      </c>
      <c r="J2055" s="1589"/>
      <c r="K2055" s="1589">
        <f t="shared" si="152"/>
        <v>6000</v>
      </c>
      <c r="L2055" s="1589"/>
      <c r="M2055" s="1589"/>
      <c r="N2055" s="1589"/>
      <c r="O2055" s="1591">
        <f t="shared" si="151"/>
        <v>6000</v>
      </c>
      <c r="P2055" s="1592"/>
      <c r="Q2055" s="1626"/>
      <c r="R2055" s="1626"/>
      <c r="S2055" s="1626"/>
      <c r="T2055" s="1626"/>
      <c r="U2055" s="1626"/>
      <c r="V2055" s="1626"/>
      <c r="W2055" s="1626"/>
      <c r="X2055" s="1626"/>
      <c r="Y2055" s="1626"/>
      <c r="Z2055" s="1626"/>
      <c r="AA2055" s="1626"/>
      <c r="AB2055" s="1626"/>
      <c r="AC2055" s="1626"/>
      <c r="AD2055" s="1626"/>
      <c r="AE2055" s="1626"/>
      <c r="AF2055" s="1626"/>
      <c r="AG2055" s="1626"/>
      <c r="AH2055" s="1626"/>
      <c r="AI2055" s="1626"/>
      <c r="AJ2055" s="1626"/>
      <c r="AK2055" s="1626"/>
      <c r="AL2055" s="1626"/>
      <c r="AM2055" s="1626"/>
      <c r="AN2055" s="1626"/>
      <c r="AO2055" s="1626"/>
      <c r="AP2055" s="1626"/>
      <c r="AQ2055" s="1626"/>
      <c r="AR2055" s="1626"/>
      <c r="AS2055" s="1626"/>
      <c r="AT2055" s="1626"/>
      <c r="AU2055" s="1626"/>
      <c r="AV2055" s="1626"/>
      <c r="AW2055" s="1626"/>
      <c r="AX2055" s="1626"/>
      <c r="AY2055" s="1626"/>
      <c r="AZ2055" s="1626"/>
      <c r="BA2055" s="1626"/>
      <c r="BB2055" s="1626"/>
      <c r="BC2055" s="1626"/>
      <c r="BD2055" s="1626"/>
      <c r="BE2055" s="1626"/>
      <c r="BF2055" s="1626"/>
      <c r="BG2055" s="1626"/>
      <c r="BH2055" s="1626"/>
      <c r="BI2055" s="1626"/>
      <c r="BJ2055" s="1626"/>
      <c r="BK2055" s="1626"/>
      <c r="BL2055" s="1626"/>
      <c r="BM2055" s="1626"/>
      <c r="BN2055" s="1626"/>
      <c r="BO2055" s="1626"/>
      <c r="BP2055" s="1626"/>
      <c r="BQ2055" s="1626"/>
      <c r="BR2055" s="1626"/>
      <c r="BS2055" s="1626"/>
      <c r="BT2055" s="1626"/>
      <c r="BU2055" s="1626"/>
      <c r="BV2055" s="1626"/>
      <c r="BW2055" s="1626"/>
      <c r="BX2055" s="1626"/>
      <c r="BY2055" s="1626"/>
      <c r="BZ2055" s="1626"/>
      <c r="CA2055" s="1626"/>
      <c r="CB2055" s="1626"/>
      <c r="CC2055" s="1626"/>
      <c r="CD2055" s="1626"/>
      <c r="CE2055" s="1626"/>
      <c r="CF2055" s="1626"/>
      <c r="CG2055" s="1626"/>
      <c r="CH2055" s="1626"/>
      <c r="CI2055" s="1626"/>
      <c r="CJ2055" s="1626"/>
      <c r="CK2055" s="1626"/>
    </row>
    <row r="2056" spans="1:89" s="1108" customFormat="1" ht="17.25" customHeight="1" x14ac:dyDescent="0.25">
      <c r="A2056" s="1107"/>
      <c r="B2056" s="1607"/>
      <c r="C2056" s="1586"/>
      <c r="D2056" s="1600"/>
      <c r="E2056" s="1601"/>
      <c r="F2056" s="1589"/>
      <c r="G2056" s="1589"/>
      <c r="H2056" s="1589"/>
      <c r="I2056" s="1589"/>
      <c r="J2056" s="1590"/>
      <c r="K2056" s="1589"/>
      <c r="L2056" s="1589"/>
      <c r="M2056" s="1589"/>
      <c r="N2056" s="1589"/>
      <c r="O2056" s="1591"/>
      <c r="P2056" s="1592"/>
      <c r="Q2056" s="1626"/>
      <c r="R2056" s="1626"/>
      <c r="S2056" s="1626"/>
      <c r="T2056" s="1626"/>
      <c r="U2056" s="1626"/>
      <c r="V2056" s="1626"/>
      <c r="W2056" s="1626"/>
      <c r="X2056" s="1626"/>
      <c r="Y2056" s="1626"/>
      <c r="Z2056" s="1626"/>
      <c r="AA2056" s="1626"/>
      <c r="AB2056" s="1626"/>
      <c r="AC2056" s="1626"/>
      <c r="AD2056" s="1626"/>
      <c r="AE2056" s="1626"/>
      <c r="AF2056" s="1626"/>
      <c r="AG2056" s="1626"/>
      <c r="AH2056" s="1626"/>
      <c r="AI2056" s="1626"/>
      <c r="AJ2056" s="1626"/>
      <c r="AK2056" s="1626"/>
      <c r="AL2056" s="1626"/>
      <c r="AM2056" s="1626"/>
      <c r="AN2056" s="1626"/>
      <c r="AO2056" s="1626"/>
      <c r="AP2056" s="1626"/>
      <c r="AQ2056" s="1626"/>
      <c r="AR2056" s="1626"/>
      <c r="AS2056" s="1626"/>
      <c r="AT2056" s="1626"/>
      <c r="AU2056" s="1626"/>
      <c r="AV2056" s="1626"/>
      <c r="AW2056" s="1626"/>
      <c r="AX2056" s="1626"/>
      <c r="AY2056" s="1626"/>
      <c r="AZ2056" s="1626"/>
      <c r="BA2056" s="1626"/>
      <c r="BB2056" s="1626"/>
      <c r="BC2056" s="1626"/>
      <c r="BD2056" s="1626"/>
      <c r="BE2056" s="1626"/>
      <c r="BF2056" s="1626"/>
      <c r="BG2056" s="1626"/>
      <c r="BH2056" s="1626"/>
      <c r="BI2056" s="1626"/>
      <c r="BJ2056" s="1626"/>
      <c r="BK2056" s="1626"/>
      <c r="BL2056" s="1626"/>
      <c r="BM2056" s="1626"/>
      <c r="BN2056" s="1626"/>
      <c r="BO2056" s="1626"/>
      <c r="BP2056" s="1626"/>
      <c r="BQ2056" s="1626"/>
      <c r="BR2056" s="1626"/>
      <c r="BS2056" s="1626"/>
      <c r="BT2056" s="1626"/>
      <c r="BU2056" s="1626"/>
      <c r="BV2056" s="1626"/>
      <c r="BW2056" s="1626"/>
      <c r="BX2056" s="1626"/>
      <c r="BY2056" s="1626"/>
      <c r="BZ2056" s="1626"/>
      <c r="CA2056" s="1626"/>
      <c r="CB2056" s="1626"/>
      <c r="CC2056" s="1626"/>
      <c r="CD2056" s="1626"/>
      <c r="CE2056" s="1626"/>
      <c r="CF2056" s="1626"/>
      <c r="CG2056" s="1626"/>
      <c r="CH2056" s="1626"/>
      <c r="CI2056" s="1626"/>
      <c r="CJ2056" s="1626"/>
      <c r="CK2056" s="1626"/>
    </row>
    <row r="2057" spans="1:89" s="1108" customFormat="1" ht="17.25" customHeight="1" x14ac:dyDescent="0.25">
      <c r="A2057" s="1107"/>
      <c r="B2057" s="1607" t="s">
        <v>919</v>
      </c>
      <c r="C2057" s="1586"/>
      <c r="D2057" s="1600"/>
      <c r="E2057" s="1601"/>
      <c r="F2057" s="1589"/>
      <c r="G2057" s="1589"/>
      <c r="H2057" s="1589"/>
      <c r="I2057" s="1589"/>
      <c r="J2057" s="1590"/>
      <c r="K2057" s="1589"/>
      <c r="L2057" s="1589"/>
      <c r="M2057" s="1589"/>
      <c r="N2057" s="1589"/>
      <c r="O2057" s="1591"/>
      <c r="P2057" s="1592"/>
      <c r="Q2057" s="1626"/>
      <c r="R2057" s="1626"/>
      <c r="S2057" s="1626"/>
      <c r="T2057" s="1626"/>
      <c r="U2057" s="1626"/>
      <c r="V2057" s="1626"/>
      <c r="W2057" s="1626"/>
      <c r="X2057" s="1626"/>
      <c r="Y2057" s="1626"/>
      <c r="Z2057" s="1626"/>
      <c r="AA2057" s="1626"/>
      <c r="AB2057" s="1626"/>
      <c r="AC2057" s="1626"/>
      <c r="AD2057" s="1626"/>
      <c r="AE2057" s="1626"/>
      <c r="AF2057" s="1626"/>
      <c r="AG2057" s="1626"/>
      <c r="AH2057" s="1626"/>
      <c r="AI2057" s="1626"/>
      <c r="AJ2057" s="1626"/>
      <c r="AK2057" s="1626"/>
      <c r="AL2057" s="1626"/>
      <c r="AM2057" s="1626"/>
      <c r="AN2057" s="1626"/>
      <c r="AO2057" s="1626"/>
      <c r="AP2057" s="1626"/>
      <c r="AQ2057" s="1626"/>
      <c r="AR2057" s="1626"/>
      <c r="AS2057" s="1626"/>
      <c r="AT2057" s="1626"/>
      <c r="AU2057" s="1626"/>
      <c r="AV2057" s="1626"/>
      <c r="AW2057" s="1626"/>
      <c r="AX2057" s="1626"/>
      <c r="AY2057" s="1626"/>
      <c r="AZ2057" s="1626"/>
      <c r="BA2057" s="1626"/>
      <c r="BB2057" s="1626"/>
      <c r="BC2057" s="1626"/>
      <c r="BD2057" s="1626"/>
      <c r="BE2057" s="1626"/>
      <c r="BF2057" s="1626"/>
      <c r="BG2057" s="1626"/>
      <c r="BH2057" s="1626"/>
      <c r="BI2057" s="1626"/>
      <c r="BJ2057" s="1626"/>
      <c r="BK2057" s="1626"/>
      <c r="BL2057" s="1626"/>
      <c r="BM2057" s="1626"/>
      <c r="BN2057" s="1626"/>
      <c r="BO2057" s="1626"/>
      <c r="BP2057" s="1626"/>
      <c r="BQ2057" s="1626"/>
      <c r="BR2057" s="1626"/>
      <c r="BS2057" s="1626"/>
      <c r="BT2057" s="1626"/>
      <c r="BU2057" s="1626"/>
      <c r="BV2057" s="1626"/>
      <c r="BW2057" s="1626"/>
      <c r="BX2057" s="1626"/>
      <c r="BY2057" s="1626"/>
      <c r="BZ2057" s="1626"/>
      <c r="CA2057" s="1626"/>
      <c r="CB2057" s="1626"/>
      <c r="CC2057" s="1626"/>
      <c r="CD2057" s="1626"/>
      <c r="CE2057" s="1626"/>
      <c r="CF2057" s="1626"/>
      <c r="CG2057" s="1626"/>
      <c r="CH2057" s="1626"/>
      <c r="CI2057" s="1626"/>
      <c r="CJ2057" s="1626"/>
      <c r="CK2057" s="1626"/>
    </row>
    <row r="2058" spans="1:89" s="1108" customFormat="1" ht="17.25" customHeight="1" x14ac:dyDescent="0.25">
      <c r="A2058" s="1107"/>
      <c r="B2058" s="1607" t="s">
        <v>920</v>
      </c>
      <c r="C2058" s="1586">
        <v>12</v>
      </c>
      <c r="D2058" s="1600" t="s">
        <v>45</v>
      </c>
      <c r="E2058" s="1601">
        <v>1000</v>
      </c>
      <c r="F2058" s="1589"/>
      <c r="G2058" s="1589"/>
      <c r="H2058" s="1589"/>
      <c r="I2058" s="1589">
        <f t="shared" si="154"/>
        <v>12000</v>
      </c>
      <c r="J2058" s="1589"/>
      <c r="K2058" s="1589">
        <f t="shared" si="152"/>
        <v>12000</v>
      </c>
      <c r="L2058" s="1589"/>
      <c r="M2058" s="1589"/>
      <c r="N2058" s="1589"/>
      <c r="O2058" s="1591">
        <f t="shared" si="151"/>
        <v>12000</v>
      </c>
      <c r="P2058" s="1592"/>
      <c r="Q2058" s="1626"/>
      <c r="R2058" s="1626"/>
      <c r="S2058" s="1626"/>
      <c r="T2058" s="1626"/>
      <c r="U2058" s="1626"/>
      <c r="V2058" s="1626"/>
      <c r="W2058" s="1626"/>
      <c r="X2058" s="1626"/>
      <c r="Y2058" s="1626"/>
      <c r="Z2058" s="1626"/>
      <c r="AA2058" s="1626"/>
      <c r="AB2058" s="1626"/>
      <c r="AC2058" s="1626"/>
      <c r="AD2058" s="1626"/>
      <c r="AE2058" s="1626"/>
      <c r="AF2058" s="1626"/>
      <c r="AG2058" s="1626"/>
      <c r="AH2058" s="1626"/>
      <c r="AI2058" s="1626"/>
      <c r="AJ2058" s="1626"/>
      <c r="AK2058" s="1626"/>
      <c r="AL2058" s="1626"/>
      <c r="AM2058" s="1626"/>
      <c r="AN2058" s="1626"/>
      <c r="AO2058" s="1626"/>
      <c r="AP2058" s="1626"/>
      <c r="AQ2058" s="1626"/>
      <c r="AR2058" s="1626"/>
      <c r="AS2058" s="1626"/>
      <c r="AT2058" s="1626"/>
      <c r="AU2058" s="1626"/>
      <c r="AV2058" s="1626"/>
      <c r="AW2058" s="1626"/>
      <c r="AX2058" s="1626"/>
      <c r="AY2058" s="1626"/>
      <c r="AZ2058" s="1626"/>
      <c r="BA2058" s="1626"/>
      <c r="BB2058" s="1626"/>
      <c r="BC2058" s="1626"/>
      <c r="BD2058" s="1626"/>
      <c r="BE2058" s="1626"/>
      <c r="BF2058" s="1626"/>
      <c r="BG2058" s="1626"/>
      <c r="BH2058" s="1626"/>
      <c r="BI2058" s="1626"/>
      <c r="BJ2058" s="1626"/>
      <c r="BK2058" s="1626"/>
      <c r="BL2058" s="1626"/>
      <c r="BM2058" s="1626"/>
      <c r="BN2058" s="1626"/>
      <c r="BO2058" s="1626"/>
      <c r="BP2058" s="1626"/>
      <c r="BQ2058" s="1626"/>
      <c r="BR2058" s="1626"/>
      <c r="BS2058" s="1626"/>
      <c r="BT2058" s="1626"/>
      <c r="BU2058" s="1626"/>
      <c r="BV2058" s="1626"/>
      <c r="BW2058" s="1626"/>
      <c r="BX2058" s="1626"/>
      <c r="BY2058" s="1626"/>
      <c r="BZ2058" s="1626"/>
      <c r="CA2058" s="1626"/>
      <c r="CB2058" s="1626"/>
      <c r="CC2058" s="1626"/>
      <c r="CD2058" s="1626"/>
      <c r="CE2058" s="1626"/>
      <c r="CF2058" s="1626"/>
      <c r="CG2058" s="1626"/>
      <c r="CH2058" s="1626"/>
      <c r="CI2058" s="1626"/>
      <c r="CJ2058" s="1626"/>
      <c r="CK2058" s="1626"/>
    </row>
    <row r="2059" spans="1:89" s="1108" customFormat="1" ht="17.25" customHeight="1" x14ac:dyDescent="0.25">
      <c r="A2059" s="1107"/>
      <c r="B2059" s="1607"/>
      <c r="C2059" s="1586"/>
      <c r="D2059" s="1600"/>
      <c r="E2059" s="1601"/>
      <c r="F2059" s="1589"/>
      <c r="G2059" s="1589"/>
      <c r="H2059" s="1589"/>
      <c r="I2059" s="1589"/>
      <c r="J2059" s="1589"/>
      <c r="K2059" s="1589"/>
      <c r="L2059" s="1589"/>
      <c r="M2059" s="1589"/>
      <c r="N2059" s="1589"/>
      <c r="O2059" s="1591"/>
      <c r="P2059" s="1592"/>
      <c r="Q2059" s="1626"/>
      <c r="R2059" s="1626"/>
      <c r="S2059" s="1626"/>
      <c r="T2059" s="1626"/>
      <c r="U2059" s="1626"/>
      <c r="V2059" s="1626"/>
      <c r="W2059" s="1626"/>
      <c r="X2059" s="1626"/>
      <c r="Y2059" s="1626"/>
      <c r="Z2059" s="1626"/>
      <c r="AA2059" s="1626"/>
      <c r="AB2059" s="1626"/>
      <c r="AC2059" s="1626"/>
      <c r="AD2059" s="1626"/>
      <c r="AE2059" s="1626"/>
      <c r="AF2059" s="1626"/>
      <c r="AG2059" s="1626"/>
      <c r="AH2059" s="1626"/>
      <c r="AI2059" s="1626"/>
      <c r="AJ2059" s="1626"/>
      <c r="AK2059" s="1626"/>
      <c r="AL2059" s="1626"/>
      <c r="AM2059" s="1626"/>
      <c r="AN2059" s="1626"/>
      <c r="AO2059" s="1626"/>
      <c r="AP2059" s="1626"/>
      <c r="AQ2059" s="1626"/>
      <c r="AR2059" s="1626"/>
      <c r="AS2059" s="1626"/>
      <c r="AT2059" s="1626"/>
      <c r="AU2059" s="1626"/>
      <c r="AV2059" s="1626"/>
      <c r="AW2059" s="1626"/>
      <c r="AX2059" s="1626"/>
      <c r="AY2059" s="1626"/>
      <c r="AZ2059" s="1626"/>
      <c r="BA2059" s="1626"/>
      <c r="BB2059" s="1626"/>
      <c r="BC2059" s="1626"/>
      <c r="BD2059" s="1626"/>
      <c r="BE2059" s="1626"/>
      <c r="BF2059" s="1626"/>
      <c r="BG2059" s="1626"/>
      <c r="BH2059" s="1626"/>
      <c r="BI2059" s="1626"/>
      <c r="BJ2059" s="1626"/>
      <c r="BK2059" s="1626"/>
      <c r="BL2059" s="1626"/>
      <c r="BM2059" s="1626"/>
      <c r="BN2059" s="1626"/>
      <c r="BO2059" s="1626"/>
      <c r="BP2059" s="1626"/>
      <c r="BQ2059" s="1626"/>
      <c r="BR2059" s="1626"/>
      <c r="BS2059" s="1626"/>
      <c r="BT2059" s="1626"/>
      <c r="BU2059" s="1626"/>
      <c r="BV2059" s="1626"/>
      <c r="BW2059" s="1626"/>
      <c r="BX2059" s="1626"/>
      <c r="BY2059" s="1626"/>
      <c r="BZ2059" s="1626"/>
      <c r="CA2059" s="1626"/>
      <c r="CB2059" s="1626"/>
      <c r="CC2059" s="1626"/>
      <c r="CD2059" s="1626"/>
      <c r="CE2059" s="1626"/>
      <c r="CF2059" s="1626"/>
      <c r="CG2059" s="1626"/>
      <c r="CH2059" s="1626"/>
      <c r="CI2059" s="1626"/>
      <c r="CJ2059" s="1626"/>
      <c r="CK2059" s="1626"/>
    </row>
    <row r="2060" spans="1:89" s="1108" customFormat="1" ht="17.25" customHeight="1" x14ac:dyDescent="0.25">
      <c r="A2060" s="1107"/>
      <c r="B2060" s="1607" t="s">
        <v>212</v>
      </c>
      <c r="C2060" s="1586"/>
      <c r="D2060" s="1600"/>
      <c r="E2060" s="1601"/>
      <c r="F2060" s="1589"/>
      <c r="G2060" s="1589"/>
      <c r="H2060" s="1589"/>
      <c r="I2060" s="1589"/>
      <c r="J2060" s="1589"/>
      <c r="K2060" s="1589"/>
      <c r="L2060" s="1589"/>
      <c r="M2060" s="1589"/>
      <c r="N2060" s="1589"/>
      <c r="O2060" s="1591"/>
      <c r="P2060" s="1592"/>
      <c r="Q2060" s="1626"/>
      <c r="R2060" s="1626"/>
      <c r="S2060" s="1626"/>
      <c r="T2060" s="1626"/>
      <c r="U2060" s="1626"/>
      <c r="V2060" s="1626"/>
      <c r="W2060" s="1626"/>
      <c r="X2060" s="1626"/>
      <c r="Y2060" s="1626"/>
      <c r="Z2060" s="1626"/>
      <c r="AA2060" s="1626"/>
      <c r="AB2060" s="1626"/>
      <c r="AC2060" s="1626"/>
      <c r="AD2060" s="1626"/>
      <c r="AE2060" s="1626"/>
      <c r="AF2060" s="1626"/>
      <c r="AG2060" s="1626"/>
      <c r="AH2060" s="1626"/>
      <c r="AI2060" s="1626"/>
      <c r="AJ2060" s="1626"/>
      <c r="AK2060" s="1626"/>
      <c r="AL2060" s="1626"/>
      <c r="AM2060" s="1626"/>
      <c r="AN2060" s="1626"/>
      <c r="AO2060" s="1626"/>
      <c r="AP2060" s="1626"/>
      <c r="AQ2060" s="1626"/>
      <c r="AR2060" s="1626"/>
      <c r="AS2060" s="1626"/>
      <c r="AT2060" s="1626"/>
      <c r="AU2060" s="1626"/>
      <c r="AV2060" s="1626"/>
      <c r="AW2060" s="1626"/>
      <c r="AX2060" s="1626"/>
      <c r="AY2060" s="1626"/>
      <c r="AZ2060" s="1626"/>
      <c r="BA2060" s="1626"/>
      <c r="BB2060" s="1626"/>
      <c r="BC2060" s="1626"/>
      <c r="BD2060" s="1626"/>
      <c r="BE2060" s="1626"/>
      <c r="BF2060" s="1626"/>
      <c r="BG2060" s="1626"/>
      <c r="BH2060" s="1626"/>
      <c r="BI2060" s="1626"/>
      <c r="BJ2060" s="1626"/>
      <c r="BK2060" s="1626"/>
      <c r="BL2060" s="1626"/>
      <c r="BM2060" s="1626"/>
      <c r="BN2060" s="1626"/>
      <c r="BO2060" s="1626"/>
      <c r="BP2060" s="1626"/>
      <c r="BQ2060" s="1626"/>
      <c r="BR2060" s="1626"/>
      <c r="BS2060" s="1626"/>
      <c r="BT2060" s="1626"/>
      <c r="BU2060" s="1626"/>
      <c r="BV2060" s="1626"/>
      <c r="BW2060" s="1626"/>
      <c r="BX2060" s="1626"/>
      <c r="BY2060" s="1626"/>
      <c r="BZ2060" s="1626"/>
      <c r="CA2060" s="1626"/>
      <c r="CB2060" s="1626"/>
      <c r="CC2060" s="1626"/>
      <c r="CD2060" s="1626"/>
      <c r="CE2060" s="1626"/>
      <c r="CF2060" s="1626"/>
      <c r="CG2060" s="1626"/>
      <c r="CH2060" s="1626"/>
      <c r="CI2060" s="1626"/>
      <c r="CJ2060" s="1626"/>
      <c r="CK2060" s="1626"/>
    </row>
    <row r="2061" spans="1:89" s="1108" customFormat="1" ht="17.25" customHeight="1" x14ac:dyDescent="0.25">
      <c r="A2061" s="1107"/>
      <c r="B2061" s="1607" t="s">
        <v>921</v>
      </c>
      <c r="C2061" s="1586">
        <v>12</v>
      </c>
      <c r="D2061" s="1600" t="s">
        <v>45</v>
      </c>
      <c r="E2061" s="1601">
        <v>9000</v>
      </c>
      <c r="F2061" s="1589"/>
      <c r="G2061" s="1589"/>
      <c r="H2061" s="1589"/>
      <c r="I2061" s="1589">
        <f t="shared" si="154"/>
        <v>108000</v>
      </c>
      <c r="J2061" s="1589"/>
      <c r="K2061" s="1589">
        <f t="shared" si="152"/>
        <v>108000</v>
      </c>
      <c r="L2061" s="1589"/>
      <c r="M2061" s="1589"/>
      <c r="N2061" s="1589"/>
      <c r="O2061" s="1591">
        <f t="shared" si="151"/>
        <v>108000</v>
      </c>
      <c r="P2061" s="1592"/>
      <c r="Q2061" s="1626"/>
      <c r="R2061" s="1626"/>
      <c r="S2061" s="1626"/>
      <c r="T2061" s="1626"/>
      <c r="U2061" s="1626"/>
      <c r="V2061" s="1626"/>
      <c r="W2061" s="1626"/>
      <c r="X2061" s="1626"/>
      <c r="Y2061" s="1626"/>
      <c r="Z2061" s="1626"/>
      <c r="AA2061" s="1626"/>
      <c r="AB2061" s="1626"/>
      <c r="AC2061" s="1626"/>
      <c r="AD2061" s="1626"/>
      <c r="AE2061" s="1626"/>
      <c r="AF2061" s="1626"/>
      <c r="AG2061" s="1626"/>
      <c r="AH2061" s="1626"/>
      <c r="AI2061" s="1626"/>
      <c r="AJ2061" s="1626"/>
      <c r="AK2061" s="1626"/>
      <c r="AL2061" s="1626"/>
      <c r="AM2061" s="1626"/>
      <c r="AN2061" s="1626"/>
      <c r="AO2061" s="1626"/>
      <c r="AP2061" s="1626"/>
      <c r="AQ2061" s="1626"/>
      <c r="AR2061" s="1626"/>
      <c r="AS2061" s="1626"/>
      <c r="AT2061" s="1626"/>
      <c r="AU2061" s="1626"/>
      <c r="AV2061" s="1626"/>
      <c r="AW2061" s="1626"/>
      <c r="AX2061" s="1626"/>
      <c r="AY2061" s="1626"/>
      <c r="AZ2061" s="1626"/>
      <c r="BA2061" s="1626"/>
      <c r="BB2061" s="1626"/>
      <c r="BC2061" s="1626"/>
      <c r="BD2061" s="1626"/>
      <c r="BE2061" s="1626"/>
      <c r="BF2061" s="1626"/>
      <c r="BG2061" s="1626"/>
      <c r="BH2061" s="1626"/>
      <c r="BI2061" s="1626"/>
      <c r="BJ2061" s="1626"/>
      <c r="BK2061" s="1626"/>
      <c r="BL2061" s="1626"/>
      <c r="BM2061" s="1626"/>
      <c r="BN2061" s="1626"/>
      <c r="BO2061" s="1626"/>
      <c r="BP2061" s="1626"/>
      <c r="BQ2061" s="1626"/>
      <c r="BR2061" s="1626"/>
      <c r="BS2061" s="1626"/>
      <c r="BT2061" s="1626"/>
      <c r="BU2061" s="1626"/>
      <c r="BV2061" s="1626"/>
      <c r="BW2061" s="1626"/>
      <c r="BX2061" s="1626"/>
      <c r="BY2061" s="1626"/>
      <c r="BZ2061" s="1626"/>
      <c r="CA2061" s="1626"/>
      <c r="CB2061" s="1626"/>
      <c r="CC2061" s="1626"/>
      <c r="CD2061" s="1626"/>
      <c r="CE2061" s="1626"/>
      <c r="CF2061" s="1626"/>
      <c r="CG2061" s="1626"/>
      <c r="CH2061" s="1626"/>
      <c r="CI2061" s="1626"/>
      <c r="CJ2061" s="1626"/>
      <c r="CK2061" s="1626"/>
    </row>
    <row r="2062" spans="1:89" s="1108" customFormat="1" ht="17.25" customHeight="1" x14ac:dyDescent="0.25">
      <c r="A2062" s="1107"/>
      <c r="B2062" s="1607" t="s">
        <v>922</v>
      </c>
      <c r="C2062" s="1586"/>
      <c r="D2062" s="1600"/>
      <c r="E2062" s="1601"/>
      <c r="F2062" s="1589"/>
      <c r="G2062" s="1589"/>
      <c r="H2062" s="1589"/>
      <c r="I2062" s="1589"/>
      <c r="J2062" s="1589"/>
      <c r="K2062" s="1589"/>
      <c r="L2062" s="1589"/>
      <c r="M2062" s="1589"/>
      <c r="N2062" s="1589"/>
      <c r="O2062" s="1591"/>
      <c r="P2062" s="1592"/>
      <c r="Q2062" s="1626"/>
      <c r="R2062" s="1626"/>
      <c r="S2062" s="1626"/>
      <c r="T2062" s="1626"/>
      <c r="U2062" s="1626"/>
      <c r="V2062" s="1626"/>
      <c r="W2062" s="1626"/>
      <c r="X2062" s="1626"/>
      <c r="Y2062" s="1626"/>
      <c r="Z2062" s="1626"/>
      <c r="AA2062" s="1626"/>
      <c r="AB2062" s="1626"/>
      <c r="AC2062" s="1626"/>
      <c r="AD2062" s="1626"/>
      <c r="AE2062" s="1626"/>
      <c r="AF2062" s="1626"/>
      <c r="AG2062" s="1626"/>
      <c r="AH2062" s="1626"/>
      <c r="AI2062" s="1626"/>
      <c r="AJ2062" s="1626"/>
      <c r="AK2062" s="1626"/>
      <c r="AL2062" s="1626"/>
      <c r="AM2062" s="1626"/>
      <c r="AN2062" s="1626"/>
      <c r="AO2062" s="1626"/>
      <c r="AP2062" s="1626"/>
      <c r="AQ2062" s="1626"/>
      <c r="AR2062" s="1626"/>
      <c r="AS2062" s="1626"/>
      <c r="AT2062" s="1626"/>
      <c r="AU2062" s="1626"/>
      <c r="AV2062" s="1626"/>
      <c r="AW2062" s="1626"/>
      <c r="AX2062" s="1626"/>
      <c r="AY2062" s="1626"/>
      <c r="AZ2062" s="1626"/>
      <c r="BA2062" s="1626"/>
      <c r="BB2062" s="1626"/>
      <c r="BC2062" s="1626"/>
      <c r="BD2062" s="1626"/>
      <c r="BE2062" s="1626"/>
      <c r="BF2062" s="1626"/>
      <c r="BG2062" s="1626"/>
      <c r="BH2062" s="1626"/>
      <c r="BI2062" s="1626"/>
      <c r="BJ2062" s="1626"/>
      <c r="BK2062" s="1626"/>
      <c r="BL2062" s="1626"/>
      <c r="BM2062" s="1626"/>
      <c r="BN2062" s="1626"/>
      <c r="BO2062" s="1626"/>
      <c r="BP2062" s="1626"/>
      <c r="BQ2062" s="1626"/>
      <c r="BR2062" s="1626"/>
      <c r="BS2062" s="1626"/>
      <c r="BT2062" s="1626"/>
      <c r="BU2062" s="1626"/>
      <c r="BV2062" s="1626"/>
      <c r="BW2062" s="1626"/>
      <c r="BX2062" s="1626"/>
      <c r="BY2062" s="1626"/>
      <c r="BZ2062" s="1626"/>
      <c r="CA2062" s="1626"/>
      <c r="CB2062" s="1626"/>
      <c r="CC2062" s="1626"/>
      <c r="CD2062" s="1626"/>
      <c r="CE2062" s="1626"/>
      <c r="CF2062" s="1626"/>
      <c r="CG2062" s="1626"/>
      <c r="CH2062" s="1626"/>
      <c r="CI2062" s="1626"/>
      <c r="CJ2062" s="1626"/>
      <c r="CK2062" s="1626"/>
    </row>
    <row r="2063" spans="1:89" s="1108" customFormat="1" ht="17.25" customHeight="1" x14ac:dyDescent="0.25">
      <c r="A2063" s="1107"/>
      <c r="B2063" s="1607" t="s">
        <v>2117</v>
      </c>
      <c r="C2063" s="1586">
        <v>12</v>
      </c>
      <c r="D2063" s="1600" t="s">
        <v>45</v>
      </c>
      <c r="E2063" s="1601">
        <v>3000</v>
      </c>
      <c r="F2063" s="1589"/>
      <c r="G2063" s="1589"/>
      <c r="H2063" s="1589"/>
      <c r="I2063" s="1589">
        <f t="shared" si="154"/>
        <v>36000</v>
      </c>
      <c r="J2063" s="1589"/>
      <c r="K2063" s="1589">
        <f t="shared" si="152"/>
        <v>36000</v>
      </c>
      <c r="L2063" s="1589"/>
      <c r="M2063" s="1589"/>
      <c r="N2063" s="1589"/>
      <c r="O2063" s="1591">
        <f t="shared" si="151"/>
        <v>36000</v>
      </c>
      <c r="P2063" s="1592"/>
      <c r="Q2063" s="1626"/>
      <c r="R2063" s="1626"/>
      <c r="S2063" s="1626"/>
      <c r="T2063" s="1626"/>
      <c r="U2063" s="1626"/>
      <c r="V2063" s="1626"/>
      <c r="W2063" s="1626"/>
      <c r="X2063" s="1626"/>
      <c r="Y2063" s="1626"/>
      <c r="Z2063" s="1626"/>
      <c r="AA2063" s="1626"/>
      <c r="AB2063" s="1626"/>
      <c r="AC2063" s="1626"/>
      <c r="AD2063" s="1626"/>
      <c r="AE2063" s="1626"/>
      <c r="AF2063" s="1626"/>
      <c r="AG2063" s="1626"/>
      <c r="AH2063" s="1626"/>
      <c r="AI2063" s="1626"/>
      <c r="AJ2063" s="1626"/>
      <c r="AK2063" s="1626"/>
      <c r="AL2063" s="1626"/>
      <c r="AM2063" s="1626"/>
      <c r="AN2063" s="1626"/>
      <c r="AO2063" s="1626"/>
      <c r="AP2063" s="1626"/>
      <c r="AQ2063" s="1626"/>
      <c r="AR2063" s="1626"/>
      <c r="AS2063" s="1626"/>
      <c r="AT2063" s="1626"/>
      <c r="AU2063" s="1626"/>
      <c r="AV2063" s="1626"/>
      <c r="AW2063" s="1626"/>
      <c r="AX2063" s="1626"/>
      <c r="AY2063" s="1626"/>
      <c r="AZ2063" s="1626"/>
      <c r="BA2063" s="1626"/>
      <c r="BB2063" s="1626"/>
      <c r="BC2063" s="1626"/>
      <c r="BD2063" s="1626"/>
      <c r="BE2063" s="1626"/>
      <c r="BF2063" s="1626"/>
      <c r="BG2063" s="1626"/>
      <c r="BH2063" s="1626"/>
      <c r="BI2063" s="1626"/>
      <c r="BJ2063" s="1626"/>
      <c r="BK2063" s="1626"/>
      <c r="BL2063" s="1626"/>
      <c r="BM2063" s="1626"/>
      <c r="BN2063" s="1626"/>
      <c r="BO2063" s="1626"/>
      <c r="BP2063" s="1626"/>
      <c r="BQ2063" s="1626"/>
      <c r="BR2063" s="1626"/>
      <c r="BS2063" s="1626"/>
      <c r="BT2063" s="1626"/>
      <c r="BU2063" s="1626"/>
      <c r="BV2063" s="1626"/>
      <c r="BW2063" s="1626"/>
      <c r="BX2063" s="1626"/>
      <c r="BY2063" s="1626"/>
      <c r="BZ2063" s="1626"/>
      <c r="CA2063" s="1626"/>
      <c r="CB2063" s="1626"/>
      <c r="CC2063" s="1626"/>
      <c r="CD2063" s="1626"/>
      <c r="CE2063" s="1626"/>
      <c r="CF2063" s="1626"/>
      <c r="CG2063" s="1626"/>
      <c r="CH2063" s="1626"/>
      <c r="CI2063" s="1626"/>
      <c r="CJ2063" s="1626"/>
      <c r="CK2063" s="1626"/>
    </row>
    <row r="2064" spans="1:89" s="1108" customFormat="1" ht="17.25" customHeight="1" x14ac:dyDescent="0.25">
      <c r="A2064" s="1107"/>
      <c r="B2064" s="1607" t="s">
        <v>2118</v>
      </c>
      <c r="C2064" s="1586">
        <v>36</v>
      </c>
      <c r="D2064" s="1600" t="s">
        <v>45</v>
      </c>
      <c r="E2064" s="1601">
        <v>2600</v>
      </c>
      <c r="F2064" s="1589"/>
      <c r="G2064" s="1589"/>
      <c r="H2064" s="1589"/>
      <c r="I2064" s="1589">
        <f t="shared" si="154"/>
        <v>93600</v>
      </c>
      <c r="J2064" s="1589"/>
      <c r="K2064" s="1589">
        <f t="shared" si="152"/>
        <v>93600</v>
      </c>
      <c r="L2064" s="1589"/>
      <c r="M2064" s="1589"/>
      <c r="N2064" s="1589"/>
      <c r="O2064" s="1591">
        <f t="shared" si="151"/>
        <v>93600</v>
      </c>
      <c r="P2064" s="1592"/>
      <c r="Q2064" s="1626"/>
      <c r="R2064" s="1626"/>
      <c r="S2064" s="1626"/>
      <c r="T2064" s="1626"/>
      <c r="U2064" s="1626"/>
      <c r="V2064" s="1626"/>
      <c r="W2064" s="1626"/>
      <c r="X2064" s="1626"/>
      <c r="Y2064" s="1626"/>
      <c r="Z2064" s="1626"/>
      <c r="AA2064" s="1626"/>
      <c r="AB2064" s="1626"/>
      <c r="AC2064" s="1626"/>
      <c r="AD2064" s="1626"/>
      <c r="AE2064" s="1626"/>
      <c r="AF2064" s="1626"/>
      <c r="AG2064" s="1626"/>
      <c r="AH2064" s="1626"/>
      <c r="AI2064" s="1626"/>
      <c r="AJ2064" s="1626"/>
      <c r="AK2064" s="1626"/>
      <c r="AL2064" s="1626"/>
      <c r="AM2064" s="1626"/>
      <c r="AN2064" s="1626"/>
      <c r="AO2064" s="1626"/>
      <c r="AP2064" s="1626"/>
      <c r="AQ2064" s="1626"/>
      <c r="AR2064" s="1626"/>
      <c r="AS2064" s="1626"/>
      <c r="AT2064" s="1626"/>
      <c r="AU2064" s="1626"/>
      <c r="AV2064" s="1626"/>
      <c r="AW2064" s="1626"/>
      <c r="AX2064" s="1626"/>
      <c r="AY2064" s="1626"/>
      <c r="AZ2064" s="1626"/>
      <c r="BA2064" s="1626"/>
      <c r="BB2064" s="1626"/>
      <c r="BC2064" s="1626"/>
      <c r="BD2064" s="1626"/>
      <c r="BE2064" s="1626"/>
      <c r="BF2064" s="1626"/>
      <c r="BG2064" s="1626"/>
      <c r="BH2064" s="1626"/>
      <c r="BI2064" s="1626"/>
      <c r="BJ2064" s="1626"/>
      <c r="BK2064" s="1626"/>
      <c r="BL2064" s="1626"/>
      <c r="BM2064" s="1626"/>
      <c r="BN2064" s="1626"/>
      <c r="BO2064" s="1626"/>
      <c r="BP2064" s="1626"/>
      <c r="BQ2064" s="1626"/>
      <c r="BR2064" s="1626"/>
      <c r="BS2064" s="1626"/>
      <c r="BT2064" s="1626"/>
      <c r="BU2064" s="1626"/>
      <c r="BV2064" s="1626"/>
      <c r="BW2064" s="1626"/>
      <c r="BX2064" s="1626"/>
      <c r="BY2064" s="1626"/>
      <c r="BZ2064" s="1626"/>
      <c r="CA2064" s="1626"/>
      <c r="CB2064" s="1626"/>
      <c r="CC2064" s="1626"/>
      <c r="CD2064" s="1626"/>
      <c r="CE2064" s="1626"/>
      <c r="CF2064" s="1626"/>
      <c r="CG2064" s="1626"/>
      <c r="CH2064" s="1626"/>
      <c r="CI2064" s="1626"/>
      <c r="CJ2064" s="1626"/>
      <c r="CK2064" s="1626"/>
    </row>
    <row r="2065" spans="1:89" s="1108" customFormat="1" ht="17.25" customHeight="1" x14ac:dyDescent="0.25">
      <c r="A2065" s="1612"/>
      <c r="B2065" s="1607" t="s">
        <v>2119</v>
      </c>
      <c r="C2065" s="1586">
        <v>12</v>
      </c>
      <c r="D2065" s="1600" t="s">
        <v>45</v>
      </c>
      <c r="E2065" s="1601">
        <v>1600</v>
      </c>
      <c r="F2065" s="1589"/>
      <c r="G2065" s="1589"/>
      <c r="H2065" s="1589"/>
      <c r="I2065" s="1589">
        <f t="shared" si="154"/>
        <v>19200</v>
      </c>
      <c r="J2065" s="1589"/>
      <c r="K2065" s="1589">
        <f t="shared" si="152"/>
        <v>19200</v>
      </c>
      <c r="L2065" s="1589"/>
      <c r="M2065" s="1589"/>
      <c r="N2065" s="1589"/>
      <c r="O2065" s="1591">
        <f t="shared" si="151"/>
        <v>19200</v>
      </c>
      <c r="P2065" s="1592"/>
      <c r="Q2065" s="1626"/>
      <c r="R2065" s="1626"/>
      <c r="S2065" s="1626"/>
      <c r="T2065" s="1626"/>
      <c r="U2065" s="1626"/>
      <c r="V2065" s="1626"/>
      <c r="W2065" s="1626"/>
      <c r="X2065" s="1626"/>
      <c r="Y2065" s="1626"/>
      <c r="Z2065" s="1626"/>
      <c r="AA2065" s="1626"/>
      <c r="AB2065" s="1626"/>
      <c r="AC2065" s="1626"/>
      <c r="AD2065" s="1626"/>
      <c r="AE2065" s="1626"/>
      <c r="AF2065" s="1626"/>
      <c r="AG2065" s="1626"/>
      <c r="AH2065" s="1626"/>
      <c r="AI2065" s="1626"/>
      <c r="AJ2065" s="1626"/>
      <c r="AK2065" s="1626"/>
      <c r="AL2065" s="1626"/>
      <c r="AM2065" s="1626"/>
      <c r="AN2065" s="1626"/>
      <c r="AO2065" s="1626"/>
      <c r="AP2065" s="1626"/>
      <c r="AQ2065" s="1626"/>
      <c r="AR2065" s="1626"/>
      <c r="AS2065" s="1626"/>
      <c r="AT2065" s="1626"/>
      <c r="AU2065" s="1626"/>
      <c r="AV2065" s="1626"/>
      <c r="AW2065" s="1626"/>
      <c r="AX2065" s="1626"/>
      <c r="AY2065" s="1626"/>
      <c r="AZ2065" s="1626"/>
      <c r="BA2065" s="1626"/>
      <c r="BB2065" s="1626"/>
      <c r="BC2065" s="1626"/>
      <c r="BD2065" s="1626"/>
      <c r="BE2065" s="1626"/>
      <c r="BF2065" s="1626"/>
      <c r="BG2065" s="1626"/>
      <c r="BH2065" s="1626"/>
      <c r="BI2065" s="1626"/>
      <c r="BJ2065" s="1626"/>
      <c r="BK2065" s="1626"/>
      <c r="BL2065" s="1626"/>
      <c r="BM2065" s="1626"/>
      <c r="BN2065" s="1626"/>
      <c r="BO2065" s="1626"/>
      <c r="BP2065" s="1626"/>
      <c r="BQ2065" s="1626"/>
      <c r="BR2065" s="1626"/>
      <c r="BS2065" s="1626"/>
      <c r="BT2065" s="1626"/>
      <c r="BU2065" s="1626"/>
      <c r="BV2065" s="1626"/>
      <c r="BW2065" s="1626"/>
      <c r="BX2065" s="1626"/>
      <c r="BY2065" s="1626"/>
      <c r="BZ2065" s="1626"/>
      <c r="CA2065" s="1626"/>
      <c r="CB2065" s="1626"/>
      <c r="CC2065" s="1626"/>
      <c r="CD2065" s="1626"/>
      <c r="CE2065" s="1626"/>
      <c r="CF2065" s="1626"/>
      <c r="CG2065" s="1626"/>
      <c r="CH2065" s="1626"/>
      <c r="CI2065" s="1626"/>
      <c r="CJ2065" s="1626"/>
      <c r="CK2065" s="1626"/>
    </row>
    <row r="2066" spans="1:89" s="1108" customFormat="1" ht="17.25" customHeight="1" x14ac:dyDescent="0.25">
      <c r="A2066" s="1613"/>
      <c r="B2066" s="1607" t="s">
        <v>926</v>
      </c>
      <c r="C2066" s="1586">
        <v>12</v>
      </c>
      <c r="D2066" s="1600" t="s">
        <v>45</v>
      </c>
      <c r="E2066" s="1601">
        <v>2000</v>
      </c>
      <c r="F2066" s="1589"/>
      <c r="G2066" s="1589"/>
      <c r="H2066" s="1589"/>
      <c r="I2066" s="1589">
        <f t="shared" si="154"/>
        <v>24000</v>
      </c>
      <c r="J2066" s="1589"/>
      <c r="K2066" s="1589">
        <f t="shared" si="152"/>
        <v>24000</v>
      </c>
      <c r="L2066" s="1589"/>
      <c r="M2066" s="1589"/>
      <c r="N2066" s="1589"/>
      <c r="O2066" s="1591">
        <f t="shared" si="151"/>
        <v>24000</v>
      </c>
      <c r="P2066" s="1592"/>
      <c r="Q2066" s="1626"/>
      <c r="R2066" s="1626"/>
      <c r="S2066" s="1626"/>
      <c r="T2066" s="1626"/>
      <c r="U2066" s="1626"/>
      <c r="V2066" s="1626"/>
      <c r="W2066" s="1626"/>
      <c r="X2066" s="1626"/>
      <c r="Y2066" s="1626"/>
      <c r="Z2066" s="1626"/>
      <c r="AA2066" s="1626"/>
      <c r="AB2066" s="1626"/>
      <c r="AC2066" s="1626"/>
      <c r="AD2066" s="1626"/>
      <c r="AE2066" s="1626"/>
      <c r="AF2066" s="1626"/>
      <c r="AG2066" s="1626"/>
      <c r="AH2066" s="1626"/>
      <c r="AI2066" s="1626"/>
      <c r="AJ2066" s="1626"/>
      <c r="AK2066" s="1626"/>
      <c r="AL2066" s="1626"/>
      <c r="AM2066" s="1626"/>
      <c r="AN2066" s="1626"/>
      <c r="AO2066" s="1626"/>
      <c r="AP2066" s="1626"/>
      <c r="AQ2066" s="1626"/>
      <c r="AR2066" s="1626"/>
      <c r="AS2066" s="1626"/>
      <c r="AT2066" s="1626"/>
      <c r="AU2066" s="1626"/>
      <c r="AV2066" s="1626"/>
      <c r="AW2066" s="1626"/>
      <c r="AX2066" s="1626"/>
      <c r="AY2066" s="1626"/>
      <c r="AZ2066" s="1626"/>
      <c r="BA2066" s="1626"/>
      <c r="BB2066" s="1626"/>
      <c r="BC2066" s="1626"/>
      <c r="BD2066" s="1626"/>
      <c r="BE2066" s="1626"/>
      <c r="BF2066" s="1626"/>
      <c r="BG2066" s="1626"/>
      <c r="BH2066" s="1626"/>
      <c r="BI2066" s="1626"/>
      <c r="BJ2066" s="1626"/>
      <c r="BK2066" s="1626"/>
      <c r="BL2066" s="1626"/>
      <c r="BM2066" s="1626"/>
      <c r="BN2066" s="1626"/>
      <c r="BO2066" s="1626"/>
      <c r="BP2066" s="1626"/>
      <c r="BQ2066" s="1626"/>
      <c r="BR2066" s="1626"/>
      <c r="BS2066" s="1626"/>
      <c r="BT2066" s="1626"/>
      <c r="BU2066" s="1626"/>
      <c r="BV2066" s="1626"/>
      <c r="BW2066" s="1626"/>
      <c r="BX2066" s="1626"/>
      <c r="BY2066" s="1626"/>
      <c r="BZ2066" s="1626"/>
      <c r="CA2066" s="1626"/>
      <c r="CB2066" s="1626"/>
      <c r="CC2066" s="1626"/>
      <c r="CD2066" s="1626"/>
      <c r="CE2066" s="1626"/>
      <c r="CF2066" s="1626"/>
      <c r="CG2066" s="1626"/>
      <c r="CH2066" s="1626"/>
      <c r="CI2066" s="1626"/>
      <c r="CJ2066" s="1626"/>
      <c r="CK2066" s="1626"/>
    </row>
    <row r="2067" spans="1:89" s="1615" customFormat="1" ht="17.25" customHeight="1" x14ac:dyDescent="0.25">
      <c r="A2067" s="1107"/>
      <c r="B2067" s="1607" t="s">
        <v>927</v>
      </c>
      <c r="C2067" s="1586">
        <v>12</v>
      </c>
      <c r="D2067" s="1600" t="s">
        <v>45</v>
      </c>
      <c r="E2067" s="1601">
        <v>1500</v>
      </c>
      <c r="F2067" s="1589"/>
      <c r="G2067" s="1589"/>
      <c r="H2067" s="1589"/>
      <c r="I2067" s="1589">
        <f t="shared" si="154"/>
        <v>18000</v>
      </c>
      <c r="J2067" s="1589"/>
      <c r="K2067" s="1589">
        <f t="shared" si="152"/>
        <v>18000</v>
      </c>
      <c r="L2067" s="1589"/>
      <c r="M2067" s="1589"/>
      <c r="N2067" s="1589"/>
      <c r="O2067" s="1591">
        <f t="shared" si="151"/>
        <v>18000</v>
      </c>
      <c r="P2067" s="1614"/>
      <c r="Q2067" s="1626"/>
      <c r="R2067" s="1626"/>
      <c r="S2067" s="1626"/>
      <c r="T2067" s="1626"/>
      <c r="U2067" s="1626"/>
      <c r="V2067" s="1626"/>
      <c r="W2067" s="1626"/>
      <c r="X2067" s="1626"/>
      <c r="Y2067" s="1626"/>
      <c r="Z2067" s="1626"/>
      <c r="AA2067" s="1626"/>
      <c r="AB2067" s="1626"/>
      <c r="AC2067" s="1626"/>
      <c r="AD2067" s="1626"/>
      <c r="AE2067" s="1626"/>
      <c r="AF2067" s="1626"/>
      <c r="AG2067" s="1626"/>
      <c r="AH2067" s="1626"/>
      <c r="AI2067" s="1626"/>
      <c r="AJ2067" s="1626"/>
      <c r="AK2067" s="1626"/>
      <c r="AL2067" s="1626"/>
      <c r="AM2067" s="1626"/>
      <c r="AN2067" s="1626"/>
      <c r="AO2067" s="1626"/>
      <c r="AP2067" s="1626"/>
      <c r="AQ2067" s="1626"/>
      <c r="AR2067" s="1626"/>
      <c r="AS2067" s="1626"/>
      <c r="AT2067" s="1626"/>
      <c r="AU2067" s="1626"/>
      <c r="AV2067" s="1626"/>
      <c r="AW2067" s="1626"/>
      <c r="AX2067" s="1626"/>
      <c r="AY2067" s="1626"/>
      <c r="AZ2067" s="1626"/>
      <c r="BA2067" s="1626"/>
      <c r="BB2067" s="1626"/>
      <c r="BC2067" s="1626"/>
      <c r="BD2067" s="1626"/>
      <c r="BE2067" s="1626"/>
      <c r="BF2067" s="1626"/>
      <c r="BG2067" s="1626"/>
      <c r="BH2067" s="1626"/>
      <c r="BI2067" s="1626"/>
      <c r="BJ2067" s="1626"/>
      <c r="BK2067" s="1626"/>
      <c r="BL2067" s="1626"/>
      <c r="BM2067" s="1626"/>
      <c r="BN2067" s="1626"/>
      <c r="BO2067" s="1626"/>
      <c r="BP2067" s="1626"/>
      <c r="BQ2067" s="1626"/>
      <c r="BR2067" s="1626"/>
      <c r="BS2067" s="1626"/>
      <c r="BT2067" s="1626"/>
      <c r="BU2067" s="1626"/>
      <c r="BV2067" s="1626"/>
      <c r="BW2067" s="1626"/>
      <c r="BX2067" s="1626"/>
      <c r="BY2067" s="1626"/>
      <c r="BZ2067" s="1626"/>
      <c r="CA2067" s="1626"/>
      <c r="CB2067" s="1626"/>
      <c r="CC2067" s="1626"/>
      <c r="CD2067" s="1626"/>
      <c r="CE2067" s="1626"/>
      <c r="CF2067" s="1626"/>
      <c r="CG2067" s="1626"/>
      <c r="CH2067" s="1626"/>
      <c r="CI2067" s="1626"/>
      <c r="CJ2067" s="1626"/>
      <c r="CK2067" s="1626"/>
    </row>
    <row r="2068" spans="1:89" s="1108" customFormat="1" ht="23.25" customHeight="1" x14ac:dyDescent="0.25">
      <c r="A2068" s="1107"/>
      <c r="B2068" s="1607"/>
      <c r="C2068" s="1586"/>
      <c r="D2068" s="1600"/>
      <c r="E2068" s="1601"/>
      <c r="F2068" s="1589"/>
      <c r="G2068" s="1589"/>
      <c r="H2068" s="1589"/>
      <c r="I2068" s="1589"/>
      <c r="J2068" s="1589"/>
      <c r="K2068" s="1589"/>
      <c r="L2068" s="1589"/>
      <c r="M2068" s="1589"/>
      <c r="N2068" s="1589"/>
      <c r="O2068" s="1591"/>
      <c r="P2068" s="1592"/>
      <c r="Q2068" s="1626"/>
      <c r="R2068" s="1626"/>
      <c r="S2068" s="1626"/>
      <c r="T2068" s="1626"/>
      <c r="U2068" s="1626"/>
      <c r="V2068" s="1626"/>
      <c r="W2068" s="1626"/>
      <c r="X2068" s="1626"/>
      <c r="Y2068" s="1626"/>
      <c r="Z2068" s="1626"/>
      <c r="AA2068" s="1626"/>
      <c r="AB2068" s="1626"/>
      <c r="AC2068" s="1626"/>
      <c r="AD2068" s="1626"/>
      <c r="AE2068" s="1626"/>
      <c r="AF2068" s="1626"/>
      <c r="AG2068" s="1626"/>
      <c r="AH2068" s="1626"/>
      <c r="AI2068" s="1626"/>
      <c r="AJ2068" s="1626"/>
      <c r="AK2068" s="1626"/>
      <c r="AL2068" s="1626"/>
      <c r="AM2068" s="1626"/>
      <c r="AN2068" s="1626"/>
      <c r="AO2068" s="1626"/>
      <c r="AP2068" s="1626"/>
      <c r="AQ2068" s="1626"/>
      <c r="AR2068" s="1626"/>
      <c r="AS2068" s="1626"/>
      <c r="AT2068" s="1626"/>
      <c r="AU2068" s="1626"/>
      <c r="AV2068" s="1626"/>
      <c r="AW2068" s="1626"/>
      <c r="AX2068" s="1626"/>
      <c r="AY2068" s="1626"/>
      <c r="AZ2068" s="1626"/>
      <c r="BA2068" s="1626"/>
      <c r="BB2068" s="1626"/>
      <c r="BC2068" s="1626"/>
      <c r="BD2068" s="1626"/>
      <c r="BE2068" s="1626"/>
      <c r="BF2068" s="1626"/>
      <c r="BG2068" s="1626"/>
      <c r="BH2068" s="1626"/>
      <c r="BI2068" s="1626"/>
      <c r="BJ2068" s="1626"/>
      <c r="BK2068" s="1626"/>
      <c r="BL2068" s="1626"/>
      <c r="BM2068" s="1626"/>
      <c r="BN2068" s="1626"/>
      <c r="BO2068" s="1626"/>
      <c r="BP2068" s="1626"/>
      <c r="BQ2068" s="1626"/>
      <c r="BR2068" s="1626"/>
      <c r="BS2068" s="1626"/>
      <c r="BT2068" s="1626"/>
      <c r="BU2068" s="1626"/>
      <c r="BV2068" s="1626"/>
      <c r="BW2068" s="1626"/>
      <c r="BX2068" s="1626"/>
      <c r="BY2068" s="1626"/>
      <c r="BZ2068" s="1626"/>
      <c r="CA2068" s="1626"/>
      <c r="CB2068" s="1626"/>
      <c r="CC2068" s="1626"/>
      <c r="CD2068" s="1626"/>
      <c r="CE2068" s="1626"/>
      <c r="CF2068" s="1626"/>
      <c r="CG2068" s="1626"/>
      <c r="CH2068" s="1626"/>
      <c r="CI2068" s="1626"/>
      <c r="CJ2068" s="1626"/>
      <c r="CK2068" s="1626"/>
    </row>
    <row r="2069" spans="1:89" s="1108" customFormat="1" ht="17.25" customHeight="1" x14ac:dyDescent="0.25">
      <c r="A2069" s="1107"/>
      <c r="B2069" s="1607" t="s">
        <v>928</v>
      </c>
      <c r="C2069" s="1586"/>
      <c r="D2069" s="1600"/>
      <c r="E2069" s="1601"/>
      <c r="F2069" s="1589"/>
      <c r="G2069" s="1589"/>
      <c r="H2069" s="1589"/>
      <c r="I2069" s="1589"/>
      <c r="J2069" s="1589"/>
      <c r="K2069" s="1589"/>
      <c r="L2069" s="1589"/>
      <c r="M2069" s="1589"/>
      <c r="N2069" s="1589"/>
      <c r="O2069" s="1591"/>
      <c r="P2069" s="1592"/>
      <c r="Q2069" s="1626"/>
      <c r="R2069" s="1626"/>
      <c r="S2069" s="1626"/>
      <c r="T2069" s="1626"/>
      <c r="U2069" s="1626"/>
      <c r="V2069" s="1626"/>
      <c r="W2069" s="1626"/>
      <c r="X2069" s="1626"/>
      <c r="Y2069" s="1626"/>
      <c r="Z2069" s="1626"/>
      <c r="AA2069" s="1626"/>
      <c r="AB2069" s="1626"/>
      <c r="AC2069" s="1626"/>
      <c r="AD2069" s="1626"/>
      <c r="AE2069" s="1626"/>
      <c r="AF2069" s="1626"/>
      <c r="AG2069" s="1626"/>
      <c r="AH2069" s="1626"/>
      <c r="AI2069" s="1626"/>
      <c r="AJ2069" s="1626"/>
      <c r="AK2069" s="1626"/>
      <c r="AL2069" s="1626"/>
      <c r="AM2069" s="1626"/>
      <c r="AN2069" s="1626"/>
      <c r="AO2069" s="1626"/>
      <c r="AP2069" s="1626"/>
      <c r="AQ2069" s="1626"/>
      <c r="AR2069" s="1626"/>
      <c r="AS2069" s="1626"/>
      <c r="AT2069" s="1626"/>
      <c r="AU2069" s="1626"/>
      <c r="AV2069" s="1626"/>
      <c r="AW2069" s="1626"/>
      <c r="AX2069" s="1626"/>
      <c r="AY2069" s="1626"/>
      <c r="AZ2069" s="1626"/>
      <c r="BA2069" s="1626"/>
      <c r="BB2069" s="1626"/>
      <c r="BC2069" s="1626"/>
      <c r="BD2069" s="1626"/>
      <c r="BE2069" s="1626"/>
      <c r="BF2069" s="1626"/>
      <c r="BG2069" s="1626"/>
      <c r="BH2069" s="1626"/>
      <c r="BI2069" s="1626"/>
      <c r="BJ2069" s="1626"/>
      <c r="BK2069" s="1626"/>
      <c r="BL2069" s="1626"/>
      <c r="BM2069" s="1626"/>
      <c r="BN2069" s="1626"/>
      <c r="BO2069" s="1626"/>
      <c r="BP2069" s="1626"/>
      <c r="BQ2069" s="1626"/>
      <c r="BR2069" s="1626"/>
      <c r="BS2069" s="1626"/>
      <c r="BT2069" s="1626"/>
      <c r="BU2069" s="1626"/>
      <c r="BV2069" s="1626"/>
      <c r="BW2069" s="1626"/>
      <c r="BX2069" s="1626"/>
      <c r="BY2069" s="1626"/>
      <c r="BZ2069" s="1626"/>
      <c r="CA2069" s="1626"/>
      <c r="CB2069" s="1626"/>
      <c r="CC2069" s="1626"/>
      <c r="CD2069" s="1626"/>
      <c r="CE2069" s="1626"/>
      <c r="CF2069" s="1626"/>
      <c r="CG2069" s="1626"/>
      <c r="CH2069" s="1626"/>
      <c r="CI2069" s="1626"/>
      <c r="CJ2069" s="1626"/>
      <c r="CK2069" s="1626"/>
    </row>
    <row r="2070" spans="1:89" s="1108" customFormat="1" ht="17.25" customHeight="1" x14ac:dyDescent="0.25">
      <c r="A2070" s="1107"/>
      <c r="B2070" s="1607" t="s">
        <v>929</v>
      </c>
      <c r="C2070" s="1586">
        <v>24</v>
      </c>
      <c r="D2070" s="1600" t="s">
        <v>20</v>
      </c>
      <c r="E2070" s="1601">
        <v>1800</v>
      </c>
      <c r="F2070" s="1589"/>
      <c r="G2070" s="1589"/>
      <c r="H2070" s="1589"/>
      <c r="I2070" s="1589">
        <f t="shared" si="154"/>
        <v>43200</v>
      </c>
      <c r="J2070" s="1589"/>
      <c r="K2070" s="1589">
        <f t="shared" si="152"/>
        <v>43200</v>
      </c>
      <c r="L2070" s="1589"/>
      <c r="M2070" s="1589"/>
      <c r="N2070" s="1589"/>
      <c r="O2070" s="1591">
        <f t="shared" si="151"/>
        <v>43200</v>
      </c>
      <c r="P2070" s="1592"/>
      <c r="Q2070" s="1626"/>
      <c r="R2070" s="1626"/>
      <c r="S2070" s="1626"/>
      <c r="T2070" s="1626"/>
      <c r="U2070" s="1626"/>
      <c r="V2070" s="1626"/>
      <c r="W2070" s="1626"/>
      <c r="X2070" s="1626"/>
      <c r="Y2070" s="1626"/>
      <c r="Z2070" s="1626"/>
      <c r="AA2070" s="1626"/>
      <c r="AB2070" s="1626"/>
      <c r="AC2070" s="1626"/>
      <c r="AD2070" s="1626"/>
      <c r="AE2070" s="1626"/>
      <c r="AF2070" s="1626"/>
      <c r="AG2070" s="1626"/>
      <c r="AH2070" s="1626"/>
      <c r="AI2070" s="1626"/>
      <c r="AJ2070" s="1626"/>
      <c r="AK2070" s="1626"/>
      <c r="AL2070" s="1626"/>
      <c r="AM2070" s="1626"/>
      <c r="AN2070" s="1626"/>
      <c r="AO2070" s="1626"/>
      <c r="AP2070" s="1626"/>
      <c r="AQ2070" s="1626"/>
      <c r="AR2070" s="1626"/>
      <c r="AS2070" s="1626"/>
      <c r="AT2070" s="1626"/>
      <c r="AU2070" s="1626"/>
      <c r="AV2070" s="1626"/>
      <c r="AW2070" s="1626"/>
      <c r="AX2070" s="1626"/>
      <c r="AY2070" s="1626"/>
      <c r="AZ2070" s="1626"/>
      <c r="BA2070" s="1626"/>
      <c r="BB2070" s="1626"/>
      <c r="BC2070" s="1626"/>
      <c r="BD2070" s="1626"/>
      <c r="BE2070" s="1626"/>
      <c r="BF2070" s="1626"/>
      <c r="BG2070" s="1626"/>
      <c r="BH2070" s="1626"/>
      <c r="BI2070" s="1626"/>
      <c r="BJ2070" s="1626"/>
      <c r="BK2070" s="1626"/>
      <c r="BL2070" s="1626"/>
      <c r="BM2070" s="1626"/>
      <c r="BN2070" s="1626"/>
      <c r="BO2070" s="1626"/>
      <c r="BP2070" s="1626"/>
      <c r="BQ2070" s="1626"/>
      <c r="BR2070" s="1626"/>
      <c r="BS2070" s="1626"/>
      <c r="BT2070" s="1626"/>
      <c r="BU2070" s="1626"/>
      <c r="BV2070" s="1626"/>
      <c r="BW2070" s="1626"/>
      <c r="BX2070" s="1626"/>
      <c r="BY2070" s="1626"/>
      <c r="BZ2070" s="1626"/>
      <c r="CA2070" s="1626"/>
      <c r="CB2070" s="1626"/>
      <c r="CC2070" s="1626"/>
      <c r="CD2070" s="1626"/>
      <c r="CE2070" s="1626"/>
      <c r="CF2070" s="1626"/>
      <c r="CG2070" s="1626"/>
      <c r="CH2070" s="1626"/>
      <c r="CI2070" s="1626"/>
      <c r="CJ2070" s="1626"/>
      <c r="CK2070" s="1626"/>
    </row>
    <row r="2071" spans="1:89" s="1108" customFormat="1" ht="17.25" customHeight="1" x14ac:dyDescent="0.25">
      <c r="A2071" s="1107"/>
      <c r="B2071" s="1607" t="s">
        <v>930</v>
      </c>
      <c r="C2071" s="1586">
        <v>24</v>
      </c>
      <c r="D2071" s="1600" t="s">
        <v>20</v>
      </c>
      <c r="E2071" s="1601">
        <v>1700</v>
      </c>
      <c r="F2071" s="1589"/>
      <c r="G2071" s="1589"/>
      <c r="H2071" s="1589"/>
      <c r="I2071" s="1589">
        <f t="shared" si="154"/>
        <v>40800</v>
      </c>
      <c r="J2071" s="1589"/>
      <c r="K2071" s="1589">
        <f t="shared" si="152"/>
        <v>40800</v>
      </c>
      <c r="L2071" s="1589"/>
      <c r="M2071" s="1589"/>
      <c r="N2071" s="1589"/>
      <c r="O2071" s="1591">
        <f t="shared" si="151"/>
        <v>40800</v>
      </c>
      <c r="P2071" s="1592"/>
      <c r="Q2071" s="1626"/>
      <c r="R2071" s="1626"/>
      <c r="S2071" s="1626"/>
      <c r="T2071" s="1626"/>
      <c r="U2071" s="1626"/>
      <c r="V2071" s="1626"/>
      <c r="W2071" s="1626"/>
      <c r="X2071" s="1626"/>
      <c r="Y2071" s="1626"/>
      <c r="Z2071" s="1626"/>
      <c r="AA2071" s="1626"/>
      <c r="AB2071" s="1626"/>
      <c r="AC2071" s="1626"/>
      <c r="AD2071" s="1626"/>
      <c r="AE2071" s="1626"/>
      <c r="AF2071" s="1626"/>
      <c r="AG2071" s="1626"/>
      <c r="AH2071" s="1626"/>
      <c r="AI2071" s="1626"/>
      <c r="AJ2071" s="1626"/>
      <c r="AK2071" s="1626"/>
      <c r="AL2071" s="1626"/>
      <c r="AM2071" s="1626"/>
      <c r="AN2071" s="1626"/>
      <c r="AO2071" s="1626"/>
      <c r="AP2071" s="1626"/>
      <c r="AQ2071" s="1626"/>
      <c r="AR2071" s="1626"/>
      <c r="AS2071" s="1626"/>
      <c r="AT2071" s="1626"/>
      <c r="AU2071" s="1626"/>
      <c r="AV2071" s="1626"/>
      <c r="AW2071" s="1626"/>
      <c r="AX2071" s="1626"/>
      <c r="AY2071" s="1626"/>
      <c r="AZ2071" s="1626"/>
      <c r="BA2071" s="1626"/>
      <c r="BB2071" s="1626"/>
      <c r="BC2071" s="1626"/>
      <c r="BD2071" s="1626"/>
      <c r="BE2071" s="1626"/>
      <c r="BF2071" s="1626"/>
      <c r="BG2071" s="1626"/>
      <c r="BH2071" s="1626"/>
      <c r="BI2071" s="1626"/>
      <c r="BJ2071" s="1626"/>
      <c r="BK2071" s="1626"/>
      <c r="BL2071" s="1626"/>
      <c r="BM2071" s="1626"/>
      <c r="BN2071" s="1626"/>
      <c r="BO2071" s="1626"/>
      <c r="BP2071" s="1626"/>
      <c r="BQ2071" s="1626"/>
      <c r="BR2071" s="1626"/>
      <c r="BS2071" s="1626"/>
      <c r="BT2071" s="1626"/>
      <c r="BU2071" s="1626"/>
      <c r="BV2071" s="1626"/>
      <c r="BW2071" s="1626"/>
      <c r="BX2071" s="1626"/>
      <c r="BY2071" s="1626"/>
      <c r="BZ2071" s="1626"/>
      <c r="CA2071" s="1626"/>
      <c r="CB2071" s="1626"/>
      <c r="CC2071" s="1626"/>
      <c r="CD2071" s="1626"/>
      <c r="CE2071" s="1626"/>
      <c r="CF2071" s="1626"/>
      <c r="CG2071" s="1626"/>
      <c r="CH2071" s="1626"/>
      <c r="CI2071" s="1626"/>
      <c r="CJ2071" s="1626"/>
      <c r="CK2071" s="1626"/>
    </row>
    <row r="2072" spans="1:89" s="1108" customFormat="1" ht="17.25" customHeight="1" x14ac:dyDescent="0.25">
      <c r="A2072" s="1107"/>
      <c r="B2072" s="1607" t="s">
        <v>931</v>
      </c>
      <c r="C2072" s="1586">
        <v>24</v>
      </c>
      <c r="D2072" s="1600" t="s">
        <v>20</v>
      </c>
      <c r="E2072" s="1601">
        <v>1700</v>
      </c>
      <c r="F2072" s="1589"/>
      <c r="G2072" s="1589"/>
      <c r="H2072" s="1589"/>
      <c r="I2072" s="1589">
        <f t="shared" si="154"/>
        <v>40800</v>
      </c>
      <c r="J2072" s="1589"/>
      <c r="K2072" s="1589">
        <f t="shared" si="152"/>
        <v>40800</v>
      </c>
      <c r="L2072" s="1589"/>
      <c r="M2072" s="1589"/>
      <c r="N2072" s="1589"/>
      <c r="O2072" s="1591">
        <f t="shared" si="151"/>
        <v>40800</v>
      </c>
      <c r="P2072" s="1592"/>
      <c r="Q2072" s="1626"/>
      <c r="R2072" s="1626"/>
      <c r="S2072" s="1626"/>
      <c r="T2072" s="1626"/>
      <c r="U2072" s="1626"/>
      <c r="V2072" s="1626"/>
      <c r="W2072" s="1626"/>
      <c r="X2072" s="1626"/>
      <c r="Y2072" s="1626"/>
      <c r="Z2072" s="1626"/>
      <c r="AA2072" s="1626"/>
      <c r="AB2072" s="1626"/>
      <c r="AC2072" s="1626"/>
      <c r="AD2072" s="1626"/>
      <c r="AE2072" s="1626"/>
      <c r="AF2072" s="1626"/>
      <c r="AG2072" s="1626"/>
      <c r="AH2072" s="1626"/>
      <c r="AI2072" s="1626"/>
      <c r="AJ2072" s="1626"/>
      <c r="AK2072" s="1626"/>
      <c r="AL2072" s="1626"/>
      <c r="AM2072" s="1626"/>
      <c r="AN2072" s="1626"/>
      <c r="AO2072" s="1626"/>
      <c r="AP2072" s="1626"/>
      <c r="AQ2072" s="1626"/>
      <c r="AR2072" s="1626"/>
      <c r="AS2072" s="1626"/>
      <c r="AT2072" s="1626"/>
      <c r="AU2072" s="1626"/>
      <c r="AV2072" s="1626"/>
      <c r="AW2072" s="1626"/>
      <c r="AX2072" s="1626"/>
      <c r="AY2072" s="1626"/>
      <c r="AZ2072" s="1626"/>
      <c r="BA2072" s="1626"/>
      <c r="BB2072" s="1626"/>
      <c r="BC2072" s="1626"/>
      <c r="BD2072" s="1626"/>
      <c r="BE2072" s="1626"/>
      <c r="BF2072" s="1626"/>
      <c r="BG2072" s="1626"/>
      <c r="BH2072" s="1626"/>
      <c r="BI2072" s="1626"/>
      <c r="BJ2072" s="1626"/>
      <c r="BK2072" s="1626"/>
      <c r="BL2072" s="1626"/>
      <c r="BM2072" s="1626"/>
      <c r="BN2072" s="1626"/>
      <c r="BO2072" s="1626"/>
      <c r="BP2072" s="1626"/>
      <c r="BQ2072" s="1626"/>
      <c r="BR2072" s="1626"/>
      <c r="BS2072" s="1626"/>
      <c r="BT2072" s="1626"/>
      <c r="BU2072" s="1626"/>
      <c r="BV2072" s="1626"/>
      <c r="BW2072" s="1626"/>
      <c r="BX2072" s="1626"/>
      <c r="BY2072" s="1626"/>
      <c r="BZ2072" s="1626"/>
      <c r="CA2072" s="1626"/>
      <c r="CB2072" s="1626"/>
      <c r="CC2072" s="1626"/>
      <c r="CD2072" s="1626"/>
      <c r="CE2072" s="1626"/>
      <c r="CF2072" s="1626"/>
      <c r="CG2072" s="1626"/>
      <c r="CH2072" s="1626"/>
      <c r="CI2072" s="1626"/>
      <c r="CJ2072" s="1626"/>
      <c r="CK2072" s="1626"/>
    </row>
    <row r="2073" spans="1:89" s="1108" customFormat="1" ht="17.25" customHeight="1" x14ac:dyDescent="0.25">
      <c r="A2073" s="1107"/>
      <c r="B2073" s="1607" t="s">
        <v>2095</v>
      </c>
      <c r="C2073" s="1586">
        <v>24</v>
      </c>
      <c r="D2073" s="1600" t="s">
        <v>20</v>
      </c>
      <c r="E2073" s="1601">
        <v>1800</v>
      </c>
      <c r="F2073" s="1589"/>
      <c r="G2073" s="1589"/>
      <c r="H2073" s="1589"/>
      <c r="I2073" s="1589">
        <f t="shared" si="154"/>
        <v>43200</v>
      </c>
      <c r="J2073" s="1589"/>
      <c r="K2073" s="1589">
        <f t="shared" si="152"/>
        <v>43200</v>
      </c>
      <c r="L2073" s="1589"/>
      <c r="M2073" s="1589"/>
      <c r="N2073" s="1589"/>
      <c r="O2073" s="1591">
        <f t="shared" si="151"/>
        <v>43200</v>
      </c>
      <c r="P2073" s="1592"/>
      <c r="Q2073" s="1626"/>
      <c r="R2073" s="1626"/>
      <c r="S2073" s="1626"/>
      <c r="T2073" s="1626"/>
      <c r="U2073" s="1626"/>
      <c r="V2073" s="1626"/>
      <c r="W2073" s="1626"/>
      <c r="X2073" s="1626"/>
      <c r="Y2073" s="1626"/>
      <c r="Z2073" s="1626"/>
      <c r="AA2073" s="1626"/>
      <c r="AB2073" s="1626"/>
      <c r="AC2073" s="1626"/>
      <c r="AD2073" s="1626"/>
      <c r="AE2073" s="1626"/>
      <c r="AF2073" s="1626"/>
      <c r="AG2073" s="1626"/>
      <c r="AH2073" s="1626"/>
      <c r="AI2073" s="1626"/>
      <c r="AJ2073" s="1626"/>
      <c r="AK2073" s="1626"/>
      <c r="AL2073" s="1626"/>
      <c r="AM2073" s="1626"/>
      <c r="AN2073" s="1626"/>
      <c r="AO2073" s="1626"/>
      <c r="AP2073" s="1626"/>
      <c r="AQ2073" s="1626"/>
      <c r="AR2073" s="1626"/>
      <c r="AS2073" s="1626"/>
      <c r="AT2073" s="1626"/>
      <c r="AU2073" s="1626"/>
      <c r="AV2073" s="1626"/>
      <c r="AW2073" s="1626"/>
      <c r="AX2073" s="1626"/>
      <c r="AY2073" s="1626"/>
      <c r="AZ2073" s="1626"/>
      <c r="BA2073" s="1626"/>
      <c r="BB2073" s="1626"/>
      <c r="BC2073" s="1626"/>
      <c r="BD2073" s="1626"/>
      <c r="BE2073" s="1626"/>
      <c r="BF2073" s="1626"/>
      <c r="BG2073" s="1626"/>
      <c r="BH2073" s="1626"/>
      <c r="BI2073" s="1626"/>
      <c r="BJ2073" s="1626"/>
      <c r="BK2073" s="1626"/>
      <c r="BL2073" s="1626"/>
      <c r="BM2073" s="1626"/>
      <c r="BN2073" s="1626"/>
      <c r="BO2073" s="1626"/>
      <c r="BP2073" s="1626"/>
      <c r="BQ2073" s="1626"/>
      <c r="BR2073" s="1626"/>
      <c r="BS2073" s="1626"/>
      <c r="BT2073" s="1626"/>
      <c r="BU2073" s="1626"/>
      <c r="BV2073" s="1626"/>
      <c r="BW2073" s="1626"/>
      <c r="BX2073" s="1626"/>
      <c r="BY2073" s="1626"/>
      <c r="BZ2073" s="1626"/>
      <c r="CA2073" s="1626"/>
      <c r="CB2073" s="1626"/>
      <c r="CC2073" s="1626"/>
      <c r="CD2073" s="1626"/>
      <c r="CE2073" s="1626"/>
      <c r="CF2073" s="1626"/>
      <c r="CG2073" s="1626"/>
      <c r="CH2073" s="1626"/>
      <c r="CI2073" s="1626"/>
      <c r="CJ2073" s="1626"/>
      <c r="CK2073" s="1626"/>
    </row>
    <row r="2074" spans="1:89" s="1108" customFormat="1" ht="17.25" customHeight="1" x14ac:dyDescent="0.25">
      <c r="A2074" s="1107"/>
      <c r="B2074" s="1607"/>
      <c r="C2074" s="1586"/>
      <c r="D2074" s="1600"/>
      <c r="E2074" s="1601"/>
      <c r="F2074" s="1589"/>
      <c r="G2074" s="1589"/>
      <c r="H2074" s="1589"/>
      <c r="I2074" s="1589"/>
      <c r="J2074" s="1589"/>
      <c r="K2074" s="1589"/>
      <c r="L2074" s="1589"/>
      <c r="M2074" s="1589"/>
      <c r="N2074" s="1589"/>
      <c r="O2074" s="1591"/>
      <c r="P2074" s="1592"/>
      <c r="Q2074" s="1626"/>
      <c r="R2074" s="1626"/>
      <c r="S2074" s="1626"/>
      <c r="T2074" s="1626"/>
      <c r="U2074" s="1626"/>
      <c r="V2074" s="1626"/>
      <c r="W2074" s="1626"/>
      <c r="X2074" s="1626"/>
      <c r="Y2074" s="1626"/>
      <c r="Z2074" s="1626"/>
      <c r="AA2074" s="1626"/>
      <c r="AB2074" s="1626"/>
      <c r="AC2074" s="1626"/>
      <c r="AD2074" s="1626"/>
      <c r="AE2074" s="1626"/>
      <c r="AF2074" s="1626"/>
      <c r="AG2074" s="1626"/>
      <c r="AH2074" s="1626"/>
      <c r="AI2074" s="1626"/>
      <c r="AJ2074" s="1626"/>
      <c r="AK2074" s="1626"/>
      <c r="AL2074" s="1626"/>
      <c r="AM2074" s="1626"/>
      <c r="AN2074" s="1626"/>
      <c r="AO2074" s="1626"/>
      <c r="AP2074" s="1626"/>
      <c r="AQ2074" s="1626"/>
      <c r="AR2074" s="1626"/>
      <c r="AS2074" s="1626"/>
      <c r="AT2074" s="1626"/>
      <c r="AU2074" s="1626"/>
      <c r="AV2074" s="1626"/>
      <c r="AW2074" s="1626"/>
      <c r="AX2074" s="1626"/>
      <c r="AY2074" s="1626"/>
      <c r="AZ2074" s="1626"/>
      <c r="BA2074" s="1626"/>
      <c r="BB2074" s="1626"/>
      <c r="BC2074" s="1626"/>
      <c r="BD2074" s="1626"/>
      <c r="BE2074" s="1626"/>
      <c r="BF2074" s="1626"/>
      <c r="BG2074" s="1626"/>
      <c r="BH2074" s="1626"/>
      <c r="BI2074" s="1626"/>
      <c r="BJ2074" s="1626"/>
      <c r="BK2074" s="1626"/>
      <c r="BL2074" s="1626"/>
      <c r="BM2074" s="1626"/>
      <c r="BN2074" s="1626"/>
      <c r="BO2074" s="1626"/>
      <c r="BP2074" s="1626"/>
      <c r="BQ2074" s="1626"/>
      <c r="BR2074" s="1626"/>
      <c r="BS2074" s="1626"/>
      <c r="BT2074" s="1626"/>
      <c r="BU2074" s="1626"/>
      <c r="BV2074" s="1626"/>
      <c r="BW2074" s="1626"/>
      <c r="BX2074" s="1626"/>
      <c r="BY2074" s="1626"/>
      <c r="BZ2074" s="1626"/>
      <c r="CA2074" s="1626"/>
      <c r="CB2074" s="1626"/>
      <c r="CC2074" s="1626"/>
      <c r="CD2074" s="1626"/>
      <c r="CE2074" s="1626"/>
      <c r="CF2074" s="1626"/>
      <c r="CG2074" s="1626"/>
      <c r="CH2074" s="1626"/>
      <c r="CI2074" s="1626"/>
      <c r="CJ2074" s="1626"/>
      <c r="CK2074" s="1626"/>
    </row>
    <row r="2075" spans="1:89" s="1108" customFormat="1" ht="17.25" customHeight="1" x14ac:dyDescent="0.25">
      <c r="A2075" s="1107"/>
      <c r="B2075" s="1607" t="s">
        <v>932</v>
      </c>
      <c r="C2075" s="1586"/>
      <c r="D2075" s="1600"/>
      <c r="E2075" s="1601"/>
      <c r="F2075" s="1589"/>
      <c r="G2075" s="1589"/>
      <c r="H2075" s="1589"/>
      <c r="I2075" s="1589"/>
      <c r="J2075" s="1589"/>
      <c r="K2075" s="1589"/>
      <c r="L2075" s="1589"/>
      <c r="M2075" s="1589"/>
      <c r="N2075" s="1589"/>
      <c r="O2075" s="1591"/>
      <c r="P2075" s="1592"/>
      <c r="Q2075" s="1626"/>
      <c r="R2075" s="1626"/>
      <c r="S2075" s="1626"/>
      <c r="T2075" s="1626"/>
      <c r="U2075" s="1626"/>
      <c r="V2075" s="1626"/>
      <c r="W2075" s="1626"/>
      <c r="X2075" s="1626"/>
      <c r="Y2075" s="1626"/>
      <c r="Z2075" s="1626"/>
      <c r="AA2075" s="1626"/>
      <c r="AB2075" s="1626"/>
      <c r="AC2075" s="1626"/>
      <c r="AD2075" s="1626"/>
      <c r="AE2075" s="1626"/>
      <c r="AF2075" s="1626"/>
      <c r="AG2075" s="1626"/>
      <c r="AH2075" s="1626"/>
      <c r="AI2075" s="1626"/>
      <c r="AJ2075" s="1626"/>
      <c r="AK2075" s="1626"/>
      <c r="AL2075" s="1626"/>
      <c r="AM2075" s="1626"/>
      <c r="AN2075" s="1626"/>
      <c r="AO2075" s="1626"/>
      <c r="AP2075" s="1626"/>
      <c r="AQ2075" s="1626"/>
      <c r="AR2075" s="1626"/>
      <c r="AS2075" s="1626"/>
      <c r="AT2075" s="1626"/>
      <c r="AU2075" s="1626"/>
      <c r="AV2075" s="1626"/>
      <c r="AW2075" s="1626"/>
      <c r="AX2075" s="1626"/>
      <c r="AY2075" s="1626"/>
      <c r="AZ2075" s="1626"/>
      <c r="BA2075" s="1626"/>
      <c r="BB2075" s="1626"/>
      <c r="BC2075" s="1626"/>
      <c r="BD2075" s="1626"/>
      <c r="BE2075" s="1626"/>
      <c r="BF2075" s="1626"/>
      <c r="BG2075" s="1626"/>
      <c r="BH2075" s="1626"/>
      <c r="BI2075" s="1626"/>
      <c r="BJ2075" s="1626"/>
      <c r="BK2075" s="1626"/>
      <c r="BL2075" s="1626"/>
      <c r="BM2075" s="1626"/>
      <c r="BN2075" s="1626"/>
      <c r="BO2075" s="1626"/>
      <c r="BP2075" s="1626"/>
      <c r="BQ2075" s="1626"/>
      <c r="BR2075" s="1626"/>
      <c r="BS2075" s="1626"/>
      <c r="BT2075" s="1626"/>
      <c r="BU2075" s="1626"/>
      <c r="BV2075" s="1626"/>
      <c r="BW2075" s="1626"/>
      <c r="BX2075" s="1626"/>
      <c r="BY2075" s="1626"/>
      <c r="BZ2075" s="1626"/>
      <c r="CA2075" s="1626"/>
      <c r="CB2075" s="1626"/>
      <c r="CC2075" s="1626"/>
      <c r="CD2075" s="1626"/>
      <c r="CE2075" s="1626"/>
      <c r="CF2075" s="1626"/>
      <c r="CG2075" s="1626"/>
      <c r="CH2075" s="1626"/>
      <c r="CI2075" s="1626"/>
      <c r="CJ2075" s="1626"/>
      <c r="CK2075" s="1626"/>
    </row>
    <row r="2076" spans="1:89" s="1108" customFormat="1" ht="17.25" customHeight="1" x14ac:dyDescent="0.25">
      <c r="A2076" s="1107"/>
      <c r="B2076" s="1593" t="s">
        <v>933</v>
      </c>
      <c r="C2076" s="1595">
        <v>1</v>
      </c>
      <c r="D2076" s="1587" t="s">
        <v>47</v>
      </c>
      <c r="E2076" s="1588">
        <v>30000</v>
      </c>
      <c r="F2076" s="1589"/>
      <c r="G2076" s="1589"/>
      <c r="H2076" s="1589"/>
      <c r="I2076" s="1589">
        <f t="shared" si="154"/>
        <v>30000</v>
      </c>
      <c r="J2076" s="1589"/>
      <c r="K2076" s="1589">
        <f t="shared" si="152"/>
        <v>30000</v>
      </c>
      <c r="L2076" s="1589"/>
      <c r="M2076" s="1589"/>
      <c r="N2076" s="1589"/>
      <c r="O2076" s="1591">
        <f t="shared" si="151"/>
        <v>30000</v>
      </c>
      <c r="P2076" s="1592"/>
      <c r="Q2076" s="1626"/>
      <c r="R2076" s="1626"/>
      <c r="S2076" s="1626"/>
      <c r="T2076" s="1626"/>
      <c r="U2076" s="1626"/>
      <c r="V2076" s="1626"/>
      <c r="W2076" s="1626"/>
      <c r="X2076" s="1626"/>
      <c r="Y2076" s="1626"/>
      <c r="Z2076" s="1626"/>
      <c r="AA2076" s="1626"/>
      <c r="AB2076" s="1626"/>
      <c r="AC2076" s="1626"/>
      <c r="AD2076" s="1626"/>
      <c r="AE2076" s="1626"/>
      <c r="AF2076" s="1626"/>
      <c r="AG2076" s="1626"/>
      <c r="AH2076" s="1626"/>
      <c r="AI2076" s="1626"/>
      <c r="AJ2076" s="1626"/>
      <c r="AK2076" s="1626"/>
      <c r="AL2076" s="1626"/>
      <c r="AM2076" s="1626"/>
      <c r="AN2076" s="1626"/>
      <c r="AO2076" s="1626"/>
      <c r="AP2076" s="1626"/>
      <c r="AQ2076" s="1626"/>
      <c r="AR2076" s="1626"/>
      <c r="AS2076" s="1626"/>
      <c r="AT2076" s="1626"/>
      <c r="AU2076" s="1626"/>
      <c r="AV2076" s="1626"/>
      <c r="AW2076" s="1626"/>
      <c r="AX2076" s="1626"/>
      <c r="AY2076" s="1626"/>
      <c r="AZ2076" s="1626"/>
      <c r="BA2076" s="1626"/>
      <c r="BB2076" s="1626"/>
      <c r="BC2076" s="1626"/>
      <c r="BD2076" s="1626"/>
      <c r="BE2076" s="1626"/>
      <c r="BF2076" s="1626"/>
      <c r="BG2076" s="1626"/>
      <c r="BH2076" s="1626"/>
      <c r="BI2076" s="1626"/>
      <c r="BJ2076" s="1626"/>
      <c r="BK2076" s="1626"/>
      <c r="BL2076" s="1626"/>
      <c r="BM2076" s="1626"/>
      <c r="BN2076" s="1626"/>
      <c r="BO2076" s="1626"/>
      <c r="BP2076" s="1626"/>
      <c r="BQ2076" s="1626"/>
      <c r="BR2076" s="1626"/>
      <c r="BS2076" s="1626"/>
      <c r="BT2076" s="1626"/>
      <c r="BU2076" s="1626"/>
      <c r="BV2076" s="1626"/>
      <c r="BW2076" s="1626"/>
      <c r="BX2076" s="1626"/>
      <c r="BY2076" s="1626"/>
      <c r="BZ2076" s="1626"/>
      <c r="CA2076" s="1626"/>
      <c r="CB2076" s="1626"/>
      <c r="CC2076" s="1626"/>
      <c r="CD2076" s="1626"/>
      <c r="CE2076" s="1626"/>
      <c r="CF2076" s="1626"/>
      <c r="CG2076" s="1626"/>
      <c r="CH2076" s="1626"/>
      <c r="CI2076" s="1626"/>
      <c r="CJ2076" s="1626"/>
      <c r="CK2076" s="1626"/>
    </row>
    <row r="2077" spans="1:89" s="1108" customFormat="1" ht="17.25" customHeight="1" x14ac:dyDescent="0.25">
      <c r="A2077" s="1107"/>
      <c r="B2077" s="1616"/>
      <c r="C2077" s="1617"/>
      <c r="D2077" s="1618"/>
      <c r="E2077" s="1619"/>
      <c r="F2077" s="1620"/>
      <c r="G2077" s="1620"/>
      <c r="H2077" s="1620"/>
      <c r="I2077" s="1589"/>
      <c r="J2077" s="1620"/>
      <c r="K2077" s="1589"/>
      <c r="L2077" s="1589"/>
      <c r="M2077" s="1589"/>
      <c r="N2077" s="1589"/>
      <c r="O2077" s="1591"/>
      <c r="P2077" s="1592"/>
      <c r="Q2077" s="1626"/>
      <c r="R2077" s="1626"/>
      <c r="S2077" s="1626"/>
      <c r="T2077" s="1626"/>
      <c r="U2077" s="1626"/>
      <c r="V2077" s="1626"/>
      <c r="W2077" s="1626"/>
      <c r="X2077" s="1626"/>
      <c r="Y2077" s="1626"/>
      <c r="Z2077" s="1626"/>
      <c r="AA2077" s="1626"/>
      <c r="AB2077" s="1626"/>
      <c r="AC2077" s="1626"/>
      <c r="AD2077" s="1626"/>
      <c r="AE2077" s="1626"/>
      <c r="AF2077" s="1626"/>
      <c r="AG2077" s="1626"/>
      <c r="AH2077" s="1626"/>
      <c r="AI2077" s="1626"/>
      <c r="AJ2077" s="1626"/>
      <c r="AK2077" s="1626"/>
      <c r="AL2077" s="1626"/>
      <c r="AM2077" s="1626"/>
      <c r="AN2077" s="1626"/>
      <c r="AO2077" s="1626"/>
      <c r="AP2077" s="1626"/>
      <c r="AQ2077" s="1626"/>
      <c r="AR2077" s="1626"/>
      <c r="AS2077" s="1626"/>
      <c r="AT2077" s="1626"/>
      <c r="AU2077" s="1626"/>
      <c r="AV2077" s="1626"/>
      <c r="AW2077" s="1626"/>
      <c r="AX2077" s="1626"/>
      <c r="AY2077" s="1626"/>
      <c r="AZ2077" s="1626"/>
      <c r="BA2077" s="1626"/>
      <c r="BB2077" s="1626"/>
      <c r="BC2077" s="1626"/>
      <c r="BD2077" s="1626"/>
      <c r="BE2077" s="1626"/>
      <c r="BF2077" s="1626"/>
      <c r="BG2077" s="1626"/>
      <c r="BH2077" s="1626"/>
      <c r="BI2077" s="1626"/>
      <c r="BJ2077" s="1626"/>
      <c r="BK2077" s="1626"/>
      <c r="BL2077" s="1626"/>
      <c r="BM2077" s="1626"/>
      <c r="BN2077" s="1626"/>
      <c r="BO2077" s="1626"/>
      <c r="BP2077" s="1626"/>
      <c r="BQ2077" s="1626"/>
      <c r="BR2077" s="1626"/>
      <c r="BS2077" s="1626"/>
      <c r="BT2077" s="1626"/>
      <c r="BU2077" s="1626"/>
      <c r="BV2077" s="1626"/>
      <c r="BW2077" s="1626"/>
      <c r="BX2077" s="1626"/>
      <c r="BY2077" s="1626"/>
      <c r="BZ2077" s="1626"/>
      <c r="CA2077" s="1626"/>
      <c r="CB2077" s="1626"/>
      <c r="CC2077" s="1626"/>
      <c r="CD2077" s="1626"/>
      <c r="CE2077" s="1626"/>
      <c r="CF2077" s="1626"/>
      <c r="CG2077" s="1626"/>
      <c r="CH2077" s="1626"/>
      <c r="CI2077" s="1626"/>
      <c r="CJ2077" s="1626"/>
      <c r="CK2077" s="1626"/>
    </row>
    <row r="2078" spans="1:89" s="1108" customFormat="1" ht="17.25" customHeight="1" x14ac:dyDescent="0.25">
      <c r="A2078" s="1596"/>
      <c r="B2078" s="1616" t="s">
        <v>934</v>
      </c>
      <c r="C2078" s="1595"/>
      <c r="D2078" s="1621"/>
      <c r="E2078" s="1589"/>
      <c r="F2078" s="1622"/>
      <c r="G2078" s="1622"/>
      <c r="H2078" s="1622"/>
      <c r="I2078" s="1589"/>
      <c r="J2078" s="1622"/>
      <c r="K2078" s="1589"/>
      <c r="L2078" s="1589"/>
      <c r="M2078" s="1589"/>
      <c r="N2078" s="1589"/>
      <c r="O2078" s="1591"/>
      <c r="P2078" s="1592"/>
      <c r="Q2078" s="1626"/>
      <c r="R2078" s="1626"/>
      <c r="S2078" s="1626"/>
      <c r="T2078" s="1626"/>
      <c r="U2078" s="1626"/>
      <c r="V2078" s="1626"/>
      <c r="W2078" s="1626"/>
      <c r="X2078" s="1626"/>
      <c r="Y2078" s="1626"/>
      <c r="Z2078" s="1626"/>
      <c r="AA2078" s="1626"/>
      <c r="AB2078" s="1626"/>
      <c r="AC2078" s="1626"/>
      <c r="AD2078" s="1626"/>
      <c r="AE2078" s="1626"/>
      <c r="AF2078" s="1626"/>
      <c r="AG2078" s="1626"/>
      <c r="AH2078" s="1626"/>
      <c r="AI2078" s="1626"/>
      <c r="AJ2078" s="1626"/>
      <c r="AK2078" s="1626"/>
      <c r="AL2078" s="1626"/>
      <c r="AM2078" s="1626"/>
      <c r="AN2078" s="1626"/>
      <c r="AO2078" s="1626"/>
      <c r="AP2078" s="1626"/>
      <c r="AQ2078" s="1626"/>
      <c r="AR2078" s="1626"/>
      <c r="AS2078" s="1626"/>
      <c r="AT2078" s="1626"/>
      <c r="AU2078" s="1626"/>
      <c r="AV2078" s="1626"/>
      <c r="AW2078" s="1626"/>
      <c r="AX2078" s="1626"/>
      <c r="AY2078" s="1626"/>
      <c r="AZ2078" s="1626"/>
      <c r="BA2078" s="1626"/>
      <c r="BB2078" s="1626"/>
      <c r="BC2078" s="1626"/>
      <c r="BD2078" s="1626"/>
      <c r="BE2078" s="1626"/>
      <c r="BF2078" s="1626"/>
      <c r="BG2078" s="1626"/>
      <c r="BH2078" s="1626"/>
      <c r="BI2078" s="1626"/>
      <c r="BJ2078" s="1626"/>
      <c r="BK2078" s="1626"/>
      <c r="BL2078" s="1626"/>
      <c r="BM2078" s="1626"/>
      <c r="BN2078" s="1626"/>
      <c r="BO2078" s="1626"/>
      <c r="BP2078" s="1626"/>
      <c r="BQ2078" s="1626"/>
      <c r="BR2078" s="1626"/>
      <c r="BS2078" s="1626"/>
      <c r="BT2078" s="1626"/>
      <c r="BU2078" s="1626"/>
      <c r="BV2078" s="1626"/>
      <c r="BW2078" s="1626"/>
      <c r="BX2078" s="1626"/>
      <c r="BY2078" s="1626"/>
      <c r="BZ2078" s="1626"/>
      <c r="CA2078" s="1626"/>
      <c r="CB2078" s="1626"/>
      <c r="CC2078" s="1626"/>
      <c r="CD2078" s="1626"/>
      <c r="CE2078" s="1626"/>
      <c r="CF2078" s="1626"/>
      <c r="CG2078" s="1626"/>
      <c r="CH2078" s="1626"/>
      <c r="CI2078" s="1626"/>
      <c r="CJ2078" s="1626"/>
      <c r="CK2078" s="1626"/>
    </row>
    <row r="2079" spans="1:89" s="1108" customFormat="1" ht="17.25" customHeight="1" x14ac:dyDescent="0.25">
      <c r="A2079" s="1107"/>
      <c r="B2079" s="1623" t="s">
        <v>2120</v>
      </c>
      <c r="C2079" s="1595">
        <v>2</v>
      </c>
      <c r="D2079" s="1587" t="s">
        <v>2146</v>
      </c>
      <c r="E2079" s="1588">
        <v>3670</v>
      </c>
      <c r="F2079" s="1590"/>
      <c r="G2079" s="1590"/>
      <c r="H2079" s="1590"/>
      <c r="I2079" s="1589">
        <f t="shared" si="154"/>
        <v>7340</v>
      </c>
      <c r="J2079" s="1590"/>
      <c r="K2079" s="1589">
        <f t="shared" si="152"/>
        <v>7340</v>
      </c>
      <c r="L2079" s="1589"/>
      <c r="M2079" s="1589"/>
      <c r="N2079" s="1589"/>
      <c r="O2079" s="1591">
        <f t="shared" ref="O2079:O2102" si="155">N2079+K2079+H2079</f>
        <v>7340</v>
      </c>
      <c r="P2079" s="1592"/>
      <c r="Q2079" s="1626"/>
      <c r="R2079" s="1626"/>
      <c r="S2079" s="1626"/>
      <c r="T2079" s="1626"/>
      <c r="U2079" s="1626"/>
      <c r="V2079" s="1626"/>
      <c r="W2079" s="1626"/>
      <c r="X2079" s="1626"/>
      <c r="Y2079" s="1626"/>
      <c r="Z2079" s="1626"/>
      <c r="AA2079" s="1626"/>
      <c r="AB2079" s="1626"/>
      <c r="AC2079" s="1626"/>
      <c r="AD2079" s="1626"/>
      <c r="AE2079" s="1626"/>
      <c r="AF2079" s="1626"/>
      <c r="AG2079" s="1626"/>
      <c r="AH2079" s="1626"/>
      <c r="AI2079" s="1626"/>
      <c r="AJ2079" s="1626"/>
      <c r="AK2079" s="1626"/>
      <c r="AL2079" s="1626"/>
      <c r="AM2079" s="1626"/>
      <c r="AN2079" s="1626"/>
      <c r="AO2079" s="1626"/>
      <c r="AP2079" s="1626"/>
      <c r="AQ2079" s="1626"/>
      <c r="AR2079" s="1626"/>
      <c r="AS2079" s="1626"/>
      <c r="AT2079" s="1626"/>
      <c r="AU2079" s="1626"/>
      <c r="AV2079" s="1626"/>
      <c r="AW2079" s="1626"/>
      <c r="AX2079" s="1626"/>
      <c r="AY2079" s="1626"/>
      <c r="AZ2079" s="1626"/>
      <c r="BA2079" s="1626"/>
      <c r="BB2079" s="1626"/>
      <c r="BC2079" s="1626"/>
      <c r="BD2079" s="1626"/>
      <c r="BE2079" s="1626"/>
      <c r="BF2079" s="1626"/>
      <c r="BG2079" s="1626"/>
      <c r="BH2079" s="1626"/>
      <c r="BI2079" s="1626"/>
      <c r="BJ2079" s="1626"/>
      <c r="BK2079" s="1626"/>
      <c r="BL2079" s="1626"/>
      <c r="BM2079" s="1626"/>
      <c r="BN2079" s="1626"/>
      <c r="BO2079" s="1626"/>
      <c r="BP2079" s="1626"/>
      <c r="BQ2079" s="1626"/>
      <c r="BR2079" s="1626"/>
      <c r="BS2079" s="1626"/>
      <c r="BT2079" s="1626"/>
      <c r="BU2079" s="1626"/>
      <c r="BV2079" s="1626"/>
      <c r="BW2079" s="1626"/>
      <c r="BX2079" s="1626"/>
      <c r="BY2079" s="1626"/>
      <c r="BZ2079" s="1626"/>
      <c r="CA2079" s="1626"/>
      <c r="CB2079" s="1626"/>
      <c r="CC2079" s="1626"/>
      <c r="CD2079" s="1626"/>
      <c r="CE2079" s="1626"/>
      <c r="CF2079" s="1626"/>
      <c r="CG2079" s="1626"/>
      <c r="CH2079" s="1626"/>
      <c r="CI2079" s="1626"/>
      <c r="CJ2079" s="1626"/>
      <c r="CK2079" s="1626"/>
    </row>
    <row r="2080" spans="1:89" s="1108" customFormat="1" ht="17.25" customHeight="1" x14ac:dyDescent="0.25">
      <c r="A2080" s="1107"/>
      <c r="B2080" s="1585" t="s">
        <v>2121</v>
      </c>
      <c r="C2080" s="1595">
        <v>2</v>
      </c>
      <c r="D2080" s="1587" t="s">
        <v>2146</v>
      </c>
      <c r="E2080" s="1588">
        <v>33570</v>
      </c>
      <c r="F2080" s="1590"/>
      <c r="G2080" s="1590"/>
      <c r="H2080" s="1590"/>
      <c r="I2080" s="1589">
        <f t="shared" si="154"/>
        <v>67140</v>
      </c>
      <c r="J2080" s="1590"/>
      <c r="K2080" s="1589">
        <f t="shared" si="152"/>
        <v>67140</v>
      </c>
      <c r="L2080" s="1589"/>
      <c r="M2080" s="1589"/>
      <c r="N2080" s="1589"/>
      <c r="O2080" s="1591">
        <f t="shared" si="155"/>
        <v>67140</v>
      </c>
      <c r="P2080" s="1592"/>
      <c r="Q2080" s="1626"/>
      <c r="R2080" s="1626"/>
      <c r="S2080" s="1626"/>
      <c r="T2080" s="1626"/>
      <c r="U2080" s="1626"/>
      <c r="V2080" s="1626"/>
      <c r="W2080" s="1626"/>
      <c r="X2080" s="1626"/>
      <c r="Y2080" s="1626"/>
      <c r="Z2080" s="1626"/>
      <c r="AA2080" s="1626"/>
      <c r="AB2080" s="1626"/>
      <c r="AC2080" s="1626"/>
      <c r="AD2080" s="1626"/>
      <c r="AE2080" s="1626"/>
      <c r="AF2080" s="1626"/>
      <c r="AG2080" s="1626"/>
      <c r="AH2080" s="1626"/>
      <c r="AI2080" s="1626"/>
      <c r="AJ2080" s="1626"/>
      <c r="AK2080" s="1626"/>
      <c r="AL2080" s="1626"/>
      <c r="AM2080" s="1626"/>
      <c r="AN2080" s="1626"/>
      <c r="AO2080" s="1626"/>
      <c r="AP2080" s="1626"/>
      <c r="AQ2080" s="1626"/>
      <c r="AR2080" s="1626"/>
      <c r="AS2080" s="1626"/>
      <c r="AT2080" s="1626"/>
      <c r="AU2080" s="1626"/>
      <c r="AV2080" s="1626"/>
      <c r="AW2080" s="1626"/>
      <c r="AX2080" s="1626"/>
      <c r="AY2080" s="1626"/>
      <c r="AZ2080" s="1626"/>
      <c r="BA2080" s="1626"/>
      <c r="BB2080" s="1626"/>
      <c r="BC2080" s="1626"/>
      <c r="BD2080" s="1626"/>
      <c r="BE2080" s="1626"/>
      <c r="BF2080" s="1626"/>
      <c r="BG2080" s="1626"/>
      <c r="BH2080" s="1626"/>
      <c r="BI2080" s="1626"/>
      <c r="BJ2080" s="1626"/>
      <c r="BK2080" s="1626"/>
      <c r="BL2080" s="1626"/>
      <c r="BM2080" s="1626"/>
      <c r="BN2080" s="1626"/>
      <c r="BO2080" s="1626"/>
      <c r="BP2080" s="1626"/>
      <c r="BQ2080" s="1626"/>
      <c r="BR2080" s="1626"/>
      <c r="BS2080" s="1626"/>
      <c r="BT2080" s="1626"/>
      <c r="BU2080" s="1626"/>
      <c r="BV2080" s="1626"/>
      <c r="BW2080" s="1626"/>
      <c r="BX2080" s="1626"/>
      <c r="BY2080" s="1626"/>
      <c r="BZ2080" s="1626"/>
      <c r="CA2080" s="1626"/>
      <c r="CB2080" s="1626"/>
      <c r="CC2080" s="1626"/>
      <c r="CD2080" s="1626"/>
      <c r="CE2080" s="1626"/>
      <c r="CF2080" s="1626"/>
      <c r="CG2080" s="1626"/>
      <c r="CH2080" s="1626"/>
      <c r="CI2080" s="1626"/>
      <c r="CJ2080" s="1626"/>
      <c r="CK2080" s="1626"/>
    </row>
    <row r="2081" spans="1:89" s="1108" customFormat="1" ht="17.25" customHeight="1" x14ac:dyDescent="0.25">
      <c r="A2081" s="1107"/>
      <c r="B2081" s="1585" t="s">
        <v>2122</v>
      </c>
      <c r="C2081" s="1595">
        <v>2</v>
      </c>
      <c r="D2081" s="1587" t="s">
        <v>2146</v>
      </c>
      <c r="E2081" s="1588">
        <v>36180</v>
      </c>
      <c r="F2081" s="1590"/>
      <c r="G2081" s="1590"/>
      <c r="H2081" s="1590"/>
      <c r="I2081" s="1589">
        <f t="shared" si="154"/>
        <v>72360</v>
      </c>
      <c r="J2081" s="1590"/>
      <c r="K2081" s="1589">
        <f t="shared" si="152"/>
        <v>72360</v>
      </c>
      <c r="L2081" s="1589"/>
      <c r="M2081" s="1589"/>
      <c r="N2081" s="1589"/>
      <c r="O2081" s="1591">
        <f t="shared" si="155"/>
        <v>72360</v>
      </c>
      <c r="P2081" s="1592"/>
      <c r="Q2081" s="1626"/>
      <c r="R2081" s="1626"/>
      <c r="S2081" s="1626"/>
      <c r="T2081" s="1626"/>
      <c r="U2081" s="1626"/>
      <c r="V2081" s="1626"/>
      <c r="W2081" s="1626"/>
      <c r="X2081" s="1626"/>
      <c r="Y2081" s="1626"/>
      <c r="Z2081" s="1626"/>
      <c r="AA2081" s="1626"/>
      <c r="AB2081" s="1626"/>
      <c r="AC2081" s="1626"/>
      <c r="AD2081" s="1626"/>
      <c r="AE2081" s="1626"/>
      <c r="AF2081" s="1626"/>
      <c r="AG2081" s="1626"/>
      <c r="AH2081" s="1626"/>
      <c r="AI2081" s="1626"/>
      <c r="AJ2081" s="1626"/>
      <c r="AK2081" s="1626"/>
      <c r="AL2081" s="1626"/>
      <c r="AM2081" s="1626"/>
      <c r="AN2081" s="1626"/>
      <c r="AO2081" s="1626"/>
      <c r="AP2081" s="1626"/>
      <c r="AQ2081" s="1626"/>
      <c r="AR2081" s="1626"/>
      <c r="AS2081" s="1626"/>
      <c r="AT2081" s="1626"/>
      <c r="AU2081" s="1626"/>
      <c r="AV2081" s="1626"/>
      <c r="AW2081" s="1626"/>
      <c r="AX2081" s="1626"/>
      <c r="AY2081" s="1626"/>
      <c r="AZ2081" s="1626"/>
      <c r="BA2081" s="1626"/>
      <c r="BB2081" s="1626"/>
      <c r="BC2081" s="1626"/>
      <c r="BD2081" s="1626"/>
      <c r="BE2081" s="1626"/>
      <c r="BF2081" s="1626"/>
      <c r="BG2081" s="1626"/>
      <c r="BH2081" s="1626"/>
      <c r="BI2081" s="1626"/>
      <c r="BJ2081" s="1626"/>
      <c r="BK2081" s="1626"/>
      <c r="BL2081" s="1626"/>
      <c r="BM2081" s="1626"/>
      <c r="BN2081" s="1626"/>
      <c r="BO2081" s="1626"/>
      <c r="BP2081" s="1626"/>
      <c r="BQ2081" s="1626"/>
      <c r="BR2081" s="1626"/>
      <c r="BS2081" s="1626"/>
      <c r="BT2081" s="1626"/>
      <c r="BU2081" s="1626"/>
      <c r="BV2081" s="1626"/>
      <c r="BW2081" s="1626"/>
      <c r="BX2081" s="1626"/>
      <c r="BY2081" s="1626"/>
      <c r="BZ2081" s="1626"/>
      <c r="CA2081" s="1626"/>
      <c r="CB2081" s="1626"/>
      <c r="CC2081" s="1626"/>
      <c r="CD2081" s="1626"/>
      <c r="CE2081" s="1626"/>
      <c r="CF2081" s="1626"/>
      <c r="CG2081" s="1626"/>
      <c r="CH2081" s="1626"/>
      <c r="CI2081" s="1626"/>
      <c r="CJ2081" s="1626"/>
      <c r="CK2081" s="1626"/>
    </row>
    <row r="2082" spans="1:89" s="1108" customFormat="1" ht="17.25" customHeight="1" x14ac:dyDescent="0.25">
      <c r="A2082" s="1107"/>
      <c r="B2082" s="1585" t="s">
        <v>2123</v>
      </c>
      <c r="C2082" s="1595">
        <v>1</v>
      </c>
      <c r="D2082" s="1587" t="s">
        <v>2146</v>
      </c>
      <c r="E2082" s="1588">
        <v>36510</v>
      </c>
      <c r="F2082" s="1590"/>
      <c r="G2082" s="1590"/>
      <c r="H2082" s="1590"/>
      <c r="I2082" s="1589">
        <f t="shared" si="154"/>
        <v>36510</v>
      </c>
      <c r="J2082" s="1590"/>
      <c r="K2082" s="1589">
        <f t="shared" si="152"/>
        <v>36510</v>
      </c>
      <c r="L2082" s="1589"/>
      <c r="M2082" s="1589"/>
      <c r="N2082" s="1589"/>
      <c r="O2082" s="1591">
        <f t="shared" si="155"/>
        <v>36510</v>
      </c>
      <c r="P2082" s="1592"/>
      <c r="Q2082" s="1626"/>
      <c r="R2082" s="1626"/>
      <c r="S2082" s="1626"/>
      <c r="T2082" s="1626"/>
      <c r="U2082" s="1626"/>
      <c r="V2082" s="1626"/>
      <c r="W2082" s="1626"/>
      <c r="X2082" s="1626"/>
      <c r="Y2082" s="1626"/>
      <c r="Z2082" s="1626"/>
      <c r="AA2082" s="1626"/>
      <c r="AB2082" s="1626"/>
      <c r="AC2082" s="1626"/>
      <c r="AD2082" s="1626"/>
      <c r="AE2082" s="1626"/>
      <c r="AF2082" s="1626"/>
      <c r="AG2082" s="1626"/>
      <c r="AH2082" s="1626"/>
      <c r="AI2082" s="1626"/>
      <c r="AJ2082" s="1626"/>
      <c r="AK2082" s="1626"/>
      <c r="AL2082" s="1626"/>
      <c r="AM2082" s="1626"/>
      <c r="AN2082" s="1626"/>
      <c r="AO2082" s="1626"/>
      <c r="AP2082" s="1626"/>
      <c r="AQ2082" s="1626"/>
      <c r="AR2082" s="1626"/>
      <c r="AS2082" s="1626"/>
      <c r="AT2082" s="1626"/>
      <c r="AU2082" s="1626"/>
      <c r="AV2082" s="1626"/>
      <c r="AW2082" s="1626"/>
      <c r="AX2082" s="1626"/>
      <c r="AY2082" s="1626"/>
      <c r="AZ2082" s="1626"/>
      <c r="BA2082" s="1626"/>
      <c r="BB2082" s="1626"/>
      <c r="BC2082" s="1626"/>
      <c r="BD2082" s="1626"/>
      <c r="BE2082" s="1626"/>
      <c r="BF2082" s="1626"/>
      <c r="BG2082" s="1626"/>
      <c r="BH2082" s="1626"/>
      <c r="BI2082" s="1626"/>
      <c r="BJ2082" s="1626"/>
      <c r="BK2082" s="1626"/>
      <c r="BL2082" s="1626"/>
      <c r="BM2082" s="1626"/>
      <c r="BN2082" s="1626"/>
      <c r="BO2082" s="1626"/>
      <c r="BP2082" s="1626"/>
      <c r="BQ2082" s="1626"/>
      <c r="BR2082" s="1626"/>
      <c r="BS2082" s="1626"/>
      <c r="BT2082" s="1626"/>
      <c r="BU2082" s="1626"/>
      <c r="BV2082" s="1626"/>
      <c r="BW2082" s="1626"/>
      <c r="BX2082" s="1626"/>
      <c r="BY2082" s="1626"/>
      <c r="BZ2082" s="1626"/>
      <c r="CA2082" s="1626"/>
      <c r="CB2082" s="1626"/>
      <c r="CC2082" s="1626"/>
      <c r="CD2082" s="1626"/>
      <c r="CE2082" s="1626"/>
      <c r="CF2082" s="1626"/>
      <c r="CG2082" s="1626"/>
      <c r="CH2082" s="1626"/>
      <c r="CI2082" s="1626"/>
      <c r="CJ2082" s="1626"/>
      <c r="CK2082" s="1626"/>
    </row>
    <row r="2083" spans="1:89" s="1108" customFormat="1" ht="17.25" customHeight="1" x14ac:dyDescent="0.25">
      <c r="A2083" s="1107"/>
      <c r="B2083" s="1585"/>
      <c r="C2083" s="1595"/>
      <c r="D2083" s="1587"/>
      <c r="E2083" s="1588"/>
      <c r="F2083" s="1590"/>
      <c r="G2083" s="1590"/>
      <c r="H2083" s="1590"/>
      <c r="I2083" s="1589"/>
      <c r="J2083" s="1590"/>
      <c r="K2083" s="1589"/>
      <c r="L2083" s="1589"/>
      <c r="M2083" s="1589"/>
      <c r="N2083" s="1589"/>
      <c r="O2083" s="1591"/>
      <c r="P2083" s="1592"/>
      <c r="Q2083" s="1626"/>
      <c r="R2083" s="1626"/>
      <c r="S2083" s="1626"/>
      <c r="T2083" s="1626"/>
      <c r="U2083" s="1626"/>
      <c r="V2083" s="1626"/>
      <c r="W2083" s="1626"/>
      <c r="X2083" s="1626"/>
      <c r="Y2083" s="1626"/>
      <c r="Z2083" s="1626"/>
      <c r="AA2083" s="1626"/>
      <c r="AB2083" s="1626"/>
      <c r="AC2083" s="1626"/>
      <c r="AD2083" s="1626"/>
      <c r="AE2083" s="1626"/>
      <c r="AF2083" s="1626"/>
      <c r="AG2083" s="1626"/>
      <c r="AH2083" s="1626"/>
      <c r="AI2083" s="1626"/>
      <c r="AJ2083" s="1626"/>
      <c r="AK2083" s="1626"/>
      <c r="AL2083" s="1626"/>
      <c r="AM2083" s="1626"/>
      <c r="AN2083" s="1626"/>
      <c r="AO2083" s="1626"/>
      <c r="AP2083" s="1626"/>
      <c r="AQ2083" s="1626"/>
      <c r="AR2083" s="1626"/>
      <c r="AS2083" s="1626"/>
      <c r="AT2083" s="1626"/>
      <c r="AU2083" s="1626"/>
      <c r="AV2083" s="1626"/>
      <c r="AW2083" s="1626"/>
      <c r="AX2083" s="1626"/>
      <c r="AY2083" s="1626"/>
      <c r="AZ2083" s="1626"/>
      <c r="BA2083" s="1626"/>
      <c r="BB2083" s="1626"/>
      <c r="BC2083" s="1626"/>
      <c r="BD2083" s="1626"/>
      <c r="BE2083" s="1626"/>
      <c r="BF2083" s="1626"/>
      <c r="BG2083" s="1626"/>
      <c r="BH2083" s="1626"/>
      <c r="BI2083" s="1626"/>
      <c r="BJ2083" s="1626"/>
      <c r="BK2083" s="1626"/>
      <c r="BL2083" s="1626"/>
      <c r="BM2083" s="1626"/>
      <c r="BN2083" s="1626"/>
      <c r="BO2083" s="1626"/>
      <c r="BP2083" s="1626"/>
      <c r="BQ2083" s="1626"/>
      <c r="BR2083" s="1626"/>
      <c r="BS2083" s="1626"/>
      <c r="BT2083" s="1626"/>
      <c r="BU2083" s="1626"/>
      <c r="BV2083" s="1626"/>
      <c r="BW2083" s="1626"/>
      <c r="BX2083" s="1626"/>
      <c r="BY2083" s="1626"/>
      <c r="BZ2083" s="1626"/>
      <c r="CA2083" s="1626"/>
      <c r="CB2083" s="1626"/>
      <c r="CC2083" s="1626"/>
      <c r="CD2083" s="1626"/>
      <c r="CE2083" s="1626"/>
      <c r="CF2083" s="1626"/>
      <c r="CG2083" s="1626"/>
      <c r="CH2083" s="1626"/>
      <c r="CI2083" s="1626"/>
      <c r="CJ2083" s="1626"/>
      <c r="CK2083" s="1626"/>
    </row>
    <row r="2084" spans="1:89" s="1108" customFormat="1" ht="17.25" customHeight="1" x14ac:dyDescent="0.25">
      <c r="A2084" s="1107"/>
      <c r="B2084" s="1585" t="s">
        <v>937</v>
      </c>
      <c r="C2084" s="1595">
        <v>1</v>
      </c>
      <c r="D2084" s="1587" t="s">
        <v>47</v>
      </c>
      <c r="E2084" s="1588">
        <v>5000</v>
      </c>
      <c r="F2084" s="1590"/>
      <c r="G2084" s="1590"/>
      <c r="H2084" s="1590"/>
      <c r="I2084" s="1589">
        <f t="shared" si="154"/>
        <v>5000</v>
      </c>
      <c r="J2084" s="1590"/>
      <c r="K2084" s="1589">
        <f t="shared" si="152"/>
        <v>5000</v>
      </c>
      <c r="L2084" s="1589"/>
      <c r="M2084" s="1589"/>
      <c r="N2084" s="1589"/>
      <c r="O2084" s="1591">
        <f t="shared" si="155"/>
        <v>5000</v>
      </c>
      <c r="P2084" s="1592"/>
      <c r="Q2084" s="1626"/>
      <c r="R2084" s="1626"/>
      <c r="S2084" s="1626"/>
      <c r="T2084" s="1626"/>
      <c r="U2084" s="1626"/>
      <c r="V2084" s="1626"/>
      <c r="W2084" s="1626"/>
      <c r="X2084" s="1626"/>
      <c r="Y2084" s="1626"/>
      <c r="Z2084" s="1626"/>
      <c r="AA2084" s="1626"/>
      <c r="AB2084" s="1626"/>
      <c r="AC2084" s="1626"/>
      <c r="AD2084" s="1626"/>
      <c r="AE2084" s="1626"/>
      <c r="AF2084" s="1626"/>
      <c r="AG2084" s="1626"/>
      <c r="AH2084" s="1626"/>
      <c r="AI2084" s="1626"/>
      <c r="AJ2084" s="1626"/>
      <c r="AK2084" s="1626"/>
      <c r="AL2084" s="1626"/>
      <c r="AM2084" s="1626"/>
      <c r="AN2084" s="1626"/>
      <c r="AO2084" s="1626"/>
      <c r="AP2084" s="1626"/>
      <c r="AQ2084" s="1626"/>
      <c r="AR2084" s="1626"/>
      <c r="AS2084" s="1626"/>
      <c r="AT2084" s="1626"/>
      <c r="AU2084" s="1626"/>
      <c r="AV2084" s="1626"/>
      <c r="AW2084" s="1626"/>
      <c r="AX2084" s="1626"/>
      <c r="AY2084" s="1626"/>
      <c r="AZ2084" s="1626"/>
      <c r="BA2084" s="1626"/>
      <c r="BB2084" s="1626"/>
      <c r="BC2084" s="1626"/>
      <c r="BD2084" s="1626"/>
      <c r="BE2084" s="1626"/>
      <c r="BF2084" s="1626"/>
      <c r="BG2084" s="1626"/>
      <c r="BH2084" s="1626"/>
      <c r="BI2084" s="1626"/>
      <c r="BJ2084" s="1626"/>
      <c r="BK2084" s="1626"/>
      <c r="BL2084" s="1626"/>
      <c r="BM2084" s="1626"/>
      <c r="BN2084" s="1626"/>
      <c r="BO2084" s="1626"/>
      <c r="BP2084" s="1626"/>
      <c r="BQ2084" s="1626"/>
      <c r="BR2084" s="1626"/>
      <c r="BS2084" s="1626"/>
      <c r="BT2084" s="1626"/>
      <c r="BU2084" s="1626"/>
      <c r="BV2084" s="1626"/>
      <c r="BW2084" s="1626"/>
      <c r="BX2084" s="1626"/>
      <c r="BY2084" s="1626"/>
      <c r="BZ2084" s="1626"/>
      <c r="CA2084" s="1626"/>
      <c r="CB2084" s="1626"/>
      <c r="CC2084" s="1626"/>
      <c r="CD2084" s="1626"/>
      <c r="CE2084" s="1626"/>
      <c r="CF2084" s="1626"/>
      <c r="CG2084" s="1626"/>
      <c r="CH2084" s="1626"/>
      <c r="CI2084" s="1626"/>
      <c r="CJ2084" s="1626"/>
      <c r="CK2084" s="1626"/>
    </row>
    <row r="2085" spans="1:89" s="1108" customFormat="1" ht="17.25" customHeight="1" x14ac:dyDescent="0.25">
      <c r="A2085" s="1107"/>
      <c r="B2085" s="1585" t="s">
        <v>975</v>
      </c>
      <c r="C2085" s="1595">
        <v>2</v>
      </c>
      <c r="D2085" s="1587" t="s">
        <v>2146</v>
      </c>
      <c r="E2085" s="1588">
        <v>500</v>
      </c>
      <c r="F2085" s="1590"/>
      <c r="G2085" s="1590"/>
      <c r="H2085" s="1590"/>
      <c r="I2085" s="1589">
        <f t="shared" si="154"/>
        <v>1000</v>
      </c>
      <c r="J2085" s="1590"/>
      <c r="K2085" s="1589">
        <f t="shared" si="152"/>
        <v>1000</v>
      </c>
      <c r="L2085" s="1589"/>
      <c r="M2085" s="1589"/>
      <c r="N2085" s="1589"/>
      <c r="O2085" s="1591">
        <f t="shared" si="155"/>
        <v>1000</v>
      </c>
      <c r="P2085" s="1592"/>
      <c r="Q2085" s="1626"/>
      <c r="R2085" s="1626"/>
      <c r="S2085" s="1626"/>
      <c r="T2085" s="1626"/>
      <c r="U2085" s="1626"/>
      <c r="V2085" s="1626"/>
      <c r="W2085" s="1626"/>
      <c r="X2085" s="1626"/>
      <c r="Y2085" s="1626"/>
      <c r="Z2085" s="1626"/>
      <c r="AA2085" s="1626"/>
      <c r="AB2085" s="1626"/>
      <c r="AC2085" s="1626"/>
      <c r="AD2085" s="1626"/>
      <c r="AE2085" s="1626"/>
      <c r="AF2085" s="1626"/>
      <c r="AG2085" s="1626"/>
      <c r="AH2085" s="1626"/>
      <c r="AI2085" s="1626"/>
      <c r="AJ2085" s="1626"/>
      <c r="AK2085" s="1626"/>
      <c r="AL2085" s="1626"/>
      <c r="AM2085" s="1626"/>
      <c r="AN2085" s="1626"/>
      <c r="AO2085" s="1626"/>
      <c r="AP2085" s="1626"/>
      <c r="AQ2085" s="1626"/>
      <c r="AR2085" s="1626"/>
      <c r="AS2085" s="1626"/>
      <c r="AT2085" s="1626"/>
      <c r="AU2085" s="1626"/>
      <c r="AV2085" s="1626"/>
      <c r="AW2085" s="1626"/>
      <c r="AX2085" s="1626"/>
      <c r="AY2085" s="1626"/>
      <c r="AZ2085" s="1626"/>
      <c r="BA2085" s="1626"/>
      <c r="BB2085" s="1626"/>
      <c r="BC2085" s="1626"/>
      <c r="BD2085" s="1626"/>
      <c r="BE2085" s="1626"/>
      <c r="BF2085" s="1626"/>
      <c r="BG2085" s="1626"/>
      <c r="BH2085" s="1626"/>
      <c r="BI2085" s="1626"/>
      <c r="BJ2085" s="1626"/>
      <c r="BK2085" s="1626"/>
      <c r="BL2085" s="1626"/>
      <c r="BM2085" s="1626"/>
      <c r="BN2085" s="1626"/>
      <c r="BO2085" s="1626"/>
      <c r="BP2085" s="1626"/>
      <c r="BQ2085" s="1626"/>
      <c r="BR2085" s="1626"/>
      <c r="BS2085" s="1626"/>
      <c r="BT2085" s="1626"/>
      <c r="BU2085" s="1626"/>
      <c r="BV2085" s="1626"/>
      <c r="BW2085" s="1626"/>
      <c r="BX2085" s="1626"/>
      <c r="BY2085" s="1626"/>
      <c r="BZ2085" s="1626"/>
      <c r="CA2085" s="1626"/>
      <c r="CB2085" s="1626"/>
      <c r="CC2085" s="1626"/>
      <c r="CD2085" s="1626"/>
      <c r="CE2085" s="1626"/>
      <c r="CF2085" s="1626"/>
      <c r="CG2085" s="1626"/>
      <c r="CH2085" s="1626"/>
      <c r="CI2085" s="1626"/>
      <c r="CJ2085" s="1626"/>
      <c r="CK2085" s="1626"/>
    </row>
    <row r="2086" spans="1:89" s="1108" customFormat="1" ht="17.25" customHeight="1" x14ac:dyDescent="0.25">
      <c r="A2086" s="1107"/>
      <c r="B2086" s="1585" t="s">
        <v>976</v>
      </c>
      <c r="C2086" s="1595">
        <v>2</v>
      </c>
      <c r="D2086" s="1587" t="s">
        <v>2146</v>
      </c>
      <c r="E2086" s="1588">
        <v>2500</v>
      </c>
      <c r="F2086" s="1590"/>
      <c r="G2086" s="1590"/>
      <c r="H2086" s="1590"/>
      <c r="I2086" s="1589">
        <f t="shared" si="154"/>
        <v>5000</v>
      </c>
      <c r="J2086" s="1590"/>
      <c r="K2086" s="1589">
        <f t="shared" si="152"/>
        <v>5000</v>
      </c>
      <c r="L2086" s="1589"/>
      <c r="M2086" s="1589"/>
      <c r="N2086" s="1589"/>
      <c r="O2086" s="1591">
        <f t="shared" si="155"/>
        <v>5000</v>
      </c>
      <c r="P2086" s="1592"/>
      <c r="Q2086" s="1626"/>
      <c r="R2086" s="1626"/>
      <c r="S2086" s="1626"/>
      <c r="T2086" s="1626"/>
      <c r="U2086" s="1626"/>
      <c r="V2086" s="1626"/>
      <c r="W2086" s="1626"/>
      <c r="X2086" s="1626"/>
      <c r="Y2086" s="1626"/>
      <c r="Z2086" s="1626"/>
      <c r="AA2086" s="1626"/>
      <c r="AB2086" s="1626"/>
      <c r="AC2086" s="1626"/>
      <c r="AD2086" s="1626"/>
      <c r="AE2086" s="1626"/>
      <c r="AF2086" s="1626"/>
      <c r="AG2086" s="1626"/>
      <c r="AH2086" s="1626"/>
      <c r="AI2086" s="1626"/>
      <c r="AJ2086" s="1626"/>
      <c r="AK2086" s="1626"/>
      <c r="AL2086" s="1626"/>
      <c r="AM2086" s="1626"/>
      <c r="AN2086" s="1626"/>
      <c r="AO2086" s="1626"/>
      <c r="AP2086" s="1626"/>
      <c r="AQ2086" s="1626"/>
      <c r="AR2086" s="1626"/>
      <c r="AS2086" s="1626"/>
      <c r="AT2086" s="1626"/>
      <c r="AU2086" s="1626"/>
      <c r="AV2086" s="1626"/>
      <c r="AW2086" s="1626"/>
      <c r="AX2086" s="1626"/>
      <c r="AY2086" s="1626"/>
      <c r="AZ2086" s="1626"/>
      <c r="BA2086" s="1626"/>
      <c r="BB2086" s="1626"/>
      <c r="BC2086" s="1626"/>
      <c r="BD2086" s="1626"/>
      <c r="BE2086" s="1626"/>
      <c r="BF2086" s="1626"/>
      <c r="BG2086" s="1626"/>
      <c r="BH2086" s="1626"/>
      <c r="BI2086" s="1626"/>
      <c r="BJ2086" s="1626"/>
      <c r="BK2086" s="1626"/>
      <c r="BL2086" s="1626"/>
      <c r="BM2086" s="1626"/>
      <c r="BN2086" s="1626"/>
      <c r="BO2086" s="1626"/>
      <c r="BP2086" s="1626"/>
      <c r="BQ2086" s="1626"/>
      <c r="BR2086" s="1626"/>
      <c r="BS2086" s="1626"/>
      <c r="BT2086" s="1626"/>
      <c r="BU2086" s="1626"/>
      <c r="BV2086" s="1626"/>
      <c r="BW2086" s="1626"/>
      <c r="BX2086" s="1626"/>
      <c r="BY2086" s="1626"/>
      <c r="BZ2086" s="1626"/>
      <c r="CA2086" s="1626"/>
      <c r="CB2086" s="1626"/>
      <c r="CC2086" s="1626"/>
      <c r="CD2086" s="1626"/>
      <c r="CE2086" s="1626"/>
      <c r="CF2086" s="1626"/>
      <c r="CG2086" s="1626"/>
      <c r="CH2086" s="1626"/>
      <c r="CI2086" s="1626"/>
      <c r="CJ2086" s="1626"/>
      <c r="CK2086" s="1626"/>
    </row>
    <row r="2087" spans="1:89" s="1108" customFormat="1" ht="17.25" customHeight="1" x14ac:dyDescent="0.25">
      <c r="A2087" s="1107"/>
      <c r="B2087" s="1585" t="s">
        <v>2124</v>
      </c>
      <c r="C2087" s="1595">
        <v>2</v>
      </c>
      <c r="D2087" s="1587" t="s">
        <v>2146</v>
      </c>
      <c r="E2087" s="1588">
        <v>2500</v>
      </c>
      <c r="F2087" s="1590"/>
      <c r="G2087" s="1590"/>
      <c r="H2087" s="1590"/>
      <c r="I2087" s="1589">
        <f t="shared" si="154"/>
        <v>5000</v>
      </c>
      <c r="J2087" s="1590"/>
      <c r="K2087" s="1589">
        <f t="shared" si="152"/>
        <v>5000</v>
      </c>
      <c r="L2087" s="1589"/>
      <c r="M2087" s="1589"/>
      <c r="N2087" s="1589"/>
      <c r="O2087" s="1591">
        <f t="shared" si="155"/>
        <v>5000</v>
      </c>
      <c r="P2087" s="1592"/>
      <c r="Q2087" s="1626"/>
      <c r="R2087" s="1626"/>
      <c r="S2087" s="1626"/>
      <c r="T2087" s="1626"/>
      <c r="U2087" s="1626"/>
      <c r="V2087" s="1626"/>
      <c r="W2087" s="1626"/>
      <c r="X2087" s="1626"/>
      <c r="Y2087" s="1626"/>
      <c r="Z2087" s="1626"/>
      <c r="AA2087" s="1626"/>
      <c r="AB2087" s="1626"/>
      <c r="AC2087" s="1626"/>
      <c r="AD2087" s="1626"/>
      <c r="AE2087" s="1626"/>
      <c r="AF2087" s="1626"/>
      <c r="AG2087" s="1626"/>
      <c r="AH2087" s="1626"/>
      <c r="AI2087" s="1626"/>
      <c r="AJ2087" s="1626"/>
      <c r="AK2087" s="1626"/>
      <c r="AL2087" s="1626"/>
      <c r="AM2087" s="1626"/>
      <c r="AN2087" s="1626"/>
      <c r="AO2087" s="1626"/>
      <c r="AP2087" s="1626"/>
      <c r="AQ2087" s="1626"/>
      <c r="AR2087" s="1626"/>
      <c r="AS2087" s="1626"/>
      <c r="AT2087" s="1626"/>
      <c r="AU2087" s="1626"/>
      <c r="AV2087" s="1626"/>
      <c r="AW2087" s="1626"/>
      <c r="AX2087" s="1626"/>
      <c r="AY2087" s="1626"/>
      <c r="AZ2087" s="1626"/>
      <c r="BA2087" s="1626"/>
      <c r="BB2087" s="1626"/>
      <c r="BC2087" s="1626"/>
      <c r="BD2087" s="1626"/>
      <c r="BE2087" s="1626"/>
      <c r="BF2087" s="1626"/>
      <c r="BG2087" s="1626"/>
      <c r="BH2087" s="1626"/>
      <c r="BI2087" s="1626"/>
      <c r="BJ2087" s="1626"/>
      <c r="BK2087" s="1626"/>
      <c r="BL2087" s="1626"/>
      <c r="BM2087" s="1626"/>
      <c r="BN2087" s="1626"/>
      <c r="BO2087" s="1626"/>
      <c r="BP2087" s="1626"/>
      <c r="BQ2087" s="1626"/>
      <c r="BR2087" s="1626"/>
      <c r="BS2087" s="1626"/>
      <c r="BT2087" s="1626"/>
      <c r="BU2087" s="1626"/>
      <c r="BV2087" s="1626"/>
      <c r="BW2087" s="1626"/>
      <c r="BX2087" s="1626"/>
      <c r="BY2087" s="1626"/>
      <c r="BZ2087" s="1626"/>
      <c r="CA2087" s="1626"/>
      <c r="CB2087" s="1626"/>
      <c r="CC2087" s="1626"/>
      <c r="CD2087" s="1626"/>
      <c r="CE2087" s="1626"/>
      <c r="CF2087" s="1626"/>
      <c r="CG2087" s="1626"/>
      <c r="CH2087" s="1626"/>
      <c r="CI2087" s="1626"/>
      <c r="CJ2087" s="1626"/>
      <c r="CK2087" s="1626"/>
    </row>
    <row r="2088" spans="1:89" s="1108" customFormat="1" ht="17.25" customHeight="1" x14ac:dyDescent="0.25">
      <c r="A2088" s="1107"/>
      <c r="B2088" s="1585" t="s">
        <v>2125</v>
      </c>
      <c r="C2088" s="1595">
        <v>1</v>
      </c>
      <c r="D2088" s="1587" t="s">
        <v>2146</v>
      </c>
      <c r="E2088" s="1588">
        <v>2500</v>
      </c>
      <c r="F2088" s="1590"/>
      <c r="G2088" s="1590"/>
      <c r="H2088" s="1590"/>
      <c r="I2088" s="1589">
        <f t="shared" si="154"/>
        <v>2500</v>
      </c>
      <c r="J2088" s="1590"/>
      <c r="K2088" s="1589">
        <f t="shared" si="152"/>
        <v>2500</v>
      </c>
      <c r="L2088" s="1589"/>
      <c r="M2088" s="1589"/>
      <c r="N2088" s="1589"/>
      <c r="O2088" s="1591">
        <f t="shared" si="155"/>
        <v>2500</v>
      </c>
      <c r="P2088" s="1592"/>
      <c r="Q2088" s="1626"/>
      <c r="R2088" s="1626"/>
      <c r="S2088" s="1626"/>
      <c r="T2088" s="1626"/>
      <c r="U2088" s="1626"/>
      <c r="V2088" s="1626"/>
      <c r="W2088" s="1626"/>
      <c r="X2088" s="1626"/>
      <c r="Y2088" s="1626"/>
      <c r="Z2088" s="1626"/>
      <c r="AA2088" s="1626"/>
      <c r="AB2088" s="1626"/>
      <c r="AC2088" s="1626"/>
      <c r="AD2088" s="1626"/>
      <c r="AE2088" s="1626"/>
      <c r="AF2088" s="1626"/>
      <c r="AG2088" s="1626"/>
      <c r="AH2088" s="1626"/>
      <c r="AI2088" s="1626"/>
      <c r="AJ2088" s="1626"/>
      <c r="AK2088" s="1626"/>
      <c r="AL2088" s="1626"/>
      <c r="AM2088" s="1626"/>
      <c r="AN2088" s="1626"/>
      <c r="AO2088" s="1626"/>
      <c r="AP2088" s="1626"/>
      <c r="AQ2088" s="1626"/>
      <c r="AR2088" s="1626"/>
      <c r="AS2088" s="1626"/>
      <c r="AT2088" s="1626"/>
      <c r="AU2088" s="1626"/>
      <c r="AV2088" s="1626"/>
      <c r="AW2088" s="1626"/>
      <c r="AX2088" s="1626"/>
      <c r="AY2088" s="1626"/>
      <c r="AZ2088" s="1626"/>
      <c r="BA2088" s="1626"/>
      <c r="BB2088" s="1626"/>
      <c r="BC2088" s="1626"/>
      <c r="BD2088" s="1626"/>
      <c r="BE2088" s="1626"/>
      <c r="BF2088" s="1626"/>
      <c r="BG2088" s="1626"/>
      <c r="BH2088" s="1626"/>
      <c r="BI2088" s="1626"/>
      <c r="BJ2088" s="1626"/>
      <c r="BK2088" s="1626"/>
      <c r="BL2088" s="1626"/>
      <c r="BM2088" s="1626"/>
      <c r="BN2088" s="1626"/>
      <c r="BO2088" s="1626"/>
      <c r="BP2088" s="1626"/>
      <c r="BQ2088" s="1626"/>
      <c r="BR2088" s="1626"/>
      <c r="BS2088" s="1626"/>
      <c r="BT2088" s="1626"/>
      <c r="BU2088" s="1626"/>
      <c r="BV2088" s="1626"/>
      <c r="BW2088" s="1626"/>
      <c r="BX2088" s="1626"/>
      <c r="BY2088" s="1626"/>
      <c r="BZ2088" s="1626"/>
      <c r="CA2088" s="1626"/>
      <c r="CB2088" s="1626"/>
      <c r="CC2088" s="1626"/>
      <c r="CD2088" s="1626"/>
      <c r="CE2088" s="1626"/>
      <c r="CF2088" s="1626"/>
      <c r="CG2088" s="1626"/>
      <c r="CH2088" s="1626"/>
      <c r="CI2088" s="1626"/>
      <c r="CJ2088" s="1626"/>
      <c r="CK2088" s="1626"/>
    </row>
    <row r="2089" spans="1:89" s="1108" customFormat="1" ht="17.25" customHeight="1" x14ac:dyDescent="0.25">
      <c r="A2089" s="1107"/>
      <c r="B2089" s="1585"/>
      <c r="C2089" s="1595"/>
      <c r="D2089" s="1587"/>
      <c r="E2089" s="1588"/>
      <c r="F2089" s="1590"/>
      <c r="G2089" s="1590"/>
      <c r="H2089" s="1590"/>
      <c r="I2089" s="1589"/>
      <c r="J2089" s="1590"/>
      <c r="K2089" s="1589"/>
      <c r="L2089" s="1589"/>
      <c r="M2089" s="1589"/>
      <c r="N2089" s="1589"/>
      <c r="O2089" s="1591"/>
      <c r="P2089" s="1592"/>
      <c r="Q2089" s="1626"/>
      <c r="R2089" s="1626"/>
      <c r="S2089" s="1626"/>
      <c r="T2089" s="1626"/>
      <c r="U2089" s="1626"/>
      <c r="V2089" s="1626"/>
      <c r="W2089" s="1626"/>
      <c r="X2089" s="1626"/>
      <c r="Y2089" s="1626"/>
      <c r="Z2089" s="1626"/>
      <c r="AA2089" s="1626"/>
      <c r="AB2089" s="1626"/>
      <c r="AC2089" s="1626"/>
      <c r="AD2089" s="1626"/>
      <c r="AE2089" s="1626"/>
      <c r="AF2089" s="1626"/>
      <c r="AG2089" s="1626"/>
      <c r="AH2089" s="1626"/>
      <c r="AI2089" s="1626"/>
      <c r="AJ2089" s="1626"/>
      <c r="AK2089" s="1626"/>
      <c r="AL2089" s="1626"/>
      <c r="AM2089" s="1626"/>
      <c r="AN2089" s="1626"/>
      <c r="AO2089" s="1626"/>
      <c r="AP2089" s="1626"/>
      <c r="AQ2089" s="1626"/>
      <c r="AR2089" s="1626"/>
      <c r="AS2089" s="1626"/>
      <c r="AT2089" s="1626"/>
      <c r="AU2089" s="1626"/>
      <c r="AV2089" s="1626"/>
      <c r="AW2089" s="1626"/>
      <c r="AX2089" s="1626"/>
      <c r="AY2089" s="1626"/>
      <c r="AZ2089" s="1626"/>
      <c r="BA2089" s="1626"/>
      <c r="BB2089" s="1626"/>
      <c r="BC2089" s="1626"/>
      <c r="BD2089" s="1626"/>
      <c r="BE2089" s="1626"/>
      <c r="BF2089" s="1626"/>
      <c r="BG2089" s="1626"/>
      <c r="BH2089" s="1626"/>
      <c r="BI2089" s="1626"/>
      <c r="BJ2089" s="1626"/>
      <c r="BK2089" s="1626"/>
      <c r="BL2089" s="1626"/>
      <c r="BM2089" s="1626"/>
      <c r="BN2089" s="1626"/>
      <c r="BO2089" s="1626"/>
      <c r="BP2089" s="1626"/>
      <c r="BQ2089" s="1626"/>
      <c r="BR2089" s="1626"/>
      <c r="BS2089" s="1626"/>
      <c r="BT2089" s="1626"/>
      <c r="BU2089" s="1626"/>
      <c r="BV2089" s="1626"/>
      <c r="BW2089" s="1626"/>
      <c r="BX2089" s="1626"/>
      <c r="BY2089" s="1626"/>
      <c r="BZ2089" s="1626"/>
      <c r="CA2089" s="1626"/>
      <c r="CB2089" s="1626"/>
      <c r="CC2089" s="1626"/>
      <c r="CD2089" s="1626"/>
      <c r="CE2089" s="1626"/>
      <c r="CF2089" s="1626"/>
      <c r="CG2089" s="1626"/>
      <c r="CH2089" s="1626"/>
      <c r="CI2089" s="1626"/>
      <c r="CJ2089" s="1626"/>
      <c r="CK2089" s="1626"/>
    </row>
    <row r="2090" spans="1:89" s="1108" customFormat="1" ht="17.25" customHeight="1" x14ac:dyDescent="0.25">
      <c r="A2090" s="1107"/>
      <c r="B2090" s="1585" t="s">
        <v>938</v>
      </c>
      <c r="C2090" s="1595">
        <v>4</v>
      </c>
      <c r="D2090" s="1587" t="s">
        <v>2146</v>
      </c>
      <c r="E2090" s="1588">
        <v>570</v>
      </c>
      <c r="F2090" s="1590"/>
      <c r="G2090" s="1590"/>
      <c r="H2090" s="1590"/>
      <c r="I2090" s="1589">
        <f t="shared" si="154"/>
        <v>2280</v>
      </c>
      <c r="J2090" s="1590"/>
      <c r="K2090" s="1589">
        <f t="shared" si="152"/>
        <v>2280</v>
      </c>
      <c r="L2090" s="1589"/>
      <c r="M2090" s="1589"/>
      <c r="N2090" s="1589"/>
      <c r="O2090" s="1591">
        <f t="shared" si="155"/>
        <v>2280</v>
      </c>
      <c r="P2090" s="1592"/>
      <c r="Q2090" s="1626"/>
      <c r="R2090" s="1626"/>
      <c r="S2090" s="1626"/>
      <c r="T2090" s="1626"/>
      <c r="U2090" s="1626"/>
      <c r="V2090" s="1626"/>
      <c r="W2090" s="1626"/>
      <c r="X2090" s="1626"/>
      <c r="Y2090" s="1626"/>
      <c r="Z2090" s="1626"/>
      <c r="AA2090" s="1626"/>
      <c r="AB2090" s="1626"/>
      <c r="AC2090" s="1626"/>
      <c r="AD2090" s="1626"/>
      <c r="AE2090" s="1626"/>
      <c r="AF2090" s="1626"/>
      <c r="AG2090" s="1626"/>
      <c r="AH2090" s="1626"/>
      <c r="AI2090" s="1626"/>
      <c r="AJ2090" s="1626"/>
      <c r="AK2090" s="1626"/>
      <c r="AL2090" s="1626"/>
      <c r="AM2090" s="1626"/>
      <c r="AN2090" s="1626"/>
      <c r="AO2090" s="1626"/>
      <c r="AP2090" s="1626"/>
      <c r="AQ2090" s="1626"/>
      <c r="AR2090" s="1626"/>
      <c r="AS2090" s="1626"/>
      <c r="AT2090" s="1626"/>
      <c r="AU2090" s="1626"/>
      <c r="AV2090" s="1626"/>
      <c r="AW2090" s="1626"/>
      <c r="AX2090" s="1626"/>
      <c r="AY2090" s="1626"/>
      <c r="AZ2090" s="1626"/>
      <c r="BA2090" s="1626"/>
      <c r="BB2090" s="1626"/>
      <c r="BC2090" s="1626"/>
      <c r="BD2090" s="1626"/>
      <c r="BE2090" s="1626"/>
      <c r="BF2090" s="1626"/>
      <c r="BG2090" s="1626"/>
      <c r="BH2090" s="1626"/>
      <c r="BI2090" s="1626"/>
      <c r="BJ2090" s="1626"/>
      <c r="BK2090" s="1626"/>
      <c r="BL2090" s="1626"/>
      <c r="BM2090" s="1626"/>
      <c r="BN2090" s="1626"/>
      <c r="BO2090" s="1626"/>
      <c r="BP2090" s="1626"/>
      <c r="BQ2090" s="1626"/>
      <c r="BR2090" s="1626"/>
      <c r="BS2090" s="1626"/>
      <c r="BT2090" s="1626"/>
      <c r="BU2090" s="1626"/>
      <c r="BV2090" s="1626"/>
      <c r="BW2090" s="1626"/>
      <c r="BX2090" s="1626"/>
      <c r="BY2090" s="1626"/>
      <c r="BZ2090" s="1626"/>
      <c r="CA2090" s="1626"/>
      <c r="CB2090" s="1626"/>
      <c r="CC2090" s="1626"/>
      <c r="CD2090" s="1626"/>
      <c r="CE2090" s="1626"/>
      <c r="CF2090" s="1626"/>
      <c r="CG2090" s="1626"/>
      <c r="CH2090" s="1626"/>
      <c r="CI2090" s="1626"/>
      <c r="CJ2090" s="1626"/>
      <c r="CK2090" s="1626"/>
    </row>
    <row r="2091" spans="1:89" s="1108" customFormat="1" ht="17.25" customHeight="1" x14ac:dyDescent="0.25">
      <c r="A2091" s="1107"/>
      <c r="B2091" s="1624" t="s">
        <v>939</v>
      </c>
      <c r="C2091" s="1595"/>
      <c r="D2091" s="1587"/>
      <c r="E2091" s="1588"/>
      <c r="F2091" s="1590"/>
      <c r="G2091" s="1590"/>
      <c r="H2091" s="1590"/>
      <c r="I2091" s="1589"/>
      <c r="J2091" s="1590"/>
      <c r="K2091" s="1589"/>
      <c r="L2091" s="1589"/>
      <c r="M2091" s="1589"/>
      <c r="N2091" s="1589"/>
      <c r="O2091" s="1591"/>
      <c r="P2091" s="1592"/>
      <c r="Q2091" s="1626"/>
      <c r="R2091" s="1626"/>
      <c r="S2091" s="1626"/>
      <c r="T2091" s="1626"/>
      <c r="U2091" s="1626"/>
      <c r="V2091" s="1626"/>
      <c r="W2091" s="1626"/>
      <c r="X2091" s="1626"/>
      <c r="Y2091" s="1626"/>
      <c r="Z2091" s="1626"/>
      <c r="AA2091" s="1626"/>
      <c r="AB2091" s="1626"/>
      <c r="AC2091" s="1626"/>
      <c r="AD2091" s="1626"/>
      <c r="AE2091" s="1626"/>
      <c r="AF2091" s="1626"/>
      <c r="AG2091" s="1626"/>
      <c r="AH2091" s="1626"/>
      <c r="AI2091" s="1626"/>
      <c r="AJ2091" s="1626"/>
      <c r="AK2091" s="1626"/>
      <c r="AL2091" s="1626"/>
      <c r="AM2091" s="1626"/>
      <c r="AN2091" s="1626"/>
      <c r="AO2091" s="1626"/>
      <c r="AP2091" s="1626"/>
      <c r="AQ2091" s="1626"/>
      <c r="AR2091" s="1626"/>
      <c r="AS2091" s="1626"/>
      <c r="AT2091" s="1626"/>
      <c r="AU2091" s="1626"/>
      <c r="AV2091" s="1626"/>
      <c r="AW2091" s="1626"/>
      <c r="AX2091" s="1626"/>
      <c r="AY2091" s="1626"/>
      <c r="AZ2091" s="1626"/>
      <c r="BA2091" s="1626"/>
      <c r="BB2091" s="1626"/>
      <c r="BC2091" s="1626"/>
      <c r="BD2091" s="1626"/>
      <c r="BE2091" s="1626"/>
      <c r="BF2091" s="1626"/>
      <c r="BG2091" s="1626"/>
      <c r="BH2091" s="1626"/>
      <c r="BI2091" s="1626"/>
      <c r="BJ2091" s="1626"/>
      <c r="BK2091" s="1626"/>
      <c r="BL2091" s="1626"/>
      <c r="BM2091" s="1626"/>
      <c r="BN2091" s="1626"/>
      <c r="BO2091" s="1626"/>
      <c r="BP2091" s="1626"/>
      <c r="BQ2091" s="1626"/>
      <c r="BR2091" s="1626"/>
      <c r="BS2091" s="1626"/>
      <c r="BT2091" s="1626"/>
      <c r="BU2091" s="1626"/>
      <c r="BV2091" s="1626"/>
      <c r="BW2091" s="1626"/>
      <c r="BX2091" s="1626"/>
      <c r="BY2091" s="1626"/>
      <c r="BZ2091" s="1626"/>
      <c r="CA2091" s="1626"/>
      <c r="CB2091" s="1626"/>
      <c r="CC2091" s="1626"/>
      <c r="CD2091" s="1626"/>
      <c r="CE2091" s="1626"/>
      <c r="CF2091" s="1626"/>
      <c r="CG2091" s="1626"/>
      <c r="CH2091" s="1626"/>
      <c r="CI2091" s="1626"/>
      <c r="CJ2091" s="1626"/>
      <c r="CK2091" s="1626"/>
    </row>
    <row r="2092" spans="1:89" s="1108" customFormat="1" ht="17.25" customHeight="1" x14ac:dyDescent="0.25">
      <c r="A2092" s="1107"/>
      <c r="B2092" s="1585" t="s">
        <v>939</v>
      </c>
      <c r="C2092" s="1595">
        <v>1</v>
      </c>
      <c r="D2092" s="1587" t="s">
        <v>47</v>
      </c>
      <c r="E2092" s="1588">
        <v>2175</v>
      </c>
      <c r="F2092" s="1590"/>
      <c r="G2092" s="1590"/>
      <c r="H2092" s="1590"/>
      <c r="I2092" s="1589">
        <f t="shared" si="154"/>
        <v>2175</v>
      </c>
      <c r="J2092" s="1590"/>
      <c r="K2092" s="1589">
        <f t="shared" ref="K2092:K2102" si="156">I2092+J2092</f>
        <v>2175</v>
      </c>
      <c r="L2092" s="1589"/>
      <c r="M2092" s="1589"/>
      <c r="N2092" s="1589"/>
      <c r="O2092" s="1591">
        <f t="shared" si="155"/>
        <v>2175</v>
      </c>
      <c r="P2092" s="1592"/>
      <c r="Q2092" s="1626"/>
      <c r="R2092" s="1626"/>
      <c r="S2092" s="1626"/>
      <c r="T2092" s="1626"/>
      <c r="U2092" s="1626"/>
      <c r="V2092" s="1626"/>
      <c r="W2092" s="1626"/>
      <c r="X2092" s="1626"/>
      <c r="Y2092" s="1626"/>
      <c r="Z2092" s="1626"/>
      <c r="AA2092" s="1626"/>
      <c r="AB2092" s="1626"/>
      <c r="AC2092" s="1626"/>
      <c r="AD2092" s="1626"/>
      <c r="AE2092" s="1626"/>
      <c r="AF2092" s="1626"/>
      <c r="AG2092" s="1626"/>
      <c r="AH2092" s="1626"/>
      <c r="AI2092" s="1626"/>
      <c r="AJ2092" s="1626"/>
      <c r="AK2092" s="1626"/>
      <c r="AL2092" s="1626"/>
      <c r="AM2092" s="1626"/>
      <c r="AN2092" s="1626"/>
      <c r="AO2092" s="1626"/>
      <c r="AP2092" s="1626"/>
      <c r="AQ2092" s="1626"/>
      <c r="AR2092" s="1626"/>
      <c r="AS2092" s="1626"/>
      <c r="AT2092" s="1626"/>
      <c r="AU2092" s="1626"/>
      <c r="AV2092" s="1626"/>
      <c r="AW2092" s="1626"/>
      <c r="AX2092" s="1626"/>
      <c r="AY2092" s="1626"/>
      <c r="AZ2092" s="1626"/>
      <c r="BA2092" s="1626"/>
      <c r="BB2092" s="1626"/>
      <c r="BC2092" s="1626"/>
      <c r="BD2092" s="1626"/>
      <c r="BE2092" s="1626"/>
      <c r="BF2092" s="1626"/>
      <c r="BG2092" s="1626"/>
      <c r="BH2092" s="1626"/>
      <c r="BI2092" s="1626"/>
      <c r="BJ2092" s="1626"/>
      <c r="BK2092" s="1626"/>
      <c r="BL2092" s="1626"/>
      <c r="BM2092" s="1626"/>
      <c r="BN2092" s="1626"/>
      <c r="BO2092" s="1626"/>
      <c r="BP2092" s="1626"/>
      <c r="BQ2092" s="1626"/>
      <c r="BR2092" s="1626"/>
      <c r="BS2092" s="1626"/>
      <c r="BT2092" s="1626"/>
      <c r="BU2092" s="1626"/>
      <c r="BV2092" s="1626"/>
      <c r="BW2092" s="1626"/>
      <c r="BX2092" s="1626"/>
      <c r="BY2092" s="1626"/>
      <c r="BZ2092" s="1626"/>
      <c r="CA2092" s="1626"/>
      <c r="CB2092" s="1626"/>
      <c r="CC2092" s="1626"/>
      <c r="CD2092" s="1626"/>
      <c r="CE2092" s="1626"/>
      <c r="CF2092" s="1626"/>
      <c r="CG2092" s="1626"/>
      <c r="CH2092" s="1626"/>
      <c r="CI2092" s="1626"/>
      <c r="CJ2092" s="1626"/>
      <c r="CK2092" s="1626"/>
    </row>
    <row r="2093" spans="1:89" s="1108" customFormat="1" ht="17.25" customHeight="1" x14ac:dyDescent="0.25">
      <c r="A2093" s="1107"/>
      <c r="B2093" s="1585" t="s">
        <v>2126</v>
      </c>
      <c r="C2093" s="1595">
        <f>7+4+3</f>
        <v>14</v>
      </c>
      <c r="D2093" s="1587" t="s">
        <v>2146</v>
      </c>
      <c r="E2093" s="1588">
        <v>680</v>
      </c>
      <c r="F2093" s="1590"/>
      <c r="G2093" s="1590"/>
      <c r="H2093" s="1590"/>
      <c r="I2093" s="1589">
        <f t="shared" si="154"/>
        <v>9520</v>
      </c>
      <c r="J2093" s="1590"/>
      <c r="K2093" s="1589">
        <f t="shared" si="156"/>
        <v>9520</v>
      </c>
      <c r="L2093" s="1589"/>
      <c r="M2093" s="1589"/>
      <c r="N2093" s="1589"/>
      <c r="O2093" s="1591">
        <f t="shared" si="155"/>
        <v>9520</v>
      </c>
      <c r="P2093" s="1592"/>
      <c r="Q2093" s="1626"/>
      <c r="R2093" s="1626"/>
      <c r="S2093" s="1626"/>
      <c r="T2093" s="1626"/>
      <c r="U2093" s="1626"/>
      <c r="V2093" s="1626"/>
      <c r="W2093" s="1626"/>
      <c r="X2093" s="1626"/>
      <c r="Y2093" s="1626"/>
      <c r="Z2093" s="1626"/>
      <c r="AA2093" s="1626"/>
      <c r="AB2093" s="1626"/>
      <c r="AC2093" s="1626"/>
      <c r="AD2093" s="1626"/>
      <c r="AE2093" s="1626"/>
      <c r="AF2093" s="1626"/>
      <c r="AG2093" s="1626"/>
      <c r="AH2093" s="1626"/>
      <c r="AI2093" s="1626"/>
      <c r="AJ2093" s="1626"/>
      <c r="AK2093" s="1626"/>
      <c r="AL2093" s="1626"/>
      <c r="AM2093" s="1626"/>
      <c r="AN2093" s="1626"/>
      <c r="AO2093" s="1626"/>
      <c r="AP2093" s="1626"/>
      <c r="AQ2093" s="1626"/>
      <c r="AR2093" s="1626"/>
      <c r="AS2093" s="1626"/>
      <c r="AT2093" s="1626"/>
      <c r="AU2093" s="1626"/>
      <c r="AV2093" s="1626"/>
      <c r="AW2093" s="1626"/>
      <c r="AX2093" s="1626"/>
      <c r="AY2093" s="1626"/>
      <c r="AZ2093" s="1626"/>
      <c r="BA2093" s="1626"/>
      <c r="BB2093" s="1626"/>
      <c r="BC2093" s="1626"/>
      <c r="BD2093" s="1626"/>
      <c r="BE2093" s="1626"/>
      <c r="BF2093" s="1626"/>
      <c r="BG2093" s="1626"/>
      <c r="BH2093" s="1626"/>
      <c r="BI2093" s="1626"/>
      <c r="BJ2093" s="1626"/>
      <c r="BK2093" s="1626"/>
      <c r="BL2093" s="1626"/>
      <c r="BM2093" s="1626"/>
      <c r="BN2093" s="1626"/>
      <c r="BO2093" s="1626"/>
      <c r="BP2093" s="1626"/>
      <c r="BQ2093" s="1626"/>
      <c r="BR2093" s="1626"/>
      <c r="BS2093" s="1626"/>
      <c r="BT2093" s="1626"/>
      <c r="BU2093" s="1626"/>
      <c r="BV2093" s="1626"/>
      <c r="BW2093" s="1626"/>
      <c r="BX2093" s="1626"/>
      <c r="BY2093" s="1626"/>
      <c r="BZ2093" s="1626"/>
      <c r="CA2093" s="1626"/>
      <c r="CB2093" s="1626"/>
      <c r="CC2093" s="1626"/>
      <c r="CD2093" s="1626"/>
      <c r="CE2093" s="1626"/>
      <c r="CF2093" s="1626"/>
      <c r="CG2093" s="1626"/>
      <c r="CH2093" s="1626"/>
      <c r="CI2093" s="1626"/>
      <c r="CJ2093" s="1626"/>
      <c r="CK2093" s="1626"/>
    </row>
    <row r="2094" spans="1:89" s="1108" customFormat="1" ht="17.25" customHeight="1" x14ac:dyDescent="0.25">
      <c r="A2094" s="1625"/>
      <c r="B2094" s="1585" t="s">
        <v>2127</v>
      </c>
      <c r="C2094" s="1595">
        <v>7</v>
      </c>
      <c r="D2094" s="1587" t="s">
        <v>2146</v>
      </c>
      <c r="E2094" s="1588">
        <v>650</v>
      </c>
      <c r="F2094" s="1590"/>
      <c r="G2094" s="1590"/>
      <c r="H2094" s="1590"/>
      <c r="I2094" s="1589">
        <f t="shared" si="154"/>
        <v>4550</v>
      </c>
      <c r="J2094" s="1590"/>
      <c r="K2094" s="1589">
        <f t="shared" si="156"/>
        <v>4550</v>
      </c>
      <c r="L2094" s="1589"/>
      <c r="M2094" s="1589"/>
      <c r="N2094" s="1589"/>
      <c r="O2094" s="1591">
        <f t="shared" si="155"/>
        <v>4550</v>
      </c>
      <c r="P2094" s="1592"/>
      <c r="Q2094" s="1626"/>
      <c r="R2094" s="1626"/>
      <c r="S2094" s="1626"/>
      <c r="T2094" s="1626"/>
      <c r="U2094" s="1626"/>
      <c r="V2094" s="1626"/>
      <c r="W2094" s="1626"/>
      <c r="X2094" s="1626"/>
      <c r="Y2094" s="1626"/>
      <c r="Z2094" s="1626"/>
      <c r="AA2094" s="1626"/>
      <c r="AB2094" s="1626"/>
      <c r="AC2094" s="1626"/>
      <c r="AD2094" s="1626"/>
      <c r="AE2094" s="1626"/>
      <c r="AF2094" s="1626"/>
      <c r="AG2094" s="1626"/>
      <c r="AH2094" s="1626"/>
      <c r="AI2094" s="1626"/>
      <c r="AJ2094" s="1626"/>
      <c r="AK2094" s="1626"/>
      <c r="AL2094" s="1626"/>
      <c r="AM2094" s="1626"/>
      <c r="AN2094" s="1626"/>
      <c r="AO2094" s="1626"/>
      <c r="AP2094" s="1626"/>
      <c r="AQ2094" s="1626"/>
      <c r="AR2094" s="1626"/>
      <c r="AS2094" s="1626"/>
      <c r="AT2094" s="1626"/>
      <c r="AU2094" s="1626"/>
      <c r="AV2094" s="1626"/>
      <c r="AW2094" s="1626"/>
      <c r="AX2094" s="1626"/>
      <c r="AY2094" s="1626"/>
      <c r="AZ2094" s="1626"/>
      <c r="BA2094" s="1626"/>
      <c r="BB2094" s="1626"/>
      <c r="BC2094" s="1626"/>
      <c r="BD2094" s="1626"/>
      <c r="BE2094" s="1626"/>
      <c r="BF2094" s="1626"/>
      <c r="BG2094" s="1626"/>
      <c r="BH2094" s="1626"/>
      <c r="BI2094" s="1626"/>
      <c r="BJ2094" s="1626"/>
      <c r="BK2094" s="1626"/>
      <c r="BL2094" s="1626"/>
      <c r="BM2094" s="1626"/>
      <c r="BN2094" s="1626"/>
      <c r="BO2094" s="1626"/>
      <c r="BP2094" s="1626"/>
      <c r="BQ2094" s="1626"/>
      <c r="BR2094" s="1626"/>
      <c r="BS2094" s="1626"/>
      <c r="BT2094" s="1626"/>
      <c r="BU2094" s="1626"/>
      <c r="BV2094" s="1626"/>
      <c r="BW2094" s="1626"/>
      <c r="BX2094" s="1626"/>
      <c r="BY2094" s="1626"/>
      <c r="BZ2094" s="1626"/>
      <c r="CA2094" s="1626"/>
      <c r="CB2094" s="1626"/>
      <c r="CC2094" s="1626"/>
      <c r="CD2094" s="1626"/>
      <c r="CE2094" s="1626"/>
      <c r="CF2094" s="1626"/>
      <c r="CG2094" s="1626"/>
      <c r="CH2094" s="1626"/>
      <c r="CI2094" s="1626"/>
      <c r="CJ2094" s="1626"/>
      <c r="CK2094" s="1626"/>
    </row>
    <row r="2095" spans="1:89" s="1108" customFormat="1" ht="17.25" customHeight="1" x14ac:dyDescent="0.25">
      <c r="A2095" s="1107"/>
      <c r="B2095" s="1585" t="s">
        <v>2128</v>
      </c>
      <c r="C2095" s="1595">
        <v>1</v>
      </c>
      <c r="D2095" s="1587" t="s">
        <v>2146</v>
      </c>
      <c r="E2095" s="1588">
        <v>6740</v>
      </c>
      <c r="F2095" s="1590"/>
      <c r="G2095" s="1590"/>
      <c r="H2095" s="1590"/>
      <c r="I2095" s="1589">
        <f t="shared" si="154"/>
        <v>6740</v>
      </c>
      <c r="J2095" s="1590"/>
      <c r="K2095" s="1589">
        <f t="shared" si="156"/>
        <v>6740</v>
      </c>
      <c r="L2095" s="1589"/>
      <c r="M2095" s="1589"/>
      <c r="N2095" s="1589"/>
      <c r="O2095" s="1591">
        <f t="shared" si="155"/>
        <v>6740</v>
      </c>
      <c r="P2095" s="1592"/>
      <c r="Q2095" s="1626"/>
      <c r="R2095" s="1626"/>
      <c r="S2095" s="1626"/>
      <c r="T2095" s="1626"/>
      <c r="U2095" s="1626"/>
      <c r="V2095" s="1626"/>
      <c r="W2095" s="1626"/>
      <c r="X2095" s="1626"/>
      <c r="Y2095" s="1626"/>
      <c r="Z2095" s="1626"/>
      <c r="AA2095" s="1626"/>
      <c r="AB2095" s="1626"/>
      <c r="AC2095" s="1626"/>
      <c r="AD2095" s="1626"/>
      <c r="AE2095" s="1626"/>
      <c r="AF2095" s="1626"/>
      <c r="AG2095" s="1626"/>
      <c r="AH2095" s="1626"/>
      <c r="AI2095" s="1626"/>
      <c r="AJ2095" s="1626"/>
      <c r="AK2095" s="1626"/>
      <c r="AL2095" s="1626"/>
      <c r="AM2095" s="1626"/>
      <c r="AN2095" s="1626"/>
      <c r="AO2095" s="1626"/>
      <c r="AP2095" s="1626"/>
      <c r="AQ2095" s="1626"/>
      <c r="AR2095" s="1626"/>
      <c r="AS2095" s="1626"/>
      <c r="AT2095" s="1626"/>
      <c r="AU2095" s="1626"/>
      <c r="AV2095" s="1626"/>
      <c r="AW2095" s="1626"/>
      <c r="AX2095" s="1626"/>
      <c r="AY2095" s="1626"/>
      <c r="AZ2095" s="1626"/>
      <c r="BA2095" s="1626"/>
      <c r="BB2095" s="1626"/>
      <c r="BC2095" s="1626"/>
      <c r="BD2095" s="1626"/>
      <c r="BE2095" s="1626"/>
      <c r="BF2095" s="1626"/>
      <c r="BG2095" s="1626"/>
      <c r="BH2095" s="1626"/>
      <c r="BI2095" s="1626"/>
      <c r="BJ2095" s="1626"/>
      <c r="BK2095" s="1626"/>
      <c r="BL2095" s="1626"/>
      <c r="BM2095" s="1626"/>
      <c r="BN2095" s="1626"/>
      <c r="BO2095" s="1626"/>
      <c r="BP2095" s="1626"/>
      <c r="BQ2095" s="1626"/>
      <c r="BR2095" s="1626"/>
      <c r="BS2095" s="1626"/>
      <c r="BT2095" s="1626"/>
      <c r="BU2095" s="1626"/>
      <c r="BV2095" s="1626"/>
      <c r="BW2095" s="1626"/>
      <c r="BX2095" s="1626"/>
      <c r="BY2095" s="1626"/>
      <c r="BZ2095" s="1626"/>
      <c r="CA2095" s="1626"/>
      <c r="CB2095" s="1626"/>
      <c r="CC2095" s="1626"/>
      <c r="CD2095" s="1626"/>
      <c r="CE2095" s="1626"/>
      <c r="CF2095" s="1626"/>
      <c r="CG2095" s="1626"/>
      <c r="CH2095" s="1626"/>
      <c r="CI2095" s="1626"/>
      <c r="CJ2095" s="1626"/>
      <c r="CK2095" s="1626"/>
    </row>
    <row r="2096" spans="1:89" s="1108" customFormat="1" ht="17.25" customHeight="1" x14ac:dyDescent="0.25">
      <c r="A2096" s="1107"/>
      <c r="B2096" s="1585"/>
      <c r="C2096" s="1595"/>
      <c r="D2096" s="1587"/>
      <c r="E2096" s="1588"/>
      <c r="F2096" s="1590"/>
      <c r="G2096" s="1590"/>
      <c r="H2096" s="1590"/>
      <c r="I2096" s="1589"/>
      <c r="J2096" s="1590"/>
      <c r="K2096" s="1589"/>
      <c r="L2096" s="1589"/>
      <c r="M2096" s="1589"/>
      <c r="N2096" s="1589"/>
      <c r="O2096" s="1591"/>
      <c r="P2096" s="1592"/>
      <c r="Q2096" s="1626"/>
      <c r="R2096" s="1626"/>
      <c r="S2096" s="1626"/>
      <c r="T2096" s="1626"/>
      <c r="U2096" s="1626"/>
      <c r="V2096" s="1626"/>
      <c r="W2096" s="1626"/>
      <c r="X2096" s="1626"/>
      <c r="Y2096" s="1626"/>
      <c r="Z2096" s="1626"/>
      <c r="AA2096" s="1626"/>
      <c r="AB2096" s="1626"/>
      <c r="AC2096" s="1626"/>
      <c r="AD2096" s="1626"/>
      <c r="AE2096" s="1626"/>
      <c r="AF2096" s="1626"/>
      <c r="AG2096" s="1626"/>
      <c r="AH2096" s="1626"/>
      <c r="AI2096" s="1626"/>
      <c r="AJ2096" s="1626"/>
      <c r="AK2096" s="1626"/>
      <c r="AL2096" s="1626"/>
      <c r="AM2096" s="1626"/>
      <c r="AN2096" s="1626"/>
      <c r="AO2096" s="1626"/>
      <c r="AP2096" s="1626"/>
      <c r="AQ2096" s="1626"/>
      <c r="AR2096" s="1626"/>
      <c r="AS2096" s="1626"/>
      <c r="AT2096" s="1626"/>
      <c r="AU2096" s="1626"/>
      <c r="AV2096" s="1626"/>
      <c r="AW2096" s="1626"/>
      <c r="AX2096" s="1626"/>
      <c r="AY2096" s="1626"/>
      <c r="AZ2096" s="1626"/>
      <c r="BA2096" s="1626"/>
      <c r="BB2096" s="1626"/>
      <c r="BC2096" s="1626"/>
      <c r="BD2096" s="1626"/>
      <c r="BE2096" s="1626"/>
      <c r="BF2096" s="1626"/>
      <c r="BG2096" s="1626"/>
      <c r="BH2096" s="1626"/>
      <c r="BI2096" s="1626"/>
      <c r="BJ2096" s="1626"/>
      <c r="BK2096" s="1626"/>
      <c r="BL2096" s="1626"/>
      <c r="BM2096" s="1626"/>
      <c r="BN2096" s="1626"/>
      <c r="BO2096" s="1626"/>
      <c r="BP2096" s="1626"/>
      <c r="BQ2096" s="1626"/>
      <c r="BR2096" s="1626"/>
      <c r="BS2096" s="1626"/>
      <c r="BT2096" s="1626"/>
      <c r="BU2096" s="1626"/>
      <c r="BV2096" s="1626"/>
      <c r="BW2096" s="1626"/>
      <c r="BX2096" s="1626"/>
      <c r="BY2096" s="1626"/>
      <c r="BZ2096" s="1626"/>
      <c r="CA2096" s="1626"/>
      <c r="CB2096" s="1626"/>
      <c r="CC2096" s="1626"/>
      <c r="CD2096" s="1626"/>
      <c r="CE2096" s="1626"/>
      <c r="CF2096" s="1626"/>
      <c r="CG2096" s="1626"/>
      <c r="CH2096" s="1626"/>
      <c r="CI2096" s="1626"/>
      <c r="CJ2096" s="1626"/>
      <c r="CK2096" s="1626"/>
    </row>
    <row r="2097" spans="1:89" s="1108" customFormat="1" ht="17.25" customHeight="1" x14ac:dyDescent="0.25">
      <c r="A2097" s="1107"/>
      <c r="B2097" s="1585" t="s">
        <v>48</v>
      </c>
      <c r="C2097" s="1595"/>
      <c r="D2097" s="1587"/>
      <c r="E2097" s="1588"/>
      <c r="F2097" s="1590"/>
      <c r="G2097" s="1590"/>
      <c r="H2097" s="1590"/>
      <c r="I2097" s="1589"/>
      <c r="J2097" s="1590"/>
      <c r="K2097" s="1589"/>
      <c r="L2097" s="1589"/>
      <c r="M2097" s="1589"/>
      <c r="N2097" s="1589"/>
      <c r="O2097" s="1591"/>
      <c r="P2097" s="1592"/>
      <c r="Q2097" s="1626"/>
      <c r="R2097" s="1626"/>
      <c r="S2097" s="1626"/>
      <c r="T2097" s="1626"/>
      <c r="U2097" s="1626"/>
      <c r="V2097" s="1626"/>
      <c r="W2097" s="1626"/>
      <c r="X2097" s="1626"/>
      <c r="Y2097" s="1626"/>
      <c r="Z2097" s="1626"/>
      <c r="AA2097" s="1626"/>
      <c r="AB2097" s="1626"/>
      <c r="AC2097" s="1626"/>
      <c r="AD2097" s="1626"/>
      <c r="AE2097" s="1626"/>
      <c r="AF2097" s="1626"/>
      <c r="AG2097" s="1626"/>
      <c r="AH2097" s="1626"/>
      <c r="AI2097" s="1626"/>
      <c r="AJ2097" s="1626"/>
      <c r="AK2097" s="1626"/>
      <c r="AL2097" s="1626"/>
      <c r="AM2097" s="1626"/>
      <c r="AN2097" s="1626"/>
      <c r="AO2097" s="1626"/>
      <c r="AP2097" s="1626"/>
      <c r="AQ2097" s="1626"/>
      <c r="AR2097" s="1626"/>
      <c r="AS2097" s="1626"/>
      <c r="AT2097" s="1626"/>
      <c r="AU2097" s="1626"/>
      <c r="AV2097" s="1626"/>
      <c r="AW2097" s="1626"/>
      <c r="AX2097" s="1626"/>
      <c r="AY2097" s="1626"/>
      <c r="AZ2097" s="1626"/>
      <c r="BA2097" s="1626"/>
      <c r="BB2097" s="1626"/>
      <c r="BC2097" s="1626"/>
      <c r="BD2097" s="1626"/>
      <c r="BE2097" s="1626"/>
      <c r="BF2097" s="1626"/>
      <c r="BG2097" s="1626"/>
      <c r="BH2097" s="1626"/>
      <c r="BI2097" s="1626"/>
      <c r="BJ2097" s="1626"/>
      <c r="BK2097" s="1626"/>
      <c r="BL2097" s="1626"/>
      <c r="BM2097" s="1626"/>
      <c r="BN2097" s="1626"/>
      <c r="BO2097" s="1626"/>
      <c r="BP2097" s="1626"/>
      <c r="BQ2097" s="1626"/>
      <c r="BR2097" s="1626"/>
      <c r="BS2097" s="1626"/>
      <c r="BT2097" s="1626"/>
      <c r="BU2097" s="1626"/>
      <c r="BV2097" s="1626"/>
      <c r="BW2097" s="1626"/>
      <c r="BX2097" s="1626"/>
      <c r="BY2097" s="1626"/>
      <c r="BZ2097" s="1626"/>
      <c r="CA2097" s="1626"/>
      <c r="CB2097" s="1626"/>
      <c r="CC2097" s="1626"/>
      <c r="CD2097" s="1626"/>
      <c r="CE2097" s="1626"/>
      <c r="CF2097" s="1626"/>
      <c r="CG2097" s="1626"/>
      <c r="CH2097" s="1626"/>
      <c r="CI2097" s="1626"/>
      <c r="CJ2097" s="1626"/>
      <c r="CK2097" s="1626"/>
    </row>
    <row r="2098" spans="1:89" s="1626" customFormat="1" ht="17.25" customHeight="1" x14ac:dyDescent="0.25">
      <c r="A2098" s="1107"/>
      <c r="B2098" s="1585" t="s">
        <v>888</v>
      </c>
      <c r="C2098" s="1595">
        <f>21*12*2</f>
        <v>504</v>
      </c>
      <c r="D2098" s="1587" t="s">
        <v>51</v>
      </c>
      <c r="E2098" s="1588">
        <v>1800</v>
      </c>
      <c r="F2098" s="1590"/>
      <c r="G2098" s="1590"/>
      <c r="H2098" s="1590"/>
      <c r="I2098" s="1589">
        <f t="shared" si="154"/>
        <v>907200</v>
      </c>
      <c r="J2098" s="1590"/>
      <c r="K2098" s="1589">
        <f t="shared" si="156"/>
        <v>907200</v>
      </c>
      <c r="L2098" s="1589"/>
      <c r="M2098" s="1589"/>
      <c r="N2098" s="1589"/>
      <c r="O2098" s="1591">
        <f t="shared" si="155"/>
        <v>907200</v>
      </c>
      <c r="P2098" s="1592"/>
    </row>
    <row r="2099" spans="1:89" s="1108" customFormat="1" ht="17.25" customHeight="1" x14ac:dyDescent="0.25">
      <c r="A2099" s="1107"/>
      <c r="B2099" s="1585" t="s">
        <v>889</v>
      </c>
      <c r="C2099" s="1595">
        <f>C2098*3</f>
        <v>1512</v>
      </c>
      <c r="D2099" s="1587" t="s">
        <v>55</v>
      </c>
      <c r="E2099" s="1588">
        <v>376.66666666666669</v>
      </c>
      <c r="F2099" s="1590"/>
      <c r="G2099" s="1590"/>
      <c r="H2099" s="1590"/>
      <c r="I2099" s="1589">
        <f t="shared" si="154"/>
        <v>569520</v>
      </c>
      <c r="J2099" s="1590"/>
      <c r="K2099" s="1589">
        <f t="shared" si="156"/>
        <v>569520</v>
      </c>
      <c r="L2099" s="1589"/>
      <c r="M2099" s="1589"/>
      <c r="N2099" s="1589"/>
      <c r="O2099" s="1591">
        <f t="shared" si="155"/>
        <v>569520</v>
      </c>
      <c r="P2099" s="1592"/>
      <c r="Q2099" s="1626"/>
      <c r="R2099" s="1626"/>
      <c r="S2099" s="1626"/>
      <c r="T2099" s="1626"/>
      <c r="U2099" s="1626"/>
      <c r="V2099" s="1626"/>
      <c r="W2099" s="1626"/>
      <c r="X2099" s="1626"/>
      <c r="Y2099" s="1626"/>
      <c r="Z2099" s="1626"/>
      <c r="AA2099" s="1626"/>
      <c r="AB2099" s="1626"/>
      <c r="AC2099" s="1626"/>
      <c r="AD2099" s="1626"/>
      <c r="AE2099" s="1626"/>
      <c r="AF2099" s="1626"/>
      <c r="AG2099" s="1626"/>
      <c r="AH2099" s="1626"/>
      <c r="AI2099" s="1626"/>
      <c r="AJ2099" s="1626"/>
      <c r="AK2099" s="1626"/>
      <c r="AL2099" s="1626"/>
      <c r="AM2099" s="1626"/>
      <c r="AN2099" s="1626"/>
      <c r="AO2099" s="1626"/>
      <c r="AP2099" s="1626"/>
      <c r="AQ2099" s="1626"/>
      <c r="AR2099" s="1626"/>
      <c r="AS2099" s="1626"/>
      <c r="AT2099" s="1626"/>
      <c r="AU2099" s="1626"/>
      <c r="AV2099" s="1626"/>
      <c r="AW2099" s="1626"/>
      <c r="AX2099" s="1626"/>
      <c r="AY2099" s="1626"/>
      <c r="AZ2099" s="1626"/>
      <c r="BA2099" s="1626"/>
      <c r="BB2099" s="1626"/>
      <c r="BC2099" s="1626"/>
      <c r="BD2099" s="1626"/>
      <c r="BE2099" s="1626"/>
      <c r="BF2099" s="1626"/>
      <c r="BG2099" s="1626"/>
      <c r="BH2099" s="1626"/>
      <c r="BI2099" s="1626"/>
      <c r="BJ2099" s="1626"/>
      <c r="BK2099" s="1626"/>
      <c r="BL2099" s="1626"/>
      <c r="BM2099" s="1626"/>
      <c r="BN2099" s="1626"/>
      <c r="BO2099" s="1626"/>
      <c r="BP2099" s="1626"/>
      <c r="BQ2099" s="1626"/>
      <c r="BR2099" s="1626"/>
      <c r="BS2099" s="1626"/>
      <c r="BT2099" s="1626"/>
      <c r="BU2099" s="1626"/>
      <c r="BV2099" s="1626"/>
      <c r="BW2099" s="1626"/>
      <c r="BX2099" s="1626"/>
      <c r="BY2099" s="1626"/>
      <c r="BZ2099" s="1626"/>
      <c r="CA2099" s="1626"/>
      <c r="CB2099" s="1626"/>
      <c r="CC2099" s="1626"/>
      <c r="CD2099" s="1626"/>
      <c r="CE2099" s="1626"/>
      <c r="CF2099" s="1626"/>
      <c r="CG2099" s="1626"/>
      <c r="CH2099" s="1626"/>
      <c r="CI2099" s="1626"/>
      <c r="CJ2099" s="1626"/>
      <c r="CK2099" s="1626"/>
    </row>
    <row r="2100" spans="1:89" s="1108" customFormat="1" ht="17.25" customHeight="1" x14ac:dyDescent="0.25">
      <c r="A2100" s="1107"/>
      <c r="B2100" s="1585" t="s">
        <v>890</v>
      </c>
      <c r="C2100" s="1595">
        <f>C2098*2</f>
        <v>1008</v>
      </c>
      <c r="D2100" s="1587" t="s">
        <v>55</v>
      </c>
      <c r="E2100" s="1588">
        <v>650</v>
      </c>
      <c r="F2100" s="1590"/>
      <c r="G2100" s="1590"/>
      <c r="H2100" s="1590"/>
      <c r="I2100" s="1589">
        <f t="shared" si="154"/>
        <v>655200</v>
      </c>
      <c r="J2100" s="1590"/>
      <c r="K2100" s="1589">
        <f t="shared" si="156"/>
        <v>655200</v>
      </c>
      <c r="L2100" s="1589"/>
      <c r="M2100" s="1589"/>
      <c r="N2100" s="1589"/>
      <c r="O2100" s="1591">
        <f t="shared" si="155"/>
        <v>655200</v>
      </c>
      <c r="P2100" s="1592"/>
      <c r="Q2100" s="1626"/>
      <c r="R2100" s="1626"/>
      <c r="S2100" s="1626"/>
      <c r="T2100" s="1626"/>
      <c r="U2100" s="1626"/>
      <c r="V2100" s="1626"/>
      <c r="W2100" s="1626"/>
      <c r="X2100" s="1626"/>
      <c r="Y2100" s="1626"/>
      <c r="Z2100" s="1626"/>
      <c r="AA2100" s="1626"/>
      <c r="AB2100" s="1626"/>
      <c r="AC2100" s="1626"/>
      <c r="AD2100" s="1626"/>
      <c r="AE2100" s="1626"/>
      <c r="AF2100" s="1626"/>
      <c r="AG2100" s="1626"/>
      <c r="AH2100" s="1626"/>
      <c r="AI2100" s="1626"/>
      <c r="AJ2100" s="1626"/>
      <c r="AK2100" s="1626"/>
      <c r="AL2100" s="1626"/>
      <c r="AM2100" s="1626"/>
      <c r="AN2100" s="1626"/>
      <c r="AO2100" s="1626"/>
      <c r="AP2100" s="1626"/>
      <c r="AQ2100" s="1626"/>
      <c r="AR2100" s="1626"/>
      <c r="AS2100" s="1626"/>
      <c r="AT2100" s="1626"/>
      <c r="AU2100" s="1626"/>
      <c r="AV2100" s="1626"/>
      <c r="AW2100" s="1626"/>
      <c r="AX2100" s="1626"/>
      <c r="AY2100" s="1626"/>
      <c r="AZ2100" s="1626"/>
      <c r="BA2100" s="1626"/>
      <c r="BB2100" s="1626"/>
      <c r="BC2100" s="1626"/>
      <c r="BD2100" s="1626"/>
      <c r="BE2100" s="1626"/>
      <c r="BF2100" s="1626"/>
      <c r="BG2100" s="1626"/>
      <c r="BH2100" s="1626"/>
      <c r="BI2100" s="1626"/>
      <c r="BJ2100" s="1626"/>
      <c r="BK2100" s="1626"/>
      <c r="BL2100" s="1626"/>
      <c r="BM2100" s="1626"/>
      <c r="BN2100" s="1626"/>
      <c r="BO2100" s="1626"/>
      <c r="BP2100" s="1626"/>
      <c r="BQ2100" s="1626"/>
      <c r="BR2100" s="1626"/>
      <c r="BS2100" s="1626"/>
      <c r="BT2100" s="1626"/>
      <c r="BU2100" s="1626"/>
      <c r="BV2100" s="1626"/>
      <c r="BW2100" s="1626"/>
      <c r="BX2100" s="1626"/>
      <c r="BY2100" s="1626"/>
      <c r="BZ2100" s="1626"/>
      <c r="CA2100" s="1626"/>
      <c r="CB2100" s="1626"/>
      <c r="CC2100" s="1626"/>
      <c r="CD2100" s="1626"/>
      <c r="CE2100" s="1626"/>
      <c r="CF2100" s="1626"/>
      <c r="CG2100" s="1626"/>
      <c r="CH2100" s="1626"/>
      <c r="CI2100" s="1626"/>
      <c r="CJ2100" s="1626"/>
      <c r="CK2100" s="1626"/>
    </row>
    <row r="2101" spans="1:89" s="1108" customFormat="1" ht="17.25" customHeight="1" x14ac:dyDescent="0.25">
      <c r="A2101" s="1107"/>
      <c r="B2101" s="1585" t="s">
        <v>892</v>
      </c>
      <c r="C2101" s="1595">
        <f>C2098</f>
        <v>504</v>
      </c>
      <c r="D2101" s="1587" t="s">
        <v>51</v>
      </c>
      <c r="E2101" s="1588">
        <v>80</v>
      </c>
      <c r="F2101" s="1590"/>
      <c r="G2101" s="1590"/>
      <c r="H2101" s="1590"/>
      <c r="I2101" s="1589">
        <f t="shared" si="154"/>
        <v>40320</v>
      </c>
      <c r="J2101" s="1590"/>
      <c r="K2101" s="1589">
        <f t="shared" si="156"/>
        <v>40320</v>
      </c>
      <c r="L2101" s="1589"/>
      <c r="M2101" s="1589"/>
      <c r="N2101" s="1589"/>
      <c r="O2101" s="1591">
        <f t="shared" si="155"/>
        <v>40320</v>
      </c>
      <c r="P2101" s="1592"/>
      <c r="Q2101" s="1626"/>
      <c r="R2101" s="1626"/>
      <c r="S2101" s="1626"/>
      <c r="T2101" s="1626"/>
      <c r="U2101" s="1626"/>
      <c r="V2101" s="1626"/>
      <c r="W2101" s="1626"/>
      <c r="X2101" s="1626"/>
      <c r="Y2101" s="1626"/>
      <c r="Z2101" s="1626"/>
      <c r="AA2101" s="1626"/>
      <c r="AB2101" s="1626"/>
      <c r="AC2101" s="1626"/>
      <c r="AD2101" s="1626"/>
      <c r="AE2101" s="1626"/>
      <c r="AF2101" s="1626"/>
      <c r="AG2101" s="1626"/>
      <c r="AH2101" s="1626"/>
      <c r="AI2101" s="1626"/>
      <c r="AJ2101" s="1626"/>
      <c r="AK2101" s="1626"/>
      <c r="AL2101" s="1626"/>
      <c r="AM2101" s="1626"/>
      <c r="AN2101" s="1626"/>
      <c r="AO2101" s="1626"/>
      <c r="AP2101" s="1626"/>
      <c r="AQ2101" s="1626"/>
      <c r="AR2101" s="1626"/>
      <c r="AS2101" s="1626"/>
      <c r="AT2101" s="1626"/>
      <c r="AU2101" s="1626"/>
      <c r="AV2101" s="1626"/>
      <c r="AW2101" s="1626"/>
      <c r="AX2101" s="1626"/>
      <c r="AY2101" s="1626"/>
      <c r="AZ2101" s="1626"/>
      <c r="BA2101" s="1626"/>
      <c r="BB2101" s="1626"/>
      <c r="BC2101" s="1626"/>
      <c r="BD2101" s="1626"/>
      <c r="BE2101" s="1626"/>
      <c r="BF2101" s="1626"/>
      <c r="BG2101" s="1626"/>
      <c r="BH2101" s="1626"/>
      <c r="BI2101" s="1626"/>
      <c r="BJ2101" s="1626"/>
      <c r="BK2101" s="1626"/>
      <c r="BL2101" s="1626"/>
      <c r="BM2101" s="1626"/>
      <c r="BN2101" s="1626"/>
      <c r="BO2101" s="1626"/>
      <c r="BP2101" s="1626"/>
      <c r="BQ2101" s="1626"/>
      <c r="BR2101" s="1626"/>
      <c r="BS2101" s="1626"/>
      <c r="BT2101" s="1626"/>
      <c r="BU2101" s="1626"/>
      <c r="BV2101" s="1626"/>
      <c r="BW2101" s="1626"/>
      <c r="BX2101" s="1626"/>
      <c r="BY2101" s="1626"/>
      <c r="BZ2101" s="1626"/>
      <c r="CA2101" s="1626"/>
      <c r="CB2101" s="1626"/>
      <c r="CC2101" s="1626"/>
      <c r="CD2101" s="1626"/>
      <c r="CE2101" s="1626"/>
      <c r="CF2101" s="1626"/>
      <c r="CG2101" s="1626"/>
      <c r="CH2101" s="1626"/>
      <c r="CI2101" s="1626"/>
      <c r="CJ2101" s="1626"/>
      <c r="CK2101" s="1626"/>
    </row>
    <row r="2102" spans="1:89" s="1108" customFormat="1" ht="17.25" customHeight="1" x14ac:dyDescent="0.25">
      <c r="A2102" s="1107"/>
      <c r="B2102" s="1585" t="s">
        <v>2129</v>
      </c>
      <c r="C2102" s="1595">
        <f>C2101</f>
        <v>504</v>
      </c>
      <c r="D2102" s="1587" t="s">
        <v>51</v>
      </c>
      <c r="E2102" s="1588">
        <v>250</v>
      </c>
      <c r="F2102" s="1590"/>
      <c r="G2102" s="1590"/>
      <c r="H2102" s="1590"/>
      <c r="I2102" s="1589">
        <f t="shared" si="154"/>
        <v>126000</v>
      </c>
      <c r="J2102" s="1590"/>
      <c r="K2102" s="1589">
        <f t="shared" si="156"/>
        <v>126000</v>
      </c>
      <c r="L2102" s="1589"/>
      <c r="M2102" s="1589"/>
      <c r="N2102" s="1589"/>
      <c r="O2102" s="1591">
        <f t="shared" si="155"/>
        <v>126000</v>
      </c>
      <c r="P2102" s="1592"/>
      <c r="Q2102" s="1626"/>
      <c r="R2102" s="1626"/>
      <c r="S2102" s="1626"/>
      <c r="T2102" s="1626"/>
      <c r="U2102" s="1626"/>
      <c r="V2102" s="1626"/>
      <c r="W2102" s="1626"/>
      <c r="X2102" s="1626"/>
      <c r="Y2102" s="1626"/>
      <c r="Z2102" s="1626"/>
      <c r="AA2102" s="1626"/>
      <c r="AB2102" s="1626"/>
      <c r="AC2102" s="1626"/>
      <c r="AD2102" s="1626"/>
      <c r="AE2102" s="1626"/>
      <c r="AF2102" s="1626"/>
      <c r="AG2102" s="1626"/>
      <c r="AH2102" s="1626"/>
      <c r="AI2102" s="1626"/>
      <c r="AJ2102" s="1626"/>
      <c r="AK2102" s="1626"/>
      <c r="AL2102" s="1626"/>
      <c r="AM2102" s="1626"/>
      <c r="AN2102" s="1626"/>
      <c r="AO2102" s="1626"/>
      <c r="AP2102" s="1626"/>
      <c r="AQ2102" s="1626"/>
      <c r="AR2102" s="1626"/>
      <c r="AS2102" s="1626"/>
      <c r="AT2102" s="1626"/>
      <c r="AU2102" s="1626"/>
      <c r="AV2102" s="1626"/>
      <c r="AW2102" s="1626"/>
      <c r="AX2102" s="1626"/>
      <c r="AY2102" s="1626"/>
      <c r="AZ2102" s="1626"/>
      <c r="BA2102" s="1626"/>
      <c r="BB2102" s="1626"/>
      <c r="BC2102" s="1626"/>
      <c r="BD2102" s="1626"/>
      <c r="BE2102" s="1626"/>
      <c r="BF2102" s="1626"/>
      <c r="BG2102" s="1626"/>
      <c r="BH2102" s="1626"/>
      <c r="BI2102" s="1626"/>
      <c r="BJ2102" s="1626"/>
      <c r="BK2102" s="1626"/>
      <c r="BL2102" s="1626"/>
      <c r="BM2102" s="1626"/>
      <c r="BN2102" s="1626"/>
      <c r="BO2102" s="1626"/>
      <c r="BP2102" s="1626"/>
      <c r="BQ2102" s="1626"/>
      <c r="BR2102" s="1626"/>
      <c r="BS2102" s="1626"/>
      <c r="BT2102" s="1626"/>
      <c r="BU2102" s="1626"/>
      <c r="BV2102" s="1626"/>
      <c r="BW2102" s="1626"/>
      <c r="BX2102" s="1626"/>
      <c r="BY2102" s="1626"/>
      <c r="BZ2102" s="1626"/>
      <c r="CA2102" s="1626"/>
      <c r="CB2102" s="1626"/>
      <c r="CC2102" s="1626"/>
      <c r="CD2102" s="1626"/>
      <c r="CE2102" s="1626"/>
      <c r="CF2102" s="1626"/>
      <c r="CG2102" s="1626"/>
      <c r="CH2102" s="1626"/>
      <c r="CI2102" s="1626"/>
      <c r="CJ2102" s="1626"/>
      <c r="CK2102" s="1626"/>
    </row>
    <row r="2103" spans="1:89" s="1108" customFormat="1" ht="17.25" customHeight="1" x14ac:dyDescent="0.25">
      <c r="A2103" s="1107"/>
      <c r="B2103" s="1593"/>
      <c r="C2103" s="1595"/>
      <c r="D2103" s="1587"/>
      <c r="E2103" s="1588"/>
      <c r="F2103" s="1590"/>
      <c r="G2103" s="1590"/>
      <c r="H2103" s="1590"/>
      <c r="I2103" s="1590"/>
      <c r="J2103" s="1590"/>
      <c r="K2103" s="1589"/>
      <c r="L2103" s="1589"/>
      <c r="M2103" s="1589"/>
      <c r="N2103" s="1589"/>
      <c r="O2103" s="1627"/>
      <c r="P2103" s="1628"/>
      <c r="Q2103" s="1626"/>
      <c r="R2103" s="1626"/>
      <c r="S2103" s="1626"/>
      <c r="T2103" s="1626"/>
      <c r="U2103" s="1626"/>
      <c r="V2103" s="1626"/>
      <c r="W2103" s="1626"/>
      <c r="X2103" s="1626"/>
      <c r="Y2103" s="1626"/>
      <c r="Z2103" s="1626"/>
      <c r="AA2103" s="1626"/>
      <c r="AB2103" s="1626"/>
      <c r="AC2103" s="1626"/>
      <c r="AD2103" s="1626"/>
      <c r="AE2103" s="1626"/>
      <c r="AF2103" s="1626"/>
      <c r="AG2103" s="1626"/>
      <c r="AH2103" s="1626"/>
      <c r="AI2103" s="1626"/>
      <c r="AJ2103" s="1626"/>
      <c r="AK2103" s="1626"/>
      <c r="AL2103" s="1626"/>
      <c r="AM2103" s="1626"/>
      <c r="AN2103" s="1626"/>
      <c r="AO2103" s="1626"/>
      <c r="AP2103" s="1626"/>
      <c r="AQ2103" s="1626"/>
      <c r="AR2103" s="1626"/>
      <c r="AS2103" s="1626"/>
      <c r="AT2103" s="1626"/>
      <c r="AU2103" s="1626"/>
      <c r="AV2103" s="1626"/>
      <c r="AW2103" s="1626"/>
      <c r="AX2103" s="1626"/>
      <c r="AY2103" s="1626"/>
      <c r="AZ2103" s="1626"/>
      <c r="BA2103" s="1626"/>
      <c r="BB2103" s="1626"/>
      <c r="BC2103" s="1626"/>
      <c r="BD2103" s="1626"/>
      <c r="BE2103" s="1626"/>
      <c r="BF2103" s="1626"/>
      <c r="BG2103" s="1626"/>
      <c r="BH2103" s="1626"/>
      <c r="BI2103" s="1626"/>
      <c r="BJ2103" s="1626"/>
      <c r="BK2103" s="1626"/>
      <c r="BL2103" s="1626"/>
      <c r="BM2103" s="1626"/>
      <c r="BN2103" s="1626"/>
      <c r="BO2103" s="1626"/>
      <c r="BP2103" s="1626"/>
      <c r="BQ2103" s="1626"/>
      <c r="BR2103" s="1626"/>
      <c r="BS2103" s="1626"/>
      <c r="BT2103" s="1626"/>
      <c r="BU2103" s="1626"/>
      <c r="BV2103" s="1626"/>
      <c r="BW2103" s="1626"/>
      <c r="BX2103" s="1626"/>
      <c r="BY2103" s="1626"/>
      <c r="BZ2103" s="1626"/>
      <c r="CA2103" s="1626"/>
      <c r="CB2103" s="1626"/>
      <c r="CC2103" s="1626"/>
      <c r="CD2103" s="1626"/>
      <c r="CE2103" s="1626"/>
      <c r="CF2103" s="1626"/>
      <c r="CG2103" s="1626"/>
      <c r="CH2103" s="1626"/>
      <c r="CI2103" s="1626"/>
      <c r="CJ2103" s="1626"/>
      <c r="CK2103" s="1626"/>
    </row>
    <row r="2104" spans="1:89" s="1108" customFormat="1" ht="17.25" customHeight="1" x14ac:dyDescent="0.25">
      <c r="A2104" s="1107"/>
      <c r="B2104" s="1629" t="s">
        <v>1799</v>
      </c>
      <c r="C2104" s="1595"/>
      <c r="D2104" s="1587"/>
      <c r="E2104" s="1588"/>
      <c r="F2104" s="1590"/>
      <c r="G2104" s="1590"/>
      <c r="H2104" s="1590"/>
      <c r="I2104" s="1590"/>
      <c r="J2104" s="1590"/>
      <c r="K2104" s="1589"/>
      <c r="L2104" s="1589"/>
      <c r="M2104" s="1589"/>
      <c r="N2104" s="1589"/>
      <c r="O2104" s="1627"/>
      <c r="P2104" s="1628"/>
      <c r="Q2104" s="1626"/>
      <c r="R2104" s="1626"/>
      <c r="S2104" s="1626"/>
      <c r="T2104" s="1626"/>
      <c r="U2104" s="1626"/>
      <c r="V2104" s="1626"/>
      <c r="W2104" s="1626"/>
      <c r="X2104" s="1626"/>
      <c r="Y2104" s="1626"/>
      <c r="Z2104" s="1626"/>
      <c r="AA2104" s="1626"/>
      <c r="AB2104" s="1626"/>
      <c r="AC2104" s="1626"/>
      <c r="AD2104" s="1626"/>
      <c r="AE2104" s="1626"/>
      <c r="AF2104" s="1626"/>
      <c r="AG2104" s="1626"/>
      <c r="AH2104" s="1626"/>
      <c r="AI2104" s="1626"/>
      <c r="AJ2104" s="1626"/>
      <c r="AK2104" s="1626"/>
      <c r="AL2104" s="1626"/>
      <c r="AM2104" s="1626"/>
      <c r="AN2104" s="1626"/>
      <c r="AO2104" s="1626"/>
      <c r="AP2104" s="1626"/>
      <c r="AQ2104" s="1626"/>
      <c r="AR2104" s="1626"/>
      <c r="AS2104" s="1626"/>
      <c r="AT2104" s="1626"/>
      <c r="AU2104" s="1626"/>
      <c r="AV2104" s="1626"/>
      <c r="AW2104" s="1626"/>
      <c r="AX2104" s="1626"/>
      <c r="AY2104" s="1626"/>
      <c r="AZ2104" s="1626"/>
      <c r="BA2104" s="1626"/>
      <c r="BB2104" s="1626"/>
      <c r="BC2104" s="1626"/>
      <c r="BD2104" s="1626"/>
      <c r="BE2104" s="1626"/>
      <c r="BF2104" s="1626"/>
      <c r="BG2104" s="1626"/>
      <c r="BH2104" s="1626"/>
      <c r="BI2104" s="1626"/>
      <c r="BJ2104" s="1626"/>
      <c r="BK2104" s="1626"/>
      <c r="BL2104" s="1626"/>
      <c r="BM2104" s="1626"/>
      <c r="BN2104" s="1626"/>
      <c r="BO2104" s="1626"/>
      <c r="BP2104" s="1626"/>
      <c r="BQ2104" s="1626"/>
      <c r="BR2104" s="1626"/>
      <c r="BS2104" s="1626"/>
      <c r="BT2104" s="1626"/>
      <c r="BU2104" s="1626"/>
      <c r="BV2104" s="1626"/>
      <c r="BW2104" s="1626"/>
      <c r="BX2104" s="1626"/>
      <c r="BY2104" s="1626"/>
      <c r="BZ2104" s="1626"/>
      <c r="CA2104" s="1626"/>
      <c r="CB2104" s="1626"/>
      <c r="CC2104" s="1626"/>
      <c r="CD2104" s="1626"/>
      <c r="CE2104" s="1626"/>
      <c r="CF2104" s="1626"/>
      <c r="CG2104" s="1626"/>
      <c r="CH2104" s="1626"/>
      <c r="CI2104" s="1626"/>
      <c r="CJ2104" s="1626"/>
      <c r="CK2104" s="1626"/>
    </row>
    <row r="2105" spans="1:89" s="1108" customFormat="1" ht="17.25" customHeight="1" x14ac:dyDescent="0.25">
      <c r="A2105" s="1107"/>
      <c r="B2105" s="1593" t="s">
        <v>1799</v>
      </c>
      <c r="C2105" s="1595">
        <v>1</v>
      </c>
      <c r="D2105" s="1587" t="s">
        <v>16</v>
      </c>
      <c r="E2105" s="1588">
        <f>9650000-2650000</f>
        <v>7000000</v>
      </c>
      <c r="F2105" s="1590"/>
      <c r="G2105" s="1590"/>
      <c r="H2105" s="1590"/>
      <c r="I2105" s="1590"/>
      <c r="J2105" s="1590"/>
      <c r="K2105" s="1589"/>
      <c r="L2105" s="1589">
        <f>E2105*C2105</f>
        <v>7000000</v>
      </c>
      <c r="M2105" s="1589"/>
      <c r="N2105" s="1589">
        <f>L2105+M2105</f>
        <v>7000000</v>
      </c>
      <c r="O2105" s="1591">
        <f>N2105+K2105+H2105</f>
        <v>7000000</v>
      </c>
      <c r="P2105" s="1592"/>
      <c r="Q2105" s="1626"/>
      <c r="R2105" s="1626"/>
      <c r="S2105" s="1626"/>
      <c r="T2105" s="1626"/>
      <c r="U2105" s="1626"/>
      <c r="V2105" s="1626"/>
      <c r="W2105" s="1626"/>
      <c r="X2105" s="1626"/>
      <c r="Y2105" s="1626"/>
      <c r="Z2105" s="1626"/>
      <c r="AA2105" s="1626"/>
      <c r="AB2105" s="1626"/>
      <c r="AC2105" s="1626"/>
      <c r="AD2105" s="1626"/>
      <c r="AE2105" s="1626"/>
      <c r="AF2105" s="1626"/>
      <c r="AG2105" s="1626"/>
      <c r="AH2105" s="1626"/>
      <c r="AI2105" s="1626"/>
      <c r="AJ2105" s="1626"/>
      <c r="AK2105" s="1626"/>
      <c r="AL2105" s="1626"/>
      <c r="AM2105" s="1626"/>
      <c r="AN2105" s="1626"/>
      <c r="AO2105" s="1626"/>
      <c r="AP2105" s="1626"/>
      <c r="AQ2105" s="1626"/>
      <c r="AR2105" s="1626"/>
      <c r="AS2105" s="1626"/>
      <c r="AT2105" s="1626"/>
      <c r="AU2105" s="1626"/>
      <c r="AV2105" s="1626"/>
      <c r="AW2105" s="1626"/>
      <c r="AX2105" s="1626"/>
      <c r="AY2105" s="1626"/>
      <c r="AZ2105" s="1626"/>
      <c r="BA2105" s="1626"/>
      <c r="BB2105" s="1626"/>
      <c r="BC2105" s="1626"/>
      <c r="BD2105" s="1626"/>
      <c r="BE2105" s="1626"/>
      <c r="BF2105" s="1626"/>
      <c r="BG2105" s="1626"/>
      <c r="BH2105" s="1626"/>
      <c r="BI2105" s="1626"/>
      <c r="BJ2105" s="1626"/>
      <c r="BK2105" s="1626"/>
      <c r="BL2105" s="1626"/>
      <c r="BM2105" s="1626"/>
      <c r="BN2105" s="1626"/>
      <c r="BO2105" s="1626"/>
      <c r="BP2105" s="1626"/>
      <c r="BQ2105" s="1626"/>
      <c r="BR2105" s="1626"/>
      <c r="BS2105" s="1626"/>
      <c r="BT2105" s="1626"/>
      <c r="BU2105" s="1626"/>
      <c r="BV2105" s="1626"/>
      <c r="BW2105" s="1626"/>
      <c r="BX2105" s="1626"/>
      <c r="BY2105" s="1626"/>
      <c r="BZ2105" s="1626"/>
      <c r="CA2105" s="1626"/>
      <c r="CB2105" s="1626"/>
      <c r="CC2105" s="1626"/>
      <c r="CD2105" s="1626"/>
      <c r="CE2105" s="1626"/>
      <c r="CF2105" s="1626"/>
      <c r="CG2105" s="1626"/>
      <c r="CH2105" s="1626"/>
      <c r="CI2105" s="1626"/>
      <c r="CJ2105" s="1626"/>
      <c r="CK2105" s="1626"/>
    </row>
    <row r="2106" spans="1:89" s="1108" customFormat="1" ht="17.25" customHeight="1" x14ac:dyDescent="0.25">
      <c r="A2106" s="1107"/>
      <c r="B2106" s="1593" t="s">
        <v>2130</v>
      </c>
      <c r="C2106" s="1595">
        <v>1</v>
      </c>
      <c r="D2106" s="1587" t="s">
        <v>16</v>
      </c>
      <c r="E2106" s="1588">
        <v>50000</v>
      </c>
      <c r="F2106" s="1590"/>
      <c r="G2106" s="1590"/>
      <c r="H2106" s="1590"/>
      <c r="I2106" s="1590"/>
      <c r="J2106" s="1590"/>
      <c r="K2106" s="1589"/>
      <c r="L2106" s="1589">
        <f t="shared" ref="L2106:L2126" si="157">E2106*C2106</f>
        <v>50000</v>
      </c>
      <c r="M2106" s="1589"/>
      <c r="N2106" s="1589">
        <f t="shared" ref="N2106:N2126" si="158">L2106+M2106</f>
        <v>50000</v>
      </c>
      <c r="O2106" s="1591">
        <f t="shared" ref="O2106:O2126" si="159">N2106+K2106+H2106</f>
        <v>50000</v>
      </c>
      <c r="P2106" s="1592"/>
      <c r="Q2106" s="1626"/>
      <c r="R2106" s="1626"/>
      <c r="S2106" s="1626"/>
      <c r="T2106" s="1626"/>
      <c r="U2106" s="1626"/>
      <c r="V2106" s="1626"/>
      <c r="W2106" s="1626"/>
      <c r="X2106" s="1626"/>
      <c r="Y2106" s="1626"/>
      <c r="Z2106" s="1626"/>
      <c r="AA2106" s="1626"/>
      <c r="AB2106" s="1626"/>
      <c r="AC2106" s="1626"/>
      <c r="AD2106" s="1626"/>
      <c r="AE2106" s="1626"/>
      <c r="AF2106" s="1626"/>
      <c r="AG2106" s="1626"/>
      <c r="AH2106" s="1626"/>
      <c r="AI2106" s="1626"/>
      <c r="AJ2106" s="1626"/>
      <c r="AK2106" s="1626"/>
      <c r="AL2106" s="1626"/>
      <c r="AM2106" s="1626"/>
      <c r="AN2106" s="1626"/>
      <c r="AO2106" s="1626"/>
      <c r="AP2106" s="1626"/>
      <c r="AQ2106" s="1626"/>
      <c r="AR2106" s="1626"/>
      <c r="AS2106" s="1626"/>
      <c r="AT2106" s="1626"/>
      <c r="AU2106" s="1626"/>
      <c r="AV2106" s="1626"/>
      <c r="AW2106" s="1626"/>
      <c r="AX2106" s="1626"/>
      <c r="AY2106" s="1626"/>
      <c r="AZ2106" s="1626"/>
      <c r="BA2106" s="1626"/>
      <c r="BB2106" s="1626"/>
      <c r="BC2106" s="1626"/>
      <c r="BD2106" s="1626"/>
      <c r="BE2106" s="1626"/>
      <c r="BF2106" s="1626"/>
      <c r="BG2106" s="1626"/>
      <c r="BH2106" s="1626"/>
      <c r="BI2106" s="1626"/>
      <c r="BJ2106" s="1626"/>
      <c r="BK2106" s="1626"/>
      <c r="BL2106" s="1626"/>
      <c r="BM2106" s="1626"/>
      <c r="BN2106" s="1626"/>
      <c r="BO2106" s="1626"/>
      <c r="BP2106" s="1626"/>
      <c r="BQ2106" s="1626"/>
      <c r="BR2106" s="1626"/>
      <c r="BS2106" s="1626"/>
      <c r="BT2106" s="1626"/>
      <c r="BU2106" s="1626"/>
      <c r="BV2106" s="1626"/>
      <c r="BW2106" s="1626"/>
      <c r="BX2106" s="1626"/>
      <c r="BY2106" s="1626"/>
      <c r="BZ2106" s="1626"/>
      <c r="CA2106" s="1626"/>
      <c r="CB2106" s="1626"/>
      <c r="CC2106" s="1626"/>
      <c r="CD2106" s="1626"/>
      <c r="CE2106" s="1626"/>
      <c r="CF2106" s="1626"/>
      <c r="CG2106" s="1626"/>
      <c r="CH2106" s="1626"/>
      <c r="CI2106" s="1626"/>
      <c r="CJ2106" s="1626"/>
      <c r="CK2106" s="1626"/>
    </row>
    <row r="2107" spans="1:89" s="1108" customFormat="1" ht="17.25" customHeight="1" x14ac:dyDescent="0.25">
      <c r="A2107" s="1107"/>
      <c r="B2107" s="1593" t="s">
        <v>2131</v>
      </c>
      <c r="C2107" s="1595">
        <v>0</v>
      </c>
      <c r="D2107" s="1587" t="s">
        <v>16</v>
      </c>
      <c r="E2107" s="1588">
        <f>100000*0</f>
        <v>0</v>
      </c>
      <c r="F2107" s="1590"/>
      <c r="G2107" s="1590"/>
      <c r="H2107" s="1590"/>
      <c r="I2107" s="1590"/>
      <c r="J2107" s="1590"/>
      <c r="K2107" s="1589"/>
      <c r="L2107" s="1589">
        <f t="shared" si="157"/>
        <v>0</v>
      </c>
      <c r="M2107" s="1589"/>
      <c r="N2107" s="1589">
        <f t="shared" si="158"/>
        <v>0</v>
      </c>
      <c r="O2107" s="1591">
        <f t="shared" si="159"/>
        <v>0</v>
      </c>
      <c r="P2107" s="1592"/>
      <c r="Q2107" s="1626"/>
      <c r="R2107" s="1626"/>
      <c r="S2107" s="1626"/>
      <c r="T2107" s="1626"/>
      <c r="U2107" s="1626"/>
      <c r="V2107" s="1626"/>
      <c r="W2107" s="1626"/>
      <c r="X2107" s="1626"/>
      <c r="Y2107" s="1626"/>
      <c r="Z2107" s="1626"/>
      <c r="AA2107" s="1626"/>
      <c r="AB2107" s="1626"/>
      <c r="AC2107" s="1626"/>
      <c r="AD2107" s="1626"/>
      <c r="AE2107" s="1626"/>
      <c r="AF2107" s="1626"/>
      <c r="AG2107" s="1626"/>
      <c r="AH2107" s="1626"/>
      <c r="AI2107" s="1626"/>
      <c r="AJ2107" s="1626"/>
      <c r="AK2107" s="1626"/>
      <c r="AL2107" s="1626"/>
      <c r="AM2107" s="1626"/>
      <c r="AN2107" s="1626"/>
      <c r="AO2107" s="1626"/>
      <c r="AP2107" s="1626"/>
      <c r="AQ2107" s="1626"/>
      <c r="AR2107" s="1626"/>
      <c r="AS2107" s="1626"/>
      <c r="AT2107" s="1626"/>
      <c r="AU2107" s="1626"/>
      <c r="AV2107" s="1626"/>
      <c r="AW2107" s="1626"/>
      <c r="AX2107" s="1626"/>
      <c r="AY2107" s="1626"/>
      <c r="AZ2107" s="1626"/>
      <c r="BA2107" s="1626"/>
      <c r="BB2107" s="1626"/>
      <c r="BC2107" s="1626"/>
      <c r="BD2107" s="1626"/>
      <c r="BE2107" s="1626"/>
      <c r="BF2107" s="1626"/>
      <c r="BG2107" s="1626"/>
      <c r="BH2107" s="1626"/>
      <c r="BI2107" s="1626"/>
      <c r="BJ2107" s="1626"/>
      <c r="BK2107" s="1626"/>
      <c r="BL2107" s="1626"/>
      <c r="BM2107" s="1626"/>
      <c r="BN2107" s="1626"/>
      <c r="BO2107" s="1626"/>
      <c r="BP2107" s="1626"/>
      <c r="BQ2107" s="1626"/>
      <c r="BR2107" s="1626"/>
      <c r="BS2107" s="1626"/>
      <c r="BT2107" s="1626"/>
      <c r="BU2107" s="1626"/>
      <c r="BV2107" s="1626"/>
      <c r="BW2107" s="1626"/>
      <c r="BX2107" s="1626"/>
      <c r="BY2107" s="1626"/>
      <c r="BZ2107" s="1626"/>
      <c r="CA2107" s="1626"/>
      <c r="CB2107" s="1626"/>
      <c r="CC2107" s="1626"/>
      <c r="CD2107" s="1626"/>
      <c r="CE2107" s="1626"/>
      <c r="CF2107" s="1626"/>
      <c r="CG2107" s="1626"/>
      <c r="CH2107" s="1626"/>
      <c r="CI2107" s="1626"/>
      <c r="CJ2107" s="1626"/>
      <c r="CK2107" s="1626"/>
    </row>
    <row r="2108" spans="1:89" s="1108" customFormat="1" ht="17.25" customHeight="1" x14ac:dyDescent="0.25">
      <c r="A2108" s="1107"/>
      <c r="B2108" s="1593" t="s">
        <v>2132</v>
      </c>
      <c r="C2108" s="1595">
        <v>0</v>
      </c>
      <c r="D2108" s="1587" t="s">
        <v>16</v>
      </c>
      <c r="E2108" s="1588">
        <f>200000*0</f>
        <v>0</v>
      </c>
      <c r="F2108" s="1590"/>
      <c r="G2108" s="1590"/>
      <c r="H2108" s="1590"/>
      <c r="I2108" s="1590"/>
      <c r="J2108" s="1590"/>
      <c r="K2108" s="1589"/>
      <c r="L2108" s="1589">
        <f t="shared" si="157"/>
        <v>0</v>
      </c>
      <c r="M2108" s="1589"/>
      <c r="N2108" s="1589">
        <f t="shared" si="158"/>
        <v>0</v>
      </c>
      <c r="O2108" s="1591">
        <f t="shared" si="159"/>
        <v>0</v>
      </c>
      <c r="P2108" s="1592"/>
      <c r="Q2108" s="1626"/>
      <c r="R2108" s="1626"/>
      <c r="S2108" s="1626"/>
      <c r="T2108" s="1626"/>
      <c r="U2108" s="1626"/>
      <c r="V2108" s="1626"/>
      <c r="W2108" s="1626"/>
      <c r="X2108" s="1626"/>
      <c r="Y2108" s="1626"/>
      <c r="Z2108" s="1626"/>
      <c r="AA2108" s="1626"/>
      <c r="AB2108" s="1626"/>
      <c r="AC2108" s="1626"/>
      <c r="AD2108" s="1626"/>
      <c r="AE2108" s="1626"/>
      <c r="AF2108" s="1626"/>
      <c r="AG2108" s="1626"/>
      <c r="AH2108" s="1626"/>
      <c r="AI2108" s="1626"/>
      <c r="AJ2108" s="1626"/>
      <c r="AK2108" s="1626"/>
      <c r="AL2108" s="1626"/>
      <c r="AM2108" s="1626"/>
      <c r="AN2108" s="1626"/>
      <c r="AO2108" s="1626"/>
      <c r="AP2108" s="1626"/>
      <c r="AQ2108" s="1626"/>
      <c r="AR2108" s="1626"/>
      <c r="AS2108" s="1626"/>
      <c r="AT2108" s="1626"/>
      <c r="AU2108" s="1626"/>
      <c r="AV2108" s="1626"/>
      <c r="AW2108" s="1626"/>
      <c r="AX2108" s="1626"/>
      <c r="AY2108" s="1626"/>
      <c r="AZ2108" s="1626"/>
      <c r="BA2108" s="1626"/>
      <c r="BB2108" s="1626"/>
      <c r="BC2108" s="1626"/>
      <c r="BD2108" s="1626"/>
      <c r="BE2108" s="1626"/>
      <c r="BF2108" s="1626"/>
      <c r="BG2108" s="1626"/>
      <c r="BH2108" s="1626"/>
      <c r="BI2108" s="1626"/>
      <c r="BJ2108" s="1626"/>
      <c r="BK2108" s="1626"/>
      <c r="BL2108" s="1626"/>
      <c r="BM2108" s="1626"/>
      <c r="BN2108" s="1626"/>
      <c r="BO2108" s="1626"/>
      <c r="BP2108" s="1626"/>
      <c r="BQ2108" s="1626"/>
      <c r="BR2108" s="1626"/>
      <c r="BS2108" s="1626"/>
      <c r="BT2108" s="1626"/>
      <c r="BU2108" s="1626"/>
      <c r="BV2108" s="1626"/>
      <c r="BW2108" s="1626"/>
      <c r="BX2108" s="1626"/>
      <c r="BY2108" s="1626"/>
      <c r="BZ2108" s="1626"/>
      <c r="CA2108" s="1626"/>
      <c r="CB2108" s="1626"/>
      <c r="CC2108" s="1626"/>
      <c r="CD2108" s="1626"/>
      <c r="CE2108" s="1626"/>
      <c r="CF2108" s="1626"/>
      <c r="CG2108" s="1626"/>
      <c r="CH2108" s="1626"/>
      <c r="CI2108" s="1626"/>
      <c r="CJ2108" s="1626"/>
      <c r="CK2108" s="1626"/>
    </row>
    <row r="2109" spans="1:89" s="1108" customFormat="1" ht="17.25" customHeight="1" x14ac:dyDescent="0.25">
      <c r="A2109" s="1107"/>
      <c r="B2109" s="1593"/>
      <c r="C2109" s="1595"/>
      <c r="D2109" s="1587"/>
      <c r="E2109" s="1588"/>
      <c r="F2109" s="1590"/>
      <c r="G2109" s="1590"/>
      <c r="H2109" s="1590"/>
      <c r="I2109" s="1590"/>
      <c r="J2109" s="1590"/>
      <c r="K2109" s="1589"/>
      <c r="L2109" s="1589"/>
      <c r="M2109" s="1589"/>
      <c r="N2109" s="1589"/>
      <c r="O2109" s="1591"/>
      <c r="P2109" s="1592"/>
      <c r="Q2109" s="1626"/>
      <c r="R2109" s="1626"/>
      <c r="S2109" s="1626"/>
      <c r="T2109" s="1626"/>
      <c r="U2109" s="1626"/>
      <c r="V2109" s="1626"/>
      <c r="W2109" s="1626"/>
      <c r="X2109" s="1626"/>
      <c r="Y2109" s="1626"/>
      <c r="Z2109" s="1626"/>
      <c r="AA2109" s="1626"/>
      <c r="AB2109" s="1626"/>
      <c r="AC2109" s="1626"/>
      <c r="AD2109" s="1626"/>
      <c r="AE2109" s="1626"/>
      <c r="AF2109" s="1626"/>
      <c r="AG2109" s="1626"/>
      <c r="AH2109" s="1626"/>
      <c r="AI2109" s="1626"/>
      <c r="AJ2109" s="1626"/>
      <c r="AK2109" s="1626"/>
      <c r="AL2109" s="1626"/>
      <c r="AM2109" s="1626"/>
      <c r="AN2109" s="1626"/>
      <c r="AO2109" s="1626"/>
      <c r="AP2109" s="1626"/>
      <c r="AQ2109" s="1626"/>
      <c r="AR2109" s="1626"/>
      <c r="AS2109" s="1626"/>
      <c r="AT2109" s="1626"/>
      <c r="AU2109" s="1626"/>
      <c r="AV2109" s="1626"/>
      <c r="AW2109" s="1626"/>
      <c r="AX2109" s="1626"/>
      <c r="AY2109" s="1626"/>
      <c r="AZ2109" s="1626"/>
      <c r="BA2109" s="1626"/>
      <c r="BB2109" s="1626"/>
      <c r="BC2109" s="1626"/>
      <c r="BD2109" s="1626"/>
      <c r="BE2109" s="1626"/>
      <c r="BF2109" s="1626"/>
      <c r="BG2109" s="1626"/>
      <c r="BH2109" s="1626"/>
      <c r="BI2109" s="1626"/>
      <c r="BJ2109" s="1626"/>
      <c r="BK2109" s="1626"/>
      <c r="BL2109" s="1626"/>
      <c r="BM2109" s="1626"/>
      <c r="BN2109" s="1626"/>
      <c r="BO2109" s="1626"/>
      <c r="BP2109" s="1626"/>
      <c r="BQ2109" s="1626"/>
      <c r="BR2109" s="1626"/>
      <c r="BS2109" s="1626"/>
      <c r="BT2109" s="1626"/>
      <c r="BU2109" s="1626"/>
      <c r="BV2109" s="1626"/>
      <c r="BW2109" s="1626"/>
      <c r="BX2109" s="1626"/>
      <c r="BY2109" s="1626"/>
      <c r="BZ2109" s="1626"/>
      <c r="CA2109" s="1626"/>
      <c r="CB2109" s="1626"/>
      <c r="CC2109" s="1626"/>
      <c r="CD2109" s="1626"/>
      <c r="CE2109" s="1626"/>
      <c r="CF2109" s="1626"/>
      <c r="CG2109" s="1626"/>
      <c r="CH2109" s="1626"/>
      <c r="CI2109" s="1626"/>
      <c r="CJ2109" s="1626"/>
      <c r="CK2109" s="1626"/>
    </row>
    <row r="2110" spans="1:89" s="1108" customFormat="1" ht="17.25" customHeight="1" x14ac:dyDescent="0.25">
      <c r="A2110" s="1107"/>
      <c r="B2110" s="1629" t="s">
        <v>158</v>
      </c>
      <c r="C2110" s="1595"/>
      <c r="D2110" s="1587"/>
      <c r="E2110" s="1588"/>
      <c r="F2110" s="1590"/>
      <c r="G2110" s="1590"/>
      <c r="H2110" s="1590"/>
      <c r="I2110" s="1590"/>
      <c r="J2110" s="1590"/>
      <c r="K2110" s="1589"/>
      <c r="L2110" s="1589"/>
      <c r="M2110" s="1589"/>
      <c r="N2110" s="1589"/>
      <c r="O2110" s="1591"/>
      <c r="P2110" s="1592"/>
      <c r="Q2110" s="1626"/>
      <c r="R2110" s="1626"/>
      <c r="S2110" s="1626"/>
      <c r="T2110" s="1626"/>
      <c r="U2110" s="1626"/>
      <c r="V2110" s="1626"/>
      <c r="W2110" s="1626"/>
      <c r="X2110" s="1626"/>
      <c r="Y2110" s="1626"/>
      <c r="Z2110" s="1626"/>
      <c r="AA2110" s="1626"/>
      <c r="AB2110" s="1626"/>
      <c r="AC2110" s="1626"/>
      <c r="AD2110" s="1626"/>
      <c r="AE2110" s="1626"/>
      <c r="AF2110" s="1626"/>
      <c r="AG2110" s="1626"/>
      <c r="AH2110" s="1626"/>
      <c r="AI2110" s="1626"/>
      <c r="AJ2110" s="1626"/>
      <c r="AK2110" s="1626"/>
      <c r="AL2110" s="1626"/>
      <c r="AM2110" s="1626"/>
      <c r="AN2110" s="1626"/>
      <c r="AO2110" s="1626"/>
      <c r="AP2110" s="1626"/>
      <c r="AQ2110" s="1626"/>
      <c r="AR2110" s="1626"/>
      <c r="AS2110" s="1626"/>
      <c r="AT2110" s="1626"/>
      <c r="AU2110" s="1626"/>
      <c r="AV2110" s="1626"/>
      <c r="AW2110" s="1626"/>
      <c r="AX2110" s="1626"/>
      <c r="AY2110" s="1626"/>
      <c r="AZ2110" s="1626"/>
      <c r="BA2110" s="1626"/>
      <c r="BB2110" s="1626"/>
      <c r="BC2110" s="1626"/>
      <c r="BD2110" s="1626"/>
      <c r="BE2110" s="1626"/>
      <c r="BF2110" s="1626"/>
      <c r="BG2110" s="1626"/>
      <c r="BH2110" s="1626"/>
      <c r="BI2110" s="1626"/>
      <c r="BJ2110" s="1626"/>
      <c r="BK2110" s="1626"/>
      <c r="BL2110" s="1626"/>
      <c r="BM2110" s="1626"/>
      <c r="BN2110" s="1626"/>
      <c r="BO2110" s="1626"/>
      <c r="BP2110" s="1626"/>
      <c r="BQ2110" s="1626"/>
      <c r="BR2110" s="1626"/>
      <c r="BS2110" s="1626"/>
      <c r="BT2110" s="1626"/>
      <c r="BU2110" s="1626"/>
      <c r="BV2110" s="1626"/>
      <c r="BW2110" s="1626"/>
      <c r="BX2110" s="1626"/>
      <c r="BY2110" s="1626"/>
      <c r="BZ2110" s="1626"/>
      <c r="CA2110" s="1626"/>
      <c r="CB2110" s="1626"/>
      <c r="CC2110" s="1626"/>
      <c r="CD2110" s="1626"/>
      <c r="CE2110" s="1626"/>
      <c r="CF2110" s="1626"/>
      <c r="CG2110" s="1626"/>
      <c r="CH2110" s="1626"/>
      <c r="CI2110" s="1626"/>
      <c r="CJ2110" s="1626"/>
      <c r="CK2110" s="1626"/>
    </row>
    <row r="2111" spans="1:89" s="1108" customFormat="1" ht="17.25" customHeight="1" x14ac:dyDescent="0.25">
      <c r="A2111" s="1107"/>
      <c r="B2111" s="1593" t="s">
        <v>940</v>
      </c>
      <c r="C2111" s="1595">
        <v>2</v>
      </c>
      <c r="D2111" s="1587" t="s">
        <v>660</v>
      </c>
      <c r="E2111" s="1588">
        <v>15000</v>
      </c>
      <c r="F2111" s="1590"/>
      <c r="G2111" s="1590"/>
      <c r="H2111" s="1590"/>
      <c r="I2111" s="1590"/>
      <c r="J2111" s="1590"/>
      <c r="K2111" s="1589"/>
      <c r="L2111" s="1589">
        <f t="shared" si="157"/>
        <v>30000</v>
      </c>
      <c r="M2111" s="1589"/>
      <c r="N2111" s="1589">
        <f t="shared" si="158"/>
        <v>30000</v>
      </c>
      <c r="O2111" s="1591">
        <f t="shared" si="159"/>
        <v>30000</v>
      </c>
      <c r="P2111" s="1592"/>
      <c r="Q2111" s="1626"/>
      <c r="R2111" s="1626"/>
      <c r="S2111" s="1626"/>
      <c r="T2111" s="1626"/>
      <c r="U2111" s="1626"/>
      <c r="V2111" s="1626"/>
      <c r="W2111" s="1626"/>
      <c r="X2111" s="1626"/>
      <c r="Y2111" s="1626"/>
      <c r="Z2111" s="1626"/>
      <c r="AA2111" s="1626"/>
      <c r="AB2111" s="1626"/>
      <c r="AC2111" s="1626"/>
      <c r="AD2111" s="1626"/>
      <c r="AE2111" s="1626"/>
      <c r="AF2111" s="1626"/>
      <c r="AG2111" s="1626"/>
      <c r="AH2111" s="1626"/>
      <c r="AI2111" s="1626"/>
      <c r="AJ2111" s="1626"/>
      <c r="AK2111" s="1626"/>
      <c r="AL2111" s="1626"/>
      <c r="AM2111" s="1626"/>
      <c r="AN2111" s="1626"/>
      <c r="AO2111" s="1626"/>
      <c r="AP2111" s="1626"/>
      <c r="AQ2111" s="1626"/>
      <c r="AR2111" s="1626"/>
      <c r="AS2111" s="1626"/>
      <c r="AT2111" s="1626"/>
      <c r="AU2111" s="1626"/>
      <c r="AV2111" s="1626"/>
      <c r="AW2111" s="1626"/>
      <c r="AX2111" s="1626"/>
      <c r="AY2111" s="1626"/>
      <c r="AZ2111" s="1626"/>
      <c r="BA2111" s="1626"/>
      <c r="BB2111" s="1626"/>
      <c r="BC2111" s="1626"/>
      <c r="BD2111" s="1626"/>
      <c r="BE2111" s="1626"/>
      <c r="BF2111" s="1626"/>
      <c r="BG2111" s="1626"/>
      <c r="BH2111" s="1626"/>
      <c r="BI2111" s="1626"/>
      <c r="BJ2111" s="1626"/>
      <c r="BK2111" s="1626"/>
      <c r="BL2111" s="1626"/>
      <c r="BM2111" s="1626"/>
      <c r="BN2111" s="1626"/>
      <c r="BO2111" s="1626"/>
      <c r="BP2111" s="1626"/>
      <c r="BQ2111" s="1626"/>
      <c r="BR2111" s="1626"/>
      <c r="BS2111" s="1626"/>
      <c r="BT2111" s="1626"/>
      <c r="BU2111" s="1626"/>
      <c r="BV2111" s="1626"/>
      <c r="BW2111" s="1626"/>
      <c r="BX2111" s="1626"/>
      <c r="BY2111" s="1626"/>
      <c r="BZ2111" s="1626"/>
      <c r="CA2111" s="1626"/>
      <c r="CB2111" s="1626"/>
      <c r="CC2111" s="1626"/>
      <c r="CD2111" s="1626"/>
      <c r="CE2111" s="1626"/>
      <c r="CF2111" s="1626"/>
      <c r="CG2111" s="1626"/>
      <c r="CH2111" s="1626"/>
      <c r="CI2111" s="1626"/>
      <c r="CJ2111" s="1626"/>
      <c r="CK2111" s="1626"/>
    </row>
    <row r="2112" spans="1:89" s="1108" customFormat="1" ht="17.25" customHeight="1" x14ac:dyDescent="0.25">
      <c r="A2112" s="1107"/>
      <c r="B2112" s="1593" t="s">
        <v>941</v>
      </c>
      <c r="C2112" s="1595">
        <v>3</v>
      </c>
      <c r="D2112" s="1587" t="s">
        <v>660</v>
      </c>
      <c r="E2112" s="1588">
        <v>5000</v>
      </c>
      <c r="F2112" s="1590"/>
      <c r="G2112" s="1590"/>
      <c r="H2112" s="1590"/>
      <c r="I2112" s="1590"/>
      <c r="J2112" s="1590"/>
      <c r="K2112" s="1589"/>
      <c r="L2112" s="1589">
        <f t="shared" si="157"/>
        <v>15000</v>
      </c>
      <c r="M2112" s="1589"/>
      <c r="N2112" s="1589">
        <f t="shared" si="158"/>
        <v>15000</v>
      </c>
      <c r="O2112" s="1591">
        <f t="shared" si="159"/>
        <v>15000</v>
      </c>
      <c r="P2112" s="1592"/>
      <c r="Q2112" s="1626"/>
      <c r="R2112" s="1626"/>
      <c r="S2112" s="1626"/>
      <c r="T2112" s="1626"/>
      <c r="U2112" s="1626"/>
      <c r="V2112" s="1626"/>
      <c r="W2112" s="1626"/>
      <c r="X2112" s="1626"/>
      <c r="Y2112" s="1626"/>
      <c r="Z2112" s="1626"/>
      <c r="AA2112" s="1626"/>
      <c r="AB2112" s="1626"/>
      <c r="AC2112" s="1626"/>
      <c r="AD2112" s="1626"/>
      <c r="AE2112" s="1626"/>
      <c r="AF2112" s="1626"/>
      <c r="AG2112" s="1626"/>
      <c r="AH2112" s="1626"/>
      <c r="AI2112" s="1626"/>
      <c r="AJ2112" s="1626"/>
      <c r="AK2112" s="1626"/>
      <c r="AL2112" s="1626"/>
      <c r="AM2112" s="1626"/>
      <c r="AN2112" s="1626"/>
      <c r="AO2112" s="1626"/>
      <c r="AP2112" s="1626"/>
      <c r="AQ2112" s="1626"/>
      <c r="AR2112" s="1626"/>
      <c r="AS2112" s="1626"/>
      <c r="AT2112" s="1626"/>
      <c r="AU2112" s="1626"/>
      <c r="AV2112" s="1626"/>
      <c r="AW2112" s="1626"/>
      <c r="AX2112" s="1626"/>
      <c r="AY2112" s="1626"/>
      <c r="AZ2112" s="1626"/>
      <c r="BA2112" s="1626"/>
      <c r="BB2112" s="1626"/>
      <c r="BC2112" s="1626"/>
      <c r="BD2112" s="1626"/>
      <c r="BE2112" s="1626"/>
      <c r="BF2112" s="1626"/>
      <c r="BG2112" s="1626"/>
      <c r="BH2112" s="1626"/>
      <c r="BI2112" s="1626"/>
      <c r="BJ2112" s="1626"/>
      <c r="BK2112" s="1626"/>
      <c r="BL2112" s="1626"/>
      <c r="BM2112" s="1626"/>
      <c r="BN2112" s="1626"/>
      <c r="BO2112" s="1626"/>
      <c r="BP2112" s="1626"/>
      <c r="BQ2112" s="1626"/>
      <c r="BR2112" s="1626"/>
      <c r="BS2112" s="1626"/>
      <c r="BT2112" s="1626"/>
      <c r="BU2112" s="1626"/>
      <c r="BV2112" s="1626"/>
      <c r="BW2112" s="1626"/>
      <c r="BX2112" s="1626"/>
      <c r="BY2112" s="1626"/>
      <c r="BZ2112" s="1626"/>
      <c r="CA2112" s="1626"/>
      <c r="CB2112" s="1626"/>
      <c r="CC2112" s="1626"/>
      <c r="CD2112" s="1626"/>
      <c r="CE2112" s="1626"/>
      <c r="CF2112" s="1626"/>
      <c r="CG2112" s="1626"/>
      <c r="CH2112" s="1626"/>
      <c r="CI2112" s="1626"/>
      <c r="CJ2112" s="1626"/>
      <c r="CK2112" s="1626"/>
    </row>
    <row r="2113" spans="1:89" s="1108" customFormat="1" ht="17.25" customHeight="1" x14ac:dyDescent="0.25">
      <c r="A2113" s="1107"/>
      <c r="B2113" s="1593" t="s">
        <v>2133</v>
      </c>
      <c r="C2113" s="1595">
        <v>1</v>
      </c>
      <c r="D2113" s="1587" t="s">
        <v>978</v>
      </c>
      <c r="E2113" s="1588">
        <v>150000</v>
      </c>
      <c r="F2113" s="1590"/>
      <c r="G2113" s="1590"/>
      <c r="H2113" s="1590"/>
      <c r="I2113" s="1590"/>
      <c r="J2113" s="1590"/>
      <c r="K2113" s="1589"/>
      <c r="L2113" s="1589">
        <f t="shared" si="157"/>
        <v>150000</v>
      </c>
      <c r="M2113" s="1589"/>
      <c r="N2113" s="1589">
        <f t="shared" si="158"/>
        <v>150000</v>
      </c>
      <c r="O2113" s="1591">
        <f t="shared" si="159"/>
        <v>150000</v>
      </c>
      <c r="P2113" s="1592"/>
      <c r="Q2113" s="1626"/>
      <c r="R2113" s="1626"/>
      <c r="S2113" s="1626"/>
      <c r="T2113" s="1626"/>
      <c r="U2113" s="1626"/>
      <c r="V2113" s="1626"/>
      <c r="W2113" s="1626"/>
      <c r="X2113" s="1626"/>
      <c r="Y2113" s="1626"/>
      <c r="Z2113" s="1626"/>
      <c r="AA2113" s="1626"/>
      <c r="AB2113" s="1626"/>
      <c r="AC2113" s="1626"/>
      <c r="AD2113" s="1626"/>
      <c r="AE2113" s="1626"/>
      <c r="AF2113" s="1626"/>
      <c r="AG2113" s="1626"/>
      <c r="AH2113" s="1626"/>
      <c r="AI2113" s="1626"/>
      <c r="AJ2113" s="1626"/>
      <c r="AK2113" s="1626"/>
      <c r="AL2113" s="1626"/>
      <c r="AM2113" s="1626"/>
      <c r="AN2113" s="1626"/>
      <c r="AO2113" s="1626"/>
      <c r="AP2113" s="1626"/>
      <c r="AQ2113" s="1626"/>
      <c r="AR2113" s="1626"/>
      <c r="AS2113" s="1626"/>
      <c r="AT2113" s="1626"/>
      <c r="AU2113" s="1626"/>
      <c r="AV2113" s="1626"/>
      <c r="AW2113" s="1626"/>
      <c r="AX2113" s="1626"/>
      <c r="AY2113" s="1626"/>
      <c r="AZ2113" s="1626"/>
      <c r="BA2113" s="1626"/>
      <c r="BB2113" s="1626"/>
      <c r="BC2113" s="1626"/>
      <c r="BD2113" s="1626"/>
      <c r="BE2113" s="1626"/>
      <c r="BF2113" s="1626"/>
      <c r="BG2113" s="1626"/>
      <c r="BH2113" s="1626"/>
      <c r="BI2113" s="1626"/>
      <c r="BJ2113" s="1626"/>
      <c r="BK2113" s="1626"/>
      <c r="BL2113" s="1626"/>
      <c r="BM2113" s="1626"/>
      <c r="BN2113" s="1626"/>
      <c r="BO2113" s="1626"/>
      <c r="BP2113" s="1626"/>
      <c r="BQ2113" s="1626"/>
      <c r="BR2113" s="1626"/>
      <c r="BS2113" s="1626"/>
      <c r="BT2113" s="1626"/>
      <c r="BU2113" s="1626"/>
      <c r="BV2113" s="1626"/>
      <c r="BW2113" s="1626"/>
      <c r="BX2113" s="1626"/>
      <c r="BY2113" s="1626"/>
      <c r="BZ2113" s="1626"/>
      <c r="CA2113" s="1626"/>
      <c r="CB2113" s="1626"/>
      <c r="CC2113" s="1626"/>
      <c r="CD2113" s="1626"/>
      <c r="CE2113" s="1626"/>
      <c r="CF2113" s="1626"/>
      <c r="CG2113" s="1626"/>
      <c r="CH2113" s="1626"/>
      <c r="CI2113" s="1626"/>
      <c r="CJ2113" s="1626"/>
      <c r="CK2113" s="1626"/>
    </row>
    <row r="2114" spans="1:89" s="1108" customFormat="1" ht="17.25" customHeight="1" x14ac:dyDescent="0.25">
      <c r="A2114" s="1107"/>
      <c r="B2114" s="1593" t="s">
        <v>942</v>
      </c>
      <c r="C2114" s="1595">
        <v>6</v>
      </c>
      <c r="D2114" s="1587" t="s">
        <v>660</v>
      </c>
      <c r="E2114" s="1588">
        <v>17500</v>
      </c>
      <c r="F2114" s="1590"/>
      <c r="G2114" s="1590"/>
      <c r="H2114" s="1590"/>
      <c r="I2114" s="1590"/>
      <c r="J2114" s="1590"/>
      <c r="K2114" s="1589"/>
      <c r="L2114" s="1589">
        <f t="shared" si="157"/>
        <v>105000</v>
      </c>
      <c r="M2114" s="1589"/>
      <c r="N2114" s="1589">
        <f t="shared" si="158"/>
        <v>105000</v>
      </c>
      <c r="O2114" s="1591">
        <f t="shared" si="159"/>
        <v>105000</v>
      </c>
      <c r="P2114" s="1592"/>
      <c r="Q2114" s="1626"/>
      <c r="R2114" s="1626"/>
      <c r="S2114" s="1626"/>
      <c r="T2114" s="1626"/>
      <c r="U2114" s="1626"/>
      <c r="V2114" s="1626"/>
      <c r="W2114" s="1626"/>
      <c r="X2114" s="1626"/>
      <c r="Y2114" s="1626"/>
      <c r="Z2114" s="1626"/>
      <c r="AA2114" s="1626"/>
      <c r="AB2114" s="1626"/>
      <c r="AC2114" s="1626"/>
      <c r="AD2114" s="1626"/>
      <c r="AE2114" s="1626"/>
      <c r="AF2114" s="1626"/>
      <c r="AG2114" s="1626"/>
      <c r="AH2114" s="1626"/>
      <c r="AI2114" s="1626"/>
      <c r="AJ2114" s="1626"/>
      <c r="AK2114" s="1626"/>
      <c r="AL2114" s="1626"/>
      <c r="AM2114" s="1626"/>
      <c r="AN2114" s="1626"/>
      <c r="AO2114" s="1626"/>
      <c r="AP2114" s="1626"/>
      <c r="AQ2114" s="1626"/>
      <c r="AR2114" s="1626"/>
      <c r="AS2114" s="1626"/>
      <c r="AT2114" s="1626"/>
      <c r="AU2114" s="1626"/>
      <c r="AV2114" s="1626"/>
      <c r="AW2114" s="1626"/>
      <c r="AX2114" s="1626"/>
      <c r="AY2114" s="1626"/>
      <c r="AZ2114" s="1626"/>
      <c r="BA2114" s="1626"/>
      <c r="BB2114" s="1626"/>
      <c r="BC2114" s="1626"/>
      <c r="BD2114" s="1626"/>
      <c r="BE2114" s="1626"/>
      <c r="BF2114" s="1626"/>
      <c r="BG2114" s="1626"/>
      <c r="BH2114" s="1626"/>
      <c r="BI2114" s="1626"/>
      <c r="BJ2114" s="1626"/>
      <c r="BK2114" s="1626"/>
      <c r="BL2114" s="1626"/>
      <c r="BM2114" s="1626"/>
      <c r="BN2114" s="1626"/>
      <c r="BO2114" s="1626"/>
      <c r="BP2114" s="1626"/>
      <c r="BQ2114" s="1626"/>
      <c r="BR2114" s="1626"/>
      <c r="BS2114" s="1626"/>
      <c r="BT2114" s="1626"/>
      <c r="BU2114" s="1626"/>
      <c r="BV2114" s="1626"/>
      <c r="BW2114" s="1626"/>
      <c r="BX2114" s="1626"/>
      <c r="BY2114" s="1626"/>
      <c r="BZ2114" s="1626"/>
      <c r="CA2114" s="1626"/>
      <c r="CB2114" s="1626"/>
      <c r="CC2114" s="1626"/>
      <c r="CD2114" s="1626"/>
      <c r="CE2114" s="1626"/>
      <c r="CF2114" s="1626"/>
      <c r="CG2114" s="1626"/>
      <c r="CH2114" s="1626"/>
      <c r="CI2114" s="1626"/>
      <c r="CJ2114" s="1626"/>
      <c r="CK2114" s="1626"/>
    </row>
    <row r="2115" spans="1:89" s="1108" customFormat="1" ht="17.25" customHeight="1" x14ac:dyDescent="0.25">
      <c r="A2115" s="1107"/>
      <c r="B2115" s="1593" t="s">
        <v>2134</v>
      </c>
      <c r="C2115" s="1595">
        <v>15</v>
      </c>
      <c r="D2115" s="1587" t="s">
        <v>978</v>
      </c>
      <c r="E2115" s="1588">
        <v>3000</v>
      </c>
      <c r="F2115" s="1590"/>
      <c r="G2115" s="1590"/>
      <c r="H2115" s="1590"/>
      <c r="I2115" s="1590"/>
      <c r="J2115" s="1590"/>
      <c r="K2115" s="1589"/>
      <c r="L2115" s="1589">
        <f t="shared" si="157"/>
        <v>45000</v>
      </c>
      <c r="M2115" s="1589"/>
      <c r="N2115" s="1589">
        <f t="shared" si="158"/>
        <v>45000</v>
      </c>
      <c r="O2115" s="1591">
        <f t="shared" si="159"/>
        <v>45000</v>
      </c>
      <c r="P2115" s="1592"/>
      <c r="Q2115" s="1626"/>
      <c r="R2115" s="1626"/>
      <c r="S2115" s="1626"/>
      <c r="T2115" s="1626"/>
      <c r="U2115" s="1626"/>
      <c r="V2115" s="1626"/>
      <c r="W2115" s="1626"/>
      <c r="X2115" s="1626"/>
      <c r="Y2115" s="1626"/>
      <c r="Z2115" s="1626"/>
      <c r="AA2115" s="1626"/>
      <c r="AB2115" s="1626"/>
      <c r="AC2115" s="1626"/>
      <c r="AD2115" s="1626"/>
      <c r="AE2115" s="1626"/>
      <c r="AF2115" s="1626"/>
      <c r="AG2115" s="1626"/>
      <c r="AH2115" s="1626"/>
      <c r="AI2115" s="1626"/>
      <c r="AJ2115" s="1626"/>
      <c r="AK2115" s="1626"/>
      <c r="AL2115" s="1626"/>
      <c r="AM2115" s="1626"/>
      <c r="AN2115" s="1626"/>
      <c r="AO2115" s="1626"/>
      <c r="AP2115" s="1626"/>
      <c r="AQ2115" s="1626"/>
      <c r="AR2115" s="1626"/>
      <c r="AS2115" s="1626"/>
      <c r="AT2115" s="1626"/>
      <c r="AU2115" s="1626"/>
      <c r="AV2115" s="1626"/>
      <c r="AW2115" s="1626"/>
      <c r="AX2115" s="1626"/>
      <c r="AY2115" s="1626"/>
      <c r="AZ2115" s="1626"/>
      <c r="BA2115" s="1626"/>
      <c r="BB2115" s="1626"/>
      <c r="BC2115" s="1626"/>
      <c r="BD2115" s="1626"/>
      <c r="BE2115" s="1626"/>
      <c r="BF2115" s="1626"/>
      <c r="BG2115" s="1626"/>
      <c r="BH2115" s="1626"/>
      <c r="BI2115" s="1626"/>
      <c r="BJ2115" s="1626"/>
      <c r="BK2115" s="1626"/>
      <c r="BL2115" s="1626"/>
      <c r="BM2115" s="1626"/>
      <c r="BN2115" s="1626"/>
      <c r="BO2115" s="1626"/>
      <c r="BP2115" s="1626"/>
      <c r="BQ2115" s="1626"/>
      <c r="BR2115" s="1626"/>
      <c r="BS2115" s="1626"/>
      <c r="BT2115" s="1626"/>
      <c r="BU2115" s="1626"/>
      <c r="BV2115" s="1626"/>
      <c r="BW2115" s="1626"/>
      <c r="BX2115" s="1626"/>
      <c r="BY2115" s="1626"/>
      <c r="BZ2115" s="1626"/>
      <c r="CA2115" s="1626"/>
      <c r="CB2115" s="1626"/>
      <c r="CC2115" s="1626"/>
      <c r="CD2115" s="1626"/>
      <c r="CE2115" s="1626"/>
      <c r="CF2115" s="1626"/>
      <c r="CG2115" s="1626"/>
      <c r="CH2115" s="1626"/>
      <c r="CI2115" s="1626"/>
      <c r="CJ2115" s="1626"/>
      <c r="CK2115" s="1626"/>
    </row>
    <row r="2116" spans="1:89" s="1108" customFormat="1" ht="17.25" customHeight="1" x14ac:dyDescent="0.25">
      <c r="A2116" s="1107"/>
      <c r="B2116" s="1630" t="s">
        <v>947</v>
      </c>
      <c r="C2116" s="1586">
        <v>1</v>
      </c>
      <c r="D2116" s="1587" t="s">
        <v>660</v>
      </c>
      <c r="E2116" s="1588">
        <v>15000</v>
      </c>
      <c r="F2116" s="1589"/>
      <c r="G2116" s="1589"/>
      <c r="H2116" s="1589"/>
      <c r="I2116" s="1589"/>
      <c r="J2116" s="1589"/>
      <c r="K2116" s="1589"/>
      <c r="L2116" s="1589">
        <f t="shared" si="157"/>
        <v>15000</v>
      </c>
      <c r="M2116" s="1589"/>
      <c r="N2116" s="1589">
        <f t="shared" si="158"/>
        <v>15000</v>
      </c>
      <c r="O2116" s="1591">
        <f t="shared" si="159"/>
        <v>15000</v>
      </c>
      <c r="P2116" s="1592"/>
      <c r="Q2116" s="1626"/>
      <c r="R2116" s="1626"/>
      <c r="S2116" s="1626"/>
      <c r="T2116" s="1626"/>
      <c r="U2116" s="1626"/>
      <c r="V2116" s="1626"/>
      <c r="W2116" s="1626"/>
      <c r="X2116" s="1626"/>
      <c r="Y2116" s="1626"/>
      <c r="Z2116" s="1626"/>
      <c r="AA2116" s="1626"/>
      <c r="AB2116" s="1626"/>
      <c r="AC2116" s="1626"/>
      <c r="AD2116" s="1626"/>
      <c r="AE2116" s="1626"/>
      <c r="AF2116" s="1626"/>
      <c r="AG2116" s="1626"/>
      <c r="AH2116" s="1626"/>
      <c r="AI2116" s="1626"/>
      <c r="AJ2116" s="1626"/>
      <c r="AK2116" s="1626"/>
      <c r="AL2116" s="1626"/>
      <c r="AM2116" s="1626"/>
      <c r="AN2116" s="1626"/>
      <c r="AO2116" s="1626"/>
      <c r="AP2116" s="1626"/>
      <c r="AQ2116" s="1626"/>
      <c r="AR2116" s="1626"/>
      <c r="AS2116" s="1626"/>
      <c r="AT2116" s="1626"/>
      <c r="AU2116" s="1626"/>
      <c r="AV2116" s="1626"/>
      <c r="AW2116" s="1626"/>
      <c r="AX2116" s="1626"/>
      <c r="AY2116" s="1626"/>
      <c r="AZ2116" s="1626"/>
      <c r="BA2116" s="1626"/>
      <c r="BB2116" s="1626"/>
      <c r="BC2116" s="1626"/>
      <c r="BD2116" s="1626"/>
      <c r="BE2116" s="1626"/>
      <c r="BF2116" s="1626"/>
      <c r="BG2116" s="1626"/>
      <c r="BH2116" s="1626"/>
      <c r="BI2116" s="1626"/>
      <c r="BJ2116" s="1626"/>
      <c r="BK2116" s="1626"/>
      <c r="BL2116" s="1626"/>
      <c r="BM2116" s="1626"/>
      <c r="BN2116" s="1626"/>
      <c r="BO2116" s="1626"/>
      <c r="BP2116" s="1626"/>
      <c r="BQ2116" s="1626"/>
      <c r="BR2116" s="1626"/>
      <c r="BS2116" s="1626"/>
      <c r="BT2116" s="1626"/>
      <c r="BU2116" s="1626"/>
      <c r="BV2116" s="1626"/>
      <c r="BW2116" s="1626"/>
      <c r="BX2116" s="1626"/>
      <c r="BY2116" s="1626"/>
      <c r="BZ2116" s="1626"/>
      <c r="CA2116" s="1626"/>
      <c r="CB2116" s="1626"/>
      <c r="CC2116" s="1626"/>
      <c r="CD2116" s="1626"/>
      <c r="CE2116" s="1626"/>
      <c r="CF2116" s="1626"/>
      <c r="CG2116" s="1626"/>
      <c r="CH2116" s="1626"/>
      <c r="CI2116" s="1626"/>
      <c r="CJ2116" s="1626"/>
      <c r="CK2116" s="1626"/>
    </row>
    <row r="2117" spans="1:89" s="1108" customFormat="1" ht="17.25" customHeight="1" x14ac:dyDescent="0.25">
      <c r="A2117" s="1107"/>
      <c r="B2117" s="1631" t="s">
        <v>950</v>
      </c>
      <c r="C2117" s="1586">
        <v>2</v>
      </c>
      <c r="D2117" s="1587" t="s">
        <v>660</v>
      </c>
      <c r="E2117" s="1588">
        <v>5000</v>
      </c>
      <c r="F2117" s="1589"/>
      <c r="G2117" s="1589"/>
      <c r="H2117" s="1589"/>
      <c r="I2117" s="1589"/>
      <c r="J2117" s="1589"/>
      <c r="K2117" s="1589"/>
      <c r="L2117" s="1589">
        <f t="shared" si="157"/>
        <v>10000</v>
      </c>
      <c r="M2117" s="1589"/>
      <c r="N2117" s="1589">
        <f t="shared" si="158"/>
        <v>10000</v>
      </c>
      <c r="O2117" s="1591">
        <f t="shared" si="159"/>
        <v>10000</v>
      </c>
      <c r="P2117" s="1592"/>
      <c r="Q2117" s="1626"/>
      <c r="R2117" s="1626"/>
      <c r="S2117" s="1626"/>
      <c r="T2117" s="1626"/>
      <c r="U2117" s="1626"/>
      <c r="V2117" s="1626"/>
      <c r="W2117" s="1626"/>
      <c r="X2117" s="1626"/>
      <c r="Y2117" s="1626"/>
      <c r="Z2117" s="1626"/>
      <c r="AA2117" s="1626"/>
      <c r="AB2117" s="1626"/>
      <c r="AC2117" s="1626"/>
      <c r="AD2117" s="1626"/>
      <c r="AE2117" s="1626"/>
      <c r="AF2117" s="1626"/>
      <c r="AG2117" s="1626"/>
      <c r="AH2117" s="1626"/>
      <c r="AI2117" s="1626"/>
      <c r="AJ2117" s="1626"/>
      <c r="AK2117" s="1626"/>
      <c r="AL2117" s="1626"/>
      <c r="AM2117" s="1626"/>
      <c r="AN2117" s="1626"/>
      <c r="AO2117" s="1626"/>
      <c r="AP2117" s="1626"/>
      <c r="AQ2117" s="1626"/>
      <c r="AR2117" s="1626"/>
      <c r="AS2117" s="1626"/>
      <c r="AT2117" s="1626"/>
      <c r="AU2117" s="1626"/>
      <c r="AV2117" s="1626"/>
      <c r="AW2117" s="1626"/>
      <c r="AX2117" s="1626"/>
      <c r="AY2117" s="1626"/>
      <c r="AZ2117" s="1626"/>
      <c r="BA2117" s="1626"/>
      <c r="BB2117" s="1626"/>
      <c r="BC2117" s="1626"/>
      <c r="BD2117" s="1626"/>
      <c r="BE2117" s="1626"/>
      <c r="BF2117" s="1626"/>
      <c r="BG2117" s="1626"/>
      <c r="BH2117" s="1626"/>
      <c r="BI2117" s="1626"/>
      <c r="BJ2117" s="1626"/>
      <c r="BK2117" s="1626"/>
      <c r="BL2117" s="1626"/>
      <c r="BM2117" s="1626"/>
      <c r="BN2117" s="1626"/>
      <c r="BO2117" s="1626"/>
      <c r="BP2117" s="1626"/>
      <c r="BQ2117" s="1626"/>
      <c r="BR2117" s="1626"/>
      <c r="BS2117" s="1626"/>
      <c r="BT2117" s="1626"/>
      <c r="BU2117" s="1626"/>
      <c r="BV2117" s="1626"/>
      <c r="BW2117" s="1626"/>
      <c r="BX2117" s="1626"/>
      <c r="BY2117" s="1626"/>
      <c r="BZ2117" s="1626"/>
      <c r="CA2117" s="1626"/>
      <c r="CB2117" s="1626"/>
      <c r="CC2117" s="1626"/>
      <c r="CD2117" s="1626"/>
      <c r="CE2117" s="1626"/>
      <c r="CF2117" s="1626"/>
      <c r="CG2117" s="1626"/>
      <c r="CH2117" s="1626"/>
      <c r="CI2117" s="1626"/>
      <c r="CJ2117" s="1626"/>
      <c r="CK2117" s="1626"/>
    </row>
    <row r="2118" spans="1:89" s="1108" customFormat="1" ht="17.25" customHeight="1" x14ac:dyDescent="0.25">
      <c r="A2118" s="1107"/>
      <c r="B2118" s="1593" t="s">
        <v>951</v>
      </c>
      <c r="C2118" s="1586">
        <v>1</v>
      </c>
      <c r="D2118" s="1587" t="s">
        <v>660</v>
      </c>
      <c r="E2118" s="1588">
        <v>12500</v>
      </c>
      <c r="F2118" s="1589"/>
      <c r="G2118" s="1589"/>
      <c r="H2118" s="1589"/>
      <c r="I2118" s="1589"/>
      <c r="J2118" s="1589"/>
      <c r="K2118" s="1589"/>
      <c r="L2118" s="1589">
        <f t="shared" si="157"/>
        <v>12500</v>
      </c>
      <c r="M2118" s="1589"/>
      <c r="N2118" s="1589">
        <f t="shared" si="158"/>
        <v>12500</v>
      </c>
      <c r="O2118" s="1591">
        <f t="shared" si="159"/>
        <v>12500</v>
      </c>
      <c r="P2118" s="1592"/>
      <c r="Q2118" s="1626"/>
      <c r="R2118" s="1626"/>
      <c r="S2118" s="1626"/>
      <c r="T2118" s="1626"/>
      <c r="U2118" s="1626"/>
      <c r="V2118" s="1626"/>
      <c r="W2118" s="1626"/>
      <c r="X2118" s="1626"/>
      <c r="Y2118" s="1626"/>
      <c r="Z2118" s="1626"/>
      <c r="AA2118" s="1626"/>
      <c r="AB2118" s="1626"/>
      <c r="AC2118" s="1626"/>
      <c r="AD2118" s="1626"/>
      <c r="AE2118" s="1626"/>
      <c r="AF2118" s="1626"/>
      <c r="AG2118" s="1626"/>
      <c r="AH2118" s="1626"/>
      <c r="AI2118" s="1626"/>
      <c r="AJ2118" s="1626"/>
      <c r="AK2118" s="1626"/>
      <c r="AL2118" s="1626"/>
      <c r="AM2118" s="1626"/>
      <c r="AN2118" s="1626"/>
      <c r="AO2118" s="1626"/>
      <c r="AP2118" s="1626"/>
      <c r="AQ2118" s="1626"/>
      <c r="AR2118" s="1626"/>
      <c r="AS2118" s="1626"/>
      <c r="AT2118" s="1626"/>
      <c r="AU2118" s="1626"/>
      <c r="AV2118" s="1626"/>
      <c r="AW2118" s="1626"/>
      <c r="AX2118" s="1626"/>
      <c r="AY2118" s="1626"/>
      <c r="AZ2118" s="1626"/>
      <c r="BA2118" s="1626"/>
      <c r="BB2118" s="1626"/>
      <c r="BC2118" s="1626"/>
      <c r="BD2118" s="1626"/>
      <c r="BE2118" s="1626"/>
      <c r="BF2118" s="1626"/>
      <c r="BG2118" s="1626"/>
      <c r="BH2118" s="1626"/>
      <c r="BI2118" s="1626"/>
      <c r="BJ2118" s="1626"/>
      <c r="BK2118" s="1626"/>
      <c r="BL2118" s="1626"/>
      <c r="BM2118" s="1626"/>
      <c r="BN2118" s="1626"/>
      <c r="BO2118" s="1626"/>
      <c r="BP2118" s="1626"/>
      <c r="BQ2118" s="1626"/>
      <c r="BR2118" s="1626"/>
      <c r="BS2118" s="1626"/>
      <c r="BT2118" s="1626"/>
      <c r="BU2118" s="1626"/>
      <c r="BV2118" s="1626"/>
      <c r="BW2118" s="1626"/>
      <c r="BX2118" s="1626"/>
      <c r="BY2118" s="1626"/>
      <c r="BZ2118" s="1626"/>
      <c r="CA2118" s="1626"/>
      <c r="CB2118" s="1626"/>
      <c r="CC2118" s="1626"/>
      <c r="CD2118" s="1626"/>
      <c r="CE2118" s="1626"/>
      <c r="CF2118" s="1626"/>
      <c r="CG2118" s="1626"/>
      <c r="CH2118" s="1626"/>
      <c r="CI2118" s="1626"/>
      <c r="CJ2118" s="1626"/>
      <c r="CK2118" s="1626"/>
    </row>
    <row r="2119" spans="1:89" s="1108" customFormat="1" ht="17.25" customHeight="1" x14ac:dyDescent="0.25">
      <c r="A2119" s="1107"/>
      <c r="B2119" s="1607" t="s">
        <v>974</v>
      </c>
      <c r="C2119" s="1586">
        <v>1</v>
      </c>
      <c r="D2119" s="1600" t="s">
        <v>16</v>
      </c>
      <c r="E2119" s="1601">
        <v>1250000</v>
      </c>
      <c r="F2119" s="1589"/>
      <c r="G2119" s="1589"/>
      <c r="H2119" s="1589"/>
      <c r="I2119" s="1589"/>
      <c r="J2119" s="1589"/>
      <c r="K2119" s="1589"/>
      <c r="L2119" s="1589">
        <f t="shared" si="157"/>
        <v>1250000</v>
      </c>
      <c r="M2119" s="1589"/>
      <c r="N2119" s="1589">
        <f t="shared" si="158"/>
        <v>1250000</v>
      </c>
      <c r="O2119" s="1591">
        <f t="shared" si="159"/>
        <v>1250000</v>
      </c>
      <c r="P2119" s="1592"/>
      <c r="Q2119" s="1626"/>
      <c r="R2119" s="1626"/>
      <c r="S2119" s="1626"/>
      <c r="T2119" s="1626"/>
      <c r="U2119" s="1626"/>
      <c r="V2119" s="1626"/>
      <c r="W2119" s="1626"/>
      <c r="X2119" s="1626"/>
      <c r="Y2119" s="1626"/>
      <c r="Z2119" s="1626"/>
      <c r="AA2119" s="1626"/>
      <c r="AB2119" s="1626"/>
      <c r="AC2119" s="1626"/>
      <c r="AD2119" s="1626"/>
      <c r="AE2119" s="1626"/>
      <c r="AF2119" s="1626"/>
      <c r="AG2119" s="1626"/>
      <c r="AH2119" s="1626"/>
      <c r="AI2119" s="1626"/>
      <c r="AJ2119" s="1626"/>
      <c r="AK2119" s="1626"/>
      <c r="AL2119" s="1626"/>
      <c r="AM2119" s="1626"/>
      <c r="AN2119" s="1626"/>
      <c r="AO2119" s="1626"/>
      <c r="AP2119" s="1626"/>
      <c r="AQ2119" s="1626"/>
      <c r="AR2119" s="1626"/>
      <c r="AS2119" s="1626"/>
      <c r="AT2119" s="1626"/>
      <c r="AU2119" s="1626"/>
      <c r="AV2119" s="1626"/>
      <c r="AW2119" s="1626"/>
      <c r="AX2119" s="1626"/>
      <c r="AY2119" s="1626"/>
      <c r="AZ2119" s="1626"/>
      <c r="BA2119" s="1626"/>
      <c r="BB2119" s="1626"/>
      <c r="BC2119" s="1626"/>
      <c r="BD2119" s="1626"/>
      <c r="BE2119" s="1626"/>
      <c r="BF2119" s="1626"/>
      <c r="BG2119" s="1626"/>
      <c r="BH2119" s="1626"/>
      <c r="BI2119" s="1626"/>
      <c r="BJ2119" s="1626"/>
      <c r="BK2119" s="1626"/>
      <c r="BL2119" s="1626"/>
      <c r="BM2119" s="1626"/>
      <c r="BN2119" s="1626"/>
      <c r="BO2119" s="1626"/>
      <c r="BP2119" s="1626"/>
      <c r="BQ2119" s="1626"/>
      <c r="BR2119" s="1626"/>
      <c r="BS2119" s="1626"/>
      <c r="BT2119" s="1626"/>
      <c r="BU2119" s="1626"/>
      <c r="BV2119" s="1626"/>
      <c r="BW2119" s="1626"/>
      <c r="BX2119" s="1626"/>
      <c r="BY2119" s="1626"/>
      <c r="BZ2119" s="1626"/>
      <c r="CA2119" s="1626"/>
      <c r="CB2119" s="1626"/>
      <c r="CC2119" s="1626"/>
      <c r="CD2119" s="1626"/>
      <c r="CE2119" s="1626"/>
      <c r="CF2119" s="1626"/>
      <c r="CG2119" s="1626"/>
      <c r="CH2119" s="1626"/>
      <c r="CI2119" s="1626"/>
      <c r="CJ2119" s="1626"/>
      <c r="CK2119" s="1626"/>
    </row>
    <row r="2120" spans="1:89" s="1108" customFormat="1" ht="17.25" customHeight="1" x14ac:dyDescent="0.25">
      <c r="A2120" s="1107"/>
      <c r="B2120" s="1631" t="s">
        <v>2135</v>
      </c>
      <c r="C2120" s="1586">
        <v>1</v>
      </c>
      <c r="D2120" s="1587" t="s">
        <v>196</v>
      </c>
      <c r="E2120" s="1588"/>
      <c r="F2120" s="1589"/>
      <c r="G2120" s="1589"/>
      <c r="H2120" s="1589"/>
      <c r="I2120" s="1589"/>
      <c r="J2120" s="1589"/>
      <c r="K2120" s="1589"/>
      <c r="L2120" s="1589">
        <f t="shared" si="157"/>
        <v>0</v>
      </c>
      <c r="M2120" s="1589"/>
      <c r="N2120" s="1589">
        <f t="shared" si="158"/>
        <v>0</v>
      </c>
      <c r="O2120" s="1591">
        <f t="shared" si="159"/>
        <v>0</v>
      </c>
      <c r="P2120" s="1592"/>
      <c r="Q2120" s="1626"/>
      <c r="R2120" s="1626"/>
      <c r="S2120" s="1626"/>
      <c r="T2120" s="1626"/>
      <c r="U2120" s="1626"/>
      <c r="V2120" s="1626"/>
      <c r="W2120" s="1626"/>
      <c r="X2120" s="1626"/>
      <c r="Y2120" s="1626"/>
      <c r="Z2120" s="1626"/>
      <c r="AA2120" s="1626"/>
      <c r="AB2120" s="1626"/>
      <c r="AC2120" s="1626"/>
      <c r="AD2120" s="1626"/>
      <c r="AE2120" s="1626"/>
      <c r="AF2120" s="1626"/>
      <c r="AG2120" s="1626"/>
      <c r="AH2120" s="1626"/>
      <c r="AI2120" s="1626"/>
      <c r="AJ2120" s="1626"/>
      <c r="AK2120" s="1626"/>
      <c r="AL2120" s="1626"/>
      <c r="AM2120" s="1626"/>
      <c r="AN2120" s="1626"/>
      <c r="AO2120" s="1626"/>
      <c r="AP2120" s="1626"/>
      <c r="AQ2120" s="1626"/>
      <c r="AR2120" s="1626"/>
      <c r="AS2120" s="1626"/>
      <c r="AT2120" s="1626"/>
      <c r="AU2120" s="1626"/>
      <c r="AV2120" s="1626"/>
      <c r="AW2120" s="1626"/>
      <c r="AX2120" s="1626"/>
      <c r="AY2120" s="1626"/>
      <c r="AZ2120" s="1626"/>
      <c r="BA2120" s="1626"/>
      <c r="BB2120" s="1626"/>
      <c r="BC2120" s="1626"/>
      <c r="BD2120" s="1626"/>
      <c r="BE2120" s="1626"/>
      <c r="BF2120" s="1626"/>
      <c r="BG2120" s="1626"/>
      <c r="BH2120" s="1626"/>
      <c r="BI2120" s="1626"/>
      <c r="BJ2120" s="1626"/>
      <c r="BK2120" s="1626"/>
      <c r="BL2120" s="1626"/>
      <c r="BM2120" s="1626"/>
      <c r="BN2120" s="1626"/>
      <c r="BO2120" s="1626"/>
      <c r="BP2120" s="1626"/>
      <c r="BQ2120" s="1626"/>
      <c r="BR2120" s="1626"/>
      <c r="BS2120" s="1626"/>
      <c r="BT2120" s="1626"/>
      <c r="BU2120" s="1626"/>
      <c r="BV2120" s="1626"/>
      <c r="BW2120" s="1626"/>
      <c r="BX2120" s="1626"/>
      <c r="BY2120" s="1626"/>
      <c r="BZ2120" s="1626"/>
      <c r="CA2120" s="1626"/>
      <c r="CB2120" s="1626"/>
      <c r="CC2120" s="1626"/>
      <c r="CD2120" s="1626"/>
      <c r="CE2120" s="1626"/>
      <c r="CF2120" s="1626"/>
      <c r="CG2120" s="1626"/>
      <c r="CH2120" s="1626"/>
      <c r="CI2120" s="1626"/>
      <c r="CJ2120" s="1626"/>
      <c r="CK2120" s="1626"/>
    </row>
    <row r="2121" spans="1:89" s="1108" customFormat="1" ht="17.25" customHeight="1" x14ac:dyDescent="0.25">
      <c r="A2121" s="1107"/>
      <c r="B2121" s="1631" t="s">
        <v>2136</v>
      </c>
      <c r="C2121" s="1586">
        <v>1</v>
      </c>
      <c r="D2121" s="1587" t="s">
        <v>196</v>
      </c>
      <c r="E2121" s="1588">
        <v>15535</v>
      </c>
      <c r="F2121" s="1589"/>
      <c r="G2121" s="1589"/>
      <c r="H2121" s="1589"/>
      <c r="I2121" s="1589"/>
      <c r="J2121" s="1589"/>
      <c r="K2121" s="1589"/>
      <c r="L2121" s="1589">
        <f t="shared" si="157"/>
        <v>15535</v>
      </c>
      <c r="M2121" s="1589"/>
      <c r="N2121" s="1589">
        <f t="shared" si="158"/>
        <v>15535</v>
      </c>
      <c r="O2121" s="1591">
        <f t="shared" si="159"/>
        <v>15535</v>
      </c>
      <c r="P2121" s="1592"/>
      <c r="Q2121" s="1626"/>
      <c r="R2121" s="1626"/>
      <c r="S2121" s="1626"/>
      <c r="T2121" s="1626"/>
      <c r="U2121" s="1626"/>
      <c r="V2121" s="1626"/>
      <c r="W2121" s="1626"/>
      <c r="X2121" s="1626"/>
      <c r="Y2121" s="1626"/>
      <c r="Z2121" s="1626"/>
      <c r="AA2121" s="1626"/>
      <c r="AB2121" s="1626"/>
      <c r="AC2121" s="1626"/>
      <c r="AD2121" s="1626"/>
      <c r="AE2121" s="1626"/>
      <c r="AF2121" s="1626"/>
      <c r="AG2121" s="1626"/>
      <c r="AH2121" s="1626"/>
      <c r="AI2121" s="1626"/>
      <c r="AJ2121" s="1626"/>
      <c r="AK2121" s="1626"/>
      <c r="AL2121" s="1626"/>
      <c r="AM2121" s="1626"/>
      <c r="AN2121" s="1626"/>
      <c r="AO2121" s="1626"/>
      <c r="AP2121" s="1626"/>
      <c r="AQ2121" s="1626"/>
      <c r="AR2121" s="1626"/>
      <c r="AS2121" s="1626"/>
      <c r="AT2121" s="1626"/>
      <c r="AU2121" s="1626"/>
      <c r="AV2121" s="1626"/>
      <c r="AW2121" s="1626"/>
      <c r="AX2121" s="1626"/>
      <c r="AY2121" s="1626"/>
      <c r="AZ2121" s="1626"/>
      <c r="BA2121" s="1626"/>
      <c r="BB2121" s="1626"/>
      <c r="BC2121" s="1626"/>
      <c r="BD2121" s="1626"/>
      <c r="BE2121" s="1626"/>
      <c r="BF2121" s="1626"/>
      <c r="BG2121" s="1626"/>
      <c r="BH2121" s="1626"/>
      <c r="BI2121" s="1626"/>
      <c r="BJ2121" s="1626"/>
      <c r="BK2121" s="1626"/>
      <c r="BL2121" s="1626"/>
      <c r="BM2121" s="1626"/>
      <c r="BN2121" s="1626"/>
      <c r="BO2121" s="1626"/>
      <c r="BP2121" s="1626"/>
      <c r="BQ2121" s="1626"/>
      <c r="BR2121" s="1626"/>
      <c r="BS2121" s="1626"/>
      <c r="BT2121" s="1626"/>
      <c r="BU2121" s="1626"/>
      <c r="BV2121" s="1626"/>
      <c r="BW2121" s="1626"/>
      <c r="BX2121" s="1626"/>
      <c r="BY2121" s="1626"/>
      <c r="BZ2121" s="1626"/>
      <c r="CA2121" s="1626"/>
      <c r="CB2121" s="1626"/>
      <c r="CC2121" s="1626"/>
      <c r="CD2121" s="1626"/>
      <c r="CE2121" s="1626"/>
      <c r="CF2121" s="1626"/>
      <c r="CG2121" s="1626"/>
      <c r="CH2121" s="1626"/>
      <c r="CI2121" s="1626"/>
      <c r="CJ2121" s="1626"/>
      <c r="CK2121" s="1626"/>
    </row>
    <row r="2122" spans="1:89" s="1108" customFormat="1" ht="17.25" customHeight="1" x14ac:dyDescent="0.25">
      <c r="A2122" s="1632"/>
      <c r="B2122" s="1593" t="s">
        <v>682</v>
      </c>
      <c r="C2122" s="1586">
        <v>2</v>
      </c>
      <c r="D2122" s="1587" t="s">
        <v>196</v>
      </c>
      <c r="E2122" s="1588">
        <v>6000</v>
      </c>
      <c r="F2122" s="1590"/>
      <c r="G2122" s="1590"/>
      <c r="H2122" s="1590"/>
      <c r="I2122" s="1590"/>
      <c r="J2122" s="1590"/>
      <c r="K2122" s="1589"/>
      <c r="L2122" s="1589">
        <f t="shared" si="157"/>
        <v>12000</v>
      </c>
      <c r="M2122" s="1589"/>
      <c r="N2122" s="1589">
        <f t="shared" si="158"/>
        <v>12000</v>
      </c>
      <c r="O2122" s="1591">
        <f t="shared" si="159"/>
        <v>12000</v>
      </c>
      <c r="P2122" s="1592"/>
      <c r="Q2122" s="1626"/>
      <c r="R2122" s="1626"/>
      <c r="S2122" s="1626"/>
      <c r="T2122" s="1626"/>
      <c r="U2122" s="1626"/>
      <c r="V2122" s="1626"/>
      <c r="W2122" s="1626"/>
      <c r="X2122" s="1626"/>
      <c r="Y2122" s="1626"/>
      <c r="Z2122" s="1626"/>
      <c r="AA2122" s="1626"/>
      <c r="AB2122" s="1626"/>
      <c r="AC2122" s="1626"/>
      <c r="AD2122" s="1626"/>
      <c r="AE2122" s="1626"/>
      <c r="AF2122" s="1626"/>
      <c r="AG2122" s="1626"/>
      <c r="AH2122" s="1626"/>
      <c r="AI2122" s="1626"/>
      <c r="AJ2122" s="1626"/>
      <c r="AK2122" s="1626"/>
      <c r="AL2122" s="1626"/>
      <c r="AM2122" s="1626"/>
      <c r="AN2122" s="1626"/>
      <c r="AO2122" s="1626"/>
      <c r="AP2122" s="1626"/>
      <c r="AQ2122" s="1626"/>
      <c r="AR2122" s="1626"/>
      <c r="AS2122" s="1626"/>
      <c r="AT2122" s="1626"/>
      <c r="AU2122" s="1626"/>
      <c r="AV2122" s="1626"/>
      <c r="AW2122" s="1626"/>
      <c r="AX2122" s="1626"/>
      <c r="AY2122" s="1626"/>
      <c r="AZ2122" s="1626"/>
      <c r="BA2122" s="1626"/>
      <c r="BB2122" s="1626"/>
      <c r="BC2122" s="1626"/>
      <c r="BD2122" s="1626"/>
      <c r="BE2122" s="1626"/>
      <c r="BF2122" s="1626"/>
      <c r="BG2122" s="1626"/>
      <c r="BH2122" s="1626"/>
      <c r="BI2122" s="1626"/>
      <c r="BJ2122" s="1626"/>
      <c r="BK2122" s="1626"/>
      <c r="BL2122" s="1626"/>
      <c r="BM2122" s="1626"/>
      <c r="BN2122" s="1626"/>
      <c r="BO2122" s="1626"/>
      <c r="BP2122" s="1626"/>
      <c r="BQ2122" s="1626"/>
      <c r="BR2122" s="1626"/>
      <c r="BS2122" s="1626"/>
      <c r="BT2122" s="1626"/>
      <c r="BU2122" s="1626"/>
      <c r="BV2122" s="1626"/>
      <c r="BW2122" s="1626"/>
      <c r="BX2122" s="1626"/>
      <c r="BY2122" s="1626"/>
      <c r="BZ2122" s="1626"/>
      <c r="CA2122" s="1626"/>
      <c r="CB2122" s="1626"/>
      <c r="CC2122" s="1626"/>
      <c r="CD2122" s="1626"/>
      <c r="CE2122" s="1626"/>
      <c r="CF2122" s="1626"/>
      <c r="CG2122" s="1626"/>
      <c r="CH2122" s="1626"/>
      <c r="CI2122" s="1626"/>
      <c r="CJ2122" s="1626"/>
      <c r="CK2122" s="1626"/>
    </row>
    <row r="2123" spans="1:89" s="1108" customFormat="1" ht="17.25" customHeight="1" x14ac:dyDescent="0.25">
      <c r="A2123" s="1633"/>
      <c r="B2123" s="1593" t="s">
        <v>960</v>
      </c>
      <c r="C2123" s="1586">
        <v>2</v>
      </c>
      <c r="D2123" s="1587" t="s">
        <v>196</v>
      </c>
      <c r="E2123" s="1588">
        <v>5000</v>
      </c>
      <c r="F2123" s="1589"/>
      <c r="G2123" s="1589"/>
      <c r="H2123" s="1589"/>
      <c r="I2123" s="1589"/>
      <c r="J2123" s="1589"/>
      <c r="K2123" s="1589"/>
      <c r="L2123" s="1589">
        <f t="shared" si="157"/>
        <v>10000</v>
      </c>
      <c r="M2123" s="1589"/>
      <c r="N2123" s="1589">
        <f t="shared" si="158"/>
        <v>10000</v>
      </c>
      <c r="O2123" s="1591">
        <f t="shared" si="159"/>
        <v>10000</v>
      </c>
      <c r="P2123" s="1592"/>
      <c r="Q2123" s="1626"/>
      <c r="R2123" s="1626"/>
      <c r="S2123" s="1626"/>
      <c r="T2123" s="1626"/>
      <c r="U2123" s="1626"/>
      <c r="V2123" s="1626"/>
      <c r="W2123" s="1626"/>
      <c r="X2123" s="1626"/>
      <c r="Y2123" s="1626"/>
      <c r="Z2123" s="1626"/>
      <c r="AA2123" s="1626"/>
      <c r="AB2123" s="1626"/>
      <c r="AC2123" s="1626"/>
      <c r="AD2123" s="1626"/>
      <c r="AE2123" s="1626"/>
      <c r="AF2123" s="1626"/>
      <c r="AG2123" s="1626"/>
      <c r="AH2123" s="1626"/>
      <c r="AI2123" s="1626"/>
      <c r="AJ2123" s="1626"/>
      <c r="AK2123" s="1626"/>
      <c r="AL2123" s="1626"/>
      <c r="AM2123" s="1626"/>
      <c r="AN2123" s="1626"/>
      <c r="AO2123" s="1626"/>
      <c r="AP2123" s="1626"/>
      <c r="AQ2123" s="1626"/>
      <c r="AR2123" s="1626"/>
      <c r="AS2123" s="1626"/>
      <c r="AT2123" s="1626"/>
      <c r="AU2123" s="1626"/>
      <c r="AV2123" s="1626"/>
      <c r="AW2123" s="1626"/>
      <c r="AX2123" s="1626"/>
      <c r="AY2123" s="1626"/>
      <c r="AZ2123" s="1626"/>
      <c r="BA2123" s="1626"/>
      <c r="BB2123" s="1626"/>
      <c r="BC2123" s="1626"/>
      <c r="BD2123" s="1626"/>
      <c r="BE2123" s="1626"/>
      <c r="BF2123" s="1626"/>
      <c r="BG2123" s="1626"/>
      <c r="BH2123" s="1626"/>
      <c r="BI2123" s="1626"/>
      <c r="BJ2123" s="1626"/>
      <c r="BK2123" s="1626"/>
      <c r="BL2123" s="1626"/>
      <c r="BM2123" s="1626"/>
      <c r="BN2123" s="1626"/>
      <c r="BO2123" s="1626"/>
      <c r="BP2123" s="1626"/>
      <c r="BQ2123" s="1626"/>
      <c r="BR2123" s="1626"/>
      <c r="BS2123" s="1626"/>
      <c r="BT2123" s="1626"/>
      <c r="BU2123" s="1626"/>
      <c r="BV2123" s="1626"/>
      <c r="BW2123" s="1626"/>
      <c r="BX2123" s="1626"/>
      <c r="BY2123" s="1626"/>
      <c r="BZ2123" s="1626"/>
      <c r="CA2123" s="1626"/>
      <c r="CB2123" s="1626"/>
      <c r="CC2123" s="1626"/>
      <c r="CD2123" s="1626"/>
      <c r="CE2123" s="1626"/>
      <c r="CF2123" s="1626"/>
      <c r="CG2123" s="1626"/>
      <c r="CH2123" s="1626"/>
      <c r="CI2123" s="1626"/>
      <c r="CJ2123" s="1626"/>
      <c r="CK2123" s="1626"/>
    </row>
    <row r="2124" spans="1:89" s="1108" customFormat="1" ht="17.25" customHeight="1" x14ac:dyDescent="0.25">
      <c r="A2124" s="1634"/>
      <c r="B2124" s="1593" t="s">
        <v>962</v>
      </c>
      <c r="C2124" s="1586">
        <v>5</v>
      </c>
      <c r="D2124" s="1587" t="s">
        <v>196</v>
      </c>
      <c r="E2124" s="1588">
        <v>1000</v>
      </c>
      <c r="F2124" s="1589"/>
      <c r="G2124" s="1589"/>
      <c r="H2124" s="1589"/>
      <c r="I2124" s="1589"/>
      <c r="J2124" s="1589"/>
      <c r="K2124" s="1589"/>
      <c r="L2124" s="1589">
        <f t="shared" si="157"/>
        <v>5000</v>
      </c>
      <c r="M2124" s="1589"/>
      <c r="N2124" s="1589">
        <f t="shared" si="158"/>
        <v>5000</v>
      </c>
      <c r="O2124" s="1591">
        <f t="shared" si="159"/>
        <v>5000</v>
      </c>
      <c r="P2124" s="1592"/>
      <c r="Q2124" s="1626"/>
      <c r="R2124" s="1626"/>
      <c r="S2124" s="1626"/>
      <c r="T2124" s="1626"/>
      <c r="U2124" s="1626"/>
      <c r="V2124" s="1626"/>
      <c r="W2124" s="1626"/>
      <c r="X2124" s="1626"/>
      <c r="Y2124" s="1626"/>
      <c r="Z2124" s="1626"/>
      <c r="AA2124" s="1626"/>
      <c r="AB2124" s="1626"/>
      <c r="AC2124" s="1626"/>
      <c r="AD2124" s="1626"/>
      <c r="AE2124" s="1626"/>
      <c r="AF2124" s="1626"/>
      <c r="AG2124" s="1626"/>
      <c r="AH2124" s="1626"/>
      <c r="AI2124" s="1626"/>
      <c r="AJ2124" s="1626"/>
      <c r="AK2124" s="1626"/>
      <c r="AL2124" s="1626"/>
      <c r="AM2124" s="1626"/>
      <c r="AN2124" s="1626"/>
      <c r="AO2124" s="1626"/>
      <c r="AP2124" s="1626"/>
      <c r="AQ2124" s="1626"/>
      <c r="AR2124" s="1626"/>
      <c r="AS2124" s="1626"/>
      <c r="AT2124" s="1626"/>
      <c r="AU2124" s="1626"/>
      <c r="AV2124" s="1626"/>
      <c r="AW2124" s="1626"/>
      <c r="AX2124" s="1626"/>
      <c r="AY2124" s="1626"/>
      <c r="AZ2124" s="1626"/>
      <c r="BA2124" s="1626"/>
      <c r="BB2124" s="1626"/>
      <c r="BC2124" s="1626"/>
      <c r="BD2124" s="1626"/>
      <c r="BE2124" s="1626"/>
      <c r="BF2124" s="1626"/>
      <c r="BG2124" s="1626"/>
      <c r="BH2124" s="1626"/>
      <c r="BI2124" s="1626"/>
      <c r="BJ2124" s="1626"/>
      <c r="BK2124" s="1626"/>
      <c r="BL2124" s="1626"/>
      <c r="BM2124" s="1626"/>
      <c r="BN2124" s="1626"/>
      <c r="BO2124" s="1626"/>
      <c r="BP2124" s="1626"/>
      <c r="BQ2124" s="1626"/>
      <c r="BR2124" s="1626"/>
      <c r="BS2124" s="1626"/>
      <c r="BT2124" s="1626"/>
      <c r="BU2124" s="1626"/>
      <c r="BV2124" s="1626"/>
      <c r="BW2124" s="1626"/>
      <c r="BX2124" s="1626"/>
      <c r="BY2124" s="1626"/>
      <c r="BZ2124" s="1626"/>
      <c r="CA2124" s="1626"/>
      <c r="CB2124" s="1626"/>
      <c r="CC2124" s="1626"/>
      <c r="CD2124" s="1626"/>
      <c r="CE2124" s="1626"/>
      <c r="CF2124" s="1626"/>
      <c r="CG2124" s="1626"/>
      <c r="CH2124" s="1626"/>
      <c r="CI2124" s="1626"/>
      <c r="CJ2124" s="1626"/>
      <c r="CK2124" s="1626"/>
    </row>
    <row r="2125" spans="1:89" s="1108" customFormat="1" ht="18" x14ac:dyDescent="0.25">
      <c r="A2125" s="1634"/>
      <c r="B2125" s="1631" t="s">
        <v>2137</v>
      </c>
      <c r="C2125" s="1586">
        <v>2</v>
      </c>
      <c r="D2125" s="1587" t="s">
        <v>196</v>
      </c>
      <c r="E2125" s="1588">
        <v>3000</v>
      </c>
      <c r="F2125" s="1589"/>
      <c r="G2125" s="1589"/>
      <c r="H2125" s="1589"/>
      <c r="I2125" s="1589"/>
      <c r="J2125" s="1589"/>
      <c r="K2125" s="1589"/>
      <c r="L2125" s="1589">
        <f t="shared" si="157"/>
        <v>6000</v>
      </c>
      <c r="M2125" s="1589"/>
      <c r="N2125" s="1589">
        <f t="shared" si="158"/>
        <v>6000</v>
      </c>
      <c r="O2125" s="1591">
        <f t="shared" si="159"/>
        <v>6000</v>
      </c>
      <c r="P2125" s="1592"/>
      <c r="Q2125" s="1626"/>
      <c r="R2125" s="1626"/>
      <c r="S2125" s="1626"/>
      <c r="T2125" s="1626"/>
      <c r="U2125" s="1626"/>
      <c r="V2125" s="1626"/>
      <c r="W2125" s="1626"/>
      <c r="X2125" s="1626"/>
      <c r="Y2125" s="1626"/>
      <c r="Z2125" s="1626"/>
      <c r="AA2125" s="1626"/>
      <c r="AB2125" s="1626"/>
      <c r="AC2125" s="1626"/>
      <c r="AD2125" s="1626"/>
      <c r="AE2125" s="1626"/>
      <c r="AF2125" s="1626"/>
      <c r="AG2125" s="1626"/>
      <c r="AH2125" s="1626"/>
      <c r="AI2125" s="1626"/>
      <c r="AJ2125" s="1626"/>
      <c r="AK2125" s="1626"/>
      <c r="AL2125" s="1626"/>
      <c r="AM2125" s="1626"/>
      <c r="AN2125" s="1626"/>
      <c r="AO2125" s="1626"/>
      <c r="AP2125" s="1626"/>
      <c r="AQ2125" s="1626"/>
      <c r="AR2125" s="1626"/>
      <c r="AS2125" s="1626"/>
      <c r="AT2125" s="1626"/>
      <c r="AU2125" s="1626"/>
      <c r="AV2125" s="1626"/>
      <c r="AW2125" s="1626"/>
      <c r="AX2125" s="1626"/>
      <c r="AY2125" s="1626"/>
      <c r="AZ2125" s="1626"/>
      <c r="BA2125" s="1626"/>
      <c r="BB2125" s="1626"/>
      <c r="BC2125" s="1626"/>
      <c r="BD2125" s="1626"/>
      <c r="BE2125" s="1626"/>
      <c r="BF2125" s="1626"/>
      <c r="BG2125" s="1626"/>
      <c r="BH2125" s="1626"/>
      <c r="BI2125" s="1626"/>
      <c r="BJ2125" s="1626"/>
      <c r="BK2125" s="1626"/>
      <c r="BL2125" s="1626"/>
      <c r="BM2125" s="1626"/>
      <c r="BN2125" s="1626"/>
      <c r="BO2125" s="1626"/>
      <c r="BP2125" s="1626"/>
      <c r="BQ2125" s="1626"/>
      <c r="BR2125" s="1626"/>
      <c r="BS2125" s="1626"/>
      <c r="BT2125" s="1626"/>
      <c r="BU2125" s="1626"/>
      <c r="BV2125" s="1626"/>
      <c r="BW2125" s="1626"/>
      <c r="BX2125" s="1626"/>
      <c r="BY2125" s="1626"/>
      <c r="BZ2125" s="1626"/>
      <c r="CA2125" s="1626"/>
      <c r="CB2125" s="1626"/>
      <c r="CC2125" s="1626"/>
      <c r="CD2125" s="1626"/>
      <c r="CE2125" s="1626"/>
      <c r="CF2125" s="1626"/>
      <c r="CG2125" s="1626"/>
      <c r="CH2125" s="1626"/>
      <c r="CI2125" s="1626"/>
      <c r="CJ2125" s="1626"/>
      <c r="CK2125" s="1626"/>
    </row>
    <row r="2126" spans="1:89" s="1108" customFormat="1" ht="17.25" customHeight="1" x14ac:dyDescent="0.25">
      <c r="A2126" s="1635"/>
      <c r="B2126" s="1636" t="s">
        <v>2138</v>
      </c>
      <c r="C2126" s="1586">
        <v>1</v>
      </c>
      <c r="D2126" s="1600" t="s">
        <v>196</v>
      </c>
      <c r="E2126" s="1601">
        <v>15000</v>
      </c>
      <c r="F2126" s="1589"/>
      <c r="G2126" s="1589"/>
      <c r="H2126" s="1589"/>
      <c r="I2126" s="1589"/>
      <c r="J2126" s="1589"/>
      <c r="K2126" s="1589"/>
      <c r="L2126" s="1589">
        <f t="shared" si="157"/>
        <v>15000</v>
      </c>
      <c r="M2126" s="1589"/>
      <c r="N2126" s="1589">
        <f t="shared" si="158"/>
        <v>15000</v>
      </c>
      <c r="O2126" s="1591">
        <f t="shared" si="159"/>
        <v>15000</v>
      </c>
      <c r="P2126" s="1592"/>
      <c r="Q2126" s="1626"/>
      <c r="R2126" s="1626"/>
      <c r="S2126" s="1626"/>
      <c r="T2126" s="1626"/>
      <c r="U2126" s="1626"/>
      <c r="V2126" s="1626"/>
      <c r="W2126" s="1626"/>
      <c r="X2126" s="1626"/>
      <c r="Y2126" s="1626"/>
      <c r="Z2126" s="1626"/>
      <c r="AA2126" s="1626"/>
      <c r="AB2126" s="1626"/>
      <c r="AC2126" s="1626"/>
      <c r="AD2126" s="1626"/>
      <c r="AE2126" s="1626"/>
      <c r="AF2126" s="1626"/>
      <c r="AG2126" s="1626"/>
      <c r="AH2126" s="1626"/>
      <c r="AI2126" s="1626"/>
      <c r="AJ2126" s="1626"/>
      <c r="AK2126" s="1626"/>
      <c r="AL2126" s="1626"/>
      <c r="AM2126" s="1626"/>
      <c r="AN2126" s="1626"/>
      <c r="AO2126" s="1626"/>
      <c r="AP2126" s="1626"/>
      <c r="AQ2126" s="1626"/>
      <c r="AR2126" s="1626"/>
      <c r="AS2126" s="1626"/>
      <c r="AT2126" s="1626"/>
      <c r="AU2126" s="1626"/>
      <c r="AV2126" s="1626"/>
      <c r="AW2126" s="1626"/>
      <c r="AX2126" s="1626"/>
      <c r="AY2126" s="1626"/>
      <c r="AZ2126" s="1626"/>
      <c r="BA2126" s="1626"/>
      <c r="BB2126" s="1626"/>
      <c r="BC2126" s="1626"/>
      <c r="BD2126" s="1626"/>
      <c r="BE2126" s="1626"/>
      <c r="BF2126" s="1626"/>
      <c r="BG2126" s="1626"/>
      <c r="BH2126" s="1626"/>
      <c r="BI2126" s="1626"/>
      <c r="BJ2126" s="1626"/>
      <c r="BK2126" s="1626"/>
      <c r="BL2126" s="1626"/>
      <c r="BM2126" s="1626"/>
      <c r="BN2126" s="1626"/>
      <c r="BO2126" s="1626"/>
      <c r="BP2126" s="1626"/>
      <c r="BQ2126" s="1626"/>
      <c r="BR2126" s="1626"/>
      <c r="BS2126" s="1626"/>
      <c r="BT2126" s="1626"/>
      <c r="BU2126" s="1626"/>
      <c r="BV2126" s="1626"/>
      <c r="BW2126" s="1626"/>
      <c r="BX2126" s="1626"/>
      <c r="BY2126" s="1626"/>
      <c r="BZ2126" s="1626"/>
      <c r="CA2126" s="1626"/>
      <c r="CB2126" s="1626"/>
      <c r="CC2126" s="1626"/>
      <c r="CD2126" s="1626"/>
      <c r="CE2126" s="1626"/>
      <c r="CF2126" s="1626"/>
      <c r="CG2126" s="1626"/>
      <c r="CH2126" s="1626"/>
      <c r="CI2126" s="1626"/>
      <c r="CJ2126" s="1626"/>
      <c r="CK2126" s="1626"/>
    </row>
    <row r="2127" spans="1:89" s="1108" customFormat="1" ht="17.25" customHeight="1" x14ac:dyDescent="0.25">
      <c r="A2127" s="1637"/>
      <c r="B2127" s="1638"/>
      <c r="C2127" s="1639"/>
      <c r="D2127" s="1640"/>
      <c r="E2127" s="1641"/>
      <c r="F2127" s="1642"/>
      <c r="G2127" s="1642"/>
      <c r="H2127" s="1642"/>
      <c r="I2127" s="1642"/>
      <c r="J2127" s="1642"/>
      <c r="K2127" s="1642"/>
      <c r="L2127" s="1642"/>
      <c r="M2127" s="1642"/>
      <c r="N2127" s="1642"/>
      <c r="O2127" s="1643"/>
      <c r="P2127" s="1592"/>
      <c r="Q2127" s="1626"/>
      <c r="R2127" s="1626"/>
      <c r="S2127" s="1626"/>
      <c r="T2127" s="1626"/>
      <c r="U2127" s="1626"/>
      <c r="V2127" s="1626"/>
      <c r="W2127" s="1626"/>
      <c r="X2127" s="1626"/>
      <c r="Y2127" s="1626"/>
      <c r="Z2127" s="1626"/>
      <c r="AA2127" s="1626"/>
      <c r="AB2127" s="1626"/>
      <c r="AC2127" s="1626"/>
      <c r="AD2127" s="1626"/>
      <c r="AE2127" s="1626"/>
      <c r="AF2127" s="1626"/>
      <c r="AG2127" s="1626"/>
      <c r="AH2127" s="1626"/>
      <c r="AI2127" s="1626"/>
      <c r="AJ2127" s="1626"/>
      <c r="AK2127" s="1626"/>
      <c r="AL2127" s="1626"/>
      <c r="AM2127" s="1626"/>
      <c r="AN2127" s="1626"/>
      <c r="AO2127" s="1626"/>
      <c r="AP2127" s="1626"/>
      <c r="AQ2127" s="1626"/>
      <c r="AR2127" s="1626"/>
      <c r="AS2127" s="1626"/>
      <c r="AT2127" s="1626"/>
      <c r="AU2127" s="1626"/>
      <c r="AV2127" s="1626"/>
      <c r="AW2127" s="1626"/>
      <c r="AX2127" s="1626"/>
      <c r="AY2127" s="1626"/>
      <c r="AZ2127" s="1626"/>
      <c r="BA2127" s="1626"/>
      <c r="BB2127" s="1626"/>
      <c r="BC2127" s="1626"/>
      <c r="BD2127" s="1626"/>
      <c r="BE2127" s="1626"/>
      <c r="BF2127" s="1626"/>
      <c r="BG2127" s="1626"/>
      <c r="BH2127" s="1626"/>
      <c r="BI2127" s="1626"/>
      <c r="BJ2127" s="1626"/>
      <c r="BK2127" s="1626"/>
      <c r="BL2127" s="1626"/>
      <c r="BM2127" s="1626"/>
      <c r="BN2127" s="1626"/>
      <c r="BO2127" s="1626"/>
      <c r="BP2127" s="1626"/>
      <c r="BQ2127" s="1626"/>
      <c r="BR2127" s="1626"/>
      <c r="BS2127" s="1626"/>
      <c r="BT2127" s="1626"/>
      <c r="BU2127" s="1626"/>
      <c r="BV2127" s="1626"/>
      <c r="BW2127" s="1626"/>
      <c r="BX2127" s="1626"/>
      <c r="BY2127" s="1626"/>
      <c r="BZ2127" s="1626"/>
      <c r="CA2127" s="1626"/>
      <c r="CB2127" s="1626"/>
      <c r="CC2127" s="1626"/>
      <c r="CD2127" s="1626"/>
      <c r="CE2127" s="1626"/>
      <c r="CF2127" s="1626"/>
      <c r="CG2127" s="1626"/>
      <c r="CH2127" s="1626"/>
      <c r="CI2127" s="1626"/>
      <c r="CJ2127" s="1626"/>
      <c r="CK2127" s="1626"/>
    </row>
    <row r="2128" spans="1:89" ht="17.25" customHeight="1" x14ac:dyDescent="0.25">
      <c r="A2128" s="1103"/>
      <c r="B2128" s="925" t="s">
        <v>2278</v>
      </c>
      <c r="C2128" s="834">
        <v>1</v>
      </c>
      <c r="D2128" s="926" t="s">
        <v>16</v>
      </c>
      <c r="E2128" s="722">
        <v>300000</v>
      </c>
      <c r="F2128" s="721"/>
      <c r="G2128" s="721"/>
      <c r="H2128" s="721"/>
      <c r="I2128" s="721"/>
      <c r="J2128" s="721"/>
      <c r="K2128" s="721"/>
      <c r="L2128" s="714">
        <f>E2128*C2128</f>
        <v>300000</v>
      </c>
      <c r="M2128" s="721"/>
      <c r="N2128" s="714">
        <f>M2128+L2128</f>
        <v>300000</v>
      </c>
      <c r="O2128" s="753">
        <f>N2128+K2128+H2128</f>
        <v>300000</v>
      </c>
      <c r="P2128" s="754"/>
    </row>
    <row r="2129" spans="1:89" ht="17.25" customHeight="1" x14ac:dyDescent="0.25">
      <c r="A2129" s="1103"/>
      <c r="B2129" s="925" t="s">
        <v>2279</v>
      </c>
      <c r="C2129" s="834">
        <v>1</v>
      </c>
      <c r="D2129" s="926" t="s">
        <v>16</v>
      </c>
      <c r="E2129" s="722">
        <v>300000</v>
      </c>
      <c r="F2129" s="721"/>
      <c r="G2129" s="721"/>
      <c r="H2129" s="721"/>
      <c r="I2129" s="721"/>
      <c r="J2129" s="721"/>
      <c r="K2129" s="721"/>
      <c r="L2129" s="714">
        <f>E2129*C2129</f>
        <v>300000</v>
      </c>
      <c r="M2129" s="721"/>
      <c r="N2129" s="714">
        <f>M2129+L2129</f>
        <v>300000</v>
      </c>
      <c r="O2129" s="753">
        <f>N2129+K2129+H2129</f>
        <v>300000</v>
      </c>
      <c r="P2129" s="754"/>
    </row>
    <row r="2130" spans="1:89" s="1108" customFormat="1" ht="17.25" customHeight="1" x14ac:dyDescent="0.25">
      <c r="A2130" s="1637"/>
      <c r="B2130" s="1638"/>
      <c r="C2130" s="1639"/>
      <c r="D2130" s="1640"/>
      <c r="E2130" s="1641"/>
      <c r="F2130" s="1642"/>
      <c r="G2130" s="1642"/>
      <c r="H2130" s="1642"/>
      <c r="I2130" s="1642"/>
      <c r="J2130" s="1642"/>
      <c r="K2130" s="1642"/>
      <c r="L2130" s="1642"/>
      <c r="M2130" s="1642"/>
      <c r="N2130" s="1642"/>
      <c r="O2130" s="1643"/>
      <c r="P2130" s="1592"/>
      <c r="Q2130" s="1626"/>
      <c r="R2130" s="1626"/>
      <c r="S2130" s="1626"/>
      <c r="T2130" s="1626"/>
      <c r="U2130" s="1626"/>
      <c r="V2130" s="1626"/>
      <c r="W2130" s="1626"/>
      <c r="X2130" s="1626"/>
      <c r="Y2130" s="1626"/>
      <c r="Z2130" s="1626"/>
      <c r="AA2130" s="1626"/>
      <c r="AB2130" s="1626"/>
      <c r="AC2130" s="1626"/>
      <c r="AD2130" s="1626"/>
      <c r="AE2130" s="1626"/>
      <c r="AF2130" s="1626"/>
      <c r="AG2130" s="1626"/>
      <c r="AH2130" s="1626"/>
      <c r="AI2130" s="1626"/>
      <c r="AJ2130" s="1626"/>
      <c r="AK2130" s="1626"/>
      <c r="AL2130" s="1626"/>
      <c r="AM2130" s="1626"/>
      <c r="AN2130" s="1626"/>
      <c r="AO2130" s="1626"/>
      <c r="AP2130" s="1626"/>
      <c r="AQ2130" s="1626"/>
      <c r="AR2130" s="1626"/>
      <c r="AS2130" s="1626"/>
      <c r="AT2130" s="1626"/>
      <c r="AU2130" s="1626"/>
      <c r="AV2130" s="1626"/>
      <c r="AW2130" s="1626"/>
      <c r="AX2130" s="1626"/>
      <c r="AY2130" s="1626"/>
      <c r="AZ2130" s="1626"/>
      <c r="BA2130" s="1626"/>
      <c r="BB2130" s="1626"/>
      <c r="BC2130" s="1626"/>
      <c r="BD2130" s="1626"/>
      <c r="BE2130" s="1626"/>
      <c r="BF2130" s="1626"/>
      <c r="BG2130" s="1626"/>
      <c r="BH2130" s="1626"/>
      <c r="BI2130" s="1626"/>
      <c r="BJ2130" s="1626"/>
      <c r="BK2130" s="1626"/>
      <c r="BL2130" s="1626"/>
      <c r="BM2130" s="1626"/>
      <c r="BN2130" s="1626"/>
      <c r="BO2130" s="1626"/>
      <c r="BP2130" s="1626"/>
      <c r="BQ2130" s="1626"/>
      <c r="BR2130" s="1626"/>
      <c r="BS2130" s="1626"/>
      <c r="BT2130" s="1626"/>
      <c r="BU2130" s="1626"/>
      <c r="BV2130" s="1626"/>
      <c r="BW2130" s="1626"/>
      <c r="BX2130" s="1626"/>
      <c r="BY2130" s="1626"/>
      <c r="BZ2130" s="1626"/>
      <c r="CA2130" s="1626"/>
      <c r="CB2130" s="1626"/>
      <c r="CC2130" s="1626"/>
      <c r="CD2130" s="1626"/>
      <c r="CE2130" s="1626"/>
      <c r="CF2130" s="1626"/>
      <c r="CG2130" s="1626"/>
      <c r="CH2130" s="1626"/>
      <c r="CI2130" s="1626"/>
      <c r="CJ2130" s="1626"/>
      <c r="CK2130" s="1626"/>
    </row>
    <row r="2131" spans="1:89" s="1108" customFormat="1" ht="17.25" customHeight="1" x14ac:dyDescent="0.25">
      <c r="A2131" s="1637"/>
      <c r="B2131" s="1638"/>
      <c r="C2131" s="1639"/>
      <c r="D2131" s="1640"/>
      <c r="E2131" s="1641"/>
      <c r="F2131" s="1642"/>
      <c r="G2131" s="1642"/>
      <c r="H2131" s="1642"/>
      <c r="I2131" s="1642"/>
      <c r="J2131" s="1642"/>
      <c r="K2131" s="1642"/>
      <c r="L2131" s="1642"/>
      <c r="M2131" s="1642"/>
      <c r="N2131" s="1642"/>
      <c r="O2131" s="1643"/>
      <c r="P2131" s="1592"/>
      <c r="Q2131" s="1626"/>
      <c r="R2131" s="1626"/>
      <c r="S2131" s="1626"/>
      <c r="T2131" s="1626"/>
      <c r="U2131" s="1626"/>
      <c r="V2131" s="1626"/>
      <c r="W2131" s="1626"/>
      <c r="X2131" s="1626"/>
      <c r="Y2131" s="1626"/>
      <c r="Z2131" s="1626"/>
      <c r="AA2131" s="1626"/>
      <c r="AB2131" s="1626"/>
      <c r="AC2131" s="1626"/>
      <c r="AD2131" s="1626"/>
      <c r="AE2131" s="1626"/>
      <c r="AF2131" s="1626"/>
      <c r="AG2131" s="1626"/>
      <c r="AH2131" s="1626"/>
      <c r="AI2131" s="1626"/>
      <c r="AJ2131" s="1626"/>
      <c r="AK2131" s="1626"/>
      <c r="AL2131" s="1626"/>
      <c r="AM2131" s="1626"/>
      <c r="AN2131" s="1626"/>
      <c r="AO2131" s="1626"/>
      <c r="AP2131" s="1626"/>
      <c r="AQ2131" s="1626"/>
      <c r="AR2131" s="1626"/>
      <c r="AS2131" s="1626"/>
      <c r="AT2131" s="1626"/>
      <c r="AU2131" s="1626"/>
      <c r="AV2131" s="1626"/>
      <c r="AW2131" s="1626"/>
      <c r="AX2131" s="1626"/>
      <c r="AY2131" s="1626"/>
      <c r="AZ2131" s="1626"/>
      <c r="BA2131" s="1626"/>
      <c r="BB2131" s="1626"/>
      <c r="BC2131" s="1626"/>
      <c r="BD2131" s="1626"/>
      <c r="BE2131" s="1626"/>
      <c r="BF2131" s="1626"/>
      <c r="BG2131" s="1626"/>
      <c r="BH2131" s="1626"/>
      <c r="BI2131" s="1626"/>
      <c r="BJ2131" s="1626"/>
      <c r="BK2131" s="1626"/>
      <c r="BL2131" s="1626"/>
      <c r="BM2131" s="1626"/>
      <c r="BN2131" s="1626"/>
      <c r="BO2131" s="1626"/>
      <c r="BP2131" s="1626"/>
      <c r="BQ2131" s="1626"/>
      <c r="BR2131" s="1626"/>
      <c r="BS2131" s="1626"/>
      <c r="BT2131" s="1626"/>
      <c r="BU2131" s="1626"/>
      <c r="BV2131" s="1626"/>
      <c r="BW2131" s="1626"/>
      <c r="BX2131" s="1626"/>
      <c r="BY2131" s="1626"/>
      <c r="BZ2131" s="1626"/>
      <c r="CA2131" s="1626"/>
      <c r="CB2131" s="1626"/>
      <c r="CC2131" s="1626"/>
      <c r="CD2131" s="1626"/>
      <c r="CE2131" s="1626"/>
      <c r="CF2131" s="1626"/>
      <c r="CG2131" s="1626"/>
      <c r="CH2131" s="1626"/>
      <c r="CI2131" s="1626"/>
      <c r="CJ2131" s="1626"/>
      <c r="CK2131" s="1626"/>
    </row>
    <row r="2132" spans="1:89" ht="29.25" customHeight="1" x14ac:dyDescent="0.25">
      <c r="A2132" s="1109"/>
      <c r="B2132" s="1110"/>
      <c r="C2132" s="1111"/>
      <c r="D2132" s="1112"/>
      <c r="E2132" s="1113"/>
      <c r="F2132" s="916"/>
      <c r="G2132" s="916"/>
      <c r="H2132" s="916"/>
      <c r="I2132" s="916"/>
      <c r="J2132" s="916"/>
      <c r="K2132" s="916"/>
      <c r="L2132" s="916"/>
      <c r="M2132" s="916"/>
      <c r="N2132" s="916"/>
      <c r="O2132" s="917"/>
      <c r="P2132" s="754"/>
    </row>
    <row r="2133" spans="1:89" ht="36.75" customHeight="1" x14ac:dyDescent="0.25">
      <c r="A2133" s="1764">
        <v>35</v>
      </c>
      <c r="B2133" s="1228" t="s">
        <v>198</v>
      </c>
      <c r="C2133" s="1490"/>
      <c r="D2133" s="1583"/>
      <c r="E2133" s="1290"/>
      <c r="F2133" s="896">
        <f>SUM(F2135:F2325)</f>
        <v>0</v>
      </c>
      <c r="G2133" s="896">
        <f>SUM(G2135:G2325)</f>
        <v>0</v>
      </c>
      <c r="H2133" s="896">
        <f>G2133+F2133</f>
        <v>0</v>
      </c>
      <c r="I2133" s="896">
        <f>SUM(I2135:I2325)</f>
        <v>1686380</v>
      </c>
      <c r="J2133" s="896">
        <f>SUM(J2135:J2325)</f>
        <v>2012116</v>
      </c>
      <c r="K2133" s="896">
        <f>J2133+I2133</f>
        <v>3698496</v>
      </c>
      <c r="L2133" s="896">
        <f>SUM(L2135:L2325)</f>
        <v>9365000</v>
      </c>
      <c r="M2133" s="896">
        <f>SUM(M2135:M2325)</f>
        <v>0</v>
      </c>
      <c r="N2133" s="896">
        <f>M2133+L2133</f>
        <v>9365000</v>
      </c>
      <c r="O2133" s="1494">
        <f>N2133+K2133+H2133</f>
        <v>13063496</v>
      </c>
      <c r="P2133" s="912"/>
    </row>
    <row r="2134" spans="1:89" ht="17.25" customHeight="1" x14ac:dyDescent="0.25">
      <c r="A2134" s="1098"/>
      <c r="B2134" s="927"/>
      <c r="C2134" s="835"/>
      <c r="D2134" s="833"/>
      <c r="E2134" s="825"/>
      <c r="F2134" s="684"/>
      <c r="G2134" s="684"/>
      <c r="H2134" s="684"/>
      <c r="I2134" s="684"/>
      <c r="J2134" s="684"/>
      <c r="K2134" s="684"/>
      <c r="L2134" s="684"/>
      <c r="M2134" s="684"/>
      <c r="N2134" s="684"/>
      <c r="O2134" s="867"/>
      <c r="P2134" s="754"/>
    </row>
    <row r="2135" spans="1:89" ht="21" customHeight="1" x14ac:dyDescent="0.25">
      <c r="A2135" s="1099"/>
      <c r="B2135" s="920" t="s">
        <v>866</v>
      </c>
      <c r="C2135" s="713">
        <v>3</v>
      </c>
      <c r="D2135" s="727"/>
      <c r="E2135" s="695" t="s">
        <v>867</v>
      </c>
      <c r="F2135" s="714"/>
      <c r="G2135" s="714"/>
      <c r="H2135" s="714"/>
      <c r="I2135" s="714"/>
      <c r="J2135" s="714"/>
      <c r="K2135" s="714"/>
      <c r="L2135" s="714"/>
      <c r="M2135" s="714"/>
      <c r="N2135" s="695"/>
      <c r="O2135" s="696"/>
      <c r="P2135" s="687"/>
    </row>
    <row r="2136" spans="1:89" ht="21" customHeight="1" x14ac:dyDescent="0.25">
      <c r="A2136" s="1099"/>
      <c r="B2136" s="921"/>
      <c r="C2136" s="713"/>
      <c r="D2136" s="727"/>
      <c r="E2136" s="695"/>
      <c r="F2136" s="714"/>
      <c r="G2136" s="714"/>
      <c r="H2136" s="714"/>
      <c r="I2136" s="714"/>
      <c r="J2136" s="714">
        <f t="shared" ref="J2136:J2153" si="160">C2136*E2136</f>
        <v>0</v>
      </c>
      <c r="K2136" s="714">
        <f t="shared" ref="K2136:K2153" si="161">I2136+J2136</f>
        <v>0</v>
      </c>
      <c r="L2136" s="714"/>
      <c r="M2136" s="714"/>
      <c r="N2136" s="714"/>
      <c r="O2136" s="753">
        <f t="shared" ref="O2136:O2153" si="162">N2136+K2136+H2136</f>
        <v>0</v>
      </c>
      <c r="P2136" s="754"/>
    </row>
    <row r="2137" spans="1:89" ht="21" customHeight="1" x14ac:dyDescent="0.25">
      <c r="A2137" s="1099"/>
      <c r="B2137" s="921" t="s">
        <v>868</v>
      </c>
      <c r="C2137" s="713"/>
      <c r="D2137" s="727"/>
      <c r="E2137" s="695"/>
      <c r="F2137" s="714"/>
      <c r="G2137" s="714"/>
      <c r="H2137" s="714"/>
      <c r="I2137" s="714"/>
      <c r="J2137" s="714">
        <f t="shared" si="160"/>
        <v>0</v>
      </c>
      <c r="K2137" s="714">
        <f t="shared" si="161"/>
        <v>0</v>
      </c>
      <c r="L2137" s="714"/>
      <c r="M2137" s="714"/>
      <c r="N2137" s="714"/>
      <c r="O2137" s="753">
        <f t="shared" si="162"/>
        <v>0</v>
      </c>
      <c r="P2137" s="754"/>
    </row>
    <row r="2138" spans="1:89" ht="21" customHeight="1" x14ac:dyDescent="0.25">
      <c r="A2138" s="1099"/>
      <c r="B2138" s="921"/>
      <c r="C2138" s="713"/>
      <c r="D2138" s="727"/>
      <c r="E2138" s="695"/>
      <c r="F2138" s="714"/>
      <c r="G2138" s="714"/>
      <c r="H2138" s="714"/>
      <c r="I2138" s="714"/>
      <c r="J2138" s="714">
        <f t="shared" si="160"/>
        <v>0</v>
      </c>
      <c r="K2138" s="714">
        <f t="shared" si="161"/>
        <v>0</v>
      </c>
      <c r="L2138" s="714"/>
      <c r="M2138" s="714"/>
      <c r="N2138" s="714"/>
      <c r="O2138" s="753">
        <f t="shared" si="162"/>
        <v>0</v>
      </c>
      <c r="P2138" s="754"/>
    </row>
    <row r="2139" spans="1:89" s="672" customFormat="1" ht="21" customHeight="1" x14ac:dyDescent="0.25">
      <c r="A2139" s="1104" t="s">
        <v>575</v>
      </c>
      <c r="B2139" s="1644" t="s">
        <v>869</v>
      </c>
      <c r="C2139" s="886"/>
      <c r="D2139" s="1369"/>
      <c r="E2139" s="705"/>
      <c r="F2139" s="874"/>
      <c r="G2139" s="874"/>
      <c r="H2139" s="874"/>
      <c r="I2139" s="874"/>
      <c r="J2139" s="874">
        <f t="shared" si="160"/>
        <v>0</v>
      </c>
      <c r="K2139" s="874">
        <f t="shared" si="161"/>
        <v>0</v>
      </c>
      <c r="L2139" s="874"/>
      <c r="M2139" s="874"/>
      <c r="N2139" s="874"/>
      <c r="O2139" s="775">
        <f t="shared" si="162"/>
        <v>0</v>
      </c>
      <c r="P2139" s="776"/>
      <c r="Q2139" s="1581"/>
      <c r="R2139" s="1581"/>
      <c r="S2139" s="1581"/>
      <c r="T2139" s="1581"/>
      <c r="U2139" s="1581"/>
      <c r="V2139" s="1581"/>
      <c r="W2139" s="1581"/>
      <c r="X2139" s="1581"/>
      <c r="Y2139" s="1581"/>
      <c r="Z2139" s="1581"/>
      <c r="AA2139" s="1581"/>
      <c r="AB2139" s="1581"/>
      <c r="AC2139" s="1581"/>
      <c r="AD2139" s="1581"/>
      <c r="AE2139" s="1581"/>
      <c r="AF2139" s="1581"/>
      <c r="AG2139" s="1581"/>
      <c r="AH2139" s="1581"/>
      <c r="AI2139" s="1581"/>
      <c r="AJ2139" s="1581"/>
      <c r="AK2139" s="1581"/>
      <c r="AL2139" s="1581"/>
      <c r="AM2139" s="1581"/>
      <c r="AN2139" s="1581"/>
      <c r="AO2139" s="1581"/>
      <c r="AP2139" s="1581"/>
      <c r="AQ2139" s="1581"/>
      <c r="AR2139" s="1581"/>
      <c r="AS2139" s="1581"/>
      <c r="AT2139" s="1581"/>
      <c r="AU2139" s="1581"/>
      <c r="AV2139" s="1581"/>
      <c r="AW2139" s="1581"/>
      <c r="AX2139" s="1581"/>
      <c r="AY2139" s="1581"/>
      <c r="AZ2139" s="1581"/>
      <c r="BA2139" s="1581"/>
      <c r="BB2139" s="1581"/>
      <c r="BC2139" s="1581"/>
      <c r="BD2139" s="1581"/>
      <c r="BE2139" s="1581"/>
      <c r="BF2139" s="1581"/>
      <c r="BG2139" s="1581"/>
      <c r="BH2139" s="1581"/>
      <c r="BI2139" s="1581"/>
      <c r="BJ2139" s="1581"/>
      <c r="BK2139" s="1581"/>
      <c r="BL2139" s="1581"/>
      <c r="BM2139" s="1581"/>
      <c r="BN2139" s="1581"/>
      <c r="BO2139" s="1581"/>
      <c r="BP2139" s="1581"/>
      <c r="BQ2139" s="1581"/>
      <c r="BR2139" s="1581"/>
      <c r="BS2139" s="1581"/>
      <c r="BT2139" s="1581"/>
      <c r="BU2139" s="1581"/>
      <c r="BV2139" s="1581"/>
      <c r="BW2139" s="1581"/>
      <c r="BX2139" s="1581"/>
      <c r="BY2139" s="1581"/>
      <c r="BZ2139" s="1581"/>
      <c r="CA2139" s="1581"/>
      <c r="CB2139" s="1581"/>
      <c r="CC2139" s="1581"/>
      <c r="CD2139" s="1581"/>
      <c r="CE2139" s="1581"/>
      <c r="CF2139" s="1581"/>
      <c r="CG2139" s="1581"/>
      <c r="CH2139" s="1581"/>
      <c r="CI2139" s="1581"/>
      <c r="CJ2139" s="1581"/>
      <c r="CK2139" s="1581"/>
    </row>
    <row r="2140" spans="1:89" ht="21" customHeight="1" x14ac:dyDescent="0.25">
      <c r="A2140" s="1099"/>
      <c r="B2140" s="921" t="s">
        <v>877</v>
      </c>
      <c r="C2140" s="713"/>
      <c r="D2140" s="727"/>
      <c r="E2140" s="695"/>
      <c r="F2140" s="714"/>
      <c r="G2140" s="714"/>
      <c r="H2140" s="714"/>
      <c r="I2140" s="714"/>
      <c r="J2140" s="714">
        <f t="shared" si="160"/>
        <v>0</v>
      </c>
      <c r="K2140" s="714">
        <f t="shared" si="161"/>
        <v>0</v>
      </c>
      <c r="L2140" s="714"/>
      <c r="M2140" s="714"/>
      <c r="N2140" s="714"/>
      <c r="O2140" s="753">
        <f t="shared" si="162"/>
        <v>0</v>
      </c>
      <c r="P2140" s="754"/>
    </row>
    <row r="2141" spans="1:89" ht="21" customHeight="1" x14ac:dyDescent="0.25">
      <c r="A2141" s="1099"/>
      <c r="B2141" s="922" t="s">
        <v>1658</v>
      </c>
      <c r="C2141" s="713">
        <f>12*0</f>
        <v>0</v>
      </c>
      <c r="D2141" s="727" t="s">
        <v>20</v>
      </c>
      <c r="E2141" s="695">
        <f>300*0</f>
        <v>0</v>
      </c>
      <c r="F2141" s="714"/>
      <c r="G2141" s="714"/>
      <c r="H2141" s="714"/>
      <c r="I2141" s="714"/>
      <c r="J2141" s="714">
        <f t="shared" si="160"/>
        <v>0</v>
      </c>
      <c r="K2141" s="714">
        <f t="shared" si="161"/>
        <v>0</v>
      </c>
      <c r="L2141" s="714"/>
      <c r="M2141" s="714"/>
      <c r="N2141" s="714"/>
      <c r="O2141" s="753">
        <f t="shared" si="162"/>
        <v>0</v>
      </c>
      <c r="P2141" s="754"/>
    </row>
    <row r="2142" spans="1:89" ht="21" customHeight="1" x14ac:dyDescent="0.25">
      <c r="A2142" s="1099"/>
      <c r="B2142" s="922" t="s">
        <v>1659</v>
      </c>
      <c r="C2142" s="713">
        <f>12*0</f>
        <v>0</v>
      </c>
      <c r="D2142" s="727" t="s">
        <v>20</v>
      </c>
      <c r="E2142" s="695">
        <f>250*0</f>
        <v>0</v>
      </c>
      <c r="F2142" s="714"/>
      <c r="G2142" s="714"/>
      <c r="H2142" s="714"/>
      <c r="I2142" s="714"/>
      <c r="J2142" s="714">
        <f t="shared" si="160"/>
        <v>0</v>
      </c>
      <c r="K2142" s="714">
        <f t="shared" si="161"/>
        <v>0</v>
      </c>
      <c r="L2142" s="714"/>
      <c r="M2142" s="714"/>
      <c r="N2142" s="714"/>
      <c r="O2142" s="753">
        <f t="shared" si="162"/>
        <v>0</v>
      </c>
      <c r="P2142" s="754"/>
    </row>
    <row r="2143" spans="1:89" ht="21" customHeight="1" x14ac:dyDescent="0.25">
      <c r="A2143" s="1099"/>
      <c r="B2143" s="922" t="s">
        <v>1660</v>
      </c>
      <c r="C2143" s="713">
        <f>12*0</f>
        <v>0</v>
      </c>
      <c r="D2143" s="727" t="s">
        <v>20</v>
      </c>
      <c r="E2143" s="695">
        <f>200*0</f>
        <v>0</v>
      </c>
      <c r="F2143" s="714"/>
      <c r="G2143" s="714"/>
      <c r="H2143" s="714"/>
      <c r="I2143" s="714"/>
      <c r="J2143" s="714">
        <f t="shared" si="160"/>
        <v>0</v>
      </c>
      <c r="K2143" s="714">
        <f t="shared" si="161"/>
        <v>0</v>
      </c>
      <c r="L2143" s="714"/>
      <c r="M2143" s="714"/>
      <c r="N2143" s="714"/>
      <c r="O2143" s="753">
        <f t="shared" si="162"/>
        <v>0</v>
      </c>
      <c r="P2143" s="754"/>
    </row>
    <row r="2144" spans="1:89" ht="21" customHeight="1" x14ac:dyDescent="0.25">
      <c r="A2144" s="1099"/>
      <c r="B2144" s="1584" t="s">
        <v>1661</v>
      </c>
      <c r="C2144" s="713">
        <f>12*0</f>
        <v>0</v>
      </c>
      <c r="D2144" s="727" t="s">
        <v>20</v>
      </c>
      <c r="E2144" s="695">
        <f>200*0</f>
        <v>0</v>
      </c>
      <c r="F2144" s="714"/>
      <c r="G2144" s="714"/>
      <c r="H2144" s="714"/>
      <c r="I2144" s="714"/>
      <c r="J2144" s="714">
        <f t="shared" si="160"/>
        <v>0</v>
      </c>
      <c r="K2144" s="714">
        <f t="shared" si="161"/>
        <v>0</v>
      </c>
      <c r="L2144" s="714"/>
      <c r="M2144" s="714"/>
      <c r="N2144" s="714"/>
      <c r="O2144" s="753">
        <f t="shared" si="162"/>
        <v>0</v>
      </c>
      <c r="P2144" s="754"/>
    </row>
    <row r="2145" spans="1:16" ht="21" customHeight="1" x14ac:dyDescent="0.25">
      <c r="A2145" s="1099"/>
      <c r="B2145" s="922" t="s">
        <v>1662</v>
      </c>
      <c r="C2145" s="713">
        <f>48*0</f>
        <v>0</v>
      </c>
      <c r="D2145" s="727" t="s">
        <v>20</v>
      </c>
      <c r="E2145" s="695">
        <f>150*0</f>
        <v>0</v>
      </c>
      <c r="F2145" s="714"/>
      <c r="G2145" s="714"/>
      <c r="H2145" s="714"/>
      <c r="I2145" s="714"/>
      <c r="J2145" s="714">
        <f t="shared" si="160"/>
        <v>0</v>
      </c>
      <c r="K2145" s="714">
        <f t="shared" si="161"/>
        <v>0</v>
      </c>
      <c r="L2145" s="714"/>
      <c r="M2145" s="714"/>
      <c r="N2145" s="714"/>
      <c r="O2145" s="753">
        <f t="shared" si="162"/>
        <v>0</v>
      </c>
      <c r="P2145" s="754"/>
    </row>
    <row r="2146" spans="1:16" ht="21" customHeight="1" x14ac:dyDescent="0.25">
      <c r="A2146" s="1099"/>
      <c r="B2146" s="922"/>
      <c r="C2146" s="713"/>
      <c r="D2146" s="727"/>
      <c r="E2146" s="695"/>
      <c r="F2146" s="714"/>
      <c r="G2146" s="714"/>
      <c r="H2146" s="714"/>
      <c r="I2146" s="714"/>
      <c r="J2146" s="714">
        <f t="shared" si="160"/>
        <v>0</v>
      </c>
      <c r="K2146" s="714">
        <f t="shared" si="161"/>
        <v>0</v>
      </c>
      <c r="L2146" s="714"/>
      <c r="M2146" s="714"/>
      <c r="N2146" s="714"/>
      <c r="O2146" s="753">
        <f t="shared" si="162"/>
        <v>0</v>
      </c>
      <c r="P2146" s="754"/>
    </row>
    <row r="2147" spans="1:16" ht="21" customHeight="1" x14ac:dyDescent="0.25">
      <c r="A2147" s="1099"/>
      <c r="B2147" s="1645" t="s">
        <v>1700</v>
      </c>
      <c r="C2147" s="713">
        <f>84*0</f>
        <v>0</v>
      </c>
      <c r="D2147" s="727" t="s">
        <v>55</v>
      </c>
      <c r="E2147" s="695">
        <f>300*0</f>
        <v>0</v>
      </c>
      <c r="F2147" s="714"/>
      <c r="G2147" s="714"/>
      <c r="H2147" s="714"/>
      <c r="I2147" s="714"/>
      <c r="J2147" s="714">
        <f t="shared" si="160"/>
        <v>0</v>
      </c>
      <c r="K2147" s="714">
        <f t="shared" si="161"/>
        <v>0</v>
      </c>
      <c r="L2147" s="714"/>
      <c r="M2147" s="714"/>
      <c r="N2147" s="714"/>
      <c r="O2147" s="753">
        <f t="shared" si="162"/>
        <v>0</v>
      </c>
      <c r="P2147" s="754"/>
    </row>
    <row r="2148" spans="1:16" ht="21" customHeight="1" x14ac:dyDescent="0.25">
      <c r="A2148" s="1099"/>
      <c r="B2148" s="1645" t="s">
        <v>1701</v>
      </c>
      <c r="C2148" s="713">
        <f>24*0</f>
        <v>0</v>
      </c>
      <c r="D2148" s="727" t="s">
        <v>55</v>
      </c>
      <c r="E2148" s="695">
        <f>300*0</f>
        <v>0</v>
      </c>
      <c r="F2148" s="714"/>
      <c r="G2148" s="714"/>
      <c r="H2148" s="714"/>
      <c r="I2148" s="714"/>
      <c r="J2148" s="714">
        <f t="shared" si="160"/>
        <v>0</v>
      </c>
      <c r="K2148" s="714">
        <f t="shared" si="161"/>
        <v>0</v>
      </c>
      <c r="L2148" s="714"/>
      <c r="M2148" s="714"/>
      <c r="N2148" s="714"/>
      <c r="O2148" s="753">
        <f t="shared" si="162"/>
        <v>0</v>
      </c>
      <c r="P2148" s="754"/>
    </row>
    <row r="2149" spans="1:16" ht="21" customHeight="1" x14ac:dyDescent="0.25">
      <c r="A2149" s="1099"/>
      <c r="B2149" s="1645" t="s">
        <v>1702</v>
      </c>
      <c r="C2149" s="713">
        <f>48*0</f>
        <v>0</v>
      </c>
      <c r="D2149" s="727" t="s">
        <v>55</v>
      </c>
      <c r="E2149" s="695">
        <f>300*0</f>
        <v>0</v>
      </c>
      <c r="F2149" s="714"/>
      <c r="G2149" s="714"/>
      <c r="H2149" s="714"/>
      <c r="I2149" s="714"/>
      <c r="J2149" s="714">
        <f t="shared" si="160"/>
        <v>0</v>
      </c>
      <c r="K2149" s="714">
        <f t="shared" si="161"/>
        <v>0</v>
      </c>
      <c r="L2149" s="714"/>
      <c r="M2149" s="714"/>
      <c r="N2149" s="714"/>
      <c r="O2149" s="753">
        <f t="shared" si="162"/>
        <v>0</v>
      </c>
      <c r="P2149" s="754"/>
    </row>
    <row r="2150" spans="1:16" ht="21" customHeight="1" x14ac:dyDescent="0.25">
      <c r="A2150" s="1099"/>
      <c r="B2150" s="893" t="s">
        <v>1703</v>
      </c>
      <c r="C2150" s="713">
        <f>24*0</f>
        <v>0</v>
      </c>
      <c r="D2150" s="727" t="s">
        <v>55</v>
      </c>
      <c r="E2150" s="695">
        <f>300*0</f>
        <v>0</v>
      </c>
      <c r="F2150" s="714"/>
      <c r="G2150" s="714"/>
      <c r="H2150" s="714"/>
      <c r="I2150" s="714"/>
      <c r="J2150" s="714">
        <f t="shared" si="160"/>
        <v>0</v>
      </c>
      <c r="K2150" s="714">
        <f t="shared" si="161"/>
        <v>0</v>
      </c>
      <c r="L2150" s="714"/>
      <c r="M2150" s="714"/>
      <c r="N2150" s="714"/>
      <c r="O2150" s="753">
        <f t="shared" si="162"/>
        <v>0</v>
      </c>
      <c r="P2150" s="754"/>
    </row>
    <row r="2151" spans="1:16" ht="21" customHeight="1" x14ac:dyDescent="0.25">
      <c r="A2151" s="1099"/>
      <c r="B2151" s="756" t="s">
        <v>872</v>
      </c>
      <c r="C2151" s="713">
        <v>1</v>
      </c>
      <c r="D2151" s="727" t="s">
        <v>188</v>
      </c>
      <c r="E2151" s="695">
        <v>15000</v>
      </c>
      <c r="F2151" s="714"/>
      <c r="G2151" s="714"/>
      <c r="H2151" s="714"/>
      <c r="I2151" s="714"/>
      <c r="J2151" s="714">
        <f t="shared" si="160"/>
        <v>15000</v>
      </c>
      <c r="K2151" s="714">
        <f t="shared" si="161"/>
        <v>15000</v>
      </c>
      <c r="L2151" s="714"/>
      <c r="M2151" s="714"/>
      <c r="N2151" s="714"/>
      <c r="O2151" s="753">
        <f t="shared" si="162"/>
        <v>15000</v>
      </c>
      <c r="P2151" s="754"/>
    </row>
    <row r="2152" spans="1:16" ht="21" customHeight="1" x14ac:dyDescent="0.25">
      <c r="A2152" s="1099"/>
      <c r="B2152" s="756" t="s">
        <v>873</v>
      </c>
      <c r="C2152" s="713">
        <v>1</v>
      </c>
      <c r="D2152" s="727" t="s">
        <v>874</v>
      </c>
      <c r="E2152" s="695">
        <v>10000</v>
      </c>
      <c r="F2152" s="714"/>
      <c r="G2152" s="714"/>
      <c r="H2152" s="714"/>
      <c r="I2152" s="714"/>
      <c r="J2152" s="714">
        <f t="shared" si="160"/>
        <v>10000</v>
      </c>
      <c r="K2152" s="714">
        <f t="shared" si="161"/>
        <v>10000</v>
      </c>
      <c r="L2152" s="714"/>
      <c r="M2152" s="714"/>
      <c r="N2152" s="714"/>
      <c r="O2152" s="753">
        <f t="shared" si="162"/>
        <v>10000</v>
      </c>
      <c r="P2152" s="754"/>
    </row>
    <row r="2153" spans="1:16" ht="21" customHeight="1" x14ac:dyDescent="0.25">
      <c r="A2153" s="1099"/>
      <c r="B2153" s="756" t="s">
        <v>191</v>
      </c>
      <c r="C2153" s="713">
        <v>1</v>
      </c>
      <c r="D2153" s="739" t="s">
        <v>188</v>
      </c>
      <c r="E2153" s="695">
        <v>180000</v>
      </c>
      <c r="F2153" s="714"/>
      <c r="G2153" s="714"/>
      <c r="H2153" s="714"/>
      <c r="I2153" s="714"/>
      <c r="J2153" s="714">
        <f t="shared" si="160"/>
        <v>180000</v>
      </c>
      <c r="K2153" s="714">
        <f t="shared" si="161"/>
        <v>180000</v>
      </c>
      <c r="L2153" s="714"/>
      <c r="M2153" s="714"/>
      <c r="N2153" s="714"/>
      <c r="O2153" s="753">
        <f t="shared" si="162"/>
        <v>180000</v>
      </c>
      <c r="P2153" s="754"/>
    </row>
    <row r="2154" spans="1:16" ht="21" customHeight="1" x14ac:dyDescent="0.25">
      <c r="A2154" s="1099"/>
      <c r="B2154" s="756"/>
      <c r="C2154" s="713"/>
      <c r="D2154" s="727"/>
      <c r="E2154" s="695"/>
      <c r="F2154" s="714"/>
      <c r="G2154" s="714"/>
      <c r="H2154" s="714"/>
      <c r="I2154" s="714"/>
      <c r="J2154" s="714"/>
      <c r="K2154" s="714"/>
      <c r="L2154" s="714"/>
      <c r="M2154" s="714"/>
      <c r="N2154" s="714"/>
      <c r="O2154" s="753"/>
      <c r="P2154" s="754"/>
    </row>
    <row r="2155" spans="1:16" ht="21" customHeight="1" x14ac:dyDescent="0.25">
      <c r="A2155" s="1099" t="s">
        <v>2088</v>
      </c>
      <c r="B2155" s="1646" t="s">
        <v>876</v>
      </c>
      <c r="C2155" s="713"/>
      <c r="D2155" s="727"/>
      <c r="E2155" s="695"/>
      <c r="F2155" s="714"/>
      <c r="G2155" s="714"/>
      <c r="H2155" s="714"/>
      <c r="I2155" s="714"/>
      <c r="J2155" s="714">
        <f t="shared" ref="J2155:J2166" si="163">C2155*E2155</f>
        <v>0</v>
      </c>
      <c r="K2155" s="714">
        <f t="shared" ref="K2155:K2166" si="164">I2155+J2155</f>
        <v>0</v>
      </c>
      <c r="L2155" s="714"/>
      <c r="M2155" s="714"/>
      <c r="N2155" s="714"/>
      <c r="O2155" s="753">
        <f t="shared" ref="O2155:O2166" si="165">N2155+K2155+H2155</f>
        <v>0</v>
      </c>
      <c r="P2155" s="754"/>
    </row>
    <row r="2156" spans="1:16" ht="21" customHeight="1" x14ac:dyDescent="0.25">
      <c r="A2156" s="1099"/>
      <c r="B2156" s="756" t="s">
        <v>877</v>
      </c>
      <c r="C2156" s="713"/>
      <c r="D2156" s="727"/>
      <c r="E2156" s="695"/>
      <c r="F2156" s="714"/>
      <c r="G2156" s="714"/>
      <c r="H2156" s="714"/>
      <c r="I2156" s="714"/>
      <c r="J2156" s="714">
        <f t="shared" si="163"/>
        <v>0</v>
      </c>
      <c r="K2156" s="714">
        <f t="shared" si="164"/>
        <v>0</v>
      </c>
      <c r="L2156" s="714"/>
      <c r="M2156" s="714"/>
      <c r="N2156" s="714"/>
      <c r="O2156" s="753">
        <f t="shared" si="165"/>
        <v>0</v>
      </c>
      <c r="P2156" s="754"/>
    </row>
    <row r="2157" spans="1:16" ht="21" customHeight="1" x14ac:dyDescent="0.25">
      <c r="A2157" s="1099"/>
      <c r="B2157" s="756" t="s">
        <v>878</v>
      </c>
      <c r="C2157" s="713"/>
      <c r="D2157" s="727"/>
      <c r="E2157" s="695"/>
      <c r="F2157" s="714"/>
      <c r="G2157" s="714"/>
      <c r="H2157" s="714"/>
      <c r="I2157" s="714"/>
      <c r="J2157" s="714">
        <f t="shared" si="163"/>
        <v>0</v>
      </c>
      <c r="K2157" s="714">
        <f t="shared" si="164"/>
        <v>0</v>
      </c>
      <c r="L2157" s="714"/>
      <c r="M2157" s="714"/>
      <c r="N2157" s="714"/>
      <c r="O2157" s="753">
        <f t="shared" si="165"/>
        <v>0</v>
      </c>
      <c r="P2157" s="754"/>
    </row>
    <row r="2158" spans="1:16" ht="21" customHeight="1" x14ac:dyDescent="0.25">
      <c r="A2158" s="1099"/>
      <c r="B2158" s="756" t="s">
        <v>879</v>
      </c>
      <c r="C2158" s="713"/>
      <c r="D2158" s="727"/>
      <c r="E2158" s="695"/>
      <c r="F2158" s="714"/>
      <c r="G2158" s="714"/>
      <c r="H2158" s="714"/>
      <c r="I2158" s="714"/>
      <c r="J2158" s="714">
        <f t="shared" si="163"/>
        <v>0</v>
      </c>
      <c r="K2158" s="714">
        <f t="shared" si="164"/>
        <v>0</v>
      </c>
      <c r="L2158" s="714"/>
      <c r="M2158" s="714"/>
      <c r="N2158" s="714"/>
      <c r="O2158" s="753">
        <f t="shared" si="165"/>
        <v>0</v>
      </c>
      <c r="P2158" s="754"/>
    </row>
    <row r="2159" spans="1:16" ht="21" customHeight="1" x14ac:dyDescent="0.25">
      <c r="A2159" s="1099"/>
      <c r="B2159" s="756" t="s">
        <v>880</v>
      </c>
      <c r="C2159" s="713"/>
      <c r="D2159" s="727"/>
      <c r="E2159" s="695"/>
      <c r="F2159" s="714"/>
      <c r="G2159" s="714"/>
      <c r="H2159" s="714"/>
      <c r="I2159" s="714"/>
      <c r="J2159" s="714">
        <f t="shared" si="163"/>
        <v>0</v>
      </c>
      <c r="K2159" s="714">
        <f t="shared" si="164"/>
        <v>0</v>
      </c>
      <c r="L2159" s="714"/>
      <c r="M2159" s="714"/>
      <c r="N2159" s="714"/>
      <c r="O2159" s="753">
        <f t="shared" si="165"/>
        <v>0</v>
      </c>
      <c r="P2159" s="754"/>
    </row>
    <row r="2160" spans="1:16" ht="21" customHeight="1" x14ac:dyDescent="0.25">
      <c r="A2160" s="1099"/>
      <c r="B2160" s="674" t="s">
        <v>881</v>
      </c>
      <c r="C2160" s="713"/>
      <c r="D2160" s="727"/>
      <c r="E2160" s="695"/>
      <c r="F2160" s="714"/>
      <c r="G2160" s="714"/>
      <c r="H2160" s="714"/>
      <c r="I2160" s="714"/>
      <c r="J2160" s="714">
        <f t="shared" si="163"/>
        <v>0</v>
      </c>
      <c r="K2160" s="714">
        <f t="shared" si="164"/>
        <v>0</v>
      </c>
      <c r="L2160" s="714"/>
      <c r="M2160" s="714"/>
      <c r="N2160" s="714"/>
      <c r="O2160" s="753">
        <f t="shared" si="165"/>
        <v>0</v>
      </c>
      <c r="P2160" s="754"/>
    </row>
    <row r="2161" spans="1:16" ht="21" customHeight="1" x14ac:dyDescent="0.25">
      <c r="A2161" s="1099"/>
      <c r="B2161" s="756" t="s">
        <v>27</v>
      </c>
      <c r="C2161" s="713"/>
      <c r="D2161" s="727"/>
      <c r="E2161" s="695"/>
      <c r="F2161" s="714"/>
      <c r="G2161" s="714"/>
      <c r="H2161" s="714"/>
      <c r="I2161" s="714"/>
      <c r="J2161" s="714">
        <f t="shared" si="163"/>
        <v>0</v>
      </c>
      <c r="K2161" s="714">
        <f t="shared" si="164"/>
        <v>0</v>
      </c>
      <c r="L2161" s="714"/>
      <c r="M2161" s="714"/>
      <c r="N2161" s="714"/>
      <c r="O2161" s="753">
        <f t="shared" si="165"/>
        <v>0</v>
      </c>
      <c r="P2161" s="754"/>
    </row>
    <row r="2162" spans="1:16" ht="21" customHeight="1" x14ac:dyDescent="0.25">
      <c r="A2162" s="1099"/>
      <c r="B2162" s="756" t="s">
        <v>872</v>
      </c>
      <c r="C2162" s="713">
        <v>1</v>
      </c>
      <c r="D2162" s="727" t="s">
        <v>188</v>
      </c>
      <c r="E2162" s="695">
        <v>15000</v>
      </c>
      <c r="F2162" s="714"/>
      <c r="G2162" s="714"/>
      <c r="H2162" s="714"/>
      <c r="I2162" s="714"/>
      <c r="J2162" s="714">
        <f t="shared" si="163"/>
        <v>15000</v>
      </c>
      <c r="K2162" s="714">
        <f t="shared" si="164"/>
        <v>15000</v>
      </c>
      <c r="L2162" s="714"/>
      <c r="M2162" s="714"/>
      <c r="N2162" s="714"/>
      <c r="O2162" s="753">
        <f t="shared" si="165"/>
        <v>15000</v>
      </c>
      <c r="P2162" s="754"/>
    </row>
    <row r="2163" spans="1:16" ht="21" customHeight="1" x14ac:dyDescent="0.25">
      <c r="A2163" s="1099"/>
      <c r="B2163" s="756" t="s">
        <v>223</v>
      </c>
      <c r="C2163" s="713"/>
      <c r="D2163" s="727"/>
      <c r="E2163" s="695"/>
      <c r="F2163" s="714"/>
      <c r="G2163" s="714"/>
      <c r="H2163" s="714"/>
      <c r="I2163" s="714"/>
      <c r="J2163" s="714">
        <f t="shared" si="163"/>
        <v>0</v>
      </c>
      <c r="K2163" s="714">
        <f t="shared" si="164"/>
        <v>0</v>
      </c>
      <c r="L2163" s="714"/>
      <c r="M2163" s="714"/>
      <c r="N2163" s="714"/>
      <c r="O2163" s="753">
        <f t="shared" si="165"/>
        <v>0</v>
      </c>
      <c r="P2163" s="754"/>
    </row>
    <row r="2164" spans="1:16" ht="21" customHeight="1" x14ac:dyDescent="0.25">
      <c r="A2164" s="1099"/>
      <c r="B2164" s="756" t="s">
        <v>873</v>
      </c>
      <c r="C2164" s="713">
        <v>1</v>
      </c>
      <c r="D2164" s="727" t="s">
        <v>874</v>
      </c>
      <c r="E2164" s="695">
        <v>10000</v>
      </c>
      <c r="F2164" s="714"/>
      <c r="G2164" s="714"/>
      <c r="H2164" s="714"/>
      <c r="I2164" s="714"/>
      <c r="J2164" s="714">
        <f t="shared" si="163"/>
        <v>10000</v>
      </c>
      <c r="K2164" s="714">
        <f t="shared" si="164"/>
        <v>10000</v>
      </c>
      <c r="L2164" s="714"/>
      <c r="M2164" s="714"/>
      <c r="N2164" s="714"/>
      <c r="O2164" s="753">
        <f t="shared" si="165"/>
        <v>10000</v>
      </c>
      <c r="P2164" s="754"/>
    </row>
    <row r="2165" spans="1:16" ht="21" customHeight="1" x14ac:dyDescent="0.25">
      <c r="A2165" s="1099"/>
      <c r="B2165" s="756" t="s">
        <v>875</v>
      </c>
      <c r="C2165" s="713"/>
      <c r="D2165" s="727"/>
      <c r="E2165" s="695"/>
      <c r="F2165" s="714"/>
      <c r="G2165" s="714"/>
      <c r="H2165" s="714"/>
      <c r="I2165" s="714"/>
      <c r="J2165" s="714">
        <f t="shared" si="163"/>
        <v>0</v>
      </c>
      <c r="K2165" s="714">
        <f t="shared" si="164"/>
        <v>0</v>
      </c>
      <c r="L2165" s="714"/>
      <c r="M2165" s="714"/>
      <c r="N2165" s="714"/>
      <c r="O2165" s="753">
        <f t="shared" si="165"/>
        <v>0</v>
      </c>
      <c r="P2165" s="754"/>
    </row>
    <row r="2166" spans="1:16" ht="21" customHeight="1" x14ac:dyDescent="0.25">
      <c r="A2166" s="1099"/>
      <c r="B2166" s="756" t="s">
        <v>191</v>
      </c>
      <c r="C2166" s="713">
        <v>1</v>
      </c>
      <c r="D2166" s="739" t="s">
        <v>188</v>
      </c>
      <c r="E2166" s="695">
        <v>180000</v>
      </c>
      <c r="F2166" s="714"/>
      <c r="G2166" s="714"/>
      <c r="H2166" s="714"/>
      <c r="I2166" s="714"/>
      <c r="J2166" s="714">
        <f t="shared" si="163"/>
        <v>180000</v>
      </c>
      <c r="K2166" s="714">
        <f t="shared" si="164"/>
        <v>180000</v>
      </c>
      <c r="L2166" s="714"/>
      <c r="M2166" s="714"/>
      <c r="N2166" s="714"/>
      <c r="O2166" s="753">
        <f t="shared" si="165"/>
        <v>180000</v>
      </c>
      <c r="P2166" s="754"/>
    </row>
    <row r="2167" spans="1:16" ht="17.25" customHeight="1" x14ac:dyDescent="0.25">
      <c r="A2167" s="1099"/>
      <c r="B2167" s="756"/>
      <c r="C2167" s="713"/>
      <c r="D2167" s="739"/>
      <c r="E2167" s="695"/>
      <c r="F2167" s="714"/>
      <c r="G2167" s="714"/>
      <c r="H2167" s="714"/>
      <c r="I2167" s="714"/>
      <c r="J2167" s="714"/>
      <c r="K2167" s="714"/>
      <c r="L2167" s="714"/>
      <c r="M2167" s="714"/>
      <c r="N2167" s="714"/>
      <c r="O2167" s="753"/>
      <c r="P2167" s="754"/>
    </row>
    <row r="2168" spans="1:16" ht="17.25" customHeight="1" x14ac:dyDescent="0.25">
      <c r="A2168" s="1100"/>
      <c r="B2168" s="741"/>
      <c r="C2168" s="828"/>
      <c r="D2168" s="738"/>
      <c r="E2168" s="705"/>
      <c r="F2168" s="714"/>
      <c r="G2168" s="714"/>
      <c r="H2168" s="714"/>
      <c r="I2168" s="714"/>
      <c r="J2168" s="714"/>
      <c r="K2168" s="714"/>
      <c r="L2168" s="714"/>
      <c r="M2168" s="714"/>
      <c r="N2168" s="714"/>
      <c r="O2168" s="753"/>
      <c r="P2168" s="754"/>
    </row>
    <row r="2169" spans="1:16" s="679" customFormat="1" ht="21" customHeight="1" x14ac:dyDescent="0.25">
      <c r="A2169" s="1104" t="s">
        <v>2089</v>
      </c>
      <c r="B2169" s="1105" t="s">
        <v>1691</v>
      </c>
      <c r="C2169" s="699">
        <v>1</v>
      </c>
      <c r="D2169" s="739" t="s">
        <v>188</v>
      </c>
      <c r="E2169" s="695">
        <v>150000</v>
      </c>
      <c r="F2169" s="714"/>
      <c r="G2169" s="714"/>
      <c r="H2169" s="714"/>
      <c r="I2169" s="714"/>
      <c r="J2169" s="714">
        <f t="shared" ref="J2169:J2174" si="166">C2169*E2169</f>
        <v>150000</v>
      </c>
      <c r="K2169" s="714">
        <f t="shared" ref="K2169:K2174" si="167">I2169+J2169</f>
        <v>150000</v>
      </c>
      <c r="L2169" s="714"/>
      <c r="M2169" s="714"/>
      <c r="N2169" s="714"/>
      <c r="O2169" s="753">
        <f t="shared" ref="O2169:O2174" si="168">N2169+K2169+H2169</f>
        <v>150000</v>
      </c>
      <c r="P2169" s="754"/>
    </row>
    <row r="2170" spans="1:16" s="679" customFormat="1" ht="21" customHeight="1" x14ac:dyDescent="0.25">
      <c r="A2170" s="1104" t="s">
        <v>2090</v>
      </c>
      <c r="B2170" s="1105" t="s">
        <v>1692</v>
      </c>
      <c r="C2170" s="699">
        <v>1</v>
      </c>
      <c r="D2170" s="739" t="s">
        <v>188</v>
      </c>
      <c r="E2170" s="695">
        <v>100000</v>
      </c>
      <c r="F2170" s="714"/>
      <c r="G2170" s="714"/>
      <c r="H2170" s="714"/>
      <c r="I2170" s="714"/>
      <c r="J2170" s="714">
        <f t="shared" si="166"/>
        <v>100000</v>
      </c>
      <c r="K2170" s="714">
        <f t="shared" si="167"/>
        <v>100000</v>
      </c>
      <c r="L2170" s="714"/>
      <c r="M2170" s="714"/>
      <c r="N2170" s="714"/>
      <c r="O2170" s="753">
        <f t="shared" si="168"/>
        <v>100000</v>
      </c>
      <c r="P2170" s="754"/>
    </row>
    <row r="2171" spans="1:16" s="679" customFormat="1" ht="21" customHeight="1" x14ac:dyDescent="0.25">
      <c r="A2171" s="1104" t="s">
        <v>2091</v>
      </c>
      <c r="B2171" s="1105" t="s">
        <v>1693</v>
      </c>
      <c r="C2171" s="699">
        <v>1</v>
      </c>
      <c r="D2171" s="739" t="s">
        <v>188</v>
      </c>
      <c r="E2171" s="695">
        <v>150000</v>
      </c>
      <c r="F2171" s="714"/>
      <c r="G2171" s="714"/>
      <c r="H2171" s="714"/>
      <c r="I2171" s="714"/>
      <c r="J2171" s="714">
        <f t="shared" si="166"/>
        <v>150000</v>
      </c>
      <c r="K2171" s="714">
        <f t="shared" si="167"/>
        <v>150000</v>
      </c>
      <c r="L2171" s="714"/>
      <c r="M2171" s="714"/>
      <c r="N2171" s="714"/>
      <c r="O2171" s="753">
        <f t="shared" si="168"/>
        <v>150000</v>
      </c>
      <c r="P2171" s="754"/>
    </row>
    <row r="2172" spans="1:16" s="679" customFormat="1" ht="21" customHeight="1" x14ac:dyDescent="0.25">
      <c r="A2172" s="1104" t="s">
        <v>2092</v>
      </c>
      <c r="B2172" s="1105" t="s">
        <v>1706</v>
      </c>
      <c r="C2172" s="699">
        <v>1</v>
      </c>
      <c r="D2172" s="739" t="s">
        <v>188</v>
      </c>
      <c r="E2172" s="695">
        <v>200000</v>
      </c>
      <c r="F2172" s="714"/>
      <c r="G2172" s="714"/>
      <c r="H2172" s="714"/>
      <c r="I2172" s="714"/>
      <c r="J2172" s="714">
        <f t="shared" si="166"/>
        <v>200000</v>
      </c>
      <c r="K2172" s="714">
        <f t="shared" si="167"/>
        <v>200000</v>
      </c>
      <c r="L2172" s="714"/>
      <c r="M2172" s="714"/>
      <c r="N2172" s="714"/>
      <c r="O2172" s="753">
        <f t="shared" si="168"/>
        <v>200000</v>
      </c>
      <c r="P2172" s="754"/>
    </row>
    <row r="2173" spans="1:16" s="679" customFormat="1" ht="21" customHeight="1" x14ac:dyDescent="0.25">
      <c r="A2173" s="1104" t="s">
        <v>2093</v>
      </c>
      <c r="B2173" s="1105" t="s">
        <v>1699</v>
      </c>
      <c r="C2173" s="699">
        <v>1</v>
      </c>
      <c r="D2173" s="739" t="s">
        <v>188</v>
      </c>
      <c r="E2173" s="695">
        <v>150000</v>
      </c>
      <c r="F2173" s="714"/>
      <c r="G2173" s="714"/>
      <c r="H2173" s="714"/>
      <c r="I2173" s="714"/>
      <c r="J2173" s="714">
        <f t="shared" si="166"/>
        <v>150000</v>
      </c>
      <c r="K2173" s="714">
        <f t="shared" si="167"/>
        <v>150000</v>
      </c>
      <c r="L2173" s="714"/>
      <c r="M2173" s="714"/>
      <c r="N2173" s="714"/>
      <c r="O2173" s="753">
        <f t="shared" si="168"/>
        <v>150000</v>
      </c>
      <c r="P2173" s="754"/>
    </row>
    <row r="2174" spans="1:16" ht="38.25" customHeight="1" x14ac:dyDescent="0.25">
      <c r="A2174" s="1104" t="s">
        <v>619</v>
      </c>
      <c r="B2174" s="1647" t="s">
        <v>1580</v>
      </c>
      <c r="C2174" s="699">
        <v>1</v>
      </c>
      <c r="D2174" s="762" t="s">
        <v>895</v>
      </c>
      <c r="E2174" s="700">
        <v>100000</v>
      </c>
      <c r="F2174" s="714"/>
      <c r="G2174" s="714"/>
      <c r="H2174" s="714"/>
      <c r="I2174" s="714"/>
      <c r="J2174" s="714">
        <f t="shared" si="166"/>
        <v>100000</v>
      </c>
      <c r="K2174" s="714">
        <f t="shared" si="167"/>
        <v>100000</v>
      </c>
      <c r="L2174" s="714"/>
      <c r="M2174" s="714"/>
      <c r="N2174" s="714"/>
      <c r="O2174" s="753">
        <f t="shared" si="168"/>
        <v>100000</v>
      </c>
      <c r="P2174" s="754"/>
    </row>
    <row r="2175" spans="1:16" ht="17.25" customHeight="1" x14ac:dyDescent="0.25">
      <c r="A2175" s="1099"/>
      <c r="B2175" s="924"/>
      <c r="C2175" s="699"/>
      <c r="D2175" s="725"/>
      <c r="E2175" s="700"/>
      <c r="F2175" s="714"/>
      <c r="G2175" s="714"/>
      <c r="H2175" s="714"/>
      <c r="I2175" s="714"/>
      <c r="J2175" s="714"/>
      <c r="K2175" s="714"/>
      <c r="L2175" s="714"/>
      <c r="M2175" s="714"/>
      <c r="N2175" s="714"/>
      <c r="O2175" s="753"/>
      <c r="P2175" s="754"/>
    </row>
    <row r="2176" spans="1:16" ht="17.25" customHeight="1" x14ac:dyDescent="0.25">
      <c r="A2176" s="1099" t="s">
        <v>2094</v>
      </c>
      <c r="B2176" s="1105" t="s">
        <v>882</v>
      </c>
      <c r="C2176" s="699">
        <v>1</v>
      </c>
      <c r="D2176" s="739" t="s">
        <v>188</v>
      </c>
      <c r="E2176" s="695"/>
      <c r="F2176" s="714"/>
      <c r="G2176" s="714"/>
      <c r="H2176" s="714"/>
      <c r="I2176" s="714"/>
      <c r="J2176" s="714">
        <f t="shared" ref="J2176:J2186" si="169">C2176*E2176</f>
        <v>0</v>
      </c>
      <c r="K2176" s="714">
        <f t="shared" ref="K2176:K2186" si="170">I2176+J2176</f>
        <v>0</v>
      </c>
      <c r="L2176" s="714"/>
      <c r="M2176" s="714"/>
      <c r="N2176" s="714"/>
      <c r="O2176" s="753">
        <f t="shared" ref="O2176:O2186" si="171">N2176+K2176+H2176</f>
        <v>0</v>
      </c>
      <c r="P2176" s="754"/>
    </row>
    <row r="2177" spans="1:89" ht="17.25" customHeight="1" x14ac:dyDescent="0.25">
      <c r="A2177" s="1099">
        <v>1</v>
      </c>
      <c r="B2177" s="756" t="s">
        <v>870</v>
      </c>
      <c r="C2177" s="699"/>
      <c r="D2177" s="739"/>
      <c r="E2177" s="695"/>
      <c r="F2177" s="714"/>
      <c r="G2177" s="714"/>
      <c r="H2177" s="714"/>
      <c r="I2177" s="714"/>
      <c r="J2177" s="714">
        <f t="shared" si="169"/>
        <v>0</v>
      </c>
      <c r="K2177" s="714">
        <f t="shared" si="170"/>
        <v>0</v>
      </c>
      <c r="L2177" s="714"/>
      <c r="M2177" s="714"/>
      <c r="N2177" s="714"/>
      <c r="O2177" s="753">
        <f t="shared" si="171"/>
        <v>0</v>
      </c>
      <c r="P2177" s="754"/>
    </row>
    <row r="2178" spans="1:89" ht="17.25" customHeight="1" x14ac:dyDescent="0.25">
      <c r="A2178" s="1099"/>
      <c r="B2178" s="756" t="s">
        <v>1704</v>
      </c>
      <c r="C2178" s="699"/>
      <c r="D2178" s="739"/>
      <c r="E2178" s="695"/>
      <c r="F2178" s="714"/>
      <c r="G2178" s="714"/>
      <c r="H2178" s="714"/>
      <c r="I2178" s="714"/>
      <c r="J2178" s="714">
        <f t="shared" si="169"/>
        <v>0</v>
      </c>
      <c r="K2178" s="714">
        <f t="shared" si="170"/>
        <v>0</v>
      </c>
      <c r="L2178" s="714"/>
      <c r="M2178" s="714"/>
      <c r="N2178" s="714"/>
      <c r="O2178" s="753">
        <f t="shared" si="171"/>
        <v>0</v>
      </c>
      <c r="P2178" s="754"/>
    </row>
    <row r="2179" spans="1:89" ht="17.25" customHeight="1" x14ac:dyDescent="0.25">
      <c r="A2179" s="1099"/>
      <c r="B2179" s="756" t="s">
        <v>1705</v>
      </c>
      <c r="C2179" s="699"/>
      <c r="D2179" s="739"/>
      <c r="E2179" s="695"/>
      <c r="F2179" s="714"/>
      <c r="G2179" s="714"/>
      <c r="H2179" s="714"/>
      <c r="I2179" s="714"/>
      <c r="J2179" s="714">
        <f t="shared" si="169"/>
        <v>0</v>
      </c>
      <c r="K2179" s="714">
        <f t="shared" si="170"/>
        <v>0</v>
      </c>
      <c r="L2179" s="714"/>
      <c r="M2179" s="714"/>
      <c r="N2179" s="714"/>
      <c r="O2179" s="753">
        <f t="shared" si="171"/>
        <v>0</v>
      </c>
      <c r="P2179" s="754"/>
    </row>
    <row r="2180" spans="1:89" ht="17.25" customHeight="1" x14ac:dyDescent="0.25">
      <c r="A2180" s="1099"/>
      <c r="B2180" s="756" t="s">
        <v>27</v>
      </c>
      <c r="C2180" s="699"/>
      <c r="D2180" s="739"/>
      <c r="E2180" s="695"/>
      <c r="F2180" s="714"/>
      <c r="G2180" s="714"/>
      <c r="H2180" s="714"/>
      <c r="I2180" s="714"/>
      <c r="J2180" s="714">
        <f t="shared" si="169"/>
        <v>0</v>
      </c>
      <c r="K2180" s="714">
        <f t="shared" si="170"/>
        <v>0</v>
      </c>
      <c r="L2180" s="714"/>
      <c r="M2180" s="714"/>
      <c r="N2180" s="714"/>
      <c r="O2180" s="753">
        <f t="shared" si="171"/>
        <v>0</v>
      </c>
      <c r="P2180" s="754"/>
    </row>
    <row r="2181" spans="1:89" ht="17.25" customHeight="1" x14ac:dyDescent="0.25">
      <c r="A2181" s="1099"/>
      <c r="B2181" s="756" t="s">
        <v>872</v>
      </c>
      <c r="C2181" s="699">
        <v>1</v>
      </c>
      <c r="D2181" s="739" t="s">
        <v>188</v>
      </c>
      <c r="E2181" s="695">
        <v>17000</v>
      </c>
      <c r="F2181" s="714"/>
      <c r="G2181" s="714"/>
      <c r="H2181" s="714"/>
      <c r="I2181" s="714"/>
      <c r="J2181" s="714">
        <f t="shared" si="169"/>
        <v>17000</v>
      </c>
      <c r="K2181" s="714">
        <f t="shared" si="170"/>
        <v>17000</v>
      </c>
      <c r="L2181" s="714"/>
      <c r="M2181" s="714"/>
      <c r="N2181" s="714"/>
      <c r="O2181" s="753">
        <f t="shared" si="171"/>
        <v>17000</v>
      </c>
      <c r="P2181" s="754"/>
    </row>
    <row r="2182" spans="1:89" ht="17.25" customHeight="1" x14ac:dyDescent="0.25">
      <c r="A2182" s="1099"/>
      <c r="B2182" s="756" t="s">
        <v>223</v>
      </c>
      <c r="C2182" s="699"/>
      <c r="D2182" s="739"/>
      <c r="E2182" s="695"/>
      <c r="F2182" s="714"/>
      <c r="G2182" s="714"/>
      <c r="H2182" s="714"/>
      <c r="I2182" s="714"/>
      <c r="J2182" s="714">
        <f t="shared" si="169"/>
        <v>0</v>
      </c>
      <c r="K2182" s="714">
        <f t="shared" si="170"/>
        <v>0</v>
      </c>
      <c r="L2182" s="714"/>
      <c r="M2182" s="714"/>
      <c r="N2182" s="714"/>
      <c r="O2182" s="753">
        <f t="shared" si="171"/>
        <v>0</v>
      </c>
      <c r="P2182" s="754"/>
    </row>
    <row r="2183" spans="1:89" ht="17.25" customHeight="1" x14ac:dyDescent="0.25">
      <c r="A2183" s="1099"/>
      <c r="B2183" s="756" t="s">
        <v>873</v>
      </c>
      <c r="C2183" s="699">
        <v>1</v>
      </c>
      <c r="D2183" s="739" t="s">
        <v>874</v>
      </c>
      <c r="E2183" s="695">
        <v>10000</v>
      </c>
      <c r="F2183" s="714"/>
      <c r="G2183" s="714"/>
      <c r="H2183" s="714"/>
      <c r="I2183" s="714"/>
      <c r="J2183" s="714">
        <f t="shared" si="169"/>
        <v>10000</v>
      </c>
      <c r="K2183" s="714">
        <f t="shared" si="170"/>
        <v>10000</v>
      </c>
      <c r="L2183" s="714"/>
      <c r="M2183" s="714"/>
      <c r="N2183" s="714"/>
      <c r="O2183" s="753">
        <f t="shared" si="171"/>
        <v>10000</v>
      </c>
      <c r="P2183" s="754"/>
    </row>
    <row r="2184" spans="1:89" ht="17.25" customHeight="1" x14ac:dyDescent="0.25">
      <c r="A2184" s="1099"/>
      <c r="B2184" s="756" t="s">
        <v>883</v>
      </c>
      <c r="C2184" s="699">
        <v>1</v>
      </c>
      <c r="D2184" s="739" t="s">
        <v>874</v>
      </c>
      <c r="E2184" s="695">
        <v>47130</v>
      </c>
      <c r="F2184" s="714"/>
      <c r="G2184" s="714"/>
      <c r="H2184" s="714"/>
      <c r="I2184" s="714"/>
      <c r="J2184" s="714">
        <f t="shared" si="169"/>
        <v>47130</v>
      </c>
      <c r="K2184" s="714">
        <f t="shared" si="170"/>
        <v>47130</v>
      </c>
      <c r="L2184" s="714"/>
      <c r="M2184" s="714"/>
      <c r="N2184" s="714"/>
      <c r="O2184" s="753">
        <f t="shared" si="171"/>
        <v>47130</v>
      </c>
      <c r="P2184" s="754"/>
    </row>
    <row r="2185" spans="1:89" ht="17.25" customHeight="1" x14ac:dyDescent="0.25">
      <c r="A2185" s="1099"/>
      <c r="B2185" s="756" t="s">
        <v>875</v>
      </c>
      <c r="C2185" s="699"/>
      <c r="D2185" s="739"/>
      <c r="E2185" s="695"/>
      <c r="F2185" s="714"/>
      <c r="G2185" s="714"/>
      <c r="H2185" s="714"/>
      <c r="I2185" s="714"/>
      <c r="J2185" s="714">
        <f t="shared" si="169"/>
        <v>0</v>
      </c>
      <c r="K2185" s="714">
        <f t="shared" si="170"/>
        <v>0</v>
      </c>
      <c r="L2185" s="714"/>
      <c r="M2185" s="714"/>
      <c r="N2185" s="714"/>
      <c r="O2185" s="753">
        <f t="shared" si="171"/>
        <v>0</v>
      </c>
      <c r="P2185" s="754"/>
    </row>
    <row r="2186" spans="1:89" ht="17.25" customHeight="1" x14ac:dyDescent="0.25">
      <c r="A2186" s="1099"/>
      <c r="B2186" s="756" t="s">
        <v>191</v>
      </c>
      <c r="C2186" s="699">
        <v>1</v>
      </c>
      <c r="D2186" s="739" t="s">
        <v>188</v>
      </c>
      <c r="E2186" s="695">
        <v>180000</v>
      </c>
      <c r="F2186" s="714"/>
      <c r="G2186" s="714"/>
      <c r="H2186" s="714"/>
      <c r="I2186" s="714"/>
      <c r="J2186" s="714">
        <f t="shared" si="169"/>
        <v>180000</v>
      </c>
      <c r="K2186" s="714">
        <f t="shared" si="170"/>
        <v>180000</v>
      </c>
      <c r="L2186" s="714"/>
      <c r="M2186" s="714"/>
      <c r="N2186" s="714"/>
      <c r="O2186" s="753">
        <f t="shared" si="171"/>
        <v>180000</v>
      </c>
      <c r="P2186" s="754"/>
    </row>
    <row r="2187" spans="1:89" ht="17.25" customHeight="1" x14ac:dyDescent="0.25">
      <c r="A2187" s="1099"/>
      <c r="B2187" s="756"/>
      <c r="C2187" s="699"/>
      <c r="D2187" s="739"/>
      <c r="E2187" s="695"/>
      <c r="F2187" s="714"/>
      <c r="G2187" s="714"/>
      <c r="H2187" s="714"/>
      <c r="I2187" s="714"/>
      <c r="J2187" s="714"/>
      <c r="K2187" s="714"/>
      <c r="L2187" s="714"/>
      <c r="M2187" s="714"/>
      <c r="N2187" s="714"/>
      <c r="O2187" s="753"/>
      <c r="P2187" s="754"/>
    </row>
    <row r="2188" spans="1:89" s="672" customFormat="1" ht="33.75" customHeight="1" x14ac:dyDescent="0.25">
      <c r="A2188" s="1104">
        <v>2</v>
      </c>
      <c r="B2188" s="1648" t="s">
        <v>884</v>
      </c>
      <c r="C2188" s="1377">
        <v>1</v>
      </c>
      <c r="D2188" s="738" t="s">
        <v>188</v>
      </c>
      <c r="E2188" s="705">
        <v>50000</v>
      </c>
      <c r="F2188" s="874"/>
      <c r="G2188" s="874"/>
      <c r="H2188" s="874"/>
      <c r="I2188" s="874"/>
      <c r="J2188" s="874">
        <f>C2188*E2188</f>
        <v>50000</v>
      </c>
      <c r="K2188" s="874">
        <f>I2188+J2188</f>
        <v>50000</v>
      </c>
      <c r="L2188" s="874"/>
      <c r="M2188" s="874"/>
      <c r="N2188" s="874"/>
      <c r="O2188" s="775">
        <f>N2188+K2188+H2188</f>
        <v>50000</v>
      </c>
      <c r="P2188" s="776"/>
      <c r="Q2188" s="1581"/>
      <c r="R2188" s="1581"/>
      <c r="S2188" s="1581"/>
      <c r="T2188" s="1581"/>
      <c r="U2188" s="1581"/>
      <c r="V2188" s="1581"/>
      <c r="W2188" s="1581"/>
      <c r="X2188" s="1581"/>
      <c r="Y2188" s="1581"/>
      <c r="Z2188" s="1581"/>
      <c r="AA2188" s="1581"/>
      <c r="AB2188" s="1581"/>
      <c r="AC2188" s="1581"/>
      <c r="AD2188" s="1581"/>
      <c r="AE2188" s="1581"/>
      <c r="AF2188" s="1581"/>
      <c r="AG2188" s="1581"/>
      <c r="AH2188" s="1581"/>
      <c r="AI2188" s="1581"/>
      <c r="AJ2188" s="1581"/>
      <c r="AK2188" s="1581"/>
      <c r="AL2188" s="1581"/>
      <c r="AM2188" s="1581"/>
      <c r="AN2188" s="1581"/>
      <c r="AO2188" s="1581"/>
      <c r="AP2188" s="1581"/>
      <c r="AQ2188" s="1581"/>
      <c r="AR2188" s="1581"/>
      <c r="AS2188" s="1581"/>
      <c r="AT2188" s="1581"/>
      <c r="AU2188" s="1581"/>
      <c r="AV2188" s="1581"/>
      <c r="AW2188" s="1581"/>
      <c r="AX2188" s="1581"/>
      <c r="AY2188" s="1581"/>
      <c r="AZ2188" s="1581"/>
      <c r="BA2188" s="1581"/>
      <c r="BB2188" s="1581"/>
      <c r="BC2188" s="1581"/>
      <c r="BD2188" s="1581"/>
      <c r="BE2188" s="1581"/>
      <c r="BF2188" s="1581"/>
      <c r="BG2188" s="1581"/>
      <c r="BH2188" s="1581"/>
      <c r="BI2188" s="1581"/>
      <c r="BJ2188" s="1581"/>
      <c r="BK2188" s="1581"/>
      <c r="BL2188" s="1581"/>
      <c r="BM2188" s="1581"/>
      <c r="BN2188" s="1581"/>
      <c r="BO2188" s="1581"/>
      <c r="BP2188" s="1581"/>
      <c r="BQ2188" s="1581"/>
      <c r="BR2188" s="1581"/>
      <c r="BS2188" s="1581"/>
      <c r="BT2188" s="1581"/>
      <c r="BU2188" s="1581"/>
      <c r="BV2188" s="1581"/>
      <c r="BW2188" s="1581"/>
      <c r="BX2188" s="1581"/>
      <c r="BY2188" s="1581"/>
      <c r="BZ2188" s="1581"/>
      <c r="CA2188" s="1581"/>
      <c r="CB2188" s="1581"/>
      <c r="CC2188" s="1581"/>
      <c r="CD2188" s="1581"/>
      <c r="CE2188" s="1581"/>
      <c r="CF2188" s="1581"/>
      <c r="CG2188" s="1581"/>
      <c r="CH2188" s="1581"/>
      <c r="CI2188" s="1581"/>
      <c r="CJ2188" s="1581"/>
      <c r="CK2188" s="1581"/>
    </row>
    <row r="2189" spans="1:89" ht="17.25" customHeight="1" x14ac:dyDescent="0.25">
      <c r="A2189" s="1099"/>
      <c r="B2189" s="756"/>
      <c r="C2189" s="713"/>
      <c r="D2189" s="727"/>
      <c r="E2189" s="695"/>
      <c r="F2189" s="714"/>
      <c r="G2189" s="714"/>
      <c r="H2189" s="714"/>
      <c r="I2189" s="714"/>
      <c r="J2189" s="714"/>
      <c r="K2189" s="714"/>
      <c r="L2189" s="714"/>
      <c r="M2189" s="714"/>
      <c r="N2189" s="714"/>
      <c r="O2189" s="753"/>
      <c r="P2189" s="754"/>
    </row>
    <row r="2190" spans="1:89" ht="17.25" customHeight="1" x14ac:dyDescent="0.25">
      <c r="A2190" s="1099">
        <v>4</v>
      </c>
      <c r="B2190" s="752" t="s">
        <v>885</v>
      </c>
      <c r="C2190" s="713"/>
      <c r="D2190" s="727"/>
      <c r="E2190" s="695"/>
      <c r="F2190" s="714"/>
      <c r="G2190" s="714"/>
      <c r="H2190" s="714"/>
      <c r="I2190" s="714"/>
      <c r="J2190" s="714">
        <f>C2190*E2190</f>
        <v>0</v>
      </c>
      <c r="K2190" s="714">
        <f>I2190+J2190</f>
        <v>0</v>
      </c>
      <c r="L2190" s="714"/>
      <c r="M2190" s="714"/>
      <c r="N2190" s="714"/>
      <c r="O2190" s="753">
        <f t="shared" ref="O2190:O2203" si="172">N2190+K2190+H2190</f>
        <v>0</v>
      </c>
      <c r="P2190" s="754"/>
    </row>
    <row r="2191" spans="1:89" s="755" customFormat="1" ht="17.25" customHeight="1" x14ac:dyDescent="0.25">
      <c r="A2191" s="1099"/>
      <c r="C2191" s="713"/>
      <c r="D2191" s="727"/>
      <c r="E2191" s="695"/>
      <c r="F2191" s="714"/>
      <c r="G2191" s="714"/>
      <c r="H2191" s="714"/>
      <c r="I2191" s="714"/>
      <c r="J2191" s="714">
        <f>C2191*E2191</f>
        <v>0</v>
      </c>
      <c r="K2191" s="714">
        <f>I2191+J2191</f>
        <v>0</v>
      </c>
      <c r="L2191" s="714"/>
      <c r="M2191" s="714"/>
      <c r="N2191" s="714"/>
      <c r="O2191" s="753">
        <f t="shared" si="172"/>
        <v>0</v>
      </c>
      <c r="P2191" s="754"/>
      <c r="Q2191" s="679"/>
      <c r="R2191" s="679"/>
      <c r="S2191" s="679"/>
      <c r="T2191" s="679"/>
      <c r="U2191" s="679"/>
      <c r="V2191" s="679"/>
      <c r="W2191" s="679"/>
      <c r="X2191" s="679"/>
      <c r="Y2191" s="679"/>
      <c r="Z2191" s="679"/>
      <c r="AA2191" s="679"/>
      <c r="AB2191" s="679"/>
      <c r="AC2191" s="679"/>
      <c r="AD2191" s="679"/>
      <c r="AE2191" s="679"/>
      <c r="AF2191" s="679"/>
      <c r="AG2191" s="679"/>
      <c r="AH2191" s="679"/>
      <c r="AI2191" s="679"/>
      <c r="AJ2191" s="679"/>
      <c r="AK2191" s="679"/>
      <c r="AL2191" s="679"/>
      <c r="AM2191" s="679"/>
      <c r="AN2191" s="679"/>
      <c r="AO2191" s="679"/>
      <c r="AP2191" s="679"/>
      <c r="AQ2191" s="679"/>
      <c r="AR2191" s="679"/>
      <c r="AS2191" s="679"/>
      <c r="AT2191" s="679"/>
      <c r="AU2191" s="679"/>
      <c r="AV2191" s="679"/>
      <c r="AW2191" s="679"/>
      <c r="AX2191" s="679"/>
      <c r="AY2191" s="679"/>
      <c r="AZ2191" s="679"/>
      <c r="BA2191" s="679"/>
      <c r="BB2191" s="679"/>
      <c r="BC2191" s="679"/>
      <c r="BD2191" s="679"/>
      <c r="BE2191" s="679"/>
      <c r="BF2191" s="679"/>
      <c r="BG2191" s="679"/>
      <c r="BH2191" s="679"/>
      <c r="BI2191" s="679"/>
      <c r="BJ2191" s="679"/>
      <c r="BK2191" s="679"/>
      <c r="BL2191" s="679"/>
      <c r="BM2191" s="679"/>
      <c r="BN2191" s="679"/>
      <c r="BO2191" s="679"/>
      <c r="BP2191" s="679"/>
      <c r="BQ2191" s="679"/>
      <c r="BR2191" s="679"/>
      <c r="BS2191" s="679"/>
      <c r="BT2191" s="679"/>
      <c r="BU2191" s="679"/>
      <c r="BV2191" s="679"/>
      <c r="BW2191" s="679"/>
      <c r="BX2191" s="679"/>
      <c r="BY2191" s="679"/>
      <c r="BZ2191" s="679"/>
      <c r="CA2191" s="679"/>
      <c r="CB2191" s="679"/>
      <c r="CC2191" s="679"/>
      <c r="CD2191" s="679"/>
      <c r="CE2191" s="679"/>
      <c r="CF2191" s="679"/>
      <c r="CG2191" s="679"/>
      <c r="CH2191" s="679"/>
      <c r="CI2191" s="679"/>
      <c r="CJ2191" s="679"/>
      <c r="CK2191" s="679"/>
    </row>
    <row r="2192" spans="1:89" s="691" customFormat="1" ht="17.25" customHeight="1" x14ac:dyDescent="0.25">
      <c r="A2192" s="1099"/>
      <c r="B2192" s="756" t="s">
        <v>1707</v>
      </c>
      <c r="C2192" s="713">
        <v>1</v>
      </c>
      <c r="D2192" s="727" t="s">
        <v>16</v>
      </c>
      <c r="E2192" s="695">
        <f>250000*4</f>
        <v>1000000</v>
      </c>
      <c r="F2192" s="747"/>
      <c r="G2192" s="747"/>
      <c r="H2192" s="747"/>
      <c r="I2192" s="747"/>
      <c r="J2192" s="747"/>
      <c r="K2192" s="747"/>
      <c r="L2192" s="747">
        <f>E2192*C2192</f>
        <v>1000000</v>
      </c>
      <c r="M2192" s="747">
        <v>0</v>
      </c>
      <c r="N2192" s="747">
        <f>M2192+L2192</f>
        <v>1000000</v>
      </c>
      <c r="O2192" s="748">
        <f t="shared" si="172"/>
        <v>1000000</v>
      </c>
      <c r="P2192" s="749"/>
      <c r="Q2192" s="679"/>
      <c r="R2192" s="679"/>
      <c r="S2192" s="679"/>
      <c r="T2192" s="679"/>
      <c r="U2192" s="679"/>
      <c r="V2192" s="679"/>
      <c r="W2192" s="679"/>
      <c r="X2192" s="679"/>
      <c r="Y2192" s="679"/>
      <c r="Z2192" s="679"/>
      <c r="AA2192" s="679"/>
      <c r="AB2192" s="679"/>
      <c r="AC2192" s="679"/>
      <c r="AD2192" s="679"/>
      <c r="AE2192" s="679"/>
      <c r="AF2192" s="679"/>
      <c r="AG2192" s="679"/>
      <c r="AH2192" s="679"/>
      <c r="AI2192" s="679"/>
      <c r="AJ2192" s="679"/>
      <c r="AK2192" s="679"/>
      <c r="AL2192" s="679"/>
      <c r="AM2192" s="679"/>
      <c r="AN2192" s="679"/>
      <c r="AO2192" s="679"/>
      <c r="AP2192" s="679"/>
      <c r="AQ2192" s="679"/>
      <c r="AR2192" s="679"/>
      <c r="AS2192" s="679"/>
      <c r="AT2192" s="679"/>
      <c r="AU2192" s="679"/>
      <c r="AV2192" s="679"/>
      <c r="AW2192" s="679"/>
      <c r="AX2192" s="679"/>
      <c r="AY2192" s="679"/>
      <c r="AZ2192" s="679"/>
      <c r="BA2192" s="679"/>
      <c r="BB2192" s="679"/>
      <c r="BC2192" s="679"/>
      <c r="BD2192" s="679"/>
      <c r="BE2192" s="679"/>
      <c r="BF2192" s="679"/>
      <c r="BG2192" s="679"/>
      <c r="BH2192" s="679"/>
      <c r="BI2192" s="679"/>
      <c r="BJ2192" s="679"/>
      <c r="BK2192" s="679"/>
      <c r="BL2192" s="679"/>
      <c r="BM2192" s="679"/>
      <c r="BN2192" s="679"/>
      <c r="BO2192" s="679"/>
      <c r="BP2192" s="679"/>
      <c r="BQ2192" s="679"/>
      <c r="BR2192" s="679"/>
      <c r="BS2192" s="679"/>
      <c r="BT2192" s="679"/>
      <c r="BU2192" s="679"/>
      <c r="BV2192" s="679"/>
      <c r="BW2192" s="679"/>
      <c r="BX2192" s="679"/>
      <c r="BY2192" s="679"/>
      <c r="BZ2192" s="679"/>
      <c r="CA2192" s="679"/>
      <c r="CB2192" s="679"/>
      <c r="CC2192" s="679"/>
      <c r="CD2192" s="679"/>
      <c r="CE2192" s="679"/>
      <c r="CF2192" s="679"/>
      <c r="CG2192" s="679"/>
      <c r="CH2192" s="679"/>
      <c r="CI2192" s="679"/>
      <c r="CJ2192" s="679"/>
      <c r="CK2192" s="679"/>
    </row>
    <row r="2193" spans="1:16" ht="17.25" customHeight="1" x14ac:dyDescent="0.25">
      <c r="A2193" s="1099"/>
      <c r="B2193" s="711"/>
      <c r="C2193" s="713"/>
      <c r="D2193" s="757"/>
      <c r="E2193" s="758"/>
      <c r="F2193" s="714"/>
      <c r="G2193" s="714"/>
      <c r="H2193" s="714"/>
      <c r="I2193" s="714"/>
      <c r="J2193" s="714">
        <f t="shared" ref="J2193:J2203" si="173">C2193*E2193</f>
        <v>0</v>
      </c>
      <c r="K2193" s="714">
        <f t="shared" ref="K2193:K2203" si="174">I2193+J2193</f>
        <v>0</v>
      </c>
      <c r="L2193" s="714"/>
      <c r="M2193" s="714"/>
      <c r="N2193" s="714"/>
      <c r="O2193" s="753">
        <f t="shared" si="172"/>
        <v>0</v>
      </c>
      <c r="P2193" s="754"/>
    </row>
    <row r="2194" spans="1:16" ht="17.25" customHeight="1" x14ac:dyDescent="0.25">
      <c r="A2194" s="1099"/>
      <c r="B2194" s="759" t="s">
        <v>886</v>
      </c>
      <c r="C2194" s="713"/>
      <c r="D2194" s="757"/>
      <c r="E2194" s="758"/>
      <c r="F2194" s="714"/>
      <c r="G2194" s="714"/>
      <c r="H2194" s="714"/>
      <c r="I2194" s="714"/>
      <c r="J2194" s="714">
        <f t="shared" si="173"/>
        <v>0</v>
      </c>
      <c r="K2194" s="714">
        <f t="shared" si="174"/>
        <v>0</v>
      </c>
      <c r="L2194" s="714"/>
      <c r="M2194" s="714"/>
      <c r="N2194" s="714"/>
      <c r="O2194" s="753">
        <f t="shared" si="172"/>
        <v>0</v>
      </c>
      <c r="P2194" s="754"/>
    </row>
    <row r="2195" spans="1:16" ht="17.25" customHeight="1" x14ac:dyDescent="0.25">
      <c r="A2195" s="1099"/>
      <c r="B2195" s="711" t="s">
        <v>40</v>
      </c>
      <c r="C2195" s="713"/>
      <c r="D2195" s="757"/>
      <c r="E2195" s="758"/>
      <c r="F2195" s="714"/>
      <c r="G2195" s="714"/>
      <c r="H2195" s="714"/>
      <c r="I2195" s="714"/>
      <c r="J2195" s="714">
        <f t="shared" si="173"/>
        <v>0</v>
      </c>
      <c r="K2195" s="714">
        <f t="shared" si="174"/>
        <v>0</v>
      </c>
      <c r="L2195" s="714"/>
      <c r="M2195" s="714"/>
      <c r="N2195" s="714"/>
      <c r="O2195" s="753">
        <f t="shared" si="172"/>
        <v>0</v>
      </c>
      <c r="P2195" s="754"/>
    </row>
    <row r="2196" spans="1:16" ht="17.25" customHeight="1" x14ac:dyDescent="0.25">
      <c r="A2196" s="1099"/>
      <c r="B2196" s="711" t="s">
        <v>887</v>
      </c>
      <c r="C2196" s="713">
        <v>1</v>
      </c>
      <c r="D2196" s="757" t="s">
        <v>188</v>
      </c>
      <c r="E2196" s="758">
        <v>21562</v>
      </c>
      <c r="F2196" s="714"/>
      <c r="G2196" s="714"/>
      <c r="H2196" s="714"/>
      <c r="I2196" s="714"/>
      <c r="J2196" s="714">
        <f t="shared" si="173"/>
        <v>21562</v>
      </c>
      <c r="K2196" s="714">
        <f t="shared" si="174"/>
        <v>21562</v>
      </c>
      <c r="L2196" s="714"/>
      <c r="M2196" s="714"/>
      <c r="N2196" s="714"/>
      <c r="O2196" s="753">
        <f t="shared" si="172"/>
        <v>21562</v>
      </c>
      <c r="P2196" s="754"/>
    </row>
    <row r="2197" spans="1:16" ht="17.25" customHeight="1" x14ac:dyDescent="0.25">
      <c r="A2197" s="1099"/>
      <c r="B2197" s="763" t="s">
        <v>875</v>
      </c>
      <c r="C2197" s="699"/>
      <c r="D2197" s="762"/>
      <c r="E2197" s="700"/>
      <c r="F2197" s="714"/>
      <c r="G2197" s="714"/>
      <c r="H2197" s="714"/>
      <c r="I2197" s="714"/>
      <c r="J2197" s="714">
        <f t="shared" si="173"/>
        <v>0</v>
      </c>
      <c r="K2197" s="714">
        <f t="shared" si="174"/>
        <v>0</v>
      </c>
      <c r="L2197" s="714"/>
      <c r="M2197" s="714"/>
      <c r="N2197" s="714"/>
      <c r="O2197" s="753">
        <f t="shared" si="172"/>
        <v>0</v>
      </c>
      <c r="P2197" s="754"/>
    </row>
    <row r="2198" spans="1:16" ht="17.25" customHeight="1" x14ac:dyDescent="0.25">
      <c r="A2198" s="1099"/>
      <c r="B2198" s="763" t="s">
        <v>888</v>
      </c>
      <c r="C2198" s="699">
        <v>32</v>
      </c>
      <c r="D2198" s="762" t="s">
        <v>51</v>
      </c>
      <c r="E2198" s="700">
        <v>3262</v>
      </c>
      <c r="F2198" s="714"/>
      <c r="G2198" s="714"/>
      <c r="H2198" s="714"/>
      <c r="I2198" s="714"/>
      <c r="J2198" s="714">
        <f t="shared" si="173"/>
        <v>104384</v>
      </c>
      <c r="K2198" s="714">
        <f t="shared" si="174"/>
        <v>104384</v>
      </c>
      <c r="L2198" s="714"/>
      <c r="M2198" s="714"/>
      <c r="N2198" s="714"/>
      <c r="O2198" s="753">
        <f t="shared" si="172"/>
        <v>104384</v>
      </c>
      <c r="P2198" s="754"/>
    </row>
    <row r="2199" spans="1:16" ht="17.25" customHeight="1" x14ac:dyDescent="0.25">
      <c r="A2199" s="1099"/>
      <c r="B2199" s="763" t="s">
        <v>889</v>
      </c>
      <c r="C2199" s="699">
        <v>160</v>
      </c>
      <c r="D2199" s="762" t="s">
        <v>55</v>
      </c>
      <c r="E2199" s="700">
        <v>380</v>
      </c>
      <c r="F2199" s="714"/>
      <c r="G2199" s="714"/>
      <c r="H2199" s="714"/>
      <c r="I2199" s="714"/>
      <c r="J2199" s="714">
        <f t="shared" si="173"/>
        <v>60800</v>
      </c>
      <c r="K2199" s="714">
        <f t="shared" si="174"/>
        <v>60800</v>
      </c>
      <c r="L2199" s="714"/>
      <c r="M2199" s="714"/>
      <c r="N2199" s="714"/>
      <c r="O2199" s="753">
        <f t="shared" si="172"/>
        <v>60800</v>
      </c>
      <c r="P2199" s="754"/>
    </row>
    <row r="2200" spans="1:16" ht="17.25" customHeight="1" x14ac:dyDescent="0.25">
      <c r="A2200" s="1099"/>
      <c r="B2200" s="763" t="s">
        <v>890</v>
      </c>
      <c r="C2200" s="699">
        <v>60</v>
      </c>
      <c r="D2200" s="762" t="s">
        <v>55</v>
      </c>
      <c r="E2200" s="700">
        <v>614</v>
      </c>
      <c r="F2200" s="714"/>
      <c r="G2200" s="714"/>
      <c r="H2200" s="714"/>
      <c r="I2200" s="714"/>
      <c r="J2200" s="714">
        <f t="shared" si="173"/>
        <v>36840</v>
      </c>
      <c r="K2200" s="714">
        <f t="shared" si="174"/>
        <v>36840</v>
      </c>
      <c r="L2200" s="714"/>
      <c r="M2200" s="714"/>
      <c r="N2200" s="714"/>
      <c r="O2200" s="753">
        <f t="shared" si="172"/>
        <v>36840</v>
      </c>
      <c r="P2200" s="754"/>
    </row>
    <row r="2201" spans="1:16" ht="17.25" customHeight="1" x14ac:dyDescent="0.25">
      <c r="A2201" s="1099"/>
      <c r="B2201" s="924" t="s">
        <v>891</v>
      </c>
      <c r="C2201" s="699">
        <v>32</v>
      </c>
      <c r="D2201" s="762" t="s">
        <v>51</v>
      </c>
      <c r="E2201" s="700">
        <v>80</v>
      </c>
      <c r="F2201" s="714"/>
      <c r="G2201" s="714"/>
      <c r="H2201" s="714"/>
      <c r="I2201" s="714"/>
      <c r="J2201" s="714">
        <f t="shared" si="173"/>
        <v>2560</v>
      </c>
      <c r="K2201" s="714">
        <f t="shared" si="174"/>
        <v>2560</v>
      </c>
      <c r="L2201" s="714"/>
      <c r="M2201" s="714"/>
      <c r="N2201" s="714"/>
      <c r="O2201" s="753">
        <f t="shared" si="172"/>
        <v>2560</v>
      </c>
      <c r="P2201" s="754"/>
    </row>
    <row r="2202" spans="1:16" ht="17.25" customHeight="1" x14ac:dyDescent="0.25">
      <c r="A2202" s="1099"/>
      <c r="B2202" s="924"/>
      <c r="C2202" s="699"/>
      <c r="D2202" s="762"/>
      <c r="E2202" s="700"/>
      <c r="F2202" s="714"/>
      <c r="G2202" s="714"/>
      <c r="H2202" s="714"/>
      <c r="I2202" s="714"/>
      <c r="J2202" s="714">
        <f t="shared" si="173"/>
        <v>0</v>
      </c>
      <c r="K2202" s="714">
        <f t="shared" si="174"/>
        <v>0</v>
      </c>
      <c r="L2202" s="714"/>
      <c r="M2202" s="714"/>
      <c r="N2202" s="714"/>
      <c r="O2202" s="753">
        <f t="shared" si="172"/>
        <v>0</v>
      </c>
      <c r="P2202" s="754"/>
    </row>
    <row r="2203" spans="1:16" ht="17.25" customHeight="1" x14ac:dyDescent="0.25">
      <c r="A2203" s="1099"/>
      <c r="B2203" s="923" t="s">
        <v>894</v>
      </c>
      <c r="C2203" s="699"/>
      <c r="D2203" s="762"/>
      <c r="E2203" s="700"/>
      <c r="F2203" s="714"/>
      <c r="G2203" s="714"/>
      <c r="H2203" s="714"/>
      <c r="I2203" s="714"/>
      <c r="J2203" s="714">
        <f t="shared" si="173"/>
        <v>0</v>
      </c>
      <c r="K2203" s="714">
        <f t="shared" si="174"/>
        <v>0</v>
      </c>
      <c r="L2203" s="714"/>
      <c r="M2203" s="714"/>
      <c r="N2203" s="714"/>
      <c r="O2203" s="753">
        <f t="shared" si="172"/>
        <v>0</v>
      </c>
      <c r="P2203" s="754"/>
    </row>
    <row r="2204" spans="1:16" ht="17.25" customHeight="1" x14ac:dyDescent="0.25">
      <c r="A2204" s="1099"/>
      <c r="B2204" s="924"/>
      <c r="C2204" s="699"/>
      <c r="D2204" s="762"/>
      <c r="E2204" s="700"/>
      <c r="F2204" s="714"/>
      <c r="G2204" s="714"/>
      <c r="H2204" s="714"/>
      <c r="I2204" s="714"/>
      <c r="J2204" s="714"/>
      <c r="K2204" s="714"/>
      <c r="L2204" s="714"/>
      <c r="M2204" s="714"/>
      <c r="N2204" s="714"/>
      <c r="O2204" s="753"/>
      <c r="P2204" s="754"/>
    </row>
    <row r="2205" spans="1:16" ht="17.25" customHeight="1" x14ac:dyDescent="0.25">
      <c r="A2205" s="1099"/>
      <c r="B2205" s="924"/>
      <c r="C2205" s="699"/>
      <c r="D2205" s="762"/>
      <c r="E2205" s="700"/>
      <c r="F2205" s="714"/>
      <c r="G2205" s="714"/>
      <c r="H2205" s="714"/>
      <c r="I2205" s="714"/>
      <c r="J2205" s="714">
        <f t="shared" ref="J2205:J2215" si="175">C2205*E2205</f>
        <v>0</v>
      </c>
      <c r="K2205" s="714">
        <f t="shared" ref="K2205:K2269" si="176">I2205+J2205</f>
        <v>0</v>
      </c>
      <c r="L2205" s="714"/>
      <c r="M2205" s="714"/>
      <c r="N2205" s="714"/>
      <c r="O2205" s="753">
        <f t="shared" ref="O2205:O2269" si="177">N2205+K2205+H2205</f>
        <v>0</v>
      </c>
      <c r="P2205" s="754"/>
    </row>
    <row r="2206" spans="1:16" ht="17.25" customHeight="1" x14ac:dyDescent="0.25">
      <c r="A2206" s="1099"/>
      <c r="B2206" s="923" t="s">
        <v>896</v>
      </c>
      <c r="C2206" s="699"/>
      <c r="D2206" s="762"/>
      <c r="E2206" s="700"/>
      <c r="F2206" s="714"/>
      <c r="G2206" s="714"/>
      <c r="H2206" s="714"/>
      <c r="I2206" s="714"/>
      <c r="J2206" s="714">
        <f t="shared" si="175"/>
        <v>0</v>
      </c>
      <c r="K2206" s="714">
        <f t="shared" si="176"/>
        <v>0</v>
      </c>
      <c r="L2206" s="714"/>
      <c r="M2206" s="714"/>
      <c r="N2206" s="714"/>
      <c r="O2206" s="753">
        <f t="shared" si="177"/>
        <v>0</v>
      </c>
      <c r="P2206" s="754"/>
    </row>
    <row r="2207" spans="1:16" ht="17.25" customHeight="1" x14ac:dyDescent="0.25">
      <c r="A2207" s="1099"/>
      <c r="B2207" s="924" t="s">
        <v>897</v>
      </c>
      <c r="C2207" s="699"/>
      <c r="D2207" s="762"/>
      <c r="E2207" s="700"/>
      <c r="F2207" s="714"/>
      <c r="G2207" s="714"/>
      <c r="H2207" s="714"/>
      <c r="I2207" s="714"/>
      <c r="J2207" s="714">
        <f t="shared" si="175"/>
        <v>0</v>
      </c>
      <c r="K2207" s="714">
        <f t="shared" si="176"/>
        <v>0</v>
      </c>
      <c r="L2207" s="714"/>
      <c r="M2207" s="714"/>
      <c r="N2207" s="714"/>
      <c r="O2207" s="753">
        <f t="shared" si="177"/>
        <v>0</v>
      </c>
      <c r="P2207" s="754"/>
    </row>
    <row r="2208" spans="1:16" ht="17.25" customHeight="1" x14ac:dyDescent="0.25">
      <c r="A2208" s="1099"/>
      <c r="B2208" s="924" t="s">
        <v>315</v>
      </c>
      <c r="C2208" s="699"/>
      <c r="D2208" s="762"/>
      <c r="E2208" s="700"/>
      <c r="F2208" s="747"/>
      <c r="G2208" s="747"/>
      <c r="H2208" s="747"/>
      <c r="I2208" s="747"/>
      <c r="J2208" s="747">
        <f t="shared" si="175"/>
        <v>0</v>
      </c>
      <c r="K2208" s="747">
        <f t="shared" si="176"/>
        <v>0</v>
      </c>
      <c r="L2208" s="747"/>
      <c r="M2208" s="747"/>
      <c r="N2208" s="747"/>
      <c r="O2208" s="748">
        <f t="shared" si="177"/>
        <v>0</v>
      </c>
      <c r="P2208" s="749"/>
    </row>
    <row r="2209" spans="1:16" ht="17.25" customHeight="1" x14ac:dyDescent="0.25">
      <c r="A2209" s="1099"/>
      <c r="B2209" s="924" t="s">
        <v>236</v>
      </c>
      <c r="C2209" s="699">
        <v>12</v>
      </c>
      <c r="D2209" s="762" t="s">
        <v>20</v>
      </c>
      <c r="E2209" s="700">
        <v>1250</v>
      </c>
      <c r="F2209" s="747"/>
      <c r="G2209" s="747"/>
      <c r="H2209" s="747"/>
      <c r="I2209" s="747"/>
      <c r="J2209" s="747">
        <f t="shared" si="175"/>
        <v>15000</v>
      </c>
      <c r="K2209" s="747">
        <f t="shared" si="176"/>
        <v>15000</v>
      </c>
      <c r="L2209" s="747"/>
      <c r="M2209" s="747"/>
      <c r="N2209" s="747"/>
      <c r="O2209" s="748">
        <f t="shared" si="177"/>
        <v>15000</v>
      </c>
      <c r="P2209" s="749"/>
    </row>
    <row r="2210" spans="1:16" ht="17.25" customHeight="1" x14ac:dyDescent="0.25">
      <c r="A2210" s="1099"/>
      <c r="B2210" s="924" t="s">
        <v>1697</v>
      </c>
      <c r="C2210" s="699">
        <v>12</v>
      </c>
      <c r="D2210" s="762" t="s">
        <v>20</v>
      </c>
      <c r="E2210" s="700">
        <v>900</v>
      </c>
      <c r="F2210" s="747"/>
      <c r="G2210" s="747"/>
      <c r="H2210" s="747"/>
      <c r="I2210" s="747"/>
      <c r="J2210" s="747">
        <f t="shared" si="175"/>
        <v>10800</v>
      </c>
      <c r="K2210" s="747">
        <f t="shared" si="176"/>
        <v>10800</v>
      </c>
      <c r="L2210" s="747"/>
      <c r="M2210" s="747"/>
      <c r="N2210" s="747"/>
      <c r="O2210" s="748">
        <f t="shared" si="177"/>
        <v>10800</v>
      </c>
      <c r="P2210" s="749"/>
    </row>
    <row r="2211" spans="1:16" ht="17.25" customHeight="1" x14ac:dyDescent="0.25">
      <c r="A2211" s="1099"/>
      <c r="B2211" s="924" t="s">
        <v>898</v>
      </c>
      <c r="C2211" s="699">
        <v>12</v>
      </c>
      <c r="D2211" s="762" t="s">
        <v>20</v>
      </c>
      <c r="E2211" s="700">
        <v>855</v>
      </c>
      <c r="F2211" s="747"/>
      <c r="G2211" s="747"/>
      <c r="H2211" s="747"/>
      <c r="I2211" s="747"/>
      <c r="J2211" s="747">
        <f t="shared" si="175"/>
        <v>10260</v>
      </c>
      <c r="K2211" s="747">
        <f t="shared" si="176"/>
        <v>10260</v>
      </c>
      <c r="L2211" s="747"/>
      <c r="M2211" s="747"/>
      <c r="N2211" s="747"/>
      <c r="O2211" s="748">
        <f t="shared" si="177"/>
        <v>10260</v>
      </c>
      <c r="P2211" s="749"/>
    </row>
    <row r="2212" spans="1:16" ht="17.25" customHeight="1" x14ac:dyDescent="0.25">
      <c r="A2212" s="1099"/>
      <c r="B2212" s="924" t="s">
        <v>899</v>
      </c>
      <c r="C2212" s="699">
        <v>12</v>
      </c>
      <c r="D2212" s="762" t="s">
        <v>20</v>
      </c>
      <c r="E2212" s="700">
        <v>740</v>
      </c>
      <c r="F2212" s="747"/>
      <c r="G2212" s="747"/>
      <c r="H2212" s="747"/>
      <c r="I2212" s="747"/>
      <c r="J2212" s="747">
        <f t="shared" si="175"/>
        <v>8880</v>
      </c>
      <c r="K2212" s="747">
        <f t="shared" si="176"/>
        <v>8880</v>
      </c>
      <c r="L2212" s="747"/>
      <c r="M2212" s="747"/>
      <c r="N2212" s="747"/>
      <c r="O2212" s="748">
        <f t="shared" si="177"/>
        <v>8880</v>
      </c>
      <c r="P2212" s="749"/>
    </row>
    <row r="2213" spans="1:16" ht="17.25" customHeight="1" x14ac:dyDescent="0.25">
      <c r="A2213" s="1099"/>
      <c r="B2213" s="924" t="s">
        <v>900</v>
      </c>
      <c r="C2213" s="699">
        <v>60</v>
      </c>
      <c r="D2213" s="762" t="s">
        <v>20</v>
      </c>
      <c r="E2213" s="700">
        <v>545</v>
      </c>
      <c r="F2213" s="714"/>
      <c r="G2213" s="714"/>
      <c r="H2213" s="714"/>
      <c r="I2213" s="714"/>
      <c r="J2213" s="714">
        <f t="shared" si="175"/>
        <v>32700</v>
      </c>
      <c r="K2213" s="714">
        <f t="shared" si="176"/>
        <v>32700</v>
      </c>
      <c r="L2213" s="714"/>
      <c r="M2213" s="714"/>
      <c r="N2213" s="714"/>
      <c r="O2213" s="753">
        <f t="shared" si="177"/>
        <v>32700</v>
      </c>
      <c r="P2213" s="754"/>
    </row>
    <row r="2214" spans="1:16" ht="17.25" customHeight="1" x14ac:dyDescent="0.25">
      <c r="A2214" s="1099"/>
      <c r="B2214" s="924"/>
      <c r="C2214" s="699"/>
      <c r="D2214" s="762"/>
      <c r="E2214" s="700"/>
      <c r="F2214" s="714"/>
      <c r="G2214" s="714"/>
      <c r="H2214" s="714"/>
      <c r="I2214" s="714"/>
      <c r="J2214" s="714">
        <f t="shared" si="175"/>
        <v>0</v>
      </c>
      <c r="K2214" s="714">
        <f t="shared" si="176"/>
        <v>0</v>
      </c>
      <c r="L2214" s="714"/>
      <c r="M2214" s="714"/>
      <c r="N2214" s="714"/>
      <c r="O2214" s="753">
        <f t="shared" si="177"/>
        <v>0</v>
      </c>
      <c r="P2214" s="754"/>
    </row>
    <row r="2215" spans="1:16" ht="17.25" customHeight="1" x14ac:dyDescent="0.25">
      <c r="A2215" s="1099"/>
      <c r="B2215" s="924" t="s">
        <v>21</v>
      </c>
      <c r="C2215" s="699"/>
      <c r="D2215" s="762"/>
      <c r="E2215" s="700"/>
      <c r="F2215" s="747"/>
      <c r="G2215" s="747"/>
      <c r="H2215" s="747"/>
      <c r="I2215" s="747"/>
      <c r="J2215" s="747">
        <f t="shared" si="175"/>
        <v>0</v>
      </c>
      <c r="K2215" s="747">
        <f t="shared" si="176"/>
        <v>0</v>
      </c>
      <c r="L2215" s="747"/>
      <c r="M2215" s="747"/>
      <c r="N2215" s="747"/>
      <c r="O2215" s="748">
        <f t="shared" si="177"/>
        <v>0</v>
      </c>
      <c r="P2215" s="749"/>
    </row>
    <row r="2216" spans="1:16" ht="17.25" customHeight="1" x14ac:dyDescent="0.25">
      <c r="A2216" s="1099"/>
      <c r="B2216" s="924" t="s">
        <v>1708</v>
      </c>
      <c r="C2216" s="699">
        <v>1</v>
      </c>
      <c r="D2216" s="762" t="s">
        <v>47</v>
      </c>
      <c r="E2216" s="700">
        <v>100000</v>
      </c>
      <c r="F2216" s="747"/>
      <c r="G2216" s="747"/>
      <c r="H2216" s="747"/>
      <c r="I2216" s="747">
        <f t="shared" ref="I2216:I2223" si="178">E2216*C2216</f>
        <v>100000</v>
      </c>
      <c r="J2216" s="747"/>
      <c r="K2216" s="747">
        <f t="shared" si="176"/>
        <v>100000</v>
      </c>
      <c r="L2216" s="747"/>
      <c r="M2216" s="747"/>
      <c r="N2216" s="747"/>
      <c r="O2216" s="748">
        <f t="shared" si="177"/>
        <v>100000</v>
      </c>
      <c r="P2216" s="749"/>
    </row>
    <row r="2217" spans="1:16" ht="17.25" customHeight="1" x14ac:dyDescent="0.25">
      <c r="A2217" s="1099"/>
      <c r="B2217" s="924" t="s">
        <v>901</v>
      </c>
      <c r="C2217" s="699">
        <v>1</v>
      </c>
      <c r="D2217" s="762" t="s">
        <v>190</v>
      </c>
      <c r="E2217" s="700">
        <v>100000</v>
      </c>
      <c r="F2217" s="747"/>
      <c r="G2217" s="747"/>
      <c r="H2217" s="747"/>
      <c r="I2217" s="747">
        <f t="shared" si="178"/>
        <v>100000</v>
      </c>
      <c r="J2217" s="747"/>
      <c r="K2217" s="747">
        <f t="shared" si="176"/>
        <v>100000</v>
      </c>
      <c r="L2217" s="747"/>
      <c r="M2217" s="747"/>
      <c r="N2217" s="747"/>
      <c r="O2217" s="748">
        <f t="shared" si="177"/>
        <v>100000</v>
      </c>
      <c r="P2217" s="749"/>
    </row>
    <row r="2218" spans="1:16" ht="17.25" customHeight="1" x14ac:dyDescent="0.25">
      <c r="A2218" s="1099"/>
      <c r="B2218" s="924" t="s">
        <v>902</v>
      </c>
      <c r="C2218" s="699">
        <v>1</v>
      </c>
      <c r="D2218" s="762" t="s">
        <v>47</v>
      </c>
      <c r="E2218" s="700">
        <v>50000</v>
      </c>
      <c r="F2218" s="747"/>
      <c r="G2218" s="747"/>
      <c r="H2218" s="747"/>
      <c r="I2218" s="747">
        <f t="shared" si="178"/>
        <v>50000</v>
      </c>
      <c r="J2218" s="747"/>
      <c r="K2218" s="747">
        <f t="shared" si="176"/>
        <v>50000</v>
      </c>
      <c r="L2218" s="747"/>
      <c r="M2218" s="747"/>
      <c r="N2218" s="747"/>
      <c r="O2218" s="748">
        <f t="shared" si="177"/>
        <v>50000</v>
      </c>
      <c r="P2218" s="749"/>
    </row>
    <row r="2219" spans="1:16" ht="17.25" customHeight="1" x14ac:dyDescent="0.25">
      <c r="A2219" s="1099"/>
      <c r="B2219" s="924" t="s">
        <v>903</v>
      </c>
      <c r="C2219" s="699">
        <v>18</v>
      </c>
      <c r="D2219" s="762" t="s">
        <v>159</v>
      </c>
      <c r="E2219" s="700">
        <v>460</v>
      </c>
      <c r="F2219" s="747"/>
      <c r="G2219" s="747"/>
      <c r="H2219" s="747"/>
      <c r="I2219" s="747">
        <f t="shared" si="178"/>
        <v>8280</v>
      </c>
      <c r="J2219" s="747"/>
      <c r="K2219" s="747">
        <f t="shared" si="176"/>
        <v>8280</v>
      </c>
      <c r="L2219" s="747"/>
      <c r="M2219" s="747"/>
      <c r="N2219" s="747"/>
      <c r="O2219" s="748">
        <f t="shared" si="177"/>
        <v>8280</v>
      </c>
      <c r="P2219" s="749"/>
    </row>
    <row r="2220" spans="1:16" ht="17.25" customHeight="1" x14ac:dyDescent="0.25">
      <c r="A2220" s="1099"/>
      <c r="B2220" s="924" t="s">
        <v>904</v>
      </c>
      <c r="C2220" s="699">
        <v>0</v>
      </c>
      <c r="D2220" s="762" t="s">
        <v>159</v>
      </c>
      <c r="E2220" s="700">
        <v>850</v>
      </c>
      <c r="F2220" s="747"/>
      <c r="G2220" s="747"/>
      <c r="H2220" s="747"/>
      <c r="I2220" s="747">
        <f t="shared" si="178"/>
        <v>0</v>
      </c>
      <c r="J2220" s="747"/>
      <c r="K2220" s="747">
        <f t="shared" si="176"/>
        <v>0</v>
      </c>
      <c r="L2220" s="747"/>
      <c r="M2220" s="747"/>
      <c r="N2220" s="747"/>
      <c r="O2220" s="748">
        <f t="shared" si="177"/>
        <v>0</v>
      </c>
      <c r="P2220" s="749"/>
    </row>
    <row r="2221" spans="1:16" ht="17.25" customHeight="1" x14ac:dyDescent="0.25">
      <c r="A2221" s="1099"/>
      <c r="B2221" s="924" t="s">
        <v>905</v>
      </c>
      <c r="C2221" s="699">
        <v>4</v>
      </c>
      <c r="D2221" s="762" t="s">
        <v>159</v>
      </c>
      <c r="E2221" s="700">
        <v>390</v>
      </c>
      <c r="F2221" s="714"/>
      <c r="G2221" s="714"/>
      <c r="H2221" s="714"/>
      <c r="I2221" s="714">
        <f t="shared" si="178"/>
        <v>1560</v>
      </c>
      <c r="J2221" s="714"/>
      <c r="K2221" s="714">
        <f t="shared" si="176"/>
        <v>1560</v>
      </c>
      <c r="L2221" s="714"/>
      <c r="M2221" s="714"/>
      <c r="N2221" s="714"/>
      <c r="O2221" s="753">
        <f t="shared" si="177"/>
        <v>1560</v>
      </c>
      <c r="P2221" s="754"/>
    </row>
    <row r="2222" spans="1:16" ht="17.25" customHeight="1" x14ac:dyDescent="0.25">
      <c r="A2222" s="1099"/>
      <c r="B2222" s="924" t="s">
        <v>906</v>
      </c>
      <c r="C2222" s="699">
        <v>4</v>
      </c>
      <c r="D2222" s="762" t="s">
        <v>159</v>
      </c>
      <c r="E2222" s="700">
        <v>390</v>
      </c>
      <c r="F2222" s="714"/>
      <c r="G2222" s="714"/>
      <c r="H2222" s="714"/>
      <c r="I2222" s="714">
        <f t="shared" si="178"/>
        <v>1560</v>
      </c>
      <c r="J2222" s="714"/>
      <c r="K2222" s="714">
        <f t="shared" si="176"/>
        <v>1560</v>
      </c>
      <c r="L2222" s="714"/>
      <c r="M2222" s="714"/>
      <c r="N2222" s="714"/>
      <c r="O2222" s="753">
        <f t="shared" si="177"/>
        <v>1560</v>
      </c>
      <c r="P2222" s="754"/>
    </row>
    <row r="2223" spans="1:16" ht="17.25" customHeight="1" x14ac:dyDescent="0.25">
      <c r="A2223" s="1099"/>
      <c r="B2223" s="924" t="s">
        <v>907</v>
      </c>
      <c r="C2223" s="699">
        <v>1</v>
      </c>
      <c r="D2223" s="762" t="s">
        <v>47</v>
      </c>
      <c r="E2223" s="700">
        <v>6000</v>
      </c>
      <c r="F2223" s="714"/>
      <c r="G2223" s="714"/>
      <c r="H2223" s="714"/>
      <c r="I2223" s="714">
        <f t="shared" si="178"/>
        <v>6000</v>
      </c>
      <c r="J2223" s="714"/>
      <c r="K2223" s="714">
        <f t="shared" si="176"/>
        <v>6000</v>
      </c>
      <c r="L2223" s="714"/>
      <c r="M2223" s="714"/>
      <c r="N2223" s="714"/>
      <c r="O2223" s="753">
        <f t="shared" si="177"/>
        <v>6000</v>
      </c>
      <c r="P2223" s="754"/>
    </row>
    <row r="2224" spans="1:16" ht="17.25" customHeight="1" x14ac:dyDescent="0.25">
      <c r="A2224" s="1099"/>
      <c r="B2224" s="924"/>
      <c r="C2224" s="699"/>
      <c r="D2224" s="762"/>
      <c r="E2224" s="700"/>
      <c r="F2224" s="714"/>
      <c r="G2224" s="714"/>
      <c r="H2224" s="714"/>
      <c r="I2224" s="714"/>
      <c r="J2224" s="714">
        <f>C2224*E2224</f>
        <v>0</v>
      </c>
      <c r="K2224" s="714">
        <f t="shared" si="176"/>
        <v>0</v>
      </c>
      <c r="L2224" s="714"/>
      <c r="M2224" s="714"/>
      <c r="N2224" s="714"/>
      <c r="O2224" s="753">
        <f t="shared" si="177"/>
        <v>0</v>
      </c>
      <c r="P2224" s="754"/>
    </row>
    <row r="2225" spans="1:16" ht="17.25" customHeight="1" x14ac:dyDescent="0.25">
      <c r="A2225" s="1099"/>
      <c r="B2225" s="924" t="s">
        <v>27</v>
      </c>
      <c r="C2225" s="699"/>
      <c r="D2225" s="762"/>
      <c r="E2225" s="700"/>
      <c r="F2225" s="714"/>
      <c r="G2225" s="714"/>
      <c r="H2225" s="714"/>
      <c r="I2225" s="714"/>
      <c r="J2225" s="714">
        <f>C2225*E2225</f>
        <v>0</v>
      </c>
      <c r="K2225" s="714">
        <f t="shared" si="176"/>
        <v>0</v>
      </c>
      <c r="L2225" s="714"/>
      <c r="M2225" s="714"/>
      <c r="N2225" s="714"/>
      <c r="O2225" s="753">
        <f t="shared" si="177"/>
        <v>0</v>
      </c>
      <c r="P2225" s="754"/>
    </row>
    <row r="2226" spans="1:16" ht="17.25" customHeight="1" x14ac:dyDescent="0.25">
      <c r="A2226" s="1099"/>
      <c r="B2226" s="924" t="s">
        <v>908</v>
      </c>
      <c r="C2226" s="699">
        <v>1</v>
      </c>
      <c r="D2226" s="762" t="s">
        <v>47</v>
      </c>
      <c r="E2226" s="700">
        <v>60000</v>
      </c>
      <c r="F2226" s="714"/>
      <c r="G2226" s="714"/>
      <c r="H2226" s="714"/>
      <c r="I2226" s="714">
        <f>E2226*C2226</f>
        <v>60000</v>
      </c>
      <c r="J2226" s="714"/>
      <c r="K2226" s="714">
        <f t="shared" si="176"/>
        <v>60000</v>
      </c>
      <c r="L2226" s="714"/>
      <c r="M2226" s="714"/>
      <c r="N2226" s="714"/>
      <c r="O2226" s="753">
        <f t="shared" si="177"/>
        <v>60000</v>
      </c>
      <c r="P2226" s="754"/>
    </row>
    <row r="2227" spans="1:16" ht="17.25" customHeight="1" x14ac:dyDescent="0.25">
      <c r="A2227" s="1099"/>
      <c r="B2227" s="924"/>
      <c r="C2227" s="699"/>
      <c r="D2227" s="762"/>
      <c r="E2227" s="700"/>
      <c r="F2227" s="714"/>
      <c r="G2227" s="714"/>
      <c r="H2227" s="714"/>
      <c r="I2227" s="714"/>
      <c r="J2227" s="714">
        <f t="shared" ref="J2227:J2234" si="179">C2227*E2227</f>
        <v>0</v>
      </c>
      <c r="K2227" s="714">
        <f t="shared" si="176"/>
        <v>0</v>
      </c>
      <c r="L2227" s="714"/>
      <c r="M2227" s="714"/>
      <c r="N2227" s="714"/>
      <c r="O2227" s="753">
        <f t="shared" si="177"/>
        <v>0</v>
      </c>
      <c r="P2227" s="754"/>
    </row>
    <row r="2228" spans="1:16" ht="17.25" customHeight="1" x14ac:dyDescent="0.25">
      <c r="A2228" s="1099"/>
      <c r="B2228" s="924" t="s">
        <v>206</v>
      </c>
      <c r="C2228" s="699"/>
      <c r="D2228" s="762"/>
      <c r="E2228" s="700"/>
      <c r="F2228" s="714"/>
      <c r="G2228" s="714"/>
      <c r="H2228" s="714"/>
      <c r="I2228" s="714"/>
      <c r="J2228" s="714">
        <f t="shared" si="179"/>
        <v>0</v>
      </c>
      <c r="K2228" s="714">
        <f t="shared" si="176"/>
        <v>0</v>
      </c>
      <c r="L2228" s="714"/>
      <c r="M2228" s="714"/>
      <c r="N2228" s="714"/>
      <c r="O2228" s="753">
        <f t="shared" si="177"/>
        <v>0</v>
      </c>
      <c r="P2228" s="754"/>
    </row>
    <row r="2229" spans="1:16" ht="17.25" customHeight="1" x14ac:dyDescent="0.25">
      <c r="A2229" s="1099"/>
      <c r="B2229" s="924" t="s">
        <v>909</v>
      </c>
      <c r="C2229" s="699">
        <v>1</v>
      </c>
      <c r="D2229" s="762" t="s">
        <v>47</v>
      </c>
      <c r="E2229" s="700">
        <v>100000</v>
      </c>
      <c r="F2229" s="714"/>
      <c r="G2229" s="714"/>
      <c r="H2229" s="714"/>
      <c r="I2229" s="714"/>
      <c r="J2229" s="714">
        <f t="shared" si="179"/>
        <v>100000</v>
      </c>
      <c r="K2229" s="714">
        <f t="shared" si="176"/>
        <v>100000</v>
      </c>
      <c r="L2229" s="714"/>
      <c r="M2229" s="714"/>
      <c r="N2229" s="714"/>
      <c r="O2229" s="753">
        <f t="shared" si="177"/>
        <v>100000</v>
      </c>
      <c r="P2229" s="754"/>
    </row>
    <row r="2230" spans="1:16" ht="17.25" customHeight="1" x14ac:dyDescent="0.25">
      <c r="A2230" s="1099"/>
      <c r="B2230" s="924" t="s">
        <v>910</v>
      </c>
      <c r="C2230" s="699">
        <v>1</v>
      </c>
      <c r="D2230" s="762" t="s">
        <v>47</v>
      </c>
      <c r="E2230" s="700">
        <v>25000</v>
      </c>
      <c r="F2230" s="714"/>
      <c r="G2230" s="714"/>
      <c r="H2230" s="714"/>
      <c r="I2230" s="714"/>
      <c r="J2230" s="714">
        <f t="shared" si="179"/>
        <v>25000</v>
      </c>
      <c r="K2230" s="714">
        <f t="shared" si="176"/>
        <v>25000</v>
      </c>
      <c r="L2230" s="714"/>
      <c r="M2230" s="714"/>
      <c r="N2230" s="714"/>
      <c r="O2230" s="753">
        <f t="shared" si="177"/>
        <v>25000</v>
      </c>
      <c r="P2230" s="754"/>
    </row>
    <row r="2231" spans="1:16" ht="17.25" customHeight="1" x14ac:dyDescent="0.25">
      <c r="A2231" s="1099"/>
      <c r="B2231" s="924" t="s">
        <v>911</v>
      </c>
      <c r="C2231" s="699">
        <v>12</v>
      </c>
      <c r="D2231" s="762" t="s">
        <v>20</v>
      </c>
      <c r="E2231" s="700">
        <v>400</v>
      </c>
      <c r="F2231" s="714"/>
      <c r="G2231" s="714"/>
      <c r="H2231" s="714"/>
      <c r="I2231" s="714"/>
      <c r="J2231" s="714">
        <f t="shared" si="179"/>
        <v>4800</v>
      </c>
      <c r="K2231" s="714">
        <f t="shared" si="176"/>
        <v>4800</v>
      </c>
      <c r="L2231" s="714"/>
      <c r="M2231" s="714"/>
      <c r="N2231" s="714"/>
      <c r="O2231" s="753">
        <f t="shared" si="177"/>
        <v>4800</v>
      </c>
      <c r="P2231" s="754"/>
    </row>
    <row r="2232" spans="1:16" ht="17.25" customHeight="1" x14ac:dyDescent="0.25">
      <c r="A2232" s="1099"/>
      <c r="B2232" s="924" t="s">
        <v>912</v>
      </c>
      <c r="C2232" s="699">
        <v>48</v>
      </c>
      <c r="D2232" s="762" t="s">
        <v>20</v>
      </c>
      <c r="E2232" s="700">
        <v>300</v>
      </c>
      <c r="F2232" s="714"/>
      <c r="G2232" s="714"/>
      <c r="H2232" s="714"/>
      <c r="I2232" s="714"/>
      <c r="J2232" s="714">
        <f t="shared" si="179"/>
        <v>14400</v>
      </c>
      <c r="K2232" s="714">
        <f t="shared" si="176"/>
        <v>14400</v>
      </c>
      <c r="L2232" s="714"/>
      <c r="M2232" s="714"/>
      <c r="N2232" s="714"/>
      <c r="O2232" s="753">
        <f t="shared" si="177"/>
        <v>14400</v>
      </c>
      <c r="P2232" s="754"/>
    </row>
    <row r="2233" spans="1:16" ht="17.25" customHeight="1" x14ac:dyDescent="0.25">
      <c r="A2233" s="1099"/>
      <c r="B2233" s="924"/>
      <c r="C2233" s="699"/>
      <c r="D2233" s="762"/>
      <c r="E2233" s="700"/>
      <c r="F2233" s="714"/>
      <c r="G2233" s="714"/>
      <c r="H2233" s="714"/>
      <c r="I2233" s="714"/>
      <c r="J2233" s="714">
        <f t="shared" si="179"/>
        <v>0</v>
      </c>
      <c r="K2233" s="714">
        <f t="shared" si="176"/>
        <v>0</v>
      </c>
      <c r="L2233" s="714"/>
      <c r="M2233" s="714"/>
      <c r="N2233" s="714"/>
      <c r="O2233" s="753">
        <f t="shared" si="177"/>
        <v>0</v>
      </c>
      <c r="P2233" s="754"/>
    </row>
    <row r="2234" spans="1:16" ht="17.25" customHeight="1" x14ac:dyDescent="0.25">
      <c r="A2234" s="1099"/>
      <c r="B2234" s="924" t="s">
        <v>913</v>
      </c>
      <c r="C2234" s="699"/>
      <c r="D2234" s="762"/>
      <c r="E2234" s="700"/>
      <c r="F2234" s="714"/>
      <c r="G2234" s="714"/>
      <c r="H2234" s="714"/>
      <c r="I2234" s="714"/>
      <c r="J2234" s="714">
        <f t="shared" si="179"/>
        <v>0</v>
      </c>
      <c r="K2234" s="714">
        <f t="shared" si="176"/>
        <v>0</v>
      </c>
      <c r="L2234" s="714"/>
      <c r="M2234" s="714"/>
      <c r="N2234" s="714"/>
      <c r="O2234" s="753">
        <f t="shared" si="177"/>
        <v>0</v>
      </c>
      <c r="P2234" s="754"/>
    </row>
    <row r="2235" spans="1:16" ht="17.25" customHeight="1" x14ac:dyDescent="0.25">
      <c r="A2235" s="1099"/>
      <c r="B2235" s="924" t="s">
        <v>914</v>
      </c>
      <c r="C2235" s="699">
        <v>12</v>
      </c>
      <c r="D2235" s="762" t="s">
        <v>45</v>
      </c>
      <c r="E2235" s="700">
        <v>4000</v>
      </c>
      <c r="F2235" s="714"/>
      <c r="G2235" s="714"/>
      <c r="H2235" s="714"/>
      <c r="I2235" s="714">
        <f>E2235*C2235</f>
        <v>48000</v>
      </c>
      <c r="J2235" s="714"/>
      <c r="K2235" s="714">
        <f t="shared" si="176"/>
        <v>48000</v>
      </c>
      <c r="L2235" s="714"/>
      <c r="M2235" s="714"/>
      <c r="N2235" s="714"/>
      <c r="O2235" s="753">
        <f t="shared" si="177"/>
        <v>48000</v>
      </c>
      <c r="P2235" s="754"/>
    </row>
    <row r="2236" spans="1:16" ht="17.25" customHeight="1" x14ac:dyDescent="0.25">
      <c r="A2236" s="1099"/>
      <c r="B2236" s="924"/>
      <c r="C2236" s="699"/>
      <c r="D2236" s="762"/>
      <c r="E2236" s="700"/>
      <c r="F2236" s="714"/>
      <c r="G2236" s="714"/>
      <c r="H2236" s="714"/>
      <c r="I2236" s="714"/>
      <c r="J2236" s="714">
        <f>C2236*E2236</f>
        <v>0</v>
      </c>
      <c r="K2236" s="714">
        <f t="shared" si="176"/>
        <v>0</v>
      </c>
      <c r="L2236" s="714"/>
      <c r="M2236" s="714"/>
      <c r="N2236" s="714"/>
      <c r="O2236" s="753">
        <f t="shared" si="177"/>
        <v>0</v>
      </c>
      <c r="P2236" s="754"/>
    </row>
    <row r="2237" spans="1:16" ht="17.25" customHeight="1" x14ac:dyDescent="0.25">
      <c r="A2237" s="1099"/>
      <c r="B2237" s="924" t="s">
        <v>915</v>
      </c>
      <c r="C2237" s="699"/>
      <c r="D2237" s="762"/>
      <c r="E2237" s="700"/>
      <c r="F2237" s="714"/>
      <c r="G2237" s="714"/>
      <c r="H2237" s="714"/>
      <c r="I2237" s="714"/>
      <c r="J2237" s="714">
        <f>C2237*E2237</f>
        <v>0</v>
      </c>
      <c r="K2237" s="714">
        <f t="shared" si="176"/>
        <v>0</v>
      </c>
      <c r="L2237" s="714"/>
      <c r="M2237" s="714"/>
      <c r="N2237" s="714"/>
      <c r="O2237" s="753">
        <f t="shared" si="177"/>
        <v>0</v>
      </c>
      <c r="P2237" s="754"/>
    </row>
    <row r="2238" spans="1:16" ht="17.25" customHeight="1" x14ac:dyDescent="0.25">
      <c r="A2238" s="1099"/>
      <c r="B2238" s="924" t="s">
        <v>916</v>
      </c>
      <c r="C2238" s="699">
        <v>12</v>
      </c>
      <c r="D2238" s="762" t="s">
        <v>45</v>
      </c>
      <c r="E2238" s="700">
        <v>2000</v>
      </c>
      <c r="F2238" s="714"/>
      <c r="G2238" s="714"/>
      <c r="H2238" s="714"/>
      <c r="I2238" s="714">
        <f>E2238*C2238</f>
        <v>24000</v>
      </c>
      <c r="J2238" s="714"/>
      <c r="K2238" s="714">
        <f t="shared" si="176"/>
        <v>24000</v>
      </c>
      <c r="L2238" s="714"/>
      <c r="M2238" s="714"/>
      <c r="N2238" s="714"/>
      <c r="O2238" s="753">
        <f t="shared" si="177"/>
        <v>24000</v>
      </c>
      <c r="P2238" s="754"/>
    </row>
    <row r="2239" spans="1:16" ht="17.25" customHeight="1" x14ac:dyDescent="0.25">
      <c r="A2239" s="1099"/>
      <c r="B2239" s="924"/>
      <c r="C2239" s="699"/>
      <c r="D2239" s="762"/>
      <c r="E2239" s="700"/>
      <c r="F2239" s="714"/>
      <c r="G2239" s="714"/>
      <c r="H2239" s="714"/>
      <c r="I2239" s="714"/>
      <c r="J2239" s="714">
        <f>C2239*E2239</f>
        <v>0</v>
      </c>
      <c r="K2239" s="714">
        <f t="shared" si="176"/>
        <v>0</v>
      </c>
      <c r="L2239" s="714"/>
      <c r="M2239" s="714"/>
      <c r="N2239" s="714"/>
      <c r="O2239" s="753">
        <f t="shared" si="177"/>
        <v>0</v>
      </c>
      <c r="P2239" s="754"/>
    </row>
    <row r="2240" spans="1:16" ht="17.25" customHeight="1" x14ac:dyDescent="0.25">
      <c r="A2240" s="1099"/>
      <c r="B2240" s="924" t="s">
        <v>917</v>
      </c>
      <c r="C2240" s="699"/>
      <c r="D2240" s="762"/>
      <c r="E2240" s="700"/>
      <c r="F2240" s="714"/>
      <c r="G2240" s="714"/>
      <c r="H2240" s="714"/>
      <c r="I2240" s="714"/>
      <c r="J2240" s="714">
        <f>C2240*E2240</f>
        <v>0</v>
      </c>
      <c r="K2240" s="714">
        <f t="shared" si="176"/>
        <v>0</v>
      </c>
      <c r="L2240" s="714"/>
      <c r="M2240" s="714"/>
      <c r="N2240" s="714"/>
      <c r="O2240" s="753">
        <f t="shared" si="177"/>
        <v>0</v>
      </c>
      <c r="P2240" s="754"/>
    </row>
    <row r="2241" spans="1:16" ht="17.25" customHeight="1" x14ac:dyDescent="0.25">
      <c r="A2241" s="1099"/>
      <c r="B2241" s="924" t="s">
        <v>918</v>
      </c>
      <c r="C2241" s="699">
        <v>12</v>
      </c>
      <c r="D2241" s="762" t="s">
        <v>45</v>
      </c>
      <c r="E2241" s="700">
        <v>500</v>
      </c>
      <c r="F2241" s="714"/>
      <c r="G2241" s="714"/>
      <c r="H2241" s="714"/>
      <c r="I2241" s="714">
        <f>E2241*C2241</f>
        <v>6000</v>
      </c>
      <c r="J2241" s="714"/>
      <c r="K2241" s="714">
        <f t="shared" si="176"/>
        <v>6000</v>
      </c>
      <c r="L2241" s="714"/>
      <c r="M2241" s="714"/>
      <c r="N2241" s="714"/>
      <c r="O2241" s="753">
        <f t="shared" si="177"/>
        <v>6000</v>
      </c>
      <c r="P2241" s="754"/>
    </row>
    <row r="2242" spans="1:16" ht="17.25" customHeight="1" x14ac:dyDescent="0.25">
      <c r="A2242" s="1099"/>
      <c r="B2242" s="924"/>
      <c r="C2242" s="699"/>
      <c r="D2242" s="762"/>
      <c r="E2242" s="700"/>
      <c r="F2242" s="714"/>
      <c r="G2242" s="714"/>
      <c r="H2242" s="714"/>
      <c r="I2242" s="714"/>
      <c r="J2242" s="714">
        <f>C2242*E2242</f>
        <v>0</v>
      </c>
      <c r="K2242" s="714">
        <f t="shared" si="176"/>
        <v>0</v>
      </c>
      <c r="L2242" s="714"/>
      <c r="M2242" s="714"/>
      <c r="N2242" s="714"/>
      <c r="O2242" s="753">
        <f t="shared" si="177"/>
        <v>0</v>
      </c>
      <c r="P2242" s="754"/>
    </row>
    <row r="2243" spans="1:16" ht="17.25" customHeight="1" x14ac:dyDescent="0.25">
      <c r="A2243" s="1099"/>
      <c r="B2243" s="924" t="s">
        <v>919</v>
      </c>
      <c r="C2243" s="699"/>
      <c r="D2243" s="762"/>
      <c r="E2243" s="700"/>
      <c r="F2243" s="714"/>
      <c r="G2243" s="714"/>
      <c r="H2243" s="714"/>
      <c r="I2243" s="714"/>
      <c r="J2243" s="714">
        <f>C2243*E2243</f>
        <v>0</v>
      </c>
      <c r="K2243" s="714">
        <f t="shared" si="176"/>
        <v>0</v>
      </c>
      <c r="L2243" s="714"/>
      <c r="M2243" s="714"/>
      <c r="N2243" s="714"/>
      <c r="O2243" s="753">
        <f t="shared" si="177"/>
        <v>0</v>
      </c>
      <c r="P2243" s="754"/>
    </row>
    <row r="2244" spans="1:16" ht="17.25" customHeight="1" x14ac:dyDescent="0.25">
      <c r="A2244" s="1099"/>
      <c r="B2244" s="924" t="s">
        <v>920</v>
      </c>
      <c r="C2244" s="699">
        <v>12</v>
      </c>
      <c r="D2244" s="762" t="s">
        <v>45</v>
      </c>
      <c r="E2244" s="700">
        <v>500</v>
      </c>
      <c r="F2244" s="714"/>
      <c r="G2244" s="714"/>
      <c r="H2244" s="714"/>
      <c r="I2244" s="714">
        <f>E2244*C2244</f>
        <v>6000</v>
      </c>
      <c r="J2244" s="714"/>
      <c r="K2244" s="714">
        <f t="shared" si="176"/>
        <v>6000</v>
      </c>
      <c r="L2244" s="714"/>
      <c r="M2244" s="714"/>
      <c r="N2244" s="714"/>
      <c r="O2244" s="753">
        <f t="shared" si="177"/>
        <v>6000</v>
      </c>
      <c r="P2244" s="754"/>
    </row>
    <row r="2245" spans="1:16" ht="17.25" customHeight="1" x14ac:dyDescent="0.25">
      <c r="A2245" s="1099"/>
      <c r="B2245" s="924"/>
      <c r="C2245" s="699"/>
      <c r="D2245" s="762"/>
      <c r="E2245" s="700"/>
      <c r="F2245" s="714"/>
      <c r="G2245" s="714"/>
      <c r="H2245" s="714"/>
      <c r="I2245" s="714"/>
      <c r="J2245" s="714">
        <f>C2245*E2245</f>
        <v>0</v>
      </c>
      <c r="K2245" s="714">
        <f t="shared" si="176"/>
        <v>0</v>
      </c>
      <c r="L2245" s="714"/>
      <c r="M2245" s="714"/>
      <c r="N2245" s="714"/>
      <c r="O2245" s="753">
        <f t="shared" si="177"/>
        <v>0</v>
      </c>
      <c r="P2245" s="754"/>
    </row>
    <row r="2246" spans="1:16" ht="17.25" customHeight="1" x14ac:dyDescent="0.25">
      <c r="A2246" s="1099"/>
      <c r="B2246" s="924" t="s">
        <v>212</v>
      </c>
      <c r="C2246" s="699"/>
      <c r="D2246" s="762"/>
      <c r="E2246" s="700"/>
      <c r="F2246" s="714"/>
      <c r="G2246" s="714"/>
      <c r="H2246" s="714"/>
      <c r="I2246" s="714"/>
      <c r="J2246" s="714">
        <f>C2246*E2246</f>
        <v>0</v>
      </c>
      <c r="K2246" s="714">
        <f t="shared" si="176"/>
        <v>0</v>
      </c>
      <c r="L2246" s="714"/>
      <c r="M2246" s="714"/>
      <c r="N2246" s="714"/>
      <c r="O2246" s="753">
        <f t="shared" si="177"/>
        <v>0</v>
      </c>
      <c r="P2246" s="754"/>
    </row>
    <row r="2247" spans="1:16" ht="17.25" customHeight="1" x14ac:dyDescent="0.25">
      <c r="A2247" s="1099"/>
      <c r="B2247" s="924" t="s">
        <v>921</v>
      </c>
      <c r="C2247" s="699">
        <v>12</v>
      </c>
      <c r="D2247" s="762" t="s">
        <v>45</v>
      </c>
      <c r="E2247" s="700">
        <v>12500</v>
      </c>
      <c r="F2247" s="714"/>
      <c r="G2247" s="714"/>
      <c r="H2247" s="714"/>
      <c r="I2247" s="714">
        <f>E2247*C2247</f>
        <v>150000</v>
      </c>
      <c r="J2247" s="714"/>
      <c r="K2247" s="714">
        <f t="shared" si="176"/>
        <v>150000</v>
      </c>
      <c r="L2247" s="714"/>
      <c r="M2247" s="714"/>
      <c r="N2247" s="714"/>
      <c r="O2247" s="753">
        <f t="shared" si="177"/>
        <v>150000</v>
      </c>
      <c r="P2247" s="754"/>
    </row>
    <row r="2248" spans="1:16" ht="17.25" customHeight="1" x14ac:dyDescent="0.25">
      <c r="A2248" s="1099"/>
      <c r="B2248" s="924" t="s">
        <v>922</v>
      </c>
      <c r="C2248" s="699"/>
      <c r="D2248" s="762"/>
      <c r="E2248" s="700"/>
      <c r="F2248" s="714"/>
      <c r="G2248" s="714"/>
      <c r="H2248" s="714"/>
      <c r="I2248" s="714"/>
      <c r="J2248" s="714">
        <f>C2248*E2248</f>
        <v>0</v>
      </c>
      <c r="K2248" s="714">
        <f t="shared" si="176"/>
        <v>0</v>
      </c>
      <c r="L2248" s="714"/>
      <c r="M2248" s="714"/>
      <c r="N2248" s="714"/>
      <c r="O2248" s="753">
        <f t="shared" si="177"/>
        <v>0</v>
      </c>
      <c r="P2248" s="754"/>
    </row>
    <row r="2249" spans="1:16" ht="17.25" customHeight="1" x14ac:dyDescent="0.25">
      <c r="A2249" s="1099"/>
      <c r="B2249" s="924" t="s">
        <v>923</v>
      </c>
      <c r="C2249" s="699">
        <v>12</v>
      </c>
      <c r="D2249" s="762" t="s">
        <v>45</v>
      </c>
      <c r="E2249" s="700">
        <v>3000</v>
      </c>
      <c r="F2249" s="714"/>
      <c r="G2249" s="714"/>
      <c r="H2249" s="714"/>
      <c r="I2249" s="714">
        <f>E2249*C2249</f>
        <v>36000</v>
      </c>
      <c r="J2249" s="714"/>
      <c r="K2249" s="714">
        <f t="shared" si="176"/>
        <v>36000</v>
      </c>
      <c r="L2249" s="714"/>
      <c r="M2249" s="714"/>
      <c r="N2249" s="714"/>
      <c r="O2249" s="753">
        <f t="shared" si="177"/>
        <v>36000</v>
      </c>
      <c r="P2249" s="754"/>
    </row>
    <row r="2250" spans="1:16" ht="17.25" customHeight="1" x14ac:dyDescent="0.25">
      <c r="A2250" s="1099"/>
      <c r="B2250" s="924" t="s">
        <v>924</v>
      </c>
      <c r="C2250" s="699">
        <v>12</v>
      </c>
      <c r="D2250" s="762" t="s">
        <v>20</v>
      </c>
      <c r="E2250" s="700">
        <v>9000</v>
      </c>
      <c r="F2250" s="714"/>
      <c r="G2250" s="714"/>
      <c r="H2250" s="714"/>
      <c r="I2250" s="714">
        <f>E2250*C2250</f>
        <v>108000</v>
      </c>
      <c r="J2250" s="714"/>
      <c r="K2250" s="714">
        <f t="shared" si="176"/>
        <v>108000</v>
      </c>
      <c r="L2250" s="714"/>
      <c r="M2250" s="714"/>
      <c r="N2250" s="714"/>
      <c r="O2250" s="753">
        <f t="shared" si="177"/>
        <v>108000</v>
      </c>
      <c r="P2250" s="754"/>
    </row>
    <row r="2251" spans="1:16" ht="17.25" customHeight="1" x14ac:dyDescent="0.25">
      <c r="A2251" s="1099"/>
      <c r="B2251" s="924" t="s">
        <v>925</v>
      </c>
      <c r="C2251" s="699">
        <v>12</v>
      </c>
      <c r="D2251" s="762" t="s">
        <v>45</v>
      </c>
      <c r="E2251" s="700">
        <v>3000</v>
      </c>
      <c r="F2251" s="714"/>
      <c r="G2251" s="714"/>
      <c r="H2251" s="714"/>
      <c r="I2251" s="714">
        <f>E2251*C2251</f>
        <v>36000</v>
      </c>
      <c r="J2251" s="714"/>
      <c r="K2251" s="714">
        <f t="shared" si="176"/>
        <v>36000</v>
      </c>
      <c r="L2251" s="714"/>
      <c r="M2251" s="714"/>
      <c r="N2251" s="714"/>
      <c r="O2251" s="753">
        <f t="shared" si="177"/>
        <v>36000</v>
      </c>
      <c r="P2251" s="754"/>
    </row>
    <row r="2252" spans="1:16" ht="17.25" customHeight="1" x14ac:dyDescent="0.25">
      <c r="A2252" s="1099"/>
      <c r="B2252" s="924" t="s">
        <v>926</v>
      </c>
      <c r="C2252" s="699">
        <v>12</v>
      </c>
      <c r="D2252" s="762" t="s">
        <v>45</v>
      </c>
      <c r="E2252" s="700">
        <v>2000</v>
      </c>
      <c r="F2252" s="714"/>
      <c r="G2252" s="714"/>
      <c r="H2252" s="714"/>
      <c r="I2252" s="714">
        <f>E2252*C2252</f>
        <v>24000</v>
      </c>
      <c r="J2252" s="714"/>
      <c r="K2252" s="714">
        <f t="shared" si="176"/>
        <v>24000</v>
      </c>
      <c r="L2252" s="714"/>
      <c r="M2252" s="714"/>
      <c r="N2252" s="714"/>
      <c r="O2252" s="753">
        <f t="shared" si="177"/>
        <v>24000</v>
      </c>
      <c r="P2252" s="754"/>
    </row>
    <row r="2253" spans="1:16" ht="17.25" customHeight="1" x14ac:dyDescent="0.25">
      <c r="A2253" s="1099"/>
      <c r="B2253" s="924" t="s">
        <v>927</v>
      </c>
      <c r="C2253" s="699">
        <v>12</v>
      </c>
      <c r="D2253" s="762" t="s">
        <v>45</v>
      </c>
      <c r="E2253" s="700">
        <v>2000</v>
      </c>
      <c r="F2253" s="714"/>
      <c r="G2253" s="714"/>
      <c r="H2253" s="714"/>
      <c r="I2253" s="714">
        <f>E2253*C2253</f>
        <v>24000</v>
      </c>
      <c r="J2253" s="714"/>
      <c r="K2253" s="714">
        <f t="shared" si="176"/>
        <v>24000</v>
      </c>
      <c r="L2253" s="714"/>
      <c r="M2253" s="714"/>
      <c r="N2253" s="714"/>
      <c r="O2253" s="753">
        <f t="shared" si="177"/>
        <v>24000</v>
      </c>
      <c r="P2253" s="754"/>
    </row>
    <row r="2254" spans="1:16" ht="17.25" customHeight="1" x14ac:dyDescent="0.25">
      <c r="A2254" s="1099"/>
      <c r="B2254" s="924"/>
      <c r="C2254" s="699"/>
      <c r="D2254" s="762"/>
      <c r="E2254" s="700"/>
      <c r="F2254" s="714"/>
      <c r="G2254" s="714"/>
      <c r="H2254" s="714"/>
      <c r="I2254" s="714"/>
      <c r="J2254" s="714">
        <f>C2254*E2254</f>
        <v>0</v>
      </c>
      <c r="K2254" s="714">
        <f t="shared" si="176"/>
        <v>0</v>
      </c>
      <c r="L2254" s="714"/>
      <c r="M2254" s="714"/>
      <c r="N2254" s="714"/>
      <c r="O2254" s="753">
        <f t="shared" si="177"/>
        <v>0</v>
      </c>
      <c r="P2254" s="754"/>
    </row>
    <row r="2255" spans="1:16" ht="17.25" customHeight="1" x14ac:dyDescent="0.25">
      <c r="A2255" s="1099"/>
      <c r="B2255" s="924" t="s">
        <v>928</v>
      </c>
      <c r="C2255" s="699"/>
      <c r="D2255" s="762"/>
      <c r="E2255" s="700"/>
      <c r="F2255" s="714"/>
      <c r="G2255" s="714"/>
      <c r="H2255" s="714"/>
      <c r="I2255" s="714"/>
      <c r="J2255" s="714">
        <f>C2255*E2255</f>
        <v>0</v>
      </c>
      <c r="K2255" s="714">
        <f t="shared" si="176"/>
        <v>0</v>
      </c>
      <c r="L2255" s="714"/>
      <c r="M2255" s="714"/>
      <c r="N2255" s="714"/>
      <c r="O2255" s="753">
        <f t="shared" si="177"/>
        <v>0</v>
      </c>
      <c r="P2255" s="754"/>
    </row>
    <row r="2256" spans="1:16" ht="17.25" customHeight="1" x14ac:dyDescent="0.25">
      <c r="A2256" s="1099"/>
      <c r="B2256" s="924" t="s">
        <v>929</v>
      </c>
      <c r="C2256" s="699">
        <v>24</v>
      </c>
      <c r="D2256" s="762" t="s">
        <v>20</v>
      </c>
      <c r="E2256" s="700">
        <v>1910</v>
      </c>
      <c r="F2256" s="714"/>
      <c r="G2256" s="714"/>
      <c r="H2256" s="714"/>
      <c r="I2256" s="714">
        <f>E2256*C2256</f>
        <v>45840</v>
      </c>
      <c r="J2256" s="714"/>
      <c r="K2256" s="714">
        <f t="shared" si="176"/>
        <v>45840</v>
      </c>
      <c r="L2256" s="714"/>
      <c r="M2256" s="714"/>
      <c r="N2256" s="714"/>
      <c r="O2256" s="753">
        <f t="shared" si="177"/>
        <v>45840</v>
      </c>
      <c r="P2256" s="754"/>
    </row>
    <row r="2257" spans="1:89" ht="17.25" customHeight="1" x14ac:dyDescent="0.25">
      <c r="A2257" s="1099"/>
      <c r="B2257" s="924" t="s">
        <v>930</v>
      </c>
      <c r="C2257" s="699">
        <v>24</v>
      </c>
      <c r="D2257" s="762" t="s">
        <v>20</v>
      </c>
      <c r="E2257" s="700">
        <v>1740</v>
      </c>
      <c r="F2257" s="714"/>
      <c r="G2257" s="714"/>
      <c r="H2257" s="714"/>
      <c r="I2257" s="714">
        <f>E2257*C2257</f>
        <v>41760</v>
      </c>
      <c r="J2257" s="714"/>
      <c r="K2257" s="714">
        <f t="shared" si="176"/>
        <v>41760</v>
      </c>
      <c r="L2257" s="714"/>
      <c r="M2257" s="714"/>
      <c r="N2257" s="714"/>
      <c r="O2257" s="753">
        <f t="shared" si="177"/>
        <v>41760</v>
      </c>
      <c r="P2257" s="754"/>
    </row>
    <row r="2258" spans="1:89" ht="17.25" customHeight="1" x14ac:dyDescent="0.25">
      <c r="A2258" s="1099"/>
      <c r="B2258" s="924" t="s">
        <v>931</v>
      </c>
      <c r="C2258" s="699">
        <v>24</v>
      </c>
      <c r="D2258" s="762" t="s">
        <v>20</v>
      </c>
      <c r="E2258" s="700">
        <v>1740</v>
      </c>
      <c r="F2258" s="714"/>
      <c r="G2258" s="714"/>
      <c r="H2258" s="714"/>
      <c r="I2258" s="714">
        <f>E2258*C2258</f>
        <v>41760</v>
      </c>
      <c r="J2258" s="714"/>
      <c r="K2258" s="714">
        <f>I2258+J2258</f>
        <v>41760</v>
      </c>
      <c r="L2258" s="714"/>
      <c r="M2258" s="714"/>
      <c r="N2258" s="714"/>
      <c r="O2258" s="753">
        <f>N2258+K2258+H2258</f>
        <v>41760</v>
      </c>
      <c r="P2258" s="754"/>
    </row>
    <row r="2259" spans="1:89" ht="17.25" customHeight="1" x14ac:dyDescent="0.25">
      <c r="A2259" s="1099"/>
      <c r="B2259" s="924" t="s">
        <v>2095</v>
      </c>
      <c r="C2259" s="699">
        <v>24</v>
      </c>
      <c r="D2259" s="762" t="s">
        <v>20</v>
      </c>
      <c r="E2259" s="700">
        <v>1910</v>
      </c>
      <c r="F2259" s="714"/>
      <c r="G2259" s="714"/>
      <c r="H2259" s="714"/>
      <c r="I2259" s="714">
        <f>E2259*C2259</f>
        <v>45840</v>
      </c>
      <c r="J2259" s="714"/>
      <c r="K2259" s="714">
        <f t="shared" si="176"/>
        <v>45840</v>
      </c>
      <c r="L2259" s="714"/>
      <c r="M2259" s="714"/>
      <c r="N2259" s="714"/>
      <c r="O2259" s="753">
        <f t="shared" si="177"/>
        <v>45840</v>
      </c>
      <c r="P2259" s="754"/>
    </row>
    <row r="2260" spans="1:89" ht="17.25" customHeight="1" x14ac:dyDescent="0.25">
      <c r="A2260" s="1099"/>
      <c r="B2260" s="924"/>
      <c r="C2260" s="699"/>
      <c r="D2260" s="762"/>
      <c r="E2260" s="700"/>
      <c r="F2260" s="714"/>
      <c r="G2260" s="714"/>
      <c r="H2260" s="714"/>
      <c r="I2260" s="714"/>
      <c r="J2260" s="714">
        <f>C2260*E2260</f>
        <v>0</v>
      </c>
      <c r="K2260" s="714">
        <f t="shared" si="176"/>
        <v>0</v>
      </c>
      <c r="L2260" s="714"/>
      <c r="M2260" s="714"/>
      <c r="N2260" s="714"/>
      <c r="O2260" s="753">
        <f t="shared" si="177"/>
        <v>0</v>
      </c>
      <c r="P2260" s="754"/>
    </row>
    <row r="2261" spans="1:89" ht="17.25" customHeight="1" x14ac:dyDescent="0.25">
      <c r="A2261" s="1099"/>
      <c r="B2261" s="924" t="s">
        <v>932</v>
      </c>
      <c r="C2261" s="699"/>
      <c r="D2261" s="762"/>
      <c r="E2261" s="700"/>
      <c r="F2261" s="714"/>
      <c r="G2261" s="714"/>
      <c r="H2261" s="714"/>
      <c r="I2261" s="714"/>
      <c r="J2261" s="714">
        <f>C2261*E2261</f>
        <v>0</v>
      </c>
      <c r="K2261" s="714">
        <f t="shared" si="176"/>
        <v>0</v>
      </c>
      <c r="L2261" s="714"/>
      <c r="M2261" s="714"/>
      <c r="N2261" s="714"/>
      <c r="O2261" s="753">
        <f t="shared" si="177"/>
        <v>0</v>
      </c>
      <c r="P2261" s="754"/>
    </row>
    <row r="2262" spans="1:89" s="760" customFormat="1" ht="17.25" customHeight="1" x14ac:dyDescent="0.25">
      <c r="A2262" s="1099"/>
      <c r="B2262" s="756" t="s">
        <v>933</v>
      </c>
      <c r="C2262" s="713">
        <v>1</v>
      </c>
      <c r="D2262" s="727" t="s">
        <v>47</v>
      </c>
      <c r="E2262" s="695">
        <v>30000</v>
      </c>
      <c r="F2262" s="714"/>
      <c r="G2262" s="714"/>
      <c r="H2262" s="714"/>
      <c r="I2262" s="714">
        <f>E2262*C2262</f>
        <v>30000</v>
      </c>
      <c r="J2262" s="714"/>
      <c r="K2262" s="714">
        <f t="shared" si="176"/>
        <v>30000</v>
      </c>
      <c r="L2262" s="714"/>
      <c r="M2262" s="714"/>
      <c r="N2262" s="714"/>
      <c r="O2262" s="753">
        <f t="shared" si="177"/>
        <v>30000</v>
      </c>
      <c r="P2262" s="754"/>
      <c r="Q2262" s="679"/>
      <c r="R2262" s="679"/>
      <c r="S2262" s="679"/>
      <c r="T2262" s="679"/>
      <c r="U2262" s="679"/>
      <c r="V2262" s="679"/>
      <c r="W2262" s="679"/>
      <c r="X2262" s="679"/>
      <c r="Y2262" s="679"/>
      <c r="Z2262" s="679"/>
      <c r="AA2262" s="679"/>
      <c r="AB2262" s="679"/>
      <c r="AC2262" s="679"/>
      <c r="AD2262" s="679"/>
      <c r="AE2262" s="679"/>
      <c r="AF2262" s="679"/>
      <c r="AG2262" s="679"/>
      <c r="AH2262" s="679"/>
      <c r="AI2262" s="679"/>
      <c r="AJ2262" s="679"/>
      <c r="AK2262" s="679"/>
      <c r="AL2262" s="679"/>
      <c r="AM2262" s="679"/>
      <c r="AN2262" s="679"/>
      <c r="AO2262" s="679"/>
      <c r="AP2262" s="679"/>
      <c r="AQ2262" s="679"/>
      <c r="AR2262" s="679"/>
      <c r="AS2262" s="679"/>
      <c r="AT2262" s="679"/>
      <c r="AU2262" s="679"/>
      <c r="AV2262" s="679"/>
      <c r="AW2262" s="679"/>
      <c r="AX2262" s="679"/>
      <c r="AY2262" s="679"/>
      <c r="AZ2262" s="679"/>
      <c r="BA2262" s="679"/>
      <c r="BB2262" s="679"/>
      <c r="BC2262" s="679"/>
      <c r="BD2262" s="679"/>
      <c r="BE2262" s="679"/>
      <c r="BF2262" s="679"/>
      <c r="BG2262" s="679"/>
      <c r="BH2262" s="679"/>
      <c r="BI2262" s="679"/>
      <c r="BJ2262" s="679"/>
      <c r="BK2262" s="679"/>
      <c r="BL2262" s="679"/>
      <c r="BM2262" s="679"/>
      <c r="BN2262" s="679"/>
      <c r="BO2262" s="679"/>
      <c r="BP2262" s="679"/>
      <c r="BQ2262" s="679"/>
      <c r="BR2262" s="679"/>
      <c r="BS2262" s="679"/>
      <c r="BT2262" s="679"/>
      <c r="BU2262" s="679"/>
      <c r="BV2262" s="679"/>
      <c r="BW2262" s="679"/>
      <c r="BX2262" s="679"/>
      <c r="BY2262" s="679"/>
      <c r="BZ2262" s="679"/>
      <c r="CA2262" s="679"/>
      <c r="CB2262" s="679"/>
      <c r="CC2262" s="679"/>
      <c r="CD2262" s="679"/>
      <c r="CE2262" s="679"/>
      <c r="CF2262" s="679"/>
      <c r="CG2262" s="679"/>
      <c r="CH2262" s="679"/>
      <c r="CI2262" s="679"/>
      <c r="CJ2262" s="679"/>
      <c r="CK2262" s="679"/>
    </row>
    <row r="2263" spans="1:89" ht="23.25" customHeight="1" x14ac:dyDescent="0.25">
      <c r="A2263" s="1101"/>
      <c r="B2263" s="891"/>
      <c r="C2263" s="886"/>
      <c r="D2263" s="704"/>
      <c r="E2263" s="874"/>
      <c r="F2263" s="892"/>
      <c r="G2263" s="892"/>
      <c r="H2263" s="892"/>
      <c r="I2263" s="892"/>
      <c r="J2263" s="892">
        <f>C2263*E2263</f>
        <v>0</v>
      </c>
      <c r="K2263" s="892">
        <f t="shared" si="176"/>
        <v>0</v>
      </c>
      <c r="L2263" s="892"/>
      <c r="M2263" s="892"/>
      <c r="N2263" s="892"/>
      <c r="O2263" s="775">
        <f t="shared" si="177"/>
        <v>0</v>
      </c>
      <c r="P2263" s="776"/>
    </row>
    <row r="2264" spans="1:89" ht="17.25" customHeight="1" x14ac:dyDescent="0.25">
      <c r="A2264" s="1102"/>
      <c r="B2264" s="891" t="s">
        <v>934</v>
      </c>
      <c r="C2264" s="713"/>
      <c r="D2264" s="694"/>
      <c r="E2264" s="714"/>
      <c r="F2264" s="712"/>
      <c r="G2264" s="712"/>
      <c r="H2264" s="712"/>
      <c r="I2264" s="712"/>
      <c r="J2264" s="712">
        <f>C2264*E2264</f>
        <v>0</v>
      </c>
      <c r="K2264" s="712">
        <f t="shared" si="176"/>
        <v>0</v>
      </c>
      <c r="L2264" s="712"/>
      <c r="M2264" s="712"/>
      <c r="N2264" s="712"/>
      <c r="O2264" s="753">
        <f t="shared" si="177"/>
        <v>0</v>
      </c>
      <c r="P2264" s="754"/>
    </row>
    <row r="2265" spans="1:89" ht="17.25" customHeight="1" x14ac:dyDescent="0.25">
      <c r="A2265" s="1099"/>
      <c r="B2265" s="1373" t="s">
        <v>935</v>
      </c>
      <c r="C2265" s="713">
        <v>1</v>
      </c>
      <c r="D2265" s="727" t="s">
        <v>47</v>
      </c>
      <c r="E2265" s="695">
        <v>7980</v>
      </c>
      <c r="F2265" s="747"/>
      <c r="G2265" s="747"/>
      <c r="H2265" s="747"/>
      <c r="I2265" s="747">
        <f t="shared" ref="I2265:I2271" si="180">E2265*C2265</f>
        <v>7980</v>
      </c>
      <c r="J2265" s="747"/>
      <c r="K2265" s="747">
        <f t="shared" si="176"/>
        <v>7980</v>
      </c>
      <c r="L2265" s="747"/>
      <c r="M2265" s="747"/>
      <c r="N2265" s="747"/>
      <c r="O2265" s="748">
        <f t="shared" si="177"/>
        <v>7980</v>
      </c>
      <c r="P2265" s="749"/>
    </row>
    <row r="2266" spans="1:89" ht="17.25" customHeight="1" x14ac:dyDescent="0.25">
      <c r="A2266" s="1099"/>
      <c r="B2266" s="921" t="s">
        <v>936</v>
      </c>
      <c r="C2266" s="713">
        <v>1</v>
      </c>
      <c r="D2266" s="727" t="s">
        <v>47</v>
      </c>
      <c r="E2266" s="695">
        <v>144820</v>
      </c>
      <c r="F2266" s="747"/>
      <c r="G2266" s="747"/>
      <c r="H2266" s="747"/>
      <c r="I2266" s="747">
        <f t="shared" si="180"/>
        <v>144820</v>
      </c>
      <c r="J2266" s="747"/>
      <c r="K2266" s="747">
        <f t="shared" si="176"/>
        <v>144820</v>
      </c>
      <c r="L2266" s="747"/>
      <c r="M2266" s="747"/>
      <c r="N2266" s="747"/>
      <c r="O2266" s="748">
        <f t="shared" si="177"/>
        <v>144820</v>
      </c>
      <c r="P2266" s="749"/>
    </row>
    <row r="2267" spans="1:89" ht="17.25" customHeight="1" x14ac:dyDescent="0.25">
      <c r="A2267" s="1099"/>
      <c r="B2267" s="921" t="s">
        <v>937</v>
      </c>
      <c r="C2267" s="713">
        <v>1</v>
      </c>
      <c r="D2267" s="727" t="s">
        <v>47</v>
      </c>
      <c r="E2267" s="695">
        <v>5000</v>
      </c>
      <c r="F2267" s="747"/>
      <c r="G2267" s="747"/>
      <c r="H2267" s="747"/>
      <c r="I2267" s="747">
        <f t="shared" si="180"/>
        <v>5000</v>
      </c>
      <c r="J2267" s="747"/>
      <c r="K2267" s="747">
        <f t="shared" si="176"/>
        <v>5000</v>
      </c>
      <c r="L2267" s="747"/>
      <c r="M2267" s="747"/>
      <c r="N2267" s="747"/>
      <c r="O2267" s="748">
        <f t="shared" si="177"/>
        <v>5000</v>
      </c>
      <c r="P2267" s="749"/>
    </row>
    <row r="2268" spans="1:89" ht="17.25" customHeight="1" x14ac:dyDescent="0.25">
      <c r="A2268" s="1099"/>
      <c r="B2268" s="921" t="s">
        <v>975</v>
      </c>
      <c r="C2268" s="713">
        <v>1</v>
      </c>
      <c r="D2268" s="727" t="s">
        <v>47</v>
      </c>
      <c r="E2268" s="695">
        <v>1000</v>
      </c>
      <c r="F2268" s="747"/>
      <c r="G2268" s="747"/>
      <c r="H2268" s="747"/>
      <c r="I2268" s="747">
        <f t="shared" si="180"/>
        <v>1000</v>
      </c>
      <c r="J2268" s="747"/>
      <c r="K2268" s="747">
        <f t="shared" si="176"/>
        <v>1000</v>
      </c>
      <c r="L2268" s="747"/>
      <c r="M2268" s="747"/>
      <c r="N2268" s="747"/>
      <c r="O2268" s="748">
        <f t="shared" si="177"/>
        <v>1000</v>
      </c>
      <c r="P2268" s="749"/>
    </row>
    <row r="2269" spans="1:89" ht="17.25" customHeight="1" x14ac:dyDescent="0.25">
      <c r="A2269" s="1099"/>
      <c r="B2269" s="921" t="s">
        <v>976</v>
      </c>
      <c r="C2269" s="713">
        <v>1</v>
      </c>
      <c r="D2269" s="727" t="s">
        <v>47</v>
      </c>
      <c r="E2269" s="695">
        <v>15000</v>
      </c>
      <c r="F2269" s="747"/>
      <c r="G2269" s="747"/>
      <c r="H2269" s="747"/>
      <c r="I2269" s="747">
        <f t="shared" si="180"/>
        <v>15000</v>
      </c>
      <c r="J2269" s="747"/>
      <c r="K2269" s="747">
        <f t="shared" si="176"/>
        <v>15000</v>
      </c>
      <c r="L2269" s="747"/>
      <c r="M2269" s="747"/>
      <c r="N2269" s="747"/>
      <c r="O2269" s="748">
        <f t="shared" si="177"/>
        <v>15000</v>
      </c>
      <c r="P2269" s="749"/>
    </row>
    <row r="2270" spans="1:89" ht="17.25" customHeight="1" x14ac:dyDescent="0.25">
      <c r="A2270" s="1099"/>
      <c r="B2270" s="921" t="s">
        <v>938</v>
      </c>
      <c r="C2270" s="713">
        <v>1</v>
      </c>
      <c r="D2270" s="727" t="s">
        <v>47</v>
      </c>
      <c r="E2270" s="695">
        <v>3000</v>
      </c>
      <c r="F2270" s="747"/>
      <c r="G2270" s="747"/>
      <c r="H2270" s="747"/>
      <c r="I2270" s="747">
        <f t="shared" si="180"/>
        <v>3000</v>
      </c>
      <c r="J2270" s="747"/>
      <c r="K2270" s="747">
        <f t="shared" ref="K2270:K2280" si="181">I2270+J2270</f>
        <v>3000</v>
      </c>
      <c r="L2270" s="747"/>
      <c r="M2270" s="747"/>
      <c r="N2270" s="747"/>
      <c r="O2270" s="748">
        <f t="shared" ref="O2270:O2280" si="182">N2270+K2270+H2270</f>
        <v>3000</v>
      </c>
      <c r="P2270" s="749"/>
    </row>
    <row r="2271" spans="1:89" ht="17.25" customHeight="1" x14ac:dyDescent="0.25">
      <c r="A2271" s="1099"/>
      <c r="B2271" s="922" t="s">
        <v>939</v>
      </c>
      <c r="C2271" s="713">
        <v>1</v>
      </c>
      <c r="D2271" s="727" t="s">
        <v>47</v>
      </c>
      <c r="E2271" s="695">
        <v>15000</v>
      </c>
      <c r="F2271" s="747"/>
      <c r="G2271" s="747"/>
      <c r="H2271" s="747"/>
      <c r="I2271" s="747">
        <f t="shared" si="180"/>
        <v>15000</v>
      </c>
      <c r="J2271" s="747"/>
      <c r="K2271" s="747">
        <f t="shared" si="181"/>
        <v>15000</v>
      </c>
      <c r="L2271" s="747"/>
      <c r="M2271" s="747"/>
      <c r="N2271" s="747"/>
      <c r="O2271" s="748">
        <f t="shared" si="182"/>
        <v>15000</v>
      </c>
      <c r="P2271" s="749"/>
    </row>
    <row r="2272" spans="1:89" ht="17.25" customHeight="1" x14ac:dyDescent="0.25">
      <c r="A2272" s="1099"/>
      <c r="B2272" s="922"/>
      <c r="C2272" s="713"/>
      <c r="D2272" s="727"/>
      <c r="E2272" s="695"/>
      <c r="F2272" s="747"/>
      <c r="G2272" s="747"/>
      <c r="H2272" s="747"/>
      <c r="I2272" s="747"/>
      <c r="J2272" s="747">
        <f>C2272*E2272</f>
        <v>0</v>
      </c>
      <c r="K2272" s="747">
        <f t="shared" si="181"/>
        <v>0</v>
      </c>
      <c r="L2272" s="747"/>
      <c r="M2272" s="747"/>
      <c r="N2272" s="747"/>
      <c r="O2272" s="748">
        <f t="shared" si="182"/>
        <v>0</v>
      </c>
      <c r="P2272" s="749"/>
    </row>
    <row r="2273" spans="1:16" ht="17.25" customHeight="1" x14ac:dyDescent="0.25">
      <c r="A2273" s="1099"/>
      <c r="B2273" s="922" t="s">
        <v>48</v>
      </c>
      <c r="C2273" s="713"/>
      <c r="D2273" s="727"/>
      <c r="E2273" s="695"/>
      <c r="F2273" s="747"/>
      <c r="G2273" s="747"/>
      <c r="H2273" s="747"/>
      <c r="I2273" s="747"/>
      <c r="J2273" s="747">
        <f>C2273*E2273</f>
        <v>0</v>
      </c>
      <c r="K2273" s="747">
        <f t="shared" si="181"/>
        <v>0</v>
      </c>
      <c r="L2273" s="747"/>
      <c r="M2273" s="747"/>
      <c r="N2273" s="747"/>
      <c r="O2273" s="748">
        <f t="shared" si="182"/>
        <v>0</v>
      </c>
      <c r="P2273" s="749"/>
    </row>
    <row r="2274" spans="1:16" ht="17.25" customHeight="1" x14ac:dyDescent="0.25">
      <c r="A2274" s="1099"/>
      <c r="B2274" s="1584" t="s">
        <v>888</v>
      </c>
      <c r="C2274" s="713">
        <v>72</v>
      </c>
      <c r="D2274" s="727" t="s">
        <v>51</v>
      </c>
      <c r="E2274" s="695">
        <v>2800</v>
      </c>
      <c r="F2274" s="747"/>
      <c r="G2274" s="747"/>
      <c r="H2274" s="747"/>
      <c r="I2274" s="747">
        <f>E2274*C2274</f>
        <v>201600</v>
      </c>
      <c r="J2274" s="747"/>
      <c r="K2274" s="747">
        <f t="shared" si="181"/>
        <v>201600</v>
      </c>
      <c r="L2274" s="747"/>
      <c r="M2274" s="747"/>
      <c r="N2274" s="747"/>
      <c r="O2274" s="748">
        <f t="shared" si="182"/>
        <v>201600</v>
      </c>
      <c r="P2274" s="749"/>
    </row>
    <row r="2275" spans="1:16" ht="17.25" customHeight="1" x14ac:dyDescent="0.25">
      <c r="A2275" s="1099"/>
      <c r="B2275" s="922" t="s">
        <v>889</v>
      </c>
      <c r="C2275" s="713">
        <v>162</v>
      </c>
      <c r="D2275" s="727" t="s">
        <v>55</v>
      </c>
      <c r="E2275" s="695">
        <v>500</v>
      </c>
      <c r="F2275" s="747"/>
      <c r="G2275" s="747"/>
      <c r="H2275" s="747"/>
      <c r="I2275" s="747">
        <f>E2275*C2275</f>
        <v>81000</v>
      </c>
      <c r="J2275" s="747"/>
      <c r="K2275" s="747">
        <f t="shared" si="181"/>
        <v>81000</v>
      </c>
      <c r="L2275" s="747"/>
      <c r="M2275" s="747"/>
      <c r="N2275" s="747"/>
      <c r="O2275" s="748">
        <f t="shared" si="182"/>
        <v>81000</v>
      </c>
      <c r="P2275" s="749"/>
    </row>
    <row r="2276" spans="1:16" ht="17.25" customHeight="1" x14ac:dyDescent="0.25">
      <c r="A2276" s="1099"/>
      <c r="B2276" s="922" t="s">
        <v>890</v>
      </c>
      <c r="C2276" s="713">
        <v>360</v>
      </c>
      <c r="D2276" s="727" t="s">
        <v>55</v>
      </c>
      <c r="E2276" s="695">
        <v>419</v>
      </c>
      <c r="F2276" s="747"/>
      <c r="G2276" s="747"/>
      <c r="H2276" s="747"/>
      <c r="I2276" s="747">
        <f>E2276*C2276</f>
        <v>150840</v>
      </c>
      <c r="J2276" s="747"/>
      <c r="K2276" s="747">
        <f t="shared" si="181"/>
        <v>150840</v>
      </c>
      <c r="L2276" s="747"/>
      <c r="M2276" s="747"/>
      <c r="N2276" s="747"/>
      <c r="O2276" s="748">
        <f t="shared" si="182"/>
        <v>150840</v>
      </c>
      <c r="P2276" s="749"/>
    </row>
    <row r="2277" spans="1:16" ht="17.25" customHeight="1" x14ac:dyDescent="0.25">
      <c r="A2277" s="1099"/>
      <c r="B2277" s="922" t="s">
        <v>892</v>
      </c>
      <c r="C2277" s="713">
        <v>288</v>
      </c>
      <c r="D2277" s="727" t="s">
        <v>51</v>
      </c>
      <c r="E2277" s="695">
        <v>80</v>
      </c>
      <c r="F2277" s="747"/>
      <c r="G2277" s="747"/>
      <c r="H2277" s="747"/>
      <c r="I2277" s="747">
        <f>E2277*C2277</f>
        <v>23040</v>
      </c>
      <c r="J2277" s="747"/>
      <c r="K2277" s="747">
        <f t="shared" si="181"/>
        <v>23040</v>
      </c>
      <c r="L2277" s="747"/>
      <c r="M2277" s="747"/>
      <c r="N2277" s="747"/>
      <c r="O2277" s="748">
        <f t="shared" si="182"/>
        <v>23040</v>
      </c>
      <c r="P2277" s="749"/>
    </row>
    <row r="2278" spans="1:16" ht="17.25" customHeight="1" x14ac:dyDescent="0.25">
      <c r="A2278" s="1099"/>
      <c r="B2278" s="922" t="s">
        <v>893</v>
      </c>
      <c r="C2278" s="713">
        <v>174</v>
      </c>
      <c r="D2278" s="727" t="s">
        <v>55</v>
      </c>
      <c r="E2278" s="695">
        <v>250</v>
      </c>
      <c r="F2278" s="747"/>
      <c r="G2278" s="747"/>
      <c r="H2278" s="747"/>
      <c r="I2278" s="747">
        <f>E2278*C2278</f>
        <v>43500</v>
      </c>
      <c r="J2278" s="747"/>
      <c r="K2278" s="747">
        <f t="shared" si="181"/>
        <v>43500</v>
      </c>
      <c r="L2278" s="747"/>
      <c r="M2278" s="747"/>
      <c r="N2278" s="747"/>
      <c r="O2278" s="748">
        <f t="shared" si="182"/>
        <v>43500</v>
      </c>
      <c r="P2278" s="749"/>
    </row>
    <row r="2279" spans="1:16" ht="17.25" customHeight="1" x14ac:dyDescent="0.25">
      <c r="A2279" s="1099"/>
      <c r="B2279" s="756"/>
      <c r="C2279" s="713"/>
      <c r="D2279" s="727"/>
      <c r="E2279" s="695"/>
      <c r="F2279" s="747"/>
      <c r="G2279" s="747"/>
      <c r="H2279" s="747"/>
      <c r="I2279" s="747"/>
      <c r="J2279" s="747">
        <f>C2279*E2279</f>
        <v>0</v>
      </c>
      <c r="K2279" s="747">
        <f t="shared" si="181"/>
        <v>0</v>
      </c>
      <c r="L2279" s="747"/>
      <c r="M2279" s="747"/>
      <c r="N2279" s="747"/>
      <c r="O2279" s="748">
        <f t="shared" si="182"/>
        <v>0</v>
      </c>
      <c r="P2279" s="749"/>
    </row>
    <row r="2280" spans="1:16" ht="17.25" customHeight="1" x14ac:dyDescent="0.25">
      <c r="A2280" s="1099"/>
      <c r="B2280" s="771" t="s">
        <v>1800</v>
      </c>
      <c r="C2280" s="713"/>
      <c r="D2280" s="727"/>
      <c r="E2280" s="695"/>
      <c r="F2280" s="747"/>
      <c r="G2280" s="747"/>
      <c r="H2280" s="747"/>
      <c r="I2280" s="747"/>
      <c r="J2280" s="747">
        <f>C2280*E2280</f>
        <v>0</v>
      </c>
      <c r="K2280" s="747">
        <f t="shared" si="181"/>
        <v>0</v>
      </c>
      <c r="L2280" s="747"/>
      <c r="M2280" s="747"/>
      <c r="N2280" s="747"/>
      <c r="O2280" s="748">
        <f t="shared" si="182"/>
        <v>0</v>
      </c>
      <c r="P2280" s="749"/>
    </row>
    <row r="2281" spans="1:16" ht="17.25" customHeight="1" x14ac:dyDescent="0.25">
      <c r="A2281" s="1099"/>
      <c r="B2281" s="893" t="s">
        <v>1800</v>
      </c>
      <c r="C2281" s="713">
        <v>1</v>
      </c>
      <c r="D2281" s="727" t="s">
        <v>16</v>
      </c>
      <c r="E2281" s="695">
        <v>3600000</v>
      </c>
      <c r="F2281" s="747"/>
      <c r="G2281" s="747"/>
      <c r="H2281" s="747"/>
      <c r="I2281" s="747"/>
      <c r="J2281" s="747"/>
      <c r="K2281" s="747"/>
      <c r="L2281" s="747">
        <f>E2281*C2281</f>
        <v>3600000</v>
      </c>
      <c r="M2281" s="747"/>
      <c r="N2281" s="747">
        <f>M2281+L2281</f>
        <v>3600000</v>
      </c>
      <c r="O2281" s="748">
        <f>N2281+K2281+H2281</f>
        <v>3600000</v>
      </c>
      <c r="P2281" s="749"/>
    </row>
    <row r="2282" spans="1:16" ht="17.25" customHeight="1" x14ac:dyDescent="0.25">
      <c r="A2282" s="1099"/>
      <c r="B2282" s="756"/>
      <c r="C2282" s="713"/>
      <c r="D2282" s="727"/>
      <c r="E2282" s="695"/>
      <c r="F2282" s="747"/>
      <c r="G2282" s="747"/>
      <c r="H2282" s="747"/>
      <c r="I2282" s="747"/>
      <c r="J2282" s="747"/>
      <c r="K2282" s="747"/>
      <c r="L2282" s="747"/>
      <c r="M2282" s="747"/>
      <c r="N2282" s="747"/>
      <c r="O2282" s="748"/>
      <c r="P2282" s="749"/>
    </row>
    <row r="2283" spans="1:16" ht="17.25" customHeight="1" x14ac:dyDescent="0.25">
      <c r="A2283" s="1099"/>
      <c r="B2283" s="756"/>
      <c r="C2283" s="713"/>
      <c r="D2283" s="727"/>
      <c r="E2283" s="695"/>
      <c r="F2283" s="747"/>
      <c r="G2283" s="747"/>
      <c r="H2283" s="747"/>
      <c r="I2283" s="747"/>
      <c r="J2283" s="747">
        <f>C2283*E2283</f>
        <v>0</v>
      </c>
      <c r="K2283" s="747">
        <f>I2283+J2283</f>
        <v>0</v>
      </c>
      <c r="L2283" s="747"/>
      <c r="M2283" s="747"/>
      <c r="N2283" s="747"/>
      <c r="O2283" s="748">
        <f>N2283+K2283+H2283</f>
        <v>0</v>
      </c>
      <c r="P2283" s="749"/>
    </row>
    <row r="2284" spans="1:16" ht="17.25" customHeight="1" x14ac:dyDescent="0.25">
      <c r="A2284" s="1099"/>
      <c r="B2284" s="771" t="s">
        <v>158</v>
      </c>
      <c r="C2284" s="713"/>
      <c r="D2284" s="727"/>
      <c r="E2284" s="695"/>
      <c r="F2284" s="747"/>
      <c r="G2284" s="747"/>
      <c r="H2284" s="747"/>
      <c r="I2284" s="747"/>
      <c r="J2284" s="747">
        <f>C2284*E2284</f>
        <v>0</v>
      </c>
      <c r="K2284" s="747">
        <f>I2284+J2284</f>
        <v>0</v>
      </c>
      <c r="L2284" s="747"/>
      <c r="M2284" s="747"/>
      <c r="N2284" s="747"/>
      <c r="O2284" s="748">
        <f>N2284+K2284+H2284</f>
        <v>0</v>
      </c>
      <c r="P2284" s="749"/>
    </row>
    <row r="2285" spans="1:16" ht="17.25" customHeight="1" x14ac:dyDescent="0.25">
      <c r="A2285" s="1099"/>
      <c r="B2285" s="756" t="s">
        <v>940</v>
      </c>
      <c r="C2285" s="713">
        <v>3</v>
      </c>
      <c r="D2285" s="727" t="s">
        <v>660</v>
      </c>
      <c r="E2285" s="695">
        <v>15000</v>
      </c>
      <c r="F2285" s="747"/>
      <c r="G2285" s="747"/>
      <c r="H2285" s="747"/>
      <c r="I2285" s="747"/>
      <c r="J2285" s="747"/>
      <c r="K2285" s="747"/>
      <c r="L2285" s="747">
        <f>E2285*C2285</f>
        <v>45000</v>
      </c>
      <c r="M2285" s="747"/>
      <c r="N2285" s="747">
        <f>M2285+L2285</f>
        <v>45000</v>
      </c>
      <c r="O2285" s="748">
        <f>N2285+K2285+H2285</f>
        <v>45000</v>
      </c>
      <c r="P2285" s="749"/>
    </row>
    <row r="2286" spans="1:16" ht="17.25" customHeight="1" x14ac:dyDescent="0.25">
      <c r="A2286" s="1099"/>
      <c r="B2286" s="756" t="s">
        <v>941</v>
      </c>
      <c r="C2286" s="713">
        <v>3</v>
      </c>
      <c r="D2286" s="727" t="s">
        <v>660</v>
      </c>
      <c r="E2286" s="695">
        <v>5000</v>
      </c>
      <c r="F2286" s="747"/>
      <c r="G2286" s="747"/>
      <c r="H2286" s="747"/>
      <c r="I2286" s="747"/>
      <c r="J2286" s="747"/>
      <c r="K2286" s="747"/>
      <c r="L2286" s="747">
        <f t="shared" ref="L2286:L2323" si="183">E2286*C2286</f>
        <v>15000</v>
      </c>
      <c r="M2286" s="747"/>
      <c r="N2286" s="747">
        <f t="shared" ref="N2286:N2323" si="184">M2286+L2286</f>
        <v>15000</v>
      </c>
      <c r="O2286" s="748">
        <f t="shared" ref="O2286:O2323" si="185">N2286+K2286+H2286</f>
        <v>15000</v>
      </c>
      <c r="P2286" s="749"/>
    </row>
    <row r="2287" spans="1:16" ht="17.25" customHeight="1" x14ac:dyDescent="0.25">
      <c r="A2287" s="1099"/>
      <c r="B2287" s="756" t="s">
        <v>942</v>
      </c>
      <c r="C2287" s="713">
        <v>3</v>
      </c>
      <c r="D2287" s="727" t="s">
        <v>660</v>
      </c>
      <c r="E2287" s="695">
        <v>17500</v>
      </c>
      <c r="F2287" s="747"/>
      <c r="G2287" s="747"/>
      <c r="H2287" s="747"/>
      <c r="I2287" s="747"/>
      <c r="J2287" s="747"/>
      <c r="K2287" s="747"/>
      <c r="L2287" s="747">
        <f t="shared" si="183"/>
        <v>52500</v>
      </c>
      <c r="M2287" s="747"/>
      <c r="N2287" s="747">
        <f t="shared" si="184"/>
        <v>52500</v>
      </c>
      <c r="O2287" s="748">
        <f t="shared" si="185"/>
        <v>52500</v>
      </c>
      <c r="P2287" s="749"/>
    </row>
    <row r="2288" spans="1:16" ht="17.25" customHeight="1" x14ac:dyDescent="0.25">
      <c r="A2288" s="1099"/>
      <c r="B2288" s="756" t="s">
        <v>943</v>
      </c>
      <c r="C2288" s="713">
        <v>3</v>
      </c>
      <c r="D2288" s="727" t="s">
        <v>222</v>
      </c>
      <c r="E2288" s="695">
        <v>10000</v>
      </c>
      <c r="F2288" s="747"/>
      <c r="G2288" s="747"/>
      <c r="H2288" s="747"/>
      <c r="I2288" s="747"/>
      <c r="J2288" s="747"/>
      <c r="K2288" s="747"/>
      <c r="L2288" s="747">
        <f t="shared" si="183"/>
        <v>30000</v>
      </c>
      <c r="M2288" s="747"/>
      <c r="N2288" s="747">
        <f t="shared" si="184"/>
        <v>30000</v>
      </c>
      <c r="O2288" s="748">
        <f t="shared" si="185"/>
        <v>30000</v>
      </c>
      <c r="P2288" s="749"/>
    </row>
    <row r="2289" spans="1:16" ht="17.25" customHeight="1" x14ac:dyDescent="0.25">
      <c r="A2289" s="1099"/>
      <c r="B2289" s="756" t="s">
        <v>944</v>
      </c>
      <c r="C2289" s="713">
        <v>20</v>
      </c>
      <c r="D2289" s="727" t="s">
        <v>660</v>
      </c>
      <c r="E2289" s="695">
        <v>1500</v>
      </c>
      <c r="F2289" s="747"/>
      <c r="G2289" s="747"/>
      <c r="H2289" s="747"/>
      <c r="I2289" s="747"/>
      <c r="J2289" s="747"/>
      <c r="K2289" s="747"/>
      <c r="L2289" s="747">
        <f t="shared" si="183"/>
        <v>30000</v>
      </c>
      <c r="M2289" s="747"/>
      <c r="N2289" s="747">
        <f t="shared" si="184"/>
        <v>30000</v>
      </c>
      <c r="O2289" s="748">
        <f t="shared" si="185"/>
        <v>30000</v>
      </c>
      <c r="P2289" s="749"/>
    </row>
    <row r="2290" spans="1:16" ht="17.25" customHeight="1" x14ac:dyDescent="0.25">
      <c r="A2290" s="1099"/>
      <c r="B2290" s="756" t="s">
        <v>945</v>
      </c>
      <c r="C2290" s="713">
        <v>5</v>
      </c>
      <c r="D2290" s="739" t="s">
        <v>660</v>
      </c>
      <c r="E2290" s="695">
        <v>1000</v>
      </c>
      <c r="F2290" s="747"/>
      <c r="G2290" s="747"/>
      <c r="H2290" s="747"/>
      <c r="I2290" s="747"/>
      <c r="J2290" s="747"/>
      <c r="K2290" s="747"/>
      <c r="L2290" s="747">
        <f t="shared" si="183"/>
        <v>5000</v>
      </c>
      <c r="M2290" s="747"/>
      <c r="N2290" s="747">
        <f t="shared" si="184"/>
        <v>5000</v>
      </c>
      <c r="O2290" s="748">
        <f t="shared" si="185"/>
        <v>5000</v>
      </c>
      <c r="P2290" s="749"/>
    </row>
    <row r="2291" spans="1:16" ht="17.25" customHeight="1" x14ac:dyDescent="0.25">
      <c r="A2291" s="1099"/>
      <c r="B2291" s="756" t="s">
        <v>946</v>
      </c>
      <c r="C2291" s="713"/>
      <c r="D2291" s="739"/>
      <c r="E2291" s="695"/>
      <c r="F2291" s="747"/>
      <c r="G2291" s="747"/>
      <c r="H2291" s="747"/>
      <c r="I2291" s="747"/>
      <c r="J2291" s="747"/>
      <c r="K2291" s="747"/>
      <c r="L2291" s="747">
        <f t="shared" si="183"/>
        <v>0</v>
      </c>
      <c r="M2291" s="747"/>
      <c r="N2291" s="747">
        <f t="shared" si="184"/>
        <v>0</v>
      </c>
      <c r="O2291" s="748">
        <f t="shared" si="185"/>
        <v>0</v>
      </c>
      <c r="P2291" s="749"/>
    </row>
    <row r="2292" spans="1:16" ht="17.25" customHeight="1" x14ac:dyDescent="0.25">
      <c r="A2292" s="1100"/>
      <c r="B2292" s="741" t="s">
        <v>947</v>
      </c>
      <c r="C2292" s="828"/>
      <c r="D2292" s="738"/>
      <c r="E2292" s="705"/>
      <c r="F2292" s="714"/>
      <c r="G2292" s="714"/>
      <c r="H2292" s="714"/>
      <c r="I2292" s="714"/>
      <c r="J2292" s="714"/>
      <c r="K2292" s="714"/>
      <c r="L2292" s="714">
        <f t="shared" si="183"/>
        <v>0</v>
      </c>
      <c r="M2292" s="714"/>
      <c r="N2292" s="714">
        <f t="shared" si="184"/>
        <v>0</v>
      </c>
      <c r="O2292" s="753">
        <f t="shared" si="185"/>
        <v>0</v>
      </c>
      <c r="P2292" s="754"/>
    </row>
    <row r="2293" spans="1:16" s="679" customFormat="1" ht="17.25" customHeight="1" x14ac:dyDescent="0.25">
      <c r="A2293" s="1099"/>
      <c r="B2293" s="756" t="s">
        <v>948</v>
      </c>
      <c r="C2293" s="699"/>
      <c r="D2293" s="739"/>
      <c r="E2293" s="695"/>
      <c r="F2293" s="714"/>
      <c r="G2293" s="714"/>
      <c r="H2293" s="714"/>
      <c r="I2293" s="714"/>
      <c r="J2293" s="714"/>
      <c r="K2293" s="714"/>
      <c r="L2293" s="714">
        <f t="shared" si="183"/>
        <v>0</v>
      </c>
      <c r="M2293" s="714"/>
      <c r="N2293" s="714">
        <f t="shared" si="184"/>
        <v>0</v>
      </c>
      <c r="O2293" s="753">
        <f t="shared" si="185"/>
        <v>0</v>
      </c>
      <c r="P2293" s="754"/>
    </row>
    <row r="2294" spans="1:16" ht="17.25" customHeight="1" x14ac:dyDescent="0.25">
      <c r="A2294" s="1099"/>
      <c r="B2294" s="756" t="s">
        <v>949</v>
      </c>
      <c r="C2294" s="699"/>
      <c r="D2294" s="739"/>
      <c r="E2294" s="695"/>
      <c r="F2294" s="747"/>
      <c r="G2294" s="747"/>
      <c r="H2294" s="747"/>
      <c r="I2294" s="747"/>
      <c r="J2294" s="747"/>
      <c r="K2294" s="747"/>
      <c r="L2294" s="747">
        <f t="shared" si="183"/>
        <v>0</v>
      </c>
      <c r="M2294" s="747"/>
      <c r="N2294" s="747">
        <f t="shared" si="184"/>
        <v>0</v>
      </c>
      <c r="O2294" s="748">
        <f t="shared" si="185"/>
        <v>0</v>
      </c>
      <c r="P2294" s="749"/>
    </row>
    <row r="2295" spans="1:16" ht="17.25" customHeight="1" x14ac:dyDescent="0.25">
      <c r="A2295" s="1099"/>
      <c r="B2295" s="893" t="s">
        <v>950</v>
      </c>
      <c r="C2295" s="699">
        <v>3</v>
      </c>
      <c r="D2295" s="739" t="s">
        <v>660</v>
      </c>
      <c r="E2295" s="695">
        <v>5000</v>
      </c>
      <c r="F2295" s="714"/>
      <c r="G2295" s="714"/>
      <c r="H2295" s="714"/>
      <c r="I2295" s="714"/>
      <c r="J2295" s="714"/>
      <c r="K2295" s="714"/>
      <c r="L2295" s="714">
        <f t="shared" si="183"/>
        <v>15000</v>
      </c>
      <c r="M2295" s="714"/>
      <c r="N2295" s="714">
        <f t="shared" si="184"/>
        <v>15000</v>
      </c>
      <c r="O2295" s="753">
        <f t="shared" si="185"/>
        <v>15000</v>
      </c>
      <c r="P2295" s="754"/>
    </row>
    <row r="2296" spans="1:16" ht="17.25" customHeight="1" x14ac:dyDescent="0.25">
      <c r="A2296" s="1099"/>
      <c r="B2296" s="756" t="s">
        <v>951</v>
      </c>
      <c r="C2296" s="699"/>
      <c r="D2296" s="739"/>
      <c r="E2296" s="695"/>
      <c r="F2296" s="714"/>
      <c r="G2296" s="714"/>
      <c r="H2296" s="714"/>
      <c r="I2296" s="714"/>
      <c r="J2296" s="714"/>
      <c r="K2296" s="714"/>
      <c r="L2296" s="714">
        <f t="shared" si="183"/>
        <v>0</v>
      </c>
      <c r="M2296" s="714"/>
      <c r="N2296" s="714">
        <f t="shared" si="184"/>
        <v>0</v>
      </c>
      <c r="O2296" s="753">
        <f t="shared" si="185"/>
        <v>0</v>
      </c>
      <c r="P2296" s="754"/>
    </row>
    <row r="2297" spans="1:16" ht="17.25" customHeight="1" x14ac:dyDescent="0.25">
      <c r="A2297" s="1099"/>
      <c r="B2297" s="756" t="s">
        <v>952</v>
      </c>
      <c r="C2297" s="699"/>
      <c r="D2297" s="739"/>
      <c r="E2297" s="695"/>
      <c r="F2297" s="714"/>
      <c r="G2297" s="714"/>
      <c r="H2297" s="714"/>
      <c r="I2297" s="714"/>
      <c r="J2297" s="714"/>
      <c r="K2297" s="714"/>
      <c r="L2297" s="714">
        <f t="shared" si="183"/>
        <v>0</v>
      </c>
      <c r="M2297" s="714"/>
      <c r="N2297" s="714">
        <f t="shared" si="184"/>
        <v>0</v>
      </c>
      <c r="O2297" s="753">
        <f t="shared" si="185"/>
        <v>0</v>
      </c>
      <c r="P2297" s="754"/>
    </row>
    <row r="2298" spans="1:16" ht="17.25" customHeight="1" x14ac:dyDescent="0.25">
      <c r="A2298" s="1099"/>
      <c r="B2298" s="756" t="s">
        <v>953</v>
      </c>
      <c r="C2298" s="699">
        <v>3</v>
      </c>
      <c r="D2298" s="739" t="s">
        <v>660</v>
      </c>
      <c r="E2298" s="695">
        <v>7500</v>
      </c>
      <c r="F2298" s="714"/>
      <c r="G2298" s="714"/>
      <c r="H2298" s="714"/>
      <c r="I2298" s="714"/>
      <c r="J2298" s="714"/>
      <c r="K2298" s="714"/>
      <c r="L2298" s="714">
        <f t="shared" si="183"/>
        <v>22500</v>
      </c>
      <c r="M2298" s="714"/>
      <c r="N2298" s="714">
        <f t="shared" si="184"/>
        <v>22500</v>
      </c>
      <c r="O2298" s="753">
        <f t="shared" si="185"/>
        <v>22500</v>
      </c>
      <c r="P2298" s="754"/>
    </row>
    <row r="2299" spans="1:16" ht="17.25" customHeight="1" x14ac:dyDescent="0.25">
      <c r="A2299" s="1099"/>
      <c r="B2299" s="756" t="s">
        <v>954</v>
      </c>
      <c r="C2299" s="699">
        <v>5</v>
      </c>
      <c r="D2299" s="739" t="s">
        <v>660</v>
      </c>
      <c r="E2299" s="695">
        <v>5000</v>
      </c>
      <c r="F2299" s="714"/>
      <c r="G2299" s="714"/>
      <c r="H2299" s="714"/>
      <c r="I2299" s="714"/>
      <c r="J2299" s="714"/>
      <c r="K2299" s="714"/>
      <c r="L2299" s="714">
        <f t="shared" si="183"/>
        <v>25000</v>
      </c>
      <c r="M2299" s="714"/>
      <c r="N2299" s="714">
        <f t="shared" si="184"/>
        <v>25000</v>
      </c>
      <c r="O2299" s="753">
        <f t="shared" si="185"/>
        <v>25000</v>
      </c>
      <c r="P2299" s="754"/>
    </row>
    <row r="2300" spans="1:16" ht="17.25" customHeight="1" x14ac:dyDescent="0.25">
      <c r="A2300" s="1099"/>
      <c r="B2300" s="756" t="s">
        <v>955</v>
      </c>
      <c r="C2300" s="699"/>
      <c r="D2300" s="739"/>
      <c r="E2300" s="695"/>
      <c r="F2300" s="714"/>
      <c r="G2300" s="714"/>
      <c r="H2300" s="714"/>
      <c r="I2300" s="714"/>
      <c r="J2300" s="714"/>
      <c r="K2300" s="714"/>
      <c r="L2300" s="714">
        <f t="shared" si="183"/>
        <v>0</v>
      </c>
      <c r="M2300" s="714"/>
      <c r="N2300" s="714">
        <f t="shared" si="184"/>
        <v>0</v>
      </c>
      <c r="O2300" s="753">
        <f t="shared" si="185"/>
        <v>0</v>
      </c>
      <c r="P2300" s="754"/>
    </row>
    <row r="2301" spans="1:16" ht="17.25" customHeight="1" x14ac:dyDescent="0.25">
      <c r="A2301" s="1099"/>
      <c r="B2301" s="756" t="s">
        <v>956</v>
      </c>
      <c r="C2301" s="699"/>
      <c r="D2301" s="739"/>
      <c r="E2301" s="695"/>
      <c r="F2301" s="714"/>
      <c r="G2301" s="714"/>
      <c r="H2301" s="714"/>
      <c r="I2301" s="714"/>
      <c r="J2301" s="714"/>
      <c r="K2301" s="714"/>
      <c r="L2301" s="714">
        <f t="shared" si="183"/>
        <v>0</v>
      </c>
      <c r="M2301" s="714"/>
      <c r="N2301" s="714">
        <f t="shared" si="184"/>
        <v>0</v>
      </c>
      <c r="O2301" s="753">
        <f t="shared" si="185"/>
        <v>0</v>
      </c>
      <c r="P2301" s="754"/>
    </row>
    <row r="2302" spans="1:16" ht="17.25" customHeight="1" x14ac:dyDescent="0.25">
      <c r="A2302" s="1099"/>
      <c r="B2302" s="756" t="s">
        <v>957</v>
      </c>
      <c r="C2302" s="699"/>
      <c r="D2302" s="739"/>
      <c r="E2302" s="695"/>
      <c r="F2302" s="714"/>
      <c r="G2302" s="714"/>
      <c r="H2302" s="714"/>
      <c r="I2302" s="714"/>
      <c r="J2302" s="714"/>
      <c r="K2302" s="714"/>
      <c r="L2302" s="714">
        <f t="shared" si="183"/>
        <v>0</v>
      </c>
      <c r="M2302" s="714"/>
      <c r="N2302" s="714">
        <f t="shared" si="184"/>
        <v>0</v>
      </c>
      <c r="O2302" s="753">
        <f t="shared" si="185"/>
        <v>0</v>
      </c>
      <c r="P2302" s="754"/>
    </row>
    <row r="2303" spans="1:16" ht="17.25" customHeight="1" x14ac:dyDescent="0.25">
      <c r="A2303" s="1099"/>
      <c r="B2303" s="756" t="s">
        <v>958</v>
      </c>
      <c r="C2303" s="699"/>
      <c r="D2303" s="739"/>
      <c r="E2303" s="695"/>
      <c r="F2303" s="714"/>
      <c r="G2303" s="714"/>
      <c r="H2303" s="714"/>
      <c r="I2303" s="714"/>
      <c r="J2303" s="714"/>
      <c r="K2303" s="714"/>
      <c r="L2303" s="714">
        <f t="shared" si="183"/>
        <v>0</v>
      </c>
      <c r="M2303" s="714"/>
      <c r="N2303" s="714">
        <f t="shared" si="184"/>
        <v>0</v>
      </c>
      <c r="O2303" s="753">
        <f t="shared" si="185"/>
        <v>0</v>
      </c>
      <c r="P2303" s="754"/>
    </row>
    <row r="2304" spans="1:16" ht="17.25" customHeight="1" x14ac:dyDescent="0.25">
      <c r="A2304" s="1099"/>
      <c r="B2304" s="756" t="s">
        <v>959</v>
      </c>
      <c r="C2304" s="699"/>
      <c r="D2304" s="739"/>
      <c r="E2304" s="695"/>
      <c r="F2304" s="747"/>
      <c r="G2304" s="747"/>
      <c r="H2304" s="747"/>
      <c r="I2304" s="747"/>
      <c r="J2304" s="747"/>
      <c r="K2304" s="747"/>
      <c r="L2304" s="747">
        <f t="shared" si="183"/>
        <v>0</v>
      </c>
      <c r="M2304" s="747"/>
      <c r="N2304" s="747">
        <f t="shared" si="184"/>
        <v>0</v>
      </c>
      <c r="O2304" s="748">
        <f t="shared" si="185"/>
        <v>0</v>
      </c>
      <c r="P2304" s="749"/>
    </row>
    <row r="2305" spans="1:16" ht="17.25" customHeight="1" x14ac:dyDescent="0.25">
      <c r="A2305" s="1099"/>
      <c r="B2305" s="756" t="s">
        <v>682</v>
      </c>
      <c r="C2305" s="699"/>
      <c r="D2305" s="739"/>
      <c r="E2305" s="695"/>
      <c r="F2305" s="747"/>
      <c r="G2305" s="747"/>
      <c r="H2305" s="747"/>
      <c r="I2305" s="747"/>
      <c r="J2305" s="747"/>
      <c r="K2305" s="747"/>
      <c r="L2305" s="747">
        <f t="shared" si="183"/>
        <v>0</v>
      </c>
      <c r="M2305" s="747"/>
      <c r="N2305" s="747">
        <f t="shared" si="184"/>
        <v>0</v>
      </c>
      <c r="O2305" s="748">
        <f t="shared" si="185"/>
        <v>0</v>
      </c>
      <c r="P2305" s="749"/>
    </row>
    <row r="2306" spans="1:16" ht="17.25" customHeight="1" x14ac:dyDescent="0.25">
      <c r="A2306" s="1099"/>
      <c r="B2306" s="756" t="s">
        <v>960</v>
      </c>
      <c r="C2306" s="699"/>
      <c r="D2306" s="739"/>
      <c r="E2306" s="695"/>
      <c r="F2306" s="714"/>
      <c r="G2306" s="714"/>
      <c r="H2306" s="714"/>
      <c r="I2306" s="714"/>
      <c r="J2306" s="714"/>
      <c r="K2306" s="714"/>
      <c r="L2306" s="714">
        <f t="shared" si="183"/>
        <v>0</v>
      </c>
      <c r="M2306" s="714"/>
      <c r="N2306" s="714">
        <f t="shared" si="184"/>
        <v>0</v>
      </c>
      <c r="O2306" s="753">
        <f t="shared" si="185"/>
        <v>0</v>
      </c>
      <c r="P2306" s="754"/>
    </row>
    <row r="2307" spans="1:16" ht="17.25" customHeight="1" x14ac:dyDescent="0.25">
      <c r="A2307" s="1099"/>
      <c r="B2307" s="756" t="s">
        <v>961</v>
      </c>
      <c r="C2307" s="699">
        <v>1</v>
      </c>
      <c r="D2307" s="739" t="s">
        <v>196</v>
      </c>
      <c r="E2307" s="695">
        <v>50000</v>
      </c>
      <c r="F2307" s="714"/>
      <c r="G2307" s="714"/>
      <c r="H2307" s="714"/>
      <c r="I2307" s="714"/>
      <c r="J2307" s="714"/>
      <c r="K2307" s="714"/>
      <c r="L2307" s="714">
        <f t="shared" si="183"/>
        <v>50000</v>
      </c>
      <c r="M2307" s="714"/>
      <c r="N2307" s="714">
        <f t="shared" si="184"/>
        <v>50000</v>
      </c>
      <c r="O2307" s="753">
        <f t="shared" si="185"/>
        <v>50000</v>
      </c>
      <c r="P2307" s="754"/>
    </row>
    <row r="2308" spans="1:16" ht="17.25" customHeight="1" x14ac:dyDescent="0.25">
      <c r="A2308" s="1099"/>
      <c r="B2308" s="756" t="s">
        <v>962</v>
      </c>
      <c r="C2308" s="699"/>
      <c r="D2308" s="739"/>
      <c r="E2308" s="695"/>
      <c r="F2308" s="714"/>
      <c r="G2308" s="714"/>
      <c r="H2308" s="714"/>
      <c r="I2308" s="714"/>
      <c r="J2308" s="714"/>
      <c r="K2308" s="714"/>
      <c r="L2308" s="714">
        <f t="shared" si="183"/>
        <v>0</v>
      </c>
      <c r="M2308" s="714"/>
      <c r="N2308" s="714">
        <f t="shared" si="184"/>
        <v>0</v>
      </c>
      <c r="O2308" s="753">
        <f t="shared" si="185"/>
        <v>0</v>
      </c>
      <c r="P2308" s="754"/>
    </row>
    <row r="2309" spans="1:16" ht="17.25" customHeight="1" x14ac:dyDescent="0.25">
      <c r="A2309" s="1099"/>
      <c r="B2309" s="756" t="s">
        <v>963</v>
      </c>
      <c r="C2309" s="699"/>
      <c r="D2309" s="739"/>
      <c r="E2309" s="695"/>
      <c r="F2309" s="714"/>
      <c r="G2309" s="714"/>
      <c r="H2309" s="714"/>
      <c r="I2309" s="714"/>
      <c r="J2309" s="714"/>
      <c r="K2309" s="714"/>
      <c r="L2309" s="714">
        <f t="shared" si="183"/>
        <v>0</v>
      </c>
      <c r="M2309" s="714"/>
      <c r="N2309" s="714">
        <f t="shared" si="184"/>
        <v>0</v>
      </c>
      <c r="O2309" s="753">
        <f t="shared" si="185"/>
        <v>0</v>
      </c>
      <c r="P2309" s="754"/>
    </row>
    <row r="2310" spans="1:16" ht="17.25" customHeight="1" x14ac:dyDescent="0.25">
      <c r="A2310" s="1099"/>
      <c r="B2310" s="763" t="s">
        <v>964</v>
      </c>
      <c r="C2310" s="699"/>
      <c r="D2310" s="762"/>
      <c r="E2310" s="700"/>
      <c r="F2310" s="714"/>
      <c r="G2310" s="714"/>
      <c r="H2310" s="714"/>
      <c r="I2310" s="714"/>
      <c r="J2310" s="714"/>
      <c r="K2310" s="714"/>
      <c r="L2310" s="714">
        <f t="shared" si="183"/>
        <v>0</v>
      </c>
      <c r="M2310" s="714"/>
      <c r="N2310" s="714">
        <f t="shared" si="184"/>
        <v>0</v>
      </c>
      <c r="O2310" s="753">
        <f t="shared" si="185"/>
        <v>0</v>
      </c>
      <c r="P2310" s="754"/>
    </row>
    <row r="2311" spans="1:16" ht="17.25" customHeight="1" x14ac:dyDescent="0.25">
      <c r="A2311" s="1099"/>
      <c r="B2311" s="763" t="s">
        <v>965</v>
      </c>
      <c r="C2311" s="699"/>
      <c r="D2311" s="762"/>
      <c r="E2311" s="700"/>
      <c r="F2311" s="714"/>
      <c r="G2311" s="714"/>
      <c r="H2311" s="714"/>
      <c r="I2311" s="714"/>
      <c r="J2311" s="714"/>
      <c r="K2311" s="714"/>
      <c r="L2311" s="714">
        <f t="shared" si="183"/>
        <v>0</v>
      </c>
      <c r="M2311" s="714"/>
      <c r="N2311" s="714">
        <f t="shared" si="184"/>
        <v>0</v>
      </c>
      <c r="O2311" s="753">
        <f t="shared" si="185"/>
        <v>0</v>
      </c>
      <c r="P2311" s="754"/>
    </row>
    <row r="2312" spans="1:16" ht="17.25" customHeight="1" x14ac:dyDescent="0.25">
      <c r="A2312" s="1099"/>
      <c r="B2312" s="763" t="s">
        <v>966</v>
      </c>
      <c r="C2312" s="699"/>
      <c r="D2312" s="762"/>
      <c r="E2312" s="700"/>
      <c r="F2312" s="714"/>
      <c r="G2312" s="714"/>
      <c r="H2312" s="714"/>
      <c r="I2312" s="714"/>
      <c r="J2312" s="714"/>
      <c r="K2312" s="714"/>
      <c r="L2312" s="714">
        <f t="shared" si="183"/>
        <v>0</v>
      </c>
      <c r="M2312" s="714"/>
      <c r="N2312" s="714">
        <f t="shared" si="184"/>
        <v>0</v>
      </c>
      <c r="O2312" s="753">
        <f t="shared" si="185"/>
        <v>0</v>
      </c>
      <c r="P2312" s="754"/>
    </row>
    <row r="2313" spans="1:16" ht="17.25" customHeight="1" x14ac:dyDescent="0.25">
      <c r="A2313" s="1099"/>
      <c r="B2313" s="763" t="s">
        <v>967</v>
      </c>
      <c r="C2313" s="699"/>
      <c r="D2313" s="762"/>
      <c r="E2313" s="700"/>
      <c r="F2313" s="714"/>
      <c r="G2313" s="714"/>
      <c r="H2313" s="714"/>
      <c r="I2313" s="714"/>
      <c r="J2313" s="714"/>
      <c r="K2313" s="714"/>
      <c r="L2313" s="714">
        <f t="shared" si="183"/>
        <v>0</v>
      </c>
      <c r="M2313" s="714"/>
      <c r="N2313" s="714">
        <f t="shared" si="184"/>
        <v>0</v>
      </c>
      <c r="O2313" s="753">
        <f t="shared" si="185"/>
        <v>0</v>
      </c>
      <c r="P2313" s="754"/>
    </row>
    <row r="2314" spans="1:16" ht="17.25" customHeight="1" x14ac:dyDescent="0.25">
      <c r="A2314" s="1099"/>
      <c r="B2314" s="924" t="s">
        <v>968</v>
      </c>
      <c r="C2314" s="699"/>
      <c r="D2314" s="762"/>
      <c r="E2314" s="700"/>
      <c r="F2314" s="714"/>
      <c r="G2314" s="714"/>
      <c r="H2314" s="714"/>
      <c r="I2314" s="714"/>
      <c r="J2314" s="714"/>
      <c r="K2314" s="714"/>
      <c r="L2314" s="714">
        <f t="shared" si="183"/>
        <v>0</v>
      </c>
      <c r="M2314" s="714"/>
      <c r="N2314" s="714">
        <f t="shared" si="184"/>
        <v>0</v>
      </c>
      <c r="O2314" s="753">
        <f t="shared" si="185"/>
        <v>0</v>
      </c>
      <c r="P2314" s="754"/>
    </row>
    <row r="2315" spans="1:16" ht="17.25" customHeight="1" x14ac:dyDescent="0.25">
      <c r="A2315" s="1099"/>
      <c r="B2315" s="924" t="s">
        <v>969</v>
      </c>
      <c r="C2315" s="699"/>
      <c r="D2315" s="762"/>
      <c r="E2315" s="700"/>
      <c r="F2315" s="714"/>
      <c r="G2315" s="714"/>
      <c r="H2315" s="714"/>
      <c r="I2315" s="714"/>
      <c r="J2315" s="714"/>
      <c r="K2315" s="714"/>
      <c r="L2315" s="714">
        <f t="shared" si="183"/>
        <v>0</v>
      </c>
      <c r="M2315" s="714"/>
      <c r="N2315" s="714">
        <f t="shared" si="184"/>
        <v>0</v>
      </c>
      <c r="O2315" s="753">
        <f t="shared" si="185"/>
        <v>0</v>
      </c>
      <c r="P2315" s="754"/>
    </row>
    <row r="2316" spans="1:16" ht="17.25" customHeight="1" x14ac:dyDescent="0.25">
      <c r="A2316" s="1099"/>
      <c r="B2316" s="924" t="s">
        <v>971</v>
      </c>
      <c r="C2316" s="699">
        <v>1</v>
      </c>
      <c r="D2316" s="762" t="s">
        <v>196</v>
      </c>
      <c r="E2316" s="700">
        <v>125000</v>
      </c>
      <c r="F2316" s="714"/>
      <c r="G2316" s="714"/>
      <c r="H2316" s="714"/>
      <c r="I2316" s="714"/>
      <c r="J2316" s="714"/>
      <c r="K2316" s="714"/>
      <c r="L2316" s="714">
        <f t="shared" si="183"/>
        <v>125000</v>
      </c>
      <c r="M2316" s="714"/>
      <c r="N2316" s="714">
        <f t="shared" si="184"/>
        <v>125000</v>
      </c>
      <c r="O2316" s="753">
        <f t="shared" si="185"/>
        <v>125000</v>
      </c>
      <c r="P2316" s="754"/>
    </row>
    <row r="2317" spans="1:16" ht="17.25" customHeight="1" x14ac:dyDescent="0.25">
      <c r="A2317" s="1099"/>
      <c r="B2317" s="924" t="s">
        <v>972</v>
      </c>
      <c r="C2317" s="699"/>
      <c r="D2317" s="762"/>
      <c r="E2317" s="700"/>
      <c r="F2317" s="714"/>
      <c r="G2317" s="714"/>
      <c r="H2317" s="714"/>
      <c r="I2317" s="714"/>
      <c r="J2317" s="714"/>
      <c r="K2317" s="714"/>
      <c r="L2317" s="714">
        <f t="shared" si="183"/>
        <v>0</v>
      </c>
      <c r="M2317" s="714"/>
      <c r="N2317" s="714">
        <f t="shared" si="184"/>
        <v>0</v>
      </c>
      <c r="O2317" s="753">
        <f t="shared" si="185"/>
        <v>0</v>
      </c>
      <c r="P2317" s="754"/>
    </row>
    <row r="2318" spans="1:16" ht="17.25" customHeight="1" x14ac:dyDescent="0.25">
      <c r="A2318" s="1099"/>
      <c r="B2318" s="924" t="s">
        <v>973</v>
      </c>
      <c r="C2318" s="699"/>
      <c r="D2318" s="762"/>
      <c r="E2318" s="700"/>
      <c r="F2318" s="714"/>
      <c r="G2318" s="714"/>
      <c r="H2318" s="714"/>
      <c r="I2318" s="714"/>
      <c r="J2318" s="714"/>
      <c r="K2318" s="714"/>
      <c r="L2318" s="714">
        <f t="shared" si="183"/>
        <v>0</v>
      </c>
      <c r="M2318" s="714"/>
      <c r="N2318" s="714">
        <f t="shared" si="184"/>
        <v>0</v>
      </c>
      <c r="O2318" s="753">
        <f t="shared" si="185"/>
        <v>0</v>
      </c>
      <c r="P2318" s="754"/>
    </row>
    <row r="2319" spans="1:16" ht="17.25" customHeight="1" x14ac:dyDescent="0.25">
      <c r="A2319" s="1099"/>
      <c r="B2319" s="928" t="s">
        <v>1695</v>
      </c>
      <c r="C2319" s="699">
        <v>1</v>
      </c>
      <c r="D2319" s="762" t="s">
        <v>16</v>
      </c>
      <c r="E2319" s="700">
        <v>2500000</v>
      </c>
      <c r="F2319" s="714"/>
      <c r="G2319" s="714"/>
      <c r="H2319" s="714"/>
      <c r="I2319" s="714"/>
      <c r="J2319" s="714"/>
      <c r="K2319" s="714"/>
      <c r="L2319" s="714">
        <f t="shared" si="183"/>
        <v>2500000</v>
      </c>
      <c r="M2319" s="714"/>
      <c r="N2319" s="714">
        <f t="shared" si="184"/>
        <v>2500000</v>
      </c>
      <c r="O2319" s="753">
        <f t="shared" si="185"/>
        <v>2500000</v>
      </c>
      <c r="P2319" s="754"/>
    </row>
    <row r="2320" spans="1:16" ht="17.25" customHeight="1" x14ac:dyDescent="0.25">
      <c r="A2320" s="1099"/>
      <c r="B2320" s="923" t="s">
        <v>974</v>
      </c>
      <c r="C2320" s="699">
        <v>1</v>
      </c>
      <c r="D2320" s="762" t="s">
        <v>16</v>
      </c>
      <c r="E2320" s="700">
        <v>1250000</v>
      </c>
      <c r="F2320" s="714"/>
      <c r="G2320" s="714"/>
      <c r="H2320" s="714"/>
      <c r="I2320" s="714"/>
      <c r="J2320" s="714"/>
      <c r="K2320" s="714"/>
      <c r="L2320" s="714">
        <f t="shared" si="183"/>
        <v>1250000</v>
      </c>
      <c r="M2320" s="714"/>
      <c r="N2320" s="714">
        <f t="shared" si="184"/>
        <v>1250000</v>
      </c>
      <c r="O2320" s="753">
        <f t="shared" si="185"/>
        <v>1250000</v>
      </c>
      <c r="P2320" s="754"/>
    </row>
    <row r="2321" spans="1:89" ht="17.25" customHeight="1" x14ac:dyDescent="0.25">
      <c r="A2321" s="1103"/>
      <c r="B2321" s="925" t="s">
        <v>2276</v>
      </c>
      <c r="C2321" s="834">
        <v>1</v>
      </c>
      <c r="D2321" s="926" t="s">
        <v>16</v>
      </c>
      <c r="E2321" s="722">
        <v>300000</v>
      </c>
      <c r="F2321" s="721"/>
      <c r="G2321" s="721"/>
      <c r="H2321" s="721"/>
      <c r="I2321" s="721"/>
      <c r="J2321" s="721"/>
      <c r="K2321" s="721"/>
      <c r="L2321" s="714">
        <f t="shared" si="183"/>
        <v>300000</v>
      </c>
      <c r="M2321" s="721"/>
      <c r="N2321" s="714">
        <f t="shared" si="184"/>
        <v>300000</v>
      </c>
      <c r="O2321" s="753">
        <f t="shared" si="185"/>
        <v>300000</v>
      </c>
      <c r="P2321" s="754"/>
    </row>
    <row r="2322" spans="1:89" ht="17.25" customHeight="1" x14ac:dyDescent="0.25">
      <c r="A2322" s="1103"/>
      <c r="B2322" s="925" t="s">
        <v>2277</v>
      </c>
      <c r="C2322" s="834">
        <v>1</v>
      </c>
      <c r="D2322" s="926" t="s">
        <v>16</v>
      </c>
      <c r="E2322" s="722">
        <v>300000</v>
      </c>
      <c r="F2322" s="721"/>
      <c r="G2322" s="721"/>
      <c r="H2322" s="721"/>
      <c r="I2322" s="721"/>
      <c r="J2322" s="721"/>
      <c r="K2322" s="721"/>
      <c r="L2322" s="714">
        <f t="shared" si="183"/>
        <v>300000</v>
      </c>
      <c r="M2322" s="721"/>
      <c r="N2322" s="714">
        <f t="shared" si="184"/>
        <v>300000</v>
      </c>
      <c r="O2322" s="753">
        <f t="shared" si="185"/>
        <v>300000</v>
      </c>
      <c r="P2322" s="754"/>
    </row>
    <row r="2323" spans="1:89" ht="17.25" customHeight="1" x14ac:dyDescent="0.25">
      <c r="A2323" s="1103"/>
      <c r="B2323" s="925"/>
      <c r="C2323" s="834">
        <v>0</v>
      </c>
      <c r="D2323" s="926" t="s">
        <v>16</v>
      </c>
      <c r="E2323" s="722">
        <v>400000</v>
      </c>
      <c r="F2323" s="721"/>
      <c r="G2323" s="721"/>
      <c r="H2323" s="721"/>
      <c r="I2323" s="721"/>
      <c r="J2323" s="721"/>
      <c r="K2323" s="721"/>
      <c r="L2323" s="714">
        <f t="shared" si="183"/>
        <v>0</v>
      </c>
      <c r="M2323" s="721"/>
      <c r="N2323" s="714">
        <f t="shared" si="184"/>
        <v>0</v>
      </c>
      <c r="O2323" s="753">
        <f t="shared" si="185"/>
        <v>0</v>
      </c>
      <c r="P2323" s="754"/>
    </row>
    <row r="2324" spans="1:89" ht="17.25" customHeight="1" x14ac:dyDescent="0.25">
      <c r="A2324" s="1103"/>
      <c r="B2324" s="1106"/>
      <c r="C2324" s="834"/>
      <c r="D2324" s="926"/>
      <c r="E2324" s="722"/>
      <c r="F2324" s="721"/>
      <c r="G2324" s="721"/>
      <c r="H2324" s="721"/>
      <c r="I2324" s="721"/>
      <c r="J2324" s="721"/>
      <c r="K2324" s="721"/>
      <c r="L2324" s="721"/>
      <c r="M2324" s="721"/>
      <c r="N2324" s="721"/>
      <c r="O2324" s="884"/>
      <c r="P2324" s="754"/>
    </row>
    <row r="2325" spans="1:89" ht="30.75" customHeight="1" x14ac:dyDescent="0.25">
      <c r="A2325" s="1103"/>
      <c r="B2325" s="925"/>
      <c r="C2325" s="834"/>
      <c r="D2325" s="926"/>
      <c r="E2325" s="722"/>
      <c r="F2325" s="721"/>
      <c r="G2325" s="721"/>
      <c r="H2325" s="721"/>
      <c r="I2325" s="721"/>
      <c r="J2325" s="721"/>
      <c r="K2325" s="721"/>
      <c r="L2325" s="721"/>
      <c r="M2325" s="721"/>
      <c r="N2325" s="721"/>
      <c r="O2325" s="884"/>
      <c r="P2325" s="754"/>
    </row>
    <row r="2326" spans="1:89" ht="38.25" customHeight="1" x14ac:dyDescent="0.25">
      <c r="A2326" s="1764">
        <v>36</v>
      </c>
      <c r="B2326" s="1228" t="s">
        <v>199</v>
      </c>
      <c r="C2326" s="1490"/>
      <c r="D2326" s="1583"/>
      <c r="E2326" s="1290"/>
      <c r="F2326" s="896">
        <f>SUM(F2329:F2562)</f>
        <v>0</v>
      </c>
      <c r="G2326" s="896">
        <f>SUM(G2329:G2562)</f>
        <v>0</v>
      </c>
      <c r="H2326" s="896">
        <f>G2326+F2326</f>
        <v>0</v>
      </c>
      <c r="I2326" s="896">
        <f>SUM(I2329:I2562)</f>
        <v>1794010</v>
      </c>
      <c r="J2326" s="896">
        <f>SUM(J2329:J2562)</f>
        <v>4085600</v>
      </c>
      <c r="K2326" s="896">
        <f>J2326+I2326</f>
        <v>5879610</v>
      </c>
      <c r="L2326" s="896">
        <f>SUM(L2329:L2562)</f>
        <v>7834530</v>
      </c>
      <c r="M2326" s="896">
        <f>SUM(M2329:M2562)</f>
        <v>0</v>
      </c>
      <c r="N2326" s="896">
        <f>M2326+L2326</f>
        <v>7834530</v>
      </c>
      <c r="O2326" s="1494">
        <f>N2326+K2326+H2326</f>
        <v>13714140</v>
      </c>
      <c r="P2326" s="912"/>
    </row>
    <row r="2327" spans="1:89" ht="24.75" customHeight="1" x14ac:dyDescent="0.25">
      <c r="A2327" s="841"/>
      <c r="B2327" s="929"/>
      <c r="C2327" s="930"/>
      <c r="D2327" s="1761"/>
      <c r="E2327" s="919"/>
      <c r="F2327" s="931"/>
      <c r="G2327" s="931"/>
      <c r="H2327" s="931"/>
      <c r="I2327" s="931"/>
      <c r="J2327" s="931"/>
      <c r="K2327" s="931"/>
      <c r="L2327" s="931"/>
      <c r="M2327" s="931"/>
      <c r="N2327" s="931"/>
      <c r="O2327" s="932"/>
      <c r="P2327" s="776"/>
    </row>
    <row r="2328" spans="1:89" ht="17.25" customHeight="1" x14ac:dyDescent="0.25">
      <c r="A2328" s="849"/>
      <c r="B2328" s="933"/>
      <c r="C2328" s="872"/>
      <c r="D2328" s="934"/>
      <c r="E2328" s="684"/>
      <c r="F2328" s="935"/>
      <c r="G2328" s="935"/>
      <c r="H2328" s="935"/>
      <c r="I2328" s="935"/>
      <c r="J2328" s="935"/>
      <c r="K2328" s="935"/>
      <c r="L2328" s="935"/>
      <c r="M2328" s="935"/>
      <c r="N2328" s="935"/>
      <c r="O2328" s="867"/>
      <c r="P2328" s="754"/>
    </row>
    <row r="2329" spans="1:89" ht="17.25" customHeight="1" x14ac:dyDescent="0.25">
      <c r="A2329" s="849"/>
      <c r="B2329" s="933" t="s">
        <v>869</v>
      </c>
      <c r="C2329" s="872">
        <f>SUM(O2331:O2348)</f>
        <v>663000</v>
      </c>
      <c r="D2329" s="934"/>
      <c r="E2329" s="684"/>
      <c r="F2329" s="935"/>
      <c r="G2329" s="935"/>
      <c r="H2329" s="935"/>
      <c r="I2329" s="935"/>
      <c r="J2329" s="935">
        <f t="shared" ref="J2329:J2339" si="186">C2329*E2329</f>
        <v>0</v>
      </c>
      <c r="K2329" s="935">
        <f t="shared" ref="K2329:K2339" si="187">I2329+J2329</f>
        <v>0</v>
      </c>
      <c r="L2329" s="935"/>
      <c r="M2329" s="935"/>
      <c r="N2329" s="935"/>
      <c r="O2329" s="867">
        <f t="shared" ref="O2329:O2339" si="188">N2329+K2329+H2329</f>
        <v>0</v>
      </c>
      <c r="P2329" s="754"/>
    </row>
    <row r="2330" spans="1:89" ht="17.25" customHeight="1" x14ac:dyDescent="0.25">
      <c r="A2330" s="849"/>
      <c r="B2330" s="824" t="s">
        <v>1709</v>
      </c>
      <c r="C2330" s="872"/>
      <c r="D2330" s="934"/>
      <c r="E2330" s="684"/>
      <c r="F2330" s="935"/>
      <c r="G2330" s="935"/>
      <c r="H2330" s="935"/>
      <c r="I2330" s="935"/>
      <c r="J2330" s="935">
        <f t="shared" si="186"/>
        <v>0</v>
      </c>
      <c r="K2330" s="935">
        <f t="shared" si="187"/>
        <v>0</v>
      </c>
      <c r="L2330" s="935"/>
      <c r="M2330" s="935"/>
      <c r="N2330" s="935"/>
      <c r="O2330" s="867">
        <f t="shared" si="188"/>
        <v>0</v>
      </c>
      <c r="P2330" s="754"/>
    </row>
    <row r="2331" spans="1:89" ht="17.25" customHeight="1" x14ac:dyDescent="0.25">
      <c r="A2331" s="849"/>
      <c r="B2331" s="824" t="s">
        <v>1710</v>
      </c>
      <c r="C2331" s="872">
        <v>12</v>
      </c>
      <c r="D2331" s="934" t="s">
        <v>20</v>
      </c>
      <c r="E2331" s="684">
        <v>300</v>
      </c>
      <c r="F2331" s="935"/>
      <c r="G2331" s="935"/>
      <c r="H2331" s="935"/>
      <c r="I2331" s="935"/>
      <c r="J2331" s="935">
        <f t="shared" si="186"/>
        <v>3600</v>
      </c>
      <c r="K2331" s="935">
        <f t="shared" si="187"/>
        <v>3600</v>
      </c>
      <c r="L2331" s="935"/>
      <c r="M2331" s="935"/>
      <c r="N2331" s="935"/>
      <c r="O2331" s="1649">
        <f t="shared" si="188"/>
        <v>3600</v>
      </c>
      <c r="P2331" s="1205"/>
    </row>
    <row r="2332" spans="1:89" ht="17.25" customHeight="1" x14ac:dyDescent="0.25">
      <c r="A2332" s="849"/>
      <c r="B2332" s="824" t="s">
        <v>1711</v>
      </c>
      <c r="C2332" s="872">
        <v>12</v>
      </c>
      <c r="D2332" s="934" t="s">
        <v>20</v>
      </c>
      <c r="E2332" s="684">
        <v>250</v>
      </c>
      <c r="F2332" s="935"/>
      <c r="G2332" s="935"/>
      <c r="H2332" s="935"/>
      <c r="I2332" s="935"/>
      <c r="J2332" s="935">
        <f t="shared" si="186"/>
        <v>3000</v>
      </c>
      <c r="K2332" s="935">
        <f t="shared" si="187"/>
        <v>3000</v>
      </c>
      <c r="L2332" s="935"/>
      <c r="M2332" s="935"/>
      <c r="N2332" s="935"/>
      <c r="O2332" s="1649">
        <f t="shared" si="188"/>
        <v>3000</v>
      </c>
      <c r="P2332" s="1205"/>
    </row>
    <row r="2333" spans="1:89" ht="17.25" customHeight="1" x14ac:dyDescent="0.25">
      <c r="A2333" s="849"/>
      <c r="B2333" s="824" t="s">
        <v>1660</v>
      </c>
      <c r="C2333" s="872">
        <v>12</v>
      </c>
      <c r="D2333" s="934" t="s">
        <v>20</v>
      </c>
      <c r="E2333" s="684">
        <v>200</v>
      </c>
      <c r="F2333" s="935"/>
      <c r="G2333" s="935"/>
      <c r="H2333" s="935"/>
      <c r="I2333" s="935"/>
      <c r="J2333" s="935">
        <f t="shared" si="186"/>
        <v>2400</v>
      </c>
      <c r="K2333" s="935">
        <f t="shared" si="187"/>
        <v>2400</v>
      </c>
      <c r="L2333" s="935"/>
      <c r="M2333" s="935"/>
      <c r="N2333" s="935"/>
      <c r="O2333" s="1649">
        <f t="shared" si="188"/>
        <v>2400</v>
      </c>
      <c r="P2333" s="1205"/>
    </row>
    <row r="2334" spans="1:89" ht="17.25" customHeight="1" x14ac:dyDescent="0.25">
      <c r="A2334" s="849"/>
      <c r="B2334" s="824" t="s">
        <v>1661</v>
      </c>
      <c r="C2334" s="872">
        <v>12</v>
      </c>
      <c r="D2334" s="934" t="s">
        <v>20</v>
      </c>
      <c r="E2334" s="684">
        <v>200</v>
      </c>
      <c r="F2334" s="935"/>
      <c r="G2334" s="935"/>
      <c r="H2334" s="935"/>
      <c r="I2334" s="935"/>
      <c r="J2334" s="935">
        <f t="shared" si="186"/>
        <v>2400</v>
      </c>
      <c r="K2334" s="935">
        <f t="shared" si="187"/>
        <v>2400</v>
      </c>
      <c r="L2334" s="935"/>
      <c r="M2334" s="935"/>
      <c r="N2334" s="935"/>
      <c r="O2334" s="1649">
        <f t="shared" si="188"/>
        <v>2400</v>
      </c>
      <c r="P2334" s="1205"/>
    </row>
    <row r="2335" spans="1:89" s="1206" customFormat="1" ht="17.25" customHeight="1" x14ac:dyDescent="0.25">
      <c r="A2335" s="1650"/>
      <c r="B2335" s="1651" t="s">
        <v>1712</v>
      </c>
      <c r="C2335" s="1652">
        <v>72</v>
      </c>
      <c r="D2335" s="1653"/>
      <c r="E2335" s="1654">
        <v>150</v>
      </c>
      <c r="F2335" s="1655"/>
      <c r="G2335" s="1655"/>
      <c r="H2335" s="1655"/>
      <c r="I2335" s="1655"/>
      <c r="J2335" s="1655">
        <f t="shared" si="186"/>
        <v>10800</v>
      </c>
      <c r="K2335" s="1655">
        <f t="shared" si="187"/>
        <v>10800</v>
      </c>
      <c r="L2335" s="1655"/>
      <c r="M2335" s="1655"/>
      <c r="N2335" s="1655"/>
      <c r="O2335" s="1649">
        <f t="shared" si="188"/>
        <v>10800</v>
      </c>
      <c r="P2335" s="1205"/>
      <c r="Q2335" s="1827"/>
      <c r="R2335" s="1827"/>
      <c r="S2335" s="1827"/>
      <c r="T2335" s="1827"/>
      <c r="U2335" s="1827"/>
      <c r="V2335" s="1827"/>
      <c r="W2335" s="1827"/>
      <c r="X2335" s="1827"/>
      <c r="Y2335" s="1827"/>
      <c r="Z2335" s="1827"/>
      <c r="AA2335" s="1827"/>
      <c r="AB2335" s="1827"/>
      <c r="AC2335" s="1827"/>
      <c r="AD2335" s="1827"/>
      <c r="AE2335" s="1827"/>
      <c r="AF2335" s="1827"/>
      <c r="AG2335" s="1827"/>
      <c r="AH2335" s="1827"/>
      <c r="AI2335" s="1827"/>
      <c r="AJ2335" s="1827"/>
      <c r="AK2335" s="1827"/>
      <c r="AL2335" s="1827"/>
      <c r="AM2335" s="1827"/>
      <c r="AN2335" s="1827"/>
      <c r="AO2335" s="1827"/>
      <c r="AP2335" s="1827"/>
      <c r="AQ2335" s="1827"/>
      <c r="AR2335" s="1827"/>
      <c r="AS2335" s="1827"/>
      <c r="AT2335" s="1827"/>
      <c r="AU2335" s="1827"/>
      <c r="AV2335" s="1827"/>
      <c r="AW2335" s="1827"/>
      <c r="AX2335" s="1827"/>
      <c r="AY2335" s="1827"/>
      <c r="AZ2335" s="1827"/>
      <c r="BA2335" s="1827"/>
      <c r="BB2335" s="1827"/>
      <c r="BC2335" s="1827"/>
      <c r="BD2335" s="1827"/>
      <c r="BE2335" s="1827"/>
      <c r="BF2335" s="1827"/>
      <c r="BG2335" s="1827"/>
      <c r="BH2335" s="1827"/>
      <c r="BI2335" s="1827"/>
      <c r="BJ2335" s="1827"/>
      <c r="BK2335" s="1827"/>
      <c r="BL2335" s="1827"/>
      <c r="BM2335" s="1827"/>
      <c r="BN2335" s="1827"/>
      <c r="BO2335" s="1827"/>
      <c r="BP2335" s="1827"/>
      <c r="BQ2335" s="1827"/>
      <c r="BR2335" s="1827"/>
      <c r="BS2335" s="1827"/>
      <c r="BT2335" s="1827"/>
      <c r="BU2335" s="1827"/>
      <c r="BV2335" s="1827"/>
      <c r="BW2335" s="1827"/>
      <c r="BX2335" s="1827"/>
      <c r="BY2335" s="1827"/>
      <c r="BZ2335" s="1827"/>
      <c r="CA2335" s="1827"/>
      <c r="CB2335" s="1827"/>
      <c r="CC2335" s="1827"/>
      <c r="CD2335" s="1827"/>
      <c r="CE2335" s="1827"/>
      <c r="CF2335" s="1827"/>
      <c r="CG2335" s="1827"/>
      <c r="CH2335" s="1827"/>
      <c r="CI2335" s="1827"/>
      <c r="CJ2335" s="1827"/>
      <c r="CK2335" s="1827"/>
    </row>
    <row r="2336" spans="1:89" ht="17.25" customHeight="1" x14ac:dyDescent="0.25">
      <c r="A2336" s="849"/>
      <c r="B2336" s="824"/>
      <c r="C2336" s="872"/>
      <c r="D2336" s="934"/>
      <c r="E2336" s="684"/>
      <c r="F2336" s="935"/>
      <c r="G2336" s="935"/>
      <c r="H2336" s="935"/>
      <c r="I2336" s="935"/>
      <c r="J2336" s="935">
        <f t="shared" si="186"/>
        <v>0</v>
      </c>
      <c r="K2336" s="935">
        <f t="shared" si="187"/>
        <v>0</v>
      </c>
      <c r="L2336" s="935"/>
      <c r="M2336" s="935"/>
      <c r="N2336" s="935"/>
      <c r="O2336" s="867">
        <f t="shared" si="188"/>
        <v>0</v>
      </c>
      <c r="P2336" s="754"/>
    </row>
    <row r="2337" spans="1:89" ht="17.25" customHeight="1" x14ac:dyDescent="0.25">
      <c r="A2337" s="849"/>
      <c r="B2337" s="933" t="s">
        <v>870</v>
      </c>
      <c r="C2337" s="872">
        <f>SUM(C2338:C2339)</f>
        <v>2100</v>
      </c>
      <c r="D2337" s="934"/>
      <c r="E2337" s="684"/>
      <c r="F2337" s="935"/>
      <c r="G2337" s="935"/>
      <c r="H2337" s="935"/>
      <c r="I2337" s="935"/>
      <c r="J2337" s="935">
        <f t="shared" si="186"/>
        <v>0</v>
      </c>
      <c r="K2337" s="935">
        <f t="shared" si="187"/>
        <v>0</v>
      </c>
      <c r="L2337" s="935"/>
      <c r="M2337" s="935"/>
      <c r="N2337" s="935"/>
      <c r="O2337" s="867">
        <f t="shared" si="188"/>
        <v>0</v>
      </c>
      <c r="P2337" s="754"/>
    </row>
    <row r="2338" spans="1:89" s="1206" customFormat="1" ht="17.25" customHeight="1" x14ac:dyDescent="0.25">
      <c r="A2338" s="1650"/>
      <c r="B2338" s="1651" t="s">
        <v>1713</v>
      </c>
      <c r="C2338" s="1652">
        <v>1860</v>
      </c>
      <c r="D2338" s="1653" t="s">
        <v>20</v>
      </c>
      <c r="E2338" s="1654">
        <v>150</v>
      </c>
      <c r="F2338" s="1655"/>
      <c r="G2338" s="1655"/>
      <c r="H2338" s="1655"/>
      <c r="I2338" s="1655"/>
      <c r="J2338" s="1655">
        <f t="shared" si="186"/>
        <v>279000</v>
      </c>
      <c r="K2338" s="1655">
        <f t="shared" si="187"/>
        <v>279000</v>
      </c>
      <c r="L2338" s="1655"/>
      <c r="M2338" s="1655"/>
      <c r="N2338" s="1655"/>
      <c r="O2338" s="1649">
        <f t="shared" si="188"/>
        <v>279000</v>
      </c>
      <c r="P2338" s="1205"/>
      <c r="Q2338" s="1827"/>
      <c r="R2338" s="1827"/>
      <c r="S2338" s="1827"/>
      <c r="T2338" s="1827"/>
      <c r="U2338" s="1827"/>
      <c r="V2338" s="1827"/>
      <c r="W2338" s="1827"/>
      <c r="X2338" s="1827"/>
      <c r="Y2338" s="1827"/>
      <c r="Z2338" s="1827"/>
      <c r="AA2338" s="1827"/>
      <c r="AB2338" s="1827"/>
      <c r="AC2338" s="1827"/>
      <c r="AD2338" s="1827"/>
      <c r="AE2338" s="1827"/>
      <c r="AF2338" s="1827"/>
      <c r="AG2338" s="1827"/>
      <c r="AH2338" s="1827"/>
      <c r="AI2338" s="1827"/>
      <c r="AJ2338" s="1827"/>
      <c r="AK2338" s="1827"/>
      <c r="AL2338" s="1827"/>
      <c r="AM2338" s="1827"/>
      <c r="AN2338" s="1827"/>
      <c r="AO2338" s="1827"/>
      <c r="AP2338" s="1827"/>
      <c r="AQ2338" s="1827"/>
      <c r="AR2338" s="1827"/>
      <c r="AS2338" s="1827"/>
      <c r="AT2338" s="1827"/>
      <c r="AU2338" s="1827"/>
      <c r="AV2338" s="1827"/>
      <c r="AW2338" s="1827"/>
      <c r="AX2338" s="1827"/>
      <c r="AY2338" s="1827"/>
      <c r="AZ2338" s="1827"/>
      <c r="BA2338" s="1827"/>
      <c r="BB2338" s="1827"/>
      <c r="BC2338" s="1827"/>
      <c r="BD2338" s="1827"/>
      <c r="BE2338" s="1827"/>
      <c r="BF2338" s="1827"/>
      <c r="BG2338" s="1827"/>
      <c r="BH2338" s="1827"/>
      <c r="BI2338" s="1827"/>
      <c r="BJ2338" s="1827"/>
      <c r="BK2338" s="1827"/>
      <c r="BL2338" s="1827"/>
      <c r="BM2338" s="1827"/>
      <c r="BN2338" s="1827"/>
      <c r="BO2338" s="1827"/>
      <c r="BP2338" s="1827"/>
      <c r="BQ2338" s="1827"/>
      <c r="BR2338" s="1827"/>
      <c r="BS2338" s="1827"/>
      <c r="BT2338" s="1827"/>
      <c r="BU2338" s="1827"/>
      <c r="BV2338" s="1827"/>
      <c r="BW2338" s="1827"/>
      <c r="BX2338" s="1827"/>
      <c r="BY2338" s="1827"/>
      <c r="BZ2338" s="1827"/>
      <c r="CA2338" s="1827"/>
      <c r="CB2338" s="1827"/>
      <c r="CC2338" s="1827"/>
      <c r="CD2338" s="1827"/>
      <c r="CE2338" s="1827"/>
      <c r="CF2338" s="1827"/>
      <c r="CG2338" s="1827"/>
      <c r="CH2338" s="1827"/>
      <c r="CI2338" s="1827"/>
      <c r="CJ2338" s="1827"/>
      <c r="CK2338" s="1827"/>
    </row>
    <row r="2339" spans="1:89" s="1206" customFormat="1" ht="17.25" customHeight="1" x14ac:dyDescent="0.25">
      <c r="A2339" s="1650"/>
      <c r="B2339" s="1651" t="s">
        <v>1714</v>
      </c>
      <c r="C2339" s="1652">
        <v>240</v>
      </c>
      <c r="D2339" s="1653" t="s">
        <v>20</v>
      </c>
      <c r="E2339" s="1654">
        <v>150</v>
      </c>
      <c r="F2339" s="1655"/>
      <c r="G2339" s="1655"/>
      <c r="H2339" s="1655"/>
      <c r="I2339" s="1655"/>
      <c r="J2339" s="1655">
        <f t="shared" si="186"/>
        <v>36000</v>
      </c>
      <c r="K2339" s="1655">
        <f t="shared" si="187"/>
        <v>36000</v>
      </c>
      <c r="L2339" s="1655"/>
      <c r="M2339" s="1655"/>
      <c r="N2339" s="1655"/>
      <c r="O2339" s="1649">
        <f t="shared" si="188"/>
        <v>36000</v>
      </c>
      <c r="P2339" s="1205"/>
      <c r="Q2339" s="1827"/>
      <c r="R2339" s="1827"/>
      <c r="S2339" s="1827"/>
      <c r="T2339" s="1827"/>
      <c r="U2339" s="1827"/>
      <c r="V2339" s="1827"/>
      <c r="W2339" s="1827"/>
      <c r="X2339" s="1827"/>
      <c r="Y2339" s="1827"/>
      <c r="Z2339" s="1827"/>
      <c r="AA2339" s="1827"/>
      <c r="AB2339" s="1827"/>
      <c r="AC2339" s="1827"/>
      <c r="AD2339" s="1827"/>
      <c r="AE2339" s="1827"/>
      <c r="AF2339" s="1827"/>
      <c r="AG2339" s="1827"/>
      <c r="AH2339" s="1827"/>
      <c r="AI2339" s="1827"/>
      <c r="AJ2339" s="1827"/>
      <c r="AK2339" s="1827"/>
      <c r="AL2339" s="1827"/>
      <c r="AM2339" s="1827"/>
      <c r="AN2339" s="1827"/>
      <c r="AO2339" s="1827"/>
      <c r="AP2339" s="1827"/>
      <c r="AQ2339" s="1827"/>
      <c r="AR2339" s="1827"/>
      <c r="AS2339" s="1827"/>
      <c r="AT2339" s="1827"/>
      <c r="AU2339" s="1827"/>
      <c r="AV2339" s="1827"/>
      <c r="AW2339" s="1827"/>
      <c r="AX2339" s="1827"/>
      <c r="AY2339" s="1827"/>
      <c r="AZ2339" s="1827"/>
      <c r="BA2339" s="1827"/>
      <c r="BB2339" s="1827"/>
      <c r="BC2339" s="1827"/>
      <c r="BD2339" s="1827"/>
      <c r="BE2339" s="1827"/>
      <c r="BF2339" s="1827"/>
      <c r="BG2339" s="1827"/>
      <c r="BH2339" s="1827"/>
      <c r="BI2339" s="1827"/>
      <c r="BJ2339" s="1827"/>
      <c r="BK2339" s="1827"/>
      <c r="BL2339" s="1827"/>
      <c r="BM2339" s="1827"/>
      <c r="BN2339" s="1827"/>
      <c r="BO2339" s="1827"/>
      <c r="BP2339" s="1827"/>
      <c r="BQ2339" s="1827"/>
      <c r="BR2339" s="1827"/>
      <c r="BS2339" s="1827"/>
      <c r="BT2339" s="1827"/>
      <c r="BU2339" s="1827"/>
      <c r="BV2339" s="1827"/>
      <c r="BW2339" s="1827"/>
      <c r="BX2339" s="1827"/>
      <c r="BY2339" s="1827"/>
      <c r="BZ2339" s="1827"/>
      <c r="CA2339" s="1827"/>
      <c r="CB2339" s="1827"/>
      <c r="CC2339" s="1827"/>
      <c r="CD2339" s="1827"/>
      <c r="CE2339" s="1827"/>
      <c r="CF2339" s="1827"/>
      <c r="CG2339" s="1827"/>
      <c r="CH2339" s="1827"/>
      <c r="CI2339" s="1827"/>
      <c r="CJ2339" s="1827"/>
      <c r="CK2339" s="1827"/>
    </row>
    <row r="2340" spans="1:89" ht="17.25" customHeight="1" x14ac:dyDescent="0.25">
      <c r="A2340" s="849"/>
      <c r="B2340" s="824" t="s">
        <v>27</v>
      </c>
      <c r="C2340" s="872"/>
      <c r="D2340" s="934"/>
      <c r="E2340" s="684"/>
      <c r="F2340" s="935"/>
      <c r="G2340" s="935"/>
      <c r="H2340" s="935"/>
      <c r="I2340" s="935"/>
      <c r="J2340" s="935"/>
      <c r="K2340" s="935"/>
      <c r="L2340" s="935"/>
      <c r="M2340" s="935"/>
      <c r="N2340" s="935"/>
      <c r="O2340" s="867"/>
      <c r="P2340" s="754"/>
    </row>
    <row r="2341" spans="1:89" ht="17.25" customHeight="1" x14ac:dyDescent="0.25">
      <c r="A2341" s="849"/>
      <c r="B2341" s="824" t="s">
        <v>872</v>
      </c>
      <c r="C2341" s="872">
        <v>1</v>
      </c>
      <c r="D2341" s="934" t="s">
        <v>188</v>
      </c>
      <c r="E2341" s="684">
        <v>50000</v>
      </c>
      <c r="F2341" s="935"/>
      <c r="G2341" s="935"/>
      <c r="H2341" s="935"/>
      <c r="I2341" s="935"/>
      <c r="J2341" s="935">
        <f>C2341*E2341</f>
        <v>50000</v>
      </c>
      <c r="K2341" s="935">
        <f>I2341+J2341</f>
        <v>50000</v>
      </c>
      <c r="L2341" s="935"/>
      <c r="M2341" s="935"/>
      <c r="N2341" s="935"/>
      <c r="O2341" s="1649">
        <f>N2341+K2341+H2341</f>
        <v>50000</v>
      </c>
      <c r="P2341" s="1205"/>
    </row>
    <row r="2342" spans="1:89" ht="17.25" customHeight="1" x14ac:dyDescent="0.25">
      <c r="A2342" s="849"/>
      <c r="B2342" s="824" t="s">
        <v>223</v>
      </c>
      <c r="C2342" s="872"/>
      <c r="D2342" s="934"/>
      <c r="E2342" s="684"/>
      <c r="F2342" s="935"/>
      <c r="G2342" s="935"/>
      <c r="H2342" s="935"/>
      <c r="I2342" s="935"/>
      <c r="J2342" s="935"/>
      <c r="K2342" s="935"/>
      <c r="L2342" s="935"/>
      <c r="M2342" s="935"/>
      <c r="N2342" s="935"/>
      <c r="O2342" s="867"/>
      <c r="P2342" s="754"/>
    </row>
    <row r="2343" spans="1:89" ht="17.25" customHeight="1" x14ac:dyDescent="0.25">
      <c r="A2343" s="849"/>
      <c r="B2343" s="824" t="s">
        <v>873</v>
      </c>
      <c r="C2343" s="872">
        <v>1</v>
      </c>
      <c r="D2343" s="934" t="s">
        <v>188</v>
      </c>
      <c r="E2343" s="684">
        <v>50000</v>
      </c>
      <c r="F2343" s="935"/>
      <c r="G2343" s="935"/>
      <c r="H2343" s="935"/>
      <c r="I2343" s="935"/>
      <c r="J2343" s="935">
        <f>C2343*E2343</f>
        <v>50000</v>
      </c>
      <c r="K2343" s="935">
        <f>I2343+J2343</f>
        <v>50000</v>
      </c>
      <c r="L2343" s="935"/>
      <c r="M2343" s="935"/>
      <c r="N2343" s="935"/>
      <c r="O2343" s="1649">
        <f>N2343+K2343+H2343</f>
        <v>50000</v>
      </c>
      <c r="P2343" s="1205"/>
    </row>
    <row r="2344" spans="1:89" ht="17.25" customHeight="1" x14ac:dyDescent="0.25">
      <c r="A2344" s="849"/>
      <c r="B2344" s="824" t="s">
        <v>1715</v>
      </c>
      <c r="C2344" s="872">
        <v>0</v>
      </c>
      <c r="D2344" s="934" t="s">
        <v>188</v>
      </c>
      <c r="E2344" s="684">
        <v>50000</v>
      </c>
      <c r="F2344" s="935"/>
      <c r="G2344" s="935"/>
      <c r="H2344" s="935"/>
      <c r="I2344" s="935"/>
      <c r="J2344" s="935">
        <f>C2344*E2344</f>
        <v>0</v>
      </c>
      <c r="K2344" s="935">
        <f>I2344+J2344</f>
        <v>0</v>
      </c>
      <c r="L2344" s="935"/>
      <c r="M2344" s="935"/>
      <c r="N2344" s="935"/>
      <c r="O2344" s="867">
        <f>N2344+K2344+H2344</f>
        <v>0</v>
      </c>
      <c r="P2344" s="754"/>
    </row>
    <row r="2345" spans="1:89" ht="17.25" customHeight="1" x14ac:dyDescent="0.25">
      <c r="A2345" s="849"/>
      <c r="B2345" s="824" t="s">
        <v>875</v>
      </c>
      <c r="C2345" s="872"/>
      <c r="D2345" s="934"/>
      <c r="E2345" s="684"/>
      <c r="F2345" s="935"/>
      <c r="G2345" s="935"/>
      <c r="H2345" s="935"/>
      <c r="I2345" s="935"/>
      <c r="J2345" s="935"/>
      <c r="K2345" s="935"/>
      <c r="L2345" s="935"/>
      <c r="M2345" s="935"/>
      <c r="N2345" s="935"/>
      <c r="O2345" s="867"/>
      <c r="P2345" s="754"/>
    </row>
    <row r="2346" spans="1:89" s="1206" customFormat="1" ht="17.25" customHeight="1" x14ac:dyDescent="0.25">
      <c r="A2346" s="1650"/>
      <c r="B2346" s="1651" t="s">
        <v>191</v>
      </c>
      <c r="C2346" s="1652">
        <v>1</v>
      </c>
      <c r="D2346" s="1653" t="s">
        <v>188</v>
      </c>
      <c r="E2346" s="1654">
        <v>200000</v>
      </c>
      <c r="F2346" s="1655"/>
      <c r="G2346" s="1655"/>
      <c r="H2346" s="1655"/>
      <c r="I2346" s="1655"/>
      <c r="J2346" s="1655">
        <f t="shared" ref="J2346:J2359" si="189">C2346*E2346</f>
        <v>200000</v>
      </c>
      <c r="K2346" s="1655">
        <f t="shared" ref="K2346:K2359" si="190">I2346+J2346</f>
        <v>200000</v>
      </c>
      <c r="L2346" s="1655"/>
      <c r="M2346" s="1655"/>
      <c r="N2346" s="1655"/>
      <c r="O2346" s="1649">
        <f t="shared" ref="O2346:O2359" si="191">N2346+K2346+H2346</f>
        <v>200000</v>
      </c>
      <c r="P2346" s="1205"/>
      <c r="Q2346" s="1827"/>
      <c r="R2346" s="1827"/>
      <c r="S2346" s="1827"/>
      <c r="T2346" s="1827"/>
      <c r="U2346" s="1827"/>
      <c r="V2346" s="1827"/>
      <c r="W2346" s="1827"/>
      <c r="X2346" s="1827"/>
      <c r="Y2346" s="1827"/>
      <c r="Z2346" s="1827"/>
      <c r="AA2346" s="1827"/>
      <c r="AB2346" s="1827"/>
      <c r="AC2346" s="1827"/>
      <c r="AD2346" s="1827"/>
      <c r="AE2346" s="1827"/>
      <c r="AF2346" s="1827"/>
      <c r="AG2346" s="1827"/>
      <c r="AH2346" s="1827"/>
      <c r="AI2346" s="1827"/>
      <c r="AJ2346" s="1827"/>
      <c r="AK2346" s="1827"/>
      <c r="AL2346" s="1827"/>
      <c r="AM2346" s="1827"/>
      <c r="AN2346" s="1827"/>
      <c r="AO2346" s="1827"/>
      <c r="AP2346" s="1827"/>
      <c r="AQ2346" s="1827"/>
      <c r="AR2346" s="1827"/>
      <c r="AS2346" s="1827"/>
      <c r="AT2346" s="1827"/>
      <c r="AU2346" s="1827"/>
      <c r="AV2346" s="1827"/>
      <c r="AW2346" s="1827"/>
      <c r="AX2346" s="1827"/>
      <c r="AY2346" s="1827"/>
      <c r="AZ2346" s="1827"/>
      <c r="BA2346" s="1827"/>
      <c r="BB2346" s="1827"/>
      <c r="BC2346" s="1827"/>
      <c r="BD2346" s="1827"/>
      <c r="BE2346" s="1827"/>
      <c r="BF2346" s="1827"/>
      <c r="BG2346" s="1827"/>
      <c r="BH2346" s="1827"/>
      <c r="BI2346" s="1827"/>
      <c r="BJ2346" s="1827"/>
      <c r="BK2346" s="1827"/>
      <c r="BL2346" s="1827"/>
      <c r="BM2346" s="1827"/>
      <c r="BN2346" s="1827"/>
      <c r="BO2346" s="1827"/>
      <c r="BP2346" s="1827"/>
      <c r="BQ2346" s="1827"/>
      <c r="BR2346" s="1827"/>
      <c r="BS2346" s="1827"/>
      <c r="BT2346" s="1827"/>
      <c r="BU2346" s="1827"/>
      <c r="BV2346" s="1827"/>
      <c r="BW2346" s="1827"/>
      <c r="BX2346" s="1827"/>
      <c r="BY2346" s="1827"/>
      <c r="BZ2346" s="1827"/>
      <c r="CA2346" s="1827"/>
      <c r="CB2346" s="1827"/>
      <c r="CC2346" s="1827"/>
      <c r="CD2346" s="1827"/>
      <c r="CE2346" s="1827"/>
      <c r="CF2346" s="1827"/>
      <c r="CG2346" s="1827"/>
      <c r="CH2346" s="1827"/>
      <c r="CI2346" s="1827"/>
      <c r="CJ2346" s="1827"/>
      <c r="CK2346" s="1827"/>
    </row>
    <row r="2347" spans="1:89" ht="17.25" customHeight="1" x14ac:dyDescent="0.25">
      <c r="A2347" s="849"/>
      <c r="B2347" s="824" t="s">
        <v>1716</v>
      </c>
      <c r="C2347" s="872"/>
      <c r="D2347" s="934"/>
      <c r="E2347" s="684"/>
      <c r="F2347" s="935"/>
      <c r="G2347" s="935"/>
      <c r="H2347" s="935"/>
      <c r="I2347" s="935"/>
      <c r="J2347" s="935">
        <f t="shared" si="189"/>
        <v>0</v>
      </c>
      <c r="K2347" s="935">
        <f t="shared" si="190"/>
        <v>0</v>
      </c>
      <c r="L2347" s="935"/>
      <c r="M2347" s="935"/>
      <c r="N2347" s="935"/>
      <c r="O2347" s="867">
        <f t="shared" si="191"/>
        <v>0</v>
      </c>
      <c r="P2347" s="754"/>
    </row>
    <row r="2348" spans="1:89" s="1206" customFormat="1" ht="17.25" customHeight="1" x14ac:dyDescent="0.25">
      <c r="A2348" s="1650"/>
      <c r="B2348" s="1651" t="s">
        <v>1717</v>
      </c>
      <c r="C2348" s="1652">
        <v>1</v>
      </c>
      <c r="D2348" s="1653" t="s">
        <v>188</v>
      </c>
      <c r="E2348" s="1654">
        <v>25800</v>
      </c>
      <c r="F2348" s="1655"/>
      <c r="G2348" s="1655"/>
      <c r="H2348" s="1655"/>
      <c r="I2348" s="1655"/>
      <c r="J2348" s="1655">
        <f t="shared" si="189"/>
        <v>25800</v>
      </c>
      <c r="K2348" s="1655">
        <f t="shared" si="190"/>
        <v>25800</v>
      </c>
      <c r="L2348" s="1655"/>
      <c r="M2348" s="1655"/>
      <c r="N2348" s="1655"/>
      <c r="O2348" s="1649">
        <f t="shared" si="191"/>
        <v>25800</v>
      </c>
      <c r="P2348" s="1205"/>
      <c r="Q2348" s="1827"/>
      <c r="R2348" s="1827"/>
      <c r="S2348" s="1827"/>
      <c r="T2348" s="1827"/>
      <c r="U2348" s="1827"/>
      <c r="V2348" s="1827"/>
      <c r="W2348" s="1827"/>
      <c r="X2348" s="1827"/>
      <c r="Y2348" s="1827"/>
      <c r="Z2348" s="1827"/>
      <c r="AA2348" s="1827"/>
      <c r="AB2348" s="1827"/>
      <c r="AC2348" s="1827"/>
      <c r="AD2348" s="1827"/>
      <c r="AE2348" s="1827"/>
      <c r="AF2348" s="1827"/>
      <c r="AG2348" s="1827"/>
      <c r="AH2348" s="1827"/>
      <c r="AI2348" s="1827"/>
      <c r="AJ2348" s="1827"/>
      <c r="AK2348" s="1827"/>
      <c r="AL2348" s="1827"/>
      <c r="AM2348" s="1827"/>
      <c r="AN2348" s="1827"/>
      <c r="AO2348" s="1827"/>
      <c r="AP2348" s="1827"/>
      <c r="AQ2348" s="1827"/>
      <c r="AR2348" s="1827"/>
      <c r="AS2348" s="1827"/>
      <c r="AT2348" s="1827"/>
      <c r="AU2348" s="1827"/>
      <c r="AV2348" s="1827"/>
      <c r="AW2348" s="1827"/>
      <c r="AX2348" s="1827"/>
      <c r="AY2348" s="1827"/>
      <c r="AZ2348" s="1827"/>
      <c r="BA2348" s="1827"/>
      <c r="BB2348" s="1827"/>
      <c r="BC2348" s="1827"/>
      <c r="BD2348" s="1827"/>
      <c r="BE2348" s="1827"/>
      <c r="BF2348" s="1827"/>
      <c r="BG2348" s="1827"/>
      <c r="BH2348" s="1827"/>
      <c r="BI2348" s="1827"/>
      <c r="BJ2348" s="1827"/>
      <c r="BK2348" s="1827"/>
      <c r="BL2348" s="1827"/>
      <c r="BM2348" s="1827"/>
      <c r="BN2348" s="1827"/>
      <c r="BO2348" s="1827"/>
      <c r="BP2348" s="1827"/>
      <c r="BQ2348" s="1827"/>
      <c r="BR2348" s="1827"/>
      <c r="BS2348" s="1827"/>
      <c r="BT2348" s="1827"/>
      <c r="BU2348" s="1827"/>
      <c r="BV2348" s="1827"/>
      <c r="BW2348" s="1827"/>
      <c r="BX2348" s="1827"/>
      <c r="BY2348" s="1827"/>
      <c r="BZ2348" s="1827"/>
      <c r="CA2348" s="1827"/>
      <c r="CB2348" s="1827"/>
      <c r="CC2348" s="1827"/>
      <c r="CD2348" s="1827"/>
      <c r="CE2348" s="1827"/>
      <c r="CF2348" s="1827"/>
      <c r="CG2348" s="1827"/>
      <c r="CH2348" s="1827"/>
      <c r="CI2348" s="1827"/>
      <c r="CJ2348" s="1827"/>
      <c r="CK2348" s="1827"/>
    </row>
    <row r="2349" spans="1:89" ht="17.25" customHeight="1" x14ac:dyDescent="0.25">
      <c r="A2349" s="849"/>
      <c r="B2349" s="824" t="s">
        <v>875</v>
      </c>
      <c r="C2349" s="872"/>
      <c r="D2349" s="934"/>
      <c r="E2349" s="684"/>
      <c r="F2349" s="935"/>
      <c r="G2349" s="935"/>
      <c r="H2349" s="935"/>
      <c r="I2349" s="935"/>
      <c r="J2349" s="935"/>
      <c r="K2349" s="935"/>
      <c r="L2349" s="935"/>
      <c r="M2349" s="935"/>
      <c r="N2349" s="935"/>
      <c r="O2349" s="867"/>
      <c r="P2349" s="754"/>
    </row>
    <row r="2350" spans="1:89" s="1206" customFormat="1" ht="17.25" customHeight="1" x14ac:dyDescent="0.25">
      <c r="A2350" s="1650"/>
      <c r="B2350" s="1651" t="s">
        <v>191</v>
      </c>
      <c r="C2350" s="1652">
        <v>1</v>
      </c>
      <c r="D2350" s="1653" t="s">
        <v>188</v>
      </c>
      <c r="E2350" s="1654">
        <v>110700</v>
      </c>
      <c r="F2350" s="1655"/>
      <c r="G2350" s="1655"/>
      <c r="H2350" s="1655"/>
      <c r="I2350" s="1655"/>
      <c r="J2350" s="1655">
        <f>C2350*E2350</f>
        <v>110700</v>
      </c>
      <c r="K2350" s="1655">
        <f>I2350+J2350</f>
        <v>110700</v>
      </c>
      <c r="L2350" s="1655"/>
      <c r="M2350" s="1655"/>
      <c r="N2350" s="1655"/>
      <c r="O2350" s="1649">
        <f>N2350+K2350+H2350</f>
        <v>110700</v>
      </c>
      <c r="P2350" s="1205"/>
      <c r="Q2350" s="1827"/>
      <c r="R2350" s="1827"/>
      <c r="S2350" s="1827"/>
      <c r="T2350" s="1827"/>
      <c r="U2350" s="1827"/>
      <c r="V2350" s="1827"/>
      <c r="W2350" s="1827"/>
      <c r="X2350" s="1827"/>
      <c r="Y2350" s="1827"/>
      <c r="Z2350" s="1827"/>
      <c r="AA2350" s="1827"/>
      <c r="AB2350" s="1827"/>
      <c r="AC2350" s="1827"/>
      <c r="AD2350" s="1827"/>
      <c r="AE2350" s="1827"/>
      <c r="AF2350" s="1827"/>
      <c r="AG2350" s="1827"/>
      <c r="AH2350" s="1827"/>
      <c r="AI2350" s="1827"/>
      <c r="AJ2350" s="1827"/>
      <c r="AK2350" s="1827"/>
      <c r="AL2350" s="1827"/>
      <c r="AM2350" s="1827"/>
      <c r="AN2350" s="1827"/>
      <c r="AO2350" s="1827"/>
      <c r="AP2350" s="1827"/>
      <c r="AQ2350" s="1827"/>
      <c r="AR2350" s="1827"/>
      <c r="AS2350" s="1827"/>
      <c r="AT2350" s="1827"/>
      <c r="AU2350" s="1827"/>
      <c r="AV2350" s="1827"/>
      <c r="AW2350" s="1827"/>
      <c r="AX2350" s="1827"/>
      <c r="AY2350" s="1827"/>
      <c r="AZ2350" s="1827"/>
      <c r="BA2350" s="1827"/>
      <c r="BB2350" s="1827"/>
      <c r="BC2350" s="1827"/>
      <c r="BD2350" s="1827"/>
      <c r="BE2350" s="1827"/>
      <c r="BF2350" s="1827"/>
      <c r="BG2350" s="1827"/>
      <c r="BH2350" s="1827"/>
      <c r="BI2350" s="1827"/>
      <c r="BJ2350" s="1827"/>
      <c r="BK2350" s="1827"/>
      <c r="BL2350" s="1827"/>
      <c r="BM2350" s="1827"/>
      <c r="BN2350" s="1827"/>
      <c r="BO2350" s="1827"/>
      <c r="BP2350" s="1827"/>
      <c r="BQ2350" s="1827"/>
      <c r="BR2350" s="1827"/>
      <c r="BS2350" s="1827"/>
      <c r="BT2350" s="1827"/>
      <c r="BU2350" s="1827"/>
      <c r="BV2350" s="1827"/>
      <c r="BW2350" s="1827"/>
      <c r="BX2350" s="1827"/>
      <c r="BY2350" s="1827"/>
      <c r="BZ2350" s="1827"/>
      <c r="CA2350" s="1827"/>
      <c r="CB2350" s="1827"/>
      <c r="CC2350" s="1827"/>
      <c r="CD2350" s="1827"/>
      <c r="CE2350" s="1827"/>
      <c r="CF2350" s="1827"/>
      <c r="CG2350" s="1827"/>
      <c r="CH2350" s="1827"/>
      <c r="CI2350" s="1827"/>
      <c r="CJ2350" s="1827"/>
      <c r="CK2350" s="1827"/>
    </row>
    <row r="2351" spans="1:89" s="1206" customFormat="1" ht="17.25" customHeight="1" x14ac:dyDescent="0.25">
      <c r="A2351" s="1650"/>
      <c r="B2351" s="1651"/>
      <c r="C2351" s="1652"/>
      <c r="D2351" s="1653"/>
      <c r="E2351" s="1654"/>
      <c r="F2351" s="1655"/>
      <c r="G2351" s="1655"/>
      <c r="H2351" s="1655"/>
      <c r="I2351" s="1655"/>
      <c r="J2351" s="1655"/>
      <c r="K2351" s="1655"/>
      <c r="L2351" s="1655"/>
      <c r="M2351" s="1655"/>
      <c r="N2351" s="1655"/>
      <c r="O2351" s="1649"/>
      <c r="P2351" s="1205"/>
      <c r="Q2351" s="1827"/>
      <c r="R2351" s="1827"/>
      <c r="S2351" s="1827"/>
      <c r="T2351" s="1827"/>
      <c r="U2351" s="1827"/>
      <c r="V2351" s="1827"/>
      <c r="W2351" s="1827"/>
      <c r="X2351" s="1827"/>
      <c r="Y2351" s="1827"/>
      <c r="Z2351" s="1827"/>
      <c r="AA2351" s="1827"/>
      <c r="AB2351" s="1827"/>
      <c r="AC2351" s="1827"/>
      <c r="AD2351" s="1827"/>
      <c r="AE2351" s="1827"/>
      <c r="AF2351" s="1827"/>
      <c r="AG2351" s="1827"/>
      <c r="AH2351" s="1827"/>
      <c r="AI2351" s="1827"/>
      <c r="AJ2351" s="1827"/>
      <c r="AK2351" s="1827"/>
      <c r="AL2351" s="1827"/>
      <c r="AM2351" s="1827"/>
      <c r="AN2351" s="1827"/>
      <c r="AO2351" s="1827"/>
      <c r="AP2351" s="1827"/>
      <c r="AQ2351" s="1827"/>
      <c r="AR2351" s="1827"/>
      <c r="AS2351" s="1827"/>
      <c r="AT2351" s="1827"/>
      <c r="AU2351" s="1827"/>
      <c r="AV2351" s="1827"/>
      <c r="AW2351" s="1827"/>
      <c r="AX2351" s="1827"/>
      <c r="AY2351" s="1827"/>
      <c r="AZ2351" s="1827"/>
      <c r="BA2351" s="1827"/>
      <c r="BB2351" s="1827"/>
      <c r="BC2351" s="1827"/>
      <c r="BD2351" s="1827"/>
      <c r="BE2351" s="1827"/>
      <c r="BF2351" s="1827"/>
      <c r="BG2351" s="1827"/>
      <c r="BH2351" s="1827"/>
      <c r="BI2351" s="1827"/>
      <c r="BJ2351" s="1827"/>
      <c r="BK2351" s="1827"/>
      <c r="BL2351" s="1827"/>
      <c r="BM2351" s="1827"/>
      <c r="BN2351" s="1827"/>
      <c r="BO2351" s="1827"/>
      <c r="BP2351" s="1827"/>
      <c r="BQ2351" s="1827"/>
      <c r="BR2351" s="1827"/>
      <c r="BS2351" s="1827"/>
      <c r="BT2351" s="1827"/>
      <c r="BU2351" s="1827"/>
      <c r="BV2351" s="1827"/>
      <c r="BW2351" s="1827"/>
      <c r="BX2351" s="1827"/>
      <c r="BY2351" s="1827"/>
      <c r="BZ2351" s="1827"/>
      <c r="CA2351" s="1827"/>
      <c r="CB2351" s="1827"/>
      <c r="CC2351" s="1827"/>
      <c r="CD2351" s="1827"/>
      <c r="CE2351" s="1827"/>
      <c r="CF2351" s="1827"/>
      <c r="CG2351" s="1827"/>
      <c r="CH2351" s="1827"/>
      <c r="CI2351" s="1827"/>
      <c r="CJ2351" s="1827"/>
      <c r="CK2351" s="1827"/>
    </row>
    <row r="2352" spans="1:89" s="1206" customFormat="1" ht="17.25" customHeight="1" x14ac:dyDescent="0.25">
      <c r="A2352" s="1650"/>
      <c r="B2352" s="1651"/>
      <c r="C2352" s="1652"/>
      <c r="D2352" s="1653"/>
      <c r="E2352" s="1654"/>
      <c r="F2352" s="1655"/>
      <c r="G2352" s="1655"/>
      <c r="H2352" s="1655"/>
      <c r="I2352" s="1655"/>
      <c r="J2352" s="1655"/>
      <c r="K2352" s="1655"/>
      <c r="L2352" s="1655"/>
      <c r="M2352" s="1655"/>
      <c r="N2352" s="1655"/>
      <c r="O2352" s="1649"/>
      <c r="P2352" s="1205"/>
      <c r="Q2352" s="1827"/>
      <c r="R2352" s="1827"/>
      <c r="S2352" s="1827"/>
      <c r="T2352" s="1827"/>
      <c r="U2352" s="1827"/>
      <c r="V2352" s="1827"/>
      <c r="W2352" s="1827"/>
      <c r="X2352" s="1827"/>
      <c r="Y2352" s="1827"/>
      <c r="Z2352" s="1827"/>
      <c r="AA2352" s="1827"/>
      <c r="AB2352" s="1827"/>
      <c r="AC2352" s="1827"/>
      <c r="AD2352" s="1827"/>
      <c r="AE2352" s="1827"/>
      <c r="AF2352" s="1827"/>
      <c r="AG2352" s="1827"/>
      <c r="AH2352" s="1827"/>
      <c r="AI2352" s="1827"/>
      <c r="AJ2352" s="1827"/>
      <c r="AK2352" s="1827"/>
      <c r="AL2352" s="1827"/>
      <c r="AM2352" s="1827"/>
      <c r="AN2352" s="1827"/>
      <c r="AO2352" s="1827"/>
      <c r="AP2352" s="1827"/>
      <c r="AQ2352" s="1827"/>
      <c r="AR2352" s="1827"/>
      <c r="AS2352" s="1827"/>
      <c r="AT2352" s="1827"/>
      <c r="AU2352" s="1827"/>
      <c r="AV2352" s="1827"/>
      <c r="AW2352" s="1827"/>
      <c r="AX2352" s="1827"/>
      <c r="AY2352" s="1827"/>
      <c r="AZ2352" s="1827"/>
      <c r="BA2352" s="1827"/>
      <c r="BB2352" s="1827"/>
      <c r="BC2352" s="1827"/>
      <c r="BD2352" s="1827"/>
      <c r="BE2352" s="1827"/>
      <c r="BF2352" s="1827"/>
      <c r="BG2352" s="1827"/>
      <c r="BH2352" s="1827"/>
      <c r="BI2352" s="1827"/>
      <c r="BJ2352" s="1827"/>
      <c r="BK2352" s="1827"/>
      <c r="BL2352" s="1827"/>
      <c r="BM2352" s="1827"/>
      <c r="BN2352" s="1827"/>
      <c r="BO2352" s="1827"/>
      <c r="BP2352" s="1827"/>
      <c r="BQ2352" s="1827"/>
      <c r="BR2352" s="1827"/>
      <c r="BS2352" s="1827"/>
      <c r="BT2352" s="1827"/>
      <c r="BU2352" s="1827"/>
      <c r="BV2352" s="1827"/>
      <c r="BW2352" s="1827"/>
      <c r="BX2352" s="1827"/>
      <c r="BY2352" s="1827"/>
      <c r="BZ2352" s="1827"/>
      <c r="CA2352" s="1827"/>
      <c r="CB2352" s="1827"/>
      <c r="CC2352" s="1827"/>
      <c r="CD2352" s="1827"/>
      <c r="CE2352" s="1827"/>
      <c r="CF2352" s="1827"/>
      <c r="CG2352" s="1827"/>
      <c r="CH2352" s="1827"/>
      <c r="CI2352" s="1827"/>
      <c r="CJ2352" s="1827"/>
      <c r="CK2352" s="1827"/>
    </row>
    <row r="2353" spans="1:16" ht="17.25" customHeight="1" x14ac:dyDescent="0.25">
      <c r="A2353" s="849"/>
      <c r="B2353" s="933" t="s">
        <v>876</v>
      </c>
      <c r="C2353" s="872">
        <f>SUM(O2355:O2373)</f>
        <v>617200</v>
      </c>
      <c r="D2353" s="934"/>
      <c r="E2353" s="684"/>
      <c r="F2353" s="935"/>
      <c r="G2353" s="935"/>
      <c r="H2353" s="935"/>
      <c r="I2353" s="935"/>
      <c r="J2353" s="935">
        <f t="shared" si="189"/>
        <v>0</v>
      </c>
      <c r="K2353" s="935">
        <f t="shared" si="190"/>
        <v>0</v>
      </c>
      <c r="L2353" s="935"/>
      <c r="M2353" s="935"/>
      <c r="N2353" s="935"/>
      <c r="O2353" s="867">
        <f t="shared" si="191"/>
        <v>0</v>
      </c>
      <c r="P2353" s="754"/>
    </row>
    <row r="2354" spans="1:16" ht="17.25" customHeight="1" x14ac:dyDescent="0.25">
      <c r="A2354" s="849"/>
      <c r="B2354" s="824" t="s">
        <v>1709</v>
      </c>
      <c r="C2354" s="872">
        <f>SUM(O2355:O2359)</f>
        <v>22200</v>
      </c>
      <c r="D2354" s="934"/>
      <c r="E2354" s="684"/>
      <c r="F2354" s="935"/>
      <c r="G2354" s="935"/>
      <c r="H2354" s="935"/>
      <c r="I2354" s="935"/>
      <c r="J2354" s="935">
        <f t="shared" si="189"/>
        <v>0</v>
      </c>
      <c r="K2354" s="935">
        <f t="shared" si="190"/>
        <v>0</v>
      </c>
      <c r="L2354" s="935"/>
      <c r="M2354" s="935"/>
      <c r="N2354" s="935"/>
      <c r="O2354" s="867">
        <f t="shared" si="191"/>
        <v>0</v>
      </c>
      <c r="P2354" s="754"/>
    </row>
    <row r="2355" spans="1:16" ht="17.25" customHeight="1" x14ac:dyDescent="0.25">
      <c r="A2355" s="849"/>
      <c r="B2355" s="824" t="s">
        <v>1710</v>
      </c>
      <c r="C2355" s="872">
        <v>12</v>
      </c>
      <c r="D2355" s="934" t="s">
        <v>20</v>
      </c>
      <c r="E2355" s="684">
        <v>300</v>
      </c>
      <c r="F2355" s="935"/>
      <c r="G2355" s="935"/>
      <c r="H2355" s="935"/>
      <c r="I2355" s="935"/>
      <c r="J2355" s="935">
        <f t="shared" si="189"/>
        <v>3600</v>
      </c>
      <c r="K2355" s="935">
        <f t="shared" si="190"/>
        <v>3600</v>
      </c>
      <c r="L2355" s="935"/>
      <c r="M2355" s="935"/>
      <c r="N2355" s="935"/>
      <c r="O2355" s="867">
        <f t="shared" si="191"/>
        <v>3600</v>
      </c>
      <c r="P2355" s="754"/>
    </row>
    <row r="2356" spans="1:16" ht="17.25" customHeight="1" x14ac:dyDescent="0.25">
      <c r="A2356" s="849"/>
      <c r="B2356" s="824" t="s">
        <v>1711</v>
      </c>
      <c r="C2356" s="872">
        <v>12</v>
      </c>
      <c r="D2356" s="934" t="s">
        <v>20</v>
      </c>
      <c r="E2356" s="684">
        <v>250</v>
      </c>
      <c r="F2356" s="935"/>
      <c r="G2356" s="935"/>
      <c r="H2356" s="935"/>
      <c r="I2356" s="935"/>
      <c r="J2356" s="935">
        <f t="shared" si="189"/>
        <v>3000</v>
      </c>
      <c r="K2356" s="935">
        <f t="shared" si="190"/>
        <v>3000</v>
      </c>
      <c r="L2356" s="935"/>
      <c r="M2356" s="935"/>
      <c r="N2356" s="935"/>
      <c r="O2356" s="867">
        <f t="shared" si="191"/>
        <v>3000</v>
      </c>
      <c r="P2356" s="754"/>
    </row>
    <row r="2357" spans="1:16" ht="17.25" customHeight="1" x14ac:dyDescent="0.25">
      <c r="A2357" s="849"/>
      <c r="B2357" s="824" t="s">
        <v>1660</v>
      </c>
      <c r="C2357" s="872">
        <v>12</v>
      </c>
      <c r="D2357" s="934" t="s">
        <v>20</v>
      </c>
      <c r="E2357" s="684">
        <v>200</v>
      </c>
      <c r="F2357" s="935"/>
      <c r="G2357" s="935"/>
      <c r="H2357" s="935"/>
      <c r="I2357" s="935"/>
      <c r="J2357" s="935">
        <f t="shared" si="189"/>
        <v>2400</v>
      </c>
      <c r="K2357" s="935">
        <f t="shared" si="190"/>
        <v>2400</v>
      </c>
      <c r="L2357" s="935"/>
      <c r="M2357" s="935"/>
      <c r="N2357" s="935"/>
      <c r="O2357" s="867">
        <f t="shared" si="191"/>
        <v>2400</v>
      </c>
      <c r="P2357" s="754"/>
    </row>
    <row r="2358" spans="1:16" ht="17.25" customHeight="1" x14ac:dyDescent="0.25">
      <c r="A2358" s="849"/>
      <c r="B2358" s="824" t="s">
        <v>1661</v>
      </c>
      <c r="C2358" s="872">
        <v>12</v>
      </c>
      <c r="D2358" s="934" t="s">
        <v>20</v>
      </c>
      <c r="E2358" s="684">
        <v>200</v>
      </c>
      <c r="F2358" s="935"/>
      <c r="G2358" s="935"/>
      <c r="H2358" s="935"/>
      <c r="I2358" s="935"/>
      <c r="J2358" s="935">
        <f t="shared" si="189"/>
        <v>2400</v>
      </c>
      <c r="K2358" s="935">
        <f t="shared" si="190"/>
        <v>2400</v>
      </c>
      <c r="L2358" s="935"/>
      <c r="M2358" s="935"/>
      <c r="N2358" s="935"/>
      <c r="O2358" s="867">
        <f t="shared" si="191"/>
        <v>2400</v>
      </c>
      <c r="P2358" s="754"/>
    </row>
    <row r="2359" spans="1:16" ht="17.25" customHeight="1" x14ac:dyDescent="0.25">
      <c r="A2359" s="849"/>
      <c r="B2359" s="824" t="s">
        <v>2260</v>
      </c>
      <c r="C2359" s="872">
        <v>72</v>
      </c>
      <c r="D2359" s="934" t="s">
        <v>20</v>
      </c>
      <c r="E2359" s="684">
        <v>150</v>
      </c>
      <c r="F2359" s="935"/>
      <c r="G2359" s="935"/>
      <c r="H2359" s="935"/>
      <c r="I2359" s="935"/>
      <c r="J2359" s="935">
        <f t="shared" si="189"/>
        <v>10800</v>
      </c>
      <c r="K2359" s="935">
        <f t="shared" si="190"/>
        <v>10800</v>
      </c>
      <c r="L2359" s="935"/>
      <c r="M2359" s="935"/>
      <c r="N2359" s="935"/>
      <c r="O2359" s="867">
        <f t="shared" si="191"/>
        <v>10800</v>
      </c>
      <c r="P2359" s="754"/>
    </row>
    <row r="2360" spans="1:16" ht="17.25" customHeight="1" x14ac:dyDescent="0.25">
      <c r="A2360" s="849"/>
      <c r="B2360" s="824" t="s">
        <v>877</v>
      </c>
      <c r="C2360" s="872">
        <f>SUM(O2361:O2364)</f>
        <v>270000</v>
      </c>
      <c r="D2360" s="934"/>
      <c r="E2360" s="684"/>
      <c r="F2360" s="935"/>
      <c r="G2360" s="935"/>
      <c r="H2360" s="935"/>
      <c r="I2360" s="935"/>
      <c r="J2360" s="935"/>
      <c r="K2360" s="935"/>
      <c r="L2360" s="935"/>
      <c r="M2360" s="935"/>
      <c r="N2360" s="935"/>
      <c r="O2360" s="867"/>
      <c r="P2360" s="754"/>
    </row>
    <row r="2361" spans="1:16" ht="17.25" customHeight="1" x14ac:dyDescent="0.25">
      <c r="A2361" s="849"/>
      <c r="B2361" s="824" t="s">
        <v>1663</v>
      </c>
      <c r="C2361" s="872">
        <v>420</v>
      </c>
      <c r="D2361" s="934" t="s">
        <v>55</v>
      </c>
      <c r="E2361" s="684">
        <v>300</v>
      </c>
      <c r="F2361" s="935"/>
      <c r="G2361" s="935"/>
      <c r="H2361" s="935"/>
      <c r="I2361" s="935"/>
      <c r="J2361" s="935">
        <f>C2361*E2361</f>
        <v>126000</v>
      </c>
      <c r="K2361" s="935">
        <f>I2361+J2361</f>
        <v>126000</v>
      </c>
      <c r="L2361" s="935"/>
      <c r="M2361" s="935"/>
      <c r="N2361" s="935"/>
      <c r="O2361" s="1649">
        <f>N2361+K2361+H2361</f>
        <v>126000</v>
      </c>
      <c r="P2361" s="1205"/>
    </row>
    <row r="2362" spans="1:16" ht="17.25" customHeight="1" x14ac:dyDescent="0.25">
      <c r="A2362" s="849"/>
      <c r="B2362" s="824" t="s">
        <v>1664</v>
      </c>
      <c r="C2362" s="872">
        <v>120</v>
      </c>
      <c r="D2362" s="934" t="s">
        <v>55</v>
      </c>
      <c r="E2362" s="684">
        <v>300</v>
      </c>
      <c r="F2362" s="935"/>
      <c r="G2362" s="935"/>
      <c r="H2362" s="935"/>
      <c r="I2362" s="935"/>
      <c r="J2362" s="935">
        <f>C2362*E2362</f>
        <v>36000</v>
      </c>
      <c r="K2362" s="935">
        <f>I2362+J2362</f>
        <v>36000</v>
      </c>
      <c r="L2362" s="935"/>
      <c r="M2362" s="935"/>
      <c r="N2362" s="935"/>
      <c r="O2362" s="867">
        <f>N2362+K2362+H2362</f>
        <v>36000</v>
      </c>
      <c r="P2362" s="754"/>
    </row>
    <row r="2363" spans="1:16" ht="17.25" customHeight="1" x14ac:dyDescent="0.25">
      <c r="A2363" s="849"/>
      <c r="B2363" s="824" t="s">
        <v>1665</v>
      </c>
      <c r="C2363" s="872">
        <v>240</v>
      </c>
      <c r="D2363" s="934" t="s">
        <v>55</v>
      </c>
      <c r="E2363" s="684">
        <v>300</v>
      </c>
      <c r="F2363" s="935"/>
      <c r="G2363" s="935"/>
      <c r="H2363" s="935"/>
      <c r="I2363" s="935"/>
      <c r="J2363" s="935">
        <f>C2363*E2363</f>
        <v>72000</v>
      </c>
      <c r="K2363" s="935">
        <f>I2363+J2363</f>
        <v>72000</v>
      </c>
      <c r="L2363" s="935"/>
      <c r="M2363" s="935"/>
      <c r="N2363" s="935"/>
      <c r="O2363" s="867">
        <f>N2363+K2363+H2363</f>
        <v>72000</v>
      </c>
      <c r="P2363" s="754"/>
    </row>
    <row r="2364" spans="1:16" ht="17.25" customHeight="1" x14ac:dyDescent="0.25">
      <c r="A2364" s="849"/>
      <c r="B2364" s="824" t="s">
        <v>1666</v>
      </c>
      <c r="C2364" s="872">
        <v>120</v>
      </c>
      <c r="D2364" s="934" t="s">
        <v>55</v>
      </c>
      <c r="E2364" s="684">
        <v>300</v>
      </c>
      <c r="F2364" s="935"/>
      <c r="G2364" s="935"/>
      <c r="H2364" s="935"/>
      <c r="I2364" s="935"/>
      <c r="J2364" s="935">
        <f>C2364*E2364</f>
        <v>36000</v>
      </c>
      <c r="K2364" s="935">
        <f>I2364+J2364</f>
        <v>36000</v>
      </c>
      <c r="L2364" s="935"/>
      <c r="M2364" s="935"/>
      <c r="N2364" s="935"/>
      <c r="O2364" s="867">
        <f>N2364+K2364+H2364</f>
        <v>36000</v>
      </c>
      <c r="P2364" s="754"/>
    </row>
    <row r="2365" spans="1:16" ht="17.25" customHeight="1" x14ac:dyDescent="0.25">
      <c r="A2365" s="849"/>
      <c r="B2365" s="933"/>
      <c r="C2365" s="872"/>
      <c r="D2365" s="934"/>
      <c r="E2365" s="684"/>
      <c r="F2365" s="935"/>
      <c r="G2365" s="935"/>
      <c r="H2365" s="935"/>
      <c r="I2365" s="935"/>
      <c r="J2365" s="935"/>
      <c r="K2365" s="935"/>
      <c r="L2365" s="935"/>
      <c r="M2365" s="935"/>
      <c r="N2365" s="935"/>
      <c r="O2365" s="867"/>
      <c r="P2365" s="754"/>
    </row>
    <row r="2366" spans="1:16" ht="17.25" customHeight="1" x14ac:dyDescent="0.25">
      <c r="A2366" s="849"/>
      <c r="B2366" s="824" t="s">
        <v>27</v>
      </c>
      <c r="C2366" s="872"/>
      <c r="D2366" s="934"/>
      <c r="E2366" s="684"/>
      <c r="F2366" s="935"/>
      <c r="G2366" s="935"/>
      <c r="H2366" s="935"/>
      <c r="I2366" s="935"/>
      <c r="J2366" s="935"/>
      <c r="K2366" s="935"/>
      <c r="L2366" s="935"/>
      <c r="M2366" s="935"/>
      <c r="N2366" s="935"/>
      <c r="O2366" s="867"/>
      <c r="P2366" s="754"/>
    </row>
    <row r="2367" spans="1:16" ht="17.25" customHeight="1" x14ac:dyDescent="0.25">
      <c r="A2367" s="849"/>
      <c r="B2367" s="824" t="s">
        <v>872</v>
      </c>
      <c r="C2367" s="872">
        <v>1</v>
      </c>
      <c r="D2367" s="934"/>
      <c r="E2367" s="684">
        <v>50000</v>
      </c>
      <c r="F2367" s="935"/>
      <c r="G2367" s="935"/>
      <c r="H2367" s="935"/>
      <c r="I2367" s="935"/>
      <c r="J2367" s="935">
        <f>C2367*E2367</f>
        <v>50000</v>
      </c>
      <c r="K2367" s="935">
        <f>I2367+J2367</f>
        <v>50000</v>
      </c>
      <c r="L2367" s="935"/>
      <c r="M2367" s="935"/>
      <c r="N2367" s="935"/>
      <c r="O2367" s="1649">
        <f>N2367+K2367+H2367</f>
        <v>50000</v>
      </c>
      <c r="P2367" s="1205"/>
    </row>
    <row r="2368" spans="1:16" ht="17.25" customHeight="1" x14ac:dyDescent="0.25">
      <c r="A2368" s="849"/>
      <c r="B2368" s="824" t="s">
        <v>223</v>
      </c>
      <c r="C2368" s="872"/>
      <c r="D2368" s="934"/>
      <c r="E2368" s="684"/>
      <c r="F2368" s="935"/>
      <c r="G2368" s="935"/>
      <c r="H2368" s="935"/>
      <c r="I2368" s="935"/>
      <c r="J2368" s="935"/>
      <c r="K2368" s="935"/>
      <c r="L2368" s="935"/>
      <c r="M2368" s="935"/>
      <c r="N2368" s="935"/>
      <c r="O2368" s="867"/>
      <c r="P2368" s="754"/>
    </row>
    <row r="2369" spans="1:16" ht="17.25" customHeight="1" x14ac:dyDescent="0.25">
      <c r="A2369" s="849"/>
      <c r="B2369" s="824" t="s">
        <v>873</v>
      </c>
      <c r="C2369" s="872">
        <v>1</v>
      </c>
      <c r="D2369" s="934"/>
      <c r="E2369" s="684">
        <v>50000</v>
      </c>
      <c r="F2369" s="935"/>
      <c r="G2369" s="935"/>
      <c r="H2369" s="935"/>
      <c r="I2369" s="935"/>
      <c r="J2369" s="935">
        <f>C2369*E2369</f>
        <v>50000</v>
      </c>
      <c r="K2369" s="935">
        <f>I2369+J2369</f>
        <v>50000</v>
      </c>
      <c r="L2369" s="935"/>
      <c r="M2369" s="935"/>
      <c r="N2369" s="935"/>
      <c r="O2369" s="867">
        <f>N2369+K2369+H2369</f>
        <v>50000</v>
      </c>
      <c r="P2369" s="754"/>
    </row>
    <row r="2370" spans="1:16" ht="17.25" customHeight="1" x14ac:dyDescent="0.25">
      <c r="A2370" s="849"/>
      <c r="B2370" s="824" t="s">
        <v>875</v>
      </c>
      <c r="C2370" s="872"/>
      <c r="D2370" s="934"/>
      <c r="E2370" s="684"/>
      <c r="F2370" s="935"/>
      <c r="G2370" s="935"/>
      <c r="H2370" s="935"/>
      <c r="I2370" s="935"/>
      <c r="J2370" s="935"/>
      <c r="K2370" s="935"/>
      <c r="L2370" s="935"/>
      <c r="M2370" s="935"/>
      <c r="N2370" s="935"/>
      <c r="O2370" s="867"/>
      <c r="P2370" s="754"/>
    </row>
    <row r="2371" spans="1:16" ht="17.25" customHeight="1" x14ac:dyDescent="0.25">
      <c r="A2371" s="849"/>
      <c r="B2371" s="824" t="s">
        <v>191</v>
      </c>
      <c r="C2371" s="872">
        <v>1</v>
      </c>
      <c r="D2371" s="934"/>
      <c r="E2371" s="684">
        <v>200000</v>
      </c>
      <c r="F2371" s="935"/>
      <c r="G2371" s="935"/>
      <c r="H2371" s="935"/>
      <c r="I2371" s="935"/>
      <c r="J2371" s="935">
        <f t="shared" ref="J2371:J2381" si="192">C2371*E2371</f>
        <v>200000</v>
      </c>
      <c r="K2371" s="935">
        <f t="shared" ref="K2371:K2381" si="193">I2371+J2371</f>
        <v>200000</v>
      </c>
      <c r="L2371" s="935"/>
      <c r="M2371" s="935"/>
      <c r="N2371" s="935"/>
      <c r="O2371" s="867">
        <f t="shared" ref="O2371:O2381" si="194">N2371+K2371+H2371</f>
        <v>200000</v>
      </c>
      <c r="P2371" s="754"/>
    </row>
    <row r="2372" spans="1:16" ht="17.25" customHeight="1" x14ac:dyDescent="0.25">
      <c r="A2372" s="849"/>
      <c r="B2372" s="824" t="s">
        <v>1716</v>
      </c>
      <c r="C2372" s="872"/>
      <c r="D2372" s="934"/>
      <c r="E2372" s="684"/>
      <c r="F2372" s="935"/>
      <c r="G2372" s="935"/>
      <c r="H2372" s="935"/>
      <c r="I2372" s="935"/>
      <c r="J2372" s="935">
        <f t="shared" si="192"/>
        <v>0</v>
      </c>
      <c r="K2372" s="935">
        <f t="shared" si="193"/>
        <v>0</v>
      </c>
      <c r="L2372" s="935"/>
      <c r="M2372" s="935"/>
      <c r="N2372" s="935"/>
      <c r="O2372" s="867">
        <f t="shared" si="194"/>
        <v>0</v>
      </c>
      <c r="P2372" s="754"/>
    </row>
    <row r="2373" spans="1:16" ht="17.25" customHeight="1" x14ac:dyDescent="0.25">
      <c r="A2373" s="849"/>
      <c r="B2373" s="824" t="s">
        <v>1717</v>
      </c>
      <c r="C2373" s="872">
        <v>1</v>
      </c>
      <c r="D2373" s="934"/>
      <c r="E2373" s="684">
        <v>25000</v>
      </c>
      <c r="F2373" s="935"/>
      <c r="G2373" s="935"/>
      <c r="H2373" s="935"/>
      <c r="I2373" s="935"/>
      <c r="J2373" s="935">
        <f t="shared" si="192"/>
        <v>25000</v>
      </c>
      <c r="K2373" s="935">
        <f t="shared" si="193"/>
        <v>25000</v>
      </c>
      <c r="L2373" s="935"/>
      <c r="M2373" s="935"/>
      <c r="N2373" s="935"/>
      <c r="O2373" s="867">
        <f t="shared" si="194"/>
        <v>25000</v>
      </c>
      <c r="P2373" s="754"/>
    </row>
    <row r="2374" spans="1:16" ht="17.25" customHeight="1" x14ac:dyDescent="0.25">
      <c r="A2374" s="849"/>
      <c r="B2374" s="933"/>
      <c r="C2374" s="872"/>
      <c r="D2374" s="934"/>
      <c r="E2374" s="684"/>
      <c r="F2374" s="935"/>
      <c r="G2374" s="935"/>
      <c r="H2374" s="935"/>
      <c r="I2374" s="935"/>
      <c r="J2374" s="935">
        <f t="shared" si="192"/>
        <v>0</v>
      </c>
      <c r="K2374" s="935">
        <f t="shared" si="193"/>
        <v>0</v>
      </c>
      <c r="L2374" s="935"/>
      <c r="M2374" s="935"/>
      <c r="N2374" s="935"/>
      <c r="O2374" s="867">
        <f t="shared" si="194"/>
        <v>0</v>
      </c>
      <c r="P2374" s="754"/>
    </row>
    <row r="2375" spans="1:16" ht="17.25" customHeight="1" x14ac:dyDescent="0.25">
      <c r="A2375" s="849"/>
      <c r="B2375" s="1122" t="s">
        <v>882</v>
      </c>
      <c r="C2375" s="872">
        <v>1</v>
      </c>
      <c r="D2375" s="934" t="s">
        <v>188</v>
      </c>
      <c r="E2375" s="684"/>
      <c r="F2375" s="935"/>
      <c r="G2375" s="935"/>
      <c r="H2375" s="935"/>
      <c r="I2375" s="935"/>
      <c r="J2375" s="935">
        <f t="shared" si="192"/>
        <v>0</v>
      </c>
      <c r="K2375" s="935">
        <f t="shared" si="193"/>
        <v>0</v>
      </c>
      <c r="L2375" s="935"/>
      <c r="M2375" s="935"/>
      <c r="N2375" s="935"/>
      <c r="O2375" s="867">
        <f t="shared" si="194"/>
        <v>0</v>
      </c>
      <c r="P2375" s="754"/>
    </row>
    <row r="2376" spans="1:16" ht="17.25" customHeight="1" x14ac:dyDescent="0.25">
      <c r="A2376" s="849"/>
      <c r="B2376" s="933" t="s">
        <v>1709</v>
      </c>
      <c r="C2376" s="872"/>
      <c r="D2376" s="934"/>
      <c r="E2376" s="684"/>
      <c r="F2376" s="935"/>
      <c r="G2376" s="935"/>
      <c r="H2376" s="935"/>
      <c r="I2376" s="935"/>
      <c r="J2376" s="935">
        <f t="shared" si="192"/>
        <v>0</v>
      </c>
      <c r="K2376" s="935">
        <f t="shared" si="193"/>
        <v>0</v>
      </c>
      <c r="L2376" s="935"/>
      <c r="M2376" s="935"/>
      <c r="N2376" s="935"/>
      <c r="O2376" s="867">
        <f t="shared" si="194"/>
        <v>0</v>
      </c>
      <c r="P2376" s="754"/>
    </row>
    <row r="2377" spans="1:16" ht="17.25" customHeight="1" x14ac:dyDescent="0.25">
      <c r="A2377" s="849"/>
      <c r="B2377" s="933" t="s">
        <v>1710</v>
      </c>
      <c r="C2377" s="872">
        <v>12</v>
      </c>
      <c r="D2377" s="934" t="s">
        <v>20</v>
      </c>
      <c r="E2377" s="684">
        <v>300</v>
      </c>
      <c r="F2377" s="935"/>
      <c r="G2377" s="935"/>
      <c r="H2377" s="935"/>
      <c r="I2377" s="935"/>
      <c r="J2377" s="935">
        <f t="shared" si="192"/>
        <v>3600</v>
      </c>
      <c r="K2377" s="935">
        <f t="shared" si="193"/>
        <v>3600</v>
      </c>
      <c r="L2377" s="935"/>
      <c r="M2377" s="935"/>
      <c r="N2377" s="935"/>
      <c r="O2377" s="1649">
        <f t="shared" si="194"/>
        <v>3600</v>
      </c>
      <c r="P2377" s="1205"/>
    </row>
    <row r="2378" spans="1:16" ht="17.25" customHeight="1" x14ac:dyDescent="0.25">
      <c r="A2378" s="849"/>
      <c r="B2378" s="933" t="s">
        <v>1711</v>
      </c>
      <c r="C2378" s="872">
        <v>12</v>
      </c>
      <c r="D2378" s="934" t="s">
        <v>20</v>
      </c>
      <c r="E2378" s="684">
        <v>250</v>
      </c>
      <c r="F2378" s="935"/>
      <c r="G2378" s="935"/>
      <c r="H2378" s="935"/>
      <c r="I2378" s="935"/>
      <c r="J2378" s="935">
        <f t="shared" si="192"/>
        <v>3000</v>
      </c>
      <c r="K2378" s="935">
        <f t="shared" si="193"/>
        <v>3000</v>
      </c>
      <c r="L2378" s="935"/>
      <c r="M2378" s="935"/>
      <c r="N2378" s="935"/>
      <c r="O2378" s="1649">
        <f t="shared" si="194"/>
        <v>3000</v>
      </c>
      <c r="P2378" s="1205"/>
    </row>
    <row r="2379" spans="1:16" ht="17.25" customHeight="1" x14ac:dyDescent="0.25">
      <c r="A2379" s="849"/>
      <c r="B2379" s="933" t="s">
        <v>1660</v>
      </c>
      <c r="C2379" s="872">
        <v>12</v>
      </c>
      <c r="D2379" s="934" t="s">
        <v>20</v>
      </c>
      <c r="E2379" s="684">
        <v>200</v>
      </c>
      <c r="F2379" s="935"/>
      <c r="G2379" s="935"/>
      <c r="H2379" s="935"/>
      <c r="I2379" s="935"/>
      <c r="J2379" s="935">
        <f t="shared" si="192"/>
        <v>2400</v>
      </c>
      <c r="K2379" s="935">
        <f t="shared" si="193"/>
        <v>2400</v>
      </c>
      <c r="L2379" s="935"/>
      <c r="M2379" s="935"/>
      <c r="N2379" s="935"/>
      <c r="O2379" s="1649">
        <f t="shared" si="194"/>
        <v>2400</v>
      </c>
      <c r="P2379" s="1205"/>
    </row>
    <row r="2380" spans="1:16" ht="17.25" customHeight="1" x14ac:dyDescent="0.25">
      <c r="A2380" s="742"/>
      <c r="B2380" s="920" t="s">
        <v>1661</v>
      </c>
      <c r="C2380" s="713">
        <v>12</v>
      </c>
      <c r="D2380" s="727" t="s">
        <v>20</v>
      </c>
      <c r="E2380" s="695">
        <v>200</v>
      </c>
      <c r="F2380" s="714"/>
      <c r="G2380" s="714"/>
      <c r="H2380" s="714"/>
      <c r="I2380" s="714"/>
      <c r="J2380" s="714">
        <f t="shared" si="192"/>
        <v>2400</v>
      </c>
      <c r="K2380" s="714">
        <f t="shared" si="193"/>
        <v>2400</v>
      </c>
      <c r="L2380" s="714"/>
      <c r="M2380" s="714"/>
      <c r="N2380" s="695"/>
      <c r="O2380" s="1546">
        <f t="shared" si="194"/>
        <v>2400</v>
      </c>
      <c r="P2380" s="1547"/>
    </row>
    <row r="2381" spans="1:16" ht="17.25" customHeight="1" x14ac:dyDescent="0.25">
      <c r="A2381" s="742"/>
      <c r="B2381" s="921" t="s">
        <v>2260</v>
      </c>
      <c r="C2381" s="713">
        <v>72</v>
      </c>
      <c r="D2381" s="727" t="s">
        <v>20</v>
      </c>
      <c r="E2381" s="695">
        <v>150</v>
      </c>
      <c r="F2381" s="714"/>
      <c r="G2381" s="714"/>
      <c r="H2381" s="714"/>
      <c r="I2381" s="714"/>
      <c r="J2381" s="714">
        <f t="shared" si="192"/>
        <v>10800</v>
      </c>
      <c r="K2381" s="714">
        <f t="shared" si="193"/>
        <v>10800</v>
      </c>
      <c r="L2381" s="714"/>
      <c r="M2381" s="714"/>
      <c r="N2381" s="714"/>
      <c r="O2381" s="1656">
        <f t="shared" si="194"/>
        <v>10800</v>
      </c>
      <c r="P2381" s="1205"/>
    </row>
    <row r="2382" spans="1:16" ht="17.25" customHeight="1" x14ac:dyDescent="0.25">
      <c r="A2382" s="742"/>
      <c r="B2382" s="921" t="s">
        <v>870</v>
      </c>
      <c r="C2382" s="713">
        <f>SUM(O2383:O2384)</f>
        <v>315000</v>
      </c>
      <c r="D2382" s="727"/>
      <c r="E2382" s="695"/>
      <c r="F2382" s="714"/>
      <c r="G2382" s="714"/>
      <c r="H2382" s="714"/>
      <c r="I2382" s="714"/>
      <c r="J2382" s="714"/>
      <c r="K2382" s="714"/>
      <c r="L2382" s="714"/>
      <c r="M2382" s="714"/>
      <c r="N2382" s="714"/>
      <c r="O2382" s="1656"/>
      <c r="P2382" s="1205"/>
    </row>
    <row r="2383" spans="1:16" ht="17.25" customHeight="1" x14ac:dyDescent="0.25">
      <c r="A2383" s="742"/>
      <c r="B2383" s="921" t="s">
        <v>1718</v>
      </c>
      <c r="C2383" s="713">
        <v>1860</v>
      </c>
      <c r="D2383" s="727" t="s">
        <v>20</v>
      </c>
      <c r="E2383" s="695">
        <v>150</v>
      </c>
      <c r="F2383" s="714"/>
      <c r="G2383" s="714"/>
      <c r="H2383" s="714"/>
      <c r="I2383" s="714"/>
      <c r="J2383" s="714">
        <f>C2383*E2383</f>
        <v>279000</v>
      </c>
      <c r="K2383" s="714">
        <f>I2383+J2383</f>
        <v>279000</v>
      </c>
      <c r="L2383" s="714"/>
      <c r="M2383" s="714"/>
      <c r="N2383" s="714"/>
      <c r="O2383" s="1656">
        <f>N2383+K2383+H2383</f>
        <v>279000</v>
      </c>
      <c r="P2383" s="1205"/>
    </row>
    <row r="2384" spans="1:16" ht="17.25" customHeight="1" x14ac:dyDescent="0.25">
      <c r="A2384" s="742"/>
      <c r="B2384" s="922" t="s">
        <v>1719</v>
      </c>
      <c r="C2384" s="713">
        <v>240</v>
      </c>
      <c r="D2384" s="727" t="s">
        <v>20</v>
      </c>
      <c r="E2384" s="695">
        <v>150</v>
      </c>
      <c r="F2384" s="714"/>
      <c r="G2384" s="714"/>
      <c r="H2384" s="714"/>
      <c r="I2384" s="714"/>
      <c r="J2384" s="714">
        <f>C2384*E2384</f>
        <v>36000</v>
      </c>
      <c r="K2384" s="714">
        <f>I2384+J2384</f>
        <v>36000</v>
      </c>
      <c r="L2384" s="714"/>
      <c r="M2384" s="714"/>
      <c r="N2384" s="714"/>
      <c r="O2384" s="1656">
        <f>N2384+K2384+H2384</f>
        <v>36000</v>
      </c>
      <c r="P2384" s="1205"/>
    </row>
    <row r="2385" spans="1:16" ht="17.25" customHeight="1" x14ac:dyDescent="0.25">
      <c r="A2385" s="742"/>
      <c r="B2385" s="922"/>
      <c r="C2385" s="713"/>
      <c r="D2385" s="727"/>
      <c r="E2385" s="695"/>
      <c r="F2385" s="714"/>
      <c r="G2385" s="714"/>
      <c r="H2385" s="714"/>
      <c r="I2385" s="714"/>
      <c r="J2385" s="714"/>
      <c r="K2385" s="714"/>
      <c r="L2385" s="714"/>
      <c r="M2385" s="714"/>
      <c r="N2385" s="714"/>
      <c r="O2385" s="1656"/>
      <c r="P2385" s="1205"/>
    </row>
    <row r="2386" spans="1:16" ht="17.25" customHeight="1" x14ac:dyDescent="0.25">
      <c r="A2386" s="742"/>
      <c r="B2386" s="922" t="s">
        <v>27</v>
      </c>
      <c r="C2386" s="713"/>
      <c r="D2386" s="727"/>
      <c r="E2386" s="695"/>
      <c r="F2386" s="714"/>
      <c r="G2386" s="714"/>
      <c r="H2386" s="714"/>
      <c r="I2386" s="714"/>
      <c r="J2386" s="714"/>
      <c r="K2386" s="714"/>
      <c r="L2386" s="714"/>
      <c r="M2386" s="714"/>
      <c r="N2386" s="714"/>
      <c r="O2386" s="1656"/>
      <c r="P2386" s="1205"/>
    </row>
    <row r="2387" spans="1:16" ht="17.25" customHeight="1" x14ac:dyDescent="0.25">
      <c r="A2387" s="742"/>
      <c r="B2387" s="1584" t="s">
        <v>872</v>
      </c>
      <c r="C2387" s="713">
        <v>1</v>
      </c>
      <c r="D2387" s="727"/>
      <c r="E2387" s="695">
        <v>50000</v>
      </c>
      <c r="F2387" s="714"/>
      <c r="G2387" s="714"/>
      <c r="H2387" s="714"/>
      <c r="I2387" s="714"/>
      <c r="J2387" s="714">
        <f>C2387*E2387</f>
        <v>50000</v>
      </c>
      <c r="K2387" s="714">
        <f>I2387+J2387</f>
        <v>50000</v>
      </c>
      <c r="L2387" s="714"/>
      <c r="M2387" s="714"/>
      <c r="N2387" s="714"/>
      <c r="O2387" s="1656">
        <f>N2387+K2387+H2387</f>
        <v>50000</v>
      </c>
      <c r="P2387" s="1205"/>
    </row>
    <row r="2388" spans="1:16" ht="33.75" customHeight="1" x14ac:dyDescent="0.25">
      <c r="A2388" s="1657"/>
      <c r="B2388" s="1658" t="s">
        <v>223</v>
      </c>
      <c r="C2388" s="713"/>
      <c r="D2388" s="727"/>
      <c r="E2388" s="695"/>
      <c r="F2388" s="714"/>
      <c r="G2388" s="714"/>
      <c r="H2388" s="714"/>
      <c r="I2388" s="714"/>
      <c r="J2388" s="714"/>
      <c r="K2388" s="714"/>
      <c r="L2388" s="714"/>
      <c r="M2388" s="714"/>
      <c r="N2388" s="714"/>
      <c r="O2388" s="1656"/>
      <c r="P2388" s="1205"/>
    </row>
    <row r="2389" spans="1:16" ht="33.75" customHeight="1" x14ac:dyDescent="0.25">
      <c r="A2389" s="1657"/>
      <c r="B2389" s="1658" t="s">
        <v>873</v>
      </c>
      <c r="C2389" s="713">
        <v>1</v>
      </c>
      <c r="D2389" s="727"/>
      <c r="E2389" s="695">
        <v>50000</v>
      </c>
      <c r="F2389" s="714"/>
      <c r="G2389" s="714"/>
      <c r="H2389" s="714"/>
      <c r="I2389" s="714"/>
      <c r="J2389" s="714">
        <f t="shared" ref="J2389:J2394" si="195">C2389*E2389</f>
        <v>50000</v>
      </c>
      <c r="K2389" s="714">
        <f t="shared" ref="K2389:K2394" si="196">I2389+J2389</f>
        <v>50000</v>
      </c>
      <c r="L2389" s="714"/>
      <c r="M2389" s="714"/>
      <c r="N2389" s="714"/>
      <c r="O2389" s="1656">
        <f t="shared" ref="O2389:O2394" si="197">N2389+K2389+H2389</f>
        <v>50000</v>
      </c>
      <c r="P2389" s="1205"/>
    </row>
    <row r="2390" spans="1:16" ht="43.5" customHeight="1" x14ac:dyDescent="0.25">
      <c r="A2390" s="742"/>
      <c r="B2390" s="771" t="s">
        <v>883</v>
      </c>
      <c r="C2390" s="713">
        <v>1</v>
      </c>
      <c r="D2390" s="727"/>
      <c r="E2390" s="695">
        <v>50000</v>
      </c>
      <c r="F2390" s="714"/>
      <c r="G2390" s="714"/>
      <c r="H2390" s="714"/>
      <c r="I2390" s="714"/>
      <c r="J2390" s="714">
        <f t="shared" si="195"/>
        <v>50000</v>
      </c>
      <c r="K2390" s="714">
        <f t="shared" si="196"/>
        <v>50000</v>
      </c>
      <c r="L2390" s="714"/>
      <c r="M2390" s="714"/>
      <c r="N2390" s="714"/>
      <c r="O2390" s="1656">
        <f t="shared" si="197"/>
        <v>50000</v>
      </c>
      <c r="P2390" s="1205"/>
    </row>
    <row r="2391" spans="1:16" ht="17.25" customHeight="1" x14ac:dyDescent="0.25">
      <c r="A2391" s="742"/>
      <c r="B2391" s="756" t="s">
        <v>875</v>
      </c>
      <c r="C2391" s="713"/>
      <c r="D2391" s="727"/>
      <c r="E2391" s="695"/>
      <c r="F2391" s="714"/>
      <c r="G2391" s="714"/>
      <c r="H2391" s="714"/>
      <c r="I2391" s="714"/>
      <c r="J2391" s="714">
        <f t="shared" si="195"/>
        <v>0</v>
      </c>
      <c r="K2391" s="714">
        <f t="shared" si="196"/>
        <v>0</v>
      </c>
      <c r="L2391" s="714"/>
      <c r="M2391" s="714"/>
      <c r="N2391" s="714"/>
      <c r="O2391" s="1656">
        <f t="shared" si="197"/>
        <v>0</v>
      </c>
      <c r="P2391" s="1205"/>
    </row>
    <row r="2392" spans="1:16" ht="17.25" customHeight="1" x14ac:dyDescent="0.25">
      <c r="A2392" s="742"/>
      <c r="B2392" s="756" t="s">
        <v>191</v>
      </c>
      <c r="C2392" s="713">
        <v>1</v>
      </c>
      <c r="D2392" s="727"/>
      <c r="E2392" s="695">
        <v>150000</v>
      </c>
      <c r="F2392" s="714"/>
      <c r="G2392" s="714"/>
      <c r="H2392" s="714"/>
      <c r="I2392" s="714"/>
      <c r="J2392" s="714">
        <f t="shared" si="195"/>
        <v>150000</v>
      </c>
      <c r="K2392" s="714">
        <f t="shared" si="196"/>
        <v>150000</v>
      </c>
      <c r="L2392" s="714"/>
      <c r="M2392" s="714"/>
      <c r="N2392" s="714"/>
      <c r="O2392" s="1656">
        <f t="shared" si="197"/>
        <v>150000</v>
      </c>
      <c r="P2392" s="1205"/>
    </row>
    <row r="2393" spans="1:16" ht="17.25" customHeight="1" x14ac:dyDescent="0.25">
      <c r="A2393" s="742"/>
      <c r="B2393" s="756" t="s">
        <v>1716</v>
      </c>
      <c r="C2393" s="713"/>
      <c r="D2393" s="727"/>
      <c r="E2393" s="695"/>
      <c r="F2393" s="714"/>
      <c r="G2393" s="714"/>
      <c r="H2393" s="714"/>
      <c r="I2393" s="714"/>
      <c r="J2393" s="714">
        <f t="shared" si="195"/>
        <v>0</v>
      </c>
      <c r="K2393" s="714">
        <f t="shared" si="196"/>
        <v>0</v>
      </c>
      <c r="L2393" s="714"/>
      <c r="M2393" s="714"/>
      <c r="N2393" s="714"/>
      <c r="O2393" s="1656">
        <f t="shared" si="197"/>
        <v>0</v>
      </c>
      <c r="P2393" s="1205"/>
    </row>
    <row r="2394" spans="1:16" ht="17.25" customHeight="1" x14ac:dyDescent="0.25">
      <c r="A2394" s="742"/>
      <c r="B2394" s="756" t="s">
        <v>1717</v>
      </c>
      <c r="C2394" s="713">
        <v>1</v>
      </c>
      <c r="D2394" s="727"/>
      <c r="E2394" s="695">
        <v>20000</v>
      </c>
      <c r="F2394" s="714"/>
      <c r="G2394" s="714"/>
      <c r="H2394" s="714"/>
      <c r="I2394" s="714"/>
      <c r="J2394" s="714">
        <f t="shared" si="195"/>
        <v>20000</v>
      </c>
      <c r="K2394" s="714">
        <f t="shared" si="196"/>
        <v>20000</v>
      </c>
      <c r="L2394" s="714"/>
      <c r="M2394" s="714"/>
      <c r="N2394" s="714"/>
      <c r="O2394" s="1656">
        <f t="shared" si="197"/>
        <v>20000</v>
      </c>
      <c r="P2394" s="1205"/>
    </row>
    <row r="2395" spans="1:16" ht="17.25" customHeight="1" x14ac:dyDescent="0.25">
      <c r="A2395" s="742"/>
      <c r="B2395" s="756"/>
      <c r="C2395" s="713"/>
      <c r="D2395" s="739"/>
      <c r="E2395" s="695"/>
      <c r="F2395" s="714"/>
      <c r="G2395" s="714"/>
      <c r="H2395" s="714"/>
      <c r="I2395" s="714"/>
      <c r="J2395" s="714"/>
      <c r="K2395" s="714"/>
      <c r="L2395" s="714"/>
      <c r="M2395" s="714"/>
      <c r="N2395" s="714"/>
      <c r="O2395" s="1656"/>
      <c r="P2395" s="1205"/>
    </row>
    <row r="2396" spans="1:16" ht="17.25" customHeight="1" x14ac:dyDescent="0.25">
      <c r="A2396" s="742"/>
      <c r="B2396" s="752" t="s">
        <v>1691</v>
      </c>
      <c r="C2396" s="713"/>
      <c r="D2396" s="739"/>
      <c r="E2396" s="695"/>
      <c r="F2396" s="714"/>
      <c r="G2396" s="714"/>
      <c r="H2396" s="714"/>
      <c r="I2396" s="714"/>
      <c r="J2396" s="714">
        <f t="shared" ref="J2396:J2415" si="198">C2396*E2396</f>
        <v>0</v>
      </c>
      <c r="K2396" s="714">
        <f t="shared" ref="K2396:K2415" si="199">I2396+J2396</f>
        <v>0</v>
      </c>
      <c r="L2396" s="714"/>
      <c r="M2396" s="714"/>
      <c r="N2396" s="714"/>
      <c r="O2396" s="1656">
        <f t="shared" ref="O2396:O2416" si="200">N2396+K2396+H2396</f>
        <v>0</v>
      </c>
      <c r="P2396" s="1205"/>
    </row>
    <row r="2397" spans="1:16" ht="17.25" customHeight="1" x14ac:dyDescent="0.25">
      <c r="A2397" s="742"/>
      <c r="B2397" s="922" t="s">
        <v>27</v>
      </c>
      <c r="C2397" s="713"/>
      <c r="D2397" s="727"/>
      <c r="E2397" s="695"/>
      <c r="F2397" s="714"/>
      <c r="G2397" s="714"/>
      <c r="H2397" s="714"/>
      <c r="I2397" s="714"/>
      <c r="J2397" s="714"/>
      <c r="K2397" s="714"/>
      <c r="L2397" s="714"/>
      <c r="M2397" s="714"/>
      <c r="N2397" s="714"/>
      <c r="O2397" s="1656"/>
      <c r="P2397" s="1205"/>
    </row>
    <row r="2398" spans="1:16" ht="17.25" customHeight="1" x14ac:dyDescent="0.25">
      <c r="A2398" s="742"/>
      <c r="B2398" s="1584" t="s">
        <v>872</v>
      </c>
      <c r="C2398" s="713">
        <v>1</v>
      </c>
      <c r="D2398" s="727" t="s">
        <v>188</v>
      </c>
      <c r="E2398" s="695">
        <v>20000</v>
      </c>
      <c r="F2398" s="714"/>
      <c r="G2398" s="714"/>
      <c r="H2398" s="714"/>
      <c r="I2398" s="714"/>
      <c r="J2398" s="714">
        <f>C2398*E2398</f>
        <v>20000</v>
      </c>
      <c r="K2398" s="714">
        <f>I2398+J2398</f>
        <v>20000</v>
      </c>
      <c r="L2398" s="714"/>
      <c r="M2398" s="714"/>
      <c r="N2398" s="714"/>
      <c r="O2398" s="1656">
        <f>N2398+K2398+H2398</f>
        <v>20000</v>
      </c>
      <c r="P2398" s="1205"/>
    </row>
    <row r="2399" spans="1:16" ht="21.75" customHeight="1" x14ac:dyDescent="0.25">
      <c r="A2399" s="1657"/>
      <c r="B2399" s="1658" t="s">
        <v>873</v>
      </c>
      <c r="C2399" s="713">
        <v>1</v>
      </c>
      <c r="D2399" s="727" t="s">
        <v>188</v>
      </c>
      <c r="E2399" s="695">
        <v>17800</v>
      </c>
      <c r="F2399" s="714"/>
      <c r="G2399" s="714"/>
      <c r="H2399" s="714"/>
      <c r="I2399" s="714"/>
      <c r="J2399" s="714">
        <f>C2399*E2399</f>
        <v>17800</v>
      </c>
      <c r="K2399" s="714">
        <f>I2399+J2399</f>
        <v>17800</v>
      </c>
      <c r="L2399" s="714"/>
      <c r="M2399" s="714"/>
      <c r="N2399" s="714"/>
      <c r="O2399" s="1656">
        <f>N2399+K2399+H2399</f>
        <v>17800</v>
      </c>
      <c r="P2399" s="1205"/>
    </row>
    <row r="2400" spans="1:16" ht="17.25" customHeight="1" x14ac:dyDescent="0.25">
      <c r="A2400" s="742"/>
      <c r="B2400" s="756" t="s">
        <v>191</v>
      </c>
      <c r="C2400" s="713">
        <v>1</v>
      </c>
      <c r="D2400" s="727" t="s">
        <v>188</v>
      </c>
      <c r="E2400" s="695">
        <v>165000</v>
      </c>
      <c r="F2400" s="714"/>
      <c r="G2400" s="714"/>
      <c r="H2400" s="714"/>
      <c r="I2400" s="714"/>
      <c r="J2400" s="714">
        <f>C2400*E2400</f>
        <v>165000</v>
      </c>
      <c r="K2400" s="714">
        <f>I2400+J2400</f>
        <v>165000</v>
      </c>
      <c r="L2400" s="714"/>
      <c r="M2400" s="714"/>
      <c r="N2400" s="714"/>
      <c r="O2400" s="1656">
        <f>N2400+K2400+H2400</f>
        <v>165000</v>
      </c>
      <c r="P2400" s="1205"/>
    </row>
    <row r="2401" spans="1:16" ht="17.25" customHeight="1" x14ac:dyDescent="0.25">
      <c r="A2401" s="742"/>
      <c r="B2401" s="756" t="s">
        <v>2261</v>
      </c>
      <c r="C2401" s="713">
        <v>1</v>
      </c>
      <c r="D2401" s="727" t="s">
        <v>188</v>
      </c>
      <c r="E2401" s="695">
        <v>25000</v>
      </c>
      <c r="F2401" s="714"/>
      <c r="G2401" s="714"/>
      <c r="H2401" s="714"/>
      <c r="I2401" s="714"/>
      <c r="J2401" s="714">
        <f>C2401*E2401</f>
        <v>25000</v>
      </c>
      <c r="K2401" s="714">
        <f>I2401+J2401</f>
        <v>25000</v>
      </c>
      <c r="L2401" s="714"/>
      <c r="M2401" s="714"/>
      <c r="N2401" s="714"/>
      <c r="O2401" s="1656">
        <f>N2401+K2401+H2401</f>
        <v>25000</v>
      </c>
      <c r="P2401" s="1205"/>
    </row>
    <row r="2402" spans="1:16" ht="17.25" customHeight="1" x14ac:dyDescent="0.25">
      <c r="A2402" s="742"/>
      <c r="B2402" s="752"/>
      <c r="C2402" s="713"/>
      <c r="D2402" s="739"/>
      <c r="E2402" s="695"/>
      <c r="F2402" s="714"/>
      <c r="G2402" s="714"/>
      <c r="H2402" s="714"/>
      <c r="I2402" s="714"/>
      <c r="J2402" s="714"/>
      <c r="K2402" s="714"/>
      <c r="L2402" s="714"/>
      <c r="M2402" s="714"/>
      <c r="N2402" s="714"/>
      <c r="O2402" s="1656"/>
      <c r="P2402" s="1205"/>
    </row>
    <row r="2403" spans="1:16" ht="17.25" customHeight="1" x14ac:dyDescent="0.25">
      <c r="A2403" s="742"/>
      <c r="B2403" s="752"/>
      <c r="C2403" s="713"/>
      <c r="D2403" s="739"/>
      <c r="E2403" s="695"/>
      <c r="F2403" s="714"/>
      <c r="G2403" s="714"/>
      <c r="H2403" s="714"/>
      <c r="I2403" s="714"/>
      <c r="J2403" s="714"/>
      <c r="K2403" s="714"/>
      <c r="L2403" s="714"/>
      <c r="M2403" s="714"/>
      <c r="N2403" s="714"/>
      <c r="O2403" s="1656"/>
      <c r="P2403" s="1205"/>
    </row>
    <row r="2404" spans="1:16" ht="17.25" customHeight="1" x14ac:dyDescent="0.25">
      <c r="A2404" s="742"/>
      <c r="B2404" s="752" t="s">
        <v>1692</v>
      </c>
      <c r="C2404" s="713">
        <v>0</v>
      </c>
      <c r="D2404" s="739" t="s">
        <v>188</v>
      </c>
      <c r="E2404" s="695">
        <v>200000</v>
      </c>
      <c r="F2404" s="714"/>
      <c r="G2404" s="714"/>
      <c r="H2404" s="714"/>
      <c r="I2404" s="714"/>
      <c r="J2404" s="714">
        <f t="shared" si="198"/>
        <v>0</v>
      </c>
      <c r="K2404" s="714">
        <f t="shared" si="199"/>
        <v>0</v>
      </c>
      <c r="L2404" s="714"/>
      <c r="M2404" s="714"/>
      <c r="N2404" s="714"/>
      <c r="O2404" s="1656">
        <f t="shared" si="200"/>
        <v>0</v>
      </c>
      <c r="P2404" s="1205"/>
    </row>
    <row r="2405" spans="1:16" ht="33.75" customHeight="1" x14ac:dyDescent="0.25">
      <c r="A2405" s="1657"/>
      <c r="B2405" s="1658" t="s">
        <v>873</v>
      </c>
      <c r="C2405" s="713">
        <v>1</v>
      </c>
      <c r="D2405" s="739" t="s">
        <v>188</v>
      </c>
      <c r="E2405" s="695">
        <v>150000</v>
      </c>
      <c r="F2405" s="714"/>
      <c r="G2405" s="714"/>
      <c r="H2405" s="714"/>
      <c r="I2405" s="714"/>
      <c r="J2405" s="714">
        <f t="shared" si="198"/>
        <v>150000</v>
      </c>
      <c r="K2405" s="714">
        <f t="shared" si="199"/>
        <v>150000</v>
      </c>
      <c r="L2405" s="714"/>
      <c r="M2405" s="714"/>
      <c r="N2405" s="714"/>
      <c r="O2405" s="1656">
        <f t="shared" si="200"/>
        <v>150000</v>
      </c>
      <c r="P2405" s="1205"/>
    </row>
    <row r="2406" spans="1:16" ht="17.25" customHeight="1" x14ac:dyDescent="0.25">
      <c r="A2406" s="742"/>
      <c r="B2406" s="756" t="s">
        <v>191</v>
      </c>
      <c r="C2406" s="713">
        <v>1</v>
      </c>
      <c r="D2406" s="739" t="s">
        <v>188</v>
      </c>
      <c r="E2406" s="695">
        <v>30000</v>
      </c>
      <c r="F2406" s="714"/>
      <c r="G2406" s="714"/>
      <c r="H2406" s="714"/>
      <c r="I2406" s="714"/>
      <c r="J2406" s="714">
        <f>C2406*E2406</f>
        <v>30000</v>
      </c>
      <c r="K2406" s="714">
        <f t="shared" si="199"/>
        <v>30000</v>
      </c>
      <c r="L2406" s="714"/>
      <c r="M2406" s="714"/>
      <c r="N2406" s="714"/>
      <c r="O2406" s="1656">
        <f t="shared" si="200"/>
        <v>30000</v>
      </c>
      <c r="P2406" s="1205"/>
    </row>
    <row r="2407" spans="1:16" ht="17.25" customHeight="1" x14ac:dyDescent="0.25">
      <c r="A2407" s="849"/>
      <c r="B2407" s="824" t="s">
        <v>1717</v>
      </c>
      <c r="C2407" s="872">
        <v>1</v>
      </c>
      <c r="D2407" s="739" t="s">
        <v>188</v>
      </c>
      <c r="E2407" s="684">
        <v>20000</v>
      </c>
      <c r="F2407" s="935"/>
      <c r="G2407" s="935"/>
      <c r="H2407" s="935"/>
      <c r="I2407" s="935"/>
      <c r="J2407" s="935">
        <f>C2407*E2407</f>
        <v>20000</v>
      </c>
      <c r="K2407" s="935">
        <f t="shared" si="199"/>
        <v>20000</v>
      </c>
      <c r="L2407" s="935"/>
      <c r="M2407" s="935"/>
      <c r="N2407" s="935"/>
      <c r="O2407" s="1649">
        <f t="shared" si="200"/>
        <v>20000</v>
      </c>
      <c r="P2407" s="1205"/>
    </row>
    <row r="2408" spans="1:16" ht="17.25" customHeight="1" x14ac:dyDescent="0.25">
      <c r="A2408" s="742"/>
      <c r="B2408" s="752"/>
      <c r="C2408" s="713"/>
      <c r="D2408" s="739"/>
      <c r="E2408" s="695"/>
      <c r="F2408" s="714"/>
      <c r="G2408" s="714"/>
      <c r="H2408" s="714"/>
      <c r="I2408" s="714"/>
      <c r="J2408" s="714"/>
      <c r="K2408" s="714"/>
      <c r="L2408" s="714"/>
      <c r="M2408" s="714"/>
      <c r="N2408" s="714"/>
      <c r="O2408" s="1656"/>
      <c r="P2408" s="1205"/>
    </row>
    <row r="2409" spans="1:16" ht="17.25" customHeight="1" x14ac:dyDescent="0.25">
      <c r="A2409" s="742"/>
      <c r="B2409" s="752" t="s">
        <v>1693</v>
      </c>
      <c r="C2409" s="713">
        <v>1</v>
      </c>
      <c r="D2409" s="739" t="s">
        <v>188</v>
      </c>
      <c r="E2409" s="695">
        <v>300000</v>
      </c>
      <c r="F2409" s="714"/>
      <c r="G2409" s="714"/>
      <c r="H2409" s="714"/>
      <c r="I2409" s="714"/>
      <c r="J2409" s="714">
        <f t="shared" si="198"/>
        <v>300000</v>
      </c>
      <c r="K2409" s="714">
        <f t="shared" si="199"/>
        <v>300000</v>
      </c>
      <c r="L2409" s="714"/>
      <c r="M2409" s="714"/>
      <c r="N2409" s="714"/>
      <c r="O2409" s="1656">
        <f t="shared" si="200"/>
        <v>300000</v>
      </c>
      <c r="P2409" s="1205"/>
    </row>
    <row r="2410" spans="1:16" ht="17.25" customHeight="1" x14ac:dyDescent="0.25">
      <c r="A2410" s="742"/>
      <c r="B2410" s="752" t="s">
        <v>1720</v>
      </c>
      <c r="C2410" s="713">
        <v>1</v>
      </c>
      <c r="D2410" s="739" t="s">
        <v>188</v>
      </c>
      <c r="E2410" s="695">
        <f>10*50000</f>
        <v>500000</v>
      </c>
      <c r="F2410" s="714"/>
      <c r="G2410" s="714"/>
      <c r="H2410" s="714"/>
      <c r="I2410" s="714"/>
      <c r="J2410" s="714">
        <f t="shared" si="198"/>
        <v>500000</v>
      </c>
      <c r="K2410" s="714">
        <f t="shared" si="199"/>
        <v>500000</v>
      </c>
      <c r="L2410" s="714"/>
      <c r="M2410" s="714"/>
      <c r="N2410" s="714"/>
      <c r="O2410" s="1656">
        <f t="shared" si="200"/>
        <v>500000</v>
      </c>
      <c r="P2410" s="1205"/>
    </row>
    <row r="2411" spans="1:16" ht="17.25" customHeight="1" x14ac:dyDescent="0.25">
      <c r="A2411" s="742"/>
      <c r="B2411" s="752" t="s">
        <v>1699</v>
      </c>
      <c r="C2411" s="713">
        <v>1</v>
      </c>
      <c r="D2411" s="739" t="s">
        <v>188</v>
      </c>
      <c r="E2411" s="695">
        <v>150000</v>
      </c>
      <c r="F2411" s="714"/>
      <c r="G2411" s="714"/>
      <c r="H2411" s="714"/>
      <c r="I2411" s="714"/>
      <c r="J2411" s="714">
        <f t="shared" si="198"/>
        <v>150000</v>
      </c>
      <c r="K2411" s="714">
        <f t="shared" si="199"/>
        <v>150000</v>
      </c>
      <c r="L2411" s="714"/>
      <c r="M2411" s="714"/>
      <c r="N2411" s="714"/>
      <c r="O2411" s="1656">
        <f t="shared" si="200"/>
        <v>150000</v>
      </c>
      <c r="P2411" s="1205"/>
    </row>
    <row r="2412" spans="1:16" ht="17.25" customHeight="1" x14ac:dyDescent="0.25">
      <c r="A2412" s="742"/>
      <c r="B2412" s="752" t="s">
        <v>1580</v>
      </c>
      <c r="C2412" s="699">
        <v>1</v>
      </c>
      <c r="D2412" s="739" t="s">
        <v>895</v>
      </c>
      <c r="E2412" s="695">
        <v>100000</v>
      </c>
      <c r="F2412" s="714"/>
      <c r="G2412" s="714"/>
      <c r="H2412" s="714"/>
      <c r="I2412" s="714"/>
      <c r="J2412" s="714">
        <f t="shared" si="198"/>
        <v>100000</v>
      </c>
      <c r="K2412" s="714">
        <f t="shared" si="199"/>
        <v>100000</v>
      </c>
      <c r="L2412" s="714"/>
      <c r="M2412" s="714"/>
      <c r="N2412" s="714"/>
      <c r="O2412" s="1656">
        <f t="shared" si="200"/>
        <v>100000</v>
      </c>
      <c r="P2412" s="1205"/>
    </row>
    <row r="2413" spans="1:16" ht="17.25" customHeight="1" x14ac:dyDescent="0.25">
      <c r="A2413" s="742"/>
      <c r="B2413" s="711"/>
      <c r="C2413" s="713"/>
      <c r="D2413" s="757"/>
      <c r="E2413" s="758"/>
      <c r="F2413" s="714"/>
      <c r="G2413" s="714"/>
      <c r="H2413" s="714"/>
      <c r="I2413" s="714"/>
      <c r="J2413" s="714">
        <f t="shared" si="198"/>
        <v>0</v>
      </c>
      <c r="K2413" s="714">
        <f t="shared" si="199"/>
        <v>0</v>
      </c>
      <c r="L2413" s="714"/>
      <c r="M2413" s="714"/>
      <c r="N2413" s="714"/>
      <c r="O2413" s="1656">
        <f t="shared" si="200"/>
        <v>0</v>
      </c>
      <c r="P2413" s="1205"/>
    </row>
    <row r="2414" spans="1:16" ht="17.25" customHeight="1" x14ac:dyDescent="0.25">
      <c r="A2414" s="742">
        <v>4</v>
      </c>
      <c r="B2414" s="761" t="s">
        <v>885</v>
      </c>
      <c r="C2414" s="699"/>
      <c r="D2414" s="762"/>
      <c r="E2414" s="700"/>
      <c r="F2414" s="714"/>
      <c r="G2414" s="714"/>
      <c r="H2414" s="714"/>
      <c r="I2414" s="714"/>
      <c r="J2414" s="714">
        <f t="shared" si="198"/>
        <v>0</v>
      </c>
      <c r="K2414" s="714">
        <f t="shared" si="199"/>
        <v>0</v>
      </c>
      <c r="L2414" s="714"/>
      <c r="M2414" s="714"/>
      <c r="N2414" s="714"/>
      <c r="O2414" s="1656">
        <f t="shared" si="200"/>
        <v>0</v>
      </c>
      <c r="P2414" s="1205"/>
    </row>
    <row r="2415" spans="1:16" ht="17.25" customHeight="1" x14ac:dyDescent="0.25">
      <c r="A2415" s="742"/>
      <c r="B2415" s="763"/>
      <c r="C2415" s="699"/>
      <c r="D2415" s="762"/>
      <c r="E2415" s="700"/>
      <c r="F2415" s="714"/>
      <c r="G2415" s="714"/>
      <c r="H2415" s="714"/>
      <c r="I2415" s="714"/>
      <c r="J2415" s="714">
        <f t="shared" si="198"/>
        <v>0</v>
      </c>
      <c r="K2415" s="714">
        <f t="shared" si="199"/>
        <v>0</v>
      </c>
      <c r="L2415" s="714"/>
      <c r="M2415" s="714"/>
      <c r="N2415" s="714"/>
      <c r="O2415" s="1656">
        <f t="shared" si="200"/>
        <v>0</v>
      </c>
      <c r="P2415" s="1205"/>
    </row>
    <row r="2416" spans="1:16" ht="17.25" customHeight="1" x14ac:dyDescent="0.25">
      <c r="A2416" s="742"/>
      <c r="B2416" s="763" t="s">
        <v>1696</v>
      </c>
      <c r="C2416" s="699">
        <v>1</v>
      </c>
      <c r="D2416" s="762" t="s">
        <v>16</v>
      </c>
      <c r="E2416" s="700">
        <v>3875000</v>
      </c>
      <c r="F2416" s="714"/>
      <c r="G2416" s="714"/>
      <c r="H2416" s="714"/>
      <c r="I2416" s="714"/>
      <c r="J2416" s="714"/>
      <c r="K2416" s="714"/>
      <c r="L2416" s="714">
        <f>E2416*C2416</f>
        <v>3875000</v>
      </c>
      <c r="M2416" s="714">
        <v>0</v>
      </c>
      <c r="N2416" s="714">
        <f>M2416+L2416</f>
        <v>3875000</v>
      </c>
      <c r="O2416" s="1656">
        <f t="shared" si="200"/>
        <v>3875000</v>
      </c>
      <c r="P2416" s="1205"/>
    </row>
    <row r="2417" spans="1:16" ht="17.25" customHeight="1" x14ac:dyDescent="0.25">
      <c r="A2417" s="742"/>
      <c r="B2417" s="763"/>
      <c r="C2417" s="699"/>
      <c r="D2417" s="762"/>
      <c r="E2417" s="700"/>
      <c r="F2417" s="714"/>
      <c r="G2417" s="714"/>
      <c r="H2417" s="714"/>
      <c r="I2417" s="714"/>
      <c r="J2417" s="714"/>
      <c r="K2417" s="714"/>
      <c r="L2417" s="714"/>
      <c r="M2417" s="714"/>
      <c r="N2417" s="714"/>
      <c r="O2417" s="1656"/>
      <c r="P2417" s="1205"/>
    </row>
    <row r="2418" spans="1:16" ht="17.25" customHeight="1" x14ac:dyDescent="0.25">
      <c r="A2418" s="742"/>
      <c r="B2418" s="763"/>
      <c r="C2418" s="699"/>
      <c r="D2418" s="762"/>
      <c r="E2418" s="700"/>
      <c r="F2418" s="714"/>
      <c r="G2418" s="714"/>
      <c r="H2418" s="714"/>
      <c r="I2418" s="714"/>
      <c r="J2418" s="714"/>
      <c r="K2418" s="714"/>
      <c r="L2418" s="714"/>
      <c r="M2418" s="714"/>
      <c r="N2418" s="714"/>
      <c r="O2418" s="1656"/>
      <c r="P2418" s="1205"/>
    </row>
    <row r="2419" spans="1:16" ht="17.25" customHeight="1" x14ac:dyDescent="0.25">
      <c r="A2419" s="742"/>
      <c r="B2419" s="759" t="s">
        <v>886</v>
      </c>
      <c r="C2419" s="713"/>
      <c r="D2419" s="757"/>
      <c r="E2419" s="758"/>
      <c r="F2419" s="714"/>
      <c r="G2419" s="714"/>
      <c r="H2419" s="714"/>
      <c r="I2419" s="714"/>
      <c r="J2419" s="714">
        <f t="shared" ref="J2419:J2428" si="201">C2419*E2419</f>
        <v>0</v>
      </c>
      <c r="K2419" s="714">
        <f t="shared" ref="K2419:K2428" si="202">I2419+J2419</f>
        <v>0</v>
      </c>
      <c r="L2419" s="714"/>
      <c r="M2419" s="714"/>
      <c r="N2419" s="714"/>
      <c r="O2419" s="1656">
        <f t="shared" ref="O2419:O2428" si="203">N2419+K2419+H2419</f>
        <v>0</v>
      </c>
      <c r="P2419" s="1205"/>
    </row>
    <row r="2420" spans="1:16" ht="17.25" customHeight="1" x14ac:dyDescent="0.25">
      <c r="A2420" s="742"/>
      <c r="B2420" s="711" t="s">
        <v>40</v>
      </c>
      <c r="C2420" s="713"/>
      <c r="D2420" s="757"/>
      <c r="E2420" s="758"/>
      <c r="F2420" s="714"/>
      <c r="G2420" s="714"/>
      <c r="H2420" s="714"/>
      <c r="I2420" s="714"/>
      <c r="J2420" s="714">
        <f t="shared" si="201"/>
        <v>0</v>
      </c>
      <c r="K2420" s="714">
        <f t="shared" si="202"/>
        <v>0</v>
      </c>
      <c r="L2420" s="714"/>
      <c r="M2420" s="714"/>
      <c r="N2420" s="714"/>
      <c r="O2420" s="1656">
        <f t="shared" si="203"/>
        <v>0</v>
      </c>
      <c r="P2420" s="1205"/>
    </row>
    <row r="2421" spans="1:16" ht="17.25" customHeight="1" x14ac:dyDescent="0.25">
      <c r="A2421" s="742"/>
      <c r="B2421" s="711" t="s">
        <v>887</v>
      </c>
      <c r="C2421" s="713">
        <v>1</v>
      </c>
      <c r="D2421" s="757" t="s">
        <v>188</v>
      </c>
      <c r="E2421" s="758">
        <v>25000</v>
      </c>
      <c r="F2421" s="714"/>
      <c r="G2421" s="714"/>
      <c r="H2421" s="714"/>
      <c r="I2421" s="714"/>
      <c r="J2421" s="714">
        <f t="shared" si="201"/>
        <v>25000</v>
      </c>
      <c r="K2421" s="714">
        <f t="shared" si="202"/>
        <v>25000</v>
      </c>
      <c r="L2421" s="714"/>
      <c r="M2421" s="714"/>
      <c r="N2421" s="714"/>
      <c r="O2421" s="1656">
        <f t="shared" si="203"/>
        <v>25000</v>
      </c>
      <c r="P2421" s="1205"/>
    </row>
    <row r="2422" spans="1:16" ht="17.25" customHeight="1" x14ac:dyDescent="0.25">
      <c r="A2422" s="742"/>
      <c r="B2422" s="763" t="s">
        <v>875</v>
      </c>
      <c r="C2422" s="699"/>
      <c r="D2422" s="762"/>
      <c r="E2422" s="700"/>
      <c r="F2422" s="714"/>
      <c r="G2422" s="714"/>
      <c r="H2422" s="714"/>
      <c r="I2422" s="714"/>
      <c r="J2422" s="714">
        <f t="shared" si="201"/>
        <v>0</v>
      </c>
      <c r="K2422" s="714">
        <f t="shared" si="202"/>
        <v>0</v>
      </c>
      <c r="L2422" s="714"/>
      <c r="M2422" s="714"/>
      <c r="N2422" s="714"/>
      <c r="O2422" s="1656">
        <f t="shared" si="203"/>
        <v>0</v>
      </c>
      <c r="P2422" s="1205"/>
    </row>
    <row r="2423" spans="1:16" ht="30.75" customHeight="1" x14ac:dyDescent="0.25">
      <c r="A2423" s="742"/>
      <c r="B2423" s="763" t="s">
        <v>888</v>
      </c>
      <c r="C2423" s="699">
        <v>10</v>
      </c>
      <c r="D2423" s="762" t="s">
        <v>51</v>
      </c>
      <c r="E2423" s="700">
        <v>3262</v>
      </c>
      <c r="F2423" s="714"/>
      <c r="G2423" s="714"/>
      <c r="H2423" s="714"/>
      <c r="I2423" s="714"/>
      <c r="J2423" s="714">
        <f t="shared" si="201"/>
        <v>32620</v>
      </c>
      <c r="K2423" s="714">
        <f t="shared" si="202"/>
        <v>32620</v>
      </c>
      <c r="L2423" s="714"/>
      <c r="M2423" s="714"/>
      <c r="N2423" s="714"/>
      <c r="O2423" s="1656">
        <f t="shared" si="203"/>
        <v>32620</v>
      </c>
      <c r="P2423" s="1205"/>
    </row>
    <row r="2424" spans="1:16" ht="17.25" customHeight="1" x14ac:dyDescent="0.25">
      <c r="A2424" s="742"/>
      <c r="B2424" s="763" t="s">
        <v>889</v>
      </c>
      <c r="C2424" s="699">
        <v>40</v>
      </c>
      <c r="D2424" s="762" t="s">
        <v>55</v>
      </c>
      <c r="E2424" s="700">
        <v>380</v>
      </c>
      <c r="F2424" s="714"/>
      <c r="G2424" s="714"/>
      <c r="H2424" s="714"/>
      <c r="I2424" s="714"/>
      <c r="J2424" s="714">
        <f t="shared" si="201"/>
        <v>15200</v>
      </c>
      <c r="K2424" s="714">
        <f t="shared" si="202"/>
        <v>15200</v>
      </c>
      <c r="L2424" s="714"/>
      <c r="M2424" s="714"/>
      <c r="N2424" s="714"/>
      <c r="O2424" s="1656">
        <f t="shared" si="203"/>
        <v>15200</v>
      </c>
      <c r="P2424" s="1205"/>
    </row>
    <row r="2425" spans="1:16" ht="17.25" customHeight="1" x14ac:dyDescent="0.25">
      <c r="A2425" s="742"/>
      <c r="B2425" s="763" t="s">
        <v>890</v>
      </c>
      <c r="C2425" s="699">
        <v>20</v>
      </c>
      <c r="D2425" s="762" t="s">
        <v>55</v>
      </c>
      <c r="E2425" s="700">
        <v>614</v>
      </c>
      <c r="F2425" s="714"/>
      <c r="G2425" s="714"/>
      <c r="H2425" s="714"/>
      <c r="I2425" s="714"/>
      <c r="J2425" s="714">
        <f t="shared" si="201"/>
        <v>12280</v>
      </c>
      <c r="K2425" s="714">
        <f t="shared" si="202"/>
        <v>12280</v>
      </c>
      <c r="L2425" s="714"/>
      <c r="M2425" s="714"/>
      <c r="N2425" s="714"/>
      <c r="O2425" s="1656">
        <f t="shared" si="203"/>
        <v>12280</v>
      </c>
      <c r="P2425" s="1205"/>
    </row>
    <row r="2426" spans="1:16" ht="17.25" customHeight="1" x14ac:dyDescent="0.25">
      <c r="A2426" s="742"/>
      <c r="B2426" s="924" t="s">
        <v>891</v>
      </c>
      <c r="C2426" s="699">
        <v>10</v>
      </c>
      <c r="D2426" s="762" t="s">
        <v>51</v>
      </c>
      <c r="E2426" s="700">
        <v>80</v>
      </c>
      <c r="F2426" s="714"/>
      <c r="G2426" s="714"/>
      <c r="H2426" s="714"/>
      <c r="I2426" s="714"/>
      <c r="J2426" s="714">
        <f t="shared" si="201"/>
        <v>800</v>
      </c>
      <c r="K2426" s="714">
        <f t="shared" si="202"/>
        <v>800</v>
      </c>
      <c r="L2426" s="714"/>
      <c r="M2426" s="714"/>
      <c r="N2426" s="714"/>
      <c r="O2426" s="1656">
        <f t="shared" si="203"/>
        <v>800</v>
      </c>
      <c r="P2426" s="1205"/>
    </row>
    <row r="2427" spans="1:16" ht="17.25" customHeight="1" x14ac:dyDescent="0.25">
      <c r="A2427" s="742"/>
      <c r="B2427" s="924"/>
      <c r="C2427" s="699"/>
      <c r="D2427" s="762"/>
      <c r="E2427" s="700"/>
      <c r="F2427" s="714"/>
      <c r="G2427" s="714"/>
      <c r="H2427" s="714"/>
      <c r="I2427" s="714"/>
      <c r="J2427" s="714">
        <f t="shared" si="201"/>
        <v>0</v>
      </c>
      <c r="K2427" s="714">
        <f t="shared" si="202"/>
        <v>0</v>
      </c>
      <c r="L2427" s="714"/>
      <c r="M2427" s="714"/>
      <c r="N2427" s="714"/>
      <c r="O2427" s="1656">
        <f t="shared" si="203"/>
        <v>0</v>
      </c>
      <c r="P2427" s="1205"/>
    </row>
    <row r="2428" spans="1:16" ht="17.25" customHeight="1" x14ac:dyDescent="0.25">
      <c r="A2428" s="742"/>
      <c r="B2428" s="923" t="s">
        <v>894</v>
      </c>
      <c r="C2428" s="699">
        <v>1</v>
      </c>
      <c r="D2428" s="762" t="s">
        <v>895</v>
      </c>
      <c r="E2428" s="700">
        <v>200000</v>
      </c>
      <c r="F2428" s="714"/>
      <c r="G2428" s="714"/>
      <c r="H2428" s="714"/>
      <c r="I2428" s="714"/>
      <c r="J2428" s="714">
        <f t="shared" si="201"/>
        <v>200000</v>
      </c>
      <c r="K2428" s="714">
        <f t="shared" si="202"/>
        <v>200000</v>
      </c>
      <c r="L2428" s="714"/>
      <c r="M2428" s="714"/>
      <c r="N2428" s="714"/>
      <c r="O2428" s="1656">
        <f t="shared" si="203"/>
        <v>200000</v>
      </c>
      <c r="P2428" s="1205"/>
    </row>
    <row r="2429" spans="1:16" ht="17.25" customHeight="1" x14ac:dyDescent="0.25">
      <c r="A2429" s="742"/>
      <c r="B2429" s="924"/>
      <c r="C2429" s="699"/>
      <c r="D2429" s="762"/>
      <c r="E2429" s="700"/>
      <c r="F2429" s="714"/>
      <c r="G2429" s="714"/>
      <c r="H2429" s="714"/>
      <c r="I2429" s="714"/>
      <c r="J2429" s="714">
        <f t="shared" ref="J2429:J2449" si="204">C2429*E2429</f>
        <v>0</v>
      </c>
      <c r="K2429" s="714">
        <f t="shared" ref="K2429:K2506" si="205">I2429+J2429</f>
        <v>0</v>
      </c>
      <c r="L2429" s="714"/>
      <c r="M2429" s="714"/>
      <c r="N2429" s="714"/>
      <c r="O2429" s="753">
        <f t="shared" ref="O2429:O2506" si="206">N2429+K2429+H2429</f>
        <v>0</v>
      </c>
      <c r="P2429" s="754"/>
    </row>
    <row r="2430" spans="1:16" ht="17.25" customHeight="1" x14ac:dyDescent="0.25">
      <c r="A2430" s="742"/>
      <c r="B2430" s="1659" t="s">
        <v>2265</v>
      </c>
      <c r="C2430" s="699">
        <v>1</v>
      </c>
      <c r="D2430" s="762" t="s">
        <v>16</v>
      </c>
      <c r="E2430" s="700">
        <v>300000</v>
      </c>
      <c r="F2430" s="714"/>
      <c r="G2430" s="714"/>
      <c r="H2430" s="714"/>
      <c r="I2430" s="714"/>
      <c r="J2430" s="714"/>
      <c r="K2430" s="714"/>
      <c r="L2430" s="714">
        <f>E2430*C2430</f>
        <v>300000</v>
      </c>
      <c r="M2430" s="714">
        <v>0</v>
      </c>
      <c r="N2430" s="714">
        <f>M2430+L2430</f>
        <v>300000</v>
      </c>
      <c r="O2430" s="1656">
        <f t="shared" si="206"/>
        <v>300000</v>
      </c>
      <c r="P2430" s="1205"/>
    </row>
    <row r="2431" spans="1:16" ht="17.25" customHeight="1" x14ac:dyDescent="0.25">
      <c r="A2431" s="742"/>
      <c r="B2431" s="1660" t="s">
        <v>2266</v>
      </c>
      <c r="C2431" s="699">
        <v>1</v>
      </c>
      <c r="D2431" s="762" t="s">
        <v>16</v>
      </c>
      <c r="E2431" s="700">
        <v>400000</v>
      </c>
      <c r="F2431" s="714"/>
      <c r="G2431" s="714"/>
      <c r="H2431" s="714"/>
      <c r="I2431" s="714"/>
      <c r="J2431" s="714"/>
      <c r="K2431" s="714"/>
      <c r="L2431" s="714">
        <f>E2431*C2431</f>
        <v>400000</v>
      </c>
      <c r="M2431" s="714">
        <v>0</v>
      </c>
      <c r="N2431" s="714">
        <f>M2431+L2431</f>
        <v>400000</v>
      </c>
      <c r="O2431" s="1656">
        <f>N2431+K2431+H2431</f>
        <v>400000</v>
      </c>
      <c r="P2431" s="1205"/>
    </row>
    <row r="2432" spans="1:16" ht="17.25" customHeight="1" x14ac:dyDescent="0.25">
      <c r="A2432" s="742"/>
      <c r="B2432" s="1660" t="s">
        <v>2267</v>
      </c>
      <c r="C2432" s="699">
        <v>1</v>
      </c>
      <c r="D2432" s="762" t="s">
        <v>16</v>
      </c>
      <c r="E2432" s="700">
        <v>300000</v>
      </c>
      <c r="F2432" s="714"/>
      <c r="G2432" s="714"/>
      <c r="H2432" s="714"/>
      <c r="I2432" s="714"/>
      <c r="J2432" s="714"/>
      <c r="K2432" s="714"/>
      <c r="L2432" s="714">
        <f>E2432*C2432</f>
        <v>300000</v>
      </c>
      <c r="M2432" s="714">
        <v>0</v>
      </c>
      <c r="N2432" s="714">
        <f>M2432+L2432</f>
        <v>300000</v>
      </c>
      <c r="O2432" s="1656">
        <f>N2432+K2432+H2432</f>
        <v>300000</v>
      </c>
      <c r="P2432" s="1205"/>
    </row>
    <row r="2433" spans="1:16" ht="17.25" customHeight="1" x14ac:dyDescent="0.25">
      <c r="A2433" s="742"/>
      <c r="B2433" s="1661" t="s">
        <v>2268</v>
      </c>
      <c r="C2433" s="699">
        <v>1</v>
      </c>
      <c r="D2433" s="762" t="s">
        <v>16</v>
      </c>
      <c r="E2433" s="700">
        <v>500000</v>
      </c>
      <c r="F2433" s="714"/>
      <c r="G2433" s="714"/>
      <c r="H2433" s="714"/>
      <c r="I2433" s="714"/>
      <c r="J2433" s="714"/>
      <c r="K2433" s="714"/>
      <c r="L2433" s="714">
        <f>E2433*C2433</f>
        <v>500000</v>
      </c>
      <c r="M2433" s="714">
        <v>0</v>
      </c>
      <c r="N2433" s="714">
        <f>M2433+L2433</f>
        <v>500000</v>
      </c>
      <c r="O2433" s="1656">
        <f>N2433+K2433+H2433</f>
        <v>500000</v>
      </c>
      <c r="P2433" s="1205"/>
    </row>
    <row r="2434" spans="1:16" ht="17.25" customHeight="1" x14ac:dyDescent="0.25">
      <c r="A2434" s="742"/>
      <c r="B2434" s="1660" t="s">
        <v>2280</v>
      </c>
      <c r="C2434" s="699">
        <v>1</v>
      </c>
      <c r="D2434" s="762" t="s">
        <v>16</v>
      </c>
      <c r="E2434" s="700">
        <v>400000</v>
      </c>
      <c r="F2434" s="714"/>
      <c r="G2434" s="714"/>
      <c r="H2434" s="714"/>
      <c r="I2434" s="714"/>
      <c r="J2434" s="714"/>
      <c r="K2434" s="714"/>
      <c r="L2434" s="714">
        <f>E2434*C2434</f>
        <v>400000</v>
      </c>
      <c r="M2434" s="714">
        <v>0</v>
      </c>
      <c r="N2434" s="714">
        <f>M2434+L2434</f>
        <v>400000</v>
      </c>
      <c r="O2434" s="1656">
        <f>N2434+K2434+H2434</f>
        <v>400000</v>
      </c>
      <c r="P2434" s="1205"/>
    </row>
    <row r="2435" spans="1:16" ht="17.25" customHeight="1" x14ac:dyDescent="0.25">
      <c r="A2435" s="742"/>
      <c r="B2435" s="924"/>
      <c r="C2435" s="699"/>
      <c r="D2435" s="762"/>
      <c r="E2435" s="700"/>
      <c r="F2435" s="714"/>
      <c r="G2435" s="714"/>
      <c r="H2435" s="714"/>
      <c r="I2435" s="714"/>
      <c r="J2435" s="714"/>
      <c r="K2435" s="714"/>
      <c r="L2435" s="714"/>
      <c r="M2435" s="714"/>
      <c r="N2435" s="714"/>
      <c r="O2435" s="753"/>
      <c r="P2435" s="754"/>
    </row>
    <row r="2436" spans="1:16" ht="17.25" customHeight="1" x14ac:dyDescent="0.25">
      <c r="A2436" s="742"/>
      <c r="B2436" s="924"/>
      <c r="C2436" s="699"/>
      <c r="D2436" s="762"/>
      <c r="E2436" s="700"/>
      <c r="F2436" s="714"/>
      <c r="G2436" s="714"/>
      <c r="H2436" s="714"/>
      <c r="I2436" s="714"/>
      <c r="J2436" s="714"/>
      <c r="K2436" s="714"/>
      <c r="L2436" s="714"/>
      <c r="M2436" s="714"/>
      <c r="N2436" s="714"/>
      <c r="O2436" s="753"/>
      <c r="P2436" s="754"/>
    </row>
    <row r="2437" spans="1:16" ht="17.25" customHeight="1" x14ac:dyDescent="0.25">
      <c r="A2437" s="742"/>
      <c r="B2437" s="924"/>
      <c r="C2437" s="699"/>
      <c r="D2437" s="762"/>
      <c r="E2437" s="700"/>
      <c r="F2437" s="714"/>
      <c r="G2437" s="714"/>
      <c r="H2437" s="714"/>
      <c r="I2437" s="714"/>
      <c r="J2437" s="714"/>
      <c r="K2437" s="714"/>
      <c r="L2437" s="714"/>
      <c r="M2437" s="714"/>
      <c r="N2437" s="714"/>
      <c r="O2437" s="753"/>
      <c r="P2437" s="754"/>
    </row>
    <row r="2438" spans="1:16" ht="17.25" customHeight="1" x14ac:dyDescent="0.25">
      <c r="A2438" s="742"/>
      <c r="B2438" s="924"/>
      <c r="C2438" s="699"/>
      <c r="D2438" s="762"/>
      <c r="E2438" s="700"/>
      <c r="F2438" s="714"/>
      <c r="G2438" s="714"/>
      <c r="H2438" s="714"/>
      <c r="I2438" s="714"/>
      <c r="J2438" s="714"/>
      <c r="K2438" s="714"/>
      <c r="L2438" s="714"/>
      <c r="M2438" s="714"/>
      <c r="N2438" s="714"/>
      <c r="O2438" s="753"/>
      <c r="P2438" s="754"/>
    </row>
    <row r="2439" spans="1:16" ht="17.25" customHeight="1" x14ac:dyDescent="0.25">
      <c r="A2439" s="742"/>
      <c r="B2439" s="924"/>
      <c r="C2439" s="699"/>
      <c r="D2439" s="762"/>
      <c r="E2439" s="700"/>
      <c r="F2439" s="714"/>
      <c r="G2439" s="714"/>
      <c r="H2439" s="714"/>
      <c r="I2439" s="714"/>
      <c r="J2439" s="714"/>
      <c r="K2439" s="714"/>
      <c r="L2439" s="714"/>
      <c r="M2439" s="714"/>
      <c r="N2439" s="714"/>
      <c r="O2439" s="753"/>
      <c r="P2439" s="754"/>
    </row>
    <row r="2440" spans="1:16" ht="17.25" customHeight="1" x14ac:dyDescent="0.25">
      <c r="A2440" s="742"/>
      <c r="B2440" s="923" t="s">
        <v>896</v>
      </c>
      <c r="C2440" s="699"/>
      <c r="D2440" s="762"/>
      <c r="E2440" s="700"/>
      <c r="F2440" s="714"/>
      <c r="G2440" s="714"/>
      <c r="H2440" s="714"/>
      <c r="I2440" s="714"/>
      <c r="J2440" s="714">
        <f t="shared" si="204"/>
        <v>0</v>
      </c>
      <c r="K2440" s="714">
        <f t="shared" si="205"/>
        <v>0</v>
      </c>
      <c r="L2440" s="714"/>
      <c r="M2440" s="714"/>
      <c r="N2440" s="714"/>
      <c r="O2440" s="753">
        <f t="shared" si="206"/>
        <v>0</v>
      </c>
      <c r="P2440" s="754"/>
    </row>
    <row r="2441" spans="1:16" ht="17.25" customHeight="1" x14ac:dyDescent="0.25">
      <c r="A2441" s="742"/>
      <c r="B2441" s="924" t="s">
        <v>897</v>
      </c>
      <c r="C2441" s="699"/>
      <c r="D2441" s="762"/>
      <c r="E2441" s="700"/>
      <c r="F2441" s="714"/>
      <c r="G2441" s="714"/>
      <c r="H2441" s="714"/>
      <c r="I2441" s="714"/>
      <c r="J2441" s="714">
        <f t="shared" si="204"/>
        <v>0</v>
      </c>
      <c r="K2441" s="714">
        <f t="shared" si="205"/>
        <v>0</v>
      </c>
      <c r="L2441" s="714"/>
      <c r="M2441" s="714"/>
      <c r="N2441" s="714"/>
      <c r="O2441" s="753">
        <f t="shared" si="206"/>
        <v>0</v>
      </c>
      <c r="P2441" s="754"/>
    </row>
    <row r="2442" spans="1:16" ht="17.25" customHeight="1" x14ac:dyDescent="0.25">
      <c r="A2442" s="742"/>
      <c r="B2442" s="924" t="s">
        <v>315</v>
      </c>
      <c r="C2442" s="699"/>
      <c r="D2442" s="762"/>
      <c r="E2442" s="700"/>
      <c r="F2442" s="747"/>
      <c r="G2442" s="747"/>
      <c r="H2442" s="747"/>
      <c r="I2442" s="747"/>
      <c r="J2442" s="747">
        <f t="shared" si="204"/>
        <v>0</v>
      </c>
      <c r="K2442" s="747">
        <f t="shared" si="205"/>
        <v>0</v>
      </c>
      <c r="L2442" s="747"/>
      <c r="M2442" s="747"/>
      <c r="N2442" s="747"/>
      <c r="O2442" s="748">
        <f t="shared" si="206"/>
        <v>0</v>
      </c>
      <c r="P2442" s="749"/>
    </row>
    <row r="2443" spans="1:16" ht="17.25" customHeight="1" x14ac:dyDescent="0.25">
      <c r="A2443" s="742"/>
      <c r="B2443" s="924" t="s">
        <v>236</v>
      </c>
      <c r="C2443" s="699">
        <v>12</v>
      </c>
      <c r="D2443" s="762" t="s">
        <v>20</v>
      </c>
      <c r="E2443" s="700">
        <v>1900</v>
      </c>
      <c r="F2443" s="747"/>
      <c r="G2443" s="747"/>
      <c r="H2443" s="747"/>
      <c r="I2443" s="747"/>
      <c r="J2443" s="747">
        <f t="shared" si="204"/>
        <v>22800</v>
      </c>
      <c r="K2443" s="747">
        <f t="shared" si="205"/>
        <v>22800</v>
      </c>
      <c r="L2443" s="747"/>
      <c r="M2443" s="747"/>
      <c r="N2443" s="747"/>
      <c r="O2443" s="1208">
        <f t="shared" si="206"/>
        <v>22800</v>
      </c>
      <c r="P2443" s="1209"/>
    </row>
    <row r="2444" spans="1:16" ht="17.25" customHeight="1" x14ac:dyDescent="0.25">
      <c r="A2444" s="742"/>
      <c r="B2444" s="924" t="s">
        <v>1697</v>
      </c>
      <c r="C2444" s="699">
        <v>12</v>
      </c>
      <c r="D2444" s="762" t="s">
        <v>20</v>
      </c>
      <c r="E2444" s="700">
        <v>1500</v>
      </c>
      <c r="F2444" s="747"/>
      <c r="G2444" s="747"/>
      <c r="H2444" s="747"/>
      <c r="I2444" s="747"/>
      <c r="J2444" s="747">
        <f t="shared" si="204"/>
        <v>18000</v>
      </c>
      <c r="K2444" s="747">
        <f t="shared" si="205"/>
        <v>18000</v>
      </c>
      <c r="L2444" s="747"/>
      <c r="M2444" s="747"/>
      <c r="N2444" s="747"/>
      <c r="O2444" s="1208">
        <f t="shared" si="206"/>
        <v>18000</v>
      </c>
      <c r="P2444" s="1209"/>
    </row>
    <row r="2445" spans="1:16" ht="17.25" customHeight="1" x14ac:dyDescent="0.25">
      <c r="A2445" s="742"/>
      <c r="B2445" s="924" t="s">
        <v>898</v>
      </c>
      <c r="C2445" s="699">
        <v>12</v>
      </c>
      <c r="D2445" s="762" t="s">
        <v>20</v>
      </c>
      <c r="E2445" s="700">
        <v>1000</v>
      </c>
      <c r="F2445" s="747"/>
      <c r="G2445" s="747"/>
      <c r="H2445" s="747"/>
      <c r="I2445" s="747"/>
      <c r="J2445" s="747">
        <f t="shared" si="204"/>
        <v>12000</v>
      </c>
      <c r="K2445" s="747">
        <f t="shared" si="205"/>
        <v>12000</v>
      </c>
      <c r="L2445" s="747"/>
      <c r="M2445" s="747"/>
      <c r="N2445" s="747"/>
      <c r="O2445" s="1208">
        <f t="shared" si="206"/>
        <v>12000</v>
      </c>
      <c r="P2445" s="1209"/>
    </row>
    <row r="2446" spans="1:16" ht="17.25" customHeight="1" x14ac:dyDescent="0.25">
      <c r="A2446" s="742"/>
      <c r="B2446" s="924" t="s">
        <v>899</v>
      </c>
      <c r="C2446" s="699">
        <v>12</v>
      </c>
      <c r="D2446" s="762" t="s">
        <v>20</v>
      </c>
      <c r="E2446" s="700">
        <v>900</v>
      </c>
      <c r="F2446" s="747"/>
      <c r="G2446" s="747"/>
      <c r="H2446" s="747"/>
      <c r="I2446" s="747"/>
      <c r="J2446" s="747">
        <f t="shared" si="204"/>
        <v>10800</v>
      </c>
      <c r="K2446" s="747">
        <f t="shared" si="205"/>
        <v>10800</v>
      </c>
      <c r="L2446" s="747"/>
      <c r="M2446" s="747"/>
      <c r="N2446" s="747"/>
      <c r="O2446" s="1208">
        <f t="shared" si="206"/>
        <v>10800</v>
      </c>
      <c r="P2446" s="1209"/>
    </row>
    <row r="2447" spans="1:16" ht="17.25" customHeight="1" x14ac:dyDescent="0.25">
      <c r="A2447" s="742"/>
      <c r="B2447" s="924" t="s">
        <v>900</v>
      </c>
      <c r="C2447" s="699">
        <v>60</v>
      </c>
      <c r="D2447" s="762" t="s">
        <v>20</v>
      </c>
      <c r="E2447" s="700">
        <v>600</v>
      </c>
      <c r="F2447" s="714"/>
      <c r="G2447" s="714"/>
      <c r="H2447" s="714"/>
      <c r="I2447" s="714"/>
      <c r="J2447" s="714">
        <f t="shared" si="204"/>
        <v>36000</v>
      </c>
      <c r="K2447" s="714">
        <f t="shared" si="205"/>
        <v>36000</v>
      </c>
      <c r="L2447" s="714"/>
      <c r="M2447" s="714"/>
      <c r="N2447" s="714"/>
      <c r="O2447" s="1656">
        <f t="shared" si="206"/>
        <v>36000</v>
      </c>
      <c r="P2447" s="1205"/>
    </row>
    <row r="2448" spans="1:16" ht="17.25" customHeight="1" x14ac:dyDescent="0.25">
      <c r="A2448" s="742"/>
      <c r="B2448" s="924"/>
      <c r="C2448" s="699"/>
      <c r="D2448" s="762"/>
      <c r="E2448" s="700"/>
      <c r="F2448" s="714"/>
      <c r="G2448" s="714"/>
      <c r="H2448" s="714"/>
      <c r="I2448" s="714"/>
      <c r="J2448" s="714">
        <f t="shared" si="204"/>
        <v>0</v>
      </c>
      <c r="K2448" s="714">
        <f t="shared" si="205"/>
        <v>0</v>
      </c>
      <c r="L2448" s="714"/>
      <c r="M2448" s="714"/>
      <c r="N2448" s="714"/>
      <c r="O2448" s="753">
        <f t="shared" si="206"/>
        <v>0</v>
      </c>
      <c r="P2448" s="754"/>
    </row>
    <row r="2449" spans="1:16" ht="17.25" customHeight="1" x14ac:dyDescent="0.25">
      <c r="A2449" s="742"/>
      <c r="B2449" s="924" t="s">
        <v>21</v>
      </c>
      <c r="C2449" s="699"/>
      <c r="D2449" s="762"/>
      <c r="E2449" s="700"/>
      <c r="F2449" s="747"/>
      <c r="G2449" s="747"/>
      <c r="H2449" s="747"/>
      <c r="I2449" s="747"/>
      <c r="J2449" s="747">
        <f t="shared" si="204"/>
        <v>0</v>
      </c>
      <c r="K2449" s="747">
        <f t="shared" si="205"/>
        <v>0</v>
      </c>
      <c r="L2449" s="747"/>
      <c r="M2449" s="747"/>
      <c r="N2449" s="747"/>
      <c r="O2449" s="748">
        <f t="shared" si="206"/>
        <v>0</v>
      </c>
      <c r="P2449" s="749"/>
    </row>
    <row r="2450" spans="1:16" ht="17.25" customHeight="1" x14ac:dyDescent="0.25">
      <c r="A2450" s="742"/>
      <c r="B2450" s="924" t="s">
        <v>1721</v>
      </c>
      <c r="C2450" s="699">
        <v>1</v>
      </c>
      <c r="D2450" s="762" t="s">
        <v>47</v>
      </c>
      <c r="E2450" s="700">
        <v>50000</v>
      </c>
      <c r="F2450" s="747"/>
      <c r="G2450" s="747"/>
      <c r="H2450" s="747"/>
      <c r="I2450" s="747">
        <f t="shared" ref="I2450:I2458" si="207">E2450*C2450</f>
        <v>50000</v>
      </c>
      <c r="J2450" s="747"/>
      <c r="K2450" s="747">
        <f t="shared" si="205"/>
        <v>50000</v>
      </c>
      <c r="L2450" s="747"/>
      <c r="M2450" s="747"/>
      <c r="N2450" s="747"/>
      <c r="O2450" s="1208">
        <f t="shared" si="206"/>
        <v>50000</v>
      </c>
      <c r="P2450" s="1209"/>
    </row>
    <row r="2451" spans="1:16" ht="17.25" customHeight="1" x14ac:dyDescent="0.25">
      <c r="A2451" s="742"/>
      <c r="B2451" s="924" t="s">
        <v>2270</v>
      </c>
      <c r="C2451" s="699">
        <v>1</v>
      </c>
      <c r="D2451" s="762" t="s">
        <v>47</v>
      </c>
      <c r="E2451" s="700">
        <v>50000</v>
      </c>
      <c r="F2451" s="747"/>
      <c r="G2451" s="747"/>
      <c r="H2451" s="747"/>
      <c r="I2451" s="747">
        <f>E2451*C2451</f>
        <v>50000</v>
      </c>
      <c r="J2451" s="747"/>
      <c r="K2451" s="747">
        <f>I2451+J2451</f>
        <v>50000</v>
      </c>
      <c r="L2451" s="747"/>
      <c r="M2451" s="747"/>
      <c r="N2451" s="747"/>
      <c r="O2451" s="1208">
        <f>N2451+K2451+H2451</f>
        <v>50000</v>
      </c>
      <c r="P2451" s="1209"/>
    </row>
    <row r="2452" spans="1:16" ht="17.25" customHeight="1" x14ac:dyDescent="0.25">
      <c r="A2452" s="742"/>
      <c r="B2452" s="924" t="s">
        <v>901</v>
      </c>
      <c r="C2452" s="699">
        <v>1</v>
      </c>
      <c r="D2452" s="762" t="s">
        <v>190</v>
      </c>
      <c r="E2452" s="700">
        <v>50000</v>
      </c>
      <c r="F2452" s="747"/>
      <c r="G2452" s="747"/>
      <c r="H2452" s="747"/>
      <c r="I2452" s="747">
        <f t="shared" si="207"/>
        <v>50000</v>
      </c>
      <c r="J2452" s="747"/>
      <c r="K2452" s="747">
        <f t="shared" si="205"/>
        <v>50000</v>
      </c>
      <c r="L2452" s="747"/>
      <c r="M2452" s="747"/>
      <c r="N2452" s="747"/>
      <c r="O2452" s="1208">
        <f t="shared" si="206"/>
        <v>50000</v>
      </c>
      <c r="P2452" s="1209"/>
    </row>
    <row r="2453" spans="1:16" ht="17.25" customHeight="1" x14ac:dyDescent="0.25">
      <c r="A2453" s="742"/>
      <c r="B2453" s="924" t="s">
        <v>902</v>
      </c>
      <c r="C2453" s="699">
        <v>1</v>
      </c>
      <c r="D2453" s="762" t="s">
        <v>47</v>
      </c>
      <c r="E2453" s="700">
        <v>50000</v>
      </c>
      <c r="F2453" s="747"/>
      <c r="G2453" s="747"/>
      <c r="H2453" s="747"/>
      <c r="I2453" s="747">
        <f t="shared" si="207"/>
        <v>50000</v>
      </c>
      <c r="J2453" s="747"/>
      <c r="K2453" s="747">
        <f t="shared" si="205"/>
        <v>50000</v>
      </c>
      <c r="L2453" s="747"/>
      <c r="M2453" s="747"/>
      <c r="N2453" s="747"/>
      <c r="O2453" s="1208">
        <f t="shared" si="206"/>
        <v>50000</v>
      </c>
      <c r="P2453" s="1209"/>
    </row>
    <row r="2454" spans="1:16" ht="17.25" customHeight="1" x14ac:dyDescent="0.25">
      <c r="A2454" s="742"/>
      <c r="B2454" s="924" t="s">
        <v>903</v>
      </c>
      <c r="C2454" s="699">
        <v>21</v>
      </c>
      <c r="D2454" s="762" t="s">
        <v>159</v>
      </c>
      <c r="E2454" s="700">
        <v>460</v>
      </c>
      <c r="F2454" s="747"/>
      <c r="G2454" s="747"/>
      <c r="H2454" s="747"/>
      <c r="I2454" s="747">
        <f t="shared" si="207"/>
        <v>9660</v>
      </c>
      <c r="J2454" s="747"/>
      <c r="K2454" s="747">
        <f t="shared" si="205"/>
        <v>9660</v>
      </c>
      <c r="L2454" s="747"/>
      <c r="M2454" s="747"/>
      <c r="N2454" s="747"/>
      <c r="O2454" s="1208">
        <f t="shared" si="206"/>
        <v>9660</v>
      </c>
      <c r="P2454" s="1209"/>
    </row>
    <row r="2455" spans="1:16" ht="17.25" customHeight="1" x14ac:dyDescent="0.25">
      <c r="A2455" s="742"/>
      <c r="B2455" s="924" t="s">
        <v>904</v>
      </c>
      <c r="C2455" s="699">
        <v>21</v>
      </c>
      <c r="D2455" s="762" t="s">
        <v>159</v>
      </c>
      <c r="E2455" s="700">
        <v>850</v>
      </c>
      <c r="F2455" s="747"/>
      <c r="G2455" s="747"/>
      <c r="H2455" s="747"/>
      <c r="I2455" s="747">
        <f t="shared" si="207"/>
        <v>17850</v>
      </c>
      <c r="J2455" s="747"/>
      <c r="K2455" s="747">
        <f t="shared" si="205"/>
        <v>17850</v>
      </c>
      <c r="L2455" s="747"/>
      <c r="M2455" s="747"/>
      <c r="N2455" s="747"/>
      <c r="O2455" s="1208">
        <f t="shared" si="206"/>
        <v>17850</v>
      </c>
      <c r="P2455" s="1209"/>
    </row>
    <row r="2456" spans="1:16" ht="17.25" customHeight="1" x14ac:dyDescent="0.25">
      <c r="A2456" s="742"/>
      <c r="B2456" s="924" t="s">
        <v>905</v>
      </c>
      <c r="C2456" s="699">
        <v>2</v>
      </c>
      <c r="D2456" s="762" t="s">
        <v>159</v>
      </c>
      <c r="E2456" s="700">
        <v>850</v>
      </c>
      <c r="F2456" s="714"/>
      <c r="G2456" s="714"/>
      <c r="H2456" s="714"/>
      <c r="I2456" s="714">
        <f t="shared" si="207"/>
        <v>1700</v>
      </c>
      <c r="J2456" s="714"/>
      <c r="K2456" s="714">
        <f t="shared" si="205"/>
        <v>1700</v>
      </c>
      <c r="L2456" s="714"/>
      <c r="M2456" s="714"/>
      <c r="N2456" s="714"/>
      <c r="O2456" s="1656">
        <f t="shared" si="206"/>
        <v>1700</v>
      </c>
      <c r="P2456" s="1205"/>
    </row>
    <row r="2457" spans="1:16" ht="17.25" customHeight="1" x14ac:dyDescent="0.25">
      <c r="A2457" s="742"/>
      <c r="B2457" s="924" t="s">
        <v>906</v>
      </c>
      <c r="C2457" s="699">
        <v>6</v>
      </c>
      <c r="D2457" s="762" t="s">
        <v>159</v>
      </c>
      <c r="E2457" s="700">
        <v>390</v>
      </c>
      <c r="F2457" s="714"/>
      <c r="G2457" s="714"/>
      <c r="H2457" s="714"/>
      <c r="I2457" s="714">
        <f t="shared" si="207"/>
        <v>2340</v>
      </c>
      <c r="J2457" s="714"/>
      <c r="K2457" s="714">
        <f t="shared" si="205"/>
        <v>2340</v>
      </c>
      <c r="L2457" s="714"/>
      <c r="M2457" s="714"/>
      <c r="N2457" s="714"/>
      <c r="O2457" s="1656">
        <f t="shared" si="206"/>
        <v>2340</v>
      </c>
      <c r="P2457" s="1205"/>
    </row>
    <row r="2458" spans="1:16" ht="17.25" customHeight="1" x14ac:dyDescent="0.25">
      <c r="A2458" s="742"/>
      <c r="B2458" s="924" t="s">
        <v>907</v>
      </c>
      <c r="C2458" s="699">
        <v>1</v>
      </c>
      <c r="D2458" s="762" t="s">
        <v>47</v>
      </c>
      <c r="E2458" s="700">
        <v>6000</v>
      </c>
      <c r="F2458" s="714"/>
      <c r="G2458" s="714"/>
      <c r="H2458" s="714"/>
      <c r="I2458" s="714">
        <f t="shared" si="207"/>
        <v>6000</v>
      </c>
      <c r="J2458" s="714"/>
      <c r="K2458" s="714">
        <f t="shared" si="205"/>
        <v>6000</v>
      </c>
      <c r="L2458" s="714"/>
      <c r="M2458" s="714"/>
      <c r="N2458" s="714"/>
      <c r="O2458" s="1656">
        <f t="shared" si="206"/>
        <v>6000</v>
      </c>
      <c r="P2458" s="1205"/>
    </row>
    <row r="2459" spans="1:16" ht="17.25" customHeight="1" x14ac:dyDescent="0.25">
      <c r="A2459" s="742"/>
      <c r="B2459" s="924"/>
      <c r="C2459" s="699"/>
      <c r="D2459" s="762"/>
      <c r="E2459" s="700"/>
      <c r="F2459" s="714"/>
      <c r="G2459" s="714"/>
      <c r="H2459" s="714"/>
      <c r="I2459" s="714"/>
      <c r="J2459" s="714">
        <f>C2459*E2459</f>
        <v>0</v>
      </c>
      <c r="K2459" s="714">
        <f t="shared" si="205"/>
        <v>0</v>
      </c>
      <c r="L2459" s="714"/>
      <c r="M2459" s="714"/>
      <c r="N2459" s="714"/>
      <c r="O2459" s="753">
        <f t="shared" si="206"/>
        <v>0</v>
      </c>
      <c r="P2459" s="754"/>
    </row>
    <row r="2460" spans="1:16" ht="17.25" customHeight="1" x14ac:dyDescent="0.25">
      <c r="A2460" s="742"/>
      <c r="B2460" s="924" t="s">
        <v>27</v>
      </c>
      <c r="C2460" s="699"/>
      <c r="D2460" s="762"/>
      <c r="E2460" s="700"/>
      <c r="F2460" s="714"/>
      <c r="G2460" s="714"/>
      <c r="H2460" s="714"/>
      <c r="I2460" s="714"/>
      <c r="J2460" s="714">
        <f>C2460*E2460</f>
        <v>0</v>
      </c>
      <c r="K2460" s="714">
        <f t="shared" si="205"/>
        <v>0</v>
      </c>
      <c r="L2460" s="714"/>
      <c r="M2460" s="714"/>
      <c r="N2460" s="714"/>
      <c r="O2460" s="753">
        <f t="shared" si="206"/>
        <v>0</v>
      </c>
      <c r="P2460" s="754"/>
    </row>
    <row r="2461" spans="1:16" ht="17.25" customHeight="1" x14ac:dyDescent="0.25">
      <c r="A2461" s="742"/>
      <c r="B2461" s="924" t="s">
        <v>908</v>
      </c>
      <c r="C2461" s="699">
        <v>1</v>
      </c>
      <c r="D2461" s="762" t="s">
        <v>47</v>
      </c>
      <c r="E2461" s="700">
        <v>60000</v>
      </c>
      <c r="F2461" s="714"/>
      <c r="G2461" s="714"/>
      <c r="H2461" s="714"/>
      <c r="I2461" s="714">
        <f>E2461*C2461</f>
        <v>60000</v>
      </c>
      <c r="J2461" s="714"/>
      <c r="K2461" s="714">
        <f t="shared" si="205"/>
        <v>60000</v>
      </c>
      <c r="L2461" s="714"/>
      <c r="M2461" s="714"/>
      <c r="N2461" s="714"/>
      <c r="O2461" s="1656">
        <f t="shared" si="206"/>
        <v>60000</v>
      </c>
      <c r="P2461" s="1205"/>
    </row>
    <row r="2462" spans="1:16" ht="17.25" customHeight="1" x14ac:dyDescent="0.25">
      <c r="A2462" s="742"/>
      <c r="B2462" s="924"/>
      <c r="C2462" s="699"/>
      <c r="D2462" s="762"/>
      <c r="E2462" s="700"/>
      <c r="F2462" s="714"/>
      <c r="G2462" s="714"/>
      <c r="H2462" s="714"/>
      <c r="I2462" s="714"/>
      <c r="J2462" s="714">
        <f t="shared" ref="J2462:J2471" si="208">C2462*E2462</f>
        <v>0</v>
      </c>
      <c r="K2462" s="714">
        <f t="shared" si="205"/>
        <v>0</v>
      </c>
      <c r="L2462" s="714"/>
      <c r="M2462" s="714"/>
      <c r="N2462" s="714"/>
      <c r="O2462" s="753">
        <f t="shared" si="206"/>
        <v>0</v>
      </c>
      <c r="P2462" s="754"/>
    </row>
    <row r="2463" spans="1:16" ht="17.25" customHeight="1" x14ac:dyDescent="0.25">
      <c r="A2463" s="742"/>
      <c r="B2463" s="924" t="s">
        <v>206</v>
      </c>
      <c r="C2463" s="699"/>
      <c r="D2463" s="762"/>
      <c r="E2463" s="700"/>
      <c r="F2463" s="714"/>
      <c r="G2463" s="714"/>
      <c r="H2463" s="714"/>
      <c r="I2463" s="714"/>
      <c r="J2463" s="714">
        <f t="shared" si="208"/>
        <v>0</v>
      </c>
      <c r="K2463" s="714">
        <f t="shared" si="205"/>
        <v>0</v>
      </c>
      <c r="L2463" s="714"/>
      <c r="M2463" s="714"/>
      <c r="N2463" s="714"/>
      <c r="O2463" s="753">
        <f t="shared" si="206"/>
        <v>0</v>
      </c>
      <c r="P2463" s="754"/>
    </row>
    <row r="2464" spans="1:16" ht="17.25" customHeight="1" x14ac:dyDescent="0.25">
      <c r="A2464" s="742"/>
      <c r="B2464" s="924" t="s">
        <v>909</v>
      </c>
      <c r="C2464" s="699">
        <v>1</v>
      </c>
      <c r="D2464" s="762" t="s">
        <v>47</v>
      </c>
      <c r="E2464" s="700">
        <v>50000</v>
      </c>
      <c r="F2464" s="714"/>
      <c r="G2464" s="714"/>
      <c r="H2464" s="714"/>
      <c r="I2464" s="714"/>
      <c r="J2464" s="714">
        <f t="shared" si="208"/>
        <v>50000</v>
      </c>
      <c r="K2464" s="714">
        <f t="shared" si="205"/>
        <v>50000</v>
      </c>
      <c r="L2464" s="714"/>
      <c r="M2464" s="714"/>
      <c r="N2464" s="714"/>
      <c r="O2464" s="1656">
        <f t="shared" si="206"/>
        <v>50000</v>
      </c>
      <c r="P2464" s="1205"/>
    </row>
    <row r="2465" spans="1:16" ht="17.25" customHeight="1" x14ac:dyDescent="0.25">
      <c r="A2465" s="742"/>
      <c r="B2465" s="924" t="s">
        <v>910</v>
      </c>
      <c r="C2465" s="699">
        <v>1</v>
      </c>
      <c r="D2465" s="762" t="s">
        <v>47</v>
      </c>
      <c r="E2465" s="700">
        <v>25000</v>
      </c>
      <c r="F2465" s="714"/>
      <c r="G2465" s="714"/>
      <c r="H2465" s="714"/>
      <c r="I2465" s="714"/>
      <c r="J2465" s="714">
        <f t="shared" si="208"/>
        <v>25000</v>
      </c>
      <c r="K2465" s="714">
        <f t="shared" si="205"/>
        <v>25000</v>
      </c>
      <c r="L2465" s="714"/>
      <c r="M2465" s="714"/>
      <c r="N2465" s="714"/>
      <c r="O2465" s="1656">
        <f t="shared" si="206"/>
        <v>25000</v>
      </c>
      <c r="P2465" s="1205"/>
    </row>
    <row r="2466" spans="1:16" ht="17.25" customHeight="1" x14ac:dyDescent="0.25">
      <c r="A2466" s="742"/>
      <c r="B2466" s="924" t="s">
        <v>911</v>
      </c>
      <c r="C2466" s="699">
        <v>12</v>
      </c>
      <c r="D2466" s="762" t="s">
        <v>20</v>
      </c>
      <c r="E2466" s="700">
        <v>400</v>
      </c>
      <c r="F2466" s="714"/>
      <c r="G2466" s="714"/>
      <c r="H2466" s="714"/>
      <c r="I2466" s="714"/>
      <c r="J2466" s="714">
        <f t="shared" si="208"/>
        <v>4800</v>
      </c>
      <c r="K2466" s="714">
        <f t="shared" si="205"/>
        <v>4800</v>
      </c>
      <c r="L2466" s="714"/>
      <c r="M2466" s="714"/>
      <c r="N2466" s="714"/>
      <c r="O2466" s="1656">
        <f t="shared" si="206"/>
        <v>4800</v>
      </c>
      <c r="P2466" s="1205"/>
    </row>
    <row r="2467" spans="1:16" ht="17.25" customHeight="1" x14ac:dyDescent="0.25">
      <c r="A2467" s="742"/>
      <c r="B2467" s="924" t="s">
        <v>912</v>
      </c>
      <c r="C2467" s="699">
        <v>48</v>
      </c>
      <c r="D2467" s="762" t="s">
        <v>20</v>
      </c>
      <c r="E2467" s="700">
        <v>300</v>
      </c>
      <c r="F2467" s="714"/>
      <c r="G2467" s="714"/>
      <c r="H2467" s="714"/>
      <c r="I2467" s="714"/>
      <c r="J2467" s="714">
        <f t="shared" si="208"/>
        <v>14400</v>
      </c>
      <c r="K2467" s="714">
        <f t="shared" si="205"/>
        <v>14400</v>
      </c>
      <c r="L2467" s="714"/>
      <c r="M2467" s="714"/>
      <c r="N2467" s="714"/>
      <c r="O2467" s="1656">
        <f t="shared" si="206"/>
        <v>14400</v>
      </c>
      <c r="P2467" s="1205"/>
    </row>
    <row r="2468" spans="1:16" ht="17.25" customHeight="1" x14ac:dyDescent="0.25">
      <c r="A2468" s="742"/>
      <c r="B2468" s="924"/>
      <c r="C2468" s="699"/>
      <c r="D2468" s="762"/>
      <c r="E2468" s="700"/>
      <c r="F2468" s="714"/>
      <c r="G2468" s="714"/>
      <c r="H2468" s="714"/>
      <c r="I2468" s="714"/>
      <c r="J2468" s="714"/>
      <c r="K2468" s="714"/>
      <c r="L2468" s="714"/>
      <c r="M2468" s="714"/>
      <c r="N2468" s="714"/>
      <c r="O2468" s="1656"/>
      <c r="P2468" s="1205"/>
    </row>
    <row r="2469" spans="1:16" ht="17.25" customHeight="1" x14ac:dyDescent="0.25">
      <c r="A2469" s="742"/>
      <c r="B2469" s="924" t="s">
        <v>358</v>
      </c>
      <c r="C2469" s="699">
        <v>1</v>
      </c>
      <c r="D2469" s="762" t="s">
        <v>1722</v>
      </c>
      <c r="E2469" s="700">
        <v>50000</v>
      </c>
      <c r="F2469" s="714"/>
      <c r="G2469" s="714"/>
      <c r="H2469" s="714"/>
      <c r="I2469" s="714"/>
      <c r="J2469" s="714">
        <f>C2469*E2469</f>
        <v>50000</v>
      </c>
      <c r="K2469" s="714">
        <f>I2469+J2469</f>
        <v>50000</v>
      </c>
      <c r="L2469" s="714"/>
      <c r="M2469" s="714"/>
      <c r="N2469" s="714"/>
      <c r="O2469" s="1656">
        <f>N2469+K2469+H2469</f>
        <v>50000</v>
      </c>
      <c r="P2469" s="1205"/>
    </row>
    <row r="2470" spans="1:16" ht="17.25" customHeight="1" x14ac:dyDescent="0.25">
      <c r="A2470" s="742"/>
      <c r="B2470" s="924"/>
      <c r="C2470" s="699"/>
      <c r="D2470" s="762"/>
      <c r="E2470" s="700"/>
      <c r="F2470" s="714"/>
      <c r="G2470" s="714"/>
      <c r="H2470" s="714"/>
      <c r="I2470" s="714"/>
      <c r="J2470" s="714">
        <f t="shared" si="208"/>
        <v>0</v>
      </c>
      <c r="K2470" s="714">
        <f t="shared" si="205"/>
        <v>0</v>
      </c>
      <c r="L2470" s="714"/>
      <c r="M2470" s="714"/>
      <c r="N2470" s="714"/>
      <c r="O2470" s="753">
        <f t="shared" si="206"/>
        <v>0</v>
      </c>
      <c r="P2470" s="754"/>
    </row>
    <row r="2471" spans="1:16" ht="17.25" customHeight="1" x14ac:dyDescent="0.25">
      <c r="A2471" s="742"/>
      <c r="B2471" s="924" t="s">
        <v>913</v>
      </c>
      <c r="C2471" s="699"/>
      <c r="D2471" s="762"/>
      <c r="E2471" s="700"/>
      <c r="F2471" s="714"/>
      <c r="G2471" s="714"/>
      <c r="H2471" s="714"/>
      <c r="I2471" s="714"/>
      <c r="J2471" s="714">
        <f t="shared" si="208"/>
        <v>0</v>
      </c>
      <c r="K2471" s="714">
        <f t="shared" si="205"/>
        <v>0</v>
      </c>
      <c r="L2471" s="714"/>
      <c r="M2471" s="714"/>
      <c r="N2471" s="714"/>
      <c r="O2471" s="753">
        <f t="shared" si="206"/>
        <v>0</v>
      </c>
      <c r="P2471" s="754"/>
    </row>
    <row r="2472" spans="1:16" ht="17.25" customHeight="1" x14ac:dyDescent="0.25">
      <c r="A2472" s="742"/>
      <c r="B2472" s="924" t="s">
        <v>914</v>
      </c>
      <c r="C2472" s="699">
        <v>12</v>
      </c>
      <c r="D2472" s="762" t="s">
        <v>45</v>
      </c>
      <c r="E2472" s="700">
        <v>7000</v>
      </c>
      <c r="F2472" s="714"/>
      <c r="G2472" s="714"/>
      <c r="H2472" s="714"/>
      <c r="I2472" s="714">
        <f>E2472*C2472</f>
        <v>84000</v>
      </c>
      <c r="J2472" s="714"/>
      <c r="K2472" s="714">
        <f t="shared" si="205"/>
        <v>84000</v>
      </c>
      <c r="L2472" s="714"/>
      <c r="M2472" s="714"/>
      <c r="N2472" s="714"/>
      <c r="O2472" s="1656">
        <f t="shared" si="206"/>
        <v>84000</v>
      </c>
      <c r="P2472" s="1205"/>
    </row>
    <row r="2473" spans="1:16" ht="17.25" customHeight="1" x14ac:dyDescent="0.25">
      <c r="A2473" s="742"/>
      <c r="B2473" s="924"/>
      <c r="C2473" s="699"/>
      <c r="D2473" s="762"/>
      <c r="E2473" s="700"/>
      <c r="F2473" s="714"/>
      <c r="G2473" s="714"/>
      <c r="H2473" s="714"/>
      <c r="I2473" s="714"/>
      <c r="J2473" s="714">
        <f>C2473*E2473</f>
        <v>0</v>
      </c>
      <c r="K2473" s="714">
        <f t="shared" si="205"/>
        <v>0</v>
      </c>
      <c r="L2473" s="714"/>
      <c r="M2473" s="714"/>
      <c r="N2473" s="714"/>
      <c r="O2473" s="1656">
        <f t="shared" si="206"/>
        <v>0</v>
      </c>
      <c r="P2473" s="1205"/>
    </row>
    <row r="2474" spans="1:16" ht="17.25" customHeight="1" x14ac:dyDescent="0.25">
      <c r="A2474" s="742"/>
      <c r="B2474" s="924" t="s">
        <v>915</v>
      </c>
      <c r="C2474" s="699"/>
      <c r="D2474" s="762"/>
      <c r="E2474" s="700"/>
      <c r="F2474" s="714"/>
      <c r="G2474" s="714"/>
      <c r="H2474" s="714"/>
      <c r="I2474" s="714"/>
      <c r="J2474" s="714">
        <f>C2474*E2474</f>
        <v>0</v>
      </c>
      <c r="K2474" s="714">
        <f t="shared" si="205"/>
        <v>0</v>
      </c>
      <c r="L2474" s="714"/>
      <c r="M2474" s="714"/>
      <c r="N2474" s="714"/>
      <c r="O2474" s="1656">
        <f t="shared" si="206"/>
        <v>0</v>
      </c>
      <c r="P2474" s="1205"/>
    </row>
    <row r="2475" spans="1:16" ht="17.25" customHeight="1" x14ac:dyDescent="0.25">
      <c r="A2475" s="742"/>
      <c r="B2475" s="924" t="s">
        <v>916</v>
      </c>
      <c r="C2475" s="699">
        <v>12</v>
      </c>
      <c r="D2475" s="762" t="s">
        <v>45</v>
      </c>
      <c r="E2475" s="700">
        <v>2500</v>
      </c>
      <c r="F2475" s="714"/>
      <c r="G2475" s="714"/>
      <c r="H2475" s="714"/>
      <c r="I2475" s="714">
        <f>E2475*C2475</f>
        <v>30000</v>
      </c>
      <c r="J2475" s="714"/>
      <c r="K2475" s="714">
        <f t="shared" si="205"/>
        <v>30000</v>
      </c>
      <c r="L2475" s="714"/>
      <c r="M2475" s="714"/>
      <c r="N2475" s="714"/>
      <c r="O2475" s="1656">
        <f t="shared" si="206"/>
        <v>30000</v>
      </c>
      <c r="P2475" s="1205"/>
    </row>
    <row r="2476" spans="1:16" ht="17.25" customHeight="1" x14ac:dyDescent="0.25">
      <c r="A2476" s="742"/>
      <c r="B2476" s="924"/>
      <c r="C2476" s="699"/>
      <c r="D2476" s="762"/>
      <c r="E2476" s="700"/>
      <c r="F2476" s="714"/>
      <c r="G2476" s="714"/>
      <c r="H2476" s="714"/>
      <c r="I2476" s="714"/>
      <c r="J2476" s="714">
        <f>C2476*E2476</f>
        <v>0</v>
      </c>
      <c r="K2476" s="714">
        <f t="shared" si="205"/>
        <v>0</v>
      </c>
      <c r="L2476" s="714"/>
      <c r="M2476" s="714"/>
      <c r="N2476" s="714"/>
      <c r="O2476" s="753">
        <f t="shared" si="206"/>
        <v>0</v>
      </c>
      <c r="P2476" s="754"/>
    </row>
    <row r="2477" spans="1:16" ht="17.25" customHeight="1" x14ac:dyDescent="0.25">
      <c r="A2477" s="742"/>
      <c r="B2477" s="924" t="s">
        <v>917</v>
      </c>
      <c r="C2477" s="699"/>
      <c r="D2477" s="762"/>
      <c r="E2477" s="700"/>
      <c r="F2477" s="714"/>
      <c r="G2477" s="714"/>
      <c r="H2477" s="714"/>
      <c r="I2477" s="714"/>
      <c r="J2477" s="714">
        <f>C2477*E2477</f>
        <v>0</v>
      </c>
      <c r="K2477" s="714">
        <f t="shared" si="205"/>
        <v>0</v>
      </c>
      <c r="L2477" s="714"/>
      <c r="M2477" s="714"/>
      <c r="N2477" s="714"/>
      <c r="O2477" s="753">
        <f t="shared" si="206"/>
        <v>0</v>
      </c>
      <c r="P2477" s="754"/>
    </row>
    <row r="2478" spans="1:16" ht="17.25" customHeight="1" x14ac:dyDescent="0.25">
      <c r="A2478" s="742"/>
      <c r="B2478" s="924" t="s">
        <v>918</v>
      </c>
      <c r="C2478" s="699">
        <v>12</v>
      </c>
      <c r="D2478" s="762" t="s">
        <v>45</v>
      </c>
      <c r="E2478" s="700">
        <v>750</v>
      </c>
      <c r="F2478" s="714"/>
      <c r="G2478" s="714"/>
      <c r="H2478" s="714"/>
      <c r="I2478" s="714">
        <f>E2478*C2478</f>
        <v>9000</v>
      </c>
      <c r="J2478" s="714"/>
      <c r="K2478" s="714">
        <f t="shared" si="205"/>
        <v>9000</v>
      </c>
      <c r="L2478" s="714"/>
      <c r="M2478" s="714"/>
      <c r="N2478" s="714"/>
      <c r="O2478" s="1656">
        <f t="shared" si="206"/>
        <v>9000</v>
      </c>
      <c r="P2478" s="1205"/>
    </row>
    <row r="2479" spans="1:16" ht="17.25" customHeight="1" x14ac:dyDescent="0.25">
      <c r="A2479" s="742"/>
      <c r="B2479" s="924"/>
      <c r="C2479" s="699"/>
      <c r="D2479" s="762"/>
      <c r="E2479" s="700"/>
      <c r="F2479" s="714"/>
      <c r="G2479" s="714"/>
      <c r="H2479" s="714"/>
      <c r="I2479" s="714"/>
      <c r="J2479" s="714">
        <f>C2479*E2479</f>
        <v>0</v>
      </c>
      <c r="K2479" s="714">
        <f t="shared" si="205"/>
        <v>0</v>
      </c>
      <c r="L2479" s="714"/>
      <c r="M2479" s="714"/>
      <c r="N2479" s="714"/>
      <c r="O2479" s="1656">
        <f t="shared" si="206"/>
        <v>0</v>
      </c>
      <c r="P2479" s="1205"/>
    </row>
    <row r="2480" spans="1:16" ht="17.25" customHeight="1" x14ac:dyDescent="0.25">
      <c r="A2480" s="742"/>
      <c r="B2480" s="924" t="s">
        <v>919</v>
      </c>
      <c r="C2480" s="699"/>
      <c r="D2480" s="762"/>
      <c r="E2480" s="700"/>
      <c r="F2480" s="714"/>
      <c r="G2480" s="714"/>
      <c r="H2480" s="714"/>
      <c r="I2480" s="714"/>
      <c r="J2480" s="714">
        <f>C2480*E2480</f>
        <v>0</v>
      </c>
      <c r="K2480" s="714">
        <f t="shared" si="205"/>
        <v>0</v>
      </c>
      <c r="L2480" s="714"/>
      <c r="M2480" s="714"/>
      <c r="N2480" s="714"/>
      <c r="O2480" s="1656">
        <f t="shared" si="206"/>
        <v>0</v>
      </c>
      <c r="P2480" s="1205"/>
    </row>
    <row r="2481" spans="1:16" ht="17.25" customHeight="1" x14ac:dyDescent="0.25">
      <c r="A2481" s="742"/>
      <c r="B2481" s="924" t="s">
        <v>920</v>
      </c>
      <c r="C2481" s="699">
        <v>12</v>
      </c>
      <c r="D2481" s="762" t="s">
        <v>45</v>
      </c>
      <c r="E2481" s="700">
        <v>750</v>
      </c>
      <c r="F2481" s="714"/>
      <c r="G2481" s="714"/>
      <c r="H2481" s="714"/>
      <c r="I2481" s="714">
        <f>E2481*C2481</f>
        <v>9000</v>
      </c>
      <c r="J2481" s="714"/>
      <c r="K2481" s="714">
        <f t="shared" si="205"/>
        <v>9000</v>
      </c>
      <c r="L2481" s="714"/>
      <c r="M2481" s="714"/>
      <c r="N2481" s="714"/>
      <c r="O2481" s="1656">
        <f t="shared" si="206"/>
        <v>9000</v>
      </c>
      <c r="P2481" s="1205"/>
    </row>
    <row r="2482" spans="1:16" ht="17.25" customHeight="1" x14ac:dyDescent="0.25">
      <c r="A2482" s="742"/>
      <c r="B2482" s="924"/>
      <c r="C2482" s="699"/>
      <c r="D2482" s="762"/>
      <c r="E2482" s="700"/>
      <c r="F2482" s="714"/>
      <c r="G2482" s="714"/>
      <c r="H2482" s="714"/>
      <c r="I2482" s="714"/>
      <c r="J2482" s="714">
        <f>C2482*E2482</f>
        <v>0</v>
      </c>
      <c r="K2482" s="714">
        <f t="shared" si="205"/>
        <v>0</v>
      </c>
      <c r="L2482" s="714"/>
      <c r="M2482" s="714"/>
      <c r="N2482" s="714"/>
      <c r="O2482" s="753">
        <f t="shared" si="206"/>
        <v>0</v>
      </c>
      <c r="P2482" s="754"/>
    </row>
    <row r="2483" spans="1:16" ht="17.25" customHeight="1" x14ac:dyDescent="0.25">
      <c r="A2483" s="742"/>
      <c r="B2483" s="924" t="s">
        <v>212</v>
      </c>
      <c r="C2483" s="699"/>
      <c r="D2483" s="762"/>
      <c r="E2483" s="700"/>
      <c r="F2483" s="714"/>
      <c r="G2483" s="714"/>
      <c r="H2483" s="714"/>
      <c r="I2483" s="714"/>
      <c r="J2483" s="714">
        <f>C2483*E2483</f>
        <v>0</v>
      </c>
      <c r="K2483" s="714">
        <f t="shared" si="205"/>
        <v>0</v>
      </c>
      <c r="L2483" s="714"/>
      <c r="M2483" s="714"/>
      <c r="N2483" s="714"/>
      <c r="O2483" s="753">
        <f t="shared" si="206"/>
        <v>0</v>
      </c>
      <c r="P2483" s="754"/>
    </row>
    <row r="2484" spans="1:16" ht="17.25" customHeight="1" x14ac:dyDescent="0.25">
      <c r="A2484" s="742"/>
      <c r="B2484" s="924" t="s">
        <v>921</v>
      </c>
      <c r="C2484" s="699">
        <v>1</v>
      </c>
      <c r="D2484" s="762" t="s">
        <v>1722</v>
      </c>
      <c r="E2484" s="700">
        <v>165000</v>
      </c>
      <c r="F2484" s="714"/>
      <c r="G2484" s="714"/>
      <c r="H2484" s="714"/>
      <c r="I2484" s="714">
        <f>E2484*C2484</f>
        <v>165000</v>
      </c>
      <c r="J2484" s="714"/>
      <c r="K2484" s="714">
        <f t="shared" si="205"/>
        <v>165000</v>
      </c>
      <c r="L2484" s="714"/>
      <c r="M2484" s="714"/>
      <c r="N2484" s="714"/>
      <c r="O2484" s="1656">
        <f t="shared" si="206"/>
        <v>165000</v>
      </c>
      <c r="P2484" s="1205"/>
    </row>
    <row r="2485" spans="1:16" ht="17.25" customHeight="1" x14ac:dyDescent="0.25">
      <c r="A2485" s="742"/>
      <c r="B2485" s="924" t="s">
        <v>922</v>
      </c>
      <c r="C2485" s="699"/>
      <c r="D2485" s="762"/>
      <c r="E2485" s="700"/>
      <c r="F2485" s="714"/>
      <c r="G2485" s="714"/>
      <c r="H2485" s="714"/>
      <c r="I2485" s="714"/>
      <c r="J2485" s="714">
        <f>C2485*E2485</f>
        <v>0</v>
      </c>
      <c r="K2485" s="714">
        <f t="shared" si="205"/>
        <v>0</v>
      </c>
      <c r="L2485" s="714"/>
      <c r="M2485" s="714"/>
      <c r="N2485" s="714"/>
      <c r="O2485" s="753">
        <f t="shared" si="206"/>
        <v>0</v>
      </c>
      <c r="P2485" s="754"/>
    </row>
    <row r="2486" spans="1:16" ht="17.25" customHeight="1" x14ac:dyDescent="0.25">
      <c r="A2486" s="742"/>
      <c r="B2486" s="924" t="s">
        <v>923</v>
      </c>
      <c r="C2486" s="699">
        <v>12</v>
      </c>
      <c r="D2486" s="762" t="s">
        <v>45</v>
      </c>
      <c r="E2486" s="700">
        <v>7500</v>
      </c>
      <c r="F2486" s="714"/>
      <c r="G2486" s="714"/>
      <c r="H2486" s="714"/>
      <c r="I2486" s="714">
        <f>E2486*C2486</f>
        <v>90000</v>
      </c>
      <c r="J2486" s="714"/>
      <c r="K2486" s="714">
        <f t="shared" si="205"/>
        <v>90000</v>
      </c>
      <c r="L2486" s="714"/>
      <c r="M2486" s="714"/>
      <c r="N2486" s="714"/>
      <c r="O2486" s="1656">
        <f t="shared" si="206"/>
        <v>90000</v>
      </c>
      <c r="P2486" s="1205"/>
    </row>
    <row r="2487" spans="1:16" ht="17.25" customHeight="1" x14ac:dyDescent="0.25">
      <c r="A2487" s="742"/>
      <c r="B2487" s="924" t="s">
        <v>924</v>
      </c>
      <c r="C2487" s="699">
        <v>12</v>
      </c>
      <c r="D2487" s="762" t="s">
        <v>20</v>
      </c>
      <c r="E2487" s="700">
        <v>5000</v>
      </c>
      <c r="F2487" s="714"/>
      <c r="G2487" s="714"/>
      <c r="H2487" s="714"/>
      <c r="I2487" s="714">
        <f>E2487*C2487</f>
        <v>60000</v>
      </c>
      <c r="J2487" s="714"/>
      <c r="K2487" s="714">
        <f t="shared" si="205"/>
        <v>60000</v>
      </c>
      <c r="L2487" s="714"/>
      <c r="M2487" s="714"/>
      <c r="N2487" s="714"/>
      <c r="O2487" s="1656">
        <f t="shared" si="206"/>
        <v>60000</v>
      </c>
      <c r="P2487" s="1205"/>
    </row>
    <row r="2488" spans="1:16" ht="17.25" customHeight="1" x14ac:dyDescent="0.25">
      <c r="A2488" s="742"/>
      <c r="B2488" s="924" t="s">
        <v>925</v>
      </c>
      <c r="C2488" s="699">
        <v>12</v>
      </c>
      <c r="D2488" s="762" t="s">
        <v>45</v>
      </c>
      <c r="E2488" s="700">
        <v>12000</v>
      </c>
      <c r="F2488" s="714"/>
      <c r="G2488" s="714"/>
      <c r="H2488" s="714"/>
      <c r="I2488" s="714">
        <f>E2488*C2488</f>
        <v>144000</v>
      </c>
      <c r="J2488" s="714"/>
      <c r="K2488" s="714">
        <f t="shared" si="205"/>
        <v>144000</v>
      </c>
      <c r="L2488" s="714"/>
      <c r="M2488" s="714"/>
      <c r="N2488" s="714"/>
      <c r="O2488" s="1656">
        <f t="shared" si="206"/>
        <v>144000</v>
      </c>
      <c r="P2488" s="1205"/>
    </row>
    <row r="2489" spans="1:16" ht="17.25" customHeight="1" x14ac:dyDescent="0.25">
      <c r="A2489" s="742"/>
      <c r="B2489" s="924" t="s">
        <v>926</v>
      </c>
      <c r="C2489" s="699">
        <v>12</v>
      </c>
      <c r="D2489" s="762" t="s">
        <v>45</v>
      </c>
      <c r="E2489" s="700">
        <v>5000</v>
      </c>
      <c r="F2489" s="714"/>
      <c r="G2489" s="714"/>
      <c r="H2489" s="714"/>
      <c r="I2489" s="714">
        <f>E2489*C2489</f>
        <v>60000</v>
      </c>
      <c r="J2489" s="714"/>
      <c r="K2489" s="714">
        <f t="shared" si="205"/>
        <v>60000</v>
      </c>
      <c r="L2489" s="714"/>
      <c r="M2489" s="714"/>
      <c r="N2489" s="714"/>
      <c r="O2489" s="1656">
        <f t="shared" si="206"/>
        <v>60000</v>
      </c>
      <c r="P2489" s="1205"/>
    </row>
    <row r="2490" spans="1:16" ht="17.25" customHeight="1" x14ac:dyDescent="0.25">
      <c r="A2490" s="742"/>
      <c r="B2490" s="924" t="s">
        <v>927</v>
      </c>
      <c r="C2490" s="699">
        <v>12</v>
      </c>
      <c r="D2490" s="762" t="s">
        <v>45</v>
      </c>
      <c r="E2490" s="700">
        <v>3800</v>
      </c>
      <c r="F2490" s="714"/>
      <c r="G2490" s="714"/>
      <c r="H2490" s="714"/>
      <c r="I2490" s="714">
        <f>E2490*C2490</f>
        <v>45600</v>
      </c>
      <c r="J2490" s="714"/>
      <c r="K2490" s="714">
        <f t="shared" si="205"/>
        <v>45600</v>
      </c>
      <c r="L2490" s="714"/>
      <c r="M2490" s="714"/>
      <c r="N2490" s="714"/>
      <c r="O2490" s="1656">
        <f t="shared" si="206"/>
        <v>45600</v>
      </c>
      <c r="P2490" s="1205"/>
    </row>
    <row r="2491" spans="1:16" ht="17.25" customHeight="1" x14ac:dyDescent="0.25">
      <c r="A2491" s="742"/>
      <c r="B2491" s="924"/>
      <c r="C2491" s="699"/>
      <c r="D2491" s="762"/>
      <c r="E2491" s="700"/>
      <c r="F2491" s="714"/>
      <c r="G2491" s="714"/>
      <c r="H2491" s="714"/>
      <c r="I2491" s="714"/>
      <c r="J2491" s="714">
        <f>C2491*E2491</f>
        <v>0</v>
      </c>
      <c r="K2491" s="714">
        <f t="shared" si="205"/>
        <v>0</v>
      </c>
      <c r="L2491" s="714"/>
      <c r="M2491" s="714"/>
      <c r="N2491" s="714"/>
      <c r="O2491" s="753">
        <f t="shared" si="206"/>
        <v>0</v>
      </c>
      <c r="P2491" s="754"/>
    </row>
    <row r="2492" spans="1:16" ht="17.25" customHeight="1" x14ac:dyDescent="0.25">
      <c r="A2492" s="742"/>
      <c r="B2492" s="924" t="s">
        <v>928</v>
      </c>
      <c r="C2492" s="699"/>
      <c r="D2492" s="762"/>
      <c r="E2492" s="700"/>
      <c r="F2492" s="714"/>
      <c r="G2492" s="714"/>
      <c r="H2492" s="714"/>
      <c r="I2492" s="714"/>
      <c r="J2492" s="714">
        <f>C2492*E2492</f>
        <v>0</v>
      </c>
      <c r="K2492" s="714">
        <f t="shared" si="205"/>
        <v>0</v>
      </c>
      <c r="L2492" s="714"/>
      <c r="M2492" s="714"/>
      <c r="N2492" s="714"/>
      <c r="O2492" s="753">
        <f t="shared" si="206"/>
        <v>0</v>
      </c>
      <c r="P2492" s="754"/>
    </row>
    <row r="2493" spans="1:16" ht="17.25" customHeight="1" x14ac:dyDescent="0.25">
      <c r="A2493" s="742"/>
      <c r="B2493" s="924" t="s">
        <v>929</v>
      </c>
      <c r="C2493" s="699">
        <v>24</v>
      </c>
      <c r="D2493" s="762" t="s">
        <v>20</v>
      </c>
      <c r="E2493" s="700">
        <v>1800</v>
      </c>
      <c r="F2493" s="714"/>
      <c r="G2493" s="714"/>
      <c r="H2493" s="714"/>
      <c r="I2493" s="714">
        <f>E2493*C2493</f>
        <v>43200</v>
      </c>
      <c r="J2493" s="714"/>
      <c r="K2493" s="714">
        <f t="shared" si="205"/>
        <v>43200</v>
      </c>
      <c r="L2493" s="714"/>
      <c r="M2493" s="714"/>
      <c r="N2493" s="714"/>
      <c r="O2493" s="1656">
        <f t="shared" si="206"/>
        <v>43200</v>
      </c>
      <c r="P2493" s="1205"/>
    </row>
    <row r="2494" spans="1:16" ht="17.25" customHeight="1" x14ac:dyDescent="0.25">
      <c r="A2494" s="742"/>
      <c r="B2494" s="924" t="s">
        <v>930</v>
      </c>
      <c r="C2494" s="699">
        <v>24</v>
      </c>
      <c r="D2494" s="762" t="s">
        <v>20</v>
      </c>
      <c r="E2494" s="700">
        <v>1700</v>
      </c>
      <c r="F2494" s="714"/>
      <c r="G2494" s="714"/>
      <c r="H2494" s="714"/>
      <c r="I2494" s="714">
        <f>E2494*C2494</f>
        <v>40800</v>
      </c>
      <c r="J2494" s="714"/>
      <c r="K2494" s="714">
        <f t="shared" si="205"/>
        <v>40800</v>
      </c>
      <c r="L2494" s="714"/>
      <c r="M2494" s="714"/>
      <c r="N2494" s="714"/>
      <c r="O2494" s="1656">
        <f t="shared" si="206"/>
        <v>40800</v>
      </c>
      <c r="P2494" s="1205"/>
    </row>
    <row r="2495" spans="1:16" ht="17.25" customHeight="1" x14ac:dyDescent="0.25">
      <c r="A2495" s="742"/>
      <c r="B2495" s="924" t="s">
        <v>931</v>
      </c>
      <c r="C2495" s="699">
        <v>24</v>
      </c>
      <c r="D2495" s="762" t="s">
        <v>20</v>
      </c>
      <c r="E2495" s="700">
        <v>1700</v>
      </c>
      <c r="F2495" s="714"/>
      <c r="G2495" s="714"/>
      <c r="H2495" s="714"/>
      <c r="I2495" s="714">
        <f>E2495*C2495</f>
        <v>40800</v>
      </c>
      <c r="J2495" s="714"/>
      <c r="K2495" s="714">
        <f t="shared" si="205"/>
        <v>40800</v>
      </c>
      <c r="L2495" s="714"/>
      <c r="M2495" s="714"/>
      <c r="N2495" s="714"/>
      <c r="O2495" s="1656">
        <f t="shared" si="206"/>
        <v>40800</v>
      </c>
      <c r="P2495" s="1205"/>
    </row>
    <row r="2496" spans="1:16" ht="17.25" customHeight="1" x14ac:dyDescent="0.25">
      <c r="A2496" s="742"/>
      <c r="B2496" s="924" t="s">
        <v>2262</v>
      </c>
      <c r="C2496" s="699">
        <v>24</v>
      </c>
      <c r="D2496" s="762" t="s">
        <v>20</v>
      </c>
      <c r="E2496" s="700">
        <v>1800</v>
      </c>
      <c r="F2496" s="714"/>
      <c r="G2496" s="714"/>
      <c r="H2496" s="714"/>
      <c r="I2496" s="714">
        <f>E2496*C2496</f>
        <v>43200</v>
      </c>
      <c r="J2496" s="714"/>
      <c r="K2496" s="714">
        <f>I2496+J2496</f>
        <v>43200</v>
      </c>
      <c r="L2496" s="714"/>
      <c r="M2496" s="714"/>
      <c r="N2496" s="714"/>
      <c r="O2496" s="1656">
        <f>N2496+K2496+H2496</f>
        <v>43200</v>
      </c>
      <c r="P2496" s="1205"/>
    </row>
    <row r="2497" spans="1:16" ht="17.25" customHeight="1" x14ac:dyDescent="0.25">
      <c r="A2497" s="742"/>
      <c r="B2497" s="924" t="s">
        <v>2263</v>
      </c>
      <c r="C2497" s="699">
        <v>1</v>
      </c>
      <c r="D2497" s="762" t="s">
        <v>2264</v>
      </c>
      <c r="E2497" s="700">
        <v>30000</v>
      </c>
      <c r="F2497" s="714"/>
      <c r="G2497" s="714"/>
      <c r="H2497" s="714"/>
      <c r="I2497" s="714">
        <f>E2497*C2497</f>
        <v>30000</v>
      </c>
      <c r="J2497" s="714"/>
      <c r="K2497" s="714">
        <f>I2497+J2497</f>
        <v>30000</v>
      </c>
      <c r="L2497" s="714"/>
      <c r="M2497" s="714"/>
      <c r="N2497" s="714"/>
      <c r="O2497" s="1656">
        <f>N2497+K2497+H2497</f>
        <v>30000</v>
      </c>
      <c r="P2497" s="1205"/>
    </row>
    <row r="2498" spans="1:16" ht="17.25" customHeight="1" x14ac:dyDescent="0.25">
      <c r="A2498" s="742"/>
      <c r="B2498" s="924"/>
      <c r="C2498" s="699"/>
      <c r="D2498" s="762"/>
      <c r="E2498" s="700"/>
      <c r="F2498" s="714"/>
      <c r="G2498" s="714"/>
      <c r="H2498" s="714"/>
      <c r="I2498" s="714"/>
      <c r="J2498" s="714">
        <f>C2498*E2498</f>
        <v>0</v>
      </c>
      <c r="K2498" s="714">
        <f t="shared" si="205"/>
        <v>0</v>
      </c>
      <c r="L2498" s="714"/>
      <c r="M2498" s="714"/>
      <c r="N2498" s="714"/>
      <c r="O2498" s="753">
        <f t="shared" si="206"/>
        <v>0</v>
      </c>
      <c r="P2498" s="754"/>
    </row>
    <row r="2499" spans="1:16" ht="17.25" customHeight="1" x14ac:dyDescent="0.25">
      <c r="A2499" s="742"/>
      <c r="B2499" s="924" t="s">
        <v>932</v>
      </c>
      <c r="C2499" s="699"/>
      <c r="D2499" s="762"/>
      <c r="E2499" s="700"/>
      <c r="F2499" s="714"/>
      <c r="G2499" s="714"/>
      <c r="H2499" s="714"/>
      <c r="I2499" s="714"/>
      <c r="J2499" s="714">
        <f>C2499*E2499</f>
        <v>0</v>
      </c>
      <c r="K2499" s="714">
        <f t="shared" si="205"/>
        <v>0</v>
      </c>
      <c r="L2499" s="714"/>
      <c r="M2499" s="714"/>
      <c r="N2499" s="714"/>
      <c r="O2499" s="753">
        <f t="shared" si="206"/>
        <v>0</v>
      </c>
      <c r="P2499" s="754"/>
    </row>
    <row r="2500" spans="1:16" ht="17.25" customHeight="1" x14ac:dyDescent="0.25">
      <c r="A2500" s="742"/>
      <c r="B2500" s="756" t="s">
        <v>933</v>
      </c>
      <c r="C2500" s="713">
        <v>1</v>
      </c>
      <c r="D2500" s="727" t="s">
        <v>47</v>
      </c>
      <c r="E2500" s="695">
        <v>20000</v>
      </c>
      <c r="F2500" s="714"/>
      <c r="G2500" s="714"/>
      <c r="H2500" s="714"/>
      <c r="I2500" s="714">
        <f>E2500*C2500</f>
        <v>20000</v>
      </c>
      <c r="J2500" s="714"/>
      <c r="K2500" s="714">
        <f t="shared" si="205"/>
        <v>20000</v>
      </c>
      <c r="L2500" s="714"/>
      <c r="M2500" s="714"/>
      <c r="N2500" s="714"/>
      <c r="O2500" s="1656">
        <f t="shared" si="206"/>
        <v>20000</v>
      </c>
      <c r="P2500" s="1205"/>
    </row>
    <row r="2501" spans="1:16" ht="17.25" customHeight="1" x14ac:dyDescent="0.25">
      <c r="A2501" s="878"/>
      <c r="B2501" s="891"/>
      <c r="C2501" s="886"/>
      <c r="D2501" s="704"/>
      <c r="E2501" s="874"/>
      <c r="F2501" s="892"/>
      <c r="G2501" s="892"/>
      <c r="H2501" s="892"/>
      <c r="I2501" s="892"/>
      <c r="J2501" s="892">
        <f>C2501*E2501</f>
        <v>0</v>
      </c>
      <c r="K2501" s="892">
        <f t="shared" si="205"/>
        <v>0</v>
      </c>
      <c r="L2501" s="892"/>
      <c r="M2501" s="892"/>
      <c r="N2501" s="892"/>
      <c r="O2501" s="775">
        <f t="shared" si="206"/>
        <v>0</v>
      </c>
      <c r="P2501" s="776"/>
    </row>
    <row r="2502" spans="1:16" ht="17.25" customHeight="1" x14ac:dyDescent="0.25">
      <c r="A2502" s="710"/>
      <c r="B2502" s="891" t="s">
        <v>934</v>
      </c>
      <c r="C2502" s="713"/>
      <c r="D2502" s="694"/>
      <c r="E2502" s="714"/>
      <c r="F2502" s="712"/>
      <c r="G2502" s="712"/>
      <c r="H2502" s="712"/>
      <c r="I2502" s="712"/>
      <c r="J2502" s="712">
        <f>C2502*E2502</f>
        <v>0</v>
      </c>
      <c r="K2502" s="712">
        <f t="shared" si="205"/>
        <v>0</v>
      </c>
      <c r="L2502" s="712"/>
      <c r="M2502" s="712"/>
      <c r="N2502" s="712"/>
      <c r="O2502" s="753">
        <f t="shared" si="206"/>
        <v>0</v>
      </c>
      <c r="P2502" s="754"/>
    </row>
    <row r="2503" spans="1:16" ht="17.25" customHeight="1" x14ac:dyDescent="0.25">
      <c r="A2503" s="742"/>
      <c r="B2503" s="1373" t="s">
        <v>935</v>
      </c>
      <c r="C2503" s="713">
        <v>1</v>
      </c>
      <c r="D2503" s="727" t="s">
        <v>47</v>
      </c>
      <c r="E2503" s="695">
        <v>7500</v>
      </c>
      <c r="F2503" s="747"/>
      <c r="G2503" s="747"/>
      <c r="H2503" s="747"/>
      <c r="I2503" s="747">
        <f t="shared" ref="I2503:I2508" si="209">E2503*C2503</f>
        <v>7500</v>
      </c>
      <c r="J2503" s="747"/>
      <c r="K2503" s="747">
        <f t="shared" si="205"/>
        <v>7500</v>
      </c>
      <c r="L2503" s="747"/>
      <c r="M2503" s="747"/>
      <c r="N2503" s="747"/>
      <c r="O2503" s="1208">
        <f t="shared" si="206"/>
        <v>7500</v>
      </c>
      <c r="P2503" s="1209"/>
    </row>
    <row r="2504" spans="1:16" ht="17.25" customHeight="1" x14ac:dyDescent="0.25">
      <c r="A2504" s="742"/>
      <c r="B2504" s="921" t="s">
        <v>936</v>
      </c>
      <c r="C2504" s="713">
        <v>1</v>
      </c>
      <c r="D2504" s="727" t="s">
        <v>47</v>
      </c>
      <c r="E2504" s="695">
        <v>120000</v>
      </c>
      <c r="F2504" s="747"/>
      <c r="G2504" s="747"/>
      <c r="H2504" s="747"/>
      <c r="I2504" s="747">
        <f t="shared" si="209"/>
        <v>120000</v>
      </c>
      <c r="J2504" s="747"/>
      <c r="K2504" s="747">
        <f t="shared" si="205"/>
        <v>120000</v>
      </c>
      <c r="L2504" s="747"/>
      <c r="M2504" s="747"/>
      <c r="N2504" s="747"/>
      <c r="O2504" s="1208">
        <f t="shared" si="206"/>
        <v>120000</v>
      </c>
      <c r="P2504" s="1209"/>
    </row>
    <row r="2505" spans="1:16" ht="17.25" customHeight="1" x14ac:dyDescent="0.25">
      <c r="A2505" s="742"/>
      <c r="B2505" s="921" t="s">
        <v>937</v>
      </c>
      <c r="C2505" s="713">
        <v>1</v>
      </c>
      <c r="D2505" s="727" t="s">
        <v>47</v>
      </c>
      <c r="E2505" s="695">
        <v>5000</v>
      </c>
      <c r="F2505" s="747"/>
      <c r="G2505" s="747"/>
      <c r="H2505" s="747"/>
      <c r="I2505" s="747">
        <f t="shared" si="209"/>
        <v>5000</v>
      </c>
      <c r="J2505" s="747"/>
      <c r="K2505" s="747">
        <f t="shared" si="205"/>
        <v>5000</v>
      </c>
      <c r="L2505" s="747"/>
      <c r="M2505" s="747"/>
      <c r="N2505" s="747"/>
      <c r="O2505" s="1208">
        <f t="shared" si="206"/>
        <v>5000</v>
      </c>
      <c r="P2505" s="1209"/>
    </row>
    <row r="2506" spans="1:16" ht="17.25" customHeight="1" x14ac:dyDescent="0.25">
      <c r="A2506" s="742"/>
      <c r="B2506" s="921" t="s">
        <v>2269</v>
      </c>
      <c r="C2506" s="713">
        <v>1</v>
      </c>
      <c r="D2506" s="727" t="s">
        <v>47</v>
      </c>
      <c r="E2506" s="695">
        <v>10000</v>
      </c>
      <c r="F2506" s="747"/>
      <c r="G2506" s="747"/>
      <c r="H2506" s="747"/>
      <c r="I2506" s="747">
        <f t="shared" si="209"/>
        <v>10000</v>
      </c>
      <c r="J2506" s="747"/>
      <c r="K2506" s="747">
        <f t="shared" si="205"/>
        <v>10000</v>
      </c>
      <c r="L2506" s="747"/>
      <c r="M2506" s="747"/>
      <c r="N2506" s="747"/>
      <c r="O2506" s="1208">
        <f t="shared" si="206"/>
        <v>10000</v>
      </c>
      <c r="P2506" s="1209"/>
    </row>
    <row r="2507" spans="1:16" ht="17.25" customHeight="1" x14ac:dyDescent="0.25">
      <c r="A2507" s="742"/>
      <c r="B2507" s="921" t="s">
        <v>938</v>
      </c>
      <c r="C2507" s="713">
        <v>1</v>
      </c>
      <c r="D2507" s="727" t="s">
        <v>47</v>
      </c>
      <c r="E2507" s="695">
        <v>4500</v>
      </c>
      <c r="F2507" s="747"/>
      <c r="G2507" s="747"/>
      <c r="H2507" s="747"/>
      <c r="I2507" s="747">
        <f t="shared" si="209"/>
        <v>4500</v>
      </c>
      <c r="J2507" s="747"/>
      <c r="K2507" s="747">
        <f t="shared" ref="K2507:K2520" si="210">I2507+J2507</f>
        <v>4500</v>
      </c>
      <c r="L2507" s="747"/>
      <c r="M2507" s="747"/>
      <c r="N2507" s="747"/>
      <c r="O2507" s="1208">
        <f t="shared" ref="O2507:O2520" si="211">N2507+K2507+H2507</f>
        <v>4500</v>
      </c>
      <c r="P2507" s="1209"/>
    </row>
    <row r="2508" spans="1:16" ht="17.25" customHeight="1" x14ac:dyDescent="0.25">
      <c r="A2508" s="742"/>
      <c r="B2508" s="922" t="s">
        <v>939</v>
      </c>
      <c r="C2508" s="713">
        <v>1</v>
      </c>
      <c r="D2508" s="727" t="s">
        <v>47</v>
      </c>
      <c r="E2508" s="695">
        <v>15000</v>
      </c>
      <c r="F2508" s="747"/>
      <c r="G2508" s="747"/>
      <c r="H2508" s="747"/>
      <c r="I2508" s="747">
        <f t="shared" si="209"/>
        <v>15000</v>
      </c>
      <c r="J2508" s="747"/>
      <c r="K2508" s="747">
        <f t="shared" si="210"/>
        <v>15000</v>
      </c>
      <c r="L2508" s="747"/>
      <c r="M2508" s="747"/>
      <c r="N2508" s="747"/>
      <c r="O2508" s="1208">
        <f t="shared" si="211"/>
        <v>15000</v>
      </c>
      <c r="P2508" s="1209"/>
    </row>
    <row r="2509" spans="1:16" ht="17.25" customHeight="1" x14ac:dyDescent="0.25">
      <c r="A2509" s="742"/>
      <c r="B2509" s="922"/>
      <c r="C2509" s="713"/>
      <c r="D2509" s="727"/>
      <c r="E2509" s="695"/>
      <c r="F2509" s="747"/>
      <c r="G2509" s="747"/>
      <c r="H2509" s="747"/>
      <c r="I2509" s="747"/>
      <c r="J2509" s="747">
        <f>C2509*E2509</f>
        <v>0</v>
      </c>
      <c r="K2509" s="747">
        <f t="shared" si="210"/>
        <v>0</v>
      </c>
      <c r="L2509" s="747"/>
      <c r="M2509" s="747"/>
      <c r="N2509" s="747"/>
      <c r="O2509" s="748">
        <f t="shared" si="211"/>
        <v>0</v>
      </c>
      <c r="P2509" s="749"/>
    </row>
    <row r="2510" spans="1:16" ht="17.25" customHeight="1" x14ac:dyDescent="0.25">
      <c r="A2510" s="742"/>
      <c r="B2510" s="922" t="s">
        <v>2272</v>
      </c>
      <c r="C2510" s="713"/>
      <c r="D2510" s="727"/>
      <c r="E2510" s="695"/>
      <c r="F2510" s="747"/>
      <c r="G2510" s="747"/>
      <c r="H2510" s="747"/>
      <c r="I2510" s="747"/>
      <c r="J2510" s="747"/>
      <c r="K2510" s="747"/>
      <c r="L2510" s="747"/>
      <c r="M2510" s="747"/>
      <c r="N2510" s="747"/>
      <c r="O2510" s="748"/>
      <c r="P2510" s="749"/>
    </row>
    <row r="2511" spans="1:16" ht="17.25" customHeight="1" x14ac:dyDescent="0.25">
      <c r="A2511" s="742"/>
      <c r="B2511" s="922" t="s">
        <v>48</v>
      </c>
      <c r="C2511" s="713"/>
      <c r="D2511" s="727"/>
      <c r="E2511" s="695"/>
      <c r="F2511" s="747"/>
      <c r="G2511" s="747"/>
      <c r="H2511" s="747"/>
      <c r="I2511" s="747"/>
      <c r="J2511" s="747">
        <f>C2511*E2511</f>
        <v>0</v>
      </c>
      <c r="K2511" s="747">
        <f t="shared" si="210"/>
        <v>0</v>
      </c>
      <c r="L2511" s="747"/>
      <c r="M2511" s="747"/>
      <c r="N2511" s="747"/>
      <c r="O2511" s="748">
        <f t="shared" si="211"/>
        <v>0</v>
      </c>
      <c r="P2511" s="749"/>
    </row>
    <row r="2512" spans="1:16" ht="17.25" customHeight="1" x14ac:dyDescent="0.25">
      <c r="A2512" s="742"/>
      <c r="B2512" s="1584" t="s">
        <v>888</v>
      </c>
      <c r="C2512" s="713">
        <v>70</v>
      </c>
      <c r="D2512" s="727" t="s">
        <v>977</v>
      </c>
      <c r="E2512" s="695">
        <v>3080</v>
      </c>
      <c r="F2512" s="747"/>
      <c r="G2512" s="747"/>
      <c r="H2512" s="747"/>
      <c r="I2512" s="747">
        <f>E2512*C2512</f>
        <v>215600</v>
      </c>
      <c r="J2512" s="747"/>
      <c r="K2512" s="747">
        <f t="shared" si="210"/>
        <v>215600</v>
      </c>
      <c r="L2512" s="747"/>
      <c r="M2512" s="747"/>
      <c r="N2512" s="747"/>
      <c r="O2512" s="1208">
        <f t="shared" si="211"/>
        <v>215600</v>
      </c>
      <c r="P2512" s="1209"/>
    </row>
    <row r="2513" spans="1:89" ht="17.25" customHeight="1" x14ac:dyDescent="0.25">
      <c r="A2513" s="742"/>
      <c r="B2513" s="922" t="s">
        <v>889</v>
      </c>
      <c r="C2513" s="713">
        <v>210</v>
      </c>
      <c r="D2513" s="727" t="s">
        <v>131</v>
      </c>
      <c r="E2513" s="695">
        <v>500</v>
      </c>
      <c r="F2513" s="747"/>
      <c r="G2513" s="747"/>
      <c r="H2513" s="747"/>
      <c r="I2513" s="747">
        <f>E2513*C2513</f>
        <v>105000</v>
      </c>
      <c r="J2513" s="747"/>
      <c r="K2513" s="747">
        <f t="shared" si="210"/>
        <v>105000</v>
      </c>
      <c r="L2513" s="747"/>
      <c r="M2513" s="747"/>
      <c r="N2513" s="747"/>
      <c r="O2513" s="1208">
        <f t="shared" si="211"/>
        <v>105000</v>
      </c>
      <c r="P2513" s="1209"/>
    </row>
    <row r="2514" spans="1:89" ht="17.25" customHeight="1" x14ac:dyDescent="0.25">
      <c r="A2514" s="742"/>
      <c r="B2514" s="922" t="s">
        <v>890</v>
      </c>
      <c r="C2514" s="713">
        <v>140</v>
      </c>
      <c r="D2514" s="727" t="s">
        <v>131</v>
      </c>
      <c r="E2514" s="695">
        <v>419</v>
      </c>
      <c r="F2514" s="747"/>
      <c r="G2514" s="747"/>
      <c r="H2514" s="747"/>
      <c r="I2514" s="747">
        <f>E2514*C2514</f>
        <v>58660</v>
      </c>
      <c r="J2514" s="747"/>
      <c r="K2514" s="747">
        <f t="shared" si="210"/>
        <v>58660</v>
      </c>
      <c r="L2514" s="747"/>
      <c r="M2514" s="747"/>
      <c r="N2514" s="747"/>
      <c r="O2514" s="1208">
        <f t="shared" si="211"/>
        <v>58660</v>
      </c>
      <c r="P2514" s="1209"/>
    </row>
    <row r="2515" spans="1:89" ht="17.25" customHeight="1" x14ac:dyDescent="0.25">
      <c r="A2515" s="742"/>
      <c r="B2515" s="922" t="s">
        <v>892</v>
      </c>
      <c r="C2515" s="713">
        <v>70</v>
      </c>
      <c r="D2515" s="727"/>
      <c r="E2515" s="695">
        <v>80</v>
      </c>
      <c r="F2515" s="747"/>
      <c r="G2515" s="747"/>
      <c r="H2515" s="747"/>
      <c r="I2515" s="747">
        <f>E2515*C2515</f>
        <v>5600</v>
      </c>
      <c r="J2515" s="747"/>
      <c r="K2515" s="747">
        <f t="shared" si="210"/>
        <v>5600</v>
      </c>
      <c r="L2515" s="747"/>
      <c r="M2515" s="747"/>
      <c r="N2515" s="747"/>
      <c r="O2515" s="1208">
        <f t="shared" si="211"/>
        <v>5600</v>
      </c>
      <c r="P2515" s="1209"/>
    </row>
    <row r="2516" spans="1:89" ht="17.25" customHeight="1" x14ac:dyDescent="0.25">
      <c r="A2516" s="742"/>
      <c r="B2516" s="922" t="s">
        <v>893</v>
      </c>
      <c r="C2516" s="713">
        <v>140</v>
      </c>
      <c r="D2516" s="727"/>
      <c r="E2516" s="695">
        <v>250</v>
      </c>
      <c r="F2516" s="747"/>
      <c r="G2516" s="747"/>
      <c r="H2516" s="747"/>
      <c r="I2516" s="747">
        <f>E2516*C2516</f>
        <v>35000</v>
      </c>
      <c r="J2516" s="747"/>
      <c r="K2516" s="747">
        <f t="shared" si="210"/>
        <v>35000</v>
      </c>
      <c r="L2516" s="747"/>
      <c r="M2516" s="747"/>
      <c r="N2516" s="747"/>
      <c r="O2516" s="1208">
        <f t="shared" si="211"/>
        <v>35000</v>
      </c>
      <c r="P2516" s="1209"/>
    </row>
    <row r="2517" spans="1:89" s="1206" customFormat="1" ht="17.25" customHeight="1" x14ac:dyDescent="0.25">
      <c r="A2517" s="1650"/>
      <c r="B2517" s="1651" t="s">
        <v>2261</v>
      </c>
      <c r="C2517" s="1652">
        <v>1</v>
      </c>
      <c r="D2517" s="1653" t="s">
        <v>188</v>
      </c>
      <c r="E2517" s="1654">
        <v>30000</v>
      </c>
      <c r="F2517" s="1655"/>
      <c r="G2517" s="1655"/>
      <c r="H2517" s="1655"/>
      <c r="I2517" s="1655"/>
      <c r="J2517" s="1655">
        <f>C2517*E2517</f>
        <v>30000</v>
      </c>
      <c r="K2517" s="1655">
        <f t="shared" si="210"/>
        <v>30000</v>
      </c>
      <c r="L2517" s="1655"/>
      <c r="M2517" s="1655"/>
      <c r="N2517" s="1655"/>
      <c r="O2517" s="1649">
        <f t="shared" si="211"/>
        <v>30000</v>
      </c>
      <c r="P2517" s="1205"/>
      <c r="Q2517" s="1827"/>
      <c r="R2517" s="1827"/>
      <c r="S2517" s="1827"/>
      <c r="T2517" s="1827"/>
      <c r="U2517" s="1827"/>
      <c r="V2517" s="1827"/>
      <c r="W2517" s="1827"/>
      <c r="X2517" s="1827"/>
      <c r="Y2517" s="1827"/>
      <c r="Z2517" s="1827"/>
      <c r="AA2517" s="1827"/>
      <c r="AB2517" s="1827"/>
      <c r="AC2517" s="1827"/>
      <c r="AD2517" s="1827"/>
      <c r="AE2517" s="1827"/>
      <c r="AF2517" s="1827"/>
      <c r="AG2517" s="1827"/>
      <c r="AH2517" s="1827"/>
      <c r="AI2517" s="1827"/>
      <c r="AJ2517" s="1827"/>
      <c r="AK2517" s="1827"/>
      <c r="AL2517" s="1827"/>
      <c r="AM2517" s="1827"/>
      <c r="AN2517" s="1827"/>
      <c r="AO2517" s="1827"/>
      <c r="AP2517" s="1827"/>
      <c r="AQ2517" s="1827"/>
      <c r="AR2517" s="1827"/>
      <c r="AS2517" s="1827"/>
      <c r="AT2517" s="1827"/>
      <c r="AU2517" s="1827"/>
      <c r="AV2517" s="1827"/>
      <c r="AW2517" s="1827"/>
      <c r="AX2517" s="1827"/>
      <c r="AY2517" s="1827"/>
      <c r="AZ2517" s="1827"/>
      <c r="BA2517" s="1827"/>
      <c r="BB2517" s="1827"/>
      <c r="BC2517" s="1827"/>
      <c r="BD2517" s="1827"/>
      <c r="BE2517" s="1827"/>
      <c r="BF2517" s="1827"/>
      <c r="BG2517" s="1827"/>
      <c r="BH2517" s="1827"/>
      <c r="BI2517" s="1827"/>
      <c r="BJ2517" s="1827"/>
      <c r="BK2517" s="1827"/>
      <c r="BL2517" s="1827"/>
      <c r="BM2517" s="1827"/>
      <c r="BN2517" s="1827"/>
      <c r="BO2517" s="1827"/>
      <c r="BP2517" s="1827"/>
      <c r="BQ2517" s="1827"/>
      <c r="BR2517" s="1827"/>
      <c r="BS2517" s="1827"/>
      <c r="BT2517" s="1827"/>
      <c r="BU2517" s="1827"/>
      <c r="BV2517" s="1827"/>
      <c r="BW2517" s="1827"/>
      <c r="BX2517" s="1827"/>
      <c r="BY2517" s="1827"/>
      <c r="BZ2517" s="1827"/>
      <c r="CA2517" s="1827"/>
      <c r="CB2517" s="1827"/>
      <c r="CC2517" s="1827"/>
      <c r="CD2517" s="1827"/>
      <c r="CE2517" s="1827"/>
      <c r="CF2517" s="1827"/>
      <c r="CG2517" s="1827"/>
      <c r="CH2517" s="1827"/>
      <c r="CI2517" s="1827"/>
      <c r="CJ2517" s="1827"/>
      <c r="CK2517" s="1827"/>
    </row>
    <row r="2518" spans="1:89" s="1206" customFormat="1" ht="17.25" customHeight="1" x14ac:dyDescent="0.25">
      <c r="A2518" s="1650"/>
      <c r="B2518" s="1651"/>
      <c r="C2518" s="1652"/>
      <c r="D2518" s="1653"/>
      <c r="E2518" s="1654"/>
      <c r="F2518" s="1655"/>
      <c r="G2518" s="1655"/>
      <c r="H2518" s="1655"/>
      <c r="I2518" s="1655"/>
      <c r="J2518" s="1655"/>
      <c r="K2518" s="1655"/>
      <c r="L2518" s="1655"/>
      <c r="M2518" s="1655"/>
      <c r="N2518" s="1655"/>
      <c r="O2518" s="1649"/>
      <c r="P2518" s="1205"/>
      <c r="Q2518" s="1827"/>
      <c r="R2518" s="1827"/>
      <c r="S2518" s="1827"/>
      <c r="T2518" s="1827"/>
      <c r="U2518" s="1827"/>
      <c r="V2518" s="1827"/>
      <c r="W2518" s="1827"/>
      <c r="X2518" s="1827"/>
      <c r="Y2518" s="1827"/>
      <c r="Z2518" s="1827"/>
      <c r="AA2518" s="1827"/>
      <c r="AB2518" s="1827"/>
      <c r="AC2518" s="1827"/>
      <c r="AD2518" s="1827"/>
      <c r="AE2518" s="1827"/>
      <c r="AF2518" s="1827"/>
      <c r="AG2518" s="1827"/>
      <c r="AH2518" s="1827"/>
      <c r="AI2518" s="1827"/>
      <c r="AJ2518" s="1827"/>
      <c r="AK2518" s="1827"/>
      <c r="AL2518" s="1827"/>
      <c r="AM2518" s="1827"/>
      <c r="AN2518" s="1827"/>
      <c r="AO2518" s="1827"/>
      <c r="AP2518" s="1827"/>
      <c r="AQ2518" s="1827"/>
      <c r="AR2518" s="1827"/>
      <c r="AS2518" s="1827"/>
      <c r="AT2518" s="1827"/>
      <c r="AU2518" s="1827"/>
      <c r="AV2518" s="1827"/>
      <c r="AW2518" s="1827"/>
      <c r="AX2518" s="1827"/>
      <c r="AY2518" s="1827"/>
      <c r="AZ2518" s="1827"/>
      <c r="BA2518" s="1827"/>
      <c r="BB2518" s="1827"/>
      <c r="BC2518" s="1827"/>
      <c r="BD2518" s="1827"/>
      <c r="BE2518" s="1827"/>
      <c r="BF2518" s="1827"/>
      <c r="BG2518" s="1827"/>
      <c r="BH2518" s="1827"/>
      <c r="BI2518" s="1827"/>
      <c r="BJ2518" s="1827"/>
      <c r="BK2518" s="1827"/>
      <c r="BL2518" s="1827"/>
      <c r="BM2518" s="1827"/>
      <c r="BN2518" s="1827"/>
      <c r="BO2518" s="1827"/>
      <c r="BP2518" s="1827"/>
      <c r="BQ2518" s="1827"/>
      <c r="BR2518" s="1827"/>
      <c r="BS2518" s="1827"/>
      <c r="BT2518" s="1827"/>
      <c r="BU2518" s="1827"/>
      <c r="BV2518" s="1827"/>
      <c r="BW2518" s="1827"/>
      <c r="BX2518" s="1827"/>
      <c r="BY2518" s="1827"/>
      <c r="BZ2518" s="1827"/>
      <c r="CA2518" s="1827"/>
      <c r="CB2518" s="1827"/>
      <c r="CC2518" s="1827"/>
      <c r="CD2518" s="1827"/>
      <c r="CE2518" s="1827"/>
      <c r="CF2518" s="1827"/>
      <c r="CG2518" s="1827"/>
      <c r="CH2518" s="1827"/>
      <c r="CI2518" s="1827"/>
      <c r="CJ2518" s="1827"/>
      <c r="CK2518" s="1827"/>
    </row>
    <row r="2519" spans="1:89" s="1206" customFormat="1" ht="17.25" customHeight="1" x14ac:dyDescent="0.25">
      <c r="A2519" s="1650"/>
      <c r="B2519" s="1651"/>
      <c r="C2519" s="1652"/>
      <c r="D2519" s="1653"/>
      <c r="E2519" s="1654"/>
      <c r="F2519" s="1655"/>
      <c r="G2519" s="1655"/>
      <c r="H2519" s="1655"/>
      <c r="I2519" s="1655"/>
      <c r="J2519" s="1655"/>
      <c r="K2519" s="1655"/>
      <c r="L2519" s="1655"/>
      <c r="M2519" s="1655"/>
      <c r="N2519" s="1655"/>
      <c r="O2519" s="1649"/>
      <c r="P2519" s="1205"/>
      <c r="Q2519" s="1827"/>
      <c r="R2519" s="1827"/>
      <c r="S2519" s="1827"/>
      <c r="T2519" s="1827"/>
      <c r="U2519" s="1827"/>
      <c r="V2519" s="1827"/>
      <c r="W2519" s="1827"/>
      <c r="X2519" s="1827"/>
      <c r="Y2519" s="1827"/>
      <c r="Z2519" s="1827"/>
      <c r="AA2519" s="1827"/>
      <c r="AB2519" s="1827"/>
      <c r="AC2519" s="1827"/>
      <c r="AD2519" s="1827"/>
      <c r="AE2519" s="1827"/>
      <c r="AF2519" s="1827"/>
      <c r="AG2519" s="1827"/>
      <c r="AH2519" s="1827"/>
      <c r="AI2519" s="1827"/>
      <c r="AJ2519" s="1827"/>
      <c r="AK2519" s="1827"/>
      <c r="AL2519" s="1827"/>
      <c r="AM2519" s="1827"/>
      <c r="AN2519" s="1827"/>
      <c r="AO2519" s="1827"/>
      <c r="AP2519" s="1827"/>
      <c r="AQ2519" s="1827"/>
      <c r="AR2519" s="1827"/>
      <c r="AS2519" s="1827"/>
      <c r="AT2519" s="1827"/>
      <c r="AU2519" s="1827"/>
      <c r="AV2519" s="1827"/>
      <c r="AW2519" s="1827"/>
      <c r="AX2519" s="1827"/>
      <c r="AY2519" s="1827"/>
      <c r="AZ2519" s="1827"/>
      <c r="BA2519" s="1827"/>
      <c r="BB2519" s="1827"/>
      <c r="BC2519" s="1827"/>
      <c r="BD2519" s="1827"/>
      <c r="BE2519" s="1827"/>
      <c r="BF2519" s="1827"/>
      <c r="BG2519" s="1827"/>
      <c r="BH2519" s="1827"/>
      <c r="BI2519" s="1827"/>
      <c r="BJ2519" s="1827"/>
      <c r="BK2519" s="1827"/>
      <c r="BL2519" s="1827"/>
      <c r="BM2519" s="1827"/>
      <c r="BN2519" s="1827"/>
      <c r="BO2519" s="1827"/>
      <c r="BP2519" s="1827"/>
      <c r="BQ2519" s="1827"/>
      <c r="BR2519" s="1827"/>
      <c r="BS2519" s="1827"/>
      <c r="BT2519" s="1827"/>
      <c r="BU2519" s="1827"/>
      <c r="BV2519" s="1827"/>
      <c r="BW2519" s="1827"/>
      <c r="BX2519" s="1827"/>
      <c r="BY2519" s="1827"/>
      <c r="BZ2519" s="1827"/>
      <c r="CA2519" s="1827"/>
      <c r="CB2519" s="1827"/>
      <c r="CC2519" s="1827"/>
      <c r="CD2519" s="1827"/>
      <c r="CE2519" s="1827"/>
      <c r="CF2519" s="1827"/>
      <c r="CG2519" s="1827"/>
      <c r="CH2519" s="1827"/>
      <c r="CI2519" s="1827"/>
      <c r="CJ2519" s="1827"/>
      <c r="CK2519" s="1827"/>
    </row>
    <row r="2520" spans="1:89" ht="17.25" customHeight="1" x14ac:dyDescent="0.25">
      <c r="A2520" s="742"/>
      <c r="B2520" s="771" t="s">
        <v>1801</v>
      </c>
      <c r="C2520" s="713"/>
      <c r="D2520" s="727"/>
      <c r="E2520" s="695"/>
      <c r="F2520" s="747"/>
      <c r="G2520" s="747"/>
      <c r="H2520" s="747"/>
      <c r="I2520" s="747"/>
      <c r="J2520" s="747">
        <f>C2520*E2520</f>
        <v>0</v>
      </c>
      <c r="K2520" s="747">
        <f t="shared" si="210"/>
        <v>0</v>
      </c>
      <c r="L2520" s="747"/>
      <c r="M2520" s="747"/>
      <c r="N2520" s="747"/>
      <c r="O2520" s="748">
        <f t="shared" si="211"/>
        <v>0</v>
      </c>
      <c r="P2520" s="749"/>
    </row>
    <row r="2521" spans="1:89" s="1206" customFormat="1" ht="17.25" customHeight="1" x14ac:dyDescent="0.25">
      <c r="A2521" s="1207"/>
      <c r="B2521" s="1662" t="s">
        <v>1801</v>
      </c>
      <c r="C2521" s="1543">
        <v>0</v>
      </c>
      <c r="D2521" s="1663" t="s">
        <v>16</v>
      </c>
      <c r="E2521" s="1545">
        <v>25000000</v>
      </c>
      <c r="F2521" s="1664"/>
      <c r="G2521" s="1664"/>
      <c r="H2521" s="1664"/>
      <c r="I2521" s="1664"/>
      <c r="J2521" s="1664"/>
      <c r="K2521" s="1664"/>
      <c r="L2521" s="1664">
        <f>E2521*C2521</f>
        <v>0</v>
      </c>
      <c r="M2521" s="1664"/>
      <c r="N2521" s="1664">
        <f>M2521+L2521</f>
        <v>0</v>
      </c>
      <c r="O2521" s="1208">
        <f>N2521+K2521+H2521</f>
        <v>0</v>
      </c>
      <c r="P2521" s="1209"/>
      <c r="Q2521" s="1827"/>
      <c r="R2521" s="1827"/>
      <c r="S2521" s="1827"/>
      <c r="T2521" s="1827"/>
      <c r="U2521" s="1827"/>
      <c r="V2521" s="1827"/>
      <c r="W2521" s="1827"/>
      <c r="X2521" s="1827"/>
      <c r="Y2521" s="1827"/>
      <c r="Z2521" s="1827"/>
      <c r="AA2521" s="1827"/>
      <c r="AB2521" s="1827"/>
      <c r="AC2521" s="1827"/>
      <c r="AD2521" s="1827"/>
      <c r="AE2521" s="1827"/>
      <c r="AF2521" s="1827"/>
      <c r="AG2521" s="1827"/>
      <c r="AH2521" s="1827"/>
      <c r="AI2521" s="1827"/>
      <c r="AJ2521" s="1827"/>
      <c r="AK2521" s="1827"/>
      <c r="AL2521" s="1827"/>
      <c r="AM2521" s="1827"/>
      <c r="AN2521" s="1827"/>
      <c r="AO2521" s="1827"/>
      <c r="AP2521" s="1827"/>
      <c r="AQ2521" s="1827"/>
      <c r="AR2521" s="1827"/>
      <c r="AS2521" s="1827"/>
      <c r="AT2521" s="1827"/>
      <c r="AU2521" s="1827"/>
      <c r="AV2521" s="1827"/>
      <c r="AW2521" s="1827"/>
      <c r="AX2521" s="1827"/>
      <c r="AY2521" s="1827"/>
      <c r="AZ2521" s="1827"/>
      <c r="BA2521" s="1827"/>
      <c r="BB2521" s="1827"/>
      <c r="BC2521" s="1827"/>
      <c r="BD2521" s="1827"/>
      <c r="BE2521" s="1827"/>
      <c r="BF2521" s="1827"/>
      <c r="BG2521" s="1827"/>
      <c r="BH2521" s="1827"/>
      <c r="BI2521" s="1827"/>
      <c r="BJ2521" s="1827"/>
      <c r="BK2521" s="1827"/>
      <c r="BL2521" s="1827"/>
      <c r="BM2521" s="1827"/>
      <c r="BN2521" s="1827"/>
      <c r="BO2521" s="1827"/>
      <c r="BP2521" s="1827"/>
      <c r="BQ2521" s="1827"/>
      <c r="BR2521" s="1827"/>
      <c r="BS2521" s="1827"/>
      <c r="BT2521" s="1827"/>
      <c r="BU2521" s="1827"/>
      <c r="BV2521" s="1827"/>
      <c r="BW2521" s="1827"/>
      <c r="BX2521" s="1827"/>
      <c r="BY2521" s="1827"/>
      <c r="BZ2521" s="1827"/>
      <c r="CA2521" s="1827"/>
      <c r="CB2521" s="1827"/>
      <c r="CC2521" s="1827"/>
      <c r="CD2521" s="1827"/>
      <c r="CE2521" s="1827"/>
      <c r="CF2521" s="1827"/>
      <c r="CG2521" s="1827"/>
      <c r="CH2521" s="1827"/>
      <c r="CI2521" s="1827"/>
      <c r="CJ2521" s="1827"/>
      <c r="CK2521" s="1827"/>
    </row>
    <row r="2522" spans="1:89" ht="17.25" customHeight="1" x14ac:dyDescent="0.25">
      <c r="A2522" s="742"/>
      <c r="B2522" s="756"/>
      <c r="C2522" s="713"/>
      <c r="D2522" s="727"/>
      <c r="E2522" s="695"/>
      <c r="F2522" s="747"/>
      <c r="G2522" s="747"/>
      <c r="H2522" s="747"/>
      <c r="I2522" s="747"/>
      <c r="J2522" s="747"/>
      <c r="K2522" s="747"/>
      <c r="L2522" s="747"/>
      <c r="M2522" s="747"/>
      <c r="N2522" s="747"/>
      <c r="O2522" s="748"/>
      <c r="P2522" s="749"/>
    </row>
    <row r="2523" spans="1:89" ht="17.25" customHeight="1" x14ac:dyDescent="0.25">
      <c r="A2523" s="742"/>
      <c r="B2523" s="756"/>
      <c r="C2523" s="713"/>
      <c r="D2523" s="727"/>
      <c r="E2523" s="695"/>
      <c r="F2523" s="747"/>
      <c r="G2523" s="747"/>
      <c r="H2523" s="747"/>
      <c r="I2523" s="747"/>
      <c r="J2523" s="747">
        <f>C2523*E2523</f>
        <v>0</v>
      </c>
      <c r="K2523" s="747">
        <f>I2523+J2523</f>
        <v>0</v>
      </c>
      <c r="L2523" s="747"/>
      <c r="M2523" s="747"/>
      <c r="N2523" s="747"/>
      <c r="O2523" s="748">
        <f>N2523+K2523+H2523</f>
        <v>0</v>
      </c>
      <c r="P2523" s="749"/>
    </row>
    <row r="2524" spans="1:89" ht="17.25" customHeight="1" x14ac:dyDescent="0.25">
      <c r="A2524" s="742"/>
      <c r="B2524" s="771" t="s">
        <v>158</v>
      </c>
      <c r="C2524" s="713"/>
      <c r="D2524" s="727"/>
      <c r="E2524" s="695"/>
      <c r="F2524" s="747"/>
      <c r="G2524" s="747"/>
      <c r="H2524" s="747"/>
      <c r="I2524" s="747"/>
      <c r="J2524" s="747">
        <f>C2524*E2524</f>
        <v>0</v>
      </c>
      <c r="K2524" s="747">
        <f>I2524+J2524</f>
        <v>0</v>
      </c>
      <c r="L2524" s="747"/>
      <c r="M2524" s="747"/>
      <c r="N2524" s="747"/>
      <c r="O2524" s="748">
        <f>N2524+K2524+H2524</f>
        <v>0</v>
      </c>
      <c r="P2524" s="749"/>
    </row>
    <row r="2525" spans="1:89" ht="17.25" customHeight="1" x14ac:dyDescent="0.25">
      <c r="A2525" s="742"/>
      <c r="B2525" s="756" t="s">
        <v>940</v>
      </c>
      <c r="C2525" s="713">
        <v>3</v>
      </c>
      <c r="D2525" s="727" t="s">
        <v>660</v>
      </c>
      <c r="E2525" s="695">
        <v>15000</v>
      </c>
      <c r="F2525" s="747"/>
      <c r="G2525" s="747"/>
      <c r="H2525" s="747"/>
      <c r="I2525" s="747"/>
      <c r="J2525" s="747"/>
      <c r="K2525" s="747"/>
      <c r="L2525" s="747">
        <f>E2525*C2525</f>
        <v>45000</v>
      </c>
      <c r="M2525" s="747"/>
      <c r="N2525" s="747">
        <f>M2525+L2525</f>
        <v>45000</v>
      </c>
      <c r="O2525" s="1208">
        <f>N2525+K2525+H2525</f>
        <v>45000</v>
      </c>
      <c r="P2525" s="1209"/>
    </row>
    <row r="2526" spans="1:89" ht="17.25" customHeight="1" x14ac:dyDescent="0.25">
      <c r="A2526" s="742"/>
      <c r="B2526" s="756" t="s">
        <v>941</v>
      </c>
      <c r="C2526" s="713">
        <v>2</v>
      </c>
      <c r="D2526" s="727" t="s">
        <v>660</v>
      </c>
      <c r="E2526" s="695">
        <v>5000</v>
      </c>
      <c r="F2526" s="747"/>
      <c r="G2526" s="747"/>
      <c r="H2526" s="747"/>
      <c r="I2526" s="747"/>
      <c r="J2526" s="747"/>
      <c r="K2526" s="747"/>
      <c r="L2526" s="747">
        <f t="shared" ref="L2526:L2561" si="212">E2526*C2526</f>
        <v>10000</v>
      </c>
      <c r="M2526" s="747"/>
      <c r="N2526" s="747">
        <f t="shared" ref="N2526:N2561" si="213">M2526+L2526</f>
        <v>10000</v>
      </c>
      <c r="O2526" s="1208">
        <f t="shared" ref="O2526:O2561" si="214">N2526+K2526+H2526</f>
        <v>10000</v>
      </c>
      <c r="P2526" s="1209"/>
    </row>
    <row r="2527" spans="1:89" ht="17.25" customHeight="1" x14ac:dyDescent="0.25">
      <c r="A2527" s="742"/>
      <c r="B2527" s="756" t="s">
        <v>942</v>
      </c>
      <c r="C2527" s="713">
        <v>3</v>
      </c>
      <c r="D2527" s="727" t="s">
        <v>660</v>
      </c>
      <c r="E2527" s="695">
        <v>17500</v>
      </c>
      <c r="F2527" s="747"/>
      <c r="G2527" s="747"/>
      <c r="H2527" s="747"/>
      <c r="I2527" s="747"/>
      <c r="J2527" s="747"/>
      <c r="K2527" s="747"/>
      <c r="L2527" s="747">
        <f t="shared" si="212"/>
        <v>52500</v>
      </c>
      <c r="M2527" s="747"/>
      <c r="N2527" s="747">
        <f t="shared" si="213"/>
        <v>52500</v>
      </c>
      <c r="O2527" s="1208">
        <f t="shared" si="214"/>
        <v>52500</v>
      </c>
      <c r="P2527" s="1209"/>
    </row>
    <row r="2528" spans="1:89" ht="17.25" customHeight="1" x14ac:dyDescent="0.25">
      <c r="A2528" s="742"/>
      <c r="B2528" s="756" t="s">
        <v>943</v>
      </c>
      <c r="C2528" s="713">
        <v>0</v>
      </c>
      <c r="D2528" s="727" t="s">
        <v>222</v>
      </c>
      <c r="E2528" s="695">
        <v>10000</v>
      </c>
      <c r="F2528" s="747"/>
      <c r="G2528" s="747"/>
      <c r="H2528" s="747"/>
      <c r="I2528" s="747"/>
      <c r="J2528" s="747"/>
      <c r="K2528" s="747"/>
      <c r="L2528" s="747">
        <f t="shared" si="212"/>
        <v>0</v>
      </c>
      <c r="M2528" s="747"/>
      <c r="N2528" s="747">
        <f t="shared" si="213"/>
        <v>0</v>
      </c>
      <c r="O2528" s="748">
        <f t="shared" si="214"/>
        <v>0</v>
      </c>
      <c r="P2528" s="749"/>
    </row>
    <row r="2529" spans="1:16" ht="17.25" customHeight="1" x14ac:dyDescent="0.25">
      <c r="A2529" s="742"/>
      <c r="B2529" s="756" t="s">
        <v>944</v>
      </c>
      <c r="C2529" s="713">
        <v>15</v>
      </c>
      <c r="D2529" s="727" t="s">
        <v>660</v>
      </c>
      <c r="E2529" s="695">
        <v>2500</v>
      </c>
      <c r="F2529" s="747"/>
      <c r="G2529" s="747"/>
      <c r="H2529" s="747"/>
      <c r="I2529" s="747"/>
      <c r="J2529" s="747"/>
      <c r="K2529" s="747"/>
      <c r="L2529" s="747">
        <f t="shared" si="212"/>
        <v>37500</v>
      </c>
      <c r="M2529" s="747"/>
      <c r="N2529" s="747">
        <f t="shared" si="213"/>
        <v>37500</v>
      </c>
      <c r="O2529" s="1208">
        <f t="shared" si="214"/>
        <v>37500</v>
      </c>
      <c r="P2529" s="1209"/>
    </row>
    <row r="2530" spans="1:16" ht="17.25" customHeight="1" x14ac:dyDescent="0.25">
      <c r="A2530" s="742"/>
      <c r="B2530" s="756" t="s">
        <v>945</v>
      </c>
      <c r="C2530" s="713">
        <v>5</v>
      </c>
      <c r="D2530" s="739" t="s">
        <v>660</v>
      </c>
      <c r="E2530" s="695">
        <v>1000</v>
      </c>
      <c r="F2530" s="747"/>
      <c r="G2530" s="747"/>
      <c r="H2530" s="747"/>
      <c r="I2530" s="747"/>
      <c r="J2530" s="747"/>
      <c r="K2530" s="747"/>
      <c r="L2530" s="747">
        <f t="shared" si="212"/>
        <v>5000</v>
      </c>
      <c r="M2530" s="747"/>
      <c r="N2530" s="747">
        <f t="shared" si="213"/>
        <v>5000</v>
      </c>
      <c r="O2530" s="1208">
        <f t="shared" si="214"/>
        <v>5000</v>
      </c>
      <c r="P2530" s="1209"/>
    </row>
    <row r="2531" spans="1:16" ht="17.25" customHeight="1" x14ac:dyDescent="0.25">
      <c r="A2531" s="742"/>
      <c r="B2531" s="756" t="s">
        <v>946</v>
      </c>
      <c r="C2531" s="713">
        <v>0</v>
      </c>
      <c r="D2531" s="739" t="s">
        <v>660</v>
      </c>
      <c r="E2531" s="695">
        <v>5000</v>
      </c>
      <c r="F2531" s="747"/>
      <c r="G2531" s="747"/>
      <c r="H2531" s="747"/>
      <c r="I2531" s="747"/>
      <c r="J2531" s="747"/>
      <c r="K2531" s="747"/>
      <c r="L2531" s="747">
        <f t="shared" si="212"/>
        <v>0</v>
      </c>
      <c r="M2531" s="747"/>
      <c r="N2531" s="747">
        <f t="shared" si="213"/>
        <v>0</v>
      </c>
      <c r="O2531" s="748">
        <f t="shared" si="214"/>
        <v>0</v>
      </c>
      <c r="P2531" s="749"/>
    </row>
    <row r="2532" spans="1:16" ht="17.25" customHeight="1" x14ac:dyDescent="0.25">
      <c r="A2532" s="740"/>
      <c r="B2532" s="741" t="s">
        <v>2273</v>
      </c>
      <c r="C2532" s="828">
        <v>1</v>
      </c>
      <c r="D2532" s="738" t="s">
        <v>660</v>
      </c>
      <c r="E2532" s="705">
        <v>100000</v>
      </c>
      <c r="F2532" s="714"/>
      <c r="G2532" s="714"/>
      <c r="H2532" s="714"/>
      <c r="I2532" s="714"/>
      <c r="J2532" s="714"/>
      <c r="K2532" s="714"/>
      <c r="L2532" s="714">
        <f t="shared" si="212"/>
        <v>100000</v>
      </c>
      <c r="M2532" s="714"/>
      <c r="N2532" s="714">
        <f t="shared" si="213"/>
        <v>100000</v>
      </c>
      <c r="O2532" s="1656">
        <f t="shared" si="214"/>
        <v>100000</v>
      </c>
      <c r="P2532" s="1205"/>
    </row>
    <row r="2533" spans="1:16" ht="17.25" customHeight="1" x14ac:dyDescent="0.25">
      <c r="A2533" s="742"/>
      <c r="B2533" s="756" t="s">
        <v>948</v>
      </c>
      <c r="C2533" s="699">
        <v>0</v>
      </c>
      <c r="D2533" s="739" t="s">
        <v>660</v>
      </c>
      <c r="E2533" s="695">
        <v>4000</v>
      </c>
      <c r="F2533" s="714"/>
      <c r="G2533" s="714"/>
      <c r="H2533" s="714"/>
      <c r="I2533" s="714"/>
      <c r="J2533" s="714"/>
      <c r="K2533" s="714"/>
      <c r="L2533" s="714">
        <f t="shared" si="212"/>
        <v>0</v>
      </c>
      <c r="M2533" s="714"/>
      <c r="N2533" s="714">
        <f t="shared" si="213"/>
        <v>0</v>
      </c>
      <c r="O2533" s="753">
        <f t="shared" si="214"/>
        <v>0</v>
      </c>
      <c r="P2533" s="754"/>
    </row>
    <row r="2534" spans="1:16" ht="17.25" customHeight="1" x14ac:dyDescent="0.25">
      <c r="A2534" s="742"/>
      <c r="B2534" s="756" t="s">
        <v>949</v>
      </c>
      <c r="C2534" s="699">
        <v>0</v>
      </c>
      <c r="D2534" s="739" t="s">
        <v>660</v>
      </c>
      <c r="E2534" s="695">
        <v>2800</v>
      </c>
      <c r="F2534" s="747"/>
      <c r="G2534" s="747"/>
      <c r="H2534" s="747"/>
      <c r="I2534" s="747"/>
      <c r="J2534" s="747"/>
      <c r="K2534" s="747"/>
      <c r="L2534" s="747">
        <f t="shared" si="212"/>
        <v>0</v>
      </c>
      <c r="M2534" s="747"/>
      <c r="N2534" s="747">
        <f t="shared" si="213"/>
        <v>0</v>
      </c>
      <c r="O2534" s="748">
        <f t="shared" si="214"/>
        <v>0</v>
      </c>
      <c r="P2534" s="749"/>
    </row>
    <row r="2535" spans="1:16" ht="17.25" customHeight="1" x14ac:dyDescent="0.25">
      <c r="A2535" s="742"/>
      <c r="B2535" s="893" t="s">
        <v>950</v>
      </c>
      <c r="C2535" s="699">
        <v>2</v>
      </c>
      <c r="D2535" s="739" t="s">
        <v>660</v>
      </c>
      <c r="E2535" s="695">
        <v>5000</v>
      </c>
      <c r="F2535" s="714"/>
      <c r="G2535" s="714"/>
      <c r="H2535" s="714"/>
      <c r="I2535" s="714"/>
      <c r="J2535" s="714"/>
      <c r="K2535" s="714"/>
      <c r="L2535" s="714">
        <f t="shared" si="212"/>
        <v>10000</v>
      </c>
      <c r="M2535" s="714"/>
      <c r="N2535" s="714">
        <f t="shared" si="213"/>
        <v>10000</v>
      </c>
      <c r="O2535" s="753">
        <f t="shared" si="214"/>
        <v>10000</v>
      </c>
      <c r="P2535" s="754"/>
    </row>
    <row r="2536" spans="1:16" ht="17.25" customHeight="1" x14ac:dyDescent="0.25">
      <c r="A2536" s="742"/>
      <c r="B2536" s="756" t="s">
        <v>951</v>
      </c>
      <c r="C2536" s="699">
        <v>0</v>
      </c>
      <c r="D2536" s="739" t="s">
        <v>660</v>
      </c>
      <c r="E2536" s="695">
        <v>12500</v>
      </c>
      <c r="F2536" s="714"/>
      <c r="G2536" s="714"/>
      <c r="H2536" s="714"/>
      <c r="I2536" s="714"/>
      <c r="J2536" s="714"/>
      <c r="K2536" s="714"/>
      <c r="L2536" s="714">
        <f t="shared" si="212"/>
        <v>0</v>
      </c>
      <c r="M2536" s="714"/>
      <c r="N2536" s="714">
        <f t="shared" si="213"/>
        <v>0</v>
      </c>
      <c r="O2536" s="753">
        <f t="shared" si="214"/>
        <v>0</v>
      </c>
      <c r="P2536" s="754"/>
    </row>
    <row r="2537" spans="1:16" ht="17.25" customHeight="1" x14ac:dyDescent="0.25">
      <c r="A2537" s="742"/>
      <c r="B2537" s="756" t="s">
        <v>952</v>
      </c>
      <c r="C2537" s="699"/>
      <c r="D2537" s="739"/>
      <c r="E2537" s="695"/>
      <c r="F2537" s="714"/>
      <c r="G2537" s="714"/>
      <c r="H2537" s="714"/>
      <c r="I2537" s="714"/>
      <c r="J2537" s="714"/>
      <c r="K2537" s="714"/>
      <c r="L2537" s="714">
        <f t="shared" si="212"/>
        <v>0</v>
      </c>
      <c r="M2537" s="714"/>
      <c r="N2537" s="714">
        <f t="shared" si="213"/>
        <v>0</v>
      </c>
      <c r="O2537" s="753">
        <f t="shared" si="214"/>
        <v>0</v>
      </c>
      <c r="P2537" s="754"/>
    </row>
    <row r="2538" spans="1:16" ht="17.25" customHeight="1" x14ac:dyDescent="0.25">
      <c r="A2538" s="742"/>
      <c r="B2538" s="756" t="s">
        <v>953</v>
      </c>
      <c r="C2538" s="699">
        <v>0</v>
      </c>
      <c r="D2538" s="739" t="s">
        <v>660</v>
      </c>
      <c r="E2538" s="695">
        <v>7500</v>
      </c>
      <c r="F2538" s="714"/>
      <c r="G2538" s="714"/>
      <c r="H2538" s="714"/>
      <c r="I2538" s="714"/>
      <c r="J2538" s="714"/>
      <c r="K2538" s="714"/>
      <c r="L2538" s="714">
        <f t="shared" si="212"/>
        <v>0</v>
      </c>
      <c r="M2538" s="714"/>
      <c r="N2538" s="714">
        <f t="shared" si="213"/>
        <v>0</v>
      </c>
      <c r="O2538" s="753">
        <f t="shared" si="214"/>
        <v>0</v>
      </c>
      <c r="P2538" s="754"/>
    </row>
    <row r="2539" spans="1:16" ht="17.25" customHeight="1" x14ac:dyDescent="0.25">
      <c r="A2539" s="742"/>
      <c r="B2539" s="756" t="s">
        <v>954</v>
      </c>
      <c r="C2539" s="699">
        <v>0</v>
      </c>
      <c r="D2539" s="739" t="s">
        <v>660</v>
      </c>
      <c r="E2539" s="695">
        <v>5000</v>
      </c>
      <c r="F2539" s="714"/>
      <c r="G2539" s="714"/>
      <c r="H2539" s="714"/>
      <c r="I2539" s="714"/>
      <c r="J2539" s="714"/>
      <c r="K2539" s="714"/>
      <c r="L2539" s="714">
        <f t="shared" si="212"/>
        <v>0</v>
      </c>
      <c r="M2539" s="714"/>
      <c r="N2539" s="714">
        <f t="shared" si="213"/>
        <v>0</v>
      </c>
      <c r="O2539" s="753">
        <f t="shared" si="214"/>
        <v>0</v>
      </c>
      <c r="P2539" s="754"/>
    </row>
    <row r="2540" spans="1:16" ht="17.25" customHeight="1" x14ac:dyDescent="0.25">
      <c r="A2540" s="742"/>
      <c r="B2540" s="756" t="s">
        <v>2271</v>
      </c>
      <c r="C2540" s="699">
        <v>1</v>
      </c>
      <c r="D2540" s="739" t="s">
        <v>196</v>
      </c>
      <c r="E2540" s="695">
        <v>150000</v>
      </c>
      <c r="F2540" s="714"/>
      <c r="G2540" s="714"/>
      <c r="H2540" s="714"/>
      <c r="I2540" s="714"/>
      <c r="J2540" s="714"/>
      <c r="K2540" s="714"/>
      <c r="L2540" s="714">
        <f>E2540*C2540</f>
        <v>150000</v>
      </c>
      <c r="M2540" s="714"/>
      <c r="N2540" s="714">
        <f>M2540+L2540</f>
        <v>150000</v>
      </c>
      <c r="O2540" s="1656">
        <f>N2540+K2540+H2540</f>
        <v>150000</v>
      </c>
      <c r="P2540" s="1205"/>
    </row>
    <row r="2541" spans="1:16" ht="17.25" customHeight="1" x14ac:dyDescent="0.25">
      <c r="A2541" s="742"/>
      <c r="B2541" s="756" t="s">
        <v>955</v>
      </c>
      <c r="C2541" s="699">
        <v>0</v>
      </c>
      <c r="D2541" s="739" t="s">
        <v>196</v>
      </c>
      <c r="E2541" s="695">
        <v>10000</v>
      </c>
      <c r="F2541" s="714"/>
      <c r="G2541" s="714"/>
      <c r="H2541" s="714"/>
      <c r="I2541" s="714"/>
      <c r="J2541" s="714"/>
      <c r="K2541" s="714"/>
      <c r="L2541" s="714">
        <f t="shared" si="212"/>
        <v>0</v>
      </c>
      <c r="M2541" s="714"/>
      <c r="N2541" s="714">
        <f t="shared" si="213"/>
        <v>0</v>
      </c>
      <c r="O2541" s="753">
        <f t="shared" si="214"/>
        <v>0</v>
      </c>
      <c r="P2541" s="754"/>
    </row>
    <row r="2542" spans="1:16" ht="17.25" customHeight="1" x14ac:dyDescent="0.25">
      <c r="A2542" s="742"/>
      <c r="B2542" s="756" t="s">
        <v>956</v>
      </c>
      <c r="C2542" s="699"/>
      <c r="D2542" s="739"/>
      <c r="E2542" s="695"/>
      <c r="F2542" s="714"/>
      <c r="G2542" s="714"/>
      <c r="H2542" s="714"/>
      <c r="I2542" s="714"/>
      <c r="J2542" s="714"/>
      <c r="K2542" s="714"/>
      <c r="L2542" s="714">
        <f t="shared" si="212"/>
        <v>0</v>
      </c>
      <c r="M2542" s="714"/>
      <c r="N2542" s="714">
        <f t="shared" si="213"/>
        <v>0</v>
      </c>
      <c r="O2542" s="753">
        <f t="shared" si="214"/>
        <v>0</v>
      </c>
      <c r="P2542" s="754"/>
    </row>
    <row r="2543" spans="1:16" ht="17.25" customHeight="1" x14ac:dyDescent="0.25">
      <c r="A2543" s="742"/>
      <c r="B2543" s="756" t="s">
        <v>957</v>
      </c>
      <c r="C2543" s="699">
        <v>1</v>
      </c>
      <c r="D2543" s="739" t="s">
        <v>196</v>
      </c>
      <c r="E2543" s="695">
        <v>15000</v>
      </c>
      <c r="F2543" s="714"/>
      <c r="G2543" s="714"/>
      <c r="H2543" s="714"/>
      <c r="I2543" s="714"/>
      <c r="J2543" s="714"/>
      <c r="K2543" s="714"/>
      <c r="L2543" s="714">
        <f t="shared" si="212"/>
        <v>15000</v>
      </c>
      <c r="M2543" s="714"/>
      <c r="N2543" s="714">
        <f t="shared" si="213"/>
        <v>15000</v>
      </c>
      <c r="O2543" s="1656">
        <f t="shared" si="214"/>
        <v>15000</v>
      </c>
      <c r="P2543" s="1205"/>
    </row>
    <row r="2544" spans="1:16" ht="17.25" customHeight="1" x14ac:dyDescent="0.25">
      <c r="A2544" s="742"/>
      <c r="B2544" s="756" t="s">
        <v>958</v>
      </c>
      <c r="C2544" s="699">
        <v>0</v>
      </c>
      <c r="D2544" s="739" t="s">
        <v>196</v>
      </c>
      <c r="E2544" s="695">
        <v>7500</v>
      </c>
      <c r="F2544" s="714"/>
      <c r="G2544" s="714"/>
      <c r="H2544" s="714"/>
      <c r="I2544" s="714"/>
      <c r="J2544" s="714"/>
      <c r="K2544" s="714"/>
      <c r="L2544" s="714">
        <f t="shared" si="212"/>
        <v>0</v>
      </c>
      <c r="M2544" s="714"/>
      <c r="N2544" s="714">
        <f t="shared" si="213"/>
        <v>0</v>
      </c>
      <c r="O2544" s="753">
        <f t="shared" si="214"/>
        <v>0</v>
      </c>
      <c r="P2544" s="754"/>
    </row>
    <row r="2545" spans="1:16" ht="17.25" customHeight="1" x14ac:dyDescent="0.25">
      <c r="A2545" s="742"/>
      <c r="B2545" s="756" t="s">
        <v>959</v>
      </c>
      <c r="C2545" s="699">
        <v>2</v>
      </c>
      <c r="D2545" s="739" t="s">
        <v>196</v>
      </c>
      <c r="E2545" s="695">
        <v>15000</v>
      </c>
      <c r="F2545" s="747"/>
      <c r="G2545" s="747"/>
      <c r="H2545" s="747"/>
      <c r="I2545" s="747"/>
      <c r="J2545" s="747"/>
      <c r="K2545" s="747"/>
      <c r="L2545" s="747">
        <f t="shared" si="212"/>
        <v>30000</v>
      </c>
      <c r="M2545" s="747"/>
      <c r="N2545" s="747">
        <f t="shared" si="213"/>
        <v>30000</v>
      </c>
      <c r="O2545" s="1208">
        <f t="shared" si="214"/>
        <v>30000</v>
      </c>
      <c r="P2545" s="1209"/>
    </row>
    <row r="2546" spans="1:16" ht="17.25" customHeight="1" x14ac:dyDescent="0.25">
      <c r="A2546" s="742"/>
      <c r="B2546" s="756" t="s">
        <v>682</v>
      </c>
      <c r="C2546" s="699">
        <v>0</v>
      </c>
      <c r="D2546" s="739" t="s">
        <v>196</v>
      </c>
      <c r="E2546" s="695">
        <v>6000</v>
      </c>
      <c r="F2546" s="747"/>
      <c r="G2546" s="747"/>
      <c r="H2546" s="747"/>
      <c r="I2546" s="747"/>
      <c r="J2546" s="747"/>
      <c r="K2546" s="747"/>
      <c r="L2546" s="747">
        <f t="shared" si="212"/>
        <v>0</v>
      </c>
      <c r="M2546" s="747"/>
      <c r="N2546" s="747">
        <f t="shared" si="213"/>
        <v>0</v>
      </c>
      <c r="O2546" s="748">
        <f t="shared" si="214"/>
        <v>0</v>
      </c>
      <c r="P2546" s="749"/>
    </row>
    <row r="2547" spans="1:16" ht="17.25" customHeight="1" x14ac:dyDescent="0.25">
      <c r="A2547" s="742"/>
      <c r="B2547" s="756" t="s">
        <v>960</v>
      </c>
      <c r="C2547" s="699">
        <v>0</v>
      </c>
      <c r="D2547" s="739" t="s">
        <v>196</v>
      </c>
      <c r="E2547" s="695">
        <v>5000</v>
      </c>
      <c r="F2547" s="714"/>
      <c r="G2547" s="714"/>
      <c r="H2547" s="714"/>
      <c r="I2547" s="714"/>
      <c r="J2547" s="714"/>
      <c r="K2547" s="714"/>
      <c r="L2547" s="714">
        <f t="shared" si="212"/>
        <v>0</v>
      </c>
      <c r="M2547" s="714"/>
      <c r="N2547" s="714">
        <f t="shared" si="213"/>
        <v>0</v>
      </c>
      <c r="O2547" s="753">
        <f t="shared" si="214"/>
        <v>0</v>
      </c>
      <c r="P2547" s="754"/>
    </row>
    <row r="2548" spans="1:16" ht="17.25" customHeight="1" x14ac:dyDescent="0.25">
      <c r="A2548" s="742"/>
      <c r="B2548" s="756" t="s">
        <v>961</v>
      </c>
      <c r="C2548" s="699">
        <v>1</v>
      </c>
      <c r="D2548" s="739" t="s">
        <v>196</v>
      </c>
      <c r="E2548" s="695">
        <v>50000</v>
      </c>
      <c r="F2548" s="714"/>
      <c r="G2548" s="714"/>
      <c r="H2548" s="714"/>
      <c r="I2548" s="714"/>
      <c r="J2548" s="714"/>
      <c r="K2548" s="714"/>
      <c r="L2548" s="714">
        <f t="shared" si="212"/>
        <v>50000</v>
      </c>
      <c r="M2548" s="714"/>
      <c r="N2548" s="714">
        <f t="shared" si="213"/>
        <v>50000</v>
      </c>
      <c r="O2548" s="1656">
        <f t="shared" si="214"/>
        <v>50000</v>
      </c>
      <c r="P2548" s="1205"/>
    </row>
    <row r="2549" spans="1:16" ht="17.25" customHeight="1" x14ac:dyDescent="0.25">
      <c r="A2549" s="742"/>
      <c r="B2549" s="756" t="s">
        <v>962</v>
      </c>
      <c r="C2549" s="699">
        <v>5</v>
      </c>
      <c r="D2549" s="739" t="s">
        <v>196</v>
      </c>
      <c r="E2549" s="695">
        <v>1000</v>
      </c>
      <c r="F2549" s="714"/>
      <c r="G2549" s="714"/>
      <c r="H2549" s="714"/>
      <c r="I2549" s="714"/>
      <c r="J2549" s="714"/>
      <c r="K2549" s="714"/>
      <c r="L2549" s="714">
        <f t="shared" si="212"/>
        <v>5000</v>
      </c>
      <c r="M2549" s="714"/>
      <c r="N2549" s="714">
        <f t="shared" si="213"/>
        <v>5000</v>
      </c>
      <c r="O2549" s="1656">
        <f t="shared" si="214"/>
        <v>5000</v>
      </c>
      <c r="P2549" s="1205"/>
    </row>
    <row r="2550" spans="1:16" ht="17.25" customHeight="1" x14ac:dyDescent="0.25">
      <c r="A2550" s="742"/>
      <c r="B2550" s="756" t="s">
        <v>963</v>
      </c>
      <c r="C2550" s="699">
        <v>0</v>
      </c>
      <c r="D2550" s="739" t="s">
        <v>196</v>
      </c>
      <c r="E2550" s="695">
        <v>150000</v>
      </c>
      <c r="F2550" s="714"/>
      <c r="G2550" s="714"/>
      <c r="H2550" s="714"/>
      <c r="I2550" s="714"/>
      <c r="J2550" s="714"/>
      <c r="K2550" s="714"/>
      <c r="L2550" s="714">
        <f t="shared" si="212"/>
        <v>0</v>
      </c>
      <c r="M2550" s="714"/>
      <c r="N2550" s="714">
        <f t="shared" si="213"/>
        <v>0</v>
      </c>
      <c r="O2550" s="753">
        <f t="shared" si="214"/>
        <v>0</v>
      </c>
      <c r="P2550" s="754"/>
    </row>
    <row r="2551" spans="1:16" ht="17.25" customHeight="1" x14ac:dyDescent="0.25">
      <c r="A2551" s="742"/>
      <c r="B2551" s="763" t="s">
        <v>964</v>
      </c>
      <c r="C2551" s="699">
        <v>2</v>
      </c>
      <c r="D2551" s="762" t="s">
        <v>196</v>
      </c>
      <c r="E2551" s="700">
        <v>515</v>
      </c>
      <c r="F2551" s="714"/>
      <c r="G2551" s="714"/>
      <c r="H2551" s="714"/>
      <c r="I2551" s="714"/>
      <c r="J2551" s="714"/>
      <c r="K2551" s="714"/>
      <c r="L2551" s="714">
        <f t="shared" si="212"/>
        <v>1030</v>
      </c>
      <c r="M2551" s="714"/>
      <c r="N2551" s="714">
        <f t="shared" si="213"/>
        <v>1030</v>
      </c>
      <c r="O2551" s="1656">
        <f t="shared" si="214"/>
        <v>1030</v>
      </c>
      <c r="P2551" s="1205"/>
    </row>
    <row r="2552" spans="1:16" ht="17.25" customHeight="1" x14ac:dyDescent="0.25">
      <c r="A2552" s="742"/>
      <c r="B2552" s="763" t="s">
        <v>965</v>
      </c>
      <c r="C2552" s="699">
        <v>0</v>
      </c>
      <c r="D2552" s="762" t="s">
        <v>660</v>
      </c>
      <c r="E2552" s="700">
        <v>150</v>
      </c>
      <c r="F2552" s="714"/>
      <c r="G2552" s="714"/>
      <c r="H2552" s="714"/>
      <c r="I2552" s="714"/>
      <c r="J2552" s="714"/>
      <c r="K2552" s="714"/>
      <c r="L2552" s="714">
        <f t="shared" si="212"/>
        <v>0</v>
      </c>
      <c r="M2552" s="714"/>
      <c r="N2552" s="714">
        <f t="shared" si="213"/>
        <v>0</v>
      </c>
      <c r="O2552" s="753">
        <f t="shared" si="214"/>
        <v>0</v>
      </c>
      <c r="P2552" s="754"/>
    </row>
    <row r="2553" spans="1:16" ht="17.25" customHeight="1" x14ac:dyDescent="0.25">
      <c r="A2553" s="742"/>
      <c r="B2553" s="763" t="s">
        <v>966</v>
      </c>
      <c r="C2553" s="699">
        <v>10</v>
      </c>
      <c r="D2553" s="762" t="s">
        <v>196</v>
      </c>
      <c r="E2553" s="700">
        <v>1000</v>
      </c>
      <c r="F2553" s="714"/>
      <c r="G2553" s="714"/>
      <c r="H2553" s="714"/>
      <c r="I2553" s="714"/>
      <c r="J2553" s="714"/>
      <c r="K2553" s="714"/>
      <c r="L2553" s="714">
        <f t="shared" si="212"/>
        <v>10000</v>
      </c>
      <c r="M2553" s="714"/>
      <c r="N2553" s="714">
        <f t="shared" si="213"/>
        <v>10000</v>
      </c>
      <c r="O2553" s="1656">
        <f t="shared" si="214"/>
        <v>10000</v>
      </c>
      <c r="P2553" s="1205"/>
    </row>
    <row r="2554" spans="1:16" ht="17.25" customHeight="1" x14ac:dyDescent="0.25">
      <c r="A2554" s="742"/>
      <c r="B2554" s="763" t="s">
        <v>967</v>
      </c>
      <c r="C2554" s="699">
        <v>0</v>
      </c>
      <c r="D2554" s="762" t="s">
        <v>660</v>
      </c>
      <c r="E2554" s="700">
        <v>50</v>
      </c>
      <c r="F2554" s="714"/>
      <c r="G2554" s="714"/>
      <c r="H2554" s="714"/>
      <c r="I2554" s="714"/>
      <c r="J2554" s="714"/>
      <c r="K2554" s="714"/>
      <c r="L2554" s="714">
        <f t="shared" si="212"/>
        <v>0</v>
      </c>
      <c r="M2554" s="714"/>
      <c r="N2554" s="714">
        <f t="shared" si="213"/>
        <v>0</v>
      </c>
      <c r="O2554" s="1656">
        <f t="shared" si="214"/>
        <v>0</v>
      </c>
      <c r="P2554" s="1205"/>
    </row>
    <row r="2555" spans="1:16" ht="17.25" customHeight="1" x14ac:dyDescent="0.25">
      <c r="A2555" s="742"/>
      <c r="B2555" s="924" t="s">
        <v>968</v>
      </c>
      <c r="C2555" s="699">
        <v>10</v>
      </c>
      <c r="D2555" s="762" t="s">
        <v>660</v>
      </c>
      <c r="E2555" s="700">
        <v>100</v>
      </c>
      <c r="F2555" s="714"/>
      <c r="G2555" s="714"/>
      <c r="H2555" s="714"/>
      <c r="I2555" s="714"/>
      <c r="J2555" s="714"/>
      <c r="K2555" s="714"/>
      <c r="L2555" s="714">
        <f t="shared" si="212"/>
        <v>1000</v>
      </c>
      <c r="M2555" s="714"/>
      <c r="N2555" s="714">
        <f t="shared" si="213"/>
        <v>1000</v>
      </c>
      <c r="O2555" s="1656">
        <f t="shared" si="214"/>
        <v>1000</v>
      </c>
      <c r="P2555" s="1205"/>
    </row>
    <row r="2556" spans="1:16" ht="17.25" customHeight="1" x14ac:dyDescent="0.25">
      <c r="A2556" s="742"/>
      <c r="B2556" s="924" t="s">
        <v>969</v>
      </c>
      <c r="C2556" s="699">
        <v>0</v>
      </c>
      <c r="D2556" s="762" t="s">
        <v>970</v>
      </c>
      <c r="E2556" s="700">
        <v>150</v>
      </c>
      <c r="F2556" s="714"/>
      <c r="G2556" s="714"/>
      <c r="H2556" s="714"/>
      <c r="I2556" s="714"/>
      <c r="J2556" s="714"/>
      <c r="K2556" s="714"/>
      <c r="L2556" s="714">
        <f t="shared" si="212"/>
        <v>0</v>
      </c>
      <c r="M2556" s="714"/>
      <c r="N2556" s="714">
        <f t="shared" si="213"/>
        <v>0</v>
      </c>
      <c r="O2556" s="753">
        <f t="shared" si="214"/>
        <v>0</v>
      </c>
      <c r="P2556" s="754"/>
    </row>
    <row r="2557" spans="1:16" ht="17.25" customHeight="1" x14ac:dyDescent="0.25">
      <c r="A2557" s="742"/>
      <c r="B2557" s="924" t="s">
        <v>971</v>
      </c>
      <c r="C2557" s="699">
        <v>2</v>
      </c>
      <c r="D2557" s="762" t="s">
        <v>196</v>
      </c>
      <c r="E2557" s="700">
        <v>125000</v>
      </c>
      <c r="F2557" s="714"/>
      <c r="G2557" s="714"/>
      <c r="H2557" s="714"/>
      <c r="I2557" s="714"/>
      <c r="J2557" s="714"/>
      <c r="K2557" s="714"/>
      <c r="L2557" s="714">
        <f t="shared" si="212"/>
        <v>250000</v>
      </c>
      <c r="M2557" s="714"/>
      <c r="N2557" s="714">
        <f t="shared" si="213"/>
        <v>250000</v>
      </c>
      <c r="O2557" s="1656">
        <f t="shared" si="214"/>
        <v>250000</v>
      </c>
      <c r="P2557" s="1205"/>
    </row>
    <row r="2558" spans="1:16" ht="17.25" customHeight="1" x14ac:dyDescent="0.25">
      <c r="A2558" s="742"/>
      <c r="B2558" s="924" t="s">
        <v>972</v>
      </c>
      <c r="C2558" s="699">
        <v>0</v>
      </c>
      <c r="D2558" s="762" t="s">
        <v>196</v>
      </c>
      <c r="E2558" s="700">
        <v>360000</v>
      </c>
      <c r="F2558" s="714"/>
      <c r="G2558" s="714"/>
      <c r="H2558" s="714"/>
      <c r="I2558" s="714"/>
      <c r="J2558" s="714"/>
      <c r="K2558" s="714"/>
      <c r="L2558" s="714">
        <f t="shared" si="212"/>
        <v>0</v>
      </c>
      <c r="M2558" s="714"/>
      <c r="N2558" s="714">
        <f t="shared" si="213"/>
        <v>0</v>
      </c>
      <c r="O2558" s="753">
        <f t="shared" si="214"/>
        <v>0</v>
      </c>
      <c r="P2558" s="754"/>
    </row>
    <row r="2559" spans="1:16" ht="17.25" customHeight="1" x14ac:dyDescent="0.25">
      <c r="A2559" s="742"/>
      <c r="B2559" s="924" t="s">
        <v>973</v>
      </c>
      <c r="C2559" s="699">
        <v>0</v>
      </c>
      <c r="D2559" s="762" t="s">
        <v>196</v>
      </c>
      <c r="E2559" s="700">
        <v>450000</v>
      </c>
      <c r="F2559" s="714"/>
      <c r="G2559" s="714"/>
      <c r="H2559" s="714"/>
      <c r="I2559" s="714"/>
      <c r="J2559" s="714"/>
      <c r="K2559" s="714"/>
      <c r="L2559" s="714">
        <f t="shared" si="212"/>
        <v>0</v>
      </c>
      <c r="M2559" s="714"/>
      <c r="N2559" s="714">
        <f t="shared" si="213"/>
        <v>0</v>
      </c>
      <c r="O2559" s="753">
        <f t="shared" si="214"/>
        <v>0</v>
      </c>
      <c r="P2559" s="754"/>
    </row>
    <row r="2560" spans="1:16" ht="17.25" customHeight="1" x14ac:dyDescent="0.25">
      <c r="A2560" s="742"/>
      <c r="B2560" s="924" t="s">
        <v>2274</v>
      </c>
      <c r="C2560" s="699">
        <v>25</v>
      </c>
      <c r="D2560" s="762" t="s">
        <v>196</v>
      </c>
      <c r="E2560" s="700">
        <v>1500</v>
      </c>
      <c r="F2560" s="714"/>
      <c r="G2560" s="714"/>
      <c r="H2560" s="714"/>
      <c r="I2560" s="714"/>
      <c r="J2560" s="714"/>
      <c r="K2560" s="714"/>
      <c r="L2560" s="714">
        <f>E2560*C2560</f>
        <v>37500</v>
      </c>
      <c r="M2560" s="714"/>
      <c r="N2560" s="714">
        <f>M2560+L2560</f>
        <v>37500</v>
      </c>
      <c r="O2560" s="1656">
        <f>N2560+K2560+H2560</f>
        <v>37500</v>
      </c>
      <c r="P2560" s="1205"/>
    </row>
    <row r="2561" spans="1:89" ht="17.25" customHeight="1" x14ac:dyDescent="0.25">
      <c r="A2561" s="742"/>
      <c r="B2561" s="923" t="s">
        <v>974</v>
      </c>
      <c r="C2561" s="699">
        <v>1</v>
      </c>
      <c r="D2561" s="762" t="s">
        <v>16</v>
      </c>
      <c r="E2561" s="700">
        <v>1250000</v>
      </c>
      <c r="F2561" s="714"/>
      <c r="G2561" s="714"/>
      <c r="H2561" s="714"/>
      <c r="I2561" s="714"/>
      <c r="J2561" s="714"/>
      <c r="K2561" s="714"/>
      <c r="L2561" s="714">
        <f t="shared" si="212"/>
        <v>1250000</v>
      </c>
      <c r="M2561" s="714"/>
      <c r="N2561" s="714">
        <f t="shared" si="213"/>
        <v>1250000</v>
      </c>
      <c r="O2561" s="1656">
        <f t="shared" si="214"/>
        <v>1250000</v>
      </c>
      <c r="P2561" s="1205"/>
    </row>
    <row r="2562" spans="1:89" ht="37.5" customHeight="1" x14ac:dyDescent="0.25">
      <c r="A2562" s="881"/>
      <c r="B2562" s="925"/>
      <c r="C2562" s="834"/>
      <c r="D2562" s="926"/>
      <c r="E2562" s="722"/>
      <c r="F2562" s="721"/>
      <c r="G2562" s="721"/>
      <c r="H2562" s="721"/>
      <c r="I2562" s="721"/>
      <c r="J2562" s="721"/>
      <c r="K2562" s="721"/>
      <c r="L2562" s="721"/>
      <c r="M2562" s="721"/>
      <c r="N2562" s="721"/>
      <c r="O2562" s="884"/>
      <c r="P2562" s="754"/>
    </row>
    <row r="2563" spans="1:89" ht="36" customHeight="1" x14ac:dyDescent="0.25">
      <c r="A2563" s="1764">
        <v>37</v>
      </c>
      <c r="B2563" s="1228" t="s">
        <v>200</v>
      </c>
      <c r="C2563" s="1490"/>
      <c r="D2563" s="1583"/>
      <c r="E2563" s="1290"/>
      <c r="F2563" s="896">
        <f>SUM(F2565:F2808)</f>
        <v>0</v>
      </c>
      <c r="G2563" s="896">
        <f>SUM(G2565:G2808)</f>
        <v>0</v>
      </c>
      <c r="H2563" s="896">
        <f>G2563+F2563</f>
        <v>0</v>
      </c>
      <c r="I2563" s="896">
        <f>SUM(I2565:I2808)</f>
        <v>2055326</v>
      </c>
      <c r="J2563" s="896">
        <f>SUM(J2565:J2808)</f>
        <v>4053680</v>
      </c>
      <c r="K2563" s="896">
        <f>J2563+I2563</f>
        <v>6109006</v>
      </c>
      <c r="L2563" s="896">
        <f>SUM(L2565:L2808)</f>
        <v>19164593</v>
      </c>
      <c r="M2563" s="896">
        <f>SUM(M2565:M2808)</f>
        <v>0</v>
      </c>
      <c r="N2563" s="896">
        <f>M2563+L2563</f>
        <v>19164593</v>
      </c>
      <c r="O2563" s="1494">
        <f>H2563+K2563+N2563</f>
        <v>25273599</v>
      </c>
      <c r="P2563" s="912"/>
    </row>
    <row r="2564" spans="1:89" ht="17.25" customHeight="1" x14ac:dyDescent="0.25">
      <c r="A2564" s="849"/>
      <c r="B2564" s="933"/>
      <c r="C2564" s="872"/>
      <c r="D2564" s="934"/>
      <c r="E2564" s="684"/>
      <c r="F2564" s="935"/>
      <c r="G2564" s="935"/>
      <c r="H2564" s="935"/>
      <c r="I2564" s="935"/>
      <c r="J2564" s="935"/>
      <c r="K2564" s="935"/>
      <c r="L2564" s="935"/>
      <c r="M2564" s="935"/>
      <c r="N2564" s="935"/>
      <c r="O2564" s="867"/>
      <c r="P2564" s="754"/>
    </row>
    <row r="2565" spans="1:89" s="672" customFormat="1" ht="17.25" customHeight="1" x14ac:dyDescent="0.25">
      <c r="A2565" s="1117" t="s">
        <v>575</v>
      </c>
      <c r="B2565" s="1122" t="s">
        <v>869</v>
      </c>
      <c r="C2565" s="915">
        <f>SUM(O2567:O2584)</f>
        <v>445000</v>
      </c>
      <c r="D2565" s="1118"/>
      <c r="E2565" s="1119"/>
      <c r="F2565" s="1120"/>
      <c r="G2565" s="1120"/>
      <c r="H2565" s="1120"/>
      <c r="I2565" s="1120"/>
      <c r="J2565" s="1120">
        <f t="shared" ref="J2565:J2575" si="215">C2565*E2565</f>
        <v>0</v>
      </c>
      <c r="K2565" s="1120">
        <f t="shared" ref="K2565:K2575" si="216">I2565+J2565</f>
        <v>0</v>
      </c>
      <c r="L2565" s="1120"/>
      <c r="M2565" s="1120"/>
      <c r="N2565" s="1120"/>
      <c r="O2565" s="1121">
        <f t="shared" ref="O2565:O2575" si="217">N2565+K2565+H2565</f>
        <v>0</v>
      </c>
      <c r="P2565" s="776"/>
      <c r="Q2565" s="1581"/>
      <c r="R2565" s="1581"/>
      <c r="S2565" s="1581"/>
      <c r="T2565" s="1581"/>
      <c r="U2565" s="1581"/>
      <c r="V2565" s="1581"/>
      <c r="W2565" s="1581"/>
      <c r="X2565" s="1581"/>
      <c r="Y2565" s="1581"/>
      <c r="Z2565" s="1581"/>
      <c r="AA2565" s="1581"/>
      <c r="AB2565" s="1581"/>
      <c r="AC2565" s="1581"/>
      <c r="AD2565" s="1581"/>
      <c r="AE2565" s="1581"/>
      <c r="AF2565" s="1581"/>
      <c r="AG2565" s="1581"/>
      <c r="AH2565" s="1581"/>
      <c r="AI2565" s="1581"/>
      <c r="AJ2565" s="1581"/>
      <c r="AK2565" s="1581"/>
      <c r="AL2565" s="1581"/>
      <c r="AM2565" s="1581"/>
      <c r="AN2565" s="1581"/>
      <c r="AO2565" s="1581"/>
      <c r="AP2565" s="1581"/>
      <c r="AQ2565" s="1581"/>
      <c r="AR2565" s="1581"/>
      <c r="AS2565" s="1581"/>
      <c r="AT2565" s="1581"/>
      <c r="AU2565" s="1581"/>
      <c r="AV2565" s="1581"/>
      <c r="AW2565" s="1581"/>
      <c r="AX2565" s="1581"/>
      <c r="AY2565" s="1581"/>
      <c r="AZ2565" s="1581"/>
      <c r="BA2565" s="1581"/>
      <c r="BB2565" s="1581"/>
      <c r="BC2565" s="1581"/>
      <c r="BD2565" s="1581"/>
      <c r="BE2565" s="1581"/>
      <c r="BF2565" s="1581"/>
      <c r="BG2565" s="1581"/>
      <c r="BH2565" s="1581"/>
      <c r="BI2565" s="1581"/>
      <c r="BJ2565" s="1581"/>
      <c r="BK2565" s="1581"/>
      <c r="BL2565" s="1581"/>
      <c r="BM2565" s="1581"/>
      <c r="BN2565" s="1581"/>
      <c r="BO2565" s="1581"/>
      <c r="BP2565" s="1581"/>
      <c r="BQ2565" s="1581"/>
      <c r="BR2565" s="1581"/>
      <c r="BS2565" s="1581"/>
      <c r="BT2565" s="1581"/>
      <c r="BU2565" s="1581"/>
      <c r="BV2565" s="1581"/>
      <c r="BW2565" s="1581"/>
      <c r="BX2565" s="1581"/>
      <c r="BY2565" s="1581"/>
      <c r="BZ2565" s="1581"/>
      <c r="CA2565" s="1581"/>
      <c r="CB2565" s="1581"/>
      <c r="CC2565" s="1581"/>
      <c r="CD2565" s="1581"/>
      <c r="CE2565" s="1581"/>
      <c r="CF2565" s="1581"/>
      <c r="CG2565" s="1581"/>
      <c r="CH2565" s="1581"/>
      <c r="CI2565" s="1581"/>
      <c r="CJ2565" s="1581"/>
      <c r="CK2565" s="1581"/>
    </row>
    <row r="2566" spans="1:89" ht="17.25" customHeight="1" x14ac:dyDescent="0.25">
      <c r="A2566" s="849"/>
      <c r="B2566" s="824" t="s">
        <v>1709</v>
      </c>
      <c r="C2566" s="872"/>
      <c r="D2566" s="934"/>
      <c r="E2566" s="684"/>
      <c r="F2566" s="935"/>
      <c r="G2566" s="935"/>
      <c r="H2566" s="935"/>
      <c r="I2566" s="935"/>
      <c r="J2566" s="935">
        <f t="shared" si="215"/>
        <v>0</v>
      </c>
      <c r="K2566" s="935">
        <f t="shared" si="216"/>
        <v>0</v>
      </c>
      <c r="L2566" s="935"/>
      <c r="M2566" s="935"/>
      <c r="N2566" s="935"/>
      <c r="O2566" s="867">
        <f t="shared" si="217"/>
        <v>0</v>
      </c>
      <c r="P2566" s="754"/>
    </row>
    <row r="2567" spans="1:89" ht="17.25" customHeight="1" x14ac:dyDescent="0.25">
      <c r="A2567" s="849"/>
      <c r="B2567" s="824" t="s">
        <v>1710</v>
      </c>
      <c r="C2567" s="872"/>
      <c r="D2567" s="934"/>
      <c r="E2567" s="684"/>
      <c r="F2567" s="935"/>
      <c r="G2567" s="935"/>
      <c r="H2567" s="935"/>
      <c r="I2567" s="935"/>
      <c r="J2567" s="935">
        <f t="shared" si="215"/>
        <v>0</v>
      </c>
      <c r="K2567" s="935">
        <f t="shared" si="216"/>
        <v>0</v>
      </c>
      <c r="L2567" s="935"/>
      <c r="M2567" s="935"/>
      <c r="N2567" s="935"/>
      <c r="O2567" s="867">
        <f t="shared" si="217"/>
        <v>0</v>
      </c>
      <c r="P2567" s="754"/>
    </row>
    <row r="2568" spans="1:89" ht="17.25" customHeight="1" x14ac:dyDescent="0.25">
      <c r="A2568" s="849"/>
      <c r="B2568" s="824" t="s">
        <v>1711</v>
      </c>
      <c r="C2568" s="872"/>
      <c r="D2568" s="934"/>
      <c r="E2568" s="684"/>
      <c r="F2568" s="935"/>
      <c r="G2568" s="935"/>
      <c r="H2568" s="935"/>
      <c r="I2568" s="935"/>
      <c r="J2568" s="935">
        <f t="shared" si="215"/>
        <v>0</v>
      </c>
      <c r="K2568" s="935">
        <f t="shared" si="216"/>
        <v>0</v>
      </c>
      <c r="L2568" s="935"/>
      <c r="M2568" s="935"/>
      <c r="N2568" s="935"/>
      <c r="O2568" s="867">
        <f t="shared" si="217"/>
        <v>0</v>
      </c>
      <c r="P2568" s="754"/>
    </row>
    <row r="2569" spans="1:89" ht="17.25" customHeight="1" x14ac:dyDescent="0.25">
      <c r="A2569" s="849"/>
      <c r="B2569" s="824" t="s">
        <v>1660</v>
      </c>
      <c r="C2569" s="872"/>
      <c r="D2569" s="934"/>
      <c r="E2569" s="684"/>
      <c r="F2569" s="935"/>
      <c r="G2569" s="935"/>
      <c r="H2569" s="935"/>
      <c r="I2569" s="935"/>
      <c r="J2569" s="935">
        <f t="shared" si="215"/>
        <v>0</v>
      </c>
      <c r="K2569" s="935">
        <f t="shared" si="216"/>
        <v>0</v>
      </c>
      <c r="L2569" s="935"/>
      <c r="M2569" s="935"/>
      <c r="N2569" s="935"/>
      <c r="O2569" s="867">
        <f t="shared" si="217"/>
        <v>0</v>
      </c>
      <c r="P2569" s="754"/>
    </row>
    <row r="2570" spans="1:89" ht="17.25" customHeight="1" x14ac:dyDescent="0.25">
      <c r="A2570" s="849"/>
      <c r="B2570" s="824" t="s">
        <v>1661</v>
      </c>
      <c r="C2570" s="872"/>
      <c r="D2570" s="934"/>
      <c r="E2570" s="684"/>
      <c r="F2570" s="935"/>
      <c r="G2570" s="935"/>
      <c r="H2570" s="935"/>
      <c r="I2570" s="935"/>
      <c r="J2570" s="935">
        <f t="shared" si="215"/>
        <v>0</v>
      </c>
      <c r="K2570" s="935">
        <f t="shared" si="216"/>
        <v>0</v>
      </c>
      <c r="L2570" s="935"/>
      <c r="M2570" s="935"/>
      <c r="N2570" s="935"/>
      <c r="O2570" s="867">
        <f t="shared" si="217"/>
        <v>0</v>
      </c>
      <c r="P2570" s="754"/>
    </row>
    <row r="2571" spans="1:89" ht="17.25" customHeight="1" x14ac:dyDescent="0.25">
      <c r="A2571" s="849"/>
      <c r="B2571" s="824" t="s">
        <v>1712</v>
      </c>
      <c r="C2571" s="872"/>
      <c r="D2571" s="934"/>
      <c r="E2571" s="684"/>
      <c r="F2571" s="935"/>
      <c r="G2571" s="935"/>
      <c r="H2571" s="935"/>
      <c r="I2571" s="935"/>
      <c r="J2571" s="935">
        <f t="shared" si="215"/>
        <v>0</v>
      </c>
      <c r="K2571" s="935">
        <f t="shared" si="216"/>
        <v>0</v>
      </c>
      <c r="L2571" s="935"/>
      <c r="M2571" s="935"/>
      <c r="N2571" s="935"/>
      <c r="O2571" s="867">
        <f t="shared" si="217"/>
        <v>0</v>
      </c>
      <c r="P2571" s="754"/>
    </row>
    <row r="2572" spans="1:89" ht="17.25" customHeight="1" x14ac:dyDescent="0.25">
      <c r="A2572" s="849"/>
      <c r="B2572" s="824"/>
      <c r="C2572" s="872"/>
      <c r="D2572" s="934"/>
      <c r="E2572" s="684"/>
      <c r="F2572" s="935"/>
      <c r="G2572" s="935"/>
      <c r="H2572" s="935"/>
      <c r="I2572" s="935"/>
      <c r="J2572" s="935">
        <f t="shared" si="215"/>
        <v>0</v>
      </c>
      <c r="K2572" s="935">
        <f t="shared" si="216"/>
        <v>0</v>
      </c>
      <c r="L2572" s="935"/>
      <c r="M2572" s="935"/>
      <c r="N2572" s="935"/>
      <c r="O2572" s="867">
        <f t="shared" si="217"/>
        <v>0</v>
      </c>
      <c r="P2572" s="754"/>
    </row>
    <row r="2573" spans="1:89" ht="17.25" customHeight="1" x14ac:dyDescent="0.25">
      <c r="A2573" s="1117"/>
      <c r="B2573" s="933" t="s">
        <v>870</v>
      </c>
      <c r="C2573" s="872"/>
      <c r="D2573" s="934"/>
      <c r="E2573" s="684"/>
      <c r="F2573" s="935"/>
      <c r="G2573" s="935"/>
      <c r="H2573" s="935"/>
      <c r="I2573" s="935"/>
      <c r="J2573" s="935">
        <f t="shared" si="215"/>
        <v>0</v>
      </c>
      <c r="K2573" s="935">
        <f t="shared" si="216"/>
        <v>0</v>
      </c>
      <c r="L2573" s="935"/>
      <c r="M2573" s="935"/>
      <c r="N2573" s="935"/>
      <c r="O2573" s="867">
        <f t="shared" si="217"/>
        <v>0</v>
      </c>
      <c r="P2573" s="754"/>
    </row>
    <row r="2574" spans="1:89" ht="17.25" customHeight="1" x14ac:dyDescent="0.25">
      <c r="A2574" s="849"/>
      <c r="B2574" s="824" t="s">
        <v>1713</v>
      </c>
      <c r="C2574" s="872"/>
      <c r="D2574" s="934"/>
      <c r="E2574" s="684"/>
      <c r="F2574" s="935"/>
      <c r="G2574" s="935"/>
      <c r="H2574" s="935"/>
      <c r="I2574" s="935"/>
      <c r="J2574" s="935">
        <f t="shared" si="215"/>
        <v>0</v>
      </c>
      <c r="K2574" s="935">
        <f t="shared" si="216"/>
        <v>0</v>
      </c>
      <c r="L2574" s="935"/>
      <c r="M2574" s="935"/>
      <c r="N2574" s="935"/>
      <c r="O2574" s="867">
        <f t="shared" si="217"/>
        <v>0</v>
      </c>
      <c r="P2574" s="754"/>
    </row>
    <row r="2575" spans="1:89" ht="17.25" customHeight="1" x14ac:dyDescent="0.25">
      <c r="A2575" s="849"/>
      <c r="B2575" s="824" t="s">
        <v>1714</v>
      </c>
      <c r="C2575" s="872"/>
      <c r="D2575" s="934"/>
      <c r="E2575" s="684"/>
      <c r="F2575" s="935"/>
      <c r="G2575" s="935"/>
      <c r="H2575" s="935"/>
      <c r="I2575" s="935"/>
      <c r="J2575" s="935">
        <f t="shared" si="215"/>
        <v>0</v>
      </c>
      <c r="K2575" s="935">
        <f t="shared" si="216"/>
        <v>0</v>
      </c>
      <c r="L2575" s="935"/>
      <c r="M2575" s="935"/>
      <c r="N2575" s="935"/>
      <c r="O2575" s="867">
        <f t="shared" si="217"/>
        <v>0</v>
      </c>
      <c r="P2575" s="754"/>
    </row>
    <row r="2576" spans="1:89" ht="17.25" customHeight="1" x14ac:dyDescent="0.25">
      <c r="A2576" s="849"/>
      <c r="B2576" s="824" t="s">
        <v>27</v>
      </c>
      <c r="C2576" s="872"/>
      <c r="D2576" s="934"/>
      <c r="E2576" s="684"/>
      <c r="F2576" s="935"/>
      <c r="G2576" s="935"/>
      <c r="H2576" s="935"/>
      <c r="I2576" s="935"/>
      <c r="J2576" s="935"/>
      <c r="K2576" s="935"/>
      <c r="L2576" s="935"/>
      <c r="M2576" s="935"/>
      <c r="N2576" s="935"/>
      <c r="O2576" s="867"/>
      <c r="P2576" s="754"/>
    </row>
    <row r="2577" spans="1:16" ht="17.25" customHeight="1" x14ac:dyDescent="0.25">
      <c r="A2577" s="849"/>
      <c r="B2577" s="824" t="s">
        <v>872</v>
      </c>
      <c r="C2577" s="872">
        <v>1</v>
      </c>
      <c r="D2577" s="934" t="s">
        <v>188</v>
      </c>
      <c r="E2577" s="684">
        <v>10000</v>
      </c>
      <c r="F2577" s="935"/>
      <c r="G2577" s="935"/>
      <c r="H2577" s="935"/>
      <c r="I2577" s="935"/>
      <c r="J2577" s="935">
        <f>C2577*E2577</f>
        <v>10000</v>
      </c>
      <c r="K2577" s="935">
        <f>I2577+J2577</f>
        <v>10000</v>
      </c>
      <c r="L2577" s="935"/>
      <c r="M2577" s="935"/>
      <c r="N2577" s="935"/>
      <c r="O2577" s="867">
        <f>N2577+K2577+H2577</f>
        <v>10000</v>
      </c>
      <c r="P2577" s="754"/>
    </row>
    <row r="2578" spans="1:16" ht="17.25" customHeight="1" x14ac:dyDescent="0.25">
      <c r="A2578" s="849"/>
      <c r="B2578" s="824" t="s">
        <v>223</v>
      </c>
      <c r="C2578" s="872"/>
      <c r="D2578" s="934"/>
      <c r="E2578" s="684"/>
      <c r="F2578" s="935"/>
      <c r="G2578" s="935"/>
      <c r="H2578" s="935"/>
      <c r="I2578" s="935"/>
      <c r="J2578" s="935"/>
      <c r="K2578" s="935"/>
      <c r="L2578" s="935"/>
      <c r="M2578" s="935"/>
      <c r="N2578" s="935"/>
      <c r="O2578" s="867"/>
      <c r="P2578" s="754"/>
    </row>
    <row r="2579" spans="1:16" ht="17.25" customHeight="1" x14ac:dyDescent="0.25">
      <c r="A2579" s="849"/>
      <c r="B2579" s="824" t="s">
        <v>873</v>
      </c>
      <c r="C2579" s="872">
        <v>1</v>
      </c>
      <c r="D2579" s="934" t="s">
        <v>188</v>
      </c>
      <c r="E2579" s="684">
        <v>5000</v>
      </c>
      <c r="F2579" s="935"/>
      <c r="G2579" s="935"/>
      <c r="H2579" s="935"/>
      <c r="I2579" s="935"/>
      <c r="J2579" s="935">
        <f>C2579*E2579</f>
        <v>5000</v>
      </c>
      <c r="K2579" s="935">
        <f>I2579+J2579</f>
        <v>5000</v>
      </c>
      <c r="L2579" s="935"/>
      <c r="M2579" s="935"/>
      <c r="N2579" s="935"/>
      <c r="O2579" s="867">
        <f>N2579+K2579+H2579</f>
        <v>5000</v>
      </c>
      <c r="P2579" s="754"/>
    </row>
    <row r="2580" spans="1:16" ht="17.25" customHeight="1" x14ac:dyDescent="0.25">
      <c r="A2580" s="849"/>
      <c r="B2580" s="824" t="s">
        <v>1715</v>
      </c>
      <c r="C2580" s="872">
        <v>1</v>
      </c>
      <c r="D2580" s="934" t="s">
        <v>188</v>
      </c>
      <c r="E2580" s="684">
        <v>5000</v>
      </c>
      <c r="F2580" s="935"/>
      <c r="G2580" s="935"/>
      <c r="H2580" s="935"/>
      <c r="I2580" s="935"/>
      <c r="J2580" s="935">
        <f>C2580*E2580</f>
        <v>5000</v>
      </c>
      <c r="K2580" s="935">
        <f>I2580+J2580</f>
        <v>5000</v>
      </c>
      <c r="L2580" s="935"/>
      <c r="M2580" s="935"/>
      <c r="N2580" s="935"/>
      <c r="O2580" s="867">
        <f>N2580+K2580+H2580</f>
        <v>5000</v>
      </c>
      <c r="P2580" s="754"/>
    </row>
    <row r="2581" spans="1:16" ht="17.25" customHeight="1" x14ac:dyDescent="0.25">
      <c r="A2581" s="849"/>
      <c r="B2581" s="824" t="s">
        <v>875</v>
      </c>
      <c r="C2581" s="872"/>
      <c r="D2581" s="934"/>
      <c r="E2581" s="684"/>
      <c r="F2581" s="935"/>
      <c r="G2581" s="935"/>
      <c r="H2581" s="935"/>
      <c r="I2581" s="935"/>
      <c r="J2581" s="935"/>
      <c r="K2581" s="935"/>
      <c r="L2581" s="935"/>
      <c r="M2581" s="935"/>
      <c r="N2581" s="935"/>
      <c r="O2581" s="867"/>
      <c r="P2581" s="754"/>
    </row>
    <row r="2582" spans="1:16" ht="17.25" customHeight="1" x14ac:dyDescent="0.25">
      <c r="A2582" s="849"/>
      <c r="B2582" s="824" t="s">
        <v>191</v>
      </c>
      <c r="C2582" s="872">
        <v>1</v>
      </c>
      <c r="D2582" s="934" t="s">
        <v>188</v>
      </c>
      <c r="E2582" s="684">
        <v>400000</v>
      </c>
      <c r="F2582" s="935"/>
      <c r="G2582" s="935"/>
      <c r="H2582" s="935"/>
      <c r="I2582" s="935"/>
      <c r="J2582" s="935">
        <f t="shared" ref="J2582:J2592" si="218">C2582*E2582</f>
        <v>400000</v>
      </c>
      <c r="K2582" s="935">
        <f t="shared" ref="K2582:K2592" si="219">I2582+J2582</f>
        <v>400000</v>
      </c>
      <c r="L2582" s="935"/>
      <c r="M2582" s="935"/>
      <c r="N2582" s="935"/>
      <c r="O2582" s="867">
        <f t="shared" ref="O2582:O2592" si="220">N2582+K2582+H2582</f>
        <v>400000</v>
      </c>
      <c r="P2582" s="754"/>
    </row>
    <row r="2583" spans="1:16" ht="17.25" customHeight="1" x14ac:dyDescent="0.25">
      <c r="A2583" s="849"/>
      <c r="B2583" s="824" t="s">
        <v>1716</v>
      </c>
      <c r="C2583" s="872"/>
      <c r="D2583" s="934"/>
      <c r="E2583" s="684"/>
      <c r="F2583" s="935"/>
      <c r="G2583" s="935"/>
      <c r="H2583" s="935"/>
      <c r="I2583" s="935"/>
      <c r="J2583" s="935">
        <f t="shared" si="218"/>
        <v>0</v>
      </c>
      <c r="K2583" s="935">
        <f t="shared" si="219"/>
        <v>0</v>
      </c>
      <c r="L2583" s="935"/>
      <c r="M2583" s="935"/>
      <c r="N2583" s="935"/>
      <c r="O2583" s="867">
        <f t="shared" si="220"/>
        <v>0</v>
      </c>
      <c r="P2583" s="754"/>
    </row>
    <row r="2584" spans="1:16" ht="17.25" customHeight="1" x14ac:dyDescent="0.25">
      <c r="A2584" s="849"/>
      <c r="B2584" s="824" t="s">
        <v>1717</v>
      </c>
      <c r="C2584" s="872">
        <v>1</v>
      </c>
      <c r="D2584" s="934" t="s">
        <v>188</v>
      </c>
      <c r="E2584" s="684">
        <v>25000</v>
      </c>
      <c r="F2584" s="935"/>
      <c r="G2584" s="935"/>
      <c r="H2584" s="935"/>
      <c r="I2584" s="935"/>
      <c r="J2584" s="935">
        <f t="shared" si="218"/>
        <v>25000</v>
      </c>
      <c r="K2584" s="935">
        <f t="shared" si="219"/>
        <v>25000</v>
      </c>
      <c r="L2584" s="935"/>
      <c r="M2584" s="935"/>
      <c r="N2584" s="935"/>
      <c r="O2584" s="867">
        <f t="shared" si="220"/>
        <v>25000</v>
      </c>
      <c r="P2584" s="754"/>
    </row>
    <row r="2585" spans="1:16" ht="17.25" customHeight="1" x14ac:dyDescent="0.25">
      <c r="A2585" s="849"/>
      <c r="B2585" s="933"/>
      <c r="C2585" s="872"/>
      <c r="D2585" s="934"/>
      <c r="E2585" s="684"/>
      <c r="F2585" s="935"/>
      <c r="G2585" s="935"/>
      <c r="H2585" s="935"/>
      <c r="I2585" s="935"/>
      <c r="J2585" s="935">
        <f t="shared" si="218"/>
        <v>0</v>
      </c>
      <c r="K2585" s="935">
        <f t="shared" si="219"/>
        <v>0</v>
      </c>
      <c r="L2585" s="935"/>
      <c r="M2585" s="935"/>
      <c r="N2585" s="935"/>
      <c r="O2585" s="867">
        <f t="shared" si="220"/>
        <v>0</v>
      </c>
      <c r="P2585" s="754"/>
    </row>
    <row r="2586" spans="1:16" ht="17.25" customHeight="1" x14ac:dyDescent="0.25">
      <c r="A2586" s="849" t="s">
        <v>1726</v>
      </c>
      <c r="B2586" s="1122" t="s">
        <v>876</v>
      </c>
      <c r="C2586" s="872">
        <f>SUM(O2588:O2607)</f>
        <v>615000</v>
      </c>
      <c r="D2586" s="934"/>
      <c r="E2586" s="684"/>
      <c r="F2586" s="935"/>
      <c r="G2586" s="935"/>
      <c r="H2586" s="935"/>
      <c r="I2586" s="935"/>
      <c r="J2586" s="935">
        <f t="shared" si="218"/>
        <v>0</v>
      </c>
      <c r="K2586" s="935">
        <f t="shared" si="219"/>
        <v>0</v>
      </c>
      <c r="L2586" s="935"/>
      <c r="M2586" s="935"/>
      <c r="N2586" s="935"/>
      <c r="O2586" s="867">
        <f t="shared" si="220"/>
        <v>0</v>
      </c>
      <c r="P2586" s="754"/>
    </row>
    <row r="2587" spans="1:16" ht="17.25" customHeight="1" x14ac:dyDescent="0.25">
      <c r="A2587" s="849"/>
      <c r="B2587" s="824" t="s">
        <v>1709</v>
      </c>
      <c r="C2587" s="872"/>
      <c r="D2587" s="934"/>
      <c r="E2587" s="684"/>
      <c r="F2587" s="935"/>
      <c r="G2587" s="935"/>
      <c r="H2587" s="935"/>
      <c r="I2587" s="935"/>
      <c r="J2587" s="935">
        <f t="shared" si="218"/>
        <v>0</v>
      </c>
      <c r="K2587" s="935">
        <f t="shared" si="219"/>
        <v>0</v>
      </c>
      <c r="L2587" s="935"/>
      <c r="M2587" s="935"/>
      <c r="N2587" s="935"/>
      <c r="O2587" s="867">
        <f t="shared" si="220"/>
        <v>0</v>
      </c>
      <c r="P2587" s="754"/>
    </row>
    <row r="2588" spans="1:16" ht="17.25" customHeight="1" x14ac:dyDescent="0.25">
      <c r="A2588" s="849"/>
      <c r="B2588" s="824" t="s">
        <v>1710</v>
      </c>
      <c r="C2588" s="872"/>
      <c r="D2588" s="934"/>
      <c r="E2588" s="684"/>
      <c r="F2588" s="935"/>
      <c r="G2588" s="935"/>
      <c r="H2588" s="935"/>
      <c r="I2588" s="935"/>
      <c r="J2588" s="935">
        <f t="shared" si="218"/>
        <v>0</v>
      </c>
      <c r="K2588" s="935">
        <f t="shared" si="219"/>
        <v>0</v>
      </c>
      <c r="L2588" s="935"/>
      <c r="M2588" s="935"/>
      <c r="N2588" s="935"/>
      <c r="O2588" s="867">
        <f t="shared" si="220"/>
        <v>0</v>
      </c>
      <c r="P2588" s="754"/>
    </row>
    <row r="2589" spans="1:16" ht="17.25" customHeight="1" x14ac:dyDescent="0.25">
      <c r="A2589" s="849"/>
      <c r="B2589" s="824" t="s">
        <v>1711</v>
      </c>
      <c r="C2589" s="872"/>
      <c r="D2589" s="934"/>
      <c r="E2589" s="684"/>
      <c r="F2589" s="935"/>
      <c r="G2589" s="935"/>
      <c r="H2589" s="935"/>
      <c r="I2589" s="935"/>
      <c r="J2589" s="935">
        <f t="shared" si="218"/>
        <v>0</v>
      </c>
      <c r="K2589" s="935">
        <f t="shared" si="219"/>
        <v>0</v>
      </c>
      <c r="L2589" s="935"/>
      <c r="M2589" s="935"/>
      <c r="N2589" s="935"/>
      <c r="O2589" s="867">
        <f t="shared" si="220"/>
        <v>0</v>
      </c>
      <c r="P2589" s="754"/>
    </row>
    <row r="2590" spans="1:16" ht="17.25" customHeight="1" x14ac:dyDescent="0.25">
      <c r="A2590" s="849"/>
      <c r="B2590" s="824" t="s">
        <v>1660</v>
      </c>
      <c r="C2590" s="872"/>
      <c r="D2590" s="934"/>
      <c r="E2590" s="684"/>
      <c r="F2590" s="935"/>
      <c r="G2590" s="935"/>
      <c r="H2590" s="935"/>
      <c r="I2590" s="935"/>
      <c r="J2590" s="935">
        <f t="shared" si="218"/>
        <v>0</v>
      </c>
      <c r="K2590" s="935">
        <f t="shared" si="219"/>
        <v>0</v>
      </c>
      <c r="L2590" s="935"/>
      <c r="M2590" s="935"/>
      <c r="N2590" s="935"/>
      <c r="O2590" s="867">
        <f t="shared" si="220"/>
        <v>0</v>
      </c>
      <c r="P2590" s="754"/>
    </row>
    <row r="2591" spans="1:16" ht="17.25" customHeight="1" x14ac:dyDescent="0.25">
      <c r="A2591" s="849"/>
      <c r="B2591" s="824" t="s">
        <v>1661</v>
      </c>
      <c r="C2591" s="872"/>
      <c r="D2591" s="934"/>
      <c r="E2591" s="684"/>
      <c r="F2591" s="935"/>
      <c r="G2591" s="935"/>
      <c r="H2591" s="935"/>
      <c r="I2591" s="935"/>
      <c r="J2591" s="935">
        <f t="shared" si="218"/>
        <v>0</v>
      </c>
      <c r="K2591" s="935">
        <f t="shared" si="219"/>
        <v>0</v>
      </c>
      <c r="L2591" s="935"/>
      <c r="M2591" s="935"/>
      <c r="N2591" s="935"/>
      <c r="O2591" s="867">
        <f t="shared" si="220"/>
        <v>0</v>
      </c>
      <c r="P2591" s="754"/>
    </row>
    <row r="2592" spans="1:16" ht="17.25" customHeight="1" x14ac:dyDescent="0.25">
      <c r="A2592" s="849"/>
      <c r="B2592" s="824" t="s">
        <v>1712</v>
      </c>
      <c r="C2592" s="872"/>
      <c r="D2592" s="934"/>
      <c r="E2592" s="684"/>
      <c r="F2592" s="935"/>
      <c r="G2592" s="935"/>
      <c r="H2592" s="935"/>
      <c r="I2592" s="935"/>
      <c r="J2592" s="935">
        <f t="shared" si="218"/>
        <v>0</v>
      </c>
      <c r="K2592" s="935">
        <f t="shared" si="219"/>
        <v>0</v>
      </c>
      <c r="L2592" s="935"/>
      <c r="M2592" s="935"/>
      <c r="N2592" s="935"/>
      <c r="O2592" s="867">
        <f t="shared" si="220"/>
        <v>0</v>
      </c>
      <c r="P2592" s="754"/>
    </row>
    <row r="2593" spans="1:16" ht="17.25" customHeight="1" x14ac:dyDescent="0.25">
      <c r="A2593" s="849"/>
      <c r="B2593" s="824" t="s">
        <v>877</v>
      </c>
      <c r="C2593" s="872"/>
      <c r="D2593" s="934"/>
      <c r="E2593" s="684"/>
      <c r="F2593" s="935"/>
      <c r="G2593" s="935"/>
      <c r="H2593" s="935"/>
      <c r="I2593" s="935"/>
      <c r="J2593" s="935"/>
      <c r="K2593" s="935"/>
      <c r="L2593" s="935"/>
      <c r="M2593" s="935"/>
      <c r="N2593" s="935"/>
      <c r="O2593" s="867"/>
      <c r="P2593" s="754"/>
    </row>
    <row r="2594" spans="1:16" ht="17.25" customHeight="1" x14ac:dyDescent="0.25">
      <c r="A2594" s="849"/>
      <c r="B2594" s="824" t="s">
        <v>1663</v>
      </c>
      <c r="C2594" s="872">
        <v>210</v>
      </c>
      <c r="D2594" s="934"/>
      <c r="E2594" s="684">
        <v>300</v>
      </c>
      <c r="F2594" s="935"/>
      <c r="G2594" s="935"/>
      <c r="H2594" s="935"/>
      <c r="I2594" s="935"/>
      <c r="J2594" s="935">
        <f>C2594*E2594</f>
        <v>63000</v>
      </c>
      <c r="K2594" s="935">
        <f>I2594+J2594</f>
        <v>63000</v>
      </c>
      <c r="L2594" s="935"/>
      <c r="M2594" s="935"/>
      <c r="N2594" s="935"/>
      <c r="O2594" s="867">
        <f>N2594+K2594+H2594</f>
        <v>63000</v>
      </c>
      <c r="P2594" s="754"/>
    </row>
    <row r="2595" spans="1:16" ht="17.25" customHeight="1" x14ac:dyDescent="0.25">
      <c r="A2595" s="849"/>
      <c r="B2595" s="824" t="s">
        <v>1664</v>
      </c>
      <c r="C2595" s="872">
        <v>60</v>
      </c>
      <c r="D2595" s="934"/>
      <c r="E2595" s="684">
        <v>300</v>
      </c>
      <c r="F2595" s="935"/>
      <c r="G2595" s="935"/>
      <c r="H2595" s="935"/>
      <c r="I2595" s="935"/>
      <c r="J2595" s="935">
        <f>C2595*E2595</f>
        <v>18000</v>
      </c>
      <c r="K2595" s="935">
        <f>I2595+J2595</f>
        <v>18000</v>
      </c>
      <c r="L2595" s="935"/>
      <c r="M2595" s="935"/>
      <c r="N2595" s="935"/>
      <c r="O2595" s="867">
        <f>N2595+K2595+H2595</f>
        <v>18000</v>
      </c>
      <c r="P2595" s="754"/>
    </row>
    <row r="2596" spans="1:16" ht="17.25" customHeight="1" x14ac:dyDescent="0.25">
      <c r="A2596" s="849"/>
      <c r="B2596" s="824" t="s">
        <v>1665</v>
      </c>
      <c r="C2596" s="872">
        <v>120</v>
      </c>
      <c r="D2596" s="934"/>
      <c r="E2596" s="684">
        <v>300</v>
      </c>
      <c r="F2596" s="935"/>
      <c r="G2596" s="935"/>
      <c r="H2596" s="935"/>
      <c r="I2596" s="935"/>
      <c r="J2596" s="935">
        <f>C2596*E2596</f>
        <v>36000</v>
      </c>
      <c r="K2596" s="935">
        <f>I2596+J2596</f>
        <v>36000</v>
      </c>
      <c r="L2596" s="935"/>
      <c r="M2596" s="935"/>
      <c r="N2596" s="935"/>
      <c r="O2596" s="867">
        <f>N2596+K2596+H2596</f>
        <v>36000</v>
      </c>
      <c r="P2596" s="754"/>
    </row>
    <row r="2597" spans="1:16" ht="17.25" customHeight="1" x14ac:dyDescent="0.25">
      <c r="A2597" s="849"/>
      <c r="B2597" s="824" t="s">
        <v>1666</v>
      </c>
      <c r="C2597" s="872">
        <v>60</v>
      </c>
      <c r="D2597" s="934"/>
      <c r="E2597" s="684">
        <v>300</v>
      </c>
      <c r="F2597" s="935"/>
      <c r="G2597" s="935"/>
      <c r="H2597" s="935"/>
      <c r="I2597" s="935"/>
      <c r="J2597" s="935">
        <f>C2597*E2597</f>
        <v>18000</v>
      </c>
      <c r="K2597" s="935">
        <f>I2597+J2597</f>
        <v>18000</v>
      </c>
      <c r="L2597" s="935"/>
      <c r="M2597" s="935"/>
      <c r="N2597" s="935"/>
      <c r="O2597" s="867">
        <f>N2597+K2597+H2597</f>
        <v>18000</v>
      </c>
      <c r="P2597" s="754"/>
    </row>
    <row r="2598" spans="1:16" ht="17.25" customHeight="1" x14ac:dyDescent="0.25">
      <c r="A2598" s="849"/>
      <c r="B2598" s="824"/>
      <c r="C2598" s="872"/>
      <c r="D2598" s="934"/>
      <c r="E2598" s="684"/>
      <c r="F2598" s="935"/>
      <c r="G2598" s="935"/>
      <c r="H2598" s="935"/>
      <c r="I2598" s="935"/>
      <c r="J2598" s="935"/>
      <c r="K2598" s="935"/>
      <c r="L2598" s="935"/>
      <c r="M2598" s="935"/>
      <c r="N2598" s="935"/>
      <c r="O2598" s="867"/>
      <c r="P2598" s="754"/>
    </row>
    <row r="2599" spans="1:16" ht="17.25" customHeight="1" x14ac:dyDescent="0.25">
      <c r="A2599" s="849"/>
      <c r="B2599" s="824" t="s">
        <v>27</v>
      </c>
      <c r="C2599" s="872"/>
      <c r="D2599" s="934"/>
      <c r="E2599" s="684"/>
      <c r="F2599" s="935"/>
      <c r="G2599" s="935"/>
      <c r="H2599" s="935"/>
      <c r="I2599" s="935"/>
      <c r="J2599" s="935"/>
      <c r="K2599" s="935"/>
      <c r="L2599" s="935"/>
      <c r="M2599" s="935"/>
      <c r="N2599" s="935"/>
      <c r="O2599" s="867"/>
      <c r="P2599" s="754"/>
    </row>
    <row r="2600" spans="1:16" ht="17.25" customHeight="1" x14ac:dyDescent="0.25">
      <c r="A2600" s="849"/>
      <c r="B2600" s="824" t="s">
        <v>872</v>
      </c>
      <c r="C2600" s="872">
        <v>1</v>
      </c>
      <c r="D2600" s="934"/>
      <c r="E2600" s="684">
        <v>15000</v>
      </c>
      <c r="F2600" s="935"/>
      <c r="G2600" s="935"/>
      <c r="H2600" s="935"/>
      <c r="I2600" s="935"/>
      <c r="J2600" s="935">
        <f>C2600*E2600</f>
        <v>15000</v>
      </c>
      <c r="K2600" s="935">
        <f>I2600+J2600</f>
        <v>15000</v>
      </c>
      <c r="L2600" s="935"/>
      <c r="M2600" s="935"/>
      <c r="N2600" s="935"/>
      <c r="O2600" s="867">
        <f>N2600+K2600+H2600</f>
        <v>15000</v>
      </c>
      <c r="P2600" s="754"/>
    </row>
    <row r="2601" spans="1:16" ht="17.25" customHeight="1" x14ac:dyDescent="0.25">
      <c r="A2601" s="849"/>
      <c r="B2601" s="824" t="s">
        <v>223</v>
      </c>
      <c r="C2601" s="872"/>
      <c r="D2601" s="934"/>
      <c r="E2601" s="684"/>
      <c r="F2601" s="935"/>
      <c r="G2601" s="935"/>
      <c r="H2601" s="935"/>
      <c r="I2601" s="935"/>
      <c r="J2601" s="935"/>
      <c r="K2601" s="935"/>
      <c r="L2601" s="935"/>
      <c r="M2601" s="935"/>
      <c r="N2601" s="935"/>
      <c r="O2601" s="867"/>
      <c r="P2601" s="754"/>
    </row>
    <row r="2602" spans="1:16" ht="17.25" customHeight="1" x14ac:dyDescent="0.25">
      <c r="A2602" s="849"/>
      <c r="B2602" s="824" t="s">
        <v>873</v>
      </c>
      <c r="C2602" s="872">
        <v>1</v>
      </c>
      <c r="D2602" s="934"/>
      <c r="E2602" s="684">
        <v>40000</v>
      </c>
      <c r="F2602" s="935"/>
      <c r="G2602" s="935"/>
      <c r="H2602" s="935"/>
      <c r="I2602" s="935"/>
      <c r="J2602" s="935">
        <f t="shared" ref="J2602:J2607" si="221">C2602*E2602</f>
        <v>40000</v>
      </c>
      <c r="K2602" s="935">
        <f t="shared" ref="K2602:K2607" si="222">I2602+J2602</f>
        <v>40000</v>
      </c>
      <c r="L2602" s="935"/>
      <c r="M2602" s="935"/>
      <c r="N2602" s="935"/>
      <c r="O2602" s="867">
        <f t="shared" ref="O2602:O2607" si="223">N2602+K2602+H2602</f>
        <v>40000</v>
      </c>
      <c r="P2602" s="754"/>
    </row>
    <row r="2603" spans="1:16" ht="17.25" customHeight="1" x14ac:dyDescent="0.25">
      <c r="A2603" s="849"/>
      <c r="B2603" s="824" t="s">
        <v>1715</v>
      </c>
      <c r="C2603" s="872"/>
      <c r="D2603" s="934"/>
      <c r="E2603" s="684"/>
      <c r="F2603" s="935"/>
      <c r="G2603" s="935"/>
      <c r="H2603" s="935"/>
      <c r="I2603" s="935"/>
      <c r="J2603" s="935">
        <f t="shared" si="221"/>
        <v>0</v>
      </c>
      <c r="K2603" s="935">
        <f t="shared" si="222"/>
        <v>0</v>
      </c>
      <c r="L2603" s="935"/>
      <c r="M2603" s="935"/>
      <c r="N2603" s="935"/>
      <c r="O2603" s="867">
        <f t="shared" si="223"/>
        <v>0</v>
      </c>
      <c r="P2603" s="754"/>
    </row>
    <row r="2604" spans="1:16" ht="17.25" customHeight="1" x14ac:dyDescent="0.25">
      <c r="A2604" s="849"/>
      <c r="B2604" s="824" t="s">
        <v>875</v>
      </c>
      <c r="C2604" s="872">
        <v>1</v>
      </c>
      <c r="D2604" s="934"/>
      <c r="E2604" s="684">
        <v>400000</v>
      </c>
      <c r="F2604" s="935"/>
      <c r="G2604" s="935"/>
      <c r="H2604" s="935"/>
      <c r="I2604" s="935"/>
      <c r="J2604" s="935">
        <f t="shared" si="221"/>
        <v>400000</v>
      </c>
      <c r="K2604" s="935">
        <f t="shared" si="222"/>
        <v>400000</v>
      </c>
      <c r="L2604" s="935"/>
      <c r="M2604" s="935"/>
      <c r="N2604" s="935"/>
      <c r="O2604" s="867">
        <f t="shared" si="223"/>
        <v>400000</v>
      </c>
      <c r="P2604" s="754"/>
    </row>
    <row r="2605" spans="1:16" ht="17.25" customHeight="1" x14ac:dyDescent="0.25">
      <c r="A2605" s="849"/>
      <c r="B2605" s="824" t="s">
        <v>191</v>
      </c>
      <c r="C2605" s="872"/>
      <c r="D2605" s="934"/>
      <c r="E2605" s="684"/>
      <c r="F2605" s="935"/>
      <c r="G2605" s="935"/>
      <c r="H2605" s="935"/>
      <c r="I2605" s="935"/>
      <c r="J2605" s="935">
        <f t="shared" si="221"/>
        <v>0</v>
      </c>
      <c r="K2605" s="935">
        <f t="shared" si="222"/>
        <v>0</v>
      </c>
      <c r="L2605" s="935"/>
      <c r="M2605" s="935"/>
      <c r="N2605" s="935"/>
      <c r="O2605" s="867">
        <f t="shared" si="223"/>
        <v>0</v>
      </c>
      <c r="P2605" s="754"/>
    </row>
    <row r="2606" spans="1:16" ht="17.25" customHeight="1" x14ac:dyDescent="0.25">
      <c r="A2606" s="849"/>
      <c r="B2606" s="824" t="s">
        <v>1716</v>
      </c>
      <c r="C2606" s="872"/>
      <c r="D2606" s="934"/>
      <c r="E2606" s="684"/>
      <c r="F2606" s="935"/>
      <c r="G2606" s="935"/>
      <c r="H2606" s="935"/>
      <c r="I2606" s="935"/>
      <c r="J2606" s="935">
        <f t="shared" si="221"/>
        <v>0</v>
      </c>
      <c r="K2606" s="935">
        <f t="shared" si="222"/>
        <v>0</v>
      </c>
      <c r="L2606" s="935"/>
      <c r="M2606" s="935"/>
      <c r="N2606" s="935"/>
      <c r="O2606" s="867">
        <f t="shared" si="223"/>
        <v>0</v>
      </c>
      <c r="P2606" s="754"/>
    </row>
    <row r="2607" spans="1:16" ht="17.25" customHeight="1" x14ac:dyDescent="0.25">
      <c r="A2607" s="849"/>
      <c r="B2607" s="824" t="s">
        <v>1717</v>
      </c>
      <c r="C2607" s="872">
        <v>1</v>
      </c>
      <c r="D2607" s="934" t="s">
        <v>188</v>
      </c>
      <c r="E2607" s="684">
        <v>25000</v>
      </c>
      <c r="F2607" s="935"/>
      <c r="G2607" s="935"/>
      <c r="H2607" s="935"/>
      <c r="I2607" s="935"/>
      <c r="J2607" s="935">
        <f t="shared" si="221"/>
        <v>25000</v>
      </c>
      <c r="K2607" s="935">
        <f t="shared" si="222"/>
        <v>25000</v>
      </c>
      <c r="L2607" s="935"/>
      <c r="M2607" s="935"/>
      <c r="N2607" s="935"/>
      <c r="O2607" s="867">
        <f t="shared" si="223"/>
        <v>25000</v>
      </c>
      <c r="P2607" s="754"/>
    </row>
    <row r="2608" spans="1:16" ht="17.25" customHeight="1" x14ac:dyDescent="0.25">
      <c r="A2608" s="849"/>
      <c r="B2608" s="824"/>
      <c r="C2608" s="872"/>
      <c r="D2608" s="934"/>
      <c r="E2608" s="684"/>
      <c r="F2608" s="935"/>
      <c r="G2608" s="935"/>
      <c r="H2608" s="935"/>
      <c r="I2608" s="935"/>
      <c r="J2608" s="935"/>
      <c r="K2608" s="935"/>
      <c r="L2608" s="935"/>
      <c r="M2608" s="935"/>
      <c r="N2608" s="935"/>
      <c r="O2608" s="867"/>
      <c r="P2608" s="754"/>
    </row>
    <row r="2609" spans="1:16" ht="17.25" customHeight="1" x14ac:dyDescent="0.25">
      <c r="A2609" s="849"/>
      <c r="B2609" s="824"/>
      <c r="C2609" s="872"/>
      <c r="D2609" s="934"/>
      <c r="E2609" s="684"/>
      <c r="F2609" s="935"/>
      <c r="G2609" s="935"/>
      <c r="H2609" s="935"/>
      <c r="I2609" s="935"/>
      <c r="J2609" s="935"/>
      <c r="K2609" s="935"/>
      <c r="L2609" s="935"/>
      <c r="M2609" s="935"/>
      <c r="N2609" s="935"/>
      <c r="O2609" s="867"/>
      <c r="P2609" s="754"/>
    </row>
    <row r="2610" spans="1:16" ht="17.25" customHeight="1" x14ac:dyDescent="0.25">
      <c r="A2610" s="849"/>
      <c r="B2610" s="933"/>
      <c r="C2610" s="872"/>
      <c r="D2610" s="934"/>
      <c r="E2610" s="684"/>
      <c r="F2610" s="935"/>
      <c r="G2610" s="935"/>
      <c r="H2610" s="935"/>
      <c r="I2610" s="935"/>
      <c r="J2610" s="935">
        <f t="shared" ref="J2610:J2617" si="224">C2610*E2610</f>
        <v>0</v>
      </c>
      <c r="K2610" s="935">
        <f t="shared" ref="K2610:K2617" si="225">I2610+J2610</f>
        <v>0</v>
      </c>
      <c r="L2610" s="935"/>
      <c r="M2610" s="935"/>
      <c r="N2610" s="935"/>
      <c r="O2610" s="867">
        <f t="shared" ref="O2610:O2617" si="226">N2610+K2610+H2610</f>
        <v>0</v>
      </c>
      <c r="P2610" s="754"/>
    </row>
    <row r="2611" spans="1:16" ht="17.25" customHeight="1" x14ac:dyDescent="0.25">
      <c r="A2611" s="849" t="s">
        <v>1729</v>
      </c>
      <c r="B2611" s="933" t="s">
        <v>882</v>
      </c>
      <c r="C2611" s="872">
        <v>1</v>
      </c>
      <c r="D2611" s="934" t="s">
        <v>188</v>
      </c>
      <c r="E2611" s="684"/>
      <c r="F2611" s="935"/>
      <c r="G2611" s="935"/>
      <c r="H2611" s="935"/>
      <c r="I2611" s="935"/>
      <c r="J2611" s="935">
        <f t="shared" si="224"/>
        <v>0</v>
      </c>
      <c r="K2611" s="935">
        <f t="shared" si="225"/>
        <v>0</v>
      </c>
      <c r="L2611" s="935"/>
      <c r="M2611" s="935"/>
      <c r="N2611" s="935"/>
      <c r="O2611" s="867">
        <f t="shared" si="226"/>
        <v>0</v>
      </c>
      <c r="P2611" s="754"/>
    </row>
    <row r="2612" spans="1:16" ht="17.25" customHeight="1" x14ac:dyDescent="0.25">
      <c r="A2612" s="849"/>
      <c r="B2612" s="933" t="s">
        <v>1709</v>
      </c>
      <c r="C2612" s="872"/>
      <c r="D2612" s="934"/>
      <c r="E2612" s="684"/>
      <c r="F2612" s="935"/>
      <c r="G2612" s="935"/>
      <c r="H2612" s="935"/>
      <c r="I2612" s="935"/>
      <c r="J2612" s="935">
        <f t="shared" si="224"/>
        <v>0</v>
      </c>
      <c r="K2612" s="935">
        <f t="shared" si="225"/>
        <v>0</v>
      </c>
      <c r="L2612" s="935"/>
      <c r="M2612" s="935"/>
      <c r="N2612" s="935"/>
      <c r="O2612" s="867">
        <f t="shared" si="226"/>
        <v>0</v>
      </c>
      <c r="P2612" s="754"/>
    </row>
    <row r="2613" spans="1:16" ht="17.25" customHeight="1" x14ac:dyDescent="0.25">
      <c r="A2613" s="849"/>
      <c r="B2613" s="933" t="s">
        <v>1710</v>
      </c>
      <c r="C2613" s="872"/>
      <c r="D2613" s="934"/>
      <c r="E2613" s="684"/>
      <c r="F2613" s="935"/>
      <c r="G2613" s="935"/>
      <c r="H2613" s="935"/>
      <c r="I2613" s="935"/>
      <c r="J2613" s="935">
        <f t="shared" si="224"/>
        <v>0</v>
      </c>
      <c r="K2613" s="935">
        <f t="shared" si="225"/>
        <v>0</v>
      </c>
      <c r="L2613" s="935"/>
      <c r="M2613" s="935"/>
      <c r="N2613" s="935"/>
      <c r="O2613" s="867">
        <f t="shared" si="226"/>
        <v>0</v>
      </c>
      <c r="P2613" s="754"/>
    </row>
    <row r="2614" spans="1:16" ht="17.25" customHeight="1" x14ac:dyDescent="0.25">
      <c r="A2614" s="849"/>
      <c r="B2614" s="933" t="s">
        <v>1711</v>
      </c>
      <c r="C2614" s="872"/>
      <c r="D2614" s="934"/>
      <c r="E2614" s="684"/>
      <c r="F2614" s="935"/>
      <c r="G2614" s="935"/>
      <c r="H2614" s="935"/>
      <c r="I2614" s="935"/>
      <c r="J2614" s="935">
        <f t="shared" si="224"/>
        <v>0</v>
      </c>
      <c r="K2614" s="935">
        <f t="shared" si="225"/>
        <v>0</v>
      </c>
      <c r="L2614" s="935"/>
      <c r="M2614" s="935"/>
      <c r="N2614" s="935"/>
      <c r="O2614" s="867">
        <f t="shared" si="226"/>
        <v>0</v>
      </c>
      <c r="P2614" s="754"/>
    </row>
    <row r="2615" spans="1:16" ht="17.25" customHeight="1" x14ac:dyDescent="0.25">
      <c r="A2615" s="849"/>
      <c r="B2615" s="933" t="s">
        <v>1660</v>
      </c>
      <c r="C2615" s="872"/>
      <c r="D2615" s="934"/>
      <c r="E2615" s="684"/>
      <c r="F2615" s="935"/>
      <c r="G2615" s="935"/>
      <c r="H2615" s="935"/>
      <c r="I2615" s="935"/>
      <c r="J2615" s="935">
        <f t="shared" si="224"/>
        <v>0</v>
      </c>
      <c r="K2615" s="935">
        <f t="shared" si="225"/>
        <v>0</v>
      </c>
      <c r="L2615" s="935"/>
      <c r="M2615" s="935"/>
      <c r="N2615" s="935"/>
      <c r="O2615" s="867">
        <f t="shared" si="226"/>
        <v>0</v>
      </c>
      <c r="P2615" s="754"/>
    </row>
    <row r="2616" spans="1:16" ht="17.25" customHeight="1" x14ac:dyDescent="0.25">
      <c r="A2616" s="742"/>
      <c r="B2616" s="920" t="s">
        <v>1661</v>
      </c>
      <c r="C2616" s="713"/>
      <c r="D2616" s="727"/>
      <c r="E2616" s="695"/>
      <c r="F2616" s="714"/>
      <c r="G2616" s="714"/>
      <c r="H2616" s="714"/>
      <c r="I2616" s="714"/>
      <c r="J2616" s="714">
        <f t="shared" si="224"/>
        <v>0</v>
      </c>
      <c r="K2616" s="714">
        <f t="shared" si="225"/>
        <v>0</v>
      </c>
      <c r="L2616" s="714"/>
      <c r="M2616" s="714"/>
      <c r="N2616" s="695"/>
      <c r="O2616" s="696">
        <f t="shared" si="226"/>
        <v>0</v>
      </c>
      <c r="P2616" s="687"/>
    </row>
    <row r="2617" spans="1:16" ht="17.25" customHeight="1" x14ac:dyDescent="0.25">
      <c r="A2617" s="742"/>
      <c r="B2617" s="921" t="s">
        <v>1712</v>
      </c>
      <c r="C2617" s="713"/>
      <c r="D2617" s="727"/>
      <c r="E2617" s="695"/>
      <c r="F2617" s="714"/>
      <c r="G2617" s="714"/>
      <c r="H2617" s="714"/>
      <c r="I2617" s="714"/>
      <c r="J2617" s="714">
        <f t="shared" si="224"/>
        <v>0</v>
      </c>
      <c r="K2617" s="714">
        <f t="shared" si="225"/>
        <v>0</v>
      </c>
      <c r="L2617" s="714"/>
      <c r="M2617" s="714"/>
      <c r="N2617" s="714"/>
      <c r="O2617" s="753">
        <f t="shared" si="226"/>
        <v>0</v>
      </c>
      <c r="P2617" s="754"/>
    </row>
    <row r="2618" spans="1:16" ht="17.25" customHeight="1" x14ac:dyDescent="0.25">
      <c r="A2618" s="742"/>
      <c r="B2618" s="921" t="s">
        <v>870</v>
      </c>
      <c r="C2618" s="713">
        <f>SUM(O2619:O2622)</f>
        <v>0</v>
      </c>
      <c r="D2618" s="727"/>
      <c r="E2618" s="695"/>
      <c r="F2618" s="714"/>
      <c r="G2618" s="714"/>
      <c r="H2618" s="714"/>
      <c r="I2618" s="714"/>
      <c r="J2618" s="714"/>
      <c r="K2618" s="714"/>
      <c r="L2618" s="714"/>
      <c r="M2618" s="714"/>
      <c r="N2618" s="714"/>
      <c r="O2618" s="753"/>
      <c r="P2618" s="754"/>
    </row>
    <row r="2619" spans="1:16" ht="17.25" customHeight="1" x14ac:dyDescent="0.25">
      <c r="A2619" s="742"/>
      <c r="B2619" s="921" t="s">
        <v>1663</v>
      </c>
      <c r="C2619" s="713"/>
      <c r="D2619" s="727"/>
      <c r="E2619" s="695"/>
      <c r="F2619" s="714"/>
      <c r="G2619" s="714"/>
      <c r="H2619" s="714"/>
      <c r="I2619" s="714"/>
      <c r="J2619" s="714">
        <f>C2619*E2619</f>
        <v>0</v>
      </c>
      <c r="K2619" s="714">
        <f>I2619+J2619</f>
        <v>0</v>
      </c>
      <c r="L2619" s="714"/>
      <c r="M2619" s="714"/>
      <c r="N2619" s="714"/>
      <c r="O2619" s="753">
        <f>N2619+K2619+H2619</f>
        <v>0</v>
      </c>
      <c r="P2619" s="754"/>
    </row>
    <row r="2620" spans="1:16" ht="17.25" customHeight="1" x14ac:dyDescent="0.25">
      <c r="A2620" s="742"/>
      <c r="B2620" s="922" t="s">
        <v>1664</v>
      </c>
      <c r="C2620" s="713"/>
      <c r="D2620" s="727"/>
      <c r="E2620" s="695"/>
      <c r="F2620" s="714"/>
      <c r="G2620" s="714"/>
      <c r="H2620" s="714"/>
      <c r="I2620" s="714"/>
      <c r="J2620" s="714">
        <f>C2620*E2620</f>
        <v>0</v>
      </c>
      <c r="K2620" s="714">
        <f>I2620+J2620</f>
        <v>0</v>
      </c>
      <c r="L2620" s="714"/>
      <c r="M2620" s="714"/>
      <c r="N2620" s="714"/>
      <c r="O2620" s="753">
        <f>N2620+K2620+H2620</f>
        <v>0</v>
      </c>
      <c r="P2620" s="754"/>
    </row>
    <row r="2621" spans="1:16" ht="17.25" customHeight="1" x14ac:dyDescent="0.25">
      <c r="A2621" s="742"/>
      <c r="B2621" s="922" t="s">
        <v>1665</v>
      </c>
      <c r="C2621" s="713"/>
      <c r="D2621" s="727"/>
      <c r="E2621" s="695"/>
      <c r="F2621" s="714"/>
      <c r="G2621" s="714"/>
      <c r="H2621" s="714"/>
      <c r="I2621" s="714"/>
      <c r="J2621" s="714">
        <f>C2621*E2621</f>
        <v>0</v>
      </c>
      <c r="K2621" s="714">
        <f>I2621+J2621</f>
        <v>0</v>
      </c>
      <c r="L2621" s="714"/>
      <c r="M2621" s="714"/>
      <c r="N2621" s="714"/>
      <c r="O2621" s="753">
        <f>N2621+K2621+H2621</f>
        <v>0</v>
      </c>
      <c r="P2621" s="754"/>
    </row>
    <row r="2622" spans="1:16" ht="17.25" customHeight="1" x14ac:dyDescent="0.25">
      <c r="A2622" s="742"/>
      <c r="B2622" s="922" t="s">
        <v>1666</v>
      </c>
      <c r="C2622" s="713"/>
      <c r="D2622" s="727"/>
      <c r="E2622" s="695"/>
      <c r="F2622" s="714"/>
      <c r="G2622" s="714"/>
      <c r="H2622" s="714"/>
      <c r="I2622" s="714"/>
      <c r="J2622" s="714">
        <f>C2622*E2622</f>
        <v>0</v>
      </c>
      <c r="K2622" s="714">
        <f>I2622+J2622</f>
        <v>0</v>
      </c>
      <c r="L2622" s="714"/>
      <c r="M2622" s="714"/>
      <c r="N2622" s="714"/>
      <c r="O2622" s="753">
        <f>N2622+K2622+H2622</f>
        <v>0</v>
      </c>
      <c r="P2622" s="754"/>
    </row>
    <row r="2623" spans="1:16" ht="17.25" customHeight="1" x14ac:dyDescent="0.25">
      <c r="A2623" s="742"/>
      <c r="B2623" s="922"/>
      <c r="C2623" s="713"/>
      <c r="D2623" s="727"/>
      <c r="E2623" s="695"/>
      <c r="F2623" s="714"/>
      <c r="G2623" s="714"/>
      <c r="H2623" s="714"/>
      <c r="I2623" s="714"/>
      <c r="J2623" s="714"/>
      <c r="K2623" s="714"/>
      <c r="L2623" s="714"/>
      <c r="M2623" s="714"/>
      <c r="N2623" s="714"/>
      <c r="O2623" s="753"/>
      <c r="P2623" s="754"/>
    </row>
    <row r="2624" spans="1:16" ht="17.25" customHeight="1" x14ac:dyDescent="0.25">
      <c r="A2624" s="742"/>
      <c r="B2624" s="922"/>
      <c r="C2624" s="713"/>
      <c r="D2624" s="727"/>
      <c r="E2624" s="695"/>
      <c r="F2624" s="714"/>
      <c r="G2624" s="714"/>
      <c r="H2624" s="714"/>
      <c r="I2624" s="714"/>
      <c r="J2624" s="714"/>
      <c r="K2624" s="714"/>
      <c r="L2624" s="714"/>
      <c r="M2624" s="714"/>
      <c r="N2624" s="714"/>
      <c r="O2624" s="753"/>
      <c r="P2624" s="754"/>
    </row>
    <row r="2625" spans="1:16" ht="17.25" customHeight="1" x14ac:dyDescent="0.25">
      <c r="A2625" s="742"/>
      <c r="B2625" s="922" t="s">
        <v>27</v>
      </c>
      <c r="C2625" s="713"/>
      <c r="D2625" s="727"/>
      <c r="E2625" s="695"/>
      <c r="F2625" s="714"/>
      <c r="G2625" s="714"/>
      <c r="H2625" s="714"/>
      <c r="I2625" s="714"/>
      <c r="J2625" s="714"/>
      <c r="K2625" s="714"/>
      <c r="L2625" s="714"/>
      <c r="M2625" s="714"/>
      <c r="N2625" s="714"/>
      <c r="O2625" s="753"/>
      <c r="P2625" s="754"/>
    </row>
    <row r="2626" spans="1:16" ht="17.25" customHeight="1" x14ac:dyDescent="0.25">
      <c r="A2626" s="742"/>
      <c r="B2626" s="1584" t="s">
        <v>872</v>
      </c>
      <c r="C2626" s="713">
        <v>1</v>
      </c>
      <c r="D2626" s="727"/>
      <c r="E2626" s="695">
        <v>40000</v>
      </c>
      <c r="F2626" s="714"/>
      <c r="G2626" s="714"/>
      <c r="H2626" s="714"/>
      <c r="I2626" s="714"/>
      <c r="J2626" s="714">
        <f>C2626*E2626</f>
        <v>40000</v>
      </c>
      <c r="K2626" s="714">
        <f>I2626+J2626</f>
        <v>40000</v>
      </c>
      <c r="L2626" s="714"/>
      <c r="M2626" s="714"/>
      <c r="N2626" s="714"/>
      <c r="O2626" s="753">
        <f>N2626+K2626+H2626</f>
        <v>40000</v>
      </c>
      <c r="P2626" s="754"/>
    </row>
    <row r="2627" spans="1:16" ht="33.75" customHeight="1" x14ac:dyDescent="0.25">
      <c r="A2627" s="1657"/>
      <c r="B2627" s="1658" t="s">
        <v>223</v>
      </c>
      <c r="C2627" s="713"/>
      <c r="D2627" s="727"/>
      <c r="E2627" s="695"/>
      <c r="F2627" s="714"/>
      <c r="G2627" s="714"/>
      <c r="H2627" s="714"/>
      <c r="I2627" s="714"/>
      <c r="J2627" s="714"/>
      <c r="K2627" s="714"/>
      <c r="L2627" s="714"/>
      <c r="M2627" s="714"/>
      <c r="N2627" s="714"/>
      <c r="O2627" s="753"/>
      <c r="P2627" s="754"/>
    </row>
    <row r="2628" spans="1:16" ht="33.75" customHeight="1" x14ac:dyDescent="0.25">
      <c r="A2628" s="1657"/>
      <c r="B2628" s="1658" t="s">
        <v>873</v>
      </c>
      <c r="C2628" s="713">
        <v>1</v>
      </c>
      <c r="D2628" s="727"/>
      <c r="E2628" s="695">
        <v>10000</v>
      </c>
      <c r="F2628" s="714"/>
      <c r="G2628" s="714"/>
      <c r="H2628" s="714"/>
      <c r="I2628" s="714"/>
      <c r="J2628" s="714">
        <f t="shared" ref="J2628:J2633" si="227">C2628*E2628</f>
        <v>10000</v>
      </c>
      <c r="K2628" s="714">
        <f t="shared" ref="K2628:K2633" si="228">I2628+J2628</f>
        <v>10000</v>
      </c>
      <c r="L2628" s="714"/>
      <c r="M2628" s="714"/>
      <c r="N2628" s="714"/>
      <c r="O2628" s="753">
        <f t="shared" ref="O2628:O2633" si="229">N2628+K2628+H2628</f>
        <v>10000</v>
      </c>
      <c r="P2628" s="754"/>
    </row>
    <row r="2629" spans="1:16" ht="43.5" customHeight="1" x14ac:dyDescent="0.25">
      <c r="A2629" s="742"/>
      <c r="B2629" s="771" t="s">
        <v>883</v>
      </c>
      <c r="C2629" s="713">
        <v>1</v>
      </c>
      <c r="D2629" s="727"/>
      <c r="E2629" s="695">
        <v>5000</v>
      </c>
      <c r="F2629" s="714"/>
      <c r="G2629" s="714"/>
      <c r="H2629" s="714"/>
      <c r="I2629" s="714"/>
      <c r="J2629" s="714">
        <f t="shared" si="227"/>
        <v>5000</v>
      </c>
      <c r="K2629" s="714">
        <f t="shared" si="228"/>
        <v>5000</v>
      </c>
      <c r="L2629" s="714"/>
      <c r="M2629" s="714"/>
      <c r="N2629" s="714"/>
      <c r="O2629" s="753">
        <f t="shared" si="229"/>
        <v>5000</v>
      </c>
      <c r="P2629" s="754"/>
    </row>
    <row r="2630" spans="1:16" ht="17.25" customHeight="1" x14ac:dyDescent="0.25">
      <c r="A2630" s="742"/>
      <c r="B2630" s="756" t="s">
        <v>875</v>
      </c>
      <c r="C2630" s="713"/>
      <c r="D2630" s="727"/>
      <c r="E2630" s="695"/>
      <c r="F2630" s="714"/>
      <c r="G2630" s="714"/>
      <c r="H2630" s="714"/>
      <c r="I2630" s="714"/>
      <c r="J2630" s="714">
        <f t="shared" si="227"/>
        <v>0</v>
      </c>
      <c r="K2630" s="714">
        <f t="shared" si="228"/>
        <v>0</v>
      </c>
      <c r="L2630" s="714"/>
      <c r="M2630" s="714"/>
      <c r="N2630" s="714"/>
      <c r="O2630" s="753">
        <f t="shared" si="229"/>
        <v>0</v>
      </c>
      <c r="P2630" s="754"/>
    </row>
    <row r="2631" spans="1:16" ht="17.25" customHeight="1" x14ac:dyDescent="0.25">
      <c r="A2631" s="742"/>
      <c r="B2631" s="756" t="s">
        <v>191</v>
      </c>
      <c r="C2631" s="713">
        <v>1</v>
      </c>
      <c r="D2631" s="727"/>
      <c r="E2631" s="695">
        <v>245000</v>
      </c>
      <c r="F2631" s="714"/>
      <c r="G2631" s="714"/>
      <c r="H2631" s="714"/>
      <c r="I2631" s="714"/>
      <c r="J2631" s="714">
        <f t="shared" si="227"/>
        <v>245000</v>
      </c>
      <c r="K2631" s="714">
        <f t="shared" si="228"/>
        <v>245000</v>
      </c>
      <c r="L2631" s="714"/>
      <c r="M2631" s="714"/>
      <c r="N2631" s="714"/>
      <c r="O2631" s="753">
        <f t="shared" si="229"/>
        <v>245000</v>
      </c>
      <c r="P2631" s="754"/>
    </row>
    <row r="2632" spans="1:16" ht="17.25" customHeight="1" x14ac:dyDescent="0.25">
      <c r="A2632" s="742"/>
      <c r="B2632" s="756" t="s">
        <v>1716</v>
      </c>
      <c r="C2632" s="713"/>
      <c r="D2632" s="727"/>
      <c r="E2632" s="695"/>
      <c r="F2632" s="714"/>
      <c r="G2632" s="714"/>
      <c r="H2632" s="714"/>
      <c r="I2632" s="714"/>
      <c r="J2632" s="714">
        <f t="shared" si="227"/>
        <v>0</v>
      </c>
      <c r="K2632" s="714">
        <f t="shared" si="228"/>
        <v>0</v>
      </c>
      <c r="L2632" s="714"/>
      <c r="M2632" s="714"/>
      <c r="N2632" s="714"/>
      <c r="O2632" s="753">
        <f t="shared" si="229"/>
        <v>0</v>
      </c>
      <c r="P2632" s="754"/>
    </row>
    <row r="2633" spans="1:16" ht="17.25" customHeight="1" x14ac:dyDescent="0.25">
      <c r="A2633" s="742"/>
      <c r="B2633" s="756" t="s">
        <v>1717</v>
      </c>
      <c r="C2633" s="713">
        <v>1</v>
      </c>
      <c r="D2633" s="727"/>
      <c r="E2633" s="695">
        <v>20000</v>
      </c>
      <c r="F2633" s="714"/>
      <c r="G2633" s="714"/>
      <c r="H2633" s="714"/>
      <c r="I2633" s="714"/>
      <c r="J2633" s="714">
        <f t="shared" si="227"/>
        <v>20000</v>
      </c>
      <c r="K2633" s="714">
        <f t="shared" si="228"/>
        <v>20000</v>
      </c>
      <c r="L2633" s="714"/>
      <c r="M2633" s="714"/>
      <c r="N2633" s="714"/>
      <c r="O2633" s="753">
        <f t="shared" si="229"/>
        <v>20000</v>
      </c>
      <c r="P2633" s="754"/>
    </row>
    <row r="2634" spans="1:16" ht="17.25" customHeight="1" x14ac:dyDescent="0.25">
      <c r="A2634" s="742"/>
      <c r="B2634" s="756"/>
      <c r="C2634" s="713"/>
      <c r="D2634" s="739"/>
      <c r="E2634" s="695"/>
      <c r="F2634" s="714"/>
      <c r="G2634" s="714"/>
      <c r="H2634" s="714"/>
      <c r="I2634" s="714"/>
      <c r="J2634" s="714"/>
      <c r="K2634" s="714"/>
      <c r="L2634" s="714"/>
      <c r="M2634" s="714"/>
      <c r="N2634" s="714"/>
      <c r="O2634" s="753"/>
      <c r="P2634" s="754"/>
    </row>
    <row r="2635" spans="1:16" ht="17.25" customHeight="1" x14ac:dyDescent="0.25">
      <c r="A2635" s="742" t="s">
        <v>1732</v>
      </c>
      <c r="B2635" s="752" t="s">
        <v>1691</v>
      </c>
      <c r="C2635" s="713">
        <v>1</v>
      </c>
      <c r="D2635" s="739" t="s">
        <v>188</v>
      </c>
      <c r="E2635" s="695">
        <v>240000</v>
      </c>
      <c r="F2635" s="714"/>
      <c r="G2635" s="714"/>
      <c r="H2635" s="714"/>
      <c r="I2635" s="714"/>
      <c r="J2635" s="714">
        <f t="shared" ref="J2635:J2643" si="230">C2635*E2635</f>
        <v>240000</v>
      </c>
      <c r="K2635" s="714">
        <f t="shared" ref="K2635:K2643" si="231">I2635+J2635</f>
        <v>240000</v>
      </c>
      <c r="L2635" s="714"/>
      <c r="M2635" s="714"/>
      <c r="N2635" s="714"/>
      <c r="O2635" s="753">
        <f t="shared" ref="O2635:O2644" si="232">N2635+K2635+H2635</f>
        <v>240000</v>
      </c>
      <c r="P2635" s="754"/>
    </row>
    <row r="2636" spans="1:16" ht="17.25" customHeight="1" x14ac:dyDescent="0.25">
      <c r="A2636" s="742" t="s">
        <v>618</v>
      </c>
      <c r="B2636" s="752" t="s">
        <v>1692</v>
      </c>
      <c r="C2636" s="713">
        <v>1</v>
      </c>
      <c r="D2636" s="739" t="s">
        <v>188</v>
      </c>
      <c r="E2636" s="695">
        <v>270000</v>
      </c>
      <c r="F2636" s="714"/>
      <c r="G2636" s="714"/>
      <c r="H2636" s="714"/>
      <c r="I2636" s="714"/>
      <c r="J2636" s="714">
        <f t="shared" si="230"/>
        <v>270000</v>
      </c>
      <c r="K2636" s="714">
        <f t="shared" si="231"/>
        <v>270000</v>
      </c>
      <c r="L2636" s="714"/>
      <c r="M2636" s="714"/>
      <c r="N2636" s="714"/>
      <c r="O2636" s="753">
        <f t="shared" si="232"/>
        <v>270000</v>
      </c>
      <c r="P2636" s="754"/>
    </row>
    <row r="2637" spans="1:16" ht="17.25" customHeight="1" x14ac:dyDescent="0.25">
      <c r="A2637" s="742" t="s">
        <v>1746</v>
      </c>
      <c r="B2637" s="752" t="s">
        <v>1693</v>
      </c>
      <c r="C2637" s="713">
        <v>1</v>
      </c>
      <c r="D2637" s="739" t="s">
        <v>188</v>
      </c>
      <c r="E2637" s="695">
        <v>333600</v>
      </c>
      <c r="F2637" s="714"/>
      <c r="G2637" s="714"/>
      <c r="H2637" s="714"/>
      <c r="I2637" s="714"/>
      <c r="J2637" s="714">
        <f t="shared" si="230"/>
        <v>333600</v>
      </c>
      <c r="K2637" s="714">
        <f t="shared" si="231"/>
        <v>333600</v>
      </c>
      <c r="L2637" s="714"/>
      <c r="M2637" s="714"/>
      <c r="N2637" s="714"/>
      <c r="O2637" s="753">
        <f t="shared" si="232"/>
        <v>333600</v>
      </c>
      <c r="P2637" s="754"/>
    </row>
    <row r="2638" spans="1:16" ht="17.25" customHeight="1" x14ac:dyDescent="0.25">
      <c r="A2638" s="742" t="s">
        <v>1747</v>
      </c>
      <c r="B2638" s="752" t="s">
        <v>1720</v>
      </c>
      <c r="C2638" s="713">
        <v>1</v>
      </c>
      <c r="D2638" s="739" t="s">
        <v>188</v>
      </c>
      <c r="E2638" s="695">
        <f>11*50000</f>
        <v>550000</v>
      </c>
      <c r="F2638" s="714"/>
      <c r="G2638" s="714"/>
      <c r="H2638" s="714"/>
      <c r="I2638" s="714"/>
      <c r="J2638" s="714">
        <f t="shared" si="230"/>
        <v>550000</v>
      </c>
      <c r="K2638" s="714">
        <f t="shared" si="231"/>
        <v>550000</v>
      </c>
      <c r="L2638" s="714"/>
      <c r="M2638" s="714"/>
      <c r="N2638" s="714"/>
      <c r="O2638" s="753">
        <f t="shared" si="232"/>
        <v>550000</v>
      </c>
      <c r="P2638" s="754"/>
    </row>
    <row r="2639" spans="1:16" ht="17.25" customHeight="1" x14ac:dyDescent="0.25">
      <c r="A2639" s="742" t="s">
        <v>2139</v>
      </c>
      <c r="B2639" s="752" t="s">
        <v>1699</v>
      </c>
      <c r="C2639" s="713">
        <v>1</v>
      </c>
      <c r="D2639" s="739" t="s">
        <v>188</v>
      </c>
      <c r="E2639" s="695">
        <v>172200</v>
      </c>
      <c r="F2639" s="714"/>
      <c r="G2639" s="714"/>
      <c r="H2639" s="714"/>
      <c r="I2639" s="714"/>
      <c r="J2639" s="714">
        <f t="shared" si="230"/>
        <v>172200</v>
      </c>
      <c r="K2639" s="714">
        <f t="shared" si="231"/>
        <v>172200</v>
      </c>
      <c r="L2639" s="714"/>
      <c r="M2639" s="714"/>
      <c r="N2639" s="714"/>
      <c r="O2639" s="753">
        <f t="shared" si="232"/>
        <v>172200</v>
      </c>
      <c r="P2639" s="754"/>
    </row>
    <row r="2640" spans="1:16" ht="17.25" customHeight="1" x14ac:dyDescent="0.25">
      <c r="A2640" s="742" t="s">
        <v>2140</v>
      </c>
      <c r="B2640" s="752" t="s">
        <v>1580</v>
      </c>
      <c r="C2640" s="699">
        <v>1</v>
      </c>
      <c r="D2640" s="739" t="s">
        <v>895</v>
      </c>
      <c r="E2640" s="695">
        <v>100000</v>
      </c>
      <c r="F2640" s="714"/>
      <c r="G2640" s="714"/>
      <c r="H2640" s="714"/>
      <c r="I2640" s="714"/>
      <c r="J2640" s="714">
        <f t="shared" si="230"/>
        <v>100000</v>
      </c>
      <c r="K2640" s="714">
        <f t="shared" si="231"/>
        <v>100000</v>
      </c>
      <c r="L2640" s="714"/>
      <c r="M2640" s="714"/>
      <c r="N2640" s="714"/>
      <c r="O2640" s="753">
        <f t="shared" si="232"/>
        <v>100000</v>
      </c>
      <c r="P2640" s="754"/>
    </row>
    <row r="2641" spans="1:16" ht="17.25" customHeight="1" x14ac:dyDescent="0.25">
      <c r="A2641" s="742"/>
      <c r="B2641" s="711"/>
      <c r="C2641" s="713"/>
      <c r="D2641" s="757"/>
      <c r="E2641" s="758"/>
      <c r="F2641" s="714"/>
      <c r="G2641" s="714"/>
      <c r="H2641" s="714"/>
      <c r="I2641" s="714"/>
      <c r="J2641" s="714">
        <f t="shared" si="230"/>
        <v>0</v>
      </c>
      <c r="K2641" s="714">
        <f t="shared" si="231"/>
        <v>0</v>
      </c>
      <c r="L2641" s="714"/>
      <c r="M2641" s="714"/>
      <c r="N2641" s="714"/>
      <c r="O2641" s="753">
        <f t="shared" si="232"/>
        <v>0</v>
      </c>
      <c r="P2641" s="754"/>
    </row>
    <row r="2642" spans="1:16" ht="17.25" customHeight="1" x14ac:dyDescent="0.25">
      <c r="A2642" s="742">
        <v>4</v>
      </c>
      <c r="B2642" s="761" t="s">
        <v>885</v>
      </c>
      <c r="C2642" s="699"/>
      <c r="D2642" s="762"/>
      <c r="E2642" s="700"/>
      <c r="F2642" s="714"/>
      <c r="G2642" s="714"/>
      <c r="H2642" s="714"/>
      <c r="I2642" s="714"/>
      <c r="J2642" s="714">
        <f t="shared" si="230"/>
        <v>0</v>
      </c>
      <c r="K2642" s="714">
        <f t="shared" si="231"/>
        <v>0</v>
      </c>
      <c r="L2642" s="714"/>
      <c r="M2642" s="714"/>
      <c r="N2642" s="714"/>
      <c r="O2642" s="753">
        <f t="shared" si="232"/>
        <v>0</v>
      </c>
      <c r="P2642" s="754"/>
    </row>
    <row r="2643" spans="1:16" ht="17.25" customHeight="1" x14ac:dyDescent="0.25">
      <c r="A2643" s="742"/>
      <c r="B2643" s="763"/>
      <c r="C2643" s="699"/>
      <c r="D2643" s="762"/>
      <c r="E2643" s="700"/>
      <c r="F2643" s="714"/>
      <c r="G2643" s="714"/>
      <c r="H2643" s="714"/>
      <c r="I2643" s="714"/>
      <c r="J2643" s="714">
        <f t="shared" si="230"/>
        <v>0</v>
      </c>
      <c r="K2643" s="714">
        <f t="shared" si="231"/>
        <v>0</v>
      </c>
      <c r="L2643" s="714"/>
      <c r="M2643" s="714"/>
      <c r="N2643" s="714"/>
      <c r="O2643" s="753">
        <f t="shared" si="232"/>
        <v>0</v>
      </c>
      <c r="P2643" s="754"/>
    </row>
    <row r="2644" spans="1:16" ht="17.25" customHeight="1" x14ac:dyDescent="0.25">
      <c r="A2644" s="742"/>
      <c r="B2644" s="763" t="s">
        <v>1696</v>
      </c>
      <c r="C2644" s="699">
        <v>1</v>
      </c>
      <c r="D2644" s="762" t="s">
        <v>16</v>
      </c>
      <c r="E2644" s="700">
        <f>2750000+2365240-1995897</f>
        <v>3119343</v>
      </c>
      <c r="F2644" s="714"/>
      <c r="G2644" s="714"/>
      <c r="H2644" s="714"/>
      <c r="I2644" s="714"/>
      <c r="J2644" s="714"/>
      <c r="K2644" s="714"/>
      <c r="L2644" s="714">
        <f>E2644*C2644</f>
        <v>3119343</v>
      </c>
      <c r="M2644" s="714">
        <v>0</v>
      </c>
      <c r="N2644" s="714">
        <f>M2644+L2644</f>
        <v>3119343</v>
      </c>
      <c r="O2644" s="753">
        <f t="shared" si="232"/>
        <v>3119343</v>
      </c>
      <c r="P2644" s="754"/>
    </row>
    <row r="2645" spans="1:16" ht="17.25" customHeight="1" x14ac:dyDescent="0.25">
      <c r="A2645" s="742"/>
      <c r="B2645" s="763"/>
      <c r="C2645" s="699"/>
      <c r="D2645" s="762"/>
      <c r="E2645" s="700"/>
      <c r="F2645" s="714"/>
      <c r="G2645" s="714"/>
      <c r="H2645" s="714"/>
      <c r="I2645" s="714"/>
      <c r="J2645" s="714"/>
      <c r="K2645" s="714"/>
      <c r="L2645" s="714"/>
      <c r="M2645" s="714"/>
      <c r="N2645" s="714"/>
      <c r="O2645" s="753"/>
      <c r="P2645" s="754"/>
    </row>
    <row r="2646" spans="1:16" ht="17.25" customHeight="1" x14ac:dyDescent="0.25">
      <c r="A2646" s="742"/>
      <c r="B2646" s="763"/>
      <c r="C2646" s="699"/>
      <c r="D2646" s="762"/>
      <c r="E2646" s="700"/>
      <c r="F2646" s="714"/>
      <c r="G2646" s="714"/>
      <c r="H2646" s="714"/>
      <c r="I2646" s="714"/>
      <c r="J2646" s="714"/>
      <c r="K2646" s="714"/>
      <c r="L2646" s="714"/>
      <c r="M2646" s="714"/>
      <c r="N2646" s="714"/>
      <c r="O2646" s="753"/>
      <c r="P2646" s="754"/>
    </row>
    <row r="2647" spans="1:16" ht="17.25" customHeight="1" x14ac:dyDescent="0.25">
      <c r="A2647" s="742"/>
      <c r="B2647" s="759" t="s">
        <v>886</v>
      </c>
      <c r="C2647" s="713"/>
      <c r="D2647" s="757"/>
      <c r="E2647" s="758"/>
      <c r="F2647" s="714"/>
      <c r="G2647" s="714"/>
      <c r="H2647" s="714"/>
      <c r="I2647" s="714"/>
      <c r="J2647" s="714">
        <f t="shared" ref="J2647:J2669" si="233">C2647*E2647</f>
        <v>0</v>
      </c>
      <c r="K2647" s="714">
        <f t="shared" ref="K2647:K2691" si="234">I2647+J2647</f>
        <v>0</v>
      </c>
      <c r="L2647" s="714"/>
      <c r="M2647" s="714"/>
      <c r="N2647" s="714"/>
      <c r="O2647" s="753">
        <f t="shared" ref="O2647:O2691" si="235">N2647+K2647+H2647</f>
        <v>0</v>
      </c>
      <c r="P2647" s="754"/>
    </row>
    <row r="2648" spans="1:16" ht="17.25" customHeight="1" x14ac:dyDescent="0.25">
      <c r="A2648" s="742"/>
      <c r="B2648" s="711" t="s">
        <v>40</v>
      </c>
      <c r="C2648" s="713"/>
      <c r="D2648" s="757"/>
      <c r="E2648" s="758"/>
      <c r="F2648" s="714"/>
      <c r="G2648" s="714"/>
      <c r="H2648" s="714"/>
      <c r="I2648" s="714"/>
      <c r="J2648" s="714">
        <f t="shared" si="233"/>
        <v>0</v>
      </c>
      <c r="K2648" s="714">
        <f t="shared" si="234"/>
        <v>0</v>
      </c>
      <c r="L2648" s="714"/>
      <c r="M2648" s="714"/>
      <c r="N2648" s="714"/>
      <c r="O2648" s="753">
        <f t="shared" si="235"/>
        <v>0</v>
      </c>
      <c r="P2648" s="754"/>
    </row>
    <row r="2649" spans="1:16" ht="17.25" customHeight="1" x14ac:dyDescent="0.25">
      <c r="A2649" s="742"/>
      <c r="B2649" s="711" t="s">
        <v>887</v>
      </c>
      <c r="C2649" s="713">
        <v>1</v>
      </c>
      <c r="D2649" s="757" t="s">
        <v>188</v>
      </c>
      <c r="E2649" s="758">
        <v>25000</v>
      </c>
      <c r="F2649" s="714"/>
      <c r="G2649" s="714"/>
      <c r="H2649" s="714"/>
      <c r="I2649" s="714"/>
      <c r="J2649" s="714">
        <f t="shared" si="233"/>
        <v>25000</v>
      </c>
      <c r="K2649" s="714">
        <f t="shared" si="234"/>
        <v>25000</v>
      </c>
      <c r="L2649" s="714"/>
      <c r="M2649" s="714"/>
      <c r="N2649" s="714"/>
      <c r="O2649" s="753">
        <f t="shared" si="235"/>
        <v>25000</v>
      </c>
      <c r="P2649" s="754"/>
    </row>
    <row r="2650" spans="1:16" ht="17.25" customHeight="1" x14ac:dyDescent="0.25">
      <c r="A2650" s="742"/>
      <c r="B2650" s="763" t="s">
        <v>875</v>
      </c>
      <c r="C2650" s="699"/>
      <c r="D2650" s="762"/>
      <c r="E2650" s="700"/>
      <c r="F2650" s="714"/>
      <c r="G2650" s="714"/>
      <c r="H2650" s="714"/>
      <c r="I2650" s="714"/>
      <c r="J2650" s="714">
        <f t="shared" si="233"/>
        <v>0</v>
      </c>
      <c r="K2650" s="714">
        <f t="shared" si="234"/>
        <v>0</v>
      </c>
      <c r="L2650" s="714"/>
      <c r="M2650" s="714"/>
      <c r="N2650" s="714"/>
      <c r="O2650" s="753">
        <f t="shared" si="235"/>
        <v>0</v>
      </c>
      <c r="P2650" s="754"/>
    </row>
    <row r="2651" spans="1:16" ht="30.75" customHeight="1" x14ac:dyDescent="0.25">
      <c r="A2651" s="742"/>
      <c r="B2651" s="763" t="s">
        <v>888</v>
      </c>
      <c r="C2651" s="699">
        <v>10</v>
      </c>
      <c r="D2651" s="762" t="s">
        <v>51</v>
      </c>
      <c r="E2651" s="700">
        <v>3262</v>
      </c>
      <c r="F2651" s="714"/>
      <c r="G2651" s="714"/>
      <c r="H2651" s="714"/>
      <c r="I2651" s="714"/>
      <c r="J2651" s="714">
        <f t="shared" si="233"/>
        <v>32620</v>
      </c>
      <c r="K2651" s="714">
        <f t="shared" si="234"/>
        <v>32620</v>
      </c>
      <c r="L2651" s="714"/>
      <c r="M2651" s="714"/>
      <c r="N2651" s="714"/>
      <c r="O2651" s="753">
        <f t="shared" si="235"/>
        <v>32620</v>
      </c>
      <c r="P2651" s="754"/>
    </row>
    <row r="2652" spans="1:16" ht="17.25" customHeight="1" x14ac:dyDescent="0.25">
      <c r="A2652" s="742"/>
      <c r="B2652" s="763" t="s">
        <v>889</v>
      </c>
      <c r="C2652" s="699">
        <v>40</v>
      </c>
      <c r="D2652" s="762" t="s">
        <v>55</v>
      </c>
      <c r="E2652" s="700">
        <v>380</v>
      </c>
      <c r="F2652" s="714"/>
      <c r="G2652" s="714"/>
      <c r="H2652" s="714"/>
      <c r="I2652" s="714"/>
      <c r="J2652" s="714">
        <f t="shared" si="233"/>
        <v>15200</v>
      </c>
      <c r="K2652" s="714">
        <f t="shared" si="234"/>
        <v>15200</v>
      </c>
      <c r="L2652" s="714"/>
      <c r="M2652" s="714"/>
      <c r="N2652" s="714"/>
      <c r="O2652" s="753">
        <f t="shared" si="235"/>
        <v>15200</v>
      </c>
      <c r="P2652" s="754"/>
    </row>
    <row r="2653" spans="1:16" ht="17.25" customHeight="1" x14ac:dyDescent="0.25">
      <c r="A2653" s="742"/>
      <c r="B2653" s="763" t="s">
        <v>890</v>
      </c>
      <c r="C2653" s="699">
        <v>20</v>
      </c>
      <c r="D2653" s="762" t="s">
        <v>55</v>
      </c>
      <c r="E2653" s="700">
        <v>614</v>
      </c>
      <c r="F2653" s="714"/>
      <c r="G2653" s="714"/>
      <c r="H2653" s="714"/>
      <c r="I2653" s="714"/>
      <c r="J2653" s="714">
        <f t="shared" si="233"/>
        <v>12280</v>
      </c>
      <c r="K2653" s="714">
        <f t="shared" si="234"/>
        <v>12280</v>
      </c>
      <c r="L2653" s="714"/>
      <c r="M2653" s="714"/>
      <c r="N2653" s="714"/>
      <c r="O2653" s="753">
        <f t="shared" si="235"/>
        <v>12280</v>
      </c>
      <c r="P2653" s="754"/>
    </row>
    <row r="2654" spans="1:16" ht="17.25" customHeight="1" x14ac:dyDescent="0.25">
      <c r="A2654" s="742"/>
      <c r="B2654" s="924" t="s">
        <v>891</v>
      </c>
      <c r="C2654" s="699">
        <v>10</v>
      </c>
      <c r="D2654" s="762" t="s">
        <v>51</v>
      </c>
      <c r="E2654" s="700">
        <v>80</v>
      </c>
      <c r="F2654" s="714"/>
      <c r="G2654" s="714"/>
      <c r="H2654" s="714"/>
      <c r="I2654" s="714"/>
      <c r="J2654" s="714">
        <f t="shared" si="233"/>
        <v>800</v>
      </c>
      <c r="K2654" s="714">
        <f t="shared" si="234"/>
        <v>800</v>
      </c>
      <c r="L2654" s="714"/>
      <c r="M2654" s="714"/>
      <c r="N2654" s="714"/>
      <c r="O2654" s="753">
        <f t="shared" si="235"/>
        <v>800</v>
      </c>
      <c r="P2654" s="754"/>
    </row>
    <row r="2655" spans="1:16" ht="17.25" customHeight="1" x14ac:dyDescent="0.25">
      <c r="A2655" s="742"/>
      <c r="B2655" s="924"/>
      <c r="C2655" s="699"/>
      <c r="D2655" s="762"/>
      <c r="E2655" s="700"/>
      <c r="F2655" s="714"/>
      <c r="G2655" s="714"/>
      <c r="H2655" s="714"/>
      <c r="I2655" s="714"/>
      <c r="J2655" s="714">
        <f t="shared" si="233"/>
        <v>0</v>
      </c>
      <c r="K2655" s="714">
        <f t="shared" si="234"/>
        <v>0</v>
      </c>
      <c r="L2655" s="714"/>
      <c r="M2655" s="714"/>
      <c r="N2655" s="714"/>
      <c r="O2655" s="753">
        <f t="shared" si="235"/>
        <v>0</v>
      </c>
      <c r="P2655" s="754"/>
    </row>
    <row r="2656" spans="1:16" ht="17.25" customHeight="1" x14ac:dyDescent="0.25">
      <c r="A2656" s="742"/>
      <c r="B2656" s="923" t="s">
        <v>2176</v>
      </c>
      <c r="C2656" s="699">
        <v>1</v>
      </c>
      <c r="D2656" s="762" t="s">
        <v>895</v>
      </c>
      <c r="E2656" s="700">
        <v>427380</v>
      </c>
      <c r="F2656" s="714"/>
      <c r="G2656" s="714"/>
      <c r="H2656" s="714"/>
      <c r="I2656" s="714"/>
      <c r="J2656" s="714">
        <f>C2656*E2656</f>
        <v>427380</v>
      </c>
      <c r="K2656" s="714">
        <f>I2656+J2656</f>
        <v>427380</v>
      </c>
      <c r="L2656" s="714"/>
      <c r="M2656" s="714"/>
      <c r="N2656" s="714"/>
      <c r="O2656" s="753">
        <f>N2656+K2656+H2656</f>
        <v>427380</v>
      </c>
      <c r="P2656" s="754"/>
    </row>
    <row r="2657" spans="1:16" ht="17.25" customHeight="1" x14ac:dyDescent="0.25">
      <c r="A2657" s="742"/>
      <c r="B2657" s="924"/>
      <c r="C2657" s="699"/>
      <c r="D2657" s="762"/>
      <c r="E2657" s="700"/>
      <c r="F2657" s="714"/>
      <c r="G2657" s="714"/>
      <c r="H2657" s="714"/>
      <c r="I2657" s="714"/>
      <c r="J2657" s="714"/>
      <c r="K2657" s="714"/>
      <c r="L2657" s="714"/>
      <c r="M2657" s="714"/>
      <c r="N2657" s="714"/>
      <c r="O2657" s="753"/>
      <c r="P2657" s="754"/>
    </row>
    <row r="2658" spans="1:16" ht="17.25" customHeight="1" x14ac:dyDescent="0.25">
      <c r="A2658" s="742"/>
      <c r="B2658" s="923" t="s">
        <v>894</v>
      </c>
      <c r="C2658" s="699">
        <v>1</v>
      </c>
      <c r="D2658" s="762" t="s">
        <v>895</v>
      </c>
      <c r="E2658" s="700">
        <v>232200</v>
      </c>
      <c r="F2658" s="714"/>
      <c r="G2658" s="714"/>
      <c r="H2658" s="714"/>
      <c r="I2658" s="714"/>
      <c r="J2658" s="714">
        <f t="shared" si="233"/>
        <v>232200</v>
      </c>
      <c r="K2658" s="714">
        <f t="shared" si="234"/>
        <v>232200</v>
      </c>
      <c r="L2658" s="714"/>
      <c r="M2658" s="714"/>
      <c r="N2658" s="714"/>
      <c r="O2658" s="753">
        <f t="shared" si="235"/>
        <v>232200</v>
      </c>
      <c r="P2658" s="754"/>
    </row>
    <row r="2659" spans="1:16" ht="17.25" customHeight="1" x14ac:dyDescent="0.25">
      <c r="A2659" s="742"/>
      <c r="B2659" s="924"/>
      <c r="C2659" s="699"/>
      <c r="D2659" s="762"/>
      <c r="E2659" s="700"/>
      <c r="F2659" s="714"/>
      <c r="G2659" s="714"/>
      <c r="H2659" s="714"/>
      <c r="I2659" s="714"/>
      <c r="J2659" s="714">
        <f t="shared" si="233"/>
        <v>0</v>
      </c>
      <c r="K2659" s="714">
        <f t="shared" si="234"/>
        <v>0</v>
      </c>
      <c r="L2659" s="714"/>
      <c r="M2659" s="714"/>
      <c r="N2659" s="714"/>
      <c r="O2659" s="753">
        <f t="shared" si="235"/>
        <v>0</v>
      </c>
      <c r="P2659" s="754"/>
    </row>
    <row r="2660" spans="1:16" ht="17.25" customHeight="1" x14ac:dyDescent="0.25">
      <c r="A2660" s="742"/>
      <c r="B2660" s="923" t="s">
        <v>896</v>
      </c>
      <c r="C2660" s="699"/>
      <c r="D2660" s="762"/>
      <c r="E2660" s="700"/>
      <c r="F2660" s="714"/>
      <c r="G2660" s="714"/>
      <c r="H2660" s="714"/>
      <c r="I2660" s="714"/>
      <c r="J2660" s="714">
        <f t="shared" si="233"/>
        <v>0</v>
      </c>
      <c r="K2660" s="714">
        <f t="shared" si="234"/>
        <v>0</v>
      </c>
      <c r="L2660" s="714"/>
      <c r="M2660" s="714"/>
      <c r="N2660" s="714"/>
      <c r="O2660" s="753">
        <f t="shared" si="235"/>
        <v>0</v>
      </c>
      <c r="P2660" s="754"/>
    </row>
    <row r="2661" spans="1:16" ht="17.25" customHeight="1" x14ac:dyDescent="0.25">
      <c r="A2661" s="742"/>
      <c r="B2661" s="924" t="s">
        <v>897</v>
      </c>
      <c r="C2661" s="699"/>
      <c r="D2661" s="762"/>
      <c r="E2661" s="700"/>
      <c r="F2661" s="714"/>
      <c r="G2661" s="714"/>
      <c r="H2661" s="714"/>
      <c r="I2661" s="714"/>
      <c r="J2661" s="714">
        <f t="shared" si="233"/>
        <v>0</v>
      </c>
      <c r="K2661" s="714">
        <f t="shared" si="234"/>
        <v>0</v>
      </c>
      <c r="L2661" s="714"/>
      <c r="M2661" s="714"/>
      <c r="N2661" s="714"/>
      <c r="O2661" s="753">
        <f t="shared" si="235"/>
        <v>0</v>
      </c>
      <c r="P2661" s="754"/>
    </row>
    <row r="2662" spans="1:16" ht="17.25" customHeight="1" x14ac:dyDescent="0.25">
      <c r="A2662" s="742"/>
      <c r="B2662" s="924" t="s">
        <v>315</v>
      </c>
      <c r="C2662" s="699"/>
      <c r="D2662" s="762"/>
      <c r="E2662" s="700"/>
      <c r="F2662" s="747"/>
      <c r="G2662" s="747"/>
      <c r="H2662" s="747"/>
      <c r="I2662" s="747"/>
      <c r="J2662" s="747">
        <f t="shared" si="233"/>
        <v>0</v>
      </c>
      <c r="K2662" s="747">
        <f t="shared" si="234"/>
        <v>0</v>
      </c>
      <c r="L2662" s="747"/>
      <c r="M2662" s="747"/>
      <c r="N2662" s="747"/>
      <c r="O2662" s="748">
        <f t="shared" si="235"/>
        <v>0</v>
      </c>
      <c r="P2662" s="749"/>
    </row>
    <row r="2663" spans="1:16" ht="17.25" customHeight="1" x14ac:dyDescent="0.25">
      <c r="A2663" s="742"/>
      <c r="B2663" s="924" t="s">
        <v>236</v>
      </c>
      <c r="C2663" s="699">
        <v>12</v>
      </c>
      <c r="D2663" s="762" t="s">
        <v>20</v>
      </c>
      <c r="E2663" s="700">
        <v>1900</v>
      </c>
      <c r="F2663" s="747"/>
      <c r="G2663" s="747"/>
      <c r="H2663" s="747"/>
      <c r="I2663" s="747"/>
      <c r="J2663" s="747">
        <f t="shared" si="233"/>
        <v>22800</v>
      </c>
      <c r="K2663" s="747">
        <f t="shared" si="234"/>
        <v>22800</v>
      </c>
      <c r="L2663" s="747"/>
      <c r="M2663" s="747"/>
      <c r="N2663" s="747"/>
      <c r="O2663" s="748">
        <f t="shared" si="235"/>
        <v>22800</v>
      </c>
      <c r="P2663" s="749"/>
    </row>
    <row r="2664" spans="1:16" ht="17.25" customHeight="1" x14ac:dyDescent="0.25">
      <c r="A2664" s="742"/>
      <c r="B2664" s="924" t="s">
        <v>1697</v>
      </c>
      <c r="C2664" s="699">
        <v>12</v>
      </c>
      <c r="D2664" s="762" t="s">
        <v>20</v>
      </c>
      <c r="E2664" s="700">
        <v>1850</v>
      </c>
      <c r="F2664" s="747"/>
      <c r="G2664" s="747"/>
      <c r="H2664" s="747"/>
      <c r="I2664" s="747"/>
      <c r="J2664" s="747">
        <f t="shared" si="233"/>
        <v>22200</v>
      </c>
      <c r="K2664" s="747">
        <f t="shared" si="234"/>
        <v>22200</v>
      </c>
      <c r="L2664" s="747"/>
      <c r="M2664" s="747"/>
      <c r="N2664" s="747"/>
      <c r="O2664" s="748">
        <f t="shared" si="235"/>
        <v>22200</v>
      </c>
      <c r="P2664" s="749"/>
    </row>
    <row r="2665" spans="1:16" ht="17.25" customHeight="1" x14ac:dyDescent="0.25">
      <c r="A2665" s="742"/>
      <c r="B2665" s="924" t="s">
        <v>898</v>
      </c>
      <c r="C2665" s="699">
        <v>12</v>
      </c>
      <c r="D2665" s="762" t="s">
        <v>20</v>
      </c>
      <c r="E2665" s="700">
        <v>1500</v>
      </c>
      <c r="F2665" s="747"/>
      <c r="G2665" s="747"/>
      <c r="H2665" s="747"/>
      <c r="I2665" s="747"/>
      <c r="J2665" s="747">
        <f t="shared" si="233"/>
        <v>18000</v>
      </c>
      <c r="K2665" s="747">
        <f t="shared" si="234"/>
        <v>18000</v>
      </c>
      <c r="L2665" s="747"/>
      <c r="M2665" s="747"/>
      <c r="N2665" s="747"/>
      <c r="O2665" s="748">
        <f t="shared" si="235"/>
        <v>18000</v>
      </c>
      <c r="P2665" s="749"/>
    </row>
    <row r="2666" spans="1:16" ht="17.25" customHeight="1" x14ac:dyDescent="0.25">
      <c r="A2666" s="742"/>
      <c r="B2666" s="924" t="s">
        <v>899</v>
      </c>
      <c r="C2666" s="699">
        <v>12</v>
      </c>
      <c r="D2666" s="762" t="s">
        <v>20</v>
      </c>
      <c r="E2666" s="700">
        <v>1300</v>
      </c>
      <c r="F2666" s="747"/>
      <c r="G2666" s="747"/>
      <c r="H2666" s="747"/>
      <c r="I2666" s="747"/>
      <c r="J2666" s="747">
        <f t="shared" si="233"/>
        <v>15600</v>
      </c>
      <c r="K2666" s="747">
        <f t="shared" si="234"/>
        <v>15600</v>
      </c>
      <c r="L2666" s="747"/>
      <c r="M2666" s="747"/>
      <c r="N2666" s="747"/>
      <c r="O2666" s="748">
        <f t="shared" si="235"/>
        <v>15600</v>
      </c>
      <c r="P2666" s="749"/>
    </row>
    <row r="2667" spans="1:16" ht="17.25" customHeight="1" x14ac:dyDescent="0.25">
      <c r="A2667" s="742"/>
      <c r="B2667" s="924" t="s">
        <v>900</v>
      </c>
      <c r="C2667" s="699">
        <v>24</v>
      </c>
      <c r="D2667" s="762" t="s">
        <v>20</v>
      </c>
      <c r="E2667" s="700">
        <v>800</v>
      </c>
      <c r="F2667" s="714"/>
      <c r="G2667" s="714"/>
      <c r="H2667" s="714"/>
      <c r="I2667" s="714"/>
      <c r="J2667" s="714">
        <f t="shared" si="233"/>
        <v>19200</v>
      </c>
      <c r="K2667" s="714">
        <f t="shared" si="234"/>
        <v>19200</v>
      </c>
      <c r="L2667" s="714"/>
      <c r="M2667" s="714"/>
      <c r="N2667" s="714"/>
      <c r="O2667" s="753">
        <f t="shared" si="235"/>
        <v>19200</v>
      </c>
      <c r="P2667" s="754"/>
    </row>
    <row r="2668" spans="1:16" ht="17.25" customHeight="1" x14ac:dyDescent="0.25">
      <c r="A2668" s="742"/>
      <c r="B2668" s="924"/>
      <c r="C2668" s="699"/>
      <c r="D2668" s="762"/>
      <c r="E2668" s="700"/>
      <c r="F2668" s="714"/>
      <c r="G2668" s="714"/>
      <c r="H2668" s="714"/>
      <c r="I2668" s="714"/>
      <c r="J2668" s="714">
        <f t="shared" si="233"/>
        <v>0</v>
      </c>
      <c r="K2668" s="714">
        <f t="shared" si="234"/>
        <v>0</v>
      </c>
      <c r="L2668" s="714"/>
      <c r="M2668" s="714"/>
      <c r="N2668" s="714"/>
      <c r="O2668" s="753">
        <f t="shared" si="235"/>
        <v>0</v>
      </c>
      <c r="P2668" s="754"/>
    </row>
    <row r="2669" spans="1:16" ht="17.25" customHeight="1" x14ac:dyDescent="0.25">
      <c r="A2669" s="742"/>
      <c r="B2669" s="924" t="s">
        <v>21</v>
      </c>
      <c r="C2669" s="699"/>
      <c r="D2669" s="762"/>
      <c r="E2669" s="700"/>
      <c r="F2669" s="747"/>
      <c r="G2669" s="747"/>
      <c r="H2669" s="747"/>
      <c r="I2669" s="747"/>
      <c r="J2669" s="747">
        <f t="shared" si="233"/>
        <v>0</v>
      </c>
      <c r="K2669" s="747">
        <f t="shared" si="234"/>
        <v>0</v>
      </c>
      <c r="L2669" s="747"/>
      <c r="M2669" s="747"/>
      <c r="N2669" s="747"/>
      <c r="O2669" s="748">
        <f t="shared" si="235"/>
        <v>0</v>
      </c>
      <c r="P2669" s="749"/>
    </row>
    <row r="2670" spans="1:16" ht="17.25" customHeight="1" x14ac:dyDescent="0.25">
      <c r="A2670" s="742"/>
      <c r="B2670" s="924" t="s">
        <v>1721</v>
      </c>
      <c r="C2670" s="699">
        <v>1</v>
      </c>
      <c r="D2670" s="762" t="s">
        <v>47</v>
      </c>
      <c r="E2670" s="700">
        <v>512416</v>
      </c>
      <c r="F2670" s="747"/>
      <c r="G2670" s="747"/>
      <c r="H2670" s="747"/>
      <c r="I2670" s="747">
        <f t="shared" ref="I2670:I2685" si="236">E2670*C2670</f>
        <v>512416</v>
      </c>
      <c r="J2670" s="747"/>
      <c r="K2670" s="747">
        <f t="shared" si="234"/>
        <v>512416</v>
      </c>
      <c r="L2670" s="747"/>
      <c r="M2670" s="747"/>
      <c r="N2670" s="747"/>
      <c r="O2670" s="748">
        <f t="shared" si="235"/>
        <v>512416</v>
      </c>
      <c r="P2670" s="749"/>
    </row>
    <row r="2671" spans="1:16" ht="17.25" customHeight="1" x14ac:dyDescent="0.25">
      <c r="A2671" s="742"/>
      <c r="B2671" s="924" t="s">
        <v>2148</v>
      </c>
      <c r="C2671" s="699"/>
      <c r="D2671" s="762"/>
      <c r="E2671" s="700"/>
      <c r="F2671" s="747"/>
      <c r="G2671" s="747"/>
      <c r="H2671" s="747"/>
      <c r="I2671" s="747"/>
      <c r="J2671" s="747"/>
      <c r="K2671" s="747"/>
      <c r="L2671" s="747"/>
      <c r="M2671" s="747"/>
      <c r="N2671" s="747"/>
      <c r="O2671" s="748"/>
      <c r="P2671" s="749"/>
    </row>
    <row r="2672" spans="1:16" ht="17.25" customHeight="1" x14ac:dyDescent="0.25">
      <c r="A2672" s="742"/>
      <c r="B2672" s="924" t="s">
        <v>2149</v>
      </c>
      <c r="C2672" s="699"/>
      <c r="D2672" s="762"/>
      <c r="E2672" s="700"/>
      <c r="F2672" s="747"/>
      <c r="G2672" s="747"/>
      <c r="H2672" s="747"/>
      <c r="I2672" s="747"/>
      <c r="J2672" s="747"/>
      <c r="K2672" s="747"/>
      <c r="L2672" s="747"/>
      <c r="M2672" s="747"/>
      <c r="N2672" s="747"/>
      <c r="O2672" s="748"/>
      <c r="P2672" s="749"/>
    </row>
    <row r="2673" spans="1:89" ht="17.25" customHeight="1" x14ac:dyDescent="0.25">
      <c r="A2673" s="742"/>
      <c r="B2673" s="924" t="s">
        <v>2150</v>
      </c>
      <c r="C2673" s="699"/>
      <c r="D2673" s="762"/>
      <c r="E2673" s="700"/>
      <c r="F2673" s="747"/>
      <c r="G2673" s="747"/>
      <c r="H2673" s="747"/>
      <c r="I2673" s="747"/>
      <c r="J2673" s="747"/>
      <c r="K2673" s="747"/>
      <c r="L2673" s="747"/>
      <c r="M2673" s="747"/>
      <c r="N2673" s="747"/>
      <c r="O2673" s="748"/>
      <c r="P2673" s="749"/>
    </row>
    <row r="2674" spans="1:89" ht="17.25" customHeight="1" x14ac:dyDescent="0.25">
      <c r="A2674" s="742"/>
      <c r="B2674" s="924" t="s">
        <v>2151</v>
      </c>
      <c r="C2674" s="699"/>
      <c r="D2674" s="762"/>
      <c r="E2674" s="700"/>
      <c r="F2674" s="747"/>
      <c r="G2674" s="747"/>
      <c r="H2674" s="747"/>
      <c r="I2674" s="747"/>
      <c r="J2674" s="747"/>
      <c r="K2674" s="747"/>
      <c r="L2674" s="747"/>
      <c r="M2674" s="747"/>
      <c r="N2674" s="747"/>
      <c r="O2674" s="748"/>
      <c r="P2674" s="749"/>
    </row>
    <row r="2675" spans="1:89" ht="17.25" customHeight="1" x14ac:dyDescent="0.25">
      <c r="A2675" s="742"/>
      <c r="B2675" s="924"/>
      <c r="C2675" s="699"/>
      <c r="D2675" s="762"/>
      <c r="E2675" s="700"/>
      <c r="F2675" s="747"/>
      <c r="G2675" s="747"/>
      <c r="H2675" s="747"/>
      <c r="I2675" s="747"/>
      <c r="J2675" s="747"/>
      <c r="K2675" s="747"/>
      <c r="L2675" s="747"/>
      <c r="M2675" s="747"/>
      <c r="N2675" s="747"/>
      <c r="O2675" s="748"/>
      <c r="P2675" s="749"/>
    </row>
    <row r="2676" spans="1:89" ht="17.25" customHeight="1" x14ac:dyDescent="0.25">
      <c r="A2676" s="742"/>
      <c r="B2676" s="924" t="s">
        <v>901</v>
      </c>
      <c r="C2676" s="699">
        <v>1</v>
      </c>
      <c r="D2676" s="762" t="s">
        <v>47</v>
      </c>
      <c r="E2676" s="700">
        <v>25000</v>
      </c>
      <c r="F2676" s="747"/>
      <c r="G2676" s="747"/>
      <c r="H2676" s="747"/>
      <c r="I2676" s="747">
        <f t="shared" si="236"/>
        <v>25000</v>
      </c>
      <c r="J2676" s="747"/>
      <c r="K2676" s="747">
        <f t="shared" si="234"/>
        <v>25000</v>
      </c>
      <c r="L2676" s="747"/>
      <c r="M2676" s="747"/>
      <c r="N2676" s="747"/>
      <c r="O2676" s="748">
        <f t="shared" si="235"/>
        <v>25000</v>
      </c>
      <c r="P2676" s="749"/>
    </row>
    <row r="2677" spans="1:89" ht="17.25" customHeight="1" x14ac:dyDescent="0.25">
      <c r="A2677" s="742"/>
      <c r="B2677" s="924" t="s">
        <v>902</v>
      </c>
      <c r="C2677" s="699"/>
      <c r="D2677" s="762"/>
      <c r="E2677" s="700"/>
      <c r="F2677" s="747"/>
      <c r="G2677" s="747"/>
      <c r="H2677" s="747"/>
      <c r="I2677" s="747">
        <f t="shared" si="236"/>
        <v>0</v>
      </c>
      <c r="J2677" s="747"/>
      <c r="K2677" s="747">
        <f t="shared" si="234"/>
        <v>0</v>
      </c>
      <c r="L2677" s="747"/>
      <c r="M2677" s="747"/>
      <c r="N2677" s="747"/>
      <c r="O2677" s="748">
        <f t="shared" si="235"/>
        <v>0</v>
      </c>
      <c r="P2677" s="749"/>
    </row>
    <row r="2678" spans="1:89" ht="17.25" customHeight="1" x14ac:dyDescent="0.25">
      <c r="A2678" s="742"/>
      <c r="B2678" s="924" t="s">
        <v>903</v>
      </c>
      <c r="C2678" s="699">
        <v>40</v>
      </c>
      <c r="D2678" s="762" t="s">
        <v>159</v>
      </c>
      <c r="E2678" s="700">
        <v>460</v>
      </c>
      <c r="F2678" s="747"/>
      <c r="G2678" s="747"/>
      <c r="H2678" s="747"/>
      <c r="I2678" s="747">
        <f t="shared" si="236"/>
        <v>18400</v>
      </c>
      <c r="J2678" s="747"/>
      <c r="K2678" s="747">
        <f t="shared" si="234"/>
        <v>18400</v>
      </c>
      <c r="L2678" s="747"/>
      <c r="M2678" s="747"/>
      <c r="N2678" s="747"/>
      <c r="O2678" s="748">
        <f t="shared" si="235"/>
        <v>18400</v>
      </c>
      <c r="P2678" s="749"/>
    </row>
    <row r="2679" spans="1:89" ht="17.25" customHeight="1" x14ac:dyDescent="0.25">
      <c r="A2679" s="742"/>
      <c r="B2679" s="924" t="s">
        <v>904</v>
      </c>
      <c r="C2679" s="699"/>
      <c r="D2679" s="762"/>
      <c r="E2679" s="700"/>
      <c r="F2679" s="747"/>
      <c r="G2679" s="747"/>
      <c r="H2679" s="747"/>
      <c r="I2679" s="747">
        <f t="shared" si="236"/>
        <v>0</v>
      </c>
      <c r="J2679" s="747"/>
      <c r="K2679" s="747">
        <f t="shared" si="234"/>
        <v>0</v>
      </c>
      <c r="L2679" s="747"/>
      <c r="M2679" s="747"/>
      <c r="N2679" s="747"/>
      <c r="O2679" s="748">
        <f t="shared" si="235"/>
        <v>0</v>
      </c>
      <c r="P2679" s="749"/>
    </row>
    <row r="2680" spans="1:89" ht="17.25" customHeight="1" x14ac:dyDescent="0.25">
      <c r="A2680" s="742"/>
      <c r="B2680" s="924" t="s">
        <v>2152</v>
      </c>
      <c r="C2680" s="699">
        <v>4</v>
      </c>
      <c r="D2680" s="762" t="s">
        <v>159</v>
      </c>
      <c r="E2680" s="700">
        <v>850</v>
      </c>
      <c r="F2680" s="714"/>
      <c r="G2680" s="714"/>
      <c r="H2680" s="714"/>
      <c r="I2680" s="714">
        <f t="shared" si="236"/>
        <v>3400</v>
      </c>
      <c r="J2680" s="714"/>
      <c r="K2680" s="714">
        <f t="shared" si="234"/>
        <v>3400</v>
      </c>
      <c r="L2680" s="714"/>
      <c r="M2680" s="714"/>
      <c r="N2680" s="714"/>
      <c r="O2680" s="753">
        <f t="shared" si="235"/>
        <v>3400</v>
      </c>
      <c r="P2680" s="754"/>
    </row>
    <row r="2681" spans="1:89" ht="17.25" customHeight="1" x14ac:dyDescent="0.25">
      <c r="A2681" s="742"/>
      <c r="B2681" s="924" t="s">
        <v>905</v>
      </c>
      <c r="C2681" s="699"/>
      <c r="D2681" s="762"/>
      <c r="E2681" s="700"/>
      <c r="F2681" s="714"/>
      <c r="G2681" s="714"/>
      <c r="H2681" s="714"/>
      <c r="I2681" s="714">
        <f t="shared" si="236"/>
        <v>0</v>
      </c>
      <c r="J2681" s="714"/>
      <c r="K2681" s="714">
        <f t="shared" si="234"/>
        <v>0</v>
      </c>
      <c r="L2681" s="714"/>
      <c r="M2681" s="714"/>
      <c r="N2681" s="714"/>
      <c r="O2681" s="753">
        <f t="shared" si="235"/>
        <v>0</v>
      </c>
      <c r="P2681" s="754"/>
    </row>
    <row r="2682" spans="1:89" ht="17.25" customHeight="1" x14ac:dyDescent="0.25">
      <c r="A2682" s="742"/>
      <c r="B2682" s="924" t="s">
        <v>2153</v>
      </c>
      <c r="C2682" s="699">
        <v>4</v>
      </c>
      <c r="D2682" s="762" t="s">
        <v>159</v>
      </c>
      <c r="E2682" s="700">
        <v>390</v>
      </c>
      <c r="F2682" s="714"/>
      <c r="G2682" s="714"/>
      <c r="H2682" s="714"/>
      <c r="I2682" s="714">
        <f t="shared" si="236"/>
        <v>1560</v>
      </c>
      <c r="J2682" s="714"/>
      <c r="K2682" s="714">
        <f t="shared" si="234"/>
        <v>1560</v>
      </c>
      <c r="L2682" s="714"/>
      <c r="M2682" s="714"/>
      <c r="N2682" s="714"/>
      <c r="O2682" s="753">
        <f t="shared" si="235"/>
        <v>1560</v>
      </c>
      <c r="P2682" s="754"/>
    </row>
    <row r="2683" spans="1:89" ht="17.25" customHeight="1" x14ac:dyDescent="0.25">
      <c r="A2683" s="742"/>
      <c r="B2683" s="924" t="s">
        <v>906</v>
      </c>
      <c r="C2683" s="699"/>
      <c r="D2683" s="762"/>
      <c r="E2683" s="700"/>
      <c r="F2683" s="714"/>
      <c r="G2683" s="714"/>
      <c r="H2683" s="714"/>
      <c r="I2683" s="714">
        <f t="shared" si="236"/>
        <v>0</v>
      </c>
      <c r="J2683" s="714"/>
      <c r="K2683" s="714">
        <f t="shared" si="234"/>
        <v>0</v>
      </c>
      <c r="L2683" s="714"/>
      <c r="M2683" s="714"/>
      <c r="N2683" s="714"/>
      <c r="O2683" s="753">
        <f t="shared" si="235"/>
        <v>0</v>
      </c>
      <c r="P2683" s="754"/>
    </row>
    <row r="2684" spans="1:89" ht="17.25" customHeight="1" x14ac:dyDescent="0.25">
      <c r="A2684" s="742"/>
      <c r="B2684" s="924" t="s">
        <v>2154</v>
      </c>
      <c r="C2684" s="699">
        <v>8</v>
      </c>
      <c r="D2684" s="762" t="s">
        <v>159</v>
      </c>
      <c r="E2684" s="700">
        <v>390</v>
      </c>
      <c r="F2684" s="714"/>
      <c r="G2684" s="714"/>
      <c r="H2684" s="714"/>
      <c r="I2684" s="714">
        <f t="shared" si="236"/>
        <v>3120</v>
      </c>
      <c r="J2684" s="714"/>
      <c r="K2684" s="714">
        <f t="shared" si="234"/>
        <v>3120</v>
      </c>
      <c r="L2684" s="714"/>
      <c r="M2684" s="714"/>
      <c r="N2684" s="714"/>
      <c r="O2684" s="753">
        <f t="shared" si="235"/>
        <v>3120</v>
      </c>
      <c r="P2684" s="754"/>
    </row>
    <row r="2685" spans="1:89" ht="17.25" customHeight="1" x14ac:dyDescent="0.25">
      <c r="A2685" s="742"/>
      <c r="B2685" s="924" t="s">
        <v>2155</v>
      </c>
      <c r="C2685" s="699">
        <v>4</v>
      </c>
      <c r="D2685" s="762" t="s">
        <v>159</v>
      </c>
      <c r="E2685" s="700">
        <v>390</v>
      </c>
      <c r="F2685" s="714"/>
      <c r="G2685" s="714"/>
      <c r="H2685" s="714"/>
      <c r="I2685" s="714">
        <f t="shared" si="236"/>
        <v>1560</v>
      </c>
      <c r="J2685" s="714"/>
      <c r="K2685" s="714">
        <f t="shared" si="234"/>
        <v>1560</v>
      </c>
      <c r="L2685" s="714"/>
      <c r="M2685" s="714"/>
      <c r="N2685" s="714"/>
      <c r="O2685" s="753">
        <f t="shared" si="235"/>
        <v>1560</v>
      </c>
      <c r="P2685" s="754"/>
    </row>
    <row r="2686" spans="1:89" ht="17.25" customHeight="1" x14ac:dyDescent="0.25">
      <c r="A2686" s="742"/>
      <c r="B2686" s="924"/>
      <c r="C2686" s="699"/>
      <c r="D2686" s="762"/>
      <c r="E2686" s="700"/>
      <c r="F2686" s="714"/>
      <c r="G2686" s="714"/>
      <c r="H2686" s="714"/>
      <c r="I2686" s="714"/>
      <c r="J2686" s="714"/>
      <c r="K2686" s="714"/>
      <c r="L2686" s="714"/>
      <c r="M2686" s="714"/>
      <c r="N2686" s="714"/>
      <c r="O2686" s="753"/>
      <c r="P2686" s="754"/>
    </row>
    <row r="2687" spans="1:89" s="1125" customFormat="1" ht="17.25" customHeight="1" x14ac:dyDescent="0.2">
      <c r="A2687" s="1123"/>
      <c r="B2687" s="1124" t="s">
        <v>907</v>
      </c>
      <c r="C2687" s="743">
        <v>1</v>
      </c>
      <c r="D2687" s="778" t="s">
        <v>47</v>
      </c>
      <c r="E2687" s="1665">
        <v>5000</v>
      </c>
      <c r="F2687" s="985"/>
      <c r="G2687" s="985"/>
      <c r="H2687" s="985"/>
      <c r="I2687" s="985">
        <f>E2687*C2687</f>
        <v>5000</v>
      </c>
      <c r="J2687" s="985"/>
      <c r="K2687" s="985">
        <f>I2687+J2687</f>
        <v>5000</v>
      </c>
      <c r="L2687" s="985"/>
      <c r="M2687" s="985"/>
      <c r="N2687" s="985"/>
      <c r="O2687" s="987">
        <f>N2687+K2687+H2687</f>
        <v>5000</v>
      </c>
      <c r="P2687" s="988"/>
      <c r="Q2687" s="1828"/>
      <c r="R2687" s="1828"/>
      <c r="S2687" s="1828"/>
      <c r="T2687" s="1828"/>
      <c r="U2687" s="1828"/>
      <c r="V2687" s="1828"/>
      <c r="W2687" s="1828"/>
      <c r="X2687" s="1828"/>
      <c r="Y2687" s="1828"/>
      <c r="Z2687" s="1828"/>
      <c r="AA2687" s="1828"/>
      <c r="AB2687" s="1828"/>
      <c r="AC2687" s="1828"/>
      <c r="AD2687" s="1828"/>
      <c r="AE2687" s="1828"/>
      <c r="AF2687" s="1828"/>
      <c r="AG2687" s="1828"/>
      <c r="AH2687" s="1828"/>
      <c r="AI2687" s="1828"/>
      <c r="AJ2687" s="1828"/>
      <c r="AK2687" s="1828"/>
      <c r="AL2687" s="1828"/>
      <c r="AM2687" s="1828"/>
      <c r="AN2687" s="1828"/>
      <c r="AO2687" s="1828"/>
      <c r="AP2687" s="1828"/>
      <c r="AQ2687" s="1828"/>
      <c r="AR2687" s="1828"/>
      <c r="AS2687" s="1828"/>
      <c r="AT2687" s="1828"/>
      <c r="AU2687" s="1828"/>
      <c r="AV2687" s="1828"/>
      <c r="AW2687" s="1828"/>
      <c r="AX2687" s="1828"/>
      <c r="AY2687" s="1828"/>
      <c r="AZ2687" s="1828"/>
      <c r="BA2687" s="1828"/>
      <c r="BB2687" s="1828"/>
      <c r="BC2687" s="1828"/>
      <c r="BD2687" s="1828"/>
      <c r="BE2687" s="1828"/>
      <c r="BF2687" s="1828"/>
      <c r="BG2687" s="1828"/>
      <c r="BH2687" s="1828"/>
      <c r="BI2687" s="1828"/>
      <c r="BJ2687" s="1828"/>
      <c r="BK2687" s="1828"/>
      <c r="BL2687" s="1828"/>
      <c r="BM2687" s="1828"/>
      <c r="BN2687" s="1828"/>
      <c r="BO2687" s="1828"/>
      <c r="BP2687" s="1828"/>
      <c r="BQ2687" s="1828"/>
      <c r="BR2687" s="1828"/>
      <c r="BS2687" s="1828"/>
      <c r="BT2687" s="1828"/>
      <c r="BU2687" s="1828"/>
      <c r="BV2687" s="1828"/>
      <c r="BW2687" s="1828"/>
      <c r="BX2687" s="1828"/>
      <c r="BY2687" s="1828"/>
      <c r="BZ2687" s="1828"/>
      <c r="CA2687" s="1828"/>
      <c r="CB2687" s="1828"/>
      <c r="CC2687" s="1828"/>
      <c r="CD2687" s="1828"/>
      <c r="CE2687" s="1828"/>
      <c r="CF2687" s="1828"/>
      <c r="CG2687" s="1828"/>
      <c r="CH2687" s="1828"/>
      <c r="CI2687" s="1828"/>
      <c r="CJ2687" s="1828"/>
      <c r="CK2687" s="1828"/>
    </row>
    <row r="2688" spans="1:89" ht="17.25" customHeight="1" x14ac:dyDescent="0.25">
      <c r="A2688" s="742"/>
      <c r="B2688" s="924"/>
      <c r="C2688" s="699"/>
      <c r="D2688" s="762"/>
      <c r="E2688" s="700"/>
      <c r="F2688" s="714"/>
      <c r="G2688" s="714"/>
      <c r="H2688" s="714"/>
      <c r="I2688" s="714"/>
      <c r="J2688" s="714">
        <f>C2688*E2688</f>
        <v>0</v>
      </c>
      <c r="K2688" s="714">
        <f t="shared" si="234"/>
        <v>0</v>
      </c>
      <c r="L2688" s="714"/>
      <c r="M2688" s="714"/>
      <c r="N2688" s="714"/>
      <c r="O2688" s="753">
        <f t="shared" si="235"/>
        <v>0</v>
      </c>
      <c r="P2688" s="754"/>
    </row>
    <row r="2689" spans="1:16" ht="17.25" customHeight="1" x14ac:dyDescent="0.25">
      <c r="A2689" s="742"/>
      <c r="B2689" s="924" t="s">
        <v>27</v>
      </c>
      <c r="C2689" s="699"/>
      <c r="D2689" s="762"/>
      <c r="E2689" s="700"/>
      <c r="F2689" s="714"/>
      <c r="G2689" s="714"/>
      <c r="H2689" s="714"/>
      <c r="I2689" s="714"/>
      <c r="J2689" s="714">
        <f>C2689*E2689</f>
        <v>0</v>
      </c>
      <c r="K2689" s="714">
        <f t="shared" si="234"/>
        <v>0</v>
      </c>
      <c r="L2689" s="714"/>
      <c r="M2689" s="714"/>
      <c r="N2689" s="714"/>
      <c r="O2689" s="753">
        <f t="shared" si="235"/>
        <v>0</v>
      </c>
      <c r="P2689" s="754"/>
    </row>
    <row r="2690" spans="1:16" ht="17.25" customHeight="1" x14ac:dyDescent="0.25">
      <c r="A2690" s="742"/>
      <c r="B2690" s="924" t="s">
        <v>908</v>
      </c>
      <c r="C2690" s="699">
        <v>1</v>
      </c>
      <c r="D2690" s="762" t="s">
        <v>47</v>
      </c>
      <c r="E2690" s="700">
        <v>60000</v>
      </c>
      <c r="F2690" s="714"/>
      <c r="G2690" s="714"/>
      <c r="H2690" s="714"/>
      <c r="I2690" s="714">
        <f>E2690*C2690</f>
        <v>60000</v>
      </c>
      <c r="J2690" s="714"/>
      <c r="K2690" s="714">
        <f t="shared" si="234"/>
        <v>60000</v>
      </c>
      <c r="L2690" s="714"/>
      <c r="M2690" s="714"/>
      <c r="N2690" s="714"/>
      <c r="O2690" s="753">
        <f t="shared" si="235"/>
        <v>60000</v>
      </c>
      <c r="P2690" s="754"/>
    </row>
    <row r="2691" spans="1:16" ht="17.25" customHeight="1" x14ac:dyDescent="0.25">
      <c r="A2691" s="742"/>
      <c r="B2691" s="924" t="s">
        <v>2156</v>
      </c>
      <c r="C2691" s="699">
        <v>1</v>
      </c>
      <c r="D2691" s="762" t="s">
        <v>47</v>
      </c>
      <c r="E2691" s="700">
        <v>50000</v>
      </c>
      <c r="F2691" s="714"/>
      <c r="G2691" s="714"/>
      <c r="H2691" s="714"/>
      <c r="I2691" s="714"/>
      <c r="J2691" s="714">
        <f>C2691*E2691</f>
        <v>50000</v>
      </c>
      <c r="K2691" s="714">
        <f t="shared" si="234"/>
        <v>50000</v>
      </c>
      <c r="L2691" s="714"/>
      <c r="M2691" s="714"/>
      <c r="N2691" s="714"/>
      <c r="O2691" s="753">
        <f t="shared" si="235"/>
        <v>50000</v>
      </c>
      <c r="P2691" s="754"/>
    </row>
    <row r="2692" spans="1:16" ht="17.25" customHeight="1" x14ac:dyDescent="0.25">
      <c r="A2692" s="742"/>
      <c r="B2692" s="924"/>
      <c r="C2692" s="699"/>
      <c r="D2692" s="762"/>
      <c r="E2692" s="700"/>
      <c r="F2692" s="714"/>
      <c r="G2692" s="714"/>
      <c r="H2692" s="714"/>
      <c r="I2692" s="714"/>
      <c r="J2692" s="714"/>
      <c r="K2692" s="714"/>
      <c r="L2692" s="714"/>
      <c r="M2692" s="714"/>
      <c r="N2692" s="714"/>
      <c r="O2692" s="753"/>
      <c r="P2692" s="754"/>
    </row>
    <row r="2693" spans="1:16" ht="17.25" customHeight="1" x14ac:dyDescent="0.25">
      <c r="A2693" s="742"/>
      <c r="B2693" s="924" t="s">
        <v>206</v>
      </c>
      <c r="C2693" s="699">
        <v>114600</v>
      </c>
      <c r="D2693" s="762"/>
      <c r="E2693" s="700"/>
      <c r="F2693" s="714"/>
      <c r="G2693" s="714"/>
      <c r="H2693" s="714"/>
      <c r="I2693" s="714"/>
      <c r="J2693" s="714"/>
      <c r="K2693" s="714"/>
      <c r="L2693" s="714"/>
      <c r="M2693" s="714"/>
      <c r="N2693" s="714"/>
      <c r="O2693" s="753"/>
      <c r="P2693" s="754"/>
    </row>
    <row r="2694" spans="1:16" ht="17.25" customHeight="1" x14ac:dyDescent="0.25">
      <c r="A2694" s="742"/>
      <c r="B2694" s="924" t="s">
        <v>909</v>
      </c>
      <c r="C2694" s="699">
        <v>1</v>
      </c>
      <c r="D2694" s="762" t="s">
        <v>47</v>
      </c>
      <c r="E2694" s="700">
        <v>55000</v>
      </c>
      <c r="F2694" s="935"/>
      <c r="G2694" s="935"/>
      <c r="H2694" s="935"/>
      <c r="I2694" s="935"/>
      <c r="J2694" s="935">
        <f>C2694*E2694</f>
        <v>55000</v>
      </c>
      <c r="K2694" s="935">
        <f>I2694+J2694</f>
        <v>55000</v>
      </c>
      <c r="L2694" s="935"/>
      <c r="M2694" s="935"/>
      <c r="N2694" s="935"/>
      <c r="O2694" s="867">
        <f>N2694+K2694+H2694</f>
        <v>55000</v>
      </c>
      <c r="P2694" s="754"/>
    </row>
    <row r="2695" spans="1:16" ht="17.25" customHeight="1" x14ac:dyDescent="0.25">
      <c r="A2695" s="742"/>
      <c r="B2695" s="924" t="s">
        <v>910</v>
      </c>
      <c r="C2695" s="699">
        <v>1</v>
      </c>
      <c r="D2695" s="762" t="s">
        <v>47</v>
      </c>
      <c r="E2695" s="700">
        <v>35000</v>
      </c>
      <c r="F2695" s="935"/>
      <c r="G2695" s="935"/>
      <c r="H2695" s="935"/>
      <c r="I2695" s="935"/>
      <c r="J2695" s="935">
        <f>C2695*E2695</f>
        <v>35000</v>
      </c>
      <c r="K2695" s="935">
        <f>I2695+J2695</f>
        <v>35000</v>
      </c>
      <c r="L2695" s="935"/>
      <c r="M2695" s="935"/>
      <c r="N2695" s="935"/>
      <c r="O2695" s="867">
        <f>N2695+K2695+H2695</f>
        <v>35000</v>
      </c>
      <c r="P2695" s="754"/>
    </row>
    <row r="2696" spans="1:16" ht="17.25" customHeight="1" x14ac:dyDescent="0.25">
      <c r="A2696" s="742"/>
      <c r="B2696" s="924" t="s">
        <v>2157</v>
      </c>
      <c r="C2696" s="699">
        <v>1</v>
      </c>
      <c r="D2696" s="762" t="s">
        <v>47</v>
      </c>
      <c r="E2696" s="700">
        <v>15000</v>
      </c>
      <c r="F2696" s="935"/>
      <c r="G2696" s="935"/>
      <c r="H2696" s="935"/>
      <c r="I2696" s="935"/>
      <c r="J2696" s="935">
        <f>C2696*E2696</f>
        <v>15000</v>
      </c>
      <c r="K2696" s="935">
        <f>I2696+J2696</f>
        <v>15000</v>
      </c>
      <c r="L2696" s="935"/>
      <c r="M2696" s="935"/>
      <c r="N2696" s="935"/>
      <c r="O2696" s="867">
        <f>N2696+K2696+H2696</f>
        <v>15000</v>
      </c>
      <c r="P2696" s="754"/>
    </row>
    <row r="2697" spans="1:16" ht="17.25" customHeight="1" x14ac:dyDescent="0.25">
      <c r="A2697" s="742"/>
      <c r="B2697" s="924" t="s">
        <v>911</v>
      </c>
      <c r="C2697" s="699">
        <v>12</v>
      </c>
      <c r="D2697" s="762" t="s">
        <v>20</v>
      </c>
      <c r="E2697" s="700">
        <v>200</v>
      </c>
      <c r="F2697" s="935"/>
      <c r="G2697" s="935"/>
      <c r="H2697" s="935"/>
      <c r="I2697" s="935"/>
      <c r="J2697" s="935">
        <f>C2697*E2697</f>
        <v>2400</v>
      </c>
      <c r="K2697" s="935">
        <f>I2697+J2697</f>
        <v>2400</v>
      </c>
      <c r="L2697" s="935"/>
      <c r="M2697" s="935"/>
      <c r="N2697" s="935"/>
      <c r="O2697" s="867">
        <f>N2697+K2697+H2697</f>
        <v>2400</v>
      </c>
      <c r="P2697" s="754"/>
    </row>
    <row r="2698" spans="1:16" ht="17.25" customHeight="1" x14ac:dyDescent="0.25">
      <c r="A2698" s="742"/>
      <c r="B2698" s="924" t="s">
        <v>912</v>
      </c>
      <c r="C2698" s="699">
        <v>48</v>
      </c>
      <c r="D2698" s="762" t="s">
        <v>20</v>
      </c>
      <c r="E2698" s="700">
        <v>150</v>
      </c>
      <c r="F2698" s="935"/>
      <c r="G2698" s="935"/>
      <c r="H2698" s="935"/>
      <c r="I2698" s="935"/>
      <c r="J2698" s="935">
        <f>C2698*E2698</f>
        <v>7200</v>
      </c>
      <c r="K2698" s="935">
        <f>I2698+J2698</f>
        <v>7200</v>
      </c>
      <c r="L2698" s="935"/>
      <c r="M2698" s="935"/>
      <c r="N2698" s="935"/>
      <c r="O2698" s="867">
        <f>N2698+K2698+H2698</f>
        <v>7200</v>
      </c>
      <c r="P2698" s="754"/>
    </row>
    <row r="2699" spans="1:16" ht="17.25" customHeight="1" x14ac:dyDescent="0.25">
      <c r="A2699" s="742"/>
      <c r="B2699" s="924"/>
      <c r="C2699" s="699"/>
      <c r="D2699" s="762"/>
      <c r="E2699" s="700"/>
      <c r="F2699" s="714"/>
      <c r="G2699" s="714"/>
      <c r="H2699" s="714"/>
      <c r="I2699" s="714"/>
      <c r="J2699" s="714"/>
      <c r="K2699" s="714"/>
      <c r="L2699" s="714"/>
      <c r="M2699" s="714"/>
      <c r="N2699" s="714"/>
      <c r="O2699" s="753"/>
      <c r="P2699" s="754"/>
    </row>
    <row r="2700" spans="1:16" ht="17.25" customHeight="1" x14ac:dyDescent="0.25">
      <c r="A2700" s="742"/>
      <c r="B2700" s="924" t="s">
        <v>913</v>
      </c>
      <c r="C2700" s="699"/>
      <c r="D2700" s="762"/>
      <c r="E2700" s="700"/>
      <c r="F2700" s="714"/>
      <c r="G2700" s="714"/>
      <c r="H2700" s="714"/>
      <c r="I2700" s="714"/>
      <c r="J2700" s="714"/>
      <c r="K2700" s="714"/>
      <c r="L2700" s="714"/>
      <c r="M2700" s="714"/>
      <c r="N2700" s="714"/>
      <c r="O2700" s="753"/>
      <c r="P2700" s="754"/>
    </row>
    <row r="2701" spans="1:16" ht="17.25" customHeight="1" x14ac:dyDescent="0.25">
      <c r="A2701" s="742"/>
      <c r="B2701" s="924" t="s">
        <v>914</v>
      </c>
      <c r="C2701" s="699">
        <v>12</v>
      </c>
      <c r="D2701" s="762" t="s">
        <v>45</v>
      </c>
      <c r="E2701" s="700">
        <v>5000</v>
      </c>
      <c r="F2701" s="714"/>
      <c r="G2701" s="714"/>
      <c r="H2701" s="714"/>
      <c r="I2701" s="714">
        <f>E2701*C2701</f>
        <v>60000</v>
      </c>
      <c r="J2701" s="714"/>
      <c r="K2701" s="714">
        <f>I2701+J2701</f>
        <v>60000</v>
      </c>
      <c r="L2701" s="714"/>
      <c r="M2701" s="714"/>
      <c r="N2701" s="714"/>
      <c r="O2701" s="753">
        <f>N2701+K2701+H2701</f>
        <v>60000</v>
      </c>
      <c r="P2701" s="754"/>
    </row>
    <row r="2702" spans="1:16" ht="17.25" customHeight="1" x14ac:dyDescent="0.25">
      <c r="A2702" s="742"/>
      <c r="B2702" s="924"/>
      <c r="C2702" s="699"/>
      <c r="D2702" s="762"/>
      <c r="E2702" s="700"/>
      <c r="F2702" s="714"/>
      <c r="G2702" s="714"/>
      <c r="H2702" s="714"/>
      <c r="I2702" s="714"/>
      <c r="J2702" s="714"/>
      <c r="K2702" s="714"/>
      <c r="L2702" s="714"/>
      <c r="M2702" s="714"/>
      <c r="N2702" s="714"/>
      <c r="O2702" s="753"/>
      <c r="P2702" s="754"/>
    </row>
    <row r="2703" spans="1:16" ht="17.25" customHeight="1" x14ac:dyDescent="0.25">
      <c r="A2703" s="742"/>
      <c r="B2703" s="924" t="s">
        <v>915</v>
      </c>
      <c r="C2703" s="699"/>
      <c r="D2703" s="762"/>
      <c r="E2703" s="700"/>
      <c r="F2703" s="714"/>
      <c r="G2703" s="714"/>
      <c r="H2703" s="714"/>
      <c r="I2703" s="714"/>
      <c r="J2703" s="714"/>
      <c r="K2703" s="714"/>
      <c r="L2703" s="714"/>
      <c r="M2703" s="714"/>
      <c r="N2703" s="714"/>
      <c r="O2703" s="753"/>
      <c r="P2703" s="754"/>
    </row>
    <row r="2704" spans="1:16" ht="17.25" customHeight="1" x14ac:dyDescent="0.25">
      <c r="A2704" s="742"/>
      <c r="B2704" s="924" t="s">
        <v>916</v>
      </c>
      <c r="C2704" s="699">
        <v>12</v>
      </c>
      <c r="D2704" s="762" t="s">
        <v>45</v>
      </c>
      <c r="E2704" s="700">
        <v>3000</v>
      </c>
      <c r="F2704" s="714"/>
      <c r="G2704" s="714"/>
      <c r="H2704" s="714"/>
      <c r="I2704" s="714">
        <f>E2704*C2704</f>
        <v>36000</v>
      </c>
      <c r="J2704" s="714"/>
      <c r="K2704" s="714">
        <f>I2704+J2704</f>
        <v>36000</v>
      </c>
      <c r="L2704" s="714"/>
      <c r="M2704" s="714"/>
      <c r="N2704" s="714"/>
      <c r="O2704" s="753">
        <f>N2704+K2704+H2704</f>
        <v>36000</v>
      </c>
      <c r="P2704" s="754"/>
    </row>
    <row r="2705" spans="1:16" ht="17.25" customHeight="1" x14ac:dyDescent="0.25">
      <c r="A2705" s="742"/>
      <c r="B2705" s="924"/>
      <c r="C2705" s="699"/>
      <c r="D2705" s="762"/>
      <c r="E2705" s="700"/>
      <c r="F2705" s="714"/>
      <c r="G2705" s="714"/>
      <c r="H2705" s="714"/>
      <c r="I2705" s="714"/>
      <c r="J2705" s="714"/>
      <c r="K2705" s="714"/>
      <c r="L2705" s="714"/>
      <c r="M2705" s="714"/>
      <c r="N2705" s="714"/>
      <c r="O2705" s="753"/>
      <c r="P2705" s="754"/>
    </row>
    <row r="2706" spans="1:16" ht="17.25" customHeight="1" x14ac:dyDescent="0.25">
      <c r="A2706" s="742"/>
      <c r="B2706" s="924" t="s">
        <v>917</v>
      </c>
      <c r="C2706" s="699"/>
      <c r="D2706" s="762"/>
      <c r="E2706" s="700"/>
      <c r="F2706" s="714"/>
      <c r="G2706" s="714"/>
      <c r="H2706" s="714"/>
      <c r="I2706" s="714"/>
      <c r="J2706" s="714"/>
      <c r="K2706" s="714"/>
      <c r="L2706" s="714"/>
      <c r="M2706" s="714"/>
      <c r="N2706" s="714"/>
      <c r="O2706" s="753"/>
      <c r="P2706" s="754"/>
    </row>
    <row r="2707" spans="1:16" ht="17.25" customHeight="1" x14ac:dyDescent="0.25">
      <c r="A2707" s="742"/>
      <c r="B2707" s="924" t="s">
        <v>918</v>
      </c>
      <c r="C2707" s="699">
        <v>12</v>
      </c>
      <c r="D2707" s="762" t="s">
        <v>45</v>
      </c>
      <c r="E2707" s="700">
        <v>1500</v>
      </c>
      <c r="F2707" s="714"/>
      <c r="G2707" s="714"/>
      <c r="H2707" s="714"/>
      <c r="I2707" s="714">
        <f>E2707*C2707</f>
        <v>18000</v>
      </c>
      <c r="J2707" s="714"/>
      <c r="K2707" s="714">
        <f>I2707+J2707</f>
        <v>18000</v>
      </c>
      <c r="L2707" s="714"/>
      <c r="M2707" s="714"/>
      <c r="N2707" s="714"/>
      <c r="O2707" s="753">
        <f>N2707+K2707+H2707</f>
        <v>18000</v>
      </c>
      <c r="P2707" s="754"/>
    </row>
    <row r="2708" spans="1:16" ht="17.25" customHeight="1" x14ac:dyDescent="0.25">
      <c r="A2708" s="742"/>
      <c r="B2708" s="924"/>
      <c r="C2708" s="699"/>
      <c r="D2708" s="762"/>
      <c r="E2708" s="700"/>
      <c r="F2708" s="714"/>
      <c r="G2708" s="714"/>
      <c r="H2708" s="714"/>
      <c r="I2708" s="714"/>
      <c r="J2708" s="714"/>
      <c r="K2708" s="714"/>
      <c r="L2708" s="714"/>
      <c r="M2708" s="714"/>
      <c r="N2708" s="714"/>
      <c r="O2708" s="753"/>
      <c r="P2708" s="754"/>
    </row>
    <row r="2709" spans="1:16" ht="17.25" customHeight="1" x14ac:dyDescent="0.25">
      <c r="A2709" s="742"/>
      <c r="B2709" s="924" t="s">
        <v>919</v>
      </c>
      <c r="C2709" s="699"/>
      <c r="D2709" s="762"/>
      <c r="E2709" s="700"/>
      <c r="F2709" s="714"/>
      <c r="G2709" s="714"/>
      <c r="H2709" s="714"/>
      <c r="I2709" s="714"/>
      <c r="J2709" s="714"/>
      <c r="K2709" s="714"/>
      <c r="L2709" s="714"/>
      <c r="M2709" s="714"/>
      <c r="N2709" s="714"/>
      <c r="O2709" s="753"/>
      <c r="P2709" s="754"/>
    </row>
    <row r="2710" spans="1:16" ht="17.25" customHeight="1" x14ac:dyDescent="0.25">
      <c r="A2710" s="742"/>
      <c r="B2710" s="924" t="s">
        <v>920</v>
      </c>
      <c r="C2710" s="699">
        <v>12</v>
      </c>
      <c r="D2710" s="762" t="s">
        <v>45</v>
      </c>
      <c r="E2710" s="700">
        <v>750</v>
      </c>
      <c r="F2710" s="714"/>
      <c r="G2710" s="714"/>
      <c r="H2710" s="714"/>
      <c r="I2710" s="714">
        <f>E2710*C2710</f>
        <v>9000</v>
      </c>
      <c r="J2710" s="714"/>
      <c r="K2710" s="714">
        <f>I2710+J2710</f>
        <v>9000</v>
      </c>
      <c r="L2710" s="714"/>
      <c r="M2710" s="714"/>
      <c r="N2710" s="714"/>
      <c r="O2710" s="753">
        <f>N2710+K2710+H2710</f>
        <v>9000</v>
      </c>
      <c r="P2710" s="754"/>
    </row>
    <row r="2711" spans="1:16" ht="17.25" customHeight="1" x14ac:dyDescent="0.25">
      <c r="A2711" s="742"/>
      <c r="B2711" s="924"/>
      <c r="C2711" s="699"/>
      <c r="D2711" s="762"/>
      <c r="E2711" s="700"/>
      <c r="F2711" s="714"/>
      <c r="G2711" s="714"/>
      <c r="H2711" s="714"/>
      <c r="I2711" s="714"/>
      <c r="J2711" s="714"/>
      <c r="K2711" s="714"/>
      <c r="L2711" s="714"/>
      <c r="M2711" s="714"/>
      <c r="N2711" s="714"/>
      <c r="O2711" s="753"/>
      <c r="P2711" s="754"/>
    </row>
    <row r="2712" spans="1:16" ht="17.25" customHeight="1" x14ac:dyDescent="0.25">
      <c r="A2712" s="742"/>
      <c r="B2712" s="924" t="s">
        <v>212</v>
      </c>
      <c r="C2712" s="699"/>
      <c r="D2712" s="762"/>
      <c r="E2712" s="700"/>
      <c r="F2712" s="714"/>
      <c r="G2712" s="714"/>
      <c r="H2712" s="714"/>
      <c r="I2712" s="714"/>
      <c r="J2712" s="714"/>
      <c r="K2712" s="714"/>
      <c r="L2712" s="714"/>
      <c r="M2712" s="714"/>
      <c r="N2712" s="714"/>
      <c r="O2712" s="753"/>
      <c r="P2712" s="754"/>
    </row>
    <row r="2713" spans="1:16" ht="17.25" customHeight="1" x14ac:dyDescent="0.25">
      <c r="A2713" s="742"/>
      <c r="B2713" s="924" t="s">
        <v>921</v>
      </c>
      <c r="C2713" s="699">
        <v>1</v>
      </c>
      <c r="D2713" s="762" t="s">
        <v>1722</v>
      </c>
      <c r="E2713" s="700">
        <v>120000</v>
      </c>
      <c r="F2713" s="714"/>
      <c r="G2713" s="714"/>
      <c r="H2713" s="714"/>
      <c r="I2713" s="714">
        <f>E2713*C2713</f>
        <v>120000</v>
      </c>
      <c r="J2713" s="714"/>
      <c r="K2713" s="714">
        <f>I2713+J2713</f>
        <v>120000</v>
      </c>
      <c r="L2713" s="714"/>
      <c r="M2713" s="714"/>
      <c r="N2713" s="714"/>
      <c r="O2713" s="753">
        <f>N2713+K2713+H2713</f>
        <v>120000</v>
      </c>
      <c r="P2713" s="754"/>
    </row>
    <row r="2714" spans="1:16" ht="17.25" customHeight="1" x14ac:dyDescent="0.25">
      <c r="A2714" s="742"/>
      <c r="B2714" s="924" t="s">
        <v>922</v>
      </c>
      <c r="C2714" s="699"/>
      <c r="D2714" s="762"/>
      <c r="E2714" s="700"/>
      <c r="F2714" s="714"/>
      <c r="G2714" s="714"/>
      <c r="H2714" s="714"/>
      <c r="I2714" s="714"/>
      <c r="J2714" s="714"/>
      <c r="K2714" s="714"/>
      <c r="L2714" s="714"/>
      <c r="M2714" s="714"/>
      <c r="N2714" s="714"/>
      <c r="O2714" s="753"/>
      <c r="P2714" s="754"/>
    </row>
    <row r="2715" spans="1:16" ht="17.25" customHeight="1" x14ac:dyDescent="0.25">
      <c r="A2715" s="742"/>
      <c r="B2715" s="924" t="s">
        <v>923</v>
      </c>
      <c r="C2715" s="699">
        <v>12</v>
      </c>
      <c r="D2715" s="762" t="s">
        <v>45</v>
      </c>
      <c r="E2715" s="700">
        <v>3500</v>
      </c>
      <c r="F2715" s="714"/>
      <c r="G2715" s="714"/>
      <c r="H2715" s="714"/>
      <c r="I2715" s="714">
        <f>E2715*C2715</f>
        <v>42000</v>
      </c>
      <c r="J2715" s="714"/>
      <c r="K2715" s="714">
        <f>I2715+J2715</f>
        <v>42000</v>
      </c>
      <c r="L2715" s="714"/>
      <c r="M2715" s="714"/>
      <c r="N2715" s="714"/>
      <c r="O2715" s="753">
        <f>N2715+K2715+H2715</f>
        <v>42000</v>
      </c>
      <c r="P2715" s="754"/>
    </row>
    <row r="2716" spans="1:16" ht="17.25" customHeight="1" x14ac:dyDescent="0.25">
      <c r="A2716" s="742"/>
      <c r="B2716" s="924" t="s">
        <v>924</v>
      </c>
      <c r="C2716" s="699">
        <v>12</v>
      </c>
      <c r="D2716" s="762" t="s">
        <v>45</v>
      </c>
      <c r="E2716" s="700">
        <v>4500</v>
      </c>
      <c r="F2716" s="714"/>
      <c r="G2716" s="714"/>
      <c r="H2716" s="714"/>
      <c r="I2716" s="714">
        <f>E2716*C2716</f>
        <v>54000</v>
      </c>
      <c r="J2716" s="714"/>
      <c r="K2716" s="714">
        <f>I2716+J2716</f>
        <v>54000</v>
      </c>
      <c r="L2716" s="714"/>
      <c r="M2716" s="714"/>
      <c r="N2716" s="714"/>
      <c r="O2716" s="753">
        <f>N2716+K2716+H2716</f>
        <v>54000</v>
      </c>
      <c r="P2716" s="754"/>
    </row>
    <row r="2717" spans="1:16" ht="17.25" customHeight="1" x14ac:dyDescent="0.25">
      <c r="A2717" s="742"/>
      <c r="B2717" s="924" t="s">
        <v>925</v>
      </c>
      <c r="C2717" s="699">
        <v>12</v>
      </c>
      <c r="D2717" s="762" t="s">
        <v>45</v>
      </c>
      <c r="E2717" s="700">
        <v>2000</v>
      </c>
      <c r="F2717" s="714"/>
      <c r="G2717" s="714"/>
      <c r="H2717" s="714"/>
      <c r="I2717" s="714">
        <f>E2717*C2717</f>
        <v>24000</v>
      </c>
      <c r="J2717" s="714"/>
      <c r="K2717" s="714">
        <f>I2717+J2717</f>
        <v>24000</v>
      </c>
      <c r="L2717" s="714"/>
      <c r="M2717" s="714"/>
      <c r="N2717" s="714"/>
      <c r="O2717" s="753">
        <f>N2717+K2717+H2717</f>
        <v>24000</v>
      </c>
      <c r="P2717" s="754"/>
    </row>
    <row r="2718" spans="1:16" ht="17.25" customHeight="1" x14ac:dyDescent="0.25">
      <c r="A2718" s="742"/>
      <c r="B2718" s="924" t="s">
        <v>926</v>
      </c>
      <c r="C2718" s="699">
        <v>12</v>
      </c>
      <c r="D2718" s="762" t="s">
        <v>45</v>
      </c>
      <c r="E2718" s="700">
        <v>3000</v>
      </c>
      <c r="F2718" s="714"/>
      <c r="G2718" s="714"/>
      <c r="H2718" s="714"/>
      <c r="I2718" s="714">
        <f>E2718*C2718</f>
        <v>36000</v>
      </c>
      <c r="J2718" s="714"/>
      <c r="K2718" s="714">
        <f>I2718+J2718</f>
        <v>36000</v>
      </c>
      <c r="L2718" s="714"/>
      <c r="M2718" s="714"/>
      <c r="N2718" s="714"/>
      <c r="O2718" s="753">
        <f>N2718+K2718+H2718</f>
        <v>36000</v>
      </c>
      <c r="P2718" s="754"/>
    </row>
    <row r="2719" spans="1:16" ht="17.25" customHeight="1" x14ac:dyDescent="0.25">
      <c r="A2719" s="742"/>
      <c r="B2719" s="924" t="s">
        <v>927</v>
      </c>
      <c r="C2719" s="699">
        <v>12</v>
      </c>
      <c r="D2719" s="762" t="s">
        <v>45</v>
      </c>
      <c r="E2719" s="700">
        <v>3500</v>
      </c>
      <c r="F2719" s="714"/>
      <c r="G2719" s="714"/>
      <c r="H2719" s="714"/>
      <c r="I2719" s="714">
        <f>E2719*C2719</f>
        <v>42000</v>
      </c>
      <c r="J2719" s="714"/>
      <c r="K2719" s="714">
        <f>I2719+J2719</f>
        <v>42000</v>
      </c>
      <c r="L2719" s="714"/>
      <c r="M2719" s="714"/>
      <c r="N2719" s="714"/>
      <c r="O2719" s="753">
        <f>N2719+K2719+H2719</f>
        <v>42000</v>
      </c>
      <c r="P2719" s="754"/>
    </row>
    <row r="2720" spans="1:16" ht="17.25" customHeight="1" x14ac:dyDescent="0.25">
      <c r="A2720" s="742"/>
      <c r="B2720" s="924"/>
      <c r="C2720" s="699"/>
      <c r="D2720" s="762"/>
      <c r="E2720" s="700"/>
      <c r="F2720" s="714"/>
      <c r="G2720" s="714"/>
      <c r="H2720" s="714"/>
      <c r="I2720" s="714"/>
      <c r="J2720" s="714"/>
      <c r="K2720" s="714"/>
      <c r="L2720" s="714"/>
      <c r="M2720" s="714"/>
      <c r="N2720" s="714"/>
      <c r="O2720" s="753"/>
      <c r="P2720" s="754"/>
    </row>
    <row r="2721" spans="1:16" ht="17.25" customHeight="1" x14ac:dyDescent="0.25">
      <c r="A2721" s="742"/>
      <c r="B2721" s="924" t="s">
        <v>928</v>
      </c>
      <c r="C2721" s="699">
        <v>208800</v>
      </c>
      <c r="D2721" s="762"/>
      <c r="E2721" s="700"/>
      <c r="F2721" s="714"/>
      <c r="G2721" s="714"/>
      <c r="H2721" s="714"/>
      <c r="I2721" s="714"/>
      <c r="J2721" s="714"/>
      <c r="K2721" s="714"/>
      <c r="L2721" s="714"/>
      <c r="M2721" s="714"/>
      <c r="N2721" s="714"/>
      <c r="O2721" s="753"/>
      <c r="P2721" s="754"/>
    </row>
    <row r="2722" spans="1:16" ht="17.25" customHeight="1" x14ac:dyDescent="0.25">
      <c r="A2722" s="742"/>
      <c r="B2722" s="924" t="s">
        <v>929</v>
      </c>
      <c r="C2722" s="699">
        <v>24</v>
      </c>
      <c r="D2722" s="762" t="s">
        <v>20</v>
      </c>
      <c r="E2722" s="700">
        <v>1800</v>
      </c>
      <c r="F2722" s="714"/>
      <c r="G2722" s="714"/>
      <c r="H2722" s="714"/>
      <c r="I2722" s="714">
        <f>E2722*C2722</f>
        <v>43200</v>
      </c>
      <c r="J2722" s="714"/>
      <c r="K2722" s="714">
        <f>I2722+J2722</f>
        <v>43200</v>
      </c>
      <c r="L2722" s="714"/>
      <c r="M2722" s="714"/>
      <c r="N2722" s="714"/>
      <c r="O2722" s="753">
        <f>N2722+K2722+H2722</f>
        <v>43200</v>
      </c>
      <c r="P2722" s="754"/>
    </row>
    <row r="2723" spans="1:16" ht="17.25" customHeight="1" x14ac:dyDescent="0.25">
      <c r="A2723" s="742"/>
      <c r="B2723" s="924" t="s">
        <v>930</v>
      </c>
      <c r="C2723" s="699">
        <v>24</v>
      </c>
      <c r="D2723" s="762" t="s">
        <v>20</v>
      </c>
      <c r="E2723" s="700">
        <v>1700</v>
      </c>
      <c r="F2723" s="714"/>
      <c r="G2723" s="714"/>
      <c r="H2723" s="714"/>
      <c r="I2723" s="714">
        <f>E2723*C2723</f>
        <v>40800</v>
      </c>
      <c r="J2723" s="714"/>
      <c r="K2723" s="714">
        <f>I2723+J2723</f>
        <v>40800</v>
      </c>
      <c r="L2723" s="714"/>
      <c r="M2723" s="714"/>
      <c r="N2723" s="714"/>
      <c r="O2723" s="753">
        <f>N2723+K2723+H2723</f>
        <v>40800</v>
      </c>
      <c r="P2723" s="754"/>
    </row>
    <row r="2724" spans="1:16" ht="17.25" customHeight="1" x14ac:dyDescent="0.25">
      <c r="A2724" s="742"/>
      <c r="B2724" s="924" t="s">
        <v>931</v>
      </c>
      <c r="C2724" s="699">
        <v>48</v>
      </c>
      <c r="D2724" s="762" t="s">
        <v>20</v>
      </c>
      <c r="E2724" s="700">
        <v>1700</v>
      </c>
      <c r="F2724" s="714"/>
      <c r="G2724" s="714"/>
      <c r="H2724" s="714"/>
      <c r="I2724" s="714">
        <f>E2724*C2724</f>
        <v>81600</v>
      </c>
      <c r="J2724" s="714"/>
      <c r="K2724" s="714">
        <f>I2724+J2724</f>
        <v>81600</v>
      </c>
      <c r="L2724" s="714"/>
      <c r="M2724" s="714"/>
      <c r="N2724" s="714"/>
      <c r="O2724" s="753">
        <f>N2724+K2724+H2724</f>
        <v>81600</v>
      </c>
      <c r="P2724" s="754"/>
    </row>
    <row r="2725" spans="1:16" ht="17.25" customHeight="1" x14ac:dyDescent="0.25">
      <c r="A2725" s="742"/>
      <c r="B2725" s="924" t="s">
        <v>2095</v>
      </c>
      <c r="C2725" s="699">
        <v>24</v>
      </c>
      <c r="D2725" s="762" t="s">
        <v>20</v>
      </c>
      <c r="E2725" s="700">
        <v>1800</v>
      </c>
      <c r="F2725" s="714"/>
      <c r="G2725" s="714"/>
      <c r="H2725" s="714"/>
      <c r="I2725" s="714">
        <f>E2725*C2725</f>
        <v>43200</v>
      </c>
      <c r="J2725" s="714"/>
      <c r="K2725" s="714">
        <f>I2725+J2725</f>
        <v>43200</v>
      </c>
      <c r="L2725" s="714"/>
      <c r="M2725" s="714"/>
      <c r="N2725" s="714"/>
      <c r="O2725" s="753">
        <f>N2725+K2725+H2725</f>
        <v>43200</v>
      </c>
      <c r="P2725" s="754"/>
    </row>
    <row r="2726" spans="1:16" ht="17.25" customHeight="1" x14ac:dyDescent="0.25">
      <c r="A2726" s="742"/>
      <c r="B2726" s="924"/>
      <c r="C2726" s="699"/>
      <c r="D2726" s="762"/>
      <c r="E2726" s="700"/>
      <c r="F2726" s="714"/>
      <c r="G2726" s="714"/>
      <c r="H2726" s="714"/>
      <c r="I2726" s="714"/>
      <c r="J2726" s="714"/>
      <c r="K2726" s="714"/>
      <c r="L2726" s="714"/>
      <c r="M2726" s="714"/>
      <c r="N2726" s="714"/>
      <c r="O2726" s="753"/>
      <c r="P2726" s="754"/>
    </row>
    <row r="2727" spans="1:16" ht="17.25" customHeight="1" x14ac:dyDescent="0.25">
      <c r="A2727" s="742"/>
      <c r="B2727" s="924" t="s">
        <v>932</v>
      </c>
      <c r="C2727" s="699"/>
      <c r="D2727" s="762"/>
      <c r="E2727" s="700"/>
      <c r="F2727" s="714"/>
      <c r="G2727" s="714"/>
      <c r="H2727" s="714"/>
      <c r="I2727" s="714"/>
      <c r="J2727" s="714"/>
      <c r="K2727" s="714"/>
      <c r="L2727" s="714"/>
      <c r="M2727" s="714"/>
      <c r="N2727" s="714"/>
      <c r="O2727" s="753"/>
      <c r="P2727" s="754"/>
    </row>
    <row r="2728" spans="1:16" ht="17.25" customHeight="1" x14ac:dyDescent="0.25">
      <c r="A2728" s="742"/>
      <c r="B2728" s="924" t="s">
        <v>933</v>
      </c>
      <c r="C2728" s="699">
        <v>1</v>
      </c>
      <c r="D2728" s="762" t="s">
        <v>47</v>
      </c>
      <c r="E2728" s="700">
        <v>30000</v>
      </c>
      <c r="F2728" s="714"/>
      <c r="G2728" s="714"/>
      <c r="H2728" s="714"/>
      <c r="I2728" s="714">
        <f>E2728*C2728</f>
        <v>30000</v>
      </c>
      <c r="J2728" s="714"/>
      <c r="K2728" s="714">
        <f>I2728+J2728</f>
        <v>30000</v>
      </c>
      <c r="L2728" s="714"/>
      <c r="M2728" s="714"/>
      <c r="N2728" s="714"/>
      <c r="O2728" s="753">
        <f>N2728+K2728+H2728</f>
        <v>30000</v>
      </c>
      <c r="P2728" s="754"/>
    </row>
    <row r="2729" spans="1:16" ht="17.25" customHeight="1" x14ac:dyDescent="0.25">
      <c r="A2729" s="742"/>
      <c r="B2729" s="924"/>
      <c r="C2729" s="699"/>
      <c r="D2729" s="762"/>
      <c r="E2729" s="700"/>
      <c r="F2729" s="714"/>
      <c r="G2729" s="714"/>
      <c r="H2729" s="714"/>
      <c r="I2729" s="714"/>
      <c r="J2729" s="714"/>
      <c r="K2729" s="714"/>
      <c r="L2729" s="714"/>
      <c r="M2729" s="714"/>
      <c r="N2729" s="714"/>
      <c r="O2729" s="753"/>
      <c r="P2729" s="754"/>
    </row>
    <row r="2730" spans="1:16" ht="17.25" customHeight="1" x14ac:dyDescent="0.25">
      <c r="A2730" s="742"/>
      <c r="B2730" s="924" t="s">
        <v>934</v>
      </c>
      <c r="C2730" s="699">
        <v>266000</v>
      </c>
      <c r="D2730" s="762"/>
      <c r="E2730" s="700"/>
      <c r="F2730" s="714"/>
      <c r="G2730" s="714"/>
      <c r="H2730" s="714"/>
      <c r="I2730" s="714"/>
      <c r="J2730" s="714"/>
      <c r="K2730" s="714"/>
      <c r="L2730" s="714"/>
      <c r="M2730" s="714"/>
      <c r="N2730" s="714"/>
      <c r="O2730" s="753"/>
      <c r="P2730" s="754"/>
    </row>
    <row r="2731" spans="1:16" ht="17.25" customHeight="1" x14ac:dyDescent="0.25">
      <c r="A2731" s="742"/>
      <c r="B2731" s="924" t="s">
        <v>2158</v>
      </c>
      <c r="C2731" s="699">
        <v>1</v>
      </c>
      <c r="D2731" s="762" t="s">
        <v>47</v>
      </c>
      <c r="E2731" s="700">
        <v>14000</v>
      </c>
      <c r="F2731" s="714"/>
      <c r="G2731" s="714"/>
      <c r="H2731" s="714"/>
      <c r="I2731" s="714">
        <f t="shared" ref="I2731:I2738" si="237">E2731*C2731</f>
        <v>14000</v>
      </c>
      <c r="J2731" s="714"/>
      <c r="K2731" s="714">
        <f t="shared" ref="K2731:K2738" si="238">I2731+J2731</f>
        <v>14000</v>
      </c>
      <c r="L2731" s="714"/>
      <c r="M2731" s="714"/>
      <c r="N2731" s="714"/>
      <c r="O2731" s="753">
        <f t="shared" ref="O2731:O2738" si="239">N2731+K2731+H2731</f>
        <v>14000</v>
      </c>
      <c r="P2731" s="754"/>
    </row>
    <row r="2732" spans="1:16" ht="17.25" customHeight="1" x14ac:dyDescent="0.25">
      <c r="A2732" s="742"/>
      <c r="B2732" s="924" t="s">
        <v>2159</v>
      </c>
      <c r="C2732" s="699">
        <v>1</v>
      </c>
      <c r="D2732" s="762" t="s">
        <v>47</v>
      </c>
      <c r="E2732" s="700">
        <v>200000</v>
      </c>
      <c r="F2732" s="714"/>
      <c r="G2732" s="714"/>
      <c r="H2732" s="714"/>
      <c r="I2732" s="714">
        <f t="shared" si="237"/>
        <v>200000</v>
      </c>
      <c r="J2732" s="714"/>
      <c r="K2732" s="714">
        <f t="shared" si="238"/>
        <v>200000</v>
      </c>
      <c r="L2732" s="714"/>
      <c r="M2732" s="714"/>
      <c r="N2732" s="714"/>
      <c r="O2732" s="753">
        <f t="shared" si="239"/>
        <v>200000</v>
      </c>
      <c r="P2732" s="754"/>
    </row>
    <row r="2733" spans="1:16" ht="17.25" customHeight="1" x14ac:dyDescent="0.25">
      <c r="A2733" s="742"/>
      <c r="B2733" s="924" t="s">
        <v>937</v>
      </c>
      <c r="C2733" s="699">
        <v>1</v>
      </c>
      <c r="D2733" s="762" t="s">
        <v>47</v>
      </c>
      <c r="E2733" s="700">
        <v>10000</v>
      </c>
      <c r="F2733" s="714"/>
      <c r="G2733" s="714"/>
      <c r="H2733" s="714"/>
      <c r="I2733" s="714">
        <f t="shared" si="237"/>
        <v>10000</v>
      </c>
      <c r="J2733" s="714"/>
      <c r="K2733" s="714">
        <f t="shared" si="238"/>
        <v>10000</v>
      </c>
      <c r="L2733" s="714"/>
      <c r="M2733" s="714"/>
      <c r="N2733" s="714"/>
      <c r="O2733" s="753">
        <f t="shared" si="239"/>
        <v>10000</v>
      </c>
      <c r="P2733" s="754"/>
    </row>
    <row r="2734" spans="1:16" ht="17.25" customHeight="1" x14ac:dyDescent="0.25">
      <c r="A2734" s="742"/>
      <c r="B2734" s="924" t="s">
        <v>975</v>
      </c>
      <c r="C2734" s="699">
        <v>1</v>
      </c>
      <c r="D2734" s="762" t="s">
        <v>47</v>
      </c>
      <c r="E2734" s="700">
        <v>2000</v>
      </c>
      <c r="F2734" s="714"/>
      <c r="G2734" s="714"/>
      <c r="H2734" s="714"/>
      <c r="I2734" s="714">
        <f t="shared" si="237"/>
        <v>2000</v>
      </c>
      <c r="J2734" s="714"/>
      <c r="K2734" s="714">
        <f t="shared" si="238"/>
        <v>2000</v>
      </c>
      <c r="L2734" s="714"/>
      <c r="M2734" s="714"/>
      <c r="N2734" s="714"/>
      <c r="O2734" s="753">
        <f t="shared" si="239"/>
        <v>2000</v>
      </c>
      <c r="P2734" s="754"/>
    </row>
    <row r="2735" spans="1:16" ht="17.25" customHeight="1" x14ac:dyDescent="0.25">
      <c r="A2735" s="742"/>
      <c r="B2735" s="924" t="s">
        <v>976</v>
      </c>
      <c r="C2735" s="699">
        <v>1</v>
      </c>
      <c r="D2735" s="762" t="s">
        <v>47</v>
      </c>
      <c r="E2735" s="700">
        <v>15000</v>
      </c>
      <c r="F2735" s="714"/>
      <c r="G2735" s="714"/>
      <c r="H2735" s="714"/>
      <c r="I2735" s="714">
        <f t="shared" si="237"/>
        <v>15000</v>
      </c>
      <c r="J2735" s="714"/>
      <c r="K2735" s="714">
        <f t="shared" si="238"/>
        <v>15000</v>
      </c>
      <c r="L2735" s="714"/>
      <c r="M2735" s="714"/>
      <c r="N2735" s="714"/>
      <c r="O2735" s="753">
        <f t="shared" si="239"/>
        <v>15000</v>
      </c>
      <c r="P2735" s="754"/>
    </row>
    <row r="2736" spans="1:16" ht="17.25" customHeight="1" x14ac:dyDescent="0.25">
      <c r="A2736" s="742"/>
      <c r="B2736" s="924" t="s">
        <v>938</v>
      </c>
      <c r="C2736" s="699">
        <v>1</v>
      </c>
      <c r="D2736" s="762" t="s">
        <v>47</v>
      </c>
      <c r="E2736" s="700">
        <v>5000</v>
      </c>
      <c r="F2736" s="714"/>
      <c r="G2736" s="714"/>
      <c r="H2736" s="714"/>
      <c r="I2736" s="714">
        <f t="shared" si="237"/>
        <v>5000</v>
      </c>
      <c r="J2736" s="714"/>
      <c r="K2736" s="714">
        <f t="shared" si="238"/>
        <v>5000</v>
      </c>
      <c r="L2736" s="714"/>
      <c r="M2736" s="714"/>
      <c r="N2736" s="714"/>
      <c r="O2736" s="753">
        <f t="shared" si="239"/>
        <v>5000</v>
      </c>
      <c r="P2736" s="754"/>
    </row>
    <row r="2737" spans="1:16" ht="17.25" customHeight="1" x14ac:dyDescent="0.25">
      <c r="A2737" s="742"/>
      <c r="B2737" s="924" t="s">
        <v>955</v>
      </c>
      <c r="C2737" s="699">
        <v>1</v>
      </c>
      <c r="D2737" s="762" t="s">
        <v>47</v>
      </c>
      <c r="E2737" s="700">
        <v>5000</v>
      </c>
      <c r="F2737" s="714"/>
      <c r="G2737" s="714"/>
      <c r="H2737" s="714"/>
      <c r="I2737" s="714">
        <f t="shared" si="237"/>
        <v>5000</v>
      </c>
      <c r="J2737" s="714"/>
      <c r="K2737" s="714">
        <f t="shared" si="238"/>
        <v>5000</v>
      </c>
      <c r="L2737" s="714"/>
      <c r="M2737" s="714"/>
      <c r="N2737" s="714"/>
      <c r="O2737" s="753">
        <f t="shared" si="239"/>
        <v>5000</v>
      </c>
      <c r="P2737" s="754"/>
    </row>
    <row r="2738" spans="1:16" ht="17.25" customHeight="1" x14ac:dyDescent="0.25">
      <c r="A2738" s="742"/>
      <c r="B2738" s="924" t="s">
        <v>939</v>
      </c>
      <c r="C2738" s="699">
        <v>1</v>
      </c>
      <c r="D2738" s="762" t="s">
        <v>47</v>
      </c>
      <c r="E2738" s="700">
        <v>15000</v>
      </c>
      <c r="F2738" s="714"/>
      <c r="G2738" s="714"/>
      <c r="H2738" s="714"/>
      <c r="I2738" s="714">
        <f t="shared" si="237"/>
        <v>15000</v>
      </c>
      <c r="J2738" s="714"/>
      <c r="K2738" s="714">
        <f t="shared" si="238"/>
        <v>15000</v>
      </c>
      <c r="L2738" s="714"/>
      <c r="M2738" s="714"/>
      <c r="N2738" s="714"/>
      <c r="O2738" s="753">
        <f t="shared" si="239"/>
        <v>15000</v>
      </c>
      <c r="P2738" s="754"/>
    </row>
    <row r="2739" spans="1:16" ht="17.25" customHeight="1" x14ac:dyDescent="0.25">
      <c r="A2739" s="742"/>
      <c r="B2739" s="924"/>
      <c r="C2739" s="699"/>
      <c r="D2739" s="762"/>
      <c r="E2739" s="700"/>
      <c r="F2739" s="714"/>
      <c r="G2739" s="714"/>
      <c r="H2739" s="714"/>
      <c r="I2739" s="714"/>
      <c r="J2739" s="714"/>
      <c r="K2739" s="714"/>
      <c r="L2739" s="714"/>
      <c r="M2739" s="714"/>
      <c r="N2739" s="714"/>
      <c r="O2739" s="753"/>
      <c r="P2739" s="754"/>
    </row>
    <row r="2740" spans="1:16" ht="17.25" customHeight="1" x14ac:dyDescent="0.25">
      <c r="A2740" s="742"/>
      <c r="B2740" s="924" t="s">
        <v>48</v>
      </c>
      <c r="C2740" s="699">
        <v>451570</v>
      </c>
      <c r="D2740" s="762"/>
      <c r="E2740" s="700"/>
      <c r="F2740" s="714"/>
      <c r="G2740" s="714"/>
      <c r="H2740" s="714"/>
      <c r="I2740" s="714"/>
      <c r="J2740" s="714"/>
      <c r="K2740" s="714"/>
      <c r="L2740" s="714"/>
      <c r="M2740" s="714"/>
      <c r="N2740" s="714"/>
      <c r="O2740" s="753"/>
      <c r="P2740" s="754"/>
    </row>
    <row r="2741" spans="1:16" ht="17.25" customHeight="1" x14ac:dyDescent="0.25">
      <c r="A2741" s="742"/>
      <c r="B2741" s="924" t="s">
        <v>888</v>
      </c>
      <c r="C2741" s="699">
        <v>70</v>
      </c>
      <c r="D2741" s="762" t="s">
        <v>977</v>
      </c>
      <c r="E2741" s="700">
        <v>3081</v>
      </c>
      <c r="F2741" s="714"/>
      <c r="G2741" s="714"/>
      <c r="H2741" s="714"/>
      <c r="I2741" s="714">
        <f>E2741*C2741</f>
        <v>215670</v>
      </c>
      <c r="J2741" s="714"/>
      <c r="K2741" s="714">
        <f>I2741+J2741</f>
        <v>215670</v>
      </c>
      <c r="L2741" s="714"/>
      <c r="M2741" s="714"/>
      <c r="N2741" s="714"/>
      <c r="O2741" s="753">
        <f>N2741+K2741+H2741</f>
        <v>215670</v>
      </c>
      <c r="P2741" s="754"/>
    </row>
    <row r="2742" spans="1:16" ht="17.25" customHeight="1" x14ac:dyDescent="0.25">
      <c r="A2742" s="742"/>
      <c r="B2742" s="924" t="s">
        <v>889</v>
      </c>
      <c r="C2742" s="699">
        <v>210</v>
      </c>
      <c r="D2742" s="762" t="s">
        <v>131</v>
      </c>
      <c r="E2742" s="700">
        <v>530</v>
      </c>
      <c r="F2742" s="714"/>
      <c r="G2742" s="714"/>
      <c r="H2742" s="714"/>
      <c r="I2742" s="714">
        <f>E2742*C2742</f>
        <v>111300</v>
      </c>
      <c r="J2742" s="714"/>
      <c r="K2742" s="714">
        <f>I2742+J2742</f>
        <v>111300</v>
      </c>
      <c r="L2742" s="714"/>
      <c r="M2742" s="714"/>
      <c r="N2742" s="714"/>
      <c r="O2742" s="753">
        <f>N2742+K2742+H2742</f>
        <v>111300</v>
      </c>
      <c r="P2742" s="754"/>
    </row>
    <row r="2743" spans="1:16" ht="17.25" customHeight="1" x14ac:dyDescent="0.25">
      <c r="A2743" s="742"/>
      <c r="B2743" s="924" t="s">
        <v>890</v>
      </c>
      <c r="C2743" s="699">
        <v>140</v>
      </c>
      <c r="D2743" s="762" t="s">
        <v>131</v>
      </c>
      <c r="E2743" s="700">
        <v>600</v>
      </c>
      <c r="F2743" s="714"/>
      <c r="G2743" s="714"/>
      <c r="H2743" s="714"/>
      <c r="I2743" s="714">
        <f>E2743*C2743</f>
        <v>84000</v>
      </c>
      <c r="J2743" s="714"/>
      <c r="K2743" s="714">
        <f>I2743+J2743</f>
        <v>84000</v>
      </c>
      <c r="L2743" s="714"/>
      <c r="M2743" s="714"/>
      <c r="N2743" s="714"/>
      <c r="O2743" s="753">
        <f>N2743+K2743+H2743</f>
        <v>84000</v>
      </c>
      <c r="P2743" s="754"/>
    </row>
    <row r="2744" spans="1:16" ht="17.25" customHeight="1" x14ac:dyDescent="0.25">
      <c r="A2744" s="742"/>
      <c r="B2744" s="924" t="s">
        <v>892</v>
      </c>
      <c r="C2744" s="699">
        <v>70</v>
      </c>
      <c r="D2744" s="762"/>
      <c r="E2744" s="700">
        <v>80</v>
      </c>
      <c r="F2744" s="714"/>
      <c r="G2744" s="714"/>
      <c r="H2744" s="714"/>
      <c r="I2744" s="714">
        <f>E2744*C2744</f>
        <v>5600</v>
      </c>
      <c r="J2744" s="714"/>
      <c r="K2744" s="714">
        <f>I2744+J2744</f>
        <v>5600</v>
      </c>
      <c r="L2744" s="714"/>
      <c r="M2744" s="714"/>
      <c r="N2744" s="714"/>
      <c r="O2744" s="753">
        <f>N2744+K2744+H2744</f>
        <v>5600</v>
      </c>
      <c r="P2744" s="754"/>
    </row>
    <row r="2745" spans="1:16" ht="17.25" customHeight="1" x14ac:dyDescent="0.25">
      <c r="A2745" s="742"/>
      <c r="B2745" s="924" t="s">
        <v>893</v>
      </c>
      <c r="C2745" s="699">
        <v>140</v>
      </c>
      <c r="D2745" s="762"/>
      <c r="E2745" s="700">
        <v>250</v>
      </c>
      <c r="F2745" s="714"/>
      <c r="G2745" s="714"/>
      <c r="H2745" s="714"/>
      <c r="I2745" s="714">
        <f>E2745*C2745</f>
        <v>35000</v>
      </c>
      <c r="J2745" s="714"/>
      <c r="K2745" s="714">
        <f>I2745+J2745</f>
        <v>35000</v>
      </c>
      <c r="L2745" s="714"/>
      <c r="M2745" s="714"/>
      <c r="N2745" s="714"/>
      <c r="O2745" s="753">
        <f>N2745+K2745+H2745</f>
        <v>35000</v>
      </c>
      <c r="P2745" s="754"/>
    </row>
    <row r="2746" spans="1:16" ht="17.25" customHeight="1" x14ac:dyDescent="0.25">
      <c r="A2746" s="742"/>
      <c r="B2746" s="924"/>
      <c r="C2746" s="699"/>
      <c r="D2746" s="762"/>
      <c r="E2746" s="700"/>
      <c r="F2746" s="714"/>
      <c r="G2746" s="714"/>
      <c r="H2746" s="714"/>
      <c r="I2746" s="714"/>
      <c r="J2746" s="714"/>
      <c r="K2746" s="714"/>
      <c r="L2746" s="714"/>
      <c r="M2746" s="714"/>
      <c r="N2746" s="714"/>
      <c r="O2746" s="753"/>
      <c r="P2746" s="754"/>
    </row>
    <row r="2747" spans="1:16" ht="17.25" customHeight="1" x14ac:dyDescent="0.25">
      <c r="A2747" s="742"/>
      <c r="B2747" s="924" t="s">
        <v>1817</v>
      </c>
      <c r="C2747" s="699"/>
      <c r="D2747" s="762"/>
      <c r="E2747" s="700"/>
      <c r="F2747" s="714"/>
      <c r="G2747" s="714"/>
      <c r="H2747" s="714"/>
      <c r="I2747" s="714"/>
      <c r="J2747" s="714"/>
      <c r="K2747" s="714"/>
      <c r="L2747" s="714"/>
      <c r="M2747" s="714"/>
      <c r="N2747" s="714"/>
      <c r="O2747" s="753"/>
      <c r="P2747" s="754"/>
    </row>
    <row r="2748" spans="1:16" ht="17.25" customHeight="1" x14ac:dyDescent="0.25">
      <c r="A2748" s="742"/>
      <c r="B2748" s="924" t="s">
        <v>1817</v>
      </c>
      <c r="C2748" s="699">
        <v>1</v>
      </c>
      <c r="D2748" s="762" t="s">
        <v>16</v>
      </c>
      <c r="E2748" s="700">
        <v>10000000</v>
      </c>
      <c r="F2748" s="747"/>
      <c r="G2748" s="747"/>
      <c r="H2748" s="747"/>
      <c r="I2748" s="747"/>
      <c r="J2748" s="747"/>
      <c r="K2748" s="747"/>
      <c r="L2748" s="747">
        <f>E2748*C2748</f>
        <v>10000000</v>
      </c>
      <c r="M2748" s="747"/>
      <c r="N2748" s="747">
        <f>M2748+L2748</f>
        <v>10000000</v>
      </c>
      <c r="O2748" s="748">
        <f>N2748+K2748+H2748</f>
        <v>10000000</v>
      </c>
      <c r="P2748" s="749"/>
    </row>
    <row r="2749" spans="1:16" ht="17.25" customHeight="1" x14ac:dyDescent="0.25">
      <c r="A2749" s="742"/>
      <c r="B2749" s="924"/>
      <c r="C2749" s="699"/>
      <c r="D2749" s="762"/>
      <c r="E2749" s="700"/>
      <c r="F2749" s="714"/>
      <c r="G2749" s="714"/>
      <c r="H2749" s="714"/>
      <c r="I2749" s="714"/>
      <c r="J2749" s="714"/>
      <c r="K2749" s="714"/>
      <c r="L2749" s="714"/>
      <c r="M2749" s="714"/>
      <c r="N2749" s="714"/>
      <c r="O2749" s="753"/>
      <c r="P2749" s="754"/>
    </row>
    <row r="2750" spans="1:16" ht="17.25" customHeight="1" x14ac:dyDescent="0.25">
      <c r="A2750" s="742"/>
      <c r="B2750" s="924"/>
      <c r="C2750" s="699"/>
      <c r="D2750" s="762"/>
      <c r="E2750" s="700"/>
      <c r="F2750" s="714"/>
      <c r="G2750" s="714"/>
      <c r="H2750" s="714"/>
      <c r="I2750" s="714"/>
      <c r="J2750" s="714"/>
      <c r="K2750" s="714"/>
      <c r="L2750" s="714"/>
      <c r="M2750" s="714"/>
      <c r="N2750" s="714"/>
      <c r="O2750" s="753"/>
      <c r="P2750" s="754"/>
    </row>
    <row r="2751" spans="1:16" ht="17.25" customHeight="1" x14ac:dyDescent="0.25">
      <c r="A2751" s="742"/>
      <c r="B2751" s="924" t="s">
        <v>158</v>
      </c>
      <c r="C2751" s="699">
        <v>5345250</v>
      </c>
      <c r="D2751" s="762"/>
      <c r="E2751" s="700"/>
      <c r="F2751" s="714"/>
      <c r="G2751" s="714"/>
      <c r="H2751" s="714"/>
      <c r="I2751" s="714"/>
      <c r="J2751" s="714"/>
      <c r="K2751" s="714"/>
      <c r="L2751" s="714"/>
      <c r="M2751" s="714"/>
      <c r="N2751" s="714"/>
      <c r="O2751" s="753"/>
      <c r="P2751" s="754"/>
    </row>
    <row r="2752" spans="1:16" ht="17.25" customHeight="1" x14ac:dyDescent="0.25">
      <c r="A2752" s="742"/>
      <c r="B2752" s="924" t="s">
        <v>940</v>
      </c>
      <c r="C2752" s="699">
        <v>4</v>
      </c>
      <c r="D2752" s="762" t="s">
        <v>660</v>
      </c>
      <c r="E2752" s="700">
        <v>15000</v>
      </c>
      <c r="F2752" s="747"/>
      <c r="G2752" s="747"/>
      <c r="H2752" s="747"/>
      <c r="I2752" s="747"/>
      <c r="J2752" s="747"/>
      <c r="K2752" s="747"/>
      <c r="L2752" s="747">
        <f t="shared" ref="L2752:L2797" si="240">E2752*C2752</f>
        <v>60000</v>
      </c>
      <c r="M2752" s="747"/>
      <c r="N2752" s="747">
        <f t="shared" ref="N2752:N2797" si="241">M2752+L2752</f>
        <v>60000</v>
      </c>
      <c r="O2752" s="748">
        <f t="shared" ref="O2752:O2797" si="242">N2752+K2752+H2752</f>
        <v>60000</v>
      </c>
      <c r="P2752" s="749"/>
    </row>
    <row r="2753" spans="1:16" ht="17.25" customHeight="1" x14ac:dyDescent="0.25">
      <c r="A2753" s="742"/>
      <c r="B2753" s="924" t="s">
        <v>941</v>
      </c>
      <c r="C2753" s="699">
        <v>3</v>
      </c>
      <c r="D2753" s="762" t="s">
        <v>660</v>
      </c>
      <c r="E2753" s="700">
        <v>5000</v>
      </c>
      <c r="F2753" s="747"/>
      <c r="G2753" s="747"/>
      <c r="H2753" s="747"/>
      <c r="I2753" s="747"/>
      <c r="J2753" s="747"/>
      <c r="K2753" s="747"/>
      <c r="L2753" s="747">
        <f t="shared" si="240"/>
        <v>15000</v>
      </c>
      <c r="M2753" s="747"/>
      <c r="N2753" s="747">
        <f t="shared" si="241"/>
        <v>15000</v>
      </c>
      <c r="O2753" s="748">
        <f t="shared" si="242"/>
        <v>15000</v>
      </c>
      <c r="P2753" s="749"/>
    </row>
    <row r="2754" spans="1:16" ht="17.25" customHeight="1" x14ac:dyDescent="0.25">
      <c r="A2754" s="742"/>
      <c r="B2754" s="924" t="s">
        <v>942</v>
      </c>
      <c r="C2754" s="699">
        <v>3</v>
      </c>
      <c r="D2754" s="762" t="s">
        <v>660</v>
      </c>
      <c r="E2754" s="700">
        <v>17500</v>
      </c>
      <c r="F2754" s="747"/>
      <c r="G2754" s="747"/>
      <c r="H2754" s="747"/>
      <c r="I2754" s="747"/>
      <c r="J2754" s="747"/>
      <c r="K2754" s="747"/>
      <c r="L2754" s="747">
        <f t="shared" si="240"/>
        <v>52500</v>
      </c>
      <c r="M2754" s="747"/>
      <c r="N2754" s="747">
        <f t="shared" si="241"/>
        <v>52500</v>
      </c>
      <c r="O2754" s="748">
        <f t="shared" si="242"/>
        <v>52500</v>
      </c>
      <c r="P2754" s="749"/>
    </row>
    <row r="2755" spans="1:16" ht="17.25" customHeight="1" x14ac:dyDescent="0.25">
      <c r="A2755" s="742"/>
      <c r="B2755" s="924" t="s">
        <v>943</v>
      </c>
      <c r="C2755" s="699">
        <v>1</v>
      </c>
      <c r="D2755" s="762" t="s">
        <v>222</v>
      </c>
      <c r="E2755" s="700">
        <v>10000</v>
      </c>
      <c r="F2755" s="747"/>
      <c r="G2755" s="747"/>
      <c r="H2755" s="747"/>
      <c r="I2755" s="747"/>
      <c r="J2755" s="747"/>
      <c r="K2755" s="747"/>
      <c r="L2755" s="747">
        <f t="shared" si="240"/>
        <v>10000</v>
      </c>
      <c r="M2755" s="747"/>
      <c r="N2755" s="747">
        <f t="shared" si="241"/>
        <v>10000</v>
      </c>
      <c r="O2755" s="748">
        <f t="shared" si="242"/>
        <v>10000</v>
      </c>
      <c r="P2755" s="749"/>
    </row>
    <row r="2756" spans="1:16" ht="17.25" customHeight="1" x14ac:dyDescent="0.25">
      <c r="A2756" s="742"/>
      <c r="B2756" s="924" t="s">
        <v>944</v>
      </c>
      <c r="C2756" s="699">
        <v>15</v>
      </c>
      <c r="D2756" s="762" t="s">
        <v>660</v>
      </c>
      <c r="E2756" s="700">
        <v>1540</v>
      </c>
      <c r="F2756" s="747"/>
      <c r="G2756" s="747"/>
      <c r="H2756" s="747"/>
      <c r="I2756" s="747"/>
      <c r="J2756" s="747"/>
      <c r="K2756" s="747"/>
      <c r="L2756" s="747">
        <f t="shared" si="240"/>
        <v>23100</v>
      </c>
      <c r="M2756" s="747"/>
      <c r="N2756" s="747">
        <f t="shared" si="241"/>
        <v>23100</v>
      </c>
      <c r="O2756" s="748">
        <f t="shared" si="242"/>
        <v>23100</v>
      </c>
      <c r="P2756" s="749"/>
    </row>
    <row r="2757" spans="1:16" ht="17.25" customHeight="1" x14ac:dyDescent="0.25">
      <c r="A2757" s="742"/>
      <c r="B2757" s="924" t="s">
        <v>945</v>
      </c>
      <c r="C2757" s="699">
        <v>10</v>
      </c>
      <c r="D2757" s="762" t="s">
        <v>660</v>
      </c>
      <c r="E2757" s="700">
        <v>1000</v>
      </c>
      <c r="F2757" s="747"/>
      <c r="G2757" s="747"/>
      <c r="H2757" s="747"/>
      <c r="I2757" s="747"/>
      <c r="J2757" s="747"/>
      <c r="K2757" s="747"/>
      <c r="L2757" s="747">
        <f t="shared" si="240"/>
        <v>10000</v>
      </c>
      <c r="M2757" s="747"/>
      <c r="N2757" s="747">
        <f t="shared" si="241"/>
        <v>10000</v>
      </c>
      <c r="O2757" s="748">
        <f t="shared" si="242"/>
        <v>10000</v>
      </c>
      <c r="P2757" s="749"/>
    </row>
    <row r="2758" spans="1:16" ht="17.25" customHeight="1" x14ac:dyDescent="0.25">
      <c r="A2758" s="742"/>
      <c r="B2758" s="924" t="s">
        <v>2160</v>
      </c>
      <c r="C2758" s="699">
        <v>1</v>
      </c>
      <c r="D2758" s="762" t="s">
        <v>196</v>
      </c>
      <c r="E2758" s="700">
        <v>10000</v>
      </c>
      <c r="F2758" s="747"/>
      <c r="G2758" s="747"/>
      <c r="H2758" s="747"/>
      <c r="I2758" s="747"/>
      <c r="J2758" s="747"/>
      <c r="K2758" s="747"/>
      <c r="L2758" s="747">
        <f t="shared" si="240"/>
        <v>10000</v>
      </c>
      <c r="M2758" s="747"/>
      <c r="N2758" s="747">
        <f t="shared" si="241"/>
        <v>10000</v>
      </c>
      <c r="O2758" s="748">
        <f t="shared" si="242"/>
        <v>10000</v>
      </c>
      <c r="P2758" s="749"/>
    </row>
    <row r="2759" spans="1:16" ht="17.25" customHeight="1" x14ac:dyDescent="0.25">
      <c r="A2759" s="742"/>
      <c r="B2759" s="924" t="s">
        <v>2161</v>
      </c>
      <c r="C2759" s="699">
        <v>3</v>
      </c>
      <c r="D2759" s="762" t="s">
        <v>196</v>
      </c>
      <c r="E2759" s="700">
        <v>5000</v>
      </c>
      <c r="F2759" s="747"/>
      <c r="G2759" s="747"/>
      <c r="H2759" s="747"/>
      <c r="I2759" s="747"/>
      <c r="J2759" s="747"/>
      <c r="K2759" s="747"/>
      <c r="L2759" s="747">
        <f t="shared" si="240"/>
        <v>15000</v>
      </c>
      <c r="M2759" s="747"/>
      <c r="N2759" s="747">
        <f t="shared" si="241"/>
        <v>15000</v>
      </c>
      <c r="O2759" s="748">
        <f t="shared" si="242"/>
        <v>15000</v>
      </c>
      <c r="P2759" s="749"/>
    </row>
    <row r="2760" spans="1:16" ht="17.25" customHeight="1" x14ac:dyDescent="0.25">
      <c r="A2760" s="742"/>
      <c r="B2760" s="924" t="s">
        <v>2162</v>
      </c>
      <c r="C2760" s="699">
        <v>1</v>
      </c>
      <c r="D2760" s="762" t="s">
        <v>196</v>
      </c>
      <c r="E2760" s="700">
        <v>5000</v>
      </c>
      <c r="F2760" s="747"/>
      <c r="G2760" s="747"/>
      <c r="H2760" s="747"/>
      <c r="I2760" s="747"/>
      <c r="J2760" s="747"/>
      <c r="K2760" s="747"/>
      <c r="L2760" s="747">
        <f t="shared" si="240"/>
        <v>5000</v>
      </c>
      <c r="M2760" s="747"/>
      <c r="N2760" s="747">
        <f t="shared" si="241"/>
        <v>5000</v>
      </c>
      <c r="O2760" s="748">
        <f t="shared" si="242"/>
        <v>5000</v>
      </c>
      <c r="P2760" s="749"/>
    </row>
    <row r="2761" spans="1:16" ht="17.25" customHeight="1" x14ac:dyDescent="0.25">
      <c r="A2761" s="742"/>
      <c r="B2761" s="924" t="s">
        <v>2163</v>
      </c>
      <c r="C2761" s="699">
        <v>1</v>
      </c>
      <c r="D2761" s="762" t="s">
        <v>196</v>
      </c>
      <c r="E2761" s="700">
        <v>7500</v>
      </c>
      <c r="F2761" s="747"/>
      <c r="G2761" s="747"/>
      <c r="H2761" s="747"/>
      <c r="I2761" s="747"/>
      <c r="J2761" s="747"/>
      <c r="K2761" s="747"/>
      <c r="L2761" s="747">
        <f t="shared" si="240"/>
        <v>7500</v>
      </c>
      <c r="M2761" s="747"/>
      <c r="N2761" s="747">
        <f t="shared" si="241"/>
        <v>7500</v>
      </c>
      <c r="O2761" s="748">
        <f t="shared" si="242"/>
        <v>7500</v>
      </c>
      <c r="P2761" s="749"/>
    </row>
    <row r="2762" spans="1:16" ht="17.25" customHeight="1" x14ac:dyDescent="0.25">
      <c r="A2762" s="742"/>
      <c r="B2762" s="924" t="s">
        <v>2164</v>
      </c>
      <c r="C2762" s="699">
        <v>1</v>
      </c>
      <c r="D2762" s="762" t="s">
        <v>196</v>
      </c>
      <c r="E2762" s="700">
        <v>2500</v>
      </c>
      <c r="F2762" s="747"/>
      <c r="G2762" s="747"/>
      <c r="H2762" s="747"/>
      <c r="I2762" s="747"/>
      <c r="J2762" s="747"/>
      <c r="K2762" s="747"/>
      <c r="L2762" s="747">
        <f t="shared" si="240"/>
        <v>2500</v>
      </c>
      <c r="M2762" s="747"/>
      <c r="N2762" s="747">
        <f t="shared" si="241"/>
        <v>2500</v>
      </c>
      <c r="O2762" s="748">
        <f t="shared" si="242"/>
        <v>2500</v>
      </c>
      <c r="P2762" s="749"/>
    </row>
    <row r="2763" spans="1:16" ht="17.25" customHeight="1" x14ac:dyDescent="0.25">
      <c r="A2763" s="742"/>
      <c r="B2763" s="924" t="s">
        <v>946</v>
      </c>
      <c r="C2763" s="699"/>
      <c r="D2763" s="762"/>
      <c r="E2763" s="700"/>
      <c r="F2763" s="747"/>
      <c r="G2763" s="747"/>
      <c r="H2763" s="747"/>
      <c r="I2763" s="747"/>
      <c r="J2763" s="747"/>
      <c r="K2763" s="747"/>
      <c r="L2763" s="747">
        <f t="shared" si="240"/>
        <v>0</v>
      </c>
      <c r="M2763" s="747"/>
      <c r="N2763" s="747">
        <f t="shared" si="241"/>
        <v>0</v>
      </c>
      <c r="O2763" s="748">
        <f t="shared" si="242"/>
        <v>0</v>
      </c>
      <c r="P2763" s="749"/>
    </row>
    <row r="2764" spans="1:16" ht="17.25" customHeight="1" x14ac:dyDescent="0.25">
      <c r="A2764" s="742"/>
      <c r="B2764" s="924" t="s">
        <v>947</v>
      </c>
      <c r="C2764" s="699">
        <v>2</v>
      </c>
      <c r="D2764" s="762" t="s">
        <v>660</v>
      </c>
      <c r="E2764" s="700">
        <v>6000</v>
      </c>
      <c r="F2764" s="747"/>
      <c r="G2764" s="747"/>
      <c r="H2764" s="747"/>
      <c r="I2764" s="747"/>
      <c r="J2764" s="747"/>
      <c r="K2764" s="747"/>
      <c r="L2764" s="747">
        <f t="shared" si="240"/>
        <v>12000</v>
      </c>
      <c r="M2764" s="747"/>
      <c r="N2764" s="747">
        <f t="shared" si="241"/>
        <v>12000</v>
      </c>
      <c r="O2764" s="748">
        <f t="shared" si="242"/>
        <v>12000</v>
      </c>
      <c r="P2764" s="749"/>
    </row>
    <row r="2765" spans="1:16" ht="17.25" customHeight="1" x14ac:dyDescent="0.25">
      <c r="A2765" s="742"/>
      <c r="B2765" s="924" t="s">
        <v>948</v>
      </c>
      <c r="C2765" s="699"/>
      <c r="D2765" s="762"/>
      <c r="E2765" s="700"/>
      <c r="F2765" s="747"/>
      <c r="G2765" s="747"/>
      <c r="H2765" s="747"/>
      <c r="I2765" s="747"/>
      <c r="J2765" s="747"/>
      <c r="K2765" s="747"/>
      <c r="L2765" s="747">
        <f t="shared" si="240"/>
        <v>0</v>
      </c>
      <c r="M2765" s="747"/>
      <c r="N2765" s="747">
        <f t="shared" si="241"/>
        <v>0</v>
      </c>
      <c r="O2765" s="748">
        <f t="shared" si="242"/>
        <v>0</v>
      </c>
      <c r="P2765" s="749"/>
    </row>
    <row r="2766" spans="1:16" ht="17.25" customHeight="1" x14ac:dyDescent="0.25">
      <c r="A2766" s="742"/>
      <c r="B2766" s="924" t="s">
        <v>949</v>
      </c>
      <c r="C2766" s="699"/>
      <c r="D2766" s="762"/>
      <c r="E2766" s="700"/>
      <c r="F2766" s="747"/>
      <c r="G2766" s="747"/>
      <c r="H2766" s="747"/>
      <c r="I2766" s="747"/>
      <c r="J2766" s="747"/>
      <c r="K2766" s="747"/>
      <c r="L2766" s="747">
        <f t="shared" si="240"/>
        <v>0</v>
      </c>
      <c r="M2766" s="747"/>
      <c r="N2766" s="747">
        <f t="shared" si="241"/>
        <v>0</v>
      </c>
      <c r="O2766" s="748">
        <f t="shared" si="242"/>
        <v>0</v>
      </c>
      <c r="P2766" s="749"/>
    </row>
    <row r="2767" spans="1:16" ht="17.25" customHeight="1" x14ac:dyDescent="0.25">
      <c r="A2767" s="742"/>
      <c r="B2767" s="924" t="s">
        <v>950</v>
      </c>
      <c r="C2767" s="699">
        <v>2</v>
      </c>
      <c r="D2767" s="762" t="s">
        <v>660</v>
      </c>
      <c r="E2767" s="700">
        <v>7500</v>
      </c>
      <c r="F2767" s="747"/>
      <c r="G2767" s="747"/>
      <c r="H2767" s="747"/>
      <c r="I2767" s="747"/>
      <c r="J2767" s="747"/>
      <c r="K2767" s="747"/>
      <c r="L2767" s="747">
        <f t="shared" si="240"/>
        <v>15000</v>
      </c>
      <c r="M2767" s="747"/>
      <c r="N2767" s="747">
        <f t="shared" si="241"/>
        <v>15000</v>
      </c>
      <c r="O2767" s="748">
        <f t="shared" si="242"/>
        <v>15000</v>
      </c>
      <c r="P2767" s="749"/>
    </row>
    <row r="2768" spans="1:16" ht="17.25" customHeight="1" x14ac:dyDescent="0.25">
      <c r="A2768" s="742"/>
      <c r="B2768" s="924" t="s">
        <v>2165</v>
      </c>
      <c r="C2768" s="699">
        <v>1</v>
      </c>
      <c r="D2768" s="762" t="s">
        <v>196</v>
      </c>
      <c r="E2768" s="700">
        <v>5000</v>
      </c>
      <c r="F2768" s="747"/>
      <c r="G2768" s="747"/>
      <c r="H2768" s="747"/>
      <c r="I2768" s="747"/>
      <c r="J2768" s="747"/>
      <c r="K2768" s="747"/>
      <c r="L2768" s="747">
        <f t="shared" si="240"/>
        <v>5000</v>
      </c>
      <c r="M2768" s="747"/>
      <c r="N2768" s="747">
        <f t="shared" si="241"/>
        <v>5000</v>
      </c>
      <c r="O2768" s="748">
        <f t="shared" si="242"/>
        <v>5000</v>
      </c>
      <c r="P2768" s="749"/>
    </row>
    <row r="2769" spans="1:16" ht="17.25" customHeight="1" x14ac:dyDescent="0.25">
      <c r="A2769" s="742"/>
      <c r="B2769" s="924" t="s">
        <v>951</v>
      </c>
      <c r="C2769" s="699">
        <v>1</v>
      </c>
      <c r="D2769" s="762" t="s">
        <v>660</v>
      </c>
      <c r="E2769" s="700">
        <v>15000</v>
      </c>
      <c r="F2769" s="747"/>
      <c r="G2769" s="747"/>
      <c r="H2769" s="747"/>
      <c r="I2769" s="747"/>
      <c r="J2769" s="747"/>
      <c r="K2769" s="747"/>
      <c r="L2769" s="747">
        <f t="shared" si="240"/>
        <v>15000</v>
      </c>
      <c r="M2769" s="747"/>
      <c r="N2769" s="747">
        <f t="shared" si="241"/>
        <v>15000</v>
      </c>
      <c r="O2769" s="748">
        <f t="shared" si="242"/>
        <v>15000</v>
      </c>
      <c r="P2769" s="749"/>
    </row>
    <row r="2770" spans="1:16" ht="17.25" customHeight="1" x14ac:dyDescent="0.25">
      <c r="A2770" s="742"/>
      <c r="B2770" s="924" t="s">
        <v>952</v>
      </c>
      <c r="C2770" s="699"/>
      <c r="D2770" s="762"/>
      <c r="E2770" s="700"/>
      <c r="F2770" s="747"/>
      <c r="G2770" s="747"/>
      <c r="H2770" s="747"/>
      <c r="I2770" s="747"/>
      <c r="J2770" s="747"/>
      <c r="K2770" s="747"/>
      <c r="L2770" s="747">
        <f t="shared" si="240"/>
        <v>0</v>
      </c>
      <c r="M2770" s="747"/>
      <c r="N2770" s="747">
        <f t="shared" si="241"/>
        <v>0</v>
      </c>
      <c r="O2770" s="748">
        <f t="shared" si="242"/>
        <v>0</v>
      </c>
      <c r="P2770" s="749"/>
    </row>
    <row r="2771" spans="1:16" ht="17.25" customHeight="1" x14ac:dyDescent="0.25">
      <c r="A2771" s="742"/>
      <c r="B2771" s="924" t="s">
        <v>953</v>
      </c>
      <c r="C2771" s="699"/>
      <c r="D2771" s="762"/>
      <c r="E2771" s="700"/>
      <c r="F2771" s="747"/>
      <c r="G2771" s="747"/>
      <c r="H2771" s="747"/>
      <c r="I2771" s="747"/>
      <c r="J2771" s="747"/>
      <c r="K2771" s="747"/>
      <c r="L2771" s="747">
        <f t="shared" si="240"/>
        <v>0</v>
      </c>
      <c r="M2771" s="747"/>
      <c r="N2771" s="747">
        <f t="shared" si="241"/>
        <v>0</v>
      </c>
      <c r="O2771" s="748">
        <f t="shared" si="242"/>
        <v>0</v>
      </c>
      <c r="P2771" s="749"/>
    </row>
    <row r="2772" spans="1:16" ht="17.25" customHeight="1" x14ac:dyDescent="0.25">
      <c r="A2772" s="742"/>
      <c r="B2772" s="924" t="s">
        <v>954</v>
      </c>
      <c r="C2772" s="699">
        <v>5</v>
      </c>
      <c r="D2772" s="762" t="s">
        <v>660</v>
      </c>
      <c r="E2772" s="700">
        <v>5000</v>
      </c>
      <c r="F2772" s="747"/>
      <c r="G2772" s="747"/>
      <c r="H2772" s="747"/>
      <c r="I2772" s="747"/>
      <c r="J2772" s="747"/>
      <c r="K2772" s="747"/>
      <c r="L2772" s="747">
        <f t="shared" si="240"/>
        <v>25000</v>
      </c>
      <c r="M2772" s="747"/>
      <c r="N2772" s="747">
        <f t="shared" si="241"/>
        <v>25000</v>
      </c>
      <c r="O2772" s="748">
        <f t="shared" si="242"/>
        <v>25000</v>
      </c>
      <c r="P2772" s="749"/>
    </row>
    <row r="2773" spans="1:16" ht="17.25" customHeight="1" x14ac:dyDescent="0.25">
      <c r="A2773" s="742"/>
      <c r="B2773" s="924" t="s">
        <v>2166</v>
      </c>
      <c r="C2773" s="699">
        <v>1</v>
      </c>
      <c r="D2773" s="762" t="s">
        <v>660</v>
      </c>
      <c r="E2773" s="700">
        <v>15000</v>
      </c>
      <c r="F2773" s="747"/>
      <c r="G2773" s="747"/>
      <c r="H2773" s="747"/>
      <c r="I2773" s="747"/>
      <c r="J2773" s="747"/>
      <c r="K2773" s="747"/>
      <c r="L2773" s="747">
        <f t="shared" si="240"/>
        <v>15000</v>
      </c>
      <c r="M2773" s="747"/>
      <c r="N2773" s="747">
        <f t="shared" si="241"/>
        <v>15000</v>
      </c>
      <c r="O2773" s="748">
        <f t="shared" si="242"/>
        <v>15000</v>
      </c>
      <c r="P2773" s="749"/>
    </row>
    <row r="2774" spans="1:16" ht="17.25" customHeight="1" x14ac:dyDescent="0.25">
      <c r="A2774" s="742"/>
      <c r="B2774" s="924" t="s">
        <v>955</v>
      </c>
      <c r="C2774" s="699"/>
      <c r="D2774" s="762"/>
      <c r="E2774" s="700"/>
      <c r="F2774" s="747"/>
      <c r="G2774" s="747"/>
      <c r="H2774" s="747"/>
      <c r="I2774" s="747"/>
      <c r="J2774" s="747"/>
      <c r="K2774" s="747"/>
      <c r="L2774" s="747">
        <f t="shared" si="240"/>
        <v>0</v>
      </c>
      <c r="M2774" s="747"/>
      <c r="N2774" s="747">
        <f t="shared" si="241"/>
        <v>0</v>
      </c>
      <c r="O2774" s="748">
        <f t="shared" si="242"/>
        <v>0</v>
      </c>
      <c r="P2774" s="749"/>
    </row>
    <row r="2775" spans="1:16" ht="17.25" customHeight="1" x14ac:dyDescent="0.25">
      <c r="A2775" s="742"/>
      <c r="B2775" s="924" t="s">
        <v>2167</v>
      </c>
      <c r="C2775" s="699">
        <v>1</v>
      </c>
      <c r="D2775" s="762" t="s">
        <v>660</v>
      </c>
      <c r="E2775" s="700">
        <v>10000</v>
      </c>
      <c r="F2775" s="747"/>
      <c r="G2775" s="747"/>
      <c r="H2775" s="747"/>
      <c r="I2775" s="747"/>
      <c r="J2775" s="747"/>
      <c r="K2775" s="747"/>
      <c r="L2775" s="747">
        <f t="shared" si="240"/>
        <v>10000</v>
      </c>
      <c r="M2775" s="747"/>
      <c r="N2775" s="747">
        <f t="shared" si="241"/>
        <v>10000</v>
      </c>
      <c r="O2775" s="748">
        <f t="shared" si="242"/>
        <v>10000</v>
      </c>
      <c r="P2775" s="749"/>
    </row>
    <row r="2776" spans="1:16" ht="17.25" customHeight="1" x14ac:dyDescent="0.25">
      <c r="A2776" s="742"/>
      <c r="B2776" s="924"/>
      <c r="C2776" s="699"/>
      <c r="D2776" s="762"/>
      <c r="E2776" s="700"/>
      <c r="F2776" s="747"/>
      <c r="G2776" s="747"/>
      <c r="H2776" s="747"/>
      <c r="I2776" s="747"/>
      <c r="J2776" s="747"/>
      <c r="K2776" s="747"/>
      <c r="L2776" s="747">
        <f t="shared" si="240"/>
        <v>0</v>
      </c>
      <c r="M2776" s="747"/>
      <c r="N2776" s="747">
        <f t="shared" si="241"/>
        <v>0</v>
      </c>
      <c r="O2776" s="748">
        <f t="shared" si="242"/>
        <v>0</v>
      </c>
      <c r="P2776" s="749"/>
    </row>
    <row r="2777" spans="1:16" ht="17.25" customHeight="1" x14ac:dyDescent="0.25">
      <c r="A2777" s="742"/>
      <c r="B2777" s="924" t="s">
        <v>956</v>
      </c>
      <c r="C2777" s="699"/>
      <c r="D2777" s="762"/>
      <c r="E2777" s="700"/>
      <c r="F2777" s="747"/>
      <c r="G2777" s="747"/>
      <c r="H2777" s="747"/>
      <c r="I2777" s="747"/>
      <c r="J2777" s="747"/>
      <c r="K2777" s="747"/>
      <c r="L2777" s="747">
        <f t="shared" si="240"/>
        <v>0</v>
      </c>
      <c r="M2777" s="747"/>
      <c r="N2777" s="747">
        <f t="shared" si="241"/>
        <v>0</v>
      </c>
      <c r="O2777" s="748">
        <f t="shared" si="242"/>
        <v>0</v>
      </c>
      <c r="P2777" s="749"/>
    </row>
    <row r="2778" spans="1:16" ht="17.25" customHeight="1" x14ac:dyDescent="0.25">
      <c r="A2778" s="742"/>
      <c r="B2778" s="924" t="s">
        <v>957</v>
      </c>
      <c r="C2778" s="699">
        <v>1</v>
      </c>
      <c r="D2778" s="762" t="s">
        <v>196</v>
      </c>
      <c r="E2778" s="700">
        <v>20000</v>
      </c>
      <c r="F2778" s="747"/>
      <c r="G2778" s="747"/>
      <c r="H2778" s="747"/>
      <c r="I2778" s="747"/>
      <c r="J2778" s="747"/>
      <c r="K2778" s="747"/>
      <c r="L2778" s="747">
        <f t="shared" si="240"/>
        <v>20000</v>
      </c>
      <c r="M2778" s="747"/>
      <c r="N2778" s="747">
        <f t="shared" si="241"/>
        <v>20000</v>
      </c>
      <c r="O2778" s="748">
        <f t="shared" si="242"/>
        <v>20000</v>
      </c>
      <c r="P2778" s="749"/>
    </row>
    <row r="2779" spans="1:16" ht="17.25" customHeight="1" x14ac:dyDescent="0.25">
      <c r="A2779" s="742"/>
      <c r="B2779" s="924" t="s">
        <v>958</v>
      </c>
      <c r="C2779" s="699">
        <v>1</v>
      </c>
      <c r="D2779" s="762" t="s">
        <v>196</v>
      </c>
      <c r="E2779" s="700">
        <v>10000</v>
      </c>
      <c r="F2779" s="747"/>
      <c r="G2779" s="747"/>
      <c r="H2779" s="747"/>
      <c r="I2779" s="747"/>
      <c r="J2779" s="747"/>
      <c r="K2779" s="747"/>
      <c r="L2779" s="747">
        <f t="shared" si="240"/>
        <v>10000</v>
      </c>
      <c r="M2779" s="747"/>
      <c r="N2779" s="747">
        <f t="shared" si="241"/>
        <v>10000</v>
      </c>
      <c r="O2779" s="748">
        <f t="shared" si="242"/>
        <v>10000</v>
      </c>
      <c r="P2779" s="749"/>
    </row>
    <row r="2780" spans="1:16" ht="17.25" customHeight="1" x14ac:dyDescent="0.25">
      <c r="A2780" s="742"/>
      <c r="B2780" s="924" t="s">
        <v>959</v>
      </c>
      <c r="C2780" s="699"/>
      <c r="D2780" s="762"/>
      <c r="E2780" s="700"/>
      <c r="F2780" s="747"/>
      <c r="G2780" s="747"/>
      <c r="H2780" s="747"/>
      <c r="I2780" s="747"/>
      <c r="J2780" s="747"/>
      <c r="K2780" s="747"/>
      <c r="L2780" s="747">
        <f t="shared" si="240"/>
        <v>0</v>
      </c>
      <c r="M2780" s="747"/>
      <c r="N2780" s="747">
        <f t="shared" si="241"/>
        <v>0</v>
      </c>
      <c r="O2780" s="748">
        <f t="shared" si="242"/>
        <v>0</v>
      </c>
      <c r="P2780" s="749"/>
    </row>
    <row r="2781" spans="1:16" ht="17.25" customHeight="1" x14ac:dyDescent="0.25">
      <c r="A2781" s="742"/>
      <c r="B2781" s="924" t="s">
        <v>682</v>
      </c>
      <c r="C2781" s="699">
        <v>2</v>
      </c>
      <c r="D2781" s="762" t="s">
        <v>196</v>
      </c>
      <c r="E2781" s="700">
        <v>10000</v>
      </c>
      <c r="F2781" s="747"/>
      <c r="G2781" s="747"/>
      <c r="H2781" s="747"/>
      <c r="I2781" s="747"/>
      <c r="J2781" s="747"/>
      <c r="K2781" s="747"/>
      <c r="L2781" s="747">
        <f t="shared" si="240"/>
        <v>20000</v>
      </c>
      <c r="M2781" s="747"/>
      <c r="N2781" s="747">
        <f t="shared" si="241"/>
        <v>20000</v>
      </c>
      <c r="O2781" s="748">
        <f t="shared" si="242"/>
        <v>20000</v>
      </c>
      <c r="P2781" s="749"/>
    </row>
    <row r="2782" spans="1:16" ht="17.25" customHeight="1" x14ac:dyDescent="0.25">
      <c r="A2782" s="742"/>
      <c r="B2782" s="924" t="s">
        <v>960</v>
      </c>
      <c r="C2782" s="699"/>
      <c r="D2782" s="762"/>
      <c r="E2782" s="700"/>
      <c r="F2782" s="747"/>
      <c r="G2782" s="747"/>
      <c r="H2782" s="747"/>
      <c r="I2782" s="747"/>
      <c r="J2782" s="747"/>
      <c r="K2782" s="747"/>
      <c r="L2782" s="747">
        <f t="shared" si="240"/>
        <v>0</v>
      </c>
      <c r="M2782" s="747"/>
      <c r="N2782" s="747">
        <f t="shared" si="241"/>
        <v>0</v>
      </c>
      <c r="O2782" s="748">
        <f t="shared" si="242"/>
        <v>0</v>
      </c>
      <c r="P2782" s="749"/>
    </row>
    <row r="2783" spans="1:16" ht="17.25" customHeight="1" x14ac:dyDescent="0.25">
      <c r="A2783" s="742"/>
      <c r="B2783" s="924" t="s">
        <v>961</v>
      </c>
      <c r="C2783" s="699"/>
      <c r="D2783" s="762"/>
      <c r="E2783" s="700"/>
      <c r="F2783" s="747"/>
      <c r="G2783" s="747"/>
      <c r="H2783" s="747"/>
      <c r="I2783" s="747"/>
      <c r="J2783" s="747"/>
      <c r="K2783" s="747"/>
      <c r="L2783" s="747">
        <f t="shared" si="240"/>
        <v>0</v>
      </c>
      <c r="M2783" s="747"/>
      <c r="N2783" s="747">
        <f t="shared" si="241"/>
        <v>0</v>
      </c>
      <c r="O2783" s="748">
        <f t="shared" si="242"/>
        <v>0</v>
      </c>
      <c r="P2783" s="749"/>
    </row>
    <row r="2784" spans="1:16" ht="17.25" customHeight="1" x14ac:dyDescent="0.25">
      <c r="A2784" s="742"/>
      <c r="B2784" s="924" t="s">
        <v>962</v>
      </c>
      <c r="C2784" s="699">
        <v>5</v>
      </c>
      <c r="D2784" s="762" t="s">
        <v>196</v>
      </c>
      <c r="E2784" s="700">
        <v>1250</v>
      </c>
      <c r="F2784" s="747"/>
      <c r="G2784" s="747"/>
      <c r="H2784" s="747"/>
      <c r="I2784" s="747"/>
      <c r="J2784" s="747"/>
      <c r="K2784" s="747"/>
      <c r="L2784" s="747">
        <f t="shared" si="240"/>
        <v>6250</v>
      </c>
      <c r="M2784" s="747"/>
      <c r="N2784" s="747">
        <f t="shared" si="241"/>
        <v>6250</v>
      </c>
      <c r="O2784" s="748">
        <f t="shared" si="242"/>
        <v>6250</v>
      </c>
      <c r="P2784" s="749"/>
    </row>
    <row r="2785" spans="1:16" ht="17.25" customHeight="1" x14ac:dyDescent="0.25">
      <c r="A2785" s="742"/>
      <c r="B2785" s="924" t="s">
        <v>963</v>
      </c>
      <c r="C2785" s="699">
        <v>1</v>
      </c>
      <c r="D2785" s="762" t="s">
        <v>196</v>
      </c>
      <c r="E2785" s="700">
        <v>200000</v>
      </c>
      <c r="F2785" s="747"/>
      <c r="G2785" s="747"/>
      <c r="H2785" s="747"/>
      <c r="I2785" s="747"/>
      <c r="J2785" s="747"/>
      <c r="K2785" s="747"/>
      <c r="L2785" s="747">
        <f t="shared" si="240"/>
        <v>200000</v>
      </c>
      <c r="M2785" s="747"/>
      <c r="N2785" s="747">
        <f t="shared" si="241"/>
        <v>200000</v>
      </c>
      <c r="O2785" s="748">
        <f t="shared" si="242"/>
        <v>200000</v>
      </c>
      <c r="P2785" s="749"/>
    </row>
    <row r="2786" spans="1:16" ht="17.25" customHeight="1" x14ac:dyDescent="0.25">
      <c r="A2786" s="742"/>
      <c r="B2786" s="924" t="s">
        <v>964</v>
      </c>
      <c r="C2786" s="699"/>
      <c r="D2786" s="762"/>
      <c r="E2786" s="700"/>
      <c r="F2786" s="747"/>
      <c r="G2786" s="747"/>
      <c r="H2786" s="747"/>
      <c r="I2786" s="747"/>
      <c r="J2786" s="747"/>
      <c r="K2786" s="747"/>
      <c r="L2786" s="747">
        <f t="shared" si="240"/>
        <v>0</v>
      </c>
      <c r="M2786" s="747"/>
      <c r="N2786" s="747">
        <f t="shared" si="241"/>
        <v>0</v>
      </c>
      <c r="O2786" s="748">
        <f t="shared" si="242"/>
        <v>0</v>
      </c>
      <c r="P2786" s="749"/>
    </row>
    <row r="2787" spans="1:16" ht="17.25" customHeight="1" x14ac:dyDescent="0.25">
      <c r="A2787" s="742"/>
      <c r="B2787" s="924" t="s">
        <v>965</v>
      </c>
      <c r="C2787" s="699">
        <v>10</v>
      </c>
      <c r="D2787" s="762" t="s">
        <v>660</v>
      </c>
      <c r="E2787" s="700">
        <v>290</v>
      </c>
      <c r="F2787" s="747"/>
      <c r="G2787" s="747"/>
      <c r="H2787" s="747"/>
      <c r="I2787" s="747"/>
      <c r="J2787" s="747"/>
      <c r="K2787" s="747"/>
      <c r="L2787" s="747">
        <f t="shared" si="240"/>
        <v>2900</v>
      </c>
      <c r="M2787" s="747"/>
      <c r="N2787" s="747">
        <f t="shared" si="241"/>
        <v>2900</v>
      </c>
      <c r="O2787" s="748">
        <f t="shared" si="242"/>
        <v>2900</v>
      </c>
      <c r="P2787" s="749"/>
    </row>
    <row r="2788" spans="1:16" ht="17.25" customHeight="1" x14ac:dyDescent="0.25">
      <c r="A2788" s="742"/>
      <c r="B2788" s="924" t="s">
        <v>966</v>
      </c>
      <c r="C2788" s="699">
        <v>4</v>
      </c>
      <c r="D2788" s="762" t="s">
        <v>196</v>
      </c>
      <c r="E2788" s="700">
        <v>2500</v>
      </c>
      <c r="F2788" s="747"/>
      <c r="G2788" s="747"/>
      <c r="H2788" s="747"/>
      <c r="I2788" s="747"/>
      <c r="J2788" s="747"/>
      <c r="K2788" s="747"/>
      <c r="L2788" s="747">
        <f t="shared" si="240"/>
        <v>10000</v>
      </c>
      <c r="M2788" s="747"/>
      <c r="N2788" s="747">
        <f t="shared" si="241"/>
        <v>10000</v>
      </c>
      <c r="O2788" s="748">
        <f t="shared" si="242"/>
        <v>10000</v>
      </c>
      <c r="P2788" s="749"/>
    </row>
    <row r="2789" spans="1:16" ht="17.25" customHeight="1" x14ac:dyDescent="0.25">
      <c r="A2789" s="742"/>
      <c r="B2789" s="924" t="s">
        <v>967</v>
      </c>
      <c r="C2789" s="699">
        <v>10</v>
      </c>
      <c r="D2789" s="762" t="s">
        <v>660</v>
      </c>
      <c r="E2789" s="700">
        <v>100</v>
      </c>
      <c r="F2789" s="747"/>
      <c r="G2789" s="747"/>
      <c r="H2789" s="747"/>
      <c r="I2789" s="747"/>
      <c r="J2789" s="747"/>
      <c r="K2789" s="747"/>
      <c r="L2789" s="747">
        <f t="shared" si="240"/>
        <v>1000</v>
      </c>
      <c r="M2789" s="747"/>
      <c r="N2789" s="747">
        <f t="shared" si="241"/>
        <v>1000</v>
      </c>
      <c r="O2789" s="748">
        <f t="shared" si="242"/>
        <v>1000</v>
      </c>
      <c r="P2789" s="749"/>
    </row>
    <row r="2790" spans="1:16" ht="17.25" customHeight="1" x14ac:dyDescent="0.25">
      <c r="A2790" s="742"/>
      <c r="B2790" s="924" t="s">
        <v>968</v>
      </c>
      <c r="C2790" s="699">
        <v>20</v>
      </c>
      <c r="D2790" s="762" t="s">
        <v>660</v>
      </c>
      <c r="E2790" s="700">
        <v>150</v>
      </c>
      <c r="F2790" s="747"/>
      <c r="G2790" s="747"/>
      <c r="H2790" s="747"/>
      <c r="I2790" s="747"/>
      <c r="J2790" s="747"/>
      <c r="K2790" s="747"/>
      <c r="L2790" s="747">
        <f t="shared" si="240"/>
        <v>3000</v>
      </c>
      <c r="M2790" s="747"/>
      <c r="N2790" s="747">
        <f t="shared" si="241"/>
        <v>3000</v>
      </c>
      <c r="O2790" s="748">
        <f t="shared" si="242"/>
        <v>3000</v>
      </c>
      <c r="P2790" s="749"/>
    </row>
    <row r="2791" spans="1:16" ht="17.25" customHeight="1" x14ac:dyDescent="0.25">
      <c r="A2791" s="742"/>
      <c r="B2791" s="924" t="s">
        <v>969</v>
      </c>
      <c r="C2791" s="699">
        <v>20</v>
      </c>
      <c r="D2791" s="762" t="s">
        <v>970</v>
      </c>
      <c r="E2791" s="700">
        <v>175</v>
      </c>
      <c r="F2791" s="747"/>
      <c r="G2791" s="747"/>
      <c r="H2791" s="747"/>
      <c r="I2791" s="747"/>
      <c r="J2791" s="747"/>
      <c r="K2791" s="747"/>
      <c r="L2791" s="747">
        <f t="shared" si="240"/>
        <v>3500</v>
      </c>
      <c r="M2791" s="747"/>
      <c r="N2791" s="747">
        <f t="shared" si="241"/>
        <v>3500</v>
      </c>
      <c r="O2791" s="748">
        <f t="shared" si="242"/>
        <v>3500</v>
      </c>
      <c r="P2791" s="749"/>
    </row>
    <row r="2792" spans="1:16" ht="17.25" customHeight="1" x14ac:dyDescent="0.25">
      <c r="A2792" s="742"/>
      <c r="B2792" s="924" t="s">
        <v>971</v>
      </c>
      <c r="C2792" s="699">
        <v>1</v>
      </c>
      <c r="D2792" s="762" t="s">
        <v>196</v>
      </c>
      <c r="E2792" s="700">
        <v>125000</v>
      </c>
      <c r="F2792" s="747"/>
      <c r="G2792" s="747"/>
      <c r="H2792" s="747"/>
      <c r="I2792" s="747"/>
      <c r="J2792" s="747"/>
      <c r="K2792" s="747"/>
      <c r="L2792" s="747">
        <f t="shared" si="240"/>
        <v>125000</v>
      </c>
      <c r="M2792" s="747"/>
      <c r="N2792" s="747">
        <f t="shared" si="241"/>
        <v>125000</v>
      </c>
      <c r="O2792" s="748">
        <f t="shared" si="242"/>
        <v>125000</v>
      </c>
      <c r="P2792" s="749"/>
    </row>
    <row r="2793" spans="1:16" ht="17.25" customHeight="1" x14ac:dyDescent="0.25">
      <c r="A2793" s="742"/>
      <c r="B2793" s="924" t="s">
        <v>972</v>
      </c>
      <c r="C2793" s="699">
        <v>1</v>
      </c>
      <c r="D2793" s="762" t="s">
        <v>196</v>
      </c>
      <c r="E2793" s="700">
        <v>360000</v>
      </c>
      <c r="F2793" s="747"/>
      <c r="G2793" s="747"/>
      <c r="H2793" s="747"/>
      <c r="I2793" s="747"/>
      <c r="J2793" s="747"/>
      <c r="K2793" s="747"/>
      <c r="L2793" s="747">
        <f t="shared" si="240"/>
        <v>360000</v>
      </c>
      <c r="M2793" s="747"/>
      <c r="N2793" s="747">
        <f t="shared" si="241"/>
        <v>360000</v>
      </c>
      <c r="O2793" s="748">
        <f t="shared" si="242"/>
        <v>360000</v>
      </c>
      <c r="P2793" s="749"/>
    </row>
    <row r="2794" spans="1:16" ht="17.25" customHeight="1" x14ac:dyDescent="0.25">
      <c r="A2794" s="742"/>
      <c r="B2794" s="924" t="s">
        <v>973</v>
      </c>
      <c r="C2794" s="699">
        <v>1</v>
      </c>
      <c r="D2794" s="762" t="s">
        <v>196</v>
      </c>
      <c r="E2794" s="700">
        <v>450000</v>
      </c>
      <c r="F2794" s="747"/>
      <c r="G2794" s="747"/>
      <c r="H2794" s="747"/>
      <c r="I2794" s="747"/>
      <c r="J2794" s="747"/>
      <c r="K2794" s="747"/>
      <c r="L2794" s="747">
        <f t="shared" si="240"/>
        <v>450000</v>
      </c>
      <c r="M2794" s="747"/>
      <c r="N2794" s="747">
        <f t="shared" si="241"/>
        <v>450000</v>
      </c>
      <c r="O2794" s="748">
        <f t="shared" si="242"/>
        <v>450000</v>
      </c>
      <c r="P2794" s="749"/>
    </row>
    <row r="2795" spans="1:16" ht="17.25" customHeight="1" x14ac:dyDescent="0.25">
      <c r="A2795" s="742"/>
      <c r="B2795" s="924" t="s">
        <v>1695</v>
      </c>
      <c r="C2795" s="699">
        <v>1</v>
      </c>
      <c r="D2795" s="762" t="s">
        <v>16</v>
      </c>
      <c r="E2795" s="700">
        <v>2500000</v>
      </c>
      <c r="F2795" s="747"/>
      <c r="G2795" s="747"/>
      <c r="H2795" s="747"/>
      <c r="I2795" s="747"/>
      <c r="J2795" s="747"/>
      <c r="K2795" s="747"/>
      <c r="L2795" s="747">
        <f t="shared" si="240"/>
        <v>2500000</v>
      </c>
      <c r="M2795" s="747"/>
      <c r="N2795" s="747">
        <f t="shared" si="241"/>
        <v>2500000</v>
      </c>
      <c r="O2795" s="748">
        <f t="shared" si="242"/>
        <v>2500000</v>
      </c>
      <c r="P2795" s="749"/>
    </row>
    <row r="2796" spans="1:16" ht="17.25" customHeight="1" x14ac:dyDescent="0.25">
      <c r="A2796" s="742"/>
      <c r="B2796" s="924" t="s">
        <v>974</v>
      </c>
      <c r="C2796" s="699">
        <v>1</v>
      </c>
      <c r="D2796" s="762" t="s">
        <v>16</v>
      </c>
      <c r="E2796" s="700">
        <v>1250000</v>
      </c>
      <c r="F2796" s="747"/>
      <c r="G2796" s="747"/>
      <c r="H2796" s="747"/>
      <c r="I2796" s="747"/>
      <c r="J2796" s="747"/>
      <c r="K2796" s="747"/>
      <c r="L2796" s="747">
        <f t="shared" si="240"/>
        <v>1250000</v>
      </c>
      <c r="M2796" s="747"/>
      <c r="N2796" s="747">
        <f t="shared" si="241"/>
        <v>1250000</v>
      </c>
      <c r="O2796" s="748">
        <f t="shared" si="242"/>
        <v>1250000</v>
      </c>
      <c r="P2796" s="749"/>
    </row>
    <row r="2797" spans="1:16" ht="17.25" customHeight="1" x14ac:dyDescent="0.25">
      <c r="A2797" s="742"/>
      <c r="B2797" s="924" t="s">
        <v>2168</v>
      </c>
      <c r="C2797" s="699">
        <v>4</v>
      </c>
      <c r="D2797" s="762" t="s">
        <v>196</v>
      </c>
      <c r="E2797" s="700">
        <v>19000</v>
      </c>
      <c r="F2797" s="747"/>
      <c r="G2797" s="747"/>
      <c r="H2797" s="747"/>
      <c r="I2797" s="747"/>
      <c r="J2797" s="747"/>
      <c r="K2797" s="747"/>
      <c r="L2797" s="747">
        <f t="shared" si="240"/>
        <v>76000</v>
      </c>
      <c r="M2797" s="747"/>
      <c r="N2797" s="747">
        <f t="shared" si="241"/>
        <v>76000</v>
      </c>
      <c r="O2797" s="748">
        <f t="shared" si="242"/>
        <v>76000</v>
      </c>
      <c r="P2797" s="749"/>
    </row>
    <row r="2798" spans="1:16" ht="17.25" customHeight="1" x14ac:dyDescent="0.25">
      <c r="A2798" s="742"/>
      <c r="B2798" s="924"/>
      <c r="C2798" s="699"/>
      <c r="D2798" s="762"/>
      <c r="E2798" s="700"/>
      <c r="F2798" s="714"/>
      <c r="G2798" s="714"/>
      <c r="H2798" s="714"/>
      <c r="I2798" s="714"/>
      <c r="J2798" s="714"/>
      <c r="K2798" s="714"/>
      <c r="L2798" s="714"/>
      <c r="M2798" s="714"/>
      <c r="N2798" s="714"/>
      <c r="O2798" s="753"/>
      <c r="P2798" s="754"/>
    </row>
    <row r="2799" spans="1:16" ht="17.25" customHeight="1" x14ac:dyDescent="0.25">
      <c r="A2799" s="742"/>
      <c r="B2799" s="924" t="s">
        <v>2169</v>
      </c>
      <c r="C2799" s="699">
        <v>1</v>
      </c>
      <c r="D2799" s="762" t="s">
        <v>47</v>
      </c>
      <c r="E2799" s="700">
        <v>27500</v>
      </c>
      <c r="F2799" s="714"/>
      <c r="G2799" s="714"/>
      <c r="H2799" s="714"/>
      <c r="I2799" s="714">
        <f>E2799*C2799</f>
        <v>27500</v>
      </c>
      <c r="J2799" s="714"/>
      <c r="K2799" s="714">
        <f>I2799+J2799</f>
        <v>27500</v>
      </c>
      <c r="L2799" s="714"/>
      <c r="M2799" s="714"/>
      <c r="N2799" s="714"/>
      <c r="O2799" s="753">
        <f>N2799+K2799+H2799</f>
        <v>27500</v>
      </c>
      <c r="P2799" s="754"/>
    </row>
    <row r="2800" spans="1:16" ht="17.25" customHeight="1" x14ac:dyDescent="0.25">
      <c r="A2800" s="742"/>
      <c r="B2800" s="924"/>
      <c r="C2800" s="699"/>
      <c r="D2800" s="762"/>
      <c r="E2800" s="700"/>
      <c r="F2800" s="714"/>
      <c r="G2800" s="714"/>
      <c r="H2800" s="714"/>
      <c r="I2800" s="714"/>
      <c r="J2800" s="714"/>
      <c r="K2800" s="714"/>
      <c r="L2800" s="714"/>
      <c r="M2800" s="714"/>
      <c r="N2800" s="714"/>
      <c r="O2800" s="753"/>
      <c r="P2800" s="754"/>
    </row>
    <row r="2801" spans="1:89" ht="17.25" customHeight="1" x14ac:dyDescent="0.25">
      <c r="A2801" s="742"/>
      <c r="B2801" s="924" t="s">
        <v>2170</v>
      </c>
      <c r="C2801" s="699">
        <v>100000</v>
      </c>
      <c r="D2801" s="762"/>
      <c r="E2801" s="700"/>
      <c r="F2801" s="714"/>
      <c r="G2801" s="714"/>
      <c r="H2801" s="714"/>
      <c r="I2801" s="714"/>
      <c r="J2801" s="714"/>
      <c r="K2801" s="714"/>
      <c r="L2801" s="714"/>
      <c r="M2801" s="714"/>
      <c r="N2801" s="714"/>
      <c r="O2801" s="753"/>
      <c r="P2801" s="754"/>
    </row>
    <row r="2802" spans="1:89" ht="17.25" customHeight="1" x14ac:dyDescent="0.25">
      <c r="A2802" s="742"/>
      <c r="B2802" s="924" t="s">
        <v>2171</v>
      </c>
      <c r="C2802" s="699"/>
      <c r="D2802" s="762"/>
      <c r="E2802" s="700"/>
      <c r="F2802" s="714"/>
      <c r="G2802" s="714"/>
      <c r="H2802" s="714"/>
      <c r="I2802" s="714"/>
      <c r="J2802" s="714"/>
      <c r="K2802" s="714"/>
      <c r="L2802" s="714"/>
      <c r="M2802" s="714"/>
      <c r="N2802" s="714"/>
      <c r="O2802" s="753"/>
      <c r="P2802" s="754"/>
    </row>
    <row r="2803" spans="1:89" ht="17.25" customHeight="1" x14ac:dyDescent="0.25">
      <c r="A2803" s="742"/>
      <c r="B2803" s="924" t="s">
        <v>2172</v>
      </c>
      <c r="C2803" s="699">
        <v>1</v>
      </c>
      <c r="D2803" s="762" t="s">
        <v>47</v>
      </c>
      <c r="E2803" s="700">
        <v>10000</v>
      </c>
      <c r="F2803" s="747"/>
      <c r="G2803" s="747"/>
      <c r="H2803" s="747"/>
      <c r="I2803" s="747"/>
      <c r="J2803" s="747"/>
      <c r="K2803" s="747"/>
      <c r="L2803" s="747">
        <f t="shared" ref="L2803:L2808" si="243">E2803*C2803</f>
        <v>10000</v>
      </c>
      <c r="M2803" s="747"/>
      <c r="N2803" s="747">
        <f t="shared" ref="N2803:N2808" si="244">M2803+L2803</f>
        <v>10000</v>
      </c>
      <c r="O2803" s="748">
        <f t="shared" ref="O2803:O2808" si="245">N2803+K2803+H2803</f>
        <v>10000</v>
      </c>
      <c r="P2803" s="749"/>
    </row>
    <row r="2804" spans="1:89" ht="17.25" customHeight="1" x14ac:dyDescent="0.25">
      <c r="A2804" s="742"/>
      <c r="B2804" s="924" t="s">
        <v>2173</v>
      </c>
      <c r="C2804" s="699">
        <v>1</v>
      </c>
      <c r="D2804" s="762" t="s">
        <v>47</v>
      </c>
      <c r="E2804" s="700">
        <v>20000</v>
      </c>
      <c r="F2804" s="747"/>
      <c r="G2804" s="747"/>
      <c r="H2804" s="747"/>
      <c r="I2804" s="747"/>
      <c r="J2804" s="747"/>
      <c r="K2804" s="747"/>
      <c r="L2804" s="747">
        <f t="shared" si="243"/>
        <v>20000</v>
      </c>
      <c r="M2804" s="747"/>
      <c r="N2804" s="747">
        <f t="shared" si="244"/>
        <v>20000</v>
      </c>
      <c r="O2804" s="748">
        <f t="shared" si="245"/>
        <v>20000</v>
      </c>
      <c r="P2804" s="749"/>
    </row>
    <row r="2805" spans="1:89" ht="17.25" customHeight="1" x14ac:dyDescent="0.25">
      <c r="A2805" s="742"/>
      <c r="B2805" s="924" t="s">
        <v>2174</v>
      </c>
      <c r="C2805" s="699"/>
      <c r="D2805" s="762"/>
      <c r="E2805" s="700"/>
      <c r="F2805" s="747"/>
      <c r="G2805" s="747"/>
      <c r="H2805" s="747"/>
      <c r="I2805" s="747"/>
      <c r="J2805" s="747"/>
      <c r="K2805" s="747"/>
      <c r="L2805" s="747">
        <f t="shared" si="243"/>
        <v>0</v>
      </c>
      <c r="M2805" s="747"/>
      <c r="N2805" s="747">
        <f t="shared" si="244"/>
        <v>0</v>
      </c>
      <c r="O2805" s="748">
        <f t="shared" si="245"/>
        <v>0</v>
      </c>
      <c r="P2805" s="749"/>
    </row>
    <row r="2806" spans="1:89" ht="17.25" customHeight="1" x14ac:dyDescent="0.25">
      <c r="A2806" s="742"/>
      <c r="B2806" s="924" t="s">
        <v>2175</v>
      </c>
      <c r="C2806" s="699">
        <v>1</v>
      </c>
      <c r="D2806" s="762" t="s">
        <v>47</v>
      </c>
      <c r="E2806" s="700">
        <v>70000</v>
      </c>
      <c r="F2806" s="747"/>
      <c r="G2806" s="747"/>
      <c r="H2806" s="747"/>
      <c r="I2806" s="747"/>
      <c r="J2806" s="747"/>
      <c r="K2806" s="747"/>
      <c r="L2806" s="747">
        <f t="shared" si="243"/>
        <v>70000</v>
      </c>
      <c r="M2806" s="747"/>
      <c r="N2806" s="747">
        <f t="shared" si="244"/>
        <v>70000</v>
      </c>
      <c r="O2806" s="748">
        <f t="shared" si="245"/>
        <v>70000</v>
      </c>
      <c r="P2806" s="749"/>
    </row>
    <row r="2807" spans="1:89" ht="17.25" customHeight="1" x14ac:dyDescent="0.25">
      <c r="A2807" s="1103"/>
      <c r="B2807" s="925" t="s">
        <v>2281</v>
      </c>
      <c r="C2807" s="834">
        <v>1</v>
      </c>
      <c r="D2807" s="926" t="s">
        <v>16</v>
      </c>
      <c r="E2807" s="722">
        <v>300000</v>
      </c>
      <c r="F2807" s="721"/>
      <c r="G2807" s="721"/>
      <c r="H2807" s="721"/>
      <c r="I2807" s="721"/>
      <c r="J2807" s="721"/>
      <c r="K2807" s="721"/>
      <c r="L2807" s="714">
        <f t="shared" si="243"/>
        <v>300000</v>
      </c>
      <c r="M2807" s="721"/>
      <c r="N2807" s="714">
        <f t="shared" si="244"/>
        <v>300000</v>
      </c>
      <c r="O2807" s="753">
        <f t="shared" si="245"/>
        <v>300000</v>
      </c>
      <c r="P2807" s="754"/>
    </row>
    <row r="2808" spans="1:89" ht="17.25" customHeight="1" x14ac:dyDescent="0.25">
      <c r="A2808" s="1103"/>
      <c r="B2808" s="925" t="s">
        <v>2282</v>
      </c>
      <c r="C2808" s="834">
        <v>1</v>
      </c>
      <c r="D2808" s="926" t="s">
        <v>16</v>
      </c>
      <c r="E2808" s="722">
        <v>300000</v>
      </c>
      <c r="F2808" s="721"/>
      <c r="G2808" s="721"/>
      <c r="H2808" s="721"/>
      <c r="I2808" s="721"/>
      <c r="J2808" s="721"/>
      <c r="K2808" s="721"/>
      <c r="L2808" s="714">
        <f t="shared" si="243"/>
        <v>300000</v>
      </c>
      <c r="M2808" s="721"/>
      <c r="N2808" s="714">
        <f t="shared" si="244"/>
        <v>300000</v>
      </c>
      <c r="O2808" s="753">
        <f t="shared" si="245"/>
        <v>300000</v>
      </c>
      <c r="P2808" s="754"/>
    </row>
    <row r="2809" spans="1:89" ht="17.25" customHeight="1" x14ac:dyDescent="0.25">
      <c r="A2809" s="1666"/>
      <c r="B2809" s="1667"/>
      <c r="C2809" s="1668"/>
      <c r="D2809" s="1669"/>
      <c r="E2809" s="1670"/>
      <c r="F2809" s="1671"/>
      <c r="G2809" s="1671"/>
      <c r="H2809" s="1671"/>
      <c r="I2809" s="1671"/>
      <c r="J2809" s="1671"/>
      <c r="K2809" s="1671"/>
      <c r="L2809" s="1671"/>
      <c r="M2809" s="1671"/>
      <c r="N2809" s="1671"/>
      <c r="O2809" s="1672"/>
      <c r="P2809" s="754"/>
    </row>
    <row r="2810" spans="1:89" ht="17.25" customHeight="1" x14ac:dyDescent="0.25">
      <c r="A2810" s="1666"/>
      <c r="B2810" s="1667"/>
      <c r="C2810" s="1668"/>
      <c r="D2810" s="1669"/>
      <c r="E2810" s="1670"/>
      <c r="F2810" s="1671"/>
      <c r="G2810" s="1671"/>
      <c r="H2810" s="1671"/>
      <c r="I2810" s="1671"/>
      <c r="J2810" s="1671"/>
      <c r="K2810" s="1671"/>
      <c r="L2810" s="1671"/>
      <c r="M2810" s="1671"/>
      <c r="N2810" s="1671"/>
      <c r="O2810" s="1672"/>
      <c r="P2810" s="754"/>
    </row>
    <row r="2811" spans="1:89" s="672" customFormat="1" ht="48" customHeight="1" x14ac:dyDescent="0.25">
      <c r="A2811" s="1673">
        <v>38</v>
      </c>
      <c r="B2811" s="1674" t="s">
        <v>201</v>
      </c>
      <c r="C2811" s="1675"/>
      <c r="D2811" s="1256"/>
      <c r="E2811" s="1231"/>
      <c r="F2811" s="1231">
        <f>SUM(F2813:F3056)</f>
        <v>0</v>
      </c>
      <c r="G2811" s="1231">
        <f>SUM(G2813:G3056)</f>
        <v>0</v>
      </c>
      <c r="H2811" s="1231">
        <f>G2811+F2811</f>
        <v>0</v>
      </c>
      <c r="I2811" s="1231">
        <f>SUM(I2813:I3056)</f>
        <v>0</v>
      </c>
      <c r="J2811" s="1231">
        <f>SUM(J2813:J3056)</f>
        <v>270052100</v>
      </c>
      <c r="K2811" s="1231">
        <f>J2811+I2811</f>
        <v>270052100</v>
      </c>
      <c r="L2811" s="1231">
        <f>SUM(L2813:L3056)</f>
        <v>54616500</v>
      </c>
      <c r="M2811" s="1231">
        <f>SUM(M2813:M3056)</f>
        <v>0</v>
      </c>
      <c r="N2811" s="1231">
        <f>M2811+L2811</f>
        <v>54616500</v>
      </c>
      <c r="O2811" s="1232">
        <f>N2811+K2811+H2811</f>
        <v>324668600</v>
      </c>
      <c r="P2811" s="823"/>
      <c r="Q2811" s="1581"/>
      <c r="R2811" s="1581"/>
      <c r="S2811" s="1581"/>
      <c r="T2811" s="1581"/>
      <c r="U2811" s="1581"/>
      <c r="V2811" s="1581"/>
      <c r="W2811" s="1581"/>
      <c r="X2811" s="1581"/>
      <c r="Y2811" s="1581"/>
      <c r="Z2811" s="1581"/>
      <c r="AA2811" s="1581"/>
      <c r="AB2811" s="1581"/>
      <c r="AC2811" s="1581"/>
      <c r="AD2811" s="1581"/>
      <c r="AE2811" s="1581"/>
      <c r="AF2811" s="1581"/>
      <c r="AG2811" s="1581"/>
      <c r="AH2811" s="1581"/>
      <c r="AI2811" s="1581"/>
      <c r="AJ2811" s="1581"/>
      <c r="AK2811" s="1581"/>
      <c r="AL2811" s="1581"/>
      <c r="AM2811" s="1581"/>
      <c r="AN2811" s="1581"/>
      <c r="AO2811" s="1581"/>
      <c r="AP2811" s="1581"/>
      <c r="AQ2811" s="1581"/>
      <c r="AR2811" s="1581"/>
      <c r="AS2811" s="1581"/>
      <c r="AT2811" s="1581"/>
      <c r="AU2811" s="1581"/>
      <c r="AV2811" s="1581"/>
      <c r="AW2811" s="1581"/>
      <c r="AX2811" s="1581"/>
      <c r="AY2811" s="1581"/>
      <c r="AZ2811" s="1581"/>
      <c r="BA2811" s="1581"/>
      <c r="BB2811" s="1581"/>
      <c r="BC2811" s="1581"/>
      <c r="BD2811" s="1581"/>
      <c r="BE2811" s="1581"/>
      <c r="BF2811" s="1581"/>
      <c r="BG2811" s="1581"/>
      <c r="BH2811" s="1581"/>
      <c r="BI2811" s="1581"/>
      <c r="BJ2811" s="1581"/>
      <c r="BK2811" s="1581"/>
      <c r="BL2811" s="1581"/>
      <c r="BM2811" s="1581"/>
      <c r="BN2811" s="1581"/>
      <c r="BO2811" s="1581"/>
      <c r="BP2811" s="1581"/>
      <c r="BQ2811" s="1581"/>
      <c r="BR2811" s="1581"/>
      <c r="BS2811" s="1581"/>
      <c r="BT2811" s="1581"/>
      <c r="BU2811" s="1581"/>
      <c r="BV2811" s="1581"/>
      <c r="BW2811" s="1581"/>
      <c r="BX2811" s="1581"/>
      <c r="BY2811" s="1581"/>
      <c r="BZ2811" s="1581"/>
      <c r="CA2811" s="1581"/>
      <c r="CB2811" s="1581"/>
      <c r="CC2811" s="1581"/>
      <c r="CD2811" s="1581"/>
      <c r="CE2811" s="1581"/>
      <c r="CF2811" s="1581"/>
      <c r="CG2811" s="1581"/>
      <c r="CH2811" s="1581"/>
      <c r="CI2811" s="1581"/>
      <c r="CJ2811" s="1581"/>
      <c r="CK2811" s="1581"/>
    </row>
    <row r="2812" spans="1:89" ht="28.5" customHeight="1" x14ac:dyDescent="0.25">
      <c r="A2812" s="936"/>
      <c r="B2812" s="937"/>
      <c r="C2812" s="938"/>
      <c r="D2812" s="939"/>
      <c r="E2812" s="940"/>
      <c r="F2812" s="940"/>
      <c r="G2812" s="940"/>
      <c r="H2812" s="940"/>
      <c r="I2812" s="940"/>
      <c r="J2812" s="940"/>
      <c r="K2812" s="940"/>
      <c r="L2812" s="940"/>
      <c r="M2812" s="940"/>
      <c r="N2812" s="940"/>
      <c r="O2812" s="941">
        <f>SUM(O2813)</f>
        <v>0</v>
      </c>
      <c r="P2812" s="708"/>
    </row>
    <row r="2813" spans="1:89" s="1081" customFormat="1" ht="24.75" customHeight="1" x14ac:dyDescent="0.25">
      <c r="A2813" s="1676" t="s">
        <v>575</v>
      </c>
      <c r="B2813" s="1677" t="s">
        <v>1816</v>
      </c>
      <c r="C2813" s="1760"/>
      <c r="D2813" s="1678"/>
      <c r="E2813" s="1679"/>
      <c r="F2813" s="1680"/>
      <c r="G2813" s="1680"/>
      <c r="H2813" s="1680"/>
      <c r="I2813" s="1680"/>
      <c r="J2813" s="1680"/>
      <c r="K2813" s="1680"/>
      <c r="L2813" s="1078"/>
      <c r="M2813" s="1078"/>
      <c r="N2813" s="1078"/>
      <c r="O2813" s="1681"/>
      <c r="P2813" s="1682"/>
      <c r="Q2813" s="1829"/>
      <c r="R2813" s="1829"/>
      <c r="S2813" s="1829"/>
      <c r="T2813" s="1829"/>
      <c r="U2813" s="1829"/>
      <c r="V2813" s="1829"/>
      <c r="W2813" s="1829"/>
      <c r="X2813" s="1829"/>
      <c r="Y2813" s="1829"/>
      <c r="Z2813" s="1829"/>
      <c r="AA2813" s="1829"/>
      <c r="AB2813" s="1829"/>
      <c r="AC2813" s="1829"/>
      <c r="AD2813" s="1829"/>
      <c r="AE2813" s="1829"/>
      <c r="AF2813" s="1829"/>
      <c r="AG2813" s="1829"/>
      <c r="AH2813" s="1829"/>
      <c r="AI2813" s="1829"/>
      <c r="AJ2813" s="1829"/>
      <c r="AK2813" s="1829"/>
      <c r="AL2813" s="1829"/>
      <c r="AM2813" s="1829"/>
      <c r="AN2813" s="1829"/>
      <c r="AO2813" s="1829"/>
      <c r="AP2813" s="1829"/>
      <c r="AQ2813" s="1829"/>
      <c r="AR2813" s="1829"/>
      <c r="AS2813" s="1829"/>
      <c r="AT2813" s="1829"/>
      <c r="AU2813" s="1829"/>
      <c r="AV2813" s="1829"/>
      <c r="AW2813" s="1829"/>
      <c r="AX2813" s="1829"/>
      <c r="AY2813" s="1829"/>
      <c r="AZ2813" s="1829"/>
      <c r="BA2813" s="1829"/>
      <c r="BB2813" s="1829"/>
      <c r="BC2813" s="1829"/>
      <c r="BD2813" s="1829"/>
      <c r="BE2813" s="1829"/>
      <c r="BF2813" s="1829"/>
      <c r="BG2813" s="1829"/>
      <c r="BH2813" s="1829"/>
      <c r="BI2813" s="1829"/>
      <c r="BJ2813" s="1829"/>
      <c r="BK2813" s="1829"/>
      <c r="BL2813" s="1829"/>
      <c r="BM2813" s="1829"/>
      <c r="BN2813" s="1829"/>
      <c r="BO2813" s="1829"/>
      <c r="BP2813" s="1829"/>
      <c r="BQ2813" s="1829"/>
      <c r="BR2813" s="1829"/>
      <c r="BS2813" s="1829"/>
      <c r="BT2813" s="1829"/>
      <c r="BU2813" s="1829"/>
      <c r="BV2813" s="1829"/>
      <c r="BW2813" s="1829"/>
      <c r="BX2813" s="1829"/>
      <c r="BY2813" s="1829"/>
      <c r="BZ2813" s="1829"/>
      <c r="CA2813" s="1829"/>
      <c r="CB2813" s="1829"/>
      <c r="CC2813" s="1829"/>
      <c r="CD2813" s="1829"/>
      <c r="CE2813" s="1829"/>
      <c r="CF2813" s="1829"/>
      <c r="CG2813" s="1829"/>
      <c r="CH2813" s="1829"/>
      <c r="CI2813" s="1829"/>
      <c r="CJ2813" s="1829"/>
      <c r="CK2813" s="1829"/>
    </row>
    <row r="2814" spans="1:89" ht="11.25" customHeight="1" x14ac:dyDescent="0.25">
      <c r="A2814" s="764"/>
      <c r="B2814" s="905"/>
      <c r="C2814" s="905"/>
      <c r="D2814" s="880"/>
      <c r="E2814" s="714"/>
      <c r="F2814" s="714"/>
      <c r="G2814" s="714"/>
      <c r="H2814" s="714"/>
      <c r="I2814" s="714"/>
      <c r="J2814" s="714"/>
      <c r="K2814" s="714"/>
      <c r="L2814" s="714"/>
      <c r="M2814" s="714"/>
      <c r="N2814" s="714"/>
      <c r="O2814" s="753"/>
      <c r="P2814" s="754"/>
    </row>
    <row r="2815" spans="1:89" ht="23.25" customHeight="1" x14ac:dyDescent="0.25">
      <c r="A2815" s="764">
        <v>1</v>
      </c>
      <c r="B2815" s="1683" t="s">
        <v>202</v>
      </c>
      <c r="C2815" s="1420"/>
      <c r="D2815" s="716"/>
      <c r="E2815" s="768"/>
      <c r="F2815" s="768"/>
      <c r="G2815" s="768"/>
      <c r="H2815" s="768"/>
      <c r="I2815" s="768"/>
      <c r="J2815" s="768"/>
      <c r="K2815" s="768"/>
      <c r="L2815" s="768"/>
      <c r="M2815" s="768"/>
      <c r="N2815" s="768"/>
      <c r="O2815" s="769">
        <f>N2815+K2815+H2815</f>
        <v>0</v>
      </c>
      <c r="P2815" s="770"/>
    </row>
    <row r="2816" spans="1:89" ht="17.25" customHeight="1" x14ac:dyDescent="0.25">
      <c r="A2816" s="764"/>
      <c r="B2816" s="1684" t="s">
        <v>1581</v>
      </c>
      <c r="C2816" s="765">
        <v>1</v>
      </c>
      <c r="D2816" s="766" t="s">
        <v>16</v>
      </c>
      <c r="E2816" s="767">
        <v>15000000</v>
      </c>
      <c r="F2816" s="714"/>
      <c r="G2816" s="714"/>
      <c r="H2816" s="714"/>
      <c r="I2816" s="714"/>
      <c r="J2816" s="714">
        <f t="shared" ref="J2816:J2836" si="246">C2816*E2816</f>
        <v>15000000</v>
      </c>
      <c r="K2816" s="714">
        <f t="shared" ref="K2816:K2836" si="247">I2816+J2816</f>
        <v>15000000</v>
      </c>
      <c r="L2816" s="714"/>
      <c r="M2816" s="714"/>
      <c r="N2816" s="714"/>
      <c r="O2816" s="753">
        <f t="shared" ref="O2816:O2836" si="248">N2816+K2816+H2816</f>
        <v>15000000</v>
      </c>
      <c r="P2816" s="754"/>
    </row>
    <row r="2817" spans="1:16" ht="17.25" customHeight="1" x14ac:dyDescent="0.25">
      <c r="A2817" s="764"/>
      <c r="B2817" s="711" t="s">
        <v>979</v>
      </c>
      <c r="C2817" s="765">
        <v>1</v>
      </c>
      <c r="D2817" s="766" t="s">
        <v>16</v>
      </c>
      <c r="E2817" s="767">
        <v>15000000</v>
      </c>
      <c r="F2817" s="714"/>
      <c r="G2817" s="714"/>
      <c r="H2817" s="714"/>
      <c r="I2817" s="714"/>
      <c r="J2817" s="714">
        <f t="shared" si="246"/>
        <v>15000000</v>
      </c>
      <c r="K2817" s="714">
        <f t="shared" si="247"/>
        <v>15000000</v>
      </c>
      <c r="L2817" s="714"/>
      <c r="M2817" s="714"/>
      <c r="N2817" s="714"/>
      <c r="O2817" s="753">
        <f t="shared" si="248"/>
        <v>15000000</v>
      </c>
      <c r="P2817" s="754"/>
    </row>
    <row r="2818" spans="1:16" ht="21" customHeight="1" x14ac:dyDescent="0.25">
      <c r="A2818" s="764"/>
      <c r="B2818" s="711" t="s">
        <v>980</v>
      </c>
      <c r="C2818" s="765">
        <v>1</v>
      </c>
      <c r="D2818" s="766" t="s">
        <v>16</v>
      </c>
      <c r="E2818" s="767">
        <v>20000000</v>
      </c>
      <c r="F2818" s="714"/>
      <c r="G2818" s="714"/>
      <c r="H2818" s="714"/>
      <c r="I2818" s="714"/>
      <c r="J2818" s="714">
        <f t="shared" si="246"/>
        <v>20000000</v>
      </c>
      <c r="K2818" s="714">
        <f t="shared" si="247"/>
        <v>20000000</v>
      </c>
      <c r="L2818" s="714"/>
      <c r="M2818" s="714"/>
      <c r="N2818" s="714"/>
      <c r="O2818" s="753">
        <f t="shared" si="248"/>
        <v>20000000</v>
      </c>
      <c r="P2818" s="754"/>
    </row>
    <row r="2819" spans="1:16" ht="21" customHeight="1" x14ac:dyDescent="0.25">
      <c r="A2819" s="764"/>
      <c r="B2819" s="711" t="s">
        <v>981</v>
      </c>
      <c r="C2819" s="765">
        <v>1</v>
      </c>
      <c r="D2819" s="766" t="s">
        <v>16</v>
      </c>
      <c r="E2819" s="767">
        <v>30000000</v>
      </c>
      <c r="F2819" s="714"/>
      <c r="G2819" s="714"/>
      <c r="H2819" s="714"/>
      <c r="I2819" s="714"/>
      <c r="J2819" s="714">
        <f t="shared" si="246"/>
        <v>30000000</v>
      </c>
      <c r="K2819" s="714">
        <f t="shared" si="247"/>
        <v>30000000</v>
      </c>
      <c r="L2819" s="714"/>
      <c r="M2819" s="714"/>
      <c r="N2819" s="714"/>
      <c r="O2819" s="753">
        <f t="shared" si="248"/>
        <v>30000000</v>
      </c>
      <c r="P2819" s="754"/>
    </row>
    <row r="2820" spans="1:16" ht="21" customHeight="1" x14ac:dyDescent="0.25">
      <c r="A2820" s="764"/>
      <c r="B2820" s="711" t="s">
        <v>982</v>
      </c>
      <c r="C2820" s="765">
        <v>1</v>
      </c>
      <c r="D2820" s="766" t="s">
        <v>16</v>
      </c>
      <c r="E2820" s="767">
        <v>20000000</v>
      </c>
      <c r="F2820" s="714"/>
      <c r="G2820" s="714"/>
      <c r="H2820" s="714"/>
      <c r="I2820" s="714"/>
      <c r="J2820" s="714">
        <f t="shared" si="246"/>
        <v>20000000</v>
      </c>
      <c r="K2820" s="714">
        <f t="shared" si="247"/>
        <v>20000000</v>
      </c>
      <c r="L2820" s="714"/>
      <c r="M2820" s="714"/>
      <c r="N2820" s="714"/>
      <c r="O2820" s="753">
        <f t="shared" si="248"/>
        <v>20000000</v>
      </c>
      <c r="P2820" s="754"/>
    </row>
    <row r="2821" spans="1:16" ht="21" customHeight="1" x14ac:dyDescent="0.25">
      <c r="A2821" s="764"/>
      <c r="B2821" s="711" t="s">
        <v>983</v>
      </c>
      <c r="C2821" s="765">
        <v>1</v>
      </c>
      <c r="D2821" s="766" t="s">
        <v>16</v>
      </c>
      <c r="E2821" s="767">
        <v>20000000</v>
      </c>
      <c r="F2821" s="714"/>
      <c r="G2821" s="714"/>
      <c r="H2821" s="714"/>
      <c r="I2821" s="714"/>
      <c r="J2821" s="714">
        <f t="shared" si="246"/>
        <v>20000000</v>
      </c>
      <c r="K2821" s="714">
        <f t="shared" si="247"/>
        <v>20000000</v>
      </c>
      <c r="L2821" s="714"/>
      <c r="M2821" s="714"/>
      <c r="N2821" s="714"/>
      <c r="O2821" s="753">
        <f t="shared" si="248"/>
        <v>20000000</v>
      </c>
      <c r="P2821" s="754"/>
    </row>
    <row r="2822" spans="1:16" ht="21" customHeight="1" x14ac:dyDescent="0.25">
      <c r="A2822" s="764"/>
      <c r="B2822" s="674" t="s">
        <v>2285</v>
      </c>
      <c r="C2822" s="765">
        <v>1</v>
      </c>
      <c r="D2822" s="766" t="s">
        <v>16</v>
      </c>
      <c r="E2822" s="767">
        <v>2500000</v>
      </c>
      <c r="F2822" s="714"/>
      <c r="G2822" s="714"/>
      <c r="H2822" s="714"/>
      <c r="I2822" s="714"/>
      <c r="J2822" s="714">
        <f t="shared" ref="J2822" si="249">C2822*E2822</f>
        <v>2500000</v>
      </c>
      <c r="K2822" s="714">
        <f t="shared" ref="K2822" si="250">I2822+J2822</f>
        <v>2500000</v>
      </c>
      <c r="L2822" s="714"/>
      <c r="M2822" s="714"/>
      <c r="N2822" s="714"/>
      <c r="O2822" s="753">
        <f t="shared" ref="O2822" si="251">N2822+K2822+H2822</f>
        <v>2500000</v>
      </c>
      <c r="P2822" s="754"/>
    </row>
    <row r="2823" spans="1:16" ht="21" customHeight="1" x14ac:dyDescent="0.25">
      <c r="A2823" s="764"/>
      <c r="B2823" s="674"/>
      <c r="C2823" s="765"/>
      <c r="D2823" s="766"/>
      <c r="E2823" s="767"/>
      <c r="F2823" s="714"/>
      <c r="G2823" s="714"/>
      <c r="H2823" s="714"/>
      <c r="I2823" s="714"/>
      <c r="J2823" s="714"/>
      <c r="K2823" s="714"/>
      <c r="L2823" s="714"/>
      <c r="M2823" s="714"/>
      <c r="N2823" s="714"/>
      <c r="O2823" s="753"/>
      <c r="P2823" s="754"/>
    </row>
    <row r="2824" spans="1:16" ht="21" customHeight="1" x14ac:dyDescent="0.25">
      <c r="A2824" s="764"/>
      <c r="B2824" s="674" t="s">
        <v>984</v>
      </c>
      <c r="C2824" s="765"/>
      <c r="D2824" s="766"/>
      <c r="E2824" s="767"/>
      <c r="F2824" s="714"/>
      <c r="G2824" s="714"/>
      <c r="H2824" s="714"/>
      <c r="I2824" s="714"/>
      <c r="J2824" s="714">
        <f t="shared" si="246"/>
        <v>0</v>
      </c>
      <c r="K2824" s="714">
        <f t="shared" si="247"/>
        <v>0</v>
      </c>
      <c r="L2824" s="714"/>
      <c r="M2824" s="714"/>
      <c r="N2824" s="714"/>
      <c r="O2824" s="753">
        <f t="shared" si="248"/>
        <v>0</v>
      </c>
      <c r="P2824" s="754"/>
    </row>
    <row r="2825" spans="1:16" ht="22.5" customHeight="1" x14ac:dyDescent="0.25">
      <c r="A2825" s="764"/>
      <c r="B2825" s="674" t="s">
        <v>985</v>
      </c>
      <c r="C2825" s="765">
        <v>1</v>
      </c>
      <c r="D2825" s="766" t="s">
        <v>16</v>
      </c>
      <c r="E2825" s="767">
        <v>3500000</v>
      </c>
      <c r="F2825" s="714"/>
      <c r="G2825" s="714"/>
      <c r="H2825" s="714"/>
      <c r="I2825" s="714"/>
      <c r="J2825" s="714">
        <f t="shared" si="246"/>
        <v>3500000</v>
      </c>
      <c r="K2825" s="714">
        <f t="shared" si="247"/>
        <v>3500000</v>
      </c>
      <c r="L2825" s="714"/>
      <c r="M2825" s="714"/>
      <c r="N2825" s="714"/>
      <c r="O2825" s="753">
        <f t="shared" si="248"/>
        <v>3500000</v>
      </c>
      <c r="P2825" s="754"/>
    </row>
    <row r="2826" spans="1:16" ht="22.5" customHeight="1" x14ac:dyDescent="0.25">
      <c r="A2826" s="764"/>
      <c r="B2826" s="674" t="s">
        <v>986</v>
      </c>
      <c r="C2826" s="765">
        <v>1</v>
      </c>
      <c r="D2826" s="766" t="s">
        <v>16</v>
      </c>
      <c r="E2826" s="767">
        <v>1250000</v>
      </c>
      <c r="F2826" s="714"/>
      <c r="G2826" s="714"/>
      <c r="H2826" s="714"/>
      <c r="I2826" s="714"/>
      <c r="J2826" s="714">
        <f t="shared" si="246"/>
        <v>1250000</v>
      </c>
      <c r="K2826" s="714">
        <f t="shared" si="247"/>
        <v>1250000</v>
      </c>
      <c r="L2826" s="714"/>
      <c r="M2826" s="714"/>
      <c r="N2826" s="714"/>
      <c r="O2826" s="753">
        <f t="shared" si="248"/>
        <v>1250000</v>
      </c>
      <c r="P2826" s="754"/>
    </row>
    <row r="2827" spans="1:16" ht="44.25" customHeight="1" x14ac:dyDescent="0.25">
      <c r="A2827" s="764"/>
      <c r="B2827" s="674" t="s">
        <v>987</v>
      </c>
      <c r="C2827" s="765">
        <v>1</v>
      </c>
      <c r="D2827" s="766" t="s">
        <v>16</v>
      </c>
      <c r="E2827" s="767">
        <v>2000000</v>
      </c>
      <c r="F2827" s="714"/>
      <c r="G2827" s="714"/>
      <c r="H2827" s="714"/>
      <c r="I2827" s="714"/>
      <c r="J2827" s="714">
        <f t="shared" si="246"/>
        <v>2000000</v>
      </c>
      <c r="K2827" s="714">
        <f t="shared" si="247"/>
        <v>2000000</v>
      </c>
      <c r="L2827" s="714"/>
      <c r="M2827" s="714"/>
      <c r="N2827" s="714"/>
      <c r="O2827" s="753">
        <f t="shared" si="248"/>
        <v>2000000</v>
      </c>
      <c r="P2827" s="754"/>
    </row>
    <row r="2828" spans="1:16" ht="44.25" customHeight="1" x14ac:dyDescent="0.25">
      <c r="A2828" s="764"/>
      <c r="B2828" s="674" t="s">
        <v>988</v>
      </c>
      <c r="C2828" s="765">
        <v>1</v>
      </c>
      <c r="D2828" s="766" t="s">
        <v>16</v>
      </c>
      <c r="E2828" s="767">
        <v>5000000</v>
      </c>
      <c r="F2828" s="714"/>
      <c r="G2828" s="714"/>
      <c r="H2828" s="714"/>
      <c r="I2828" s="714"/>
      <c r="J2828" s="714">
        <f t="shared" si="246"/>
        <v>5000000</v>
      </c>
      <c r="K2828" s="714">
        <f t="shared" si="247"/>
        <v>5000000</v>
      </c>
      <c r="L2828" s="714"/>
      <c r="M2828" s="714"/>
      <c r="N2828" s="714"/>
      <c r="O2828" s="753">
        <f t="shared" si="248"/>
        <v>5000000</v>
      </c>
      <c r="P2828" s="754"/>
    </row>
    <row r="2829" spans="1:16" ht="29.25" customHeight="1" x14ac:dyDescent="0.25">
      <c r="A2829" s="764"/>
      <c r="B2829" s="674" t="s">
        <v>989</v>
      </c>
      <c r="C2829" s="765">
        <v>1</v>
      </c>
      <c r="D2829" s="766" t="s">
        <v>16</v>
      </c>
      <c r="E2829" s="767">
        <v>2000000</v>
      </c>
      <c r="F2829" s="714"/>
      <c r="G2829" s="714"/>
      <c r="H2829" s="714"/>
      <c r="I2829" s="714"/>
      <c r="J2829" s="714">
        <f t="shared" si="246"/>
        <v>2000000</v>
      </c>
      <c r="K2829" s="714">
        <f t="shared" si="247"/>
        <v>2000000</v>
      </c>
      <c r="L2829" s="714"/>
      <c r="M2829" s="714"/>
      <c r="N2829" s="714"/>
      <c r="O2829" s="753">
        <f t="shared" si="248"/>
        <v>2000000</v>
      </c>
      <c r="P2829" s="754"/>
    </row>
    <row r="2830" spans="1:16" ht="27.75" customHeight="1" x14ac:dyDescent="0.25">
      <c r="A2830" s="764"/>
      <c r="B2830" s="674" t="s">
        <v>990</v>
      </c>
      <c r="C2830" s="765">
        <v>1</v>
      </c>
      <c r="D2830" s="766" t="s">
        <v>16</v>
      </c>
      <c r="E2830" s="767">
        <v>3500000</v>
      </c>
      <c r="F2830" s="714"/>
      <c r="G2830" s="714"/>
      <c r="H2830" s="714"/>
      <c r="I2830" s="714"/>
      <c r="J2830" s="714">
        <f t="shared" si="246"/>
        <v>3500000</v>
      </c>
      <c r="K2830" s="714">
        <f t="shared" si="247"/>
        <v>3500000</v>
      </c>
      <c r="L2830" s="714"/>
      <c r="M2830" s="714"/>
      <c r="N2830" s="714"/>
      <c r="O2830" s="753">
        <f t="shared" si="248"/>
        <v>3500000</v>
      </c>
      <c r="P2830" s="754"/>
    </row>
    <row r="2831" spans="1:16" ht="27.75" customHeight="1" x14ac:dyDescent="0.25">
      <c r="A2831" s="764"/>
      <c r="B2831" s="674" t="s">
        <v>991</v>
      </c>
      <c r="C2831" s="765">
        <v>1</v>
      </c>
      <c r="D2831" s="766" t="s">
        <v>16</v>
      </c>
      <c r="E2831" s="767">
        <v>750000</v>
      </c>
      <c r="F2831" s="714"/>
      <c r="G2831" s="714"/>
      <c r="H2831" s="714"/>
      <c r="I2831" s="714"/>
      <c r="J2831" s="714">
        <f t="shared" si="246"/>
        <v>750000</v>
      </c>
      <c r="K2831" s="714">
        <f t="shared" si="247"/>
        <v>750000</v>
      </c>
      <c r="L2831" s="714"/>
      <c r="M2831" s="714"/>
      <c r="N2831" s="714"/>
      <c r="O2831" s="753">
        <f t="shared" si="248"/>
        <v>750000</v>
      </c>
      <c r="P2831" s="754"/>
    </row>
    <row r="2832" spans="1:16" ht="44.25" customHeight="1" x14ac:dyDescent="0.25">
      <c r="A2832" s="764"/>
      <c r="B2832" s="674" t="s">
        <v>992</v>
      </c>
      <c r="C2832" s="765">
        <v>1</v>
      </c>
      <c r="D2832" s="766" t="s">
        <v>16</v>
      </c>
      <c r="E2832" s="767">
        <v>1500000</v>
      </c>
      <c r="F2832" s="767"/>
      <c r="G2832" s="767"/>
      <c r="H2832" s="767"/>
      <c r="I2832" s="767"/>
      <c r="J2832" s="767">
        <f t="shared" si="246"/>
        <v>1500000</v>
      </c>
      <c r="K2832" s="767">
        <f t="shared" si="247"/>
        <v>1500000</v>
      </c>
      <c r="L2832" s="767"/>
      <c r="M2832" s="767"/>
      <c r="N2832" s="768"/>
      <c r="O2832" s="769">
        <f t="shared" si="248"/>
        <v>1500000</v>
      </c>
      <c r="P2832" s="770"/>
    </row>
    <row r="2833" spans="1:16" ht="33" customHeight="1" x14ac:dyDescent="0.25">
      <c r="A2833" s="764"/>
      <c r="B2833" s="674" t="s">
        <v>993</v>
      </c>
      <c r="C2833" s="765">
        <v>1</v>
      </c>
      <c r="D2833" s="766" t="s">
        <v>16</v>
      </c>
      <c r="E2833" s="767">
        <v>1000000</v>
      </c>
      <c r="F2833" s="767"/>
      <c r="G2833" s="767"/>
      <c r="H2833" s="767"/>
      <c r="I2833" s="767"/>
      <c r="J2833" s="767">
        <f t="shared" si="246"/>
        <v>1000000</v>
      </c>
      <c r="K2833" s="767">
        <f t="shared" si="247"/>
        <v>1000000</v>
      </c>
      <c r="L2833" s="767"/>
      <c r="M2833" s="767"/>
      <c r="N2833" s="768"/>
      <c r="O2833" s="769">
        <f t="shared" si="248"/>
        <v>1000000</v>
      </c>
      <c r="P2833" s="770"/>
    </row>
    <row r="2834" spans="1:16" ht="33" customHeight="1" x14ac:dyDescent="0.25">
      <c r="A2834" s="764"/>
      <c r="B2834" s="1685" t="s">
        <v>994</v>
      </c>
      <c r="C2834" s="765">
        <v>1</v>
      </c>
      <c r="D2834" s="766" t="s">
        <v>16</v>
      </c>
      <c r="E2834" s="767">
        <v>500000</v>
      </c>
      <c r="F2834" s="714"/>
      <c r="G2834" s="714"/>
      <c r="H2834" s="714"/>
      <c r="I2834" s="714"/>
      <c r="J2834" s="714">
        <f t="shared" si="246"/>
        <v>500000</v>
      </c>
      <c r="K2834" s="714">
        <f t="shared" si="247"/>
        <v>500000</v>
      </c>
      <c r="L2834" s="714"/>
      <c r="M2834" s="714"/>
      <c r="N2834" s="714"/>
      <c r="O2834" s="753">
        <f t="shared" si="248"/>
        <v>500000</v>
      </c>
      <c r="P2834" s="754"/>
    </row>
    <row r="2835" spans="1:16" ht="33" customHeight="1" x14ac:dyDescent="0.25">
      <c r="A2835" s="764"/>
      <c r="B2835" s="674" t="s">
        <v>1582</v>
      </c>
      <c r="C2835" s="765">
        <v>1</v>
      </c>
      <c r="D2835" s="766" t="s">
        <v>16</v>
      </c>
      <c r="E2835" s="1686">
        <f>5000000+5000000</f>
        <v>10000000</v>
      </c>
      <c r="F2835" s="714"/>
      <c r="G2835" s="714"/>
      <c r="H2835" s="714"/>
      <c r="I2835" s="714"/>
      <c r="J2835" s="714">
        <f t="shared" si="246"/>
        <v>10000000</v>
      </c>
      <c r="K2835" s="714">
        <f t="shared" si="247"/>
        <v>10000000</v>
      </c>
      <c r="L2835" s="714"/>
      <c r="M2835" s="714"/>
      <c r="N2835" s="714"/>
      <c r="O2835" s="753">
        <f t="shared" si="248"/>
        <v>10000000</v>
      </c>
      <c r="P2835" s="754"/>
    </row>
    <row r="2836" spans="1:16" ht="33" customHeight="1" x14ac:dyDescent="0.25">
      <c r="A2836" s="764"/>
      <c r="B2836" s="674" t="s">
        <v>1836</v>
      </c>
      <c r="C2836" s="765">
        <v>1</v>
      </c>
      <c r="D2836" s="766" t="s">
        <v>16</v>
      </c>
      <c r="E2836" s="1686">
        <f>8000000+7000000</f>
        <v>15000000</v>
      </c>
      <c r="F2836" s="714"/>
      <c r="G2836" s="714"/>
      <c r="H2836" s="714"/>
      <c r="I2836" s="714"/>
      <c r="J2836" s="714">
        <f t="shared" si="246"/>
        <v>15000000</v>
      </c>
      <c r="K2836" s="714">
        <f t="shared" si="247"/>
        <v>15000000</v>
      </c>
      <c r="L2836" s="714"/>
      <c r="M2836" s="714"/>
      <c r="N2836" s="714"/>
      <c r="O2836" s="753">
        <f t="shared" si="248"/>
        <v>15000000</v>
      </c>
      <c r="P2836" s="754"/>
    </row>
    <row r="2837" spans="1:16" ht="21" customHeight="1" x14ac:dyDescent="0.25">
      <c r="A2837" s="764"/>
      <c r="B2837" s="674"/>
      <c r="C2837" s="765"/>
      <c r="D2837" s="766"/>
      <c r="E2837" s="767"/>
      <c r="F2837" s="714"/>
      <c r="G2837" s="714"/>
      <c r="H2837" s="714"/>
      <c r="I2837" s="714"/>
      <c r="J2837" s="714"/>
      <c r="K2837" s="714"/>
      <c r="L2837" s="714"/>
      <c r="M2837" s="714"/>
      <c r="N2837" s="714"/>
      <c r="O2837" s="753"/>
      <c r="P2837" s="754"/>
    </row>
    <row r="2838" spans="1:16" ht="21" customHeight="1" x14ac:dyDescent="0.25">
      <c r="A2838" s="764"/>
      <c r="B2838" s="674" t="s">
        <v>1058</v>
      </c>
      <c r="C2838" s="765"/>
      <c r="D2838" s="766"/>
      <c r="E2838" s="767"/>
      <c r="F2838" s="714"/>
      <c r="G2838" s="714"/>
      <c r="H2838" s="714"/>
      <c r="I2838" s="714"/>
      <c r="J2838" s="714"/>
      <c r="K2838" s="714"/>
      <c r="L2838" s="714"/>
      <c r="M2838" s="714"/>
      <c r="N2838" s="714"/>
      <c r="O2838" s="753"/>
      <c r="P2838" s="754"/>
    </row>
    <row r="2839" spans="1:16" ht="39.75" customHeight="1" x14ac:dyDescent="0.25">
      <c r="A2839" s="764">
        <v>1</v>
      </c>
      <c r="B2839" s="674" t="s">
        <v>1583</v>
      </c>
      <c r="C2839" s="765">
        <v>1</v>
      </c>
      <c r="D2839" s="766" t="s">
        <v>16</v>
      </c>
      <c r="E2839" s="767">
        <f>700000+100000+200000-200000</f>
        <v>800000</v>
      </c>
      <c r="F2839" s="714"/>
      <c r="G2839" s="714"/>
      <c r="H2839" s="714"/>
      <c r="I2839" s="714"/>
      <c r="J2839" s="714"/>
      <c r="K2839" s="714"/>
      <c r="L2839" s="714">
        <f t="shared" ref="L2839:L2848" si="252">E2839*C2839</f>
        <v>800000</v>
      </c>
      <c r="M2839" s="714"/>
      <c r="N2839" s="714">
        <f t="shared" ref="N2839:N2848" si="253">M2839+L2839</f>
        <v>800000</v>
      </c>
      <c r="O2839" s="753">
        <f t="shared" ref="O2839:O2848" si="254">N2839+K2839+H2839</f>
        <v>800000</v>
      </c>
      <c r="P2839" s="754"/>
    </row>
    <row r="2840" spans="1:16" ht="39.75" customHeight="1" x14ac:dyDescent="0.25">
      <c r="A2840" s="764">
        <v>2</v>
      </c>
      <c r="B2840" s="674" t="s">
        <v>996</v>
      </c>
      <c r="C2840" s="765">
        <v>1</v>
      </c>
      <c r="D2840" s="766" t="s">
        <v>16</v>
      </c>
      <c r="E2840" s="767">
        <v>700000</v>
      </c>
      <c r="F2840" s="714"/>
      <c r="G2840" s="714"/>
      <c r="H2840" s="714"/>
      <c r="I2840" s="714"/>
      <c r="J2840" s="714"/>
      <c r="K2840" s="714"/>
      <c r="L2840" s="714">
        <f t="shared" si="252"/>
        <v>700000</v>
      </c>
      <c r="M2840" s="714"/>
      <c r="N2840" s="714">
        <f t="shared" si="253"/>
        <v>700000</v>
      </c>
      <c r="O2840" s="753">
        <f t="shared" si="254"/>
        <v>700000</v>
      </c>
      <c r="P2840" s="754"/>
    </row>
    <row r="2841" spans="1:16" ht="39.75" customHeight="1" x14ac:dyDescent="0.25">
      <c r="A2841" s="764">
        <v>3</v>
      </c>
      <c r="B2841" s="674" t="s">
        <v>1584</v>
      </c>
      <c r="C2841" s="765">
        <v>1</v>
      </c>
      <c r="D2841" s="766" t="s">
        <v>16</v>
      </c>
      <c r="E2841" s="767">
        <f>700000+200000+600000-650000+25000</f>
        <v>875000</v>
      </c>
      <c r="F2841" s="714"/>
      <c r="G2841" s="714"/>
      <c r="H2841" s="714"/>
      <c r="I2841" s="714"/>
      <c r="J2841" s="714"/>
      <c r="K2841" s="714"/>
      <c r="L2841" s="714">
        <f t="shared" si="252"/>
        <v>875000</v>
      </c>
      <c r="M2841" s="714"/>
      <c r="N2841" s="714">
        <f t="shared" si="253"/>
        <v>875000</v>
      </c>
      <c r="O2841" s="753">
        <f t="shared" si="254"/>
        <v>875000</v>
      </c>
      <c r="P2841" s="754"/>
    </row>
    <row r="2842" spans="1:16" ht="39.75" customHeight="1" x14ac:dyDescent="0.25">
      <c r="A2842" s="764">
        <v>4</v>
      </c>
      <c r="B2842" s="674" t="s">
        <v>997</v>
      </c>
      <c r="C2842" s="765">
        <v>1</v>
      </c>
      <c r="D2842" s="766" t="s">
        <v>16</v>
      </c>
      <c r="E2842" s="767">
        <v>700000</v>
      </c>
      <c r="F2842" s="714"/>
      <c r="G2842" s="714"/>
      <c r="H2842" s="714"/>
      <c r="I2842" s="714"/>
      <c r="J2842" s="714"/>
      <c r="K2842" s="714"/>
      <c r="L2842" s="714">
        <f t="shared" si="252"/>
        <v>700000</v>
      </c>
      <c r="M2842" s="714"/>
      <c r="N2842" s="714">
        <f t="shared" si="253"/>
        <v>700000</v>
      </c>
      <c r="O2842" s="753">
        <f t="shared" si="254"/>
        <v>700000</v>
      </c>
      <c r="P2842" s="754"/>
    </row>
    <row r="2843" spans="1:16" ht="39.75" customHeight="1" x14ac:dyDescent="0.25">
      <c r="A2843" s="764">
        <v>5</v>
      </c>
      <c r="B2843" s="674" t="s">
        <v>1585</v>
      </c>
      <c r="C2843" s="765">
        <v>1</v>
      </c>
      <c r="D2843" s="766" t="s">
        <v>16</v>
      </c>
      <c r="E2843" s="767">
        <v>700000</v>
      </c>
      <c r="F2843" s="714"/>
      <c r="G2843" s="714"/>
      <c r="H2843" s="714"/>
      <c r="I2843" s="714"/>
      <c r="J2843" s="714"/>
      <c r="K2843" s="714"/>
      <c r="L2843" s="714">
        <f t="shared" si="252"/>
        <v>700000</v>
      </c>
      <c r="M2843" s="714"/>
      <c r="N2843" s="714">
        <f t="shared" si="253"/>
        <v>700000</v>
      </c>
      <c r="O2843" s="753">
        <f t="shared" si="254"/>
        <v>700000</v>
      </c>
      <c r="P2843" s="754"/>
    </row>
    <row r="2844" spans="1:16" ht="39.75" customHeight="1" x14ac:dyDescent="0.25">
      <c r="A2844" s="764">
        <v>6</v>
      </c>
      <c r="B2844" s="674" t="s">
        <v>998</v>
      </c>
      <c r="C2844" s="765">
        <v>1</v>
      </c>
      <c r="D2844" s="766" t="s">
        <v>16</v>
      </c>
      <c r="E2844" s="767">
        <v>700000</v>
      </c>
      <c r="F2844" s="714"/>
      <c r="G2844" s="714"/>
      <c r="H2844" s="714"/>
      <c r="I2844" s="714"/>
      <c r="J2844" s="714"/>
      <c r="K2844" s="714"/>
      <c r="L2844" s="714">
        <f t="shared" si="252"/>
        <v>700000</v>
      </c>
      <c r="M2844" s="714"/>
      <c r="N2844" s="714">
        <f t="shared" si="253"/>
        <v>700000</v>
      </c>
      <c r="O2844" s="753">
        <f t="shared" si="254"/>
        <v>700000</v>
      </c>
      <c r="P2844" s="754"/>
    </row>
    <row r="2845" spans="1:16" ht="21" customHeight="1" x14ac:dyDescent="0.25">
      <c r="A2845" s="764">
        <v>7</v>
      </c>
      <c r="B2845" s="674" t="s">
        <v>1802</v>
      </c>
      <c r="C2845" s="765">
        <v>1</v>
      </c>
      <c r="D2845" s="766" t="s">
        <v>16</v>
      </c>
      <c r="E2845" s="767">
        <f>700000-200000</f>
        <v>500000</v>
      </c>
      <c r="F2845" s="767"/>
      <c r="G2845" s="767"/>
      <c r="H2845" s="767"/>
      <c r="I2845" s="767"/>
      <c r="J2845" s="767"/>
      <c r="K2845" s="767"/>
      <c r="L2845" s="767">
        <f t="shared" si="252"/>
        <v>500000</v>
      </c>
      <c r="M2845" s="767"/>
      <c r="N2845" s="768">
        <f t="shared" si="253"/>
        <v>500000</v>
      </c>
      <c r="O2845" s="769">
        <f t="shared" si="254"/>
        <v>500000</v>
      </c>
      <c r="P2845" s="770"/>
    </row>
    <row r="2846" spans="1:16" ht="19.5" customHeight="1" x14ac:dyDescent="0.25">
      <c r="A2846" s="764">
        <v>8</v>
      </c>
      <c r="B2846" s="674" t="s">
        <v>1803</v>
      </c>
      <c r="C2846" s="765">
        <v>1</v>
      </c>
      <c r="D2846" s="766" t="s">
        <v>16</v>
      </c>
      <c r="E2846" s="767">
        <v>700000</v>
      </c>
      <c r="F2846" s="767"/>
      <c r="G2846" s="767"/>
      <c r="H2846" s="767"/>
      <c r="I2846" s="767"/>
      <c r="J2846" s="767"/>
      <c r="K2846" s="767"/>
      <c r="L2846" s="767">
        <f t="shared" si="252"/>
        <v>700000</v>
      </c>
      <c r="M2846" s="767"/>
      <c r="N2846" s="768">
        <f t="shared" si="253"/>
        <v>700000</v>
      </c>
      <c r="O2846" s="769">
        <f t="shared" si="254"/>
        <v>700000</v>
      </c>
      <c r="P2846" s="770"/>
    </row>
    <row r="2847" spans="1:16" ht="19.5" customHeight="1" x14ac:dyDescent="0.25">
      <c r="A2847" s="764">
        <v>9</v>
      </c>
      <c r="B2847" s="674" t="s">
        <v>1804</v>
      </c>
      <c r="C2847" s="765">
        <v>1</v>
      </c>
      <c r="D2847" s="766" t="s">
        <v>16</v>
      </c>
      <c r="E2847" s="767">
        <f>700000+800000-700000</f>
        <v>800000</v>
      </c>
      <c r="F2847" s="767"/>
      <c r="G2847" s="767"/>
      <c r="H2847" s="767"/>
      <c r="I2847" s="767"/>
      <c r="J2847" s="767"/>
      <c r="K2847" s="767"/>
      <c r="L2847" s="767">
        <f t="shared" si="252"/>
        <v>800000</v>
      </c>
      <c r="M2847" s="767"/>
      <c r="N2847" s="768">
        <f t="shared" si="253"/>
        <v>800000</v>
      </c>
      <c r="O2847" s="769">
        <f t="shared" si="254"/>
        <v>800000</v>
      </c>
      <c r="P2847" s="770"/>
    </row>
    <row r="2848" spans="1:16" ht="19.5" customHeight="1" x14ac:dyDescent="0.25">
      <c r="A2848" s="764">
        <v>10</v>
      </c>
      <c r="B2848" s="674" t="s">
        <v>1805</v>
      </c>
      <c r="C2848" s="765">
        <v>1</v>
      </c>
      <c r="D2848" s="766" t="s">
        <v>16</v>
      </c>
      <c r="E2848" s="767">
        <f>700000+100000</f>
        <v>800000</v>
      </c>
      <c r="F2848" s="767"/>
      <c r="G2848" s="767"/>
      <c r="H2848" s="767"/>
      <c r="I2848" s="767"/>
      <c r="J2848" s="767"/>
      <c r="K2848" s="767"/>
      <c r="L2848" s="767">
        <f t="shared" si="252"/>
        <v>800000</v>
      </c>
      <c r="M2848" s="767"/>
      <c r="N2848" s="768">
        <f t="shared" si="253"/>
        <v>800000</v>
      </c>
      <c r="O2848" s="769">
        <f t="shared" si="254"/>
        <v>800000</v>
      </c>
      <c r="P2848" s="770"/>
    </row>
    <row r="2849" spans="1:89" ht="19.5" customHeight="1" x14ac:dyDescent="0.25">
      <c r="A2849" s="764">
        <v>11</v>
      </c>
      <c r="B2849" s="674" t="s">
        <v>1842</v>
      </c>
      <c r="C2849" s="765">
        <v>1</v>
      </c>
      <c r="D2849" s="766" t="s">
        <v>16</v>
      </c>
      <c r="E2849" s="767">
        <f>700000-200000</f>
        <v>500000</v>
      </c>
      <c r="F2849" s="767"/>
      <c r="G2849" s="767"/>
      <c r="H2849" s="767"/>
      <c r="I2849" s="767"/>
      <c r="J2849" s="767"/>
      <c r="K2849" s="767"/>
      <c r="L2849" s="767">
        <f>E2849*C2849</f>
        <v>500000</v>
      </c>
      <c r="M2849" s="767"/>
      <c r="N2849" s="768">
        <f>M2849+L2849</f>
        <v>500000</v>
      </c>
      <c r="O2849" s="769">
        <f>N2849+K2849+H2849</f>
        <v>500000</v>
      </c>
      <c r="P2849" s="770"/>
    </row>
    <row r="2850" spans="1:89" ht="15" x14ac:dyDescent="0.25">
      <c r="A2850" s="764"/>
      <c r="B2850" s="724"/>
      <c r="C2850" s="765"/>
      <c r="D2850" s="766"/>
      <c r="E2850" s="767"/>
      <c r="F2850" s="714"/>
      <c r="G2850" s="714"/>
      <c r="H2850" s="714"/>
      <c r="I2850" s="714"/>
      <c r="J2850" s="714"/>
      <c r="K2850" s="714"/>
      <c r="L2850" s="714"/>
      <c r="M2850" s="714"/>
      <c r="N2850" s="714"/>
      <c r="O2850" s="753"/>
      <c r="P2850" s="754"/>
    </row>
    <row r="2851" spans="1:89" ht="21" customHeight="1" x14ac:dyDescent="0.25">
      <c r="A2851" s="764"/>
      <c r="B2851" s="674" t="s">
        <v>999</v>
      </c>
      <c r="C2851" s="765"/>
      <c r="D2851" s="766"/>
      <c r="E2851" s="767"/>
      <c r="F2851" s="714"/>
      <c r="G2851" s="714"/>
      <c r="H2851" s="714"/>
      <c r="I2851" s="714"/>
      <c r="J2851" s="714"/>
      <c r="K2851" s="714"/>
      <c r="L2851" s="714"/>
      <c r="M2851" s="714"/>
      <c r="N2851" s="714"/>
      <c r="O2851" s="753"/>
      <c r="P2851" s="754"/>
    </row>
    <row r="2852" spans="1:89" ht="21" customHeight="1" x14ac:dyDescent="0.25">
      <c r="A2852" s="764"/>
      <c r="B2852" s="674" t="s">
        <v>1000</v>
      </c>
      <c r="C2852" s="765">
        <v>1</v>
      </c>
      <c r="D2852" s="766" t="s">
        <v>16</v>
      </c>
      <c r="E2852" s="767">
        <v>300000</v>
      </c>
      <c r="F2852" s="714"/>
      <c r="G2852" s="714"/>
      <c r="H2852" s="714"/>
      <c r="I2852" s="714"/>
      <c r="J2852" s="714">
        <f t="shared" ref="J2852:J2862" si="255">C2852*E2852</f>
        <v>300000</v>
      </c>
      <c r="K2852" s="714">
        <f t="shared" ref="K2852:K2862" si="256">I2852+J2852</f>
        <v>300000</v>
      </c>
      <c r="L2852" s="714"/>
      <c r="M2852" s="714"/>
      <c r="N2852" s="714"/>
      <c r="O2852" s="753">
        <f t="shared" ref="O2852:O2862" si="257">N2852+K2852+H2852</f>
        <v>300000</v>
      </c>
      <c r="P2852" s="754"/>
    </row>
    <row r="2853" spans="1:89" ht="21" customHeight="1" x14ac:dyDescent="0.25">
      <c r="A2853" s="764"/>
      <c r="B2853" s="674" t="s">
        <v>1001</v>
      </c>
      <c r="C2853" s="765">
        <v>1</v>
      </c>
      <c r="D2853" s="766" t="s">
        <v>16</v>
      </c>
      <c r="E2853" s="767">
        <v>500000</v>
      </c>
      <c r="F2853" s="714"/>
      <c r="G2853" s="714"/>
      <c r="H2853" s="714"/>
      <c r="I2853" s="714"/>
      <c r="J2853" s="714">
        <f t="shared" si="255"/>
        <v>500000</v>
      </c>
      <c r="K2853" s="714">
        <f t="shared" si="256"/>
        <v>500000</v>
      </c>
      <c r="L2853" s="714"/>
      <c r="M2853" s="714"/>
      <c r="N2853" s="714"/>
      <c r="O2853" s="753">
        <f t="shared" si="257"/>
        <v>500000</v>
      </c>
      <c r="P2853" s="754"/>
    </row>
    <row r="2854" spans="1:89" ht="21" customHeight="1" x14ac:dyDescent="0.25">
      <c r="A2854" s="764"/>
      <c r="B2854" s="674" t="s">
        <v>1002</v>
      </c>
      <c r="C2854" s="765">
        <v>1</v>
      </c>
      <c r="D2854" s="766" t="s">
        <v>16</v>
      </c>
      <c r="E2854" s="767">
        <v>200000</v>
      </c>
      <c r="F2854" s="767"/>
      <c r="G2854" s="767"/>
      <c r="H2854" s="767"/>
      <c r="I2854" s="767"/>
      <c r="J2854" s="767">
        <f t="shared" si="255"/>
        <v>200000</v>
      </c>
      <c r="K2854" s="767">
        <f t="shared" si="256"/>
        <v>200000</v>
      </c>
      <c r="L2854" s="767"/>
      <c r="M2854" s="767"/>
      <c r="N2854" s="768"/>
      <c r="O2854" s="769">
        <f t="shared" si="257"/>
        <v>200000</v>
      </c>
      <c r="P2854" s="770"/>
    </row>
    <row r="2855" spans="1:89" ht="21" customHeight="1" x14ac:dyDescent="0.25">
      <c r="A2855" s="764"/>
      <c r="B2855" s="771" t="s">
        <v>1003</v>
      </c>
      <c r="C2855" s="765">
        <v>1</v>
      </c>
      <c r="D2855" s="766" t="s">
        <v>16</v>
      </c>
      <c r="E2855" s="767">
        <v>300000</v>
      </c>
      <c r="F2855" s="767"/>
      <c r="G2855" s="767"/>
      <c r="H2855" s="767"/>
      <c r="I2855" s="767"/>
      <c r="J2855" s="767">
        <f t="shared" si="255"/>
        <v>300000</v>
      </c>
      <c r="K2855" s="767">
        <f t="shared" si="256"/>
        <v>300000</v>
      </c>
      <c r="L2855" s="767"/>
      <c r="M2855" s="767"/>
      <c r="N2855" s="768"/>
      <c r="O2855" s="769">
        <f t="shared" si="257"/>
        <v>300000</v>
      </c>
      <c r="P2855" s="770"/>
    </row>
    <row r="2856" spans="1:89" ht="30" customHeight="1" x14ac:dyDescent="0.25">
      <c r="A2856" s="764"/>
      <c r="B2856" s="677" t="s">
        <v>1004</v>
      </c>
      <c r="C2856" s="765">
        <v>1</v>
      </c>
      <c r="D2856" s="766" t="s">
        <v>16</v>
      </c>
      <c r="E2856" s="767">
        <v>200000</v>
      </c>
      <c r="F2856" s="714"/>
      <c r="G2856" s="714"/>
      <c r="H2856" s="714"/>
      <c r="I2856" s="714"/>
      <c r="J2856" s="714">
        <f t="shared" si="255"/>
        <v>200000</v>
      </c>
      <c r="K2856" s="714">
        <f t="shared" si="256"/>
        <v>200000</v>
      </c>
      <c r="L2856" s="714"/>
      <c r="M2856" s="714"/>
      <c r="N2856" s="714"/>
      <c r="O2856" s="753">
        <f t="shared" si="257"/>
        <v>200000</v>
      </c>
      <c r="P2856" s="754"/>
    </row>
    <row r="2857" spans="1:89" ht="36" customHeight="1" x14ac:dyDescent="0.25">
      <c r="A2857" s="764"/>
      <c r="B2857" s="677"/>
      <c r="C2857" s="765"/>
      <c r="D2857" s="766"/>
      <c r="E2857" s="767"/>
      <c r="F2857" s="714"/>
      <c r="G2857" s="714"/>
      <c r="H2857" s="714"/>
      <c r="I2857" s="714"/>
      <c r="J2857" s="714"/>
      <c r="K2857" s="714"/>
      <c r="L2857" s="714"/>
      <c r="M2857" s="714"/>
      <c r="N2857" s="714"/>
      <c r="O2857" s="753"/>
      <c r="P2857" s="754"/>
    </row>
    <row r="2858" spans="1:89" s="1081" customFormat="1" ht="24.75" customHeight="1" x14ac:dyDescent="0.25">
      <c r="A2858" s="1687" t="s">
        <v>1726</v>
      </c>
      <c r="B2858" s="1688" t="s">
        <v>1005</v>
      </c>
      <c r="C2858" s="1689"/>
      <c r="D2858" s="1076"/>
      <c r="E2858" s="1077"/>
      <c r="F2858" s="1078"/>
      <c r="G2858" s="1078"/>
      <c r="H2858" s="1078"/>
      <c r="I2858" s="1078"/>
      <c r="J2858" s="1078"/>
      <c r="K2858" s="1078"/>
      <c r="L2858" s="1078"/>
      <c r="M2858" s="1078"/>
      <c r="N2858" s="1078"/>
      <c r="O2858" s="1079"/>
      <c r="P2858" s="1080"/>
      <c r="Q2858" s="1829"/>
      <c r="R2858" s="1829"/>
      <c r="S2858" s="1829"/>
      <c r="T2858" s="1829"/>
      <c r="U2858" s="1829"/>
      <c r="V2858" s="1829"/>
      <c r="W2858" s="1829"/>
      <c r="X2858" s="1829"/>
      <c r="Y2858" s="1829"/>
      <c r="Z2858" s="1829"/>
      <c r="AA2858" s="1829"/>
      <c r="AB2858" s="1829"/>
      <c r="AC2858" s="1829"/>
      <c r="AD2858" s="1829"/>
      <c r="AE2858" s="1829"/>
      <c r="AF2858" s="1829"/>
      <c r="AG2858" s="1829"/>
      <c r="AH2858" s="1829"/>
      <c r="AI2858" s="1829"/>
      <c r="AJ2858" s="1829"/>
      <c r="AK2858" s="1829"/>
      <c r="AL2858" s="1829"/>
      <c r="AM2858" s="1829"/>
      <c r="AN2858" s="1829"/>
      <c r="AO2858" s="1829"/>
      <c r="AP2858" s="1829"/>
      <c r="AQ2858" s="1829"/>
      <c r="AR2858" s="1829"/>
      <c r="AS2858" s="1829"/>
      <c r="AT2858" s="1829"/>
      <c r="AU2858" s="1829"/>
      <c r="AV2858" s="1829"/>
      <c r="AW2858" s="1829"/>
      <c r="AX2858" s="1829"/>
      <c r="AY2858" s="1829"/>
      <c r="AZ2858" s="1829"/>
      <c r="BA2858" s="1829"/>
      <c r="BB2858" s="1829"/>
      <c r="BC2858" s="1829"/>
      <c r="BD2858" s="1829"/>
      <c r="BE2858" s="1829"/>
      <c r="BF2858" s="1829"/>
      <c r="BG2858" s="1829"/>
      <c r="BH2858" s="1829"/>
      <c r="BI2858" s="1829"/>
      <c r="BJ2858" s="1829"/>
      <c r="BK2858" s="1829"/>
      <c r="BL2858" s="1829"/>
      <c r="BM2858" s="1829"/>
      <c r="BN2858" s="1829"/>
      <c r="BO2858" s="1829"/>
      <c r="BP2858" s="1829"/>
      <c r="BQ2858" s="1829"/>
      <c r="BR2858" s="1829"/>
      <c r="BS2858" s="1829"/>
      <c r="BT2858" s="1829"/>
      <c r="BU2858" s="1829"/>
      <c r="BV2858" s="1829"/>
      <c r="BW2858" s="1829"/>
      <c r="BX2858" s="1829"/>
      <c r="BY2858" s="1829"/>
      <c r="BZ2858" s="1829"/>
      <c r="CA2858" s="1829"/>
      <c r="CB2858" s="1829"/>
      <c r="CC2858" s="1829"/>
      <c r="CD2858" s="1829"/>
      <c r="CE2858" s="1829"/>
      <c r="CF2858" s="1829"/>
      <c r="CG2858" s="1829"/>
      <c r="CH2858" s="1829"/>
      <c r="CI2858" s="1829"/>
      <c r="CJ2858" s="1829"/>
      <c r="CK2858" s="1829"/>
    </row>
    <row r="2859" spans="1:89" ht="36" customHeight="1" x14ac:dyDescent="0.25">
      <c r="A2859" s="764"/>
      <c r="B2859" s="677" t="s">
        <v>984</v>
      </c>
      <c r="C2859" s="765"/>
      <c r="D2859" s="766"/>
      <c r="E2859" s="767"/>
      <c r="F2859" s="714"/>
      <c r="G2859" s="714"/>
      <c r="H2859" s="714"/>
      <c r="I2859" s="714"/>
      <c r="J2859" s="714">
        <f t="shared" si="255"/>
        <v>0</v>
      </c>
      <c r="K2859" s="714">
        <f t="shared" si="256"/>
        <v>0</v>
      </c>
      <c r="L2859" s="714"/>
      <c r="M2859" s="714"/>
      <c r="N2859" s="714"/>
      <c r="O2859" s="753">
        <f t="shared" si="257"/>
        <v>0</v>
      </c>
      <c r="P2859" s="754"/>
    </row>
    <row r="2860" spans="1:89" ht="21" customHeight="1" x14ac:dyDescent="0.25">
      <c r="A2860" s="764">
        <v>1</v>
      </c>
      <c r="B2860" s="771" t="s">
        <v>1006</v>
      </c>
      <c r="C2860" s="765">
        <v>1</v>
      </c>
      <c r="D2860" s="766" t="s">
        <v>16</v>
      </c>
      <c r="E2860" s="767">
        <v>200000</v>
      </c>
      <c r="F2860" s="714"/>
      <c r="G2860" s="714"/>
      <c r="H2860" s="714"/>
      <c r="I2860" s="714"/>
      <c r="J2860" s="714">
        <f t="shared" si="255"/>
        <v>200000</v>
      </c>
      <c r="K2860" s="714">
        <f t="shared" si="256"/>
        <v>200000</v>
      </c>
      <c r="L2860" s="714"/>
      <c r="M2860" s="714"/>
      <c r="N2860" s="714"/>
      <c r="O2860" s="753">
        <f t="shared" si="257"/>
        <v>200000</v>
      </c>
      <c r="P2860" s="754"/>
    </row>
    <row r="2861" spans="1:89" ht="21" customHeight="1" x14ac:dyDescent="0.25">
      <c r="A2861" s="764">
        <v>2</v>
      </c>
      <c r="B2861" s="771" t="s">
        <v>1586</v>
      </c>
      <c r="C2861" s="765">
        <v>1</v>
      </c>
      <c r="D2861" s="766" t="s">
        <v>16</v>
      </c>
      <c r="E2861" s="767">
        <v>1000000</v>
      </c>
      <c r="F2861" s="714"/>
      <c r="G2861" s="714"/>
      <c r="H2861" s="714"/>
      <c r="I2861" s="714"/>
      <c r="J2861" s="714">
        <f t="shared" si="255"/>
        <v>1000000</v>
      </c>
      <c r="K2861" s="714">
        <f t="shared" si="256"/>
        <v>1000000</v>
      </c>
      <c r="L2861" s="714"/>
      <c r="M2861" s="714"/>
      <c r="N2861" s="714"/>
      <c r="O2861" s="753">
        <f t="shared" si="257"/>
        <v>1000000</v>
      </c>
      <c r="P2861" s="754"/>
    </row>
    <row r="2862" spans="1:89" ht="21" customHeight="1" x14ac:dyDescent="0.25">
      <c r="A2862" s="764">
        <v>3</v>
      </c>
      <c r="B2862" s="711" t="s">
        <v>203</v>
      </c>
      <c r="C2862" s="765">
        <v>1</v>
      </c>
      <c r="D2862" s="766" t="s">
        <v>16</v>
      </c>
      <c r="E2862" s="767">
        <v>200000</v>
      </c>
      <c r="F2862" s="714"/>
      <c r="G2862" s="714"/>
      <c r="H2862" s="714"/>
      <c r="I2862" s="714"/>
      <c r="J2862" s="714">
        <f t="shared" si="255"/>
        <v>200000</v>
      </c>
      <c r="K2862" s="714">
        <f t="shared" si="256"/>
        <v>200000</v>
      </c>
      <c r="L2862" s="714"/>
      <c r="M2862" s="714"/>
      <c r="N2862" s="714"/>
      <c r="O2862" s="753">
        <f t="shared" si="257"/>
        <v>200000</v>
      </c>
      <c r="P2862" s="754"/>
    </row>
    <row r="2863" spans="1:89" ht="21" customHeight="1" x14ac:dyDescent="0.25">
      <c r="A2863" s="764">
        <v>4</v>
      </c>
      <c r="B2863" s="711" t="s">
        <v>1587</v>
      </c>
      <c r="C2863" s="765">
        <v>1</v>
      </c>
      <c r="D2863" s="766" t="s">
        <v>16</v>
      </c>
      <c r="E2863" s="767">
        <v>1000000</v>
      </c>
      <c r="F2863" s="714"/>
      <c r="G2863" s="714"/>
      <c r="H2863" s="714"/>
      <c r="I2863" s="714"/>
      <c r="J2863" s="714">
        <f>C2863*E2863</f>
        <v>1000000</v>
      </c>
      <c r="K2863" s="714">
        <f>I2863+J2863</f>
        <v>1000000</v>
      </c>
      <c r="L2863" s="714"/>
      <c r="M2863" s="714"/>
      <c r="N2863" s="714"/>
      <c r="O2863" s="753">
        <f>N2863+K2863+H2863</f>
        <v>1000000</v>
      </c>
      <c r="P2863" s="754"/>
    </row>
    <row r="2864" spans="1:89" ht="21" customHeight="1" x14ac:dyDescent="0.25">
      <c r="A2864" s="764">
        <v>5</v>
      </c>
      <c r="B2864" s="711" t="s">
        <v>1007</v>
      </c>
      <c r="C2864" s="765">
        <v>1</v>
      </c>
      <c r="D2864" s="766" t="s">
        <v>16</v>
      </c>
      <c r="E2864" s="767">
        <v>1000000</v>
      </c>
      <c r="F2864" s="714"/>
      <c r="G2864" s="714"/>
      <c r="H2864" s="714"/>
      <c r="I2864" s="714"/>
      <c r="J2864" s="714">
        <f>C2864*E2864</f>
        <v>1000000</v>
      </c>
      <c r="K2864" s="714">
        <f>I2864+J2864</f>
        <v>1000000</v>
      </c>
      <c r="L2864" s="714"/>
      <c r="M2864" s="714"/>
      <c r="N2864" s="714"/>
      <c r="O2864" s="753">
        <f>N2864+K2864+H2864</f>
        <v>1000000</v>
      </c>
      <c r="P2864" s="754"/>
    </row>
    <row r="2865" spans="1:89" ht="21" customHeight="1" x14ac:dyDescent="0.25">
      <c r="A2865" s="764">
        <v>6</v>
      </c>
      <c r="B2865" s="711" t="s">
        <v>204</v>
      </c>
      <c r="C2865" s="765">
        <v>1</v>
      </c>
      <c r="D2865" s="766" t="s">
        <v>16</v>
      </c>
      <c r="E2865" s="767">
        <v>1000000</v>
      </c>
      <c r="F2865" s="714"/>
      <c r="G2865" s="714"/>
      <c r="H2865" s="714"/>
      <c r="I2865" s="714"/>
      <c r="J2865" s="714">
        <f>C2865*E2865</f>
        <v>1000000</v>
      </c>
      <c r="K2865" s="714">
        <f>I2865+J2865</f>
        <v>1000000</v>
      </c>
      <c r="L2865" s="714"/>
      <c r="M2865" s="714"/>
      <c r="N2865" s="714"/>
      <c r="O2865" s="753">
        <f>N2865+K2865+H2865</f>
        <v>1000000</v>
      </c>
      <c r="P2865" s="754"/>
    </row>
    <row r="2866" spans="1:89" ht="21" customHeight="1" x14ac:dyDescent="0.25">
      <c r="A2866" s="764">
        <v>7</v>
      </c>
      <c r="B2866" s="711" t="s">
        <v>1588</v>
      </c>
      <c r="C2866" s="765">
        <v>1</v>
      </c>
      <c r="D2866" s="766" t="s">
        <v>16</v>
      </c>
      <c r="E2866" s="767">
        <v>500000</v>
      </c>
      <c r="F2866" s="714"/>
      <c r="G2866" s="714"/>
      <c r="H2866" s="714"/>
      <c r="I2866" s="714"/>
      <c r="J2866" s="714">
        <f>C2866*E2866</f>
        <v>500000</v>
      </c>
      <c r="K2866" s="714">
        <f>I2866+J2866</f>
        <v>500000</v>
      </c>
      <c r="L2866" s="714"/>
      <c r="M2866" s="714"/>
      <c r="N2866" s="714"/>
      <c r="O2866" s="753">
        <f>N2866+K2866+H2866</f>
        <v>500000</v>
      </c>
      <c r="P2866" s="754"/>
    </row>
    <row r="2867" spans="1:89" ht="21" customHeight="1" x14ac:dyDescent="0.25">
      <c r="A2867" s="764">
        <v>8</v>
      </c>
      <c r="B2867" s="711" t="s">
        <v>1590</v>
      </c>
      <c r="C2867" s="765">
        <v>1</v>
      </c>
      <c r="D2867" s="766" t="s">
        <v>16</v>
      </c>
      <c r="E2867" s="767">
        <v>200000</v>
      </c>
      <c r="F2867" s="714"/>
      <c r="G2867" s="714"/>
      <c r="H2867" s="714"/>
      <c r="I2867" s="714"/>
      <c r="J2867" s="714">
        <f>C2867*E2867</f>
        <v>200000</v>
      </c>
      <c r="K2867" s="714">
        <f>I2867+J2867</f>
        <v>200000</v>
      </c>
      <c r="L2867" s="714"/>
      <c r="M2867" s="714"/>
      <c r="N2867" s="714"/>
      <c r="O2867" s="753">
        <f>N2867+K2867+H2867</f>
        <v>200000</v>
      </c>
      <c r="P2867" s="754"/>
    </row>
    <row r="2868" spans="1:89" ht="21" customHeight="1" x14ac:dyDescent="0.25">
      <c r="A2868" s="764"/>
      <c r="B2868" s="711"/>
      <c r="C2868" s="772"/>
      <c r="D2868" s="766"/>
      <c r="E2868" s="767"/>
      <c r="F2868" s="714"/>
      <c r="G2868" s="714"/>
      <c r="H2868" s="714"/>
      <c r="I2868" s="714"/>
      <c r="J2868" s="714"/>
      <c r="K2868" s="714"/>
      <c r="L2868" s="714"/>
      <c r="M2868" s="714"/>
      <c r="N2868" s="714"/>
      <c r="O2868" s="753"/>
      <c r="P2868" s="754"/>
    </row>
    <row r="2869" spans="1:89" s="1081" customFormat="1" ht="35.25" customHeight="1" x14ac:dyDescent="0.25">
      <c r="A2869" s="1074"/>
      <c r="B2869" s="1690" t="s">
        <v>995</v>
      </c>
      <c r="C2869" s="1075"/>
      <c r="D2869" s="1076"/>
      <c r="E2869" s="1077"/>
      <c r="F2869" s="1078"/>
      <c r="G2869" s="1078"/>
      <c r="H2869" s="1078"/>
      <c r="I2869" s="1078"/>
      <c r="J2869" s="1078"/>
      <c r="K2869" s="1078"/>
      <c r="L2869" s="1078"/>
      <c r="M2869" s="1078"/>
      <c r="N2869" s="1078"/>
      <c r="O2869" s="1079"/>
      <c r="P2869" s="1080"/>
      <c r="Q2869" s="1829"/>
      <c r="R2869" s="1829"/>
      <c r="S2869" s="1829"/>
      <c r="T2869" s="1829"/>
      <c r="U2869" s="1829"/>
      <c r="V2869" s="1829"/>
      <c r="W2869" s="1829"/>
      <c r="X2869" s="1829"/>
      <c r="Y2869" s="1829"/>
      <c r="Z2869" s="1829"/>
      <c r="AA2869" s="1829"/>
      <c r="AB2869" s="1829"/>
      <c r="AC2869" s="1829"/>
      <c r="AD2869" s="1829"/>
      <c r="AE2869" s="1829"/>
      <c r="AF2869" s="1829"/>
      <c r="AG2869" s="1829"/>
      <c r="AH2869" s="1829"/>
      <c r="AI2869" s="1829"/>
      <c r="AJ2869" s="1829"/>
      <c r="AK2869" s="1829"/>
      <c r="AL2869" s="1829"/>
      <c r="AM2869" s="1829"/>
      <c r="AN2869" s="1829"/>
      <c r="AO2869" s="1829"/>
      <c r="AP2869" s="1829"/>
      <c r="AQ2869" s="1829"/>
      <c r="AR2869" s="1829"/>
      <c r="AS2869" s="1829"/>
      <c r="AT2869" s="1829"/>
      <c r="AU2869" s="1829"/>
      <c r="AV2869" s="1829"/>
      <c r="AW2869" s="1829"/>
      <c r="AX2869" s="1829"/>
      <c r="AY2869" s="1829"/>
      <c r="AZ2869" s="1829"/>
      <c r="BA2869" s="1829"/>
      <c r="BB2869" s="1829"/>
      <c r="BC2869" s="1829"/>
      <c r="BD2869" s="1829"/>
      <c r="BE2869" s="1829"/>
      <c r="BF2869" s="1829"/>
      <c r="BG2869" s="1829"/>
      <c r="BH2869" s="1829"/>
      <c r="BI2869" s="1829"/>
      <c r="BJ2869" s="1829"/>
      <c r="BK2869" s="1829"/>
      <c r="BL2869" s="1829"/>
      <c r="BM2869" s="1829"/>
      <c r="BN2869" s="1829"/>
      <c r="BO2869" s="1829"/>
      <c r="BP2869" s="1829"/>
      <c r="BQ2869" s="1829"/>
      <c r="BR2869" s="1829"/>
      <c r="BS2869" s="1829"/>
      <c r="BT2869" s="1829"/>
      <c r="BU2869" s="1829"/>
      <c r="BV2869" s="1829"/>
      <c r="BW2869" s="1829"/>
      <c r="BX2869" s="1829"/>
      <c r="BY2869" s="1829"/>
      <c r="BZ2869" s="1829"/>
      <c r="CA2869" s="1829"/>
      <c r="CB2869" s="1829"/>
      <c r="CC2869" s="1829"/>
      <c r="CD2869" s="1829"/>
      <c r="CE2869" s="1829"/>
      <c r="CF2869" s="1829"/>
      <c r="CG2869" s="1829"/>
      <c r="CH2869" s="1829"/>
      <c r="CI2869" s="1829"/>
      <c r="CJ2869" s="1829"/>
      <c r="CK2869" s="1829"/>
    </row>
    <row r="2870" spans="1:89" s="1081" customFormat="1" ht="42.75" customHeight="1" x14ac:dyDescent="0.25">
      <c r="A2870" s="1074">
        <v>9</v>
      </c>
      <c r="B2870" s="1082" t="s">
        <v>1008</v>
      </c>
      <c r="C2870" s="1075">
        <v>1</v>
      </c>
      <c r="D2870" s="1076" t="s">
        <v>16</v>
      </c>
      <c r="E2870" s="1077">
        <v>600000</v>
      </c>
      <c r="F2870" s="1078"/>
      <c r="G2870" s="1078"/>
      <c r="H2870" s="1078"/>
      <c r="I2870" s="1078"/>
      <c r="J2870" s="1078"/>
      <c r="K2870" s="1078"/>
      <c r="L2870" s="1078">
        <f>E2870*C2870</f>
        <v>600000</v>
      </c>
      <c r="M2870" s="1078"/>
      <c r="N2870" s="1078">
        <f>L2870+M2870</f>
        <v>600000</v>
      </c>
      <c r="O2870" s="1079">
        <f>K2870+N2870</f>
        <v>600000</v>
      </c>
      <c r="P2870" s="1080"/>
      <c r="Q2870" s="1829"/>
      <c r="R2870" s="1829"/>
      <c r="S2870" s="1829"/>
      <c r="T2870" s="1829"/>
      <c r="U2870" s="1829"/>
      <c r="V2870" s="1829"/>
      <c r="W2870" s="1829"/>
      <c r="X2870" s="1829"/>
      <c r="Y2870" s="1829"/>
      <c r="Z2870" s="1829"/>
      <c r="AA2870" s="1829"/>
      <c r="AB2870" s="1829"/>
      <c r="AC2870" s="1829"/>
      <c r="AD2870" s="1829"/>
      <c r="AE2870" s="1829"/>
      <c r="AF2870" s="1829"/>
      <c r="AG2870" s="1829"/>
      <c r="AH2870" s="1829"/>
      <c r="AI2870" s="1829"/>
      <c r="AJ2870" s="1829"/>
      <c r="AK2870" s="1829"/>
      <c r="AL2870" s="1829"/>
      <c r="AM2870" s="1829"/>
      <c r="AN2870" s="1829"/>
      <c r="AO2870" s="1829"/>
      <c r="AP2870" s="1829"/>
      <c r="AQ2870" s="1829"/>
      <c r="AR2870" s="1829"/>
      <c r="AS2870" s="1829"/>
      <c r="AT2870" s="1829"/>
      <c r="AU2870" s="1829"/>
      <c r="AV2870" s="1829"/>
      <c r="AW2870" s="1829"/>
      <c r="AX2870" s="1829"/>
      <c r="AY2870" s="1829"/>
      <c r="AZ2870" s="1829"/>
      <c r="BA2870" s="1829"/>
      <c r="BB2870" s="1829"/>
      <c r="BC2870" s="1829"/>
      <c r="BD2870" s="1829"/>
      <c r="BE2870" s="1829"/>
      <c r="BF2870" s="1829"/>
      <c r="BG2870" s="1829"/>
      <c r="BH2870" s="1829"/>
      <c r="BI2870" s="1829"/>
      <c r="BJ2870" s="1829"/>
      <c r="BK2870" s="1829"/>
      <c r="BL2870" s="1829"/>
      <c r="BM2870" s="1829"/>
      <c r="BN2870" s="1829"/>
      <c r="BO2870" s="1829"/>
      <c r="BP2870" s="1829"/>
      <c r="BQ2870" s="1829"/>
      <c r="BR2870" s="1829"/>
      <c r="BS2870" s="1829"/>
      <c r="BT2870" s="1829"/>
      <c r="BU2870" s="1829"/>
      <c r="BV2870" s="1829"/>
      <c r="BW2870" s="1829"/>
      <c r="BX2870" s="1829"/>
      <c r="BY2870" s="1829"/>
      <c r="BZ2870" s="1829"/>
      <c r="CA2870" s="1829"/>
      <c r="CB2870" s="1829"/>
      <c r="CC2870" s="1829"/>
      <c r="CD2870" s="1829"/>
      <c r="CE2870" s="1829"/>
      <c r="CF2870" s="1829"/>
      <c r="CG2870" s="1829"/>
      <c r="CH2870" s="1829"/>
      <c r="CI2870" s="1829"/>
      <c r="CJ2870" s="1829"/>
      <c r="CK2870" s="1829"/>
    </row>
    <row r="2871" spans="1:89" s="1081" customFormat="1" ht="35.25" customHeight="1" x14ac:dyDescent="0.25">
      <c r="A2871" s="1074">
        <v>10</v>
      </c>
      <c r="B2871" s="1082" t="s">
        <v>1604</v>
      </c>
      <c r="C2871" s="1075">
        <v>1</v>
      </c>
      <c r="D2871" s="1076" t="s">
        <v>16</v>
      </c>
      <c r="E2871" s="1077">
        <v>800000</v>
      </c>
      <c r="F2871" s="1078"/>
      <c r="G2871" s="1078"/>
      <c r="H2871" s="1078"/>
      <c r="I2871" s="1078"/>
      <c r="J2871" s="1078"/>
      <c r="K2871" s="1078"/>
      <c r="L2871" s="1078">
        <f>E2871</f>
        <v>800000</v>
      </c>
      <c r="M2871" s="1078"/>
      <c r="N2871" s="1078">
        <f>L2871+M2871</f>
        <v>800000</v>
      </c>
      <c r="O2871" s="1079">
        <f>K2871+N2871</f>
        <v>800000</v>
      </c>
      <c r="P2871" s="1080"/>
      <c r="Q2871" s="1829"/>
      <c r="R2871" s="1829"/>
      <c r="S2871" s="1829"/>
      <c r="T2871" s="1829"/>
      <c r="U2871" s="1829"/>
      <c r="V2871" s="1829"/>
      <c r="W2871" s="1829"/>
      <c r="X2871" s="1829"/>
      <c r="Y2871" s="1829"/>
      <c r="Z2871" s="1829"/>
      <c r="AA2871" s="1829"/>
      <c r="AB2871" s="1829"/>
      <c r="AC2871" s="1829"/>
      <c r="AD2871" s="1829"/>
      <c r="AE2871" s="1829"/>
      <c r="AF2871" s="1829"/>
      <c r="AG2871" s="1829"/>
      <c r="AH2871" s="1829"/>
      <c r="AI2871" s="1829"/>
      <c r="AJ2871" s="1829"/>
      <c r="AK2871" s="1829"/>
      <c r="AL2871" s="1829"/>
      <c r="AM2871" s="1829"/>
      <c r="AN2871" s="1829"/>
      <c r="AO2871" s="1829"/>
      <c r="AP2871" s="1829"/>
      <c r="AQ2871" s="1829"/>
      <c r="AR2871" s="1829"/>
      <c r="AS2871" s="1829"/>
      <c r="AT2871" s="1829"/>
      <c r="AU2871" s="1829"/>
      <c r="AV2871" s="1829"/>
      <c r="AW2871" s="1829"/>
      <c r="AX2871" s="1829"/>
      <c r="AY2871" s="1829"/>
      <c r="AZ2871" s="1829"/>
      <c r="BA2871" s="1829"/>
      <c r="BB2871" s="1829"/>
      <c r="BC2871" s="1829"/>
      <c r="BD2871" s="1829"/>
      <c r="BE2871" s="1829"/>
      <c r="BF2871" s="1829"/>
      <c r="BG2871" s="1829"/>
      <c r="BH2871" s="1829"/>
      <c r="BI2871" s="1829"/>
      <c r="BJ2871" s="1829"/>
      <c r="BK2871" s="1829"/>
      <c r="BL2871" s="1829"/>
      <c r="BM2871" s="1829"/>
      <c r="BN2871" s="1829"/>
      <c r="BO2871" s="1829"/>
      <c r="BP2871" s="1829"/>
      <c r="BQ2871" s="1829"/>
      <c r="BR2871" s="1829"/>
      <c r="BS2871" s="1829"/>
      <c r="BT2871" s="1829"/>
      <c r="BU2871" s="1829"/>
      <c r="BV2871" s="1829"/>
      <c r="BW2871" s="1829"/>
      <c r="BX2871" s="1829"/>
      <c r="BY2871" s="1829"/>
      <c r="BZ2871" s="1829"/>
      <c r="CA2871" s="1829"/>
      <c r="CB2871" s="1829"/>
      <c r="CC2871" s="1829"/>
      <c r="CD2871" s="1829"/>
      <c r="CE2871" s="1829"/>
      <c r="CF2871" s="1829"/>
      <c r="CG2871" s="1829"/>
      <c r="CH2871" s="1829"/>
      <c r="CI2871" s="1829"/>
      <c r="CJ2871" s="1829"/>
      <c r="CK2871" s="1829"/>
    </row>
    <row r="2872" spans="1:89" s="1081" customFormat="1" ht="35.25" customHeight="1" x14ac:dyDescent="0.25">
      <c r="A2872" s="1074">
        <v>11</v>
      </c>
      <c r="B2872" s="1082" t="s">
        <v>1605</v>
      </c>
      <c r="C2872" s="1075">
        <v>1</v>
      </c>
      <c r="D2872" s="1076" t="s">
        <v>16</v>
      </c>
      <c r="E2872" s="1077">
        <v>600000</v>
      </c>
      <c r="F2872" s="1078"/>
      <c r="G2872" s="1078"/>
      <c r="H2872" s="1078"/>
      <c r="I2872" s="1078"/>
      <c r="J2872" s="1078"/>
      <c r="K2872" s="1078"/>
      <c r="L2872" s="1078">
        <f>E2872</f>
        <v>600000</v>
      </c>
      <c r="M2872" s="1078"/>
      <c r="N2872" s="1078">
        <f>L2872+M2872</f>
        <v>600000</v>
      </c>
      <c r="O2872" s="1079">
        <f>K2872+N2872</f>
        <v>600000</v>
      </c>
      <c r="P2872" s="1080"/>
      <c r="Q2872" s="1829"/>
      <c r="R2872" s="1829"/>
      <c r="S2872" s="1829"/>
      <c r="T2872" s="1829"/>
      <c r="U2872" s="1829"/>
      <c r="V2872" s="1829"/>
      <c r="W2872" s="1829"/>
      <c r="X2872" s="1829"/>
      <c r="Y2872" s="1829"/>
      <c r="Z2872" s="1829"/>
      <c r="AA2872" s="1829"/>
      <c r="AB2872" s="1829"/>
      <c r="AC2872" s="1829"/>
      <c r="AD2872" s="1829"/>
      <c r="AE2872" s="1829"/>
      <c r="AF2872" s="1829"/>
      <c r="AG2872" s="1829"/>
      <c r="AH2872" s="1829"/>
      <c r="AI2872" s="1829"/>
      <c r="AJ2872" s="1829"/>
      <c r="AK2872" s="1829"/>
      <c r="AL2872" s="1829"/>
      <c r="AM2872" s="1829"/>
      <c r="AN2872" s="1829"/>
      <c r="AO2872" s="1829"/>
      <c r="AP2872" s="1829"/>
      <c r="AQ2872" s="1829"/>
      <c r="AR2872" s="1829"/>
      <c r="AS2872" s="1829"/>
      <c r="AT2872" s="1829"/>
      <c r="AU2872" s="1829"/>
      <c r="AV2872" s="1829"/>
      <c r="AW2872" s="1829"/>
      <c r="AX2872" s="1829"/>
      <c r="AY2872" s="1829"/>
      <c r="AZ2872" s="1829"/>
      <c r="BA2872" s="1829"/>
      <c r="BB2872" s="1829"/>
      <c r="BC2872" s="1829"/>
      <c r="BD2872" s="1829"/>
      <c r="BE2872" s="1829"/>
      <c r="BF2872" s="1829"/>
      <c r="BG2872" s="1829"/>
      <c r="BH2872" s="1829"/>
      <c r="BI2872" s="1829"/>
      <c r="BJ2872" s="1829"/>
      <c r="BK2872" s="1829"/>
      <c r="BL2872" s="1829"/>
      <c r="BM2872" s="1829"/>
      <c r="BN2872" s="1829"/>
      <c r="BO2872" s="1829"/>
      <c r="BP2872" s="1829"/>
      <c r="BQ2872" s="1829"/>
      <c r="BR2872" s="1829"/>
      <c r="BS2872" s="1829"/>
      <c r="BT2872" s="1829"/>
      <c r="BU2872" s="1829"/>
      <c r="BV2872" s="1829"/>
      <c r="BW2872" s="1829"/>
      <c r="BX2872" s="1829"/>
      <c r="BY2872" s="1829"/>
      <c r="BZ2872" s="1829"/>
      <c r="CA2872" s="1829"/>
      <c r="CB2872" s="1829"/>
      <c r="CC2872" s="1829"/>
      <c r="CD2872" s="1829"/>
      <c r="CE2872" s="1829"/>
      <c r="CF2872" s="1829"/>
      <c r="CG2872" s="1829"/>
      <c r="CH2872" s="1829"/>
      <c r="CI2872" s="1829"/>
      <c r="CJ2872" s="1829"/>
      <c r="CK2872" s="1829"/>
    </row>
    <row r="2873" spans="1:89" ht="21" customHeight="1" x14ac:dyDescent="0.25">
      <c r="A2873" s="764"/>
      <c r="B2873" s="711"/>
      <c r="C2873" s="772"/>
      <c r="D2873" s="766"/>
      <c r="E2873" s="767"/>
      <c r="F2873" s="714"/>
      <c r="G2873" s="714"/>
      <c r="H2873" s="714"/>
      <c r="I2873" s="714"/>
      <c r="J2873" s="714"/>
      <c r="K2873" s="714"/>
      <c r="L2873" s="714"/>
      <c r="M2873" s="714"/>
      <c r="N2873" s="714"/>
      <c r="O2873" s="753"/>
      <c r="P2873" s="754"/>
    </row>
    <row r="2874" spans="1:89" ht="21" customHeight="1" x14ac:dyDescent="0.25">
      <c r="A2874" s="764"/>
      <c r="B2874" s="711" t="s">
        <v>999</v>
      </c>
      <c r="C2874" s="772"/>
      <c r="D2874" s="766"/>
      <c r="E2874" s="767"/>
      <c r="F2874" s="714"/>
      <c r="G2874" s="714"/>
      <c r="H2874" s="714"/>
      <c r="I2874" s="714"/>
      <c r="J2874" s="714"/>
      <c r="K2874" s="714"/>
      <c r="L2874" s="714"/>
      <c r="M2874" s="714"/>
      <c r="N2874" s="714"/>
      <c r="O2874" s="753"/>
      <c r="P2874" s="754"/>
    </row>
    <row r="2875" spans="1:89" s="1081" customFormat="1" ht="21" customHeight="1" x14ac:dyDescent="0.25">
      <c r="A2875" s="1074">
        <v>12</v>
      </c>
      <c r="B2875" s="1083" t="s">
        <v>1589</v>
      </c>
      <c r="C2875" s="1689">
        <v>1</v>
      </c>
      <c r="D2875" s="1076" t="s">
        <v>16</v>
      </c>
      <c r="E2875" s="1077">
        <v>1000000</v>
      </c>
      <c r="F2875" s="1078"/>
      <c r="G2875" s="1078"/>
      <c r="H2875" s="1078"/>
      <c r="I2875" s="1078"/>
      <c r="J2875" s="1078">
        <f>C2875*E2875</f>
        <v>1000000</v>
      </c>
      <c r="K2875" s="1078">
        <f t="shared" ref="K2875:K2890" si="258">I2875+J2875</f>
        <v>1000000</v>
      </c>
      <c r="L2875" s="1078"/>
      <c r="M2875" s="1078"/>
      <c r="N2875" s="1078"/>
      <c r="O2875" s="1079">
        <f t="shared" ref="O2875:O2890" si="259">K2875+N2875</f>
        <v>1000000</v>
      </c>
      <c r="P2875" s="1080"/>
      <c r="Q2875" s="1829"/>
      <c r="R2875" s="1829"/>
      <c r="S2875" s="1829"/>
      <c r="T2875" s="1829"/>
      <c r="U2875" s="1829"/>
      <c r="V2875" s="1829"/>
      <c r="W2875" s="1829"/>
      <c r="X2875" s="1829"/>
      <c r="Y2875" s="1829"/>
      <c r="Z2875" s="1829"/>
      <c r="AA2875" s="1829"/>
      <c r="AB2875" s="1829"/>
      <c r="AC2875" s="1829"/>
      <c r="AD2875" s="1829"/>
      <c r="AE2875" s="1829"/>
      <c r="AF2875" s="1829"/>
      <c r="AG2875" s="1829"/>
      <c r="AH2875" s="1829"/>
      <c r="AI2875" s="1829"/>
      <c r="AJ2875" s="1829"/>
      <c r="AK2875" s="1829"/>
      <c r="AL2875" s="1829"/>
      <c r="AM2875" s="1829"/>
      <c r="AN2875" s="1829"/>
      <c r="AO2875" s="1829"/>
      <c r="AP2875" s="1829"/>
      <c r="AQ2875" s="1829"/>
      <c r="AR2875" s="1829"/>
      <c r="AS2875" s="1829"/>
      <c r="AT2875" s="1829"/>
      <c r="AU2875" s="1829"/>
      <c r="AV2875" s="1829"/>
      <c r="AW2875" s="1829"/>
      <c r="AX2875" s="1829"/>
      <c r="AY2875" s="1829"/>
      <c r="AZ2875" s="1829"/>
      <c r="BA2875" s="1829"/>
      <c r="BB2875" s="1829"/>
      <c r="BC2875" s="1829"/>
      <c r="BD2875" s="1829"/>
      <c r="BE2875" s="1829"/>
      <c r="BF2875" s="1829"/>
      <c r="BG2875" s="1829"/>
      <c r="BH2875" s="1829"/>
      <c r="BI2875" s="1829"/>
      <c r="BJ2875" s="1829"/>
      <c r="BK2875" s="1829"/>
      <c r="BL2875" s="1829"/>
      <c r="BM2875" s="1829"/>
      <c r="BN2875" s="1829"/>
      <c r="BO2875" s="1829"/>
      <c r="BP2875" s="1829"/>
      <c r="BQ2875" s="1829"/>
      <c r="BR2875" s="1829"/>
      <c r="BS2875" s="1829"/>
      <c r="BT2875" s="1829"/>
      <c r="BU2875" s="1829"/>
      <c r="BV2875" s="1829"/>
      <c r="BW2875" s="1829"/>
      <c r="BX2875" s="1829"/>
      <c r="BY2875" s="1829"/>
      <c r="BZ2875" s="1829"/>
      <c r="CA2875" s="1829"/>
      <c r="CB2875" s="1829"/>
      <c r="CC2875" s="1829"/>
      <c r="CD2875" s="1829"/>
      <c r="CE2875" s="1829"/>
      <c r="CF2875" s="1829"/>
      <c r="CG2875" s="1829"/>
      <c r="CH2875" s="1829"/>
      <c r="CI2875" s="1829"/>
      <c r="CJ2875" s="1829"/>
      <c r="CK2875" s="1829"/>
    </row>
    <row r="2876" spans="1:89" s="1081" customFormat="1" ht="20.25" customHeight="1" x14ac:dyDescent="0.25">
      <c r="A2876" s="1074">
        <v>13</v>
      </c>
      <c r="B2876" s="1083" t="s">
        <v>1591</v>
      </c>
      <c r="C2876" s="1075">
        <v>1</v>
      </c>
      <c r="D2876" s="1076" t="s">
        <v>16</v>
      </c>
      <c r="E2876" s="1077">
        <v>250000</v>
      </c>
      <c r="F2876" s="1078"/>
      <c r="G2876" s="1078"/>
      <c r="H2876" s="1078"/>
      <c r="I2876" s="1078"/>
      <c r="J2876" s="1078">
        <f t="shared" ref="J2876:J2890" si="260">C2876*E2876</f>
        <v>250000</v>
      </c>
      <c r="K2876" s="1078">
        <f t="shared" si="258"/>
        <v>250000</v>
      </c>
      <c r="L2876" s="1078"/>
      <c r="M2876" s="1078"/>
      <c r="N2876" s="1078"/>
      <c r="O2876" s="1079">
        <f t="shared" si="259"/>
        <v>250000</v>
      </c>
      <c r="P2876" s="1080"/>
      <c r="Q2876" s="1829"/>
      <c r="R2876" s="1829"/>
      <c r="S2876" s="1829"/>
      <c r="T2876" s="1829"/>
      <c r="U2876" s="1829"/>
      <c r="V2876" s="1829"/>
      <c r="W2876" s="1829"/>
      <c r="X2876" s="1829"/>
      <c r="Y2876" s="1829"/>
      <c r="Z2876" s="1829"/>
      <c r="AA2876" s="1829"/>
      <c r="AB2876" s="1829"/>
      <c r="AC2876" s="1829"/>
      <c r="AD2876" s="1829"/>
      <c r="AE2876" s="1829"/>
      <c r="AF2876" s="1829"/>
      <c r="AG2876" s="1829"/>
      <c r="AH2876" s="1829"/>
      <c r="AI2876" s="1829"/>
      <c r="AJ2876" s="1829"/>
      <c r="AK2876" s="1829"/>
      <c r="AL2876" s="1829"/>
      <c r="AM2876" s="1829"/>
      <c r="AN2876" s="1829"/>
      <c r="AO2876" s="1829"/>
      <c r="AP2876" s="1829"/>
      <c r="AQ2876" s="1829"/>
      <c r="AR2876" s="1829"/>
      <c r="AS2876" s="1829"/>
      <c r="AT2876" s="1829"/>
      <c r="AU2876" s="1829"/>
      <c r="AV2876" s="1829"/>
      <c r="AW2876" s="1829"/>
      <c r="AX2876" s="1829"/>
      <c r="AY2876" s="1829"/>
      <c r="AZ2876" s="1829"/>
      <c r="BA2876" s="1829"/>
      <c r="BB2876" s="1829"/>
      <c r="BC2876" s="1829"/>
      <c r="BD2876" s="1829"/>
      <c r="BE2876" s="1829"/>
      <c r="BF2876" s="1829"/>
      <c r="BG2876" s="1829"/>
      <c r="BH2876" s="1829"/>
      <c r="BI2876" s="1829"/>
      <c r="BJ2876" s="1829"/>
      <c r="BK2876" s="1829"/>
      <c r="BL2876" s="1829"/>
      <c r="BM2876" s="1829"/>
      <c r="BN2876" s="1829"/>
      <c r="BO2876" s="1829"/>
      <c r="BP2876" s="1829"/>
      <c r="BQ2876" s="1829"/>
      <c r="BR2876" s="1829"/>
      <c r="BS2876" s="1829"/>
      <c r="BT2876" s="1829"/>
      <c r="BU2876" s="1829"/>
      <c r="BV2876" s="1829"/>
      <c r="BW2876" s="1829"/>
      <c r="BX2876" s="1829"/>
      <c r="BY2876" s="1829"/>
      <c r="BZ2876" s="1829"/>
      <c r="CA2876" s="1829"/>
      <c r="CB2876" s="1829"/>
      <c r="CC2876" s="1829"/>
      <c r="CD2876" s="1829"/>
      <c r="CE2876" s="1829"/>
      <c r="CF2876" s="1829"/>
      <c r="CG2876" s="1829"/>
      <c r="CH2876" s="1829"/>
      <c r="CI2876" s="1829"/>
      <c r="CJ2876" s="1829"/>
      <c r="CK2876" s="1829"/>
    </row>
    <row r="2877" spans="1:89" s="1081" customFormat="1" ht="20.25" customHeight="1" x14ac:dyDescent="0.25">
      <c r="A2877" s="1074">
        <v>14</v>
      </c>
      <c r="B2877" s="1083" t="s">
        <v>1592</v>
      </c>
      <c r="C2877" s="1075">
        <v>1</v>
      </c>
      <c r="D2877" s="1076" t="s">
        <v>16</v>
      </c>
      <c r="E2877" s="1077">
        <v>250000</v>
      </c>
      <c r="F2877" s="1078"/>
      <c r="G2877" s="1078"/>
      <c r="H2877" s="1078"/>
      <c r="I2877" s="1078"/>
      <c r="J2877" s="1078">
        <f t="shared" si="260"/>
        <v>250000</v>
      </c>
      <c r="K2877" s="1078">
        <f t="shared" si="258"/>
        <v>250000</v>
      </c>
      <c r="L2877" s="1078"/>
      <c r="M2877" s="1078"/>
      <c r="N2877" s="1078"/>
      <c r="O2877" s="1079">
        <f t="shared" si="259"/>
        <v>250000</v>
      </c>
      <c r="P2877" s="1080"/>
      <c r="Q2877" s="1829"/>
      <c r="R2877" s="1829"/>
      <c r="S2877" s="1829"/>
      <c r="T2877" s="1829"/>
      <c r="U2877" s="1829"/>
      <c r="V2877" s="1829"/>
      <c r="W2877" s="1829"/>
      <c r="X2877" s="1829"/>
      <c r="Y2877" s="1829"/>
      <c r="Z2877" s="1829"/>
      <c r="AA2877" s="1829"/>
      <c r="AB2877" s="1829"/>
      <c r="AC2877" s="1829"/>
      <c r="AD2877" s="1829"/>
      <c r="AE2877" s="1829"/>
      <c r="AF2877" s="1829"/>
      <c r="AG2877" s="1829"/>
      <c r="AH2877" s="1829"/>
      <c r="AI2877" s="1829"/>
      <c r="AJ2877" s="1829"/>
      <c r="AK2877" s="1829"/>
      <c r="AL2877" s="1829"/>
      <c r="AM2877" s="1829"/>
      <c r="AN2877" s="1829"/>
      <c r="AO2877" s="1829"/>
      <c r="AP2877" s="1829"/>
      <c r="AQ2877" s="1829"/>
      <c r="AR2877" s="1829"/>
      <c r="AS2877" s="1829"/>
      <c r="AT2877" s="1829"/>
      <c r="AU2877" s="1829"/>
      <c r="AV2877" s="1829"/>
      <c r="AW2877" s="1829"/>
      <c r="AX2877" s="1829"/>
      <c r="AY2877" s="1829"/>
      <c r="AZ2877" s="1829"/>
      <c r="BA2877" s="1829"/>
      <c r="BB2877" s="1829"/>
      <c r="BC2877" s="1829"/>
      <c r="BD2877" s="1829"/>
      <c r="BE2877" s="1829"/>
      <c r="BF2877" s="1829"/>
      <c r="BG2877" s="1829"/>
      <c r="BH2877" s="1829"/>
      <c r="BI2877" s="1829"/>
      <c r="BJ2877" s="1829"/>
      <c r="BK2877" s="1829"/>
      <c r="BL2877" s="1829"/>
      <c r="BM2877" s="1829"/>
      <c r="BN2877" s="1829"/>
      <c r="BO2877" s="1829"/>
      <c r="BP2877" s="1829"/>
      <c r="BQ2877" s="1829"/>
      <c r="BR2877" s="1829"/>
      <c r="BS2877" s="1829"/>
      <c r="BT2877" s="1829"/>
      <c r="BU2877" s="1829"/>
      <c r="BV2877" s="1829"/>
      <c r="BW2877" s="1829"/>
      <c r="BX2877" s="1829"/>
      <c r="BY2877" s="1829"/>
      <c r="BZ2877" s="1829"/>
      <c r="CA2877" s="1829"/>
      <c r="CB2877" s="1829"/>
      <c r="CC2877" s="1829"/>
      <c r="CD2877" s="1829"/>
      <c r="CE2877" s="1829"/>
      <c r="CF2877" s="1829"/>
      <c r="CG2877" s="1829"/>
      <c r="CH2877" s="1829"/>
      <c r="CI2877" s="1829"/>
      <c r="CJ2877" s="1829"/>
      <c r="CK2877" s="1829"/>
    </row>
    <row r="2878" spans="1:89" s="1081" customFormat="1" ht="20.25" customHeight="1" x14ac:dyDescent="0.25">
      <c r="A2878" s="1074">
        <v>15</v>
      </c>
      <c r="B2878" s="1083" t="s">
        <v>1593</v>
      </c>
      <c r="C2878" s="1075">
        <v>1</v>
      </c>
      <c r="D2878" s="1076" t="s">
        <v>16</v>
      </c>
      <c r="E2878" s="1077">
        <v>1000000</v>
      </c>
      <c r="F2878" s="1078"/>
      <c r="G2878" s="1078"/>
      <c r="H2878" s="1078"/>
      <c r="I2878" s="1078"/>
      <c r="J2878" s="1078">
        <f t="shared" si="260"/>
        <v>1000000</v>
      </c>
      <c r="K2878" s="1078">
        <f t="shared" si="258"/>
        <v>1000000</v>
      </c>
      <c r="L2878" s="1078"/>
      <c r="M2878" s="1078"/>
      <c r="N2878" s="1078"/>
      <c r="O2878" s="1079">
        <f t="shared" si="259"/>
        <v>1000000</v>
      </c>
      <c r="P2878" s="1080"/>
      <c r="Q2878" s="1829"/>
      <c r="R2878" s="1829"/>
      <c r="S2878" s="1829"/>
      <c r="T2878" s="1829"/>
      <c r="U2878" s="1829"/>
      <c r="V2878" s="1829"/>
      <c r="W2878" s="1829"/>
      <c r="X2878" s="1829"/>
      <c r="Y2878" s="1829"/>
      <c r="Z2878" s="1829"/>
      <c r="AA2878" s="1829"/>
      <c r="AB2878" s="1829"/>
      <c r="AC2878" s="1829"/>
      <c r="AD2878" s="1829"/>
      <c r="AE2878" s="1829"/>
      <c r="AF2878" s="1829"/>
      <c r="AG2878" s="1829"/>
      <c r="AH2878" s="1829"/>
      <c r="AI2878" s="1829"/>
      <c r="AJ2878" s="1829"/>
      <c r="AK2878" s="1829"/>
      <c r="AL2878" s="1829"/>
      <c r="AM2878" s="1829"/>
      <c r="AN2878" s="1829"/>
      <c r="AO2878" s="1829"/>
      <c r="AP2878" s="1829"/>
      <c r="AQ2878" s="1829"/>
      <c r="AR2878" s="1829"/>
      <c r="AS2878" s="1829"/>
      <c r="AT2878" s="1829"/>
      <c r="AU2878" s="1829"/>
      <c r="AV2878" s="1829"/>
      <c r="AW2878" s="1829"/>
      <c r="AX2878" s="1829"/>
      <c r="AY2878" s="1829"/>
      <c r="AZ2878" s="1829"/>
      <c r="BA2878" s="1829"/>
      <c r="BB2878" s="1829"/>
      <c r="BC2878" s="1829"/>
      <c r="BD2878" s="1829"/>
      <c r="BE2878" s="1829"/>
      <c r="BF2878" s="1829"/>
      <c r="BG2878" s="1829"/>
      <c r="BH2878" s="1829"/>
      <c r="BI2878" s="1829"/>
      <c r="BJ2878" s="1829"/>
      <c r="BK2878" s="1829"/>
      <c r="BL2878" s="1829"/>
      <c r="BM2878" s="1829"/>
      <c r="BN2878" s="1829"/>
      <c r="BO2878" s="1829"/>
      <c r="BP2878" s="1829"/>
      <c r="BQ2878" s="1829"/>
      <c r="BR2878" s="1829"/>
      <c r="BS2878" s="1829"/>
      <c r="BT2878" s="1829"/>
      <c r="BU2878" s="1829"/>
      <c r="BV2878" s="1829"/>
      <c r="BW2878" s="1829"/>
      <c r="BX2878" s="1829"/>
      <c r="BY2878" s="1829"/>
      <c r="BZ2878" s="1829"/>
      <c r="CA2878" s="1829"/>
      <c r="CB2878" s="1829"/>
      <c r="CC2878" s="1829"/>
      <c r="CD2878" s="1829"/>
      <c r="CE2878" s="1829"/>
      <c r="CF2878" s="1829"/>
      <c r="CG2878" s="1829"/>
      <c r="CH2878" s="1829"/>
      <c r="CI2878" s="1829"/>
      <c r="CJ2878" s="1829"/>
      <c r="CK2878" s="1829"/>
    </row>
    <row r="2879" spans="1:89" s="1081" customFormat="1" ht="20.25" customHeight="1" x14ac:dyDescent="0.25">
      <c r="A2879" s="1074">
        <v>16</v>
      </c>
      <c r="B2879" s="1083" t="s">
        <v>1594</v>
      </c>
      <c r="C2879" s="1075">
        <v>1</v>
      </c>
      <c r="D2879" s="1076" t="s">
        <v>16</v>
      </c>
      <c r="E2879" s="1077">
        <v>500000</v>
      </c>
      <c r="F2879" s="1078"/>
      <c r="G2879" s="1078"/>
      <c r="H2879" s="1078"/>
      <c r="I2879" s="1078"/>
      <c r="J2879" s="1078">
        <f t="shared" si="260"/>
        <v>500000</v>
      </c>
      <c r="K2879" s="1078">
        <f t="shared" si="258"/>
        <v>500000</v>
      </c>
      <c r="L2879" s="1078"/>
      <c r="M2879" s="1078"/>
      <c r="N2879" s="1078"/>
      <c r="O2879" s="1079">
        <f t="shared" si="259"/>
        <v>500000</v>
      </c>
      <c r="P2879" s="1080"/>
      <c r="Q2879" s="1829"/>
      <c r="R2879" s="1829"/>
      <c r="S2879" s="1829"/>
      <c r="T2879" s="1829"/>
      <c r="U2879" s="1829"/>
      <c r="V2879" s="1829"/>
      <c r="W2879" s="1829"/>
      <c r="X2879" s="1829"/>
      <c r="Y2879" s="1829"/>
      <c r="Z2879" s="1829"/>
      <c r="AA2879" s="1829"/>
      <c r="AB2879" s="1829"/>
      <c r="AC2879" s="1829"/>
      <c r="AD2879" s="1829"/>
      <c r="AE2879" s="1829"/>
      <c r="AF2879" s="1829"/>
      <c r="AG2879" s="1829"/>
      <c r="AH2879" s="1829"/>
      <c r="AI2879" s="1829"/>
      <c r="AJ2879" s="1829"/>
      <c r="AK2879" s="1829"/>
      <c r="AL2879" s="1829"/>
      <c r="AM2879" s="1829"/>
      <c r="AN2879" s="1829"/>
      <c r="AO2879" s="1829"/>
      <c r="AP2879" s="1829"/>
      <c r="AQ2879" s="1829"/>
      <c r="AR2879" s="1829"/>
      <c r="AS2879" s="1829"/>
      <c r="AT2879" s="1829"/>
      <c r="AU2879" s="1829"/>
      <c r="AV2879" s="1829"/>
      <c r="AW2879" s="1829"/>
      <c r="AX2879" s="1829"/>
      <c r="AY2879" s="1829"/>
      <c r="AZ2879" s="1829"/>
      <c r="BA2879" s="1829"/>
      <c r="BB2879" s="1829"/>
      <c r="BC2879" s="1829"/>
      <c r="BD2879" s="1829"/>
      <c r="BE2879" s="1829"/>
      <c r="BF2879" s="1829"/>
      <c r="BG2879" s="1829"/>
      <c r="BH2879" s="1829"/>
      <c r="BI2879" s="1829"/>
      <c r="BJ2879" s="1829"/>
      <c r="BK2879" s="1829"/>
      <c r="BL2879" s="1829"/>
      <c r="BM2879" s="1829"/>
      <c r="BN2879" s="1829"/>
      <c r="BO2879" s="1829"/>
      <c r="BP2879" s="1829"/>
      <c r="BQ2879" s="1829"/>
      <c r="BR2879" s="1829"/>
      <c r="BS2879" s="1829"/>
      <c r="BT2879" s="1829"/>
      <c r="BU2879" s="1829"/>
      <c r="BV2879" s="1829"/>
      <c r="BW2879" s="1829"/>
      <c r="BX2879" s="1829"/>
      <c r="BY2879" s="1829"/>
      <c r="BZ2879" s="1829"/>
      <c r="CA2879" s="1829"/>
      <c r="CB2879" s="1829"/>
      <c r="CC2879" s="1829"/>
      <c r="CD2879" s="1829"/>
      <c r="CE2879" s="1829"/>
      <c r="CF2879" s="1829"/>
      <c r="CG2879" s="1829"/>
      <c r="CH2879" s="1829"/>
      <c r="CI2879" s="1829"/>
      <c r="CJ2879" s="1829"/>
      <c r="CK2879" s="1829"/>
    </row>
    <row r="2880" spans="1:89" s="1081" customFormat="1" ht="20.25" customHeight="1" x14ac:dyDescent="0.25">
      <c r="A2880" s="1074">
        <v>17</v>
      </c>
      <c r="B2880" s="1083" t="s">
        <v>1595</v>
      </c>
      <c r="C2880" s="1075">
        <v>1</v>
      </c>
      <c r="D2880" s="1076" t="s">
        <v>16</v>
      </c>
      <c r="E2880" s="1077">
        <v>400000</v>
      </c>
      <c r="F2880" s="1078"/>
      <c r="G2880" s="1078"/>
      <c r="H2880" s="1078"/>
      <c r="I2880" s="1078"/>
      <c r="J2880" s="1078">
        <f t="shared" si="260"/>
        <v>400000</v>
      </c>
      <c r="K2880" s="1078">
        <f t="shared" si="258"/>
        <v>400000</v>
      </c>
      <c r="L2880" s="1078"/>
      <c r="M2880" s="1078"/>
      <c r="N2880" s="1078"/>
      <c r="O2880" s="1079">
        <f t="shared" si="259"/>
        <v>400000</v>
      </c>
      <c r="P2880" s="1080"/>
      <c r="Q2880" s="1829"/>
      <c r="R2880" s="1829"/>
      <c r="S2880" s="1829"/>
      <c r="T2880" s="1829"/>
      <c r="U2880" s="1829"/>
      <c r="V2880" s="1829"/>
      <c r="W2880" s="1829"/>
      <c r="X2880" s="1829"/>
      <c r="Y2880" s="1829"/>
      <c r="Z2880" s="1829"/>
      <c r="AA2880" s="1829"/>
      <c r="AB2880" s="1829"/>
      <c r="AC2880" s="1829"/>
      <c r="AD2880" s="1829"/>
      <c r="AE2880" s="1829"/>
      <c r="AF2880" s="1829"/>
      <c r="AG2880" s="1829"/>
      <c r="AH2880" s="1829"/>
      <c r="AI2880" s="1829"/>
      <c r="AJ2880" s="1829"/>
      <c r="AK2880" s="1829"/>
      <c r="AL2880" s="1829"/>
      <c r="AM2880" s="1829"/>
      <c r="AN2880" s="1829"/>
      <c r="AO2880" s="1829"/>
      <c r="AP2880" s="1829"/>
      <c r="AQ2880" s="1829"/>
      <c r="AR2880" s="1829"/>
      <c r="AS2880" s="1829"/>
      <c r="AT2880" s="1829"/>
      <c r="AU2880" s="1829"/>
      <c r="AV2880" s="1829"/>
      <c r="AW2880" s="1829"/>
      <c r="AX2880" s="1829"/>
      <c r="AY2880" s="1829"/>
      <c r="AZ2880" s="1829"/>
      <c r="BA2880" s="1829"/>
      <c r="BB2880" s="1829"/>
      <c r="BC2880" s="1829"/>
      <c r="BD2880" s="1829"/>
      <c r="BE2880" s="1829"/>
      <c r="BF2880" s="1829"/>
      <c r="BG2880" s="1829"/>
      <c r="BH2880" s="1829"/>
      <c r="BI2880" s="1829"/>
      <c r="BJ2880" s="1829"/>
      <c r="BK2880" s="1829"/>
      <c r="BL2880" s="1829"/>
      <c r="BM2880" s="1829"/>
      <c r="BN2880" s="1829"/>
      <c r="BO2880" s="1829"/>
      <c r="BP2880" s="1829"/>
      <c r="BQ2880" s="1829"/>
      <c r="BR2880" s="1829"/>
      <c r="BS2880" s="1829"/>
      <c r="BT2880" s="1829"/>
      <c r="BU2880" s="1829"/>
      <c r="BV2880" s="1829"/>
      <c r="BW2880" s="1829"/>
      <c r="BX2880" s="1829"/>
      <c r="BY2880" s="1829"/>
      <c r="BZ2880" s="1829"/>
      <c r="CA2880" s="1829"/>
      <c r="CB2880" s="1829"/>
      <c r="CC2880" s="1829"/>
      <c r="CD2880" s="1829"/>
      <c r="CE2880" s="1829"/>
      <c r="CF2880" s="1829"/>
      <c r="CG2880" s="1829"/>
      <c r="CH2880" s="1829"/>
      <c r="CI2880" s="1829"/>
      <c r="CJ2880" s="1829"/>
      <c r="CK2880" s="1829"/>
    </row>
    <row r="2881" spans="1:89" s="1081" customFormat="1" ht="20.25" customHeight="1" x14ac:dyDescent="0.25">
      <c r="A2881" s="1074">
        <v>18</v>
      </c>
      <c r="B2881" s="1083" t="s">
        <v>1596</v>
      </c>
      <c r="C2881" s="1075">
        <v>1</v>
      </c>
      <c r="D2881" s="1076" t="s">
        <v>16</v>
      </c>
      <c r="E2881" s="1077">
        <v>150000</v>
      </c>
      <c r="F2881" s="1078"/>
      <c r="G2881" s="1078"/>
      <c r="H2881" s="1078"/>
      <c r="I2881" s="1078"/>
      <c r="J2881" s="1078">
        <f t="shared" si="260"/>
        <v>150000</v>
      </c>
      <c r="K2881" s="1078">
        <f t="shared" si="258"/>
        <v>150000</v>
      </c>
      <c r="L2881" s="1078"/>
      <c r="M2881" s="1078"/>
      <c r="N2881" s="1078"/>
      <c r="O2881" s="1079">
        <f t="shared" si="259"/>
        <v>150000</v>
      </c>
      <c r="P2881" s="1080"/>
      <c r="Q2881" s="1829"/>
      <c r="R2881" s="1829"/>
      <c r="S2881" s="1829"/>
      <c r="T2881" s="1829"/>
      <c r="U2881" s="1829"/>
      <c r="V2881" s="1829"/>
      <c r="W2881" s="1829"/>
      <c r="X2881" s="1829"/>
      <c r="Y2881" s="1829"/>
      <c r="Z2881" s="1829"/>
      <c r="AA2881" s="1829"/>
      <c r="AB2881" s="1829"/>
      <c r="AC2881" s="1829"/>
      <c r="AD2881" s="1829"/>
      <c r="AE2881" s="1829"/>
      <c r="AF2881" s="1829"/>
      <c r="AG2881" s="1829"/>
      <c r="AH2881" s="1829"/>
      <c r="AI2881" s="1829"/>
      <c r="AJ2881" s="1829"/>
      <c r="AK2881" s="1829"/>
      <c r="AL2881" s="1829"/>
      <c r="AM2881" s="1829"/>
      <c r="AN2881" s="1829"/>
      <c r="AO2881" s="1829"/>
      <c r="AP2881" s="1829"/>
      <c r="AQ2881" s="1829"/>
      <c r="AR2881" s="1829"/>
      <c r="AS2881" s="1829"/>
      <c r="AT2881" s="1829"/>
      <c r="AU2881" s="1829"/>
      <c r="AV2881" s="1829"/>
      <c r="AW2881" s="1829"/>
      <c r="AX2881" s="1829"/>
      <c r="AY2881" s="1829"/>
      <c r="AZ2881" s="1829"/>
      <c r="BA2881" s="1829"/>
      <c r="BB2881" s="1829"/>
      <c r="BC2881" s="1829"/>
      <c r="BD2881" s="1829"/>
      <c r="BE2881" s="1829"/>
      <c r="BF2881" s="1829"/>
      <c r="BG2881" s="1829"/>
      <c r="BH2881" s="1829"/>
      <c r="BI2881" s="1829"/>
      <c r="BJ2881" s="1829"/>
      <c r="BK2881" s="1829"/>
      <c r="BL2881" s="1829"/>
      <c r="BM2881" s="1829"/>
      <c r="BN2881" s="1829"/>
      <c r="BO2881" s="1829"/>
      <c r="BP2881" s="1829"/>
      <c r="BQ2881" s="1829"/>
      <c r="BR2881" s="1829"/>
      <c r="BS2881" s="1829"/>
      <c r="BT2881" s="1829"/>
      <c r="BU2881" s="1829"/>
      <c r="BV2881" s="1829"/>
      <c r="BW2881" s="1829"/>
      <c r="BX2881" s="1829"/>
      <c r="BY2881" s="1829"/>
      <c r="BZ2881" s="1829"/>
      <c r="CA2881" s="1829"/>
      <c r="CB2881" s="1829"/>
      <c r="CC2881" s="1829"/>
      <c r="CD2881" s="1829"/>
      <c r="CE2881" s="1829"/>
      <c r="CF2881" s="1829"/>
      <c r="CG2881" s="1829"/>
      <c r="CH2881" s="1829"/>
      <c r="CI2881" s="1829"/>
      <c r="CJ2881" s="1829"/>
      <c r="CK2881" s="1829"/>
    </row>
    <row r="2882" spans="1:89" s="1081" customFormat="1" ht="20.25" customHeight="1" x14ac:dyDescent="0.25">
      <c r="A2882" s="1074">
        <v>19</v>
      </c>
      <c r="B2882" s="1083" t="s">
        <v>1597</v>
      </c>
      <c r="C2882" s="1075">
        <v>1</v>
      </c>
      <c r="D2882" s="1076" t="s">
        <v>16</v>
      </c>
      <c r="E2882" s="1077">
        <v>150000</v>
      </c>
      <c r="F2882" s="1078"/>
      <c r="G2882" s="1078"/>
      <c r="H2882" s="1078"/>
      <c r="I2882" s="1078"/>
      <c r="J2882" s="1078">
        <f t="shared" si="260"/>
        <v>150000</v>
      </c>
      <c r="K2882" s="1078">
        <f t="shared" si="258"/>
        <v>150000</v>
      </c>
      <c r="L2882" s="1078"/>
      <c r="M2882" s="1078"/>
      <c r="N2882" s="1078"/>
      <c r="O2882" s="1079">
        <f t="shared" si="259"/>
        <v>150000</v>
      </c>
      <c r="P2882" s="1080"/>
      <c r="Q2882" s="1829"/>
      <c r="R2882" s="1829"/>
      <c r="S2882" s="1829"/>
      <c r="T2882" s="1829"/>
      <c r="U2882" s="1829"/>
      <c r="V2882" s="1829"/>
      <c r="W2882" s="1829"/>
      <c r="X2882" s="1829"/>
      <c r="Y2882" s="1829"/>
      <c r="Z2882" s="1829"/>
      <c r="AA2882" s="1829"/>
      <c r="AB2882" s="1829"/>
      <c r="AC2882" s="1829"/>
      <c r="AD2882" s="1829"/>
      <c r="AE2882" s="1829"/>
      <c r="AF2882" s="1829"/>
      <c r="AG2882" s="1829"/>
      <c r="AH2882" s="1829"/>
      <c r="AI2882" s="1829"/>
      <c r="AJ2882" s="1829"/>
      <c r="AK2882" s="1829"/>
      <c r="AL2882" s="1829"/>
      <c r="AM2882" s="1829"/>
      <c r="AN2882" s="1829"/>
      <c r="AO2882" s="1829"/>
      <c r="AP2882" s="1829"/>
      <c r="AQ2882" s="1829"/>
      <c r="AR2882" s="1829"/>
      <c r="AS2882" s="1829"/>
      <c r="AT2882" s="1829"/>
      <c r="AU2882" s="1829"/>
      <c r="AV2882" s="1829"/>
      <c r="AW2882" s="1829"/>
      <c r="AX2882" s="1829"/>
      <c r="AY2882" s="1829"/>
      <c r="AZ2882" s="1829"/>
      <c r="BA2882" s="1829"/>
      <c r="BB2882" s="1829"/>
      <c r="BC2882" s="1829"/>
      <c r="BD2882" s="1829"/>
      <c r="BE2882" s="1829"/>
      <c r="BF2882" s="1829"/>
      <c r="BG2882" s="1829"/>
      <c r="BH2882" s="1829"/>
      <c r="BI2882" s="1829"/>
      <c r="BJ2882" s="1829"/>
      <c r="BK2882" s="1829"/>
      <c r="BL2882" s="1829"/>
      <c r="BM2882" s="1829"/>
      <c r="BN2882" s="1829"/>
      <c r="BO2882" s="1829"/>
      <c r="BP2882" s="1829"/>
      <c r="BQ2882" s="1829"/>
      <c r="BR2882" s="1829"/>
      <c r="BS2882" s="1829"/>
      <c r="BT2882" s="1829"/>
      <c r="BU2882" s="1829"/>
      <c r="BV2882" s="1829"/>
      <c r="BW2882" s="1829"/>
      <c r="BX2882" s="1829"/>
      <c r="BY2882" s="1829"/>
      <c r="BZ2882" s="1829"/>
      <c r="CA2882" s="1829"/>
      <c r="CB2882" s="1829"/>
      <c r="CC2882" s="1829"/>
      <c r="CD2882" s="1829"/>
      <c r="CE2882" s="1829"/>
      <c r="CF2882" s="1829"/>
      <c r="CG2882" s="1829"/>
      <c r="CH2882" s="1829"/>
      <c r="CI2882" s="1829"/>
      <c r="CJ2882" s="1829"/>
      <c r="CK2882" s="1829"/>
    </row>
    <row r="2883" spans="1:89" s="1081" customFormat="1" ht="20.25" customHeight="1" x14ac:dyDescent="0.25">
      <c r="A2883" s="1074">
        <v>20</v>
      </c>
      <c r="B2883" s="1083" t="s">
        <v>1598</v>
      </c>
      <c r="C2883" s="1075">
        <v>1</v>
      </c>
      <c r="D2883" s="1076" t="s">
        <v>16</v>
      </c>
      <c r="E2883" s="1077">
        <v>250000</v>
      </c>
      <c r="F2883" s="1078"/>
      <c r="G2883" s="1078"/>
      <c r="H2883" s="1078"/>
      <c r="I2883" s="1078"/>
      <c r="J2883" s="1078">
        <f t="shared" si="260"/>
        <v>250000</v>
      </c>
      <c r="K2883" s="1078">
        <f t="shared" si="258"/>
        <v>250000</v>
      </c>
      <c r="L2883" s="1078"/>
      <c r="M2883" s="1078"/>
      <c r="N2883" s="1078"/>
      <c r="O2883" s="1079">
        <f t="shared" si="259"/>
        <v>250000</v>
      </c>
      <c r="P2883" s="1080"/>
      <c r="Q2883" s="1829"/>
      <c r="R2883" s="1829"/>
      <c r="S2883" s="1829"/>
      <c r="T2883" s="1829"/>
      <c r="U2883" s="1829"/>
      <c r="V2883" s="1829"/>
      <c r="W2883" s="1829"/>
      <c r="X2883" s="1829"/>
      <c r="Y2883" s="1829"/>
      <c r="Z2883" s="1829"/>
      <c r="AA2883" s="1829"/>
      <c r="AB2883" s="1829"/>
      <c r="AC2883" s="1829"/>
      <c r="AD2883" s="1829"/>
      <c r="AE2883" s="1829"/>
      <c r="AF2883" s="1829"/>
      <c r="AG2883" s="1829"/>
      <c r="AH2883" s="1829"/>
      <c r="AI2883" s="1829"/>
      <c r="AJ2883" s="1829"/>
      <c r="AK2883" s="1829"/>
      <c r="AL2883" s="1829"/>
      <c r="AM2883" s="1829"/>
      <c r="AN2883" s="1829"/>
      <c r="AO2883" s="1829"/>
      <c r="AP2883" s="1829"/>
      <c r="AQ2883" s="1829"/>
      <c r="AR2883" s="1829"/>
      <c r="AS2883" s="1829"/>
      <c r="AT2883" s="1829"/>
      <c r="AU2883" s="1829"/>
      <c r="AV2883" s="1829"/>
      <c r="AW2883" s="1829"/>
      <c r="AX2883" s="1829"/>
      <c r="AY2883" s="1829"/>
      <c r="AZ2883" s="1829"/>
      <c r="BA2883" s="1829"/>
      <c r="BB2883" s="1829"/>
      <c r="BC2883" s="1829"/>
      <c r="BD2883" s="1829"/>
      <c r="BE2883" s="1829"/>
      <c r="BF2883" s="1829"/>
      <c r="BG2883" s="1829"/>
      <c r="BH2883" s="1829"/>
      <c r="BI2883" s="1829"/>
      <c r="BJ2883" s="1829"/>
      <c r="BK2883" s="1829"/>
      <c r="BL2883" s="1829"/>
      <c r="BM2883" s="1829"/>
      <c r="BN2883" s="1829"/>
      <c r="BO2883" s="1829"/>
      <c r="BP2883" s="1829"/>
      <c r="BQ2883" s="1829"/>
      <c r="BR2883" s="1829"/>
      <c r="BS2883" s="1829"/>
      <c r="BT2883" s="1829"/>
      <c r="BU2883" s="1829"/>
      <c r="BV2883" s="1829"/>
      <c r="BW2883" s="1829"/>
      <c r="BX2883" s="1829"/>
      <c r="BY2883" s="1829"/>
      <c r="BZ2883" s="1829"/>
      <c r="CA2883" s="1829"/>
      <c r="CB2883" s="1829"/>
      <c r="CC2883" s="1829"/>
      <c r="CD2883" s="1829"/>
      <c r="CE2883" s="1829"/>
      <c r="CF2883" s="1829"/>
      <c r="CG2883" s="1829"/>
      <c r="CH2883" s="1829"/>
      <c r="CI2883" s="1829"/>
      <c r="CJ2883" s="1829"/>
      <c r="CK2883" s="1829"/>
    </row>
    <row r="2884" spans="1:89" s="1691" customFormat="1" ht="37.5" customHeight="1" x14ac:dyDescent="0.25">
      <c r="A2884" s="1074">
        <v>21</v>
      </c>
      <c r="B2884" s="1082" t="s">
        <v>1599</v>
      </c>
      <c r="C2884" s="1075">
        <v>1</v>
      </c>
      <c r="D2884" s="1076" t="s">
        <v>16</v>
      </c>
      <c r="E2884" s="1077">
        <v>300000</v>
      </c>
      <c r="F2884" s="1077"/>
      <c r="G2884" s="1077"/>
      <c r="H2884" s="1077"/>
      <c r="I2884" s="1077"/>
      <c r="J2884" s="1077">
        <f t="shared" si="260"/>
        <v>300000</v>
      </c>
      <c r="K2884" s="1078">
        <f t="shared" si="258"/>
        <v>300000</v>
      </c>
      <c r="L2884" s="1077"/>
      <c r="M2884" s="1077"/>
      <c r="N2884" s="1078"/>
      <c r="O2884" s="1079">
        <f t="shared" si="259"/>
        <v>300000</v>
      </c>
      <c r="P2884" s="1080"/>
      <c r="Q2884" s="1830"/>
      <c r="R2884" s="1830"/>
      <c r="S2884" s="1830"/>
      <c r="T2884" s="1830"/>
      <c r="U2884" s="1830"/>
      <c r="V2884" s="1830"/>
      <c r="W2884" s="1830"/>
      <c r="X2884" s="1830"/>
      <c r="Y2884" s="1830"/>
      <c r="Z2884" s="1830"/>
      <c r="AA2884" s="1830"/>
      <c r="AB2884" s="1830"/>
      <c r="AC2884" s="1830"/>
      <c r="AD2884" s="1830"/>
      <c r="AE2884" s="1830"/>
      <c r="AF2884" s="1830"/>
      <c r="AG2884" s="1830"/>
      <c r="AH2884" s="1830"/>
      <c r="AI2884" s="1830"/>
      <c r="AJ2884" s="1830"/>
      <c r="AK2884" s="1830"/>
      <c r="AL2884" s="1830"/>
      <c r="AM2884" s="1830"/>
      <c r="AN2884" s="1830"/>
      <c r="AO2884" s="1830"/>
      <c r="AP2884" s="1830"/>
      <c r="AQ2884" s="1830"/>
      <c r="AR2884" s="1830"/>
      <c r="AS2884" s="1830"/>
      <c r="AT2884" s="1830"/>
      <c r="AU2884" s="1830"/>
      <c r="AV2884" s="1830"/>
      <c r="AW2884" s="1830"/>
      <c r="AX2884" s="1830"/>
      <c r="AY2884" s="1830"/>
      <c r="AZ2884" s="1830"/>
      <c r="BA2884" s="1830"/>
      <c r="BB2884" s="1830"/>
      <c r="BC2884" s="1830"/>
      <c r="BD2884" s="1830"/>
      <c r="BE2884" s="1830"/>
      <c r="BF2884" s="1830"/>
      <c r="BG2884" s="1830"/>
      <c r="BH2884" s="1830"/>
      <c r="BI2884" s="1830"/>
      <c r="BJ2884" s="1830"/>
      <c r="BK2884" s="1830"/>
      <c r="BL2884" s="1830"/>
      <c r="BM2884" s="1830"/>
      <c r="BN2884" s="1830"/>
      <c r="BO2884" s="1830"/>
      <c r="BP2884" s="1830"/>
      <c r="BQ2884" s="1830"/>
      <c r="BR2884" s="1830"/>
      <c r="BS2884" s="1830"/>
      <c r="BT2884" s="1830"/>
      <c r="BU2884" s="1830"/>
      <c r="BV2884" s="1830"/>
      <c r="BW2884" s="1830"/>
      <c r="BX2884" s="1830"/>
      <c r="BY2884" s="1830"/>
      <c r="BZ2884" s="1830"/>
      <c r="CA2884" s="1830"/>
      <c r="CB2884" s="1830"/>
      <c r="CC2884" s="1830"/>
      <c r="CD2884" s="1830"/>
      <c r="CE2884" s="1830"/>
      <c r="CF2884" s="1830"/>
      <c r="CG2884" s="1830"/>
      <c r="CH2884" s="1830"/>
      <c r="CI2884" s="1830"/>
      <c r="CJ2884" s="1830"/>
      <c r="CK2884" s="1830"/>
    </row>
    <row r="2885" spans="1:89" s="1081" customFormat="1" ht="20.25" customHeight="1" x14ac:dyDescent="0.25">
      <c r="A2885" s="1074">
        <v>22</v>
      </c>
      <c r="B2885" s="1083" t="s">
        <v>2075</v>
      </c>
      <c r="C2885" s="1075">
        <v>1</v>
      </c>
      <c r="D2885" s="1076" t="s">
        <v>16</v>
      </c>
      <c r="E2885" s="1077">
        <v>300000</v>
      </c>
      <c r="F2885" s="1078"/>
      <c r="G2885" s="1078"/>
      <c r="H2885" s="1078"/>
      <c r="I2885" s="1078"/>
      <c r="J2885" s="1078">
        <f t="shared" si="260"/>
        <v>300000</v>
      </c>
      <c r="K2885" s="1078">
        <f t="shared" si="258"/>
        <v>300000</v>
      </c>
      <c r="L2885" s="1078"/>
      <c r="M2885" s="1078"/>
      <c r="N2885" s="1078"/>
      <c r="O2885" s="1079">
        <f t="shared" si="259"/>
        <v>300000</v>
      </c>
      <c r="P2885" s="1080"/>
      <c r="Q2885" s="1829"/>
      <c r="R2885" s="1829"/>
      <c r="S2885" s="1829"/>
      <c r="T2885" s="1829"/>
      <c r="U2885" s="1829"/>
      <c r="V2885" s="1829"/>
      <c r="W2885" s="1829"/>
      <c r="X2885" s="1829"/>
      <c r="Y2885" s="1829"/>
      <c r="Z2885" s="1829"/>
      <c r="AA2885" s="1829"/>
      <c r="AB2885" s="1829"/>
      <c r="AC2885" s="1829"/>
      <c r="AD2885" s="1829"/>
      <c r="AE2885" s="1829"/>
      <c r="AF2885" s="1829"/>
      <c r="AG2885" s="1829"/>
      <c r="AH2885" s="1829"/>
      <c r="AI2885" s="1829"/>
      <c r="AJ2885" s="1829"/>
      <c r="AK2885" s="1829"/>
      <c r="AL2885" s="1829"/>
      <c r="AM2885" s="1829"/>
      <c r="AN2885" s="1829"/>
      <c r="AO2885" s="1829"/>
      <c r="AP2885" s="1829"/>
      <c r="AQ2885" s="1829"/>
      <c r="AR2885" s="1829"/>
      <c r="AS2885" s="1829"/>
      <c r="AT2885" s="1829"/>
      <c r="AU2885" s="1829"/>
      <c r="AV2885" s="1829"/>
      <c r="AW2885" s="1829"/>
      <c r="AX2885" s="1829"/>
      <c r="AY2885" s="1829"/>
      <c r="AZ2885" s="1829"/>
      <c r="BA2885" s="1829"/>
      <c r="BB2885" s="1829"/>
      <c r="BC2885" s="1829"/>
      <c r="BD2885" s="1829"/>
      <c r="BE2885" s="1829"/>
      <c r="BF2885" s="1829"/>
      <c r="BG2885" s="1829"/>
      <c r="BH2885" s="1829"/>
      <c r="BI2885" s="1829"/>
      <c r="BJ2885" s="1829"/>
      <c r="BK2885" s="1829"/>
      <c r="BL2885" s="1829"/>
      <c r="BM2885" s="1829"/>
      <c r="BN2885" s="1829"/>
      <c r="BO2885" s="1829"/>
      <c r="BP2885" s="1829"/>
      <c r="BQ2885" s="1829"/>
      <c r="BR2885" s="1829"/>
      <c r="BS2885" s="1829"/>
      <c r="BT2885" s="1829"/>
      <c r="BU2885" s="1829"/>
      <c r="BV2885" s="1829"/>
      <c r="BW2885" s="1829"/>
      <c r="BX2885" s="1829"/>
      <c r="BY2885" s="1829"/>
      <c r="BZ2885" s="1829"/>
      <c r="CA2885" s="1829"/>
      <c r="CB2885" s="1829"/>
      <c r="CC2885" s="1829"/>
      <c r="CD2885" s="1829"/>
      <c r="CE2885" s="1829"/>
      <c r="CF2885" s="1829"/>
      <c r="CG2885" s="1829"/>
      <c r="CH2885" s="1829"/>
      <c r="CI2885" s="1829"/>
      <c r="CJ2885" s="1829"/>
      <c r="CK2885" s="1829"/>
    </row>
    <row r="2886" spans="1:89" s="1081" customFormat="1" ht="20.25" customHeight="1" x14ac:dyDescent="0.25">
      <c r="A2886" s="1074">
        <v>23</v>
      </c>
      <c r="B2886" s="1083" t="s">
        <v>1600</v>
      </c>
      <c r="C2886" s="1075">
        <v>1</v>
      </c>
      <c r="D2886" s="1076" t="s">
        <v>16</v>
      </c>
      <c r="E2886" s="1077">
        <v>200000</v>
      </c>
      <c r="F2886" s="1078"/>
      <c r="G2886" s="1078"/>
      <c r="H2886" s="1078"/>
      <c r="I2886" s="1078"/>
      <c r="J2886" s="1078">
        <f t="shared" si="260"/>
        <v>200000</v>
      </c>
      <c r="K2886" s="1078">
        <f t="shared" si="258"/>
        <v>200000</v>
      </c>
      <c r="L2886" s="1078"/>
      <c r="M2886" s="1078"/>
      <c r="N2886" s="1078"/>
      <c r="O2886" s="1079">
        <f t="shared" si="259"/>
        <v>200000</v>
      </c>
      <c r="P2886" s="1080"/>
      <c r="Q2886" s="1829"/>
      <c r="R2886" s="1829"/>
      <c r="S2886" s="1829"/>
      <c r="T2886" s="1829"/>
      <c r="U2886" s="1829"/>
      <c r="V2886" s="1829"/>
      <c r="W2886" s="1829"/>
      <c r="X2886" s="1829"/>
      <c r="Y2886" s="1829"/>
      <c r="Z2886" s="1829"/>
      <c r="AA2886" s="1829"/>
      <c r="AB2886" s="1829"/>
      <c r="AC2886" s="1829"/>
      <c r="AD2886" s="1829"/>
      <c r="AE2886" s="1829"/>
      <c r="AF2886" s="1829"/>
      <c r="AG2886" s="1829"/>
      <c r="AH2886" s="1829"/>
      <c r="AI2886" s="1829"/>
      <c r="AJ2886" s="1829"/>
      <c r="AK2886" s="1829"/>
      <c r="AL2886" s="1829"/>
      <c r="AM2886" s="1829"/>
      <c r="AN2886" s="1829"/>
      <c r="AO2886" s="1829"/>
      <c r="AP2886" s="1829"/>
      <c r="AQ2886" s="1829"/>
      <c r="AR2886" s="1829"/>
      <c r="AS2886" s="1829"/>
      <c r="AT2886" s="1829"/>
      <c r="AU2886" s="1829"/>
      <c r="AV2886" s="1829"/>
      <c r="AW2886" s="1829"/>
      <c r="AX2886" s="1829"/>
      <c r="AY2886" s="1829"/>
      <c r="AZ2886" s="1829"/>
      <c r="BA2886" s="1829"/>
      <c r="BB2886" s="1829"/>
      <c r="BC2886" s="1829"/>
      <c r="BD2886" s="1829"/>
      <c r="BE2886" s="1829"/>
      <c r="BF2886" s="1829"/>
      <c r="BG2886" s="1829"/>
      <c r="BH2886" s="1829"/>
      <c r="BI2886" s="1829"/>
      <c r="BJ2886" s="1829"/>
      <c r="BK2886" s="1829"/>
      <c r="BL2886" s="1829"/>
      <c r="BM2886" s="1829"/>
      <c r="BN2886" s="1829"/>
      <c r="BO2886" s="1829"/>
      <c r="BP2886" s="1829"/>
      <c r="BQ2886" s="1829"/>
      <c r="BR2886" s="1829"/>
      <c r="BS2886" s="1829"/>
      <c r="BT2886" s="1829"/>
      <c r="BU2886" s="1829"/>
      <c r="BV2886" s="1829"/>
      <c r="BW2886" s="1829"/>
      <c r="BX2886" s="1829"/>
      <c r="BY2886" s="1829"/>
      <c r="BZ2886" s="1829"/>
      <c r="CA2886" s="1829"/>
      <c r="CB2886" s="1829"/>
      <c r="CC2886" s="1829"/>
      <c r="CD2886" s="1829"/>
      <c r="CE2886" s="1829"/>
      <c r="CF2886" s="1829"/>
      <c r="CG2886" s="1829"/>
      <c r="CH2886" s="1829"/>
      <c r="CI2886" s="1829"/>
      <c r="CJ2886" s="1829"/>
      <c r="CK2886" s="1829"/>
    </row>
    <row r="2887" spans="1:89" s="1081" customFormat="1" ht="20.25" customHeight="1" x14ac:dyDescent="0.25">
      <c r="A2887" s="1074">
        <v>24</v>
      </c>
      <c r="B2887" s="1082" t="s">
        <v>1601</v>
      </c>
      <c r="C2887" s="1075">
        <v>1</v>
      </c>
      <c r="D2887" s="1076" t="s">
        <v>16</v>
      </c>
      <c r="E2887" s="1077">
        <v>150000</v>
      </c>
      <c r="F2887" s="1078"/>
      <c r="G2887" s="1078"/>
      <c r="H2887" s="1078"/>
      <c r="I2887" s="1078"/>
      <c r="J2887" s="1078">
        <f t="shared" si="260"/>
        <v>150000</v>
      </c>
      <c r="K2887" s="1078">
        <f t="shared" si="258"/>
        <v>150000</v>
      </c>
      <c r="L2887" s="1078"/>
      <c r="M2887" s="1078"/>
      <c r="N2887" s="1078"/>
      <c r="O2887" s="1079">
        <f t="shared" si="259"/>
        <v>150000</v>
      </c>
      <c r="P2887" s="1080"/>
      <c r="Q2887" s="1829"/>
      <c r="R2887" s="1829"/>
      <c r="S2887" s="1829"/>
      <c r="T2887" s="1829"/>
      <c r="U2887" s="1829"/>
      <c r="V2887" s="1829"/>
      <c r="W2887" s="1829"/>
      <c r="X2887" s="1829"/>
      <c r="Y2887" s="1829"/>
      <c r="Z2887" s="1829"/>
      <c r="AA2887" s="1829"/>
      <c r="AB2887" s="1829"/>
      <c r="AC2887" s="1829"/>
      <c r="AD2887" s="1829"/>
      <c r="AE2887" s="1829"/>
      <c r="AF2887" s="1829"/>
      <c r="AG2887" s="1829"/>
      <c r="AH2887" s="1829"/>
      <c r="AI2887" s="1829"/>
      <c r="AJ2887" s="1829"/>
      <c r="AK2887" s="1829"/>
      <c r="AL2887" s="1829"/>
      <c r="AM2887" s="1829"/>
      <c r="AN2887" s="1829"/>
      <c r="AO2887" s="1829"/>
      <c r="AP2887" s="1829"/>
      <c r="AQ2887" s="1829"/>
      <c r="AR2887" s="1829"/>
      <c r="AS2887" s="1829"/>
      <c r="AT2887" s="1829"/>
      <c r="AU2887" s="1829"/>
      <c r="AV2887" s="1829"/>
      <c r="AW2887" s="1829"/>
      <c r="AX2887" s="1829"/>
      <c r="AY2887" s="1829"/>
      <c r="AZ2887" s="1829"/>
      <c r="BA2887" s="1829"/>
      <c r="BB2887" s="1829"/>
      <c r="BC2887" s="1829"/>
      <c r="BD2887" s="1829"/>
      <c r="BE2887" s="1829"/>
      <c r="BF2887" s="1829"/>
      <c r="BG2887" s="1829"/>
      <c r="BH2887" s="1829"/>
      <c r="BI2887" s="1829"/>
      <c r="BJ2887" s="1829"/>
      <c r="BK2887" s="1829"/>
      <c r="BL2887" s="1829"/>
      <c r="BM2887" s="1829"/>
      <c r="BN2887" s="1829"/>
      <c r="BO2887" s="1829"/>
      <c r="BP2887" s="1829"/>
      <c r="BQ2887" s="1829"/>
      <c r="BR2887" s="1829"/>
      <c r="BS2887" s="1829"/>
      <c r="BT2887" s="1829"/>
      <c r="BU2887" s="1829"/>
      <c r="BV2887" s="1829"/>
      <c r="BW2887" s="1829"/>
      <c r="BX2887" s="1829"/>
      <c r="BY2887" s="1829"/>
      <c r="BZ2887" s="1829"/>
      <c r="CA2887" s="1829"/>
      <c r="CB2887" s="1829"/>
      <c r="CC2887" s="1829"/>
      <c r="CD2887" s="1829"/>
      <c r="CE2887" s="1829"/>
      <c r="CF2887" s="1829"/>
      <c r="CG2887" s="1829"/>
      <c r="CH2887" s="1829"/>
      <c r="CI2887" s="1829"/>
      <c r="CJ2887" s="1829"/>
      <c r="CK2887" s="1829"/>
    </row>
    <row r="2888" spans="1:89" s="1081" customFormat="1" ht="24" customHeight="1" x14ac:dyDescent="0.25">
      <c r="A2888" s="1074">
        <v>25</v>
      </c>
      <c r="B2888" s="1082" t="s">
        <v>2076</v>
      </c>
      <c r="C2888" s="1075">
        <v>1</v>
      </c>
      <c r="D2888" s="1076" t="s">
        <v>16</v>
      </c>
      <c r="E2888" s="1077">
        <v>250000</v>
      </c>
      <c r="F2888" s="1078"/>
      <c r="G2888" s="1078"/>
      <c r="H2888" s="1078"/>
      <c r="I2888" s="1078"/>
      <c r="J2888" s="1078">
        <f t="shared" si="260"/>
        <v>250000</v>
      </c>
      <c r="K2888" s="1078">
        <f t="shared" si="258"/>
        <v>250000</v>
      </c>
      <c r="L2888" s="1078"/>
      <c r="M2888" s="1078"/>
      <c r="N2888" s="1078"/>
      <c r="O2888" s="1079">
        <f t="shared" si="259"/>
        <v>250000</v>
      </c>
      <c r="P2888" s="1080"/>
      <c r="Q2888" s="1829"/>
      <c r="R2888" s="1829"/>
      <c r="S2888" s="1829"/>
      <c r="T2888" s="1829"/>
      <c r="U2888" s="1829"/>
      <c r="V2888" s="1829"/>
      <c r="W2888" s="1829"/>
      <c r="X2888" s="1829"/>
      <c r="Y2888" s="1829"/>
      <c r="Z2888" s="1829"/>
      <c r="AA2888" s="1829"/>
      <c r="AB2888" s="1829"/>
      <c r="AC2888" s="1829"/>
      <c r="AD2888" s="1829"/>
      <c r="AE2888" s="1829"/>
      <c r="AF2888" s="1829"/>
      <c r="AG2888" s="1829"/>
      <c r="AH2888" s="1829"/>
      <c r="AI2888" s="1829"/>
      <c r="AJ2888" s="1829"/>
      <c r="AK2888" s="1829"/>
      <c r="AL2888" s="1829"/>
      <c r="AM2888" s="1829"/>
      <c r="AN2888" s="1829"/>
      <c r="AO2888" s="1829"/>
      <c r="AP2888" s="1829"/>
      <c r="AQ2888" s="1829"/>
      <c r="AR2888" s="1829"/>
      <c r="AS2888" s="1829"/>
      <c r="AT2888" s="1829"/>
      <c r="AU2888" s="1829"/>
      <c r="AV2888" s="1829"/>
      <c r="AW2888" s="1829"/>
      <c r="AX2888" s="1829"/>
      <c r="AY2888" s="1829"/>
      <c r="AZ2888" s="1829"/>
      <c r="BA2888" s="1829"/>
      <c r="BB2888" s="1829"/>
      <c r="BC2888" s="1829"/>
      <c r="BD2888" s="1829"/>
      <c r="BE2888" s="1829"/>
      <c r="BF2888" s="1829"/>
      <c r="BG2888" s="1829"/>
      <c r="BH2888" s="1829"/>
      <c r="BI2888" s="1829"/>
      <c r="BJ2888" s="1829"/>
      <c r="BK2888" s="1829"/>
      <c r="BL2888" s="1829"/>
      <c r="BM2888" s="1829"/>
      <c r="BN2888" s="1829"/>
      <c r="BO2888" s="1829"/>
      <c r="BP2888" s="1829"/>
      <c r="BQ2888" s="1829"/>
      <c r="BR2888" s="1829"/>
      <c r="BS2888" s="1829"/>
      <c r="BT2888" s="1829"/>
      <c r="BU2888" s="1829"/>
      <c r="BV2888" s="1829"/>
      <c r="BW2888" s="1829"/>
      <c r="BX2888" s="1829"/>
      <c r="BY2888" s="1829"/>
      <c r="BZ2888" s="1829"/>
      <c r="CA2888" s="1829"/>
      <c r="CB2888" s="1829"/>
      <c r="CC2888" s="1829"/>
      <c r="CD2888" s="1829"/>
      <c r="CE2888" s="1829"/>
      <c r="CF2888" s="1829"/>
      <c r="CG2888" s="1829"/>
      <c r="CH2888" s="1829"/>
      <c r="CI2888" s="1829"/>
      <c r="CJ2888" s="1829"/>
      <c r="CK2888" s="1829"/>
    </row>
    <row r="2889" spans="1:89" s="1081" customFormat="1" ht="21" customHeight="1" x14ac:dyDescent="0.25">
      <c r="A2889" s="1074">
        <v>26</v>
      </c>
      <c r="B2889" s="1082" t="s">
        <v>1602</v>
      </c>
      <c r="C2889" s="1075">
        <v>1</v>
      </c>
      <c r="D2889" s="1076" t="s">
        <v>16</v>
      </c>
      <c r="E2889" s="1077">
        <v>300000</v>
      </c>
      <c r="F2889" s="1078"/>
      <c r="G2889" s="1078"/>
      <c r="H2889" s="1078"/>
      <c r="I2889" s="1078"/>
      <c r="J2889" s="1078">
        <f t="shared" si="260"/>
        <v>300000</v>
      </c>
      <c r="K2889" s="1078">
        <f t="shared" si="258"/>
        <v>300000</v>
      </c>
      <c r="L2889" s="1078"/>
      <c r="M2889" s="1078"/>
      <c r="N2889" s="1078"/>
      <c r="O2889" s="1079">
        <f t="shared" si="259"/>
        <v>300000</v>
      </c>
      <c r="P2889" s="1080"/>
      <c r="Q2889" s="1829"/>
      <c r="R2889" s="1829"/>
      <c r="S2889" s="1829"/>
      <c r="T2889" s="1829"/>
      <c r="U2889" s="1829"/>
      <c r="V2889" s="1829"/>
      <c r="W2889" s="1829"/>
      <c r="X2889" s="1829"/>
      <c r="Y2889" s="1829"/>
      <c r="Z2889" s="1829"/>
      <c r="AA2889" s="1829"/>
      <c r="AB2889" s="1829"/>
      <c r="AC2889" s="1829"/>
      <c r="AD2889" s="1829"/>
      <c r="AE2889" s="1829"/>
      <c r="AF2889" s="1829"/>
      <c r="AG2889" s="1829"/>
      <c r="AH2889" s="1829"/>
      <c r="AI2889" s="1829"/>
      <c r="AJ2889" s="1829"/>
      <c r="AK2889" s="1829"/>
      <c r="AL2889" s="1829"/>
      <c r="AM2889" s="1829"/>
      <c r="AN2889" s="1829"/>
      <c r="AO2889" s="1829"/>
      <c r="AP2889" s="1829"/>
      <c r="AQ2889" s="1829"/>
      <c r="AR2889" s="1829"/>
      <c r="AS2889" s="1829"/>
      <c r="AT2889" s="1829"/>
      <c r="AU2889" s="1829"/>
      <c r="AV2889" s="1829"/>
      <c r="AW2889" s="1829"/>
      <c r="AX2889" s="1829"/>
      <c r="AY2889" s="1829"/>
      <c r="AZ2889" s="1829"/>
      <c r="BA2889" s="1829"/>
      <c r="BB2889" s="1829"/>
      <c r="BC2889" s="1829"/>
      <c r="BD2889" s="1829"/>
      <c r="BE2889" s="1829"/>
      <c r="BF2889" s="1829"/>
      <c r="BG2889" s="1829"/>
      <c r="BH2889" s="1829"/>
      <c r="BI2889" s="1829"/>
      <c r="BJ2889" s="1829"/>
      <c r="BK2889" s="1829"/>
      <c r="BL2889" s="1829"/>
      <c r="BM2889" s="1829"/>
      <c r="BN2889" s="1829"/>
      <c r="BO2889" s="1829"/>
      <c r="BP2889" s="1829"/>
      <c r="BQ2889" s="1829"/>
      <c r="BR2889" s="1829"/>
      <c r="BS2889" s="1829"/>
      <c r="BT2889" s="1829"/>
      <c r="BU2889" s="1829"/>
      <c r="BV2889" s="1829"/>
      <c r="BW2889" s="1829"/>
      <c r="BX2889" s="1829"/>
      <c r="BY2889" s="1829"/>
      <c r="BZ2889" s="1829"/>
      <c r="CA2889" s="1829"/>
      <c r="CB2889" s="1829"/>
      <c r="CC2889" s="1829"/>
      <c r="CD2889" s="1829"/>
      <c r="CE2889" s="1829"/>
      <c r="CF2889" s="1829"/>
      <c r="CG2889" s="1829"/>
      <c r="CH2889" s="1829"/>
      <c r="CI2889" s="1829"/>
      <c r="CJ2889" s="1829"/>
      <c r="CK2889" s="1829"/>
    </row>
    <row r="2890" spans="1:89" s="1081" customFormat="1" ht="21" customHeight="1" x14ac:dyDescent="0.25">
      <c r="A2890" s="1074">
        <v>27</v>
      </c>
      <c r="B2890" s="1082" t="s">
        <v>1603</v>
      </c>
      <c r="C2890" s="1075">
        <v>1</v>
      </c>
      <c r="D2890" s="1076" t="s">
        <v>16</v>
      </c>
      <c r="E2890" s="1077">
        <v>200000</v>
      </c>
      <c r="F2890" s="1078"/>
      <c r="G2890" s="1078"/>
      <c r="H2890" s="1078"/>
      <c r="I2890" s="1078"/>
      <c r="J2890" s="1078">
        <f t="shared" si="260"/>
        <v>200000</v>
      </c>
      <c r="K2890" s="1078">
        <f t="shared" si="258"/>
        <v>200000</v>
      </c>
      <c r="L2890" s="1078"/>
      <c r="M2890" s="1078"/>
      <c r="N2890" s="1078"/>
      <c r="O2890" s="1079">
        <f t="shared" si="259"/>
        <v>200000</v>
      </c>
      <c r="P2890" s="1080"/>
      <c r="Q2890" s="1829"/>
      <c r="R2890" s="1829"/>
      <c r="S2890" s="1829"/>
      <c r="T2890" s="1829"/>
      <c r="U2890" s="1829"/>
      <c r="V2890" s="1829"/>
      <c r="W2890" s="1829"/>
      <c r="X2890" s="1829"/>
      <c r="Y2890" s="1829"/>
      <c r="Z2890" s="1829"/>
      <c r="AA2890" s="1829"/>
      <c r="AB2890" s="1829"/>
      <c r="AC2890" s="1829"/>
      <c r="AD2890" s="1829"/>
      <c r="AE2890" s="1829"/>
      <c r="AF2890" s="1829"/>
      <c r="AG2890" s="1829"/>
      <c r="AH2890" s="1829"/>
      <c r="AI2890" s="1829"/>
      <c r="AJ2890" s="1829"/>
      <c r="AK2890" s="1829"/>
      <c r="AL2890" s="1829"/>
      <c r="AM2890" s="1829"/>
      <c r="AN2890" s="1829"/>
      <c r="AO2890" s="1829"/>
      <c r="AP2890" s="1829"/>
      <c r="AQ2890" s="1829"/>
      <c r="AR2890" s="1829"/>
      <c r="AS2890" s="1829"/>
      <c r="AT2890" s="1829"/>
      <c r="AU2890" s="1829"/>
      <c r="AV2890" s="1829"/>
      <c r="AW2890" s="1829"/>
      <c r="AX2890" s="1829"/>
      <c r="AY2890" s="1829"/>
      <c r="AZ2890" s="1829"/>
      <c r="BA2890" s="1829"/>
      <c r="BB2890" s="1829"/>
      <c r="BC2890" s="1829"/>
      <c r="BD2890" s="1829"/>
      <c r="BE2890" s="1829"/>
      <c r="BF2890" s="1829"/>
      <c r="BG2890" s="1829"/>
      <c r="BH2890" s="1829"/>
      <c r="BI2890" s="1829"/>
      <c r="BJ2890" s="1829"/>
      <c r="BK2890" s="1829"/>
      <c r="BL2890" s="1829"/>
      <c r="BM2890" s="1829"/>
      <c r="BN2890" s="1829"/>
      <c r="BO2890" s="1829"/>
      <c r="BP2890" s="1829"/>
      <c r="BQ2890" s="1829"/>
      <c r="BR2890" s="1829"/>
      <c r="BS2890" s="1829"/>
      <c r="BT2890" s="1829"/>
      <c r="BU2890" s="1829"/>
      <c r="BV2890" s="1829"/>
      <c r="BW2890" s="1829"/>
      <c r="BX2890" s="1829"/>
      <c r="BY2890" s="1829"/>
      <c r="BZ2890" s="1829"/>
      <c r="CA2890" s="1829"/>
      <c r="CB2890" s="1829"/>
      <c r="CC2890" s="1829"/>
      <c r="CD2890" s="1829"/>
      <c r="CE2890" s="1829"/>
      <c r="CF2890" s="1829"/>
      <c r="CG2890" s="1829"/>
      <c r="CH2890" s="1829"/>
      <c r="CI2890" s="1829"/>
      <c r="CJ2890" s="1829"/>
      <c r="CK2890" s="1829"/>
    </row>
    <row r="2891" spans="1:89" ht="21" customHeight="1" x14ac:dyDescent="0.25">
      <c r="A2891" s="764"/>
      <c r="B2891" s="711"/>
      <c r="C2891" s="772"/>
      <c r="D2891" s="766"/>
      <c r="E2891" s="767"/>
      <c r="F2891" s="714"/>
      <c r="G2891" s="714"/>
      <c r="H2891" s="714"/>
      <c r="I2891" s="714"/>
      <c r="J2891" s="714"/>
      <c r="K2891" s="714"/>
      <c r="L2891" s="714"/>
      <c r="M2891" s="714"/>
      <c r="N2891" s="714"/>
      <c r="O2891" s="753"/>
      <c r="P2891" s="754"/>
    </row>
    <row r="2892" spans="1:89" s="1081" customFormat="1" ht="21" customHeight="1" x14ac:dyDescent="0.25">
      <c r="A2892" s="1687" t="s">
        <v>1729</v>
      </c>
      <c r="B2892" s="1692" t="s">
        <v>1009</v>
      </c>
      <c r="C2892" s="1075"/>
      <c r="D2892" s="1076"/>
      <c r="E2892" s="1077"/>
      <c r="F2892" s="1078"/>
      <c r="G2892" s="1078"/>
      <c r="H2892" s="1078"/>
      <c r="I2892" s="1078"/>
      <c r="J2892" s="1078"/>
      <c r="K2892" s="1078"/>
      <c r="L2892" s="1078"/>
      <c r="M2892" s="1078"/>
      <c r="N2892" s="1078"/>
      <c r="O2892" s="1079"/>
      <c r="P2892" s="1080"/>
      <c r="Q2892" s="1829"/>
      <c r="R2892" s="1829"/>
      <c r="S2892" s="1829"/>
      <c r="T2892" s="1829"/>
      <c r="U2892" s="1829"/>
      <c r="V2892" s="1829"/>
      <c r="W2892" s="1829"/>
      <c r="X2892" s="1829"/>
      <c r="Y2892" s="1829"/>
      <c r="Z2892" s="1829"/>
      <c r="AA2892" s="1829"/>
      <c r="AB2892" s="1829"/>
      <c r="AC2892" s="1829"/>
      <c r="AD2892" s="1829"/>
      <c r="AE2892" s="1829"/>
      <c r="AF2892" s="1829"/>
      <c r="AG2892" s="1829"/>
      <c r="AH2892" s="1829"/>
      <c r="AI2892" s="1829"/>
      <c r="AJ2892" s="1829"/>
      <c r="AK2892" s="1829"/>
      <c r="AL2892" s="1829"/>
      <c r="AM2892" s="1829"/>
      <c r="AN2892" s="1829"/>
      <c r="AO2892" s="1829"/>
      <c r="AP2892" s="1829"/>
      <c r="AQ2892" s="1829"/>
      <c r="AR2892" s="1829"/>
      <c r="AS2892" s="1829"/>
      <c r="AT2892" s="1829"/>
      <c r="AU2892" s="1829"/>
      <c r="AV2892" s="1829"/>
      <c r="AW2892" s="1829"/>
      <c r="AX2892" s="1829"/>
      <c r="AY2892" s="1829"/>
      <c r="AZ2892" s="1829"/>
      <c r="BA2892" s="1829"/>
      <c r="BB2892" s="1829"/>
      <c r="BC2892" s="1829"/>
      <c r="BD2892" s="1829"/>
      <c r="BE2892" s="1829"/>
      <c r="BF2892" s="1829"/>
      <c r="BG2892" s="1829"/>
      <c r="BH2892" s="1829"/>
      <c r="BI2892" s="1829"/>
      <c r="BJ2892" s="1829"/>
      <c r="BK2892" s="1829"/>
      <c r="BL2892" s="1829"/>
      <c r="BM2892" s="1829"/>
      <c r="BN2892" s="1829"/>
      <c r="BO2892" s="1829"/>
      <c r="BP2892" s="1829"/>
      <c r="BQ2892" s="1829"/>
      <c r="BR2892" s="1829"/>
      <c r="BS2892" s="1829"/>
      <c r="BT2892" s="1829"/>
      <c r="BU2892" s="1829"/>
      <c r="BV2892" s="1829"/>
      <c r="BW2892" s="1829"/>
      <c r="BX2892" s="1829"/>
      <c r="BY2892" s="1829"/>
      <c r="BZ2892" s="1829"/>
      <c r="CA2892" s="1829"/>
      <c r="CB2892" s="1829"/>
      <c r="CC2892" s="1829"/>
      <c r="CD2892" s="1829"/>
      <c r="CE2892" s="1829"/>
      <c r="CF2892" s="1829"/>
      <c r="CG2892" s="1829"/>
      <c r="CH2892" s="1829"/>
      <c r="CI2892" s="1829"/>
      <c r="CJ2892" s="1829"/>
      <c r="CK2892" s="1829"/>
    </row>
    <row r="2893" spans="1:89" ht="21" customHeight="1" x14ac:dyDescent="0.25">
      <c r="A2893" s="764"/>
      <c r="B2893" s="759"/>
      <c r="C2893" s="772"/>
      <c r="D2893" s="766"/>
      <c r="E2893" s="767"/>
      <c r="F2893" s="767"/>
      <c r="G2893" s="767"/>
      <c r="H2893" s="767"/>
      <c r="I2893" s="767"/>
      <c r="J2893" s="767">
        <f>C2893*E2893</f>
        <v>0</v>
      </c>
      <c r="K2893" s="767">
        <f>I2893+J2893</f>
        <v>0</v>
      </c>
      <c r="L2893" s="767"/>
      <c r="M2893" s="767"/>
      <c r="N2893" s="768"/>
      <c r="O2893" s="769">
        <f>N2893+K2893+H2893</f>
        <v>0</v>
      </c>
      <c r="P2893" s="770"/>
    </row>
    <row r="2894" spans="1:89" ht="21" customHeight="1" x14ac:dyDescent="0.25">
      <c r="A2894" s="764"/>
      <c r="B2894" s="771" t="s">
        <v>984</v>
      </c>
      <c r="C2894" s="772"/>
      <c r="D2894" s="766"/>
      <c r="E2894" s="767"/>
      <c r="F2894" s="767"/>
      <c r="G2894" s="767"/>
      <c r="H2894" s="767"/>
      <c r="I2894" s="767"/>
      <c r="J2894" s="767">
        <f>C2894*E2894</f>
        <v>0</v>
      </c>
      <c r="K2894" s="767">
        <f>I2894+J2894</f>
        <v>0</v>
      </c>
      <c r="L2894" s="767"/>
      <c r="M2894" s="767"/>
      <c r="N2894" s="768"/>
      <c r="O2894" s="769">
        <f>N2894+K2894+H2894</f>
        <v>0</v>
      </c>
      <c r="P2894" s="770"/>
    </row>
    <row r="2895" spans="1:89" s="1081" customFormat="1" ht="21" customHeight="1" x14ac:dyDescent="0.25">
      <c r="A2895" s="1074">
        <v>1</v>
      </c>
      <c r="B2895" s="1082" t="s">
        <v>1010</v>
      </c>
      <c r="C2895" s="1075">
        <v>1</v>
      </c>
      <c r="D2895" s="1076" t="s">
        <v>16</v>
      </c>
      <c r="E2895" s="1077">
        <v>2500000</v>
      </c>
      <c r="F2895" s="1078"/>
      <c r="G2895" s="1078"/>
      <c r="H2895" s="1078"/>
      <c r="I2895" s="1078"/>
      <c r="J2895" s="1078"/>
      <c r="K2895" s="1078"/>
      <c r="L2895" s="1078">
        <f>E2895</f>
        <v>2500000</v>
      </c>
      <c r="M2895" s="1078"/>
      <c r="N2895" s="1078">
        <f t="shared" ref="N2895:N2909" si="261">L2895+M2895</f>
        <v>2500000</v>
      </c>
      <c r="O2895" s="1079">
        <f t="shared" ref="O2895:O2910" si="262">K2895+N2895</f>
        <v>2500000</v>
      </c>
      <c r="P2895" s="1080"/>
      <c r="Q2895" s="1829"/>
      <c r="R2895" s="1829"/>
      <c r="S2895" s="1829"/>
      <c r="T2895" s="1829"/>
      <c r="U2895" s="1829"/>
      <c r="V2895" s="1829"/>
      <c r="W2895" s="1829"/>
      <c r="X2895" s="1829"/>
      <c r="Y2895" s="1829"/>
      <c r="Z2895" s="1829"/>
      <c r="AA2895" s="1829"/>
      <c r="AB2895" s="1829"/>
      <c r="AC2895" s="1829"/>
      <c r="AD2895" s="1829"/>
      <c r="AE2895" s="1829"/>
      <c r="AF2895" s="1829"/>
      <c r="AG2895" s="1829"/>
      <c r="AH2895" s="1829"/>
      <c r="AI2895" s="1829"/>
      <c r="AJ2895" s="1829"/>
      <c r="AK2895" s="1829"/>
      <c r="AL2895" s="1829"/>
      <c r="AM2895" s="1829"/>
      <c r="AN2895" s="1829"/>
      <c r="AO2895" s="1829"/>
      <c r="AP2895" s="1829"/>
      <c r="AQ2895" s="1829"/>
      <c r="AR2895" s="1829"/>
      <c r="AS2895" s="1829"/>
      <c r="AT2895" s="1829"/>
      <c r="AU2895" s="1829"/>
      <c r="AV2895" s="1829"/>
      <c r="AW2895" s="1829"/>
      <c r="AX2895" s="1829"/>
      <c r="AY2895" s="1829"/>
      <c r="AZ2895" s="1829"/>
      <c r="BA2895" s="1829"/>
      <c r="BB2895" s="1829"/>
      <c r="BC2895" s="1829"/>
      <c r="BD2895" s="1829"/>
      <c r="BE2895" s="1829"/>
      <c r="BF2895" s="1829"/>
      <c r="BG2895" s="1829"/>
      <c r="BH2895" s="1829"/>
      <c r="BI2895" s="1829"/>
      <c r="BJ2895" s="1829"/>
      <c r="BK2895" s="1829"/>
      <c r="BL2895" s="1829"/>
      <c r="BM2895" s="1829"/>
      <c r="BN2895" s="1829"/>
      <c r="BO2895" s="1829"/>
      <c r="BP2895" s="1829"/>
      <c r="BQ2895" s="1829"/>
      <c r="BR2895" s="1829"/>
      <c r="BS2895" s="1829"/>
      <c r="BT2895" s="1829"/>
      <c r="BU2895" s="1829"/>
      <c r="BV2895" s="1829"/>
      <c r="BW2895" s="1829"/>
      <c r="BX2895" s="1829"/>
      <c r="BY2895" s="1829"/>
      <c r="BZ2895" s="1829"/>
      <c r="CA2895" s="1829"/>
      <c r="CB2895" s="1829"/>
      <c r="CC2895" s="1829"/>
      <c r="CD2895" s="1829"/>
      <c r="CE2895" s="1829"/>
      <c r="CF2895" s="1829"/>
      <c r="CG2895" s="1829"/>
      <c r="CH2895" s="1829"/>
      <c r="CI2895" s="1829"/>
      <c r="CJ2895" s="1829"/>
      <c r="CK2895" s="1829"/>
    </row>
    <row r="2896" spans="1:89" s="1081" customFormat="1" ht="21" customHeight="1" x14ac:dyDescent="0.25">
      <c r="A2896" s="1074">
        <v>2</v>
      </c>
      <c r="B2896" s="1082" t="s">
        <v>1011</v>
      </c>
      <c r="C2896" s="1075">
        <v>1</v>
      </c>
      <c r="D2896" s="1076" t="s">
        <v>16</v>
      </c>
      <c r="E2896" s="1077">
        <f>2000000+500000</f>
        <v>2500000</v>
      </c>
      <c r="F2896" s="1078"/>
      <c r="G2896" s="1078"/>
      <c r="H2896" s="1078"/>
      <c r="I2896" s="1078"/>
      <c r="J2896" s="1078"/>
      <c r="K2896" s="1078"/>
      <c r="L2896" s="1078">
        <f>E2896</f>
        <v>2500000</v>
      </c>
      <c r="M2896" s="1078"/>
      <c r="N2896" s="1078">
        <f t="shared" si="261"/>
        <v>2500000</v>
      </c>
      <c r="O2896" s="1079">
        <f t="shared" si="262"/>
        <v>2500000</v>
      </c>
      <c r="P2896" s="1080"/>
      <c r="Q2896" s="1829"/>
      <c r="R2896" s="1829"/>
      <c r="S2896" s="1829"/>
      <c r="T2896" s="1829"/>
      <c r="U2896" s="1829"/>
      <c r="V2896" s="1829"/>
      <c r="W2896" s="1829"/>
      <c r="X2896" s="1829"/>
      <c r="Y2896" s="1829"/>
      <c r="Z2896" s="1829"/>
      <c r="AA2896" s="1829"/>
      <c r="AB2896" s="1829"/>
      <c r="AC2896" s="1829"/>
      <c r="AD2896" s="1829"/>
      <c r="AE2896" s="1829"/>
      <c r="AF2896" s="1829"/>
      <c r="AG2896" s="1829"/>
      <c r="AH2896" s="1829"/>
      <c r="AI2896" s="1829"/>
      <c r="AJ2896" s="1829"/>
      <c r="AK2896" s="1829"/>
      <c r="AL2896" s="1829"/>
      <c r="AM2896" s="1829"/>
      <c r="AN2896" s="1829"/>
      <c r="AO2896" s="1829"/>
      <c r="AP2896" s="1829"/>
      <c r="AQ2896" s="1829"/>
      <c r="AR2896" s="1829"/>
      <c r="AS2896" s="1829"/>
      <c r="AT2896" s="1829"/>
      <c r="AU2896" s="1829"/>
      <c r="AV2896" s="1829"/>
      <c r="AW2896" s="1829"/>
      <c r="AX2896" s="1829"/>
      <c r="AY2896" s="1829"/>
      <c r="AZ2896" s="1829"/>
      <c r="BA2896" s="1829"/>
      <c r="BB2896" s="1829"/>
      <c r="BC2896" s="1829"/>
      <c r="BD2896" s="1829"/>
      <c r="BE2896" s="1829"/>
      <c r="BF2896" s="1829"/>
      <c r="BG2896" s="1829"/>
      <c r="BH2896" s="1829"/>
      <c r="BI2896" s="1829"/>
      <c r="BJ2896" s="1829"/>
      <c r="BK2896" s="1829"/>
      <c r="BL2896" s="1829"/>
      <c r="BM2896" s="1829"/>
      <c r="BN2896" s="1829"/>
      <c r="BO2896" s="1829"/>
      <c r="BP2896" s="1829"/>
      <c r="BQ2896" s="1829"/>
      <c r="BR2896" s="1829"/>
      <c r="BS2896" s="1829"/>
      <c r="BT2896" s="1829"/>
      <c r="BU2896" s="1829"/>
      <c r="BV2896" s="1829"/>
      <c r="BW2896" s="1829"/>
      <c r="BX2896" s="1829"/>
      <c r="BY2896" s="1829"/>
      <c r="BZ2896" s="1829"/>
      <c r="CA2896" s="1829"/>
      <c r="CB2896" s="1829"/>
      <c r="CC2896" s="1829"/>
      <c r="CD2896" s="1829"/>
      <c r="CE2896" s="1829"/>
      <c r="CF2896" s="1829"/>
      <c r="CG2896" s="1829"/>
      <c r="CH2896" s="1829"/>
      <c r="CI2896" s="1829"/>
      <c r="CJ2896" s="1829"/>
      <c r="CK2896" s="1829"/>
    </row>
    <row r="2897" spans="1:89" s="1081" customFormat="1" ht="30" customHeight="1" x14ac:dyDescent="0.25">
      <c r="A2897" s="1074">
        <v>3</v>
      </c>
      <c r="B2897" s="1082" t="s">
        <v>1012</v>
      </c>
      <c r="C2897" s="1075">
        <v>1</v>
      </c>
      <c r="D2897" s="1076" t="s">
        <v>16</v>
      </c>
      <c r="E2897" s="1077">
        <f>2000000+500000</f>
        <v>2500000</v>
      </c>
      <c r="F2897" s="1078"/>
      <c r="G2897" s="1078"/>
      <c r="H2897" s="1078"/>
      <c r="I2897" s="1078"/>
      <c r="J2897" s="1078"/>
      <c r="K2897" s="1078"/>
      <c r="L2897" s="1078">
        <f>E2897</f>
        <v>2500000</v>
      </c>
      <c r="M2897" s="1078"/>
      <c r="N2897" s="1078">
        <f t="shared" si="261"/>
        <v>2500000</v>
      </c>
      <c r="O2897" s="1079">
        <f t="shared" si="262"/>
        <v>2500000</v>
      </c>
      <c r="P2897" s="1080"/>
      <c r="Q2897" s="1829"/>
      <c r="R2897" s="1829"/>
      <c r="S2897" s="1829"/>
      <c r="T2897" s="1829"/>
      <c r="U2897" s="1829"/>
      <c r="V2897" s="1829"/>
      <c r="W2897" s="1829"/>
      <c r="X2897" s="1829"/>
      <c r="Y2897" s="1829"/>
      <c r="Z2897" s="1829"/>
      <c r="AA2897" s="1829"/>
      <c r="AB2897" s="1829"/>
      <c r="AC2897" s="1829"/>
      <c r="AD2897" s="1829"/>
      <c r="AE2897" s="1829"/>
      <c r="AF2897" s="1829"/>
      <c r="AG2897" s="1829"/>
      <c r="AH2897" s="1829"/>
      <c r="AI2897" s="1829"/>
      <c r="AJ2897" s="1829"/>
      <c r="AK2897" s="1829"/>
      <c r="AL2897" s="1829"/>
      <c r="AM2897" s="1829"/>
      <c r="AN2897" s="1829"/>
      <c r="AO2897" s="1829"/>
      <c r="AP2897" s="1829"/>
      <c r="AQ2897" s="1829"/>
      <c r="AR2897" s="1829"/>
      <c r="AS2897" s="1829"/>
      <c r="AT2897" s="1829"/>
      <c r="AU2897" s="1829"/>
      <c r="AV2897" s="1829"/>
      <c r="AW2897" s="1829"/>
      <c r="AX2897" s="1829"/>
      <c r="AY2897" s="1829"/>
      <c r="AZ2897" s="1829"/>
      <c r="BA2897" s="1829"/>
      <c r="BB2897" s="1829"/>
      <c r="BC2897" s="1829"/>
      <c r="BD2897" s="1829"/>
      <c r="BE2897" s="1829"/>
      <c r="BF2897" s="1829"/>
      <c r="BG2897" s="1829"/>
      <c r="BH2897" s="1829"/>
      <c r="BI2897" s="1829"/>
      <c r="BJ2897" s="1829"/>
      <c r="BK2897" s="1829"/>
      <c r="BL2897" s="1829"/>
      <c r="BM2897" s="1829"/>
      <c r="BN2897" s="1829"/>
      <c r="BO2897" s="1829"/>
      <c r="BP2897" s="1829"/>
      <c r="BQ2897" s="1829"/>
      <c r="BR2897" s="1829"/>
      <c r="BS2897" s="1829"/>
      <c r="BT2897" s="1829"/>
      <c r="BU2897" s="1829"/>
      <c r="BV2897" s="1829"/>
      <c r="BW2897" s="1829"/>
      <c r="BX2897" s="1829"/>
      <c r="BY2897" s="1829"/>
      <c r="BZ2897" s="1829"/>
      <c r="CA2897" s="1829"/>
      <c r="CB2897" s="1829"/>
      <c r="CC2897" s="1829"/>
      <c r="CD2897" s="1829"/>
      <c r="CE2897" s="1829"/>
      <c r="CF2897" s="1829"/>
      <c r="CG2897" s="1829"/>
      <c r="CH2897" s="1829"/>
      <c r="CI2897" s="1829"/>
      <c r="CJ2897" s="1829"/>
      <c r="CK2897" s="1829"/>
    </row>
    <row r="2898" spans="1:89" s="1081" customFormat="1" ht="22.5" customHeight="1" x14ac:dyDescent="0.25">
      <c r="A2898" s="1074">
        <v>4</v>
      </c>
      <c r="B2898" s="1082" t="s">
        <v>1013</v>
      </c>
      <c r="C2898" s="1075">
        <v>1</v>
      </c>
      <c r="D2898" s="1076" t="s">
        <v>16</v>
      </c>
      <c r="E2898" s="1077">
        <v>3000000</v>
      </c>
      <c r="F2898" s="1078"/>
      <c r="G2898" s="1078"/>
      <c r="H2898" s="1078"/>
      <c r="I2898" s="1078"/>
      <c r="J2898" s="1078"/>
      <c r="K2898" s="1078"/>
      <c r="L2898" s="1078">
        <f>E2898</f>
        <v>3000000</v>
      </c>
      <c r="M2898" s="1078"/>
      <c r="N2898" s="1078">
        <f t="shared" si="261"/>
        <v>3000000</v>
      </c>
      <c r="O2898" s="1079">
        <f t="shared" si="262"/>
        <v>3000000</v>
      </c>
      <c r="P2898" s="1080"/>
      <c r="Q2898" s="1829"/>
      <c r="R2898" s="1829"/>
      <c r="S2898" s="1829"/>
      <c r="T2898" s="1829"/>
      <c r="U2898" s="1829"/>
      <c r="V2898" s="1829"/>
      <c r="W2898" s="1829"/>
      <c r="X2898" s="1829"/>
      <c r="Y2898" s="1829"/>
      <c r="Z2898" s="1829"/>
      <c r="AA2898" s="1829"/>
      <c r="AB2898" s="1829"/>
      <c r="AC2898" s="1829"/>
      <c r="AD2898" s="1829"/>
      <c r="AE2898" s="1829"/>
      <c r="AF2898" s="1829"/>
      <c r="AG2898" s="1829"/>
      <c r="AH2898" s="1829"/>
      <c r="AI2898" s="1829"/>
      <c r="AJ2898" s="1829"/>
      <c r="AK2898" s="1829"/>
      <c r="AL2898" s="1829"/>
      <c r="AM2898" s="1829"/>
      <c r="AN2898" s="1829"/>
      <c r="AO2898" s="1829"/>
      <c r="AP2898" s="1829"/>
      <c r="AQ2898" s="1829"/>
      <c r="AR2898" s="1829"/>
      <c r="AS2898" s="1829"/>
      <c r="AT2898" s="1829"/>
      <c r="AU2898" s="1829"/>
      <c r="AV2898" s="1829"/>
      <c r="AW2898" s="1829"/>
      <c r="AX2898" s="1829"/>
      <c r="AY2898" s="1829"/>
      <c r="AZ2898" s="1829"/>
      <c r="BA2898" s="1829"/>
      <c r="BB2898" s="1829"/>
      <c r="BC2898" s="1829"/>
      <c r="BD2898" s="1829"/>
      <c r="BE2898" s="1829"/>
      <c r="BF2898" s="1829"/>
      <c r="BG2898" s="1829"/>
      <c r="BH2898" s="1829"/>
      <c r="BI2898" s="1829"/>
      <c r="BJ2898" s="1829"/>
      <c r="BK2898" s="1829"/>
      <c r="BL2898" s="1829"/>
      <c r="BM2898" s="1829"/>
      <c r="BN2898" s="1829"/>
      <c r="BO2898" s="1829"/>
      <c r="BP2898" s="1829"/>
      <c r="BQ2898" s="1829"/>
      <c r="BR2898" s="1829"/>
      <c r="BS2898" s="1829"/>
      <c r="BT2898" s="1829"/>
      <c r="BU2898" s="1829"/>
      <c r="BV2898" s="1829"/>
      <c r="BW2898" s="1829"/>
      <c r="BX2898" s="1829"/>
      <c r="BY2898" s="1829"/>
      <c r="BZ2898" s="1829"/>
      <c r="CA2898" s="1829"/>
      <c r="CB2898" s="1829"/>
      <c r="CC2898" s="1829"/>
      <c r="CD2898" s="1829"/>
      <c r="CE2898" s="1829"/>
      <c r="CF2898" s="1829"/>
      <c r="CG2898" s="1829"/>
      <c r="CH2898" s="1829"/>
      <c r="CI2898" s="1829"/>
      <c r="CJ2898" s="1829"/>
      <c r="CK2898" s="1829"/>
    </row>
    <row r="2899" spans="1:89" s="1081" customFormat="1" ht="21" customHeight="1" x14ac:dyDescent="0.25">
      <c r="A2899" s="1074">
        <v>5</v>
      </c>
      <c r="B2899" s="1082" t="s">
        <v>1014</v>
      </c>
      <c r="C2899" s="1075">
        <v>1</v>
      </c>
      <c r="D2899" s="1076" t="s">
        <v>16</v>
      </c>
      <c r="E2899" s="1077">
        <f>900000-600000-100000</f>
        <v>200000</v>
      </c>
      <c r="F2899" s="1078"/>
      <c r="G2899" s="1078"/>
      <c r="H2899" s="1078"/>
      <c r="I2899" s="1078"/>
      <c r="J2899" s="1078"/>
      <c r="K2899" s="1078"/>
      <c r="L2899" s="1078">
        <f>E2899</f>
        <v>200000</v>
      </c>
      <c r="M2899" s="1078"/>
      <c r="N2899" s="1078">
        <f t="shared" si="261"/>
        <v>200000</v>
      </c>
      <c r="O2899" s="1079">
        <f t="shared" si="262"/>
        <v>200000</v>
      </c>
      <c r="P2899" s="1080"/>
      <c r="Q2899" s="1829"/>
      <c r="R2899" s="1829"/>
      <c r="S2899" s="1829"/>
      <c r="T2899" s="1829"/>
      <c r="U2899" s="1829"/>
      <c r="V2899" s="1829"/>
      <c r="W2899" s="1829"/>
      <c r="X2899" s="1829"/>
      <c r="Y2899" s="1829"/>
      <c r="Z2899" s="1829"/>
      <c r="AA2899" s="1829"/>
      <c r="AB2899" s="1829"/>
      <c r="AC2899" s="1829"/>
      <c r="AD2899" s="1829"/>
      <c r="AE2899" s="1829"/>
      <c r="AF2899" s="1829"/>
      <c r="AG2899" s="1829"/>
      <c r="AH2899" s="1829"/>
      <c r="AI2899" s="1829"/>
      <c r="AJ2899" s="1829"/>
      <c r="AK2899" s="1829"/>
      <c r="AL2899" s="1829"/>
      <c r="AM2899" s="1829"/>
      <c r="AN2899" s="1829"/>
      <c r="AO2899" s="1829"/>
      <c r="AP2899" s="1829"/>
      <c r="AQ2899" s="1829"/>
      <c r="AR2899" s="1829"/>
      <c r="AS2899" s="1829"/>
      <c r="AT2899" s="1829"/>
      <c r="AU2899" s="1829"/>
      <c r="AV2899" s="1829"/>
      <c r="AW2899" s="1829"/>
      <c r="AX2899" s="1829"/>
      <c r="AY2899" s="1829"/>
      <c r="AZ2899" s="1829"/>
      <c r="BA2899" s="1829"/>
      <c r="BB2899" s="1829"/>
      <c r="BC2899" s="1829"/>
      <c r="BD2899" s="1829"/>
      <c r="BE2899" s="1829"/>
      <c r="BF2899" s="1829"/>
      <c r="BG2899" s="1829"/>
      <c r="BH2899" s="1829"/>
      <c r="BI2899" s="1829"/>
      <c r="BJ2899" s="1829"/>
      <c r="BK2899" s="1829"/>
      <c r="BL2899" s="1829"/>
      <c r="BM2899" s="1829"/>
      <c r="BN2899" s="1829"/>
      <c r="BO2899" s="1829"/>
      <c r="BP2899" s="1829"/>
      <c r="BQ2899" s="1829"/>
      <c r="BR2899" s="1829"/>
      <c r="BS2899" s="1829"/>
      <c r="BT2899" s="1829"/>
      <c r="BU2899" s="1829"/>
      <c r="BV2899" s="1829"/>
      <c r="BW2899" s="1829"/>
      <c r="BX2899" s="1829"/>
      <c r="BY2899" s="1829"/>
      <c r="BZ2899" s="1829"/>
      <c r="CA2899" s="1829"/>
      <c r="CB2899" s="1829"/>
      <c r="CC2899" s="1829"/>
      <c r="CD2899" s="1829"/>
      <c r="CE2899" s="1829"/>
      <c r="CF2899" s="1829"/>
      <c r="CG2899" s="1829"/>
      <c r="CH2899" s="1829"/>
      <c r="CI2899" s="1829"/>
      <c r="CJ2899" s="1829"/>
      <c r="CK2899" s="1829"/>
    </row>
    <row r="2900" spans="1:89" s="1081" customFormat="1" ht="23.25" customHeight="1" x14ac:dyDescent="0.25">
      <c r="A2900" s="1074">
        <v>6</v>
      </c>
      <c r="B2900" s="1082" t="s">
        <v>1015</v>
      </c>
      <c r="C2900" s="1075">
        <v>1</v>
      </c>
      <c r="D2900" s="1076" t="s">
        <v>16</v>
      </c>
      <c r="E2900" s="1077">
        <f>500000-300000</f>
        <v>200000</v>
      </c>
      <c r="F2900" s="1078"/>
      <c r="G2900" s="1078"/>
      <c r="H2900" s="1078"/>
      <c r="I2900" s="1078"/>
      <c r="J2900" s="1078">
        <f>C2900*E2900</f>
        <v>200000</v>
      </c>
      <c r="K2900" s="1078">
        <f t="shared" ref="K2900:K2910" si="263">I2900+J2900</f>
        <v>200000</v>
      </c>
      <c r="L2900" s="1078"/>
      <c r="M2900" s="1078"/>
      <c r="N2900" s="1078"/>
      <c r="O2900" s="1079">
        <f t="shared" si="262"/>
        <v>200000</v>
      </c>
      <c r="P2900" s="1080"/>
      <c r="Q2900" s="1829"/>
      <c r="R2900" s="1829"/>
      <c r="S2900" s="1829"/>
      <c r="T2900" s="1829"/>
      <c r="U2900" s="1829"/>
      <c r="V2900" s="1829"/>
      <c r="W2900" s="1829"/>
      <c r="X2900" s="1829"/>
      <c r="Y2900" s="1829"/>
      <c r="Z2900" s="1829"/>
      <c r="AA2900" s="1829"/>
      <c r="AB2900" s="1829"/>
      <c r="AC2900" s="1829"/>
      <c r="AD2900" s="1829"/>
      <c r="AE2900" s="1829"/>
      <c r="AF2900" s="1829"/>
      <c r="AG2900" s="1829"/>
      <c r="AH2900" s="1829"/>
      <c r="AI2900" s="1829"/>
      <c r="AJ2900" s="1829"/>
      <c r="AK2900" s="1829"/>
      <c r="AL2900" s="1829"/>
      <c r="AM2900" s="1829"/>
      <c r="AN2900" s="1829"/>
      <c r="AO2900" s="1829"/>
      <c r="AP2900" s="1829"/>
      <c r="AQ2900" s="1829"/>
      <c r="AR2900" s="1829"/>
      <c r="AS2900" s="1829"/>
      <c r="AT2900" s="1829"/>
      <c r="AU2900" s="1829"/>
      <c r="AV2900" s="1829"/>
      <c r="AW2900" s="1829"/>
      <c r="AX2900" s="1829"/>
      <c r="AY2900" s="1829"/>
      <c r="AZ2900" s="1829"/>
      <c r="BA2900" s="1829"/>
      <c r="BB2900" s="1829"/>
      <c r="BC2900" s="1829"/>
      <c r="BD2900" s="1829"/>
      <c r="BE2900" s="1829"/>
      <c r="BF2900" s="1829"/>
      <c r="BG2900" s="1829"/>
      <c r="BH2900" s="1829"/>
      <c r="BI2900" s="1829"/>
      <c r="BJ2900" s="1829"/>
      <c r="BK2900" s="1829"/>
      <c r="BL2900" s="1829"/>
      <c r="BM2900" s="1829"/>
      <c r="BN2900" s="1829"/>
      <c r="BO2900" s="1829"/>
      <c r="BP2900" s="1829"/>
      <c r="BQ2900" s="1829"/>
      <c r="BR2900" s="1829"/>
      <c r="BS2900" s="1829"/>
      <c r="BT2900" s="1829"/>
      <c r="BU2900" s="1829"/>
      <c r="BV2900" s="1829"/>
      <c r="BW2900" s="1829"/>
      <c r="BX2900" s="1829"/>
      <c r="BY2900" s="1829"/>
      <c r="BZ2900" s="1829"/>
      <c r="CA2900" s="1829"/>
      <c r="CB2900" s="1829"/>
      <c r="CC2900" s="1829"/>
      <c r="CD2900" s="1829"/>
      <c r="CE2900" s="1829"/>
      <c r="CF2900" s="1829"/>
      <c r="CG2900" s="1829"/>
      <c r="CH2900" s="1829"/>
      <c r="CI2900" s="1829"/>
      <c r="CJ2900" s="1829"/>
      <c r="CK2900" s="1829"/>
    </row>
    <row r="2901" spans="1:89" s="1081" customFormat="1" ht="46.5" customHeight="1" x14ac:dyDescent="0.25">
      <c r="A2901" s="1074">
        <v>7</v>
      </c>
      <c r="B2901" s="1082" t="s">
        <v>1016</v>
      </c>
      <c r="C2901" s="1075">
        <v>1</v>
      </c>
      <c r="D2901" s="1076" t="s">
        <v>16</v>
      </c>
      <c r="E2901" s="1077">
        <f>1750000+1250000+700000</f>
        <v>3700000</v>
      </c>
      <c r="F2901" s="1078"/>
      <c r="G2901" s="1078"/>
      <c r="H2901" s="1078"/>
      <c r="I2901" s="1078"/>
      <c r="J2901" s="1078"/>
      <c r="K2901" s="1078"/>
      <c r="L2901" s="1078">
        <f>E2901</f>
        <v>3700000</v>
      </c>
      <c r="M2901" s="1078"/>
      <c r="N2901" s="1078">
        <f t="shared" si="261"/>
        <v>3700000</v>
      </c>
      <c r="O2901" s="1079">
        <f t="shared" si="262"/>
        <v>3700000</v>
      </c>
      <c r="P2901" s="1080"/>
      <c r="Q2901" s="1829"/>
      <c r="R2901" s="1829"/>
      <c r="S2901" s="1829"/>
      <c r="T2901" s="1829"/>
      <c r="U2901" s="1829"/>
      <c r="V2901" s="1829"/>
      <c r="W2901" s="1829"/>
      <c r="X2901" s="1829"/>
      <c r="Y2901" s="1829"/>
      <c r="Z2901" s="1829"/>
      <c r="AA2901" s="1829"/>
      <c r="AB2901" s="1829"/>
      <c r="AC2901" s="1829"/>
      <c r="AD2901" s="1829"/>
      <c r="AE2901" s="1829"/>
      <c r="AF2901" s="1829"/>
      <c r="AG2901" s="1829"/>
      <c r="AH2901" s="1829"/>
      <c r="AI2901" s="1829"/>
      <c r="AJ2901" s="1829"/>
      <c r="AK2901" s="1829"/>
      <c r="AL2901" s="1829"/>
      <c r="AM2901" s="1829"/>
      <c r="AN2901" s="1829"/>
      <c r="AO2901" s="1829"/>
      <c r="AP2901" s="1829"/>
      <c r="AQ2901" s="1829"/>
      <c r="AR2901" s="1829"/>
      <c r="AS2901" s="1829"/>
      <c r="AT2901" s="1829"/>
      <c r="AU2901" s="1829"/>
      <c r="AV2901" s="1829"/>
      <c r="AW2901" s="1829"/>
      <c r="AX2901" s="1829"/>
      <c r="AY2901" s="1829"/>
      <c r="AZ2901" s="1829"/>
      <c r="BA2901" s="1829"/>
      <c r="BB2901" s="1829"/>
      <c r="BC2901" s="1829"/>
      <c r="BD2901" s="1829"/>
      <c r="BE2901" s="1829"/>
      <c r="BF2901" s="1829"/>
      <c r="BG2901" s="1829"/>
      <c r="BH2901" s="1829"/>
      <c r="BI2901" s="1829"/>
      <c r="BJ2901" s="1829"/>
      <c r="BK2901" s="1829"/>
      <c r="BL2901" s="1829"/>
      <c r="BM2901" s="1829"/>
      <c r="BN2901" s="1829"/>
      <c r="BO2901" s="1829"/>
      <c r="BP2901" s="1829"/>
      <c r="BQ2901" s="1829"/>
      <c r="BR2901" s="1829"/>
      <c r="BS2901" s="1829"/>
      <c r="BT2901" s="1829"/>
      <c r="BU2901" s="1829"/>
      <c r="BV2901" s="1829"/>
      <c r="BW2901" s="1829"/>
      <c r="BX2901" s="1829"/>
      <c r="BY2901" s="1829"/>
      <c r="BZ2901" s="1829"/>
      <c r="CA2901" s="1829"/>
      <c r="CB2901" s="1829"/>
      <c r="CC2901" s="1829"/>
      <c r="CD2901" s="1829"/>
      <c r="CE2901" s="1829"/>
      <c r="CF2901" s="1829"/>
      <c r="CG2901" s="1829"/>
      <c r="CH2901" s="1829"/>
      <c r="CI2901" s="1829"/>
      <c r="CJ2901" s="1829"/>
      <c r="CK2901" s="1829"/>
    </row>
    <row r="2902" spans="1:89" s="1081" customFormat="1" ht="21" customHeight="1" x14ac:dyDescent="0.25">
      <c r="A2902" s="1074">
        <v>8</v>
      </c>
      <c r="B2902" s="1082" t="s">
        <v>1017</v>
      </c>
      <c r="C2902" s="1075">
        <v>1</v>
      </c>
      <c r="D2902" s="1076" t="s">
        <v>16</v>
      </c>
      <c r="E2902" s="1077">
        <f>3000000-1500000+1500000+700000</f>
        <v>3700000</v>
      </c>
      <c r="F2902" s="1077"/>
      <c r="G2902" s="1077"/>
      <c r="H2902" s="1077"/>
      <c r="I2902" s="1077"/>
      <c r="J2902" s="1077">
        <f>C2902*E2902</f>
        <v>3700000</v>
      </c>
      <c r="K2902" s="1078">
        <f t="shared" si="263"/>
        <v>3700000</v>
      </c>
      <c r="L2902" s="1077"/>
      <c r="M2902" s="1077"/>
      <c r="N2902" s="1078"/>
      <c r="O2902" s="1079">
        <f t="shared" si="262"/>
        <v>3700000</v>
      </c>
      <c r="P2902" s="1080"/>
      <c r="Q2902" s="1829"/>
      <c r="R2902" s="1829"/>
      <c r="S2902" s="1829"/>
      <c r="T2902" s="1829"/>
      <c r="U2902" s="1829"/>
      <c r="V2902" s="1829"/>
      <c r="W2902" s="1829"/>
      <c r="X2902" s="1829"/>
      <c r="Y2902" s="1829"/>
      <c r="Z2902" s="1829"/>
      <c r="AA2902" s="1829"/>
      <c r="AB2902" s="1829"/>
      <c r="AC2902" s="1829"/>
      <c r="AD2902" s="1829"/>
      <c r="AE2902" s="1829"/>
      <c r="AF2902" s="1829"/>
      <c r="AG2902" s="1829"/>
      <c r="AH2902" s="1829"/>
      <c r="AI2902" s="1829"/>
      <c r="AJ2902" s="1829"/>
      <c r="AK2902" s="1829"/>
      <c r="AL2902" s="1829"/>
      <c r="AM2902" s="1829"/>
      <c r="AN2902" s="1829"/>
      <c r="AO2902" s="1829"/>
      <c r="AP2902" s="1829"/>
      <c r="AQ2902" s="1829"/>
      <c r="AR2902" s="1829"/>
      <c r="AS2902" s="1829"/>
      <c r="AT2902" s="1829"/>
      <c r="AU2902" s="1829"/>
      <c r="AV2902" s="1829"/>
      <c r="AW2902" s="1829"/>
      <c r="AX2902" s="1829"/>
      <c r="AY2902" s="1829"/>
      <c r="AZ2902" s="1829"/>
      <c r="BA2902" s="1829"/>
      <c r="BB2902" s="1829"/>
      <c r="BC2902" s="1829"/>
      <c r="BD2902" s="1829"/>
      <c r="BE2902" s="1829"/>
      <c r="BF2902" s="1829"/>
      <c r="BG2902" s="1829"/>
      <c r="BH2902" s="1829"/>
      <c r="BI2902" s="1829"/>
      <c r="BJ2902" s="1829"/>
      <c r="BK2902" s="1829"/>
      <c r="BL2902" s="1829"/>
      <c r="BM2902" s="1829"/>
      <c r="BN2902" s="1829"/>
      <c r="BO2902" s="1829"/>
      <c r="BP2902" s="1829"/>
      <c r="BQ2902" s="1829"/>
      <c r="BR2902" s="1829"/>
      <c r="BS2902" s="1829"/>
      <c r="BT2902" s="1829"/>
      <c r="BU2902" s="1829"/>
      <c r="BV2902" s="1829"/>
      <c r="BW2902" s="1829"/>
      <c r="BX2902" s="1829"/>
      <c r="BY2902" s="1829"/>
      <c r="BZ2902" s="1829"/>
      <c r="CA2902" s="1829"/>
      <c r="CB2902" s="1829"/>
      <c r="CC2902" s="1829"/>
      <c r="CD2902" s="1829"/>
      <c r="CE2902" s="1829"/>
      <c r="CF2902" s="1829"/>
      <c r="CG2902" s="1829"/>
      <c r="CH2902" s="1829"/>
      <c r="CI2902" s="1829"/>
      <c r="CJ2902" s="1829"/>
      <c r="CK2902" s="1829"/>
    </row>
    <row r="2903" spans="1:89" s="1081" customFormat="1" ht="21" customHeight="1" x14ac:dyDescent="0.25">
      <c r="A2903" s="1074">
        <v>9</v>
      </c>
      <c r="B2903" s="1082" t="s">
        <v>1018</v>
      </c>
      <c r="C2903" s="1075">
        <v>1</v>
      </c>
      <c r="D2903" s="1076" t="s">
        <v>16</v>
      </c>
      <c r="E2903" s="1077">
        <f>1000000+1500000</f>
        <v>2500000</v>
      </c>
      <c r="F2903" s="1077"/>
      <c r="G2903" s="1077"/>
      <c r="H2903" s="1077"/>
      <c r="I2903" s="1077"/>
      <c r="J2903" s="1077">
        <f>C2903*E2903</f>
        <v>2500000</v>
      </c>
      <c r="K2903" s="1078">
        <f t="shared" si="263"/>
        <v>2500000</v>
      </c>
      <c r="L2903" s="1077"/>
      <c r="M2903" s="1077"/>
      <c r="N2903" s="1078"/>
      <c r="O2903" s="1079">
        <f t="shared" si="262"/>
        <v>2500000</v>
      </c>
      <c r="P2903" s="1080"/>
      <c r="Q2903" s="1829"/>
      <c r="R2903" s="1829"/>
      <c r="S2903" s="1829"/>
      <c r="T2903" s="1829"/>
      <c r="U2903" s="1829"/>
      <c r="V2903" s="1829"/>
      <c r="W2903" s="1829"/>
      <c r="X2903" s="1829"/>
      <c r="Y2903" s="1829"/>
      <c r="Z2903" s="1829"/>
      <c r="AA2903" s="1829"/>
      <c r="AB2903" s="1829"/>
      <c r="AC2903" s="1829"/>
      <c r="AD2903" s="1829"/>
      <c r="AE2903" s="1829"/>
      <c r="AF2903" s="1829"/>
      <c r="AG2903" s="1829"/>
      <c r="AH2903" s="1829"/>
      <c r="AI2903" s="1829"/>
      <c r="AJ2903" s="1829"/>
      <c r="AK2903" s="1829"/>
      <c r="AL2903" s="1829"/>
      <c r="AM2903" s="1829"/>
      <c r="AN2903" s="1829"/>
      <c r="AO2903" s="1829"/>
      <c r="AP2903" s="1829"/>
      <c r="AQ2903" s="1829"/>
      <c r="AR2903" s="1829"/>
      <c r="AS2903" s="1829"/>
      <c r="AT2903" s="1829"/>
      <c r="AU2903" s="1829"/>
      <c r="AV2903" s="1829"/>
      <c r="AW2903" s="1829"/>
      <c r="AX2903" s="1829"/>
      <c r="AY2903" s="1829"/>
      <c r="AZ2903" s="1829"/>
      <c r="BA2903" s="1829"/>
      <c r="BB2903" s="1829"/>
      <c r="BC2903" s="1829"/>
      <c r="BD2903" s="1829"/>
      <c r="BE2903" s="1829"/>
      <c r="BF2903" s="1829"/>
      <c r="BG2903" s="1829"/>
      <c r="BH2903" s="1829"/>
      <c r="BI2903" s="1829"/>
      <c r="BJ2903" s="1829"/>
      <c r="BK2903" s="1829"/>
      <c r="BL2903" s="1829"/>
      <c r="BM2903" s="1829"/>
      <c r="BN2903" s="1829"/>
      <c r="BO2903" s="1829"/>
      <c r="BP2903" s="1829"/>
      <c r="BQ2903" s="1829"/>
      <c r="BR2903" s="1829"/>
      <c r="BS2903" s="1829"/>
      <c r="BT2903" s="1829"/>
      <c r="BU2903" s="1829"/>
      <c r="BV2903" s="1829"/>
      <c r="BW2903" s="1829"/>
      <c r="BX2903" s="1829"/>
      <c r="BY2903" s="1829"/>
      <c r="BZ2903" s="1829"/>
      <c r="CA2903" s="1829"/>
      <c r="CB2903" s="1829"/>
      <c r="CC2903" s="1829"/>
      <c r="CD2903" s="1829"/>
      <c r="CE2903" s="1829"/>
      <c r="CF2903" s="1829"/>
      <c r="CG2903" s="1829"/>
      <c r="CH2903" s="1829"/>
      <c r="CI2903" s="1829"/>
      <c r="CJ2903" s="1829"/>
      <c r="CK2903" s="1829"/>
    </row>
    <row r="2904" spans="1:89" s="1081" customFormat="1" ht="36" customHeight="1" x14ac:dyDescent="0.25">
      <c r="A2904" s="1074">
        <v>10</v>
      </c>
      <c r="B2904" s="1082" t="s">
        <v>1019</v>
      </c>
      <c r="C2904" s="1075">
        <v>1</v>
      </c>
      <c r="D2904" s="1076" t="s">
        <v>16</v>
      </c>
      <c r="E2904" s="1077">
        <f>500000+500000+1500000</f>
        <v>2500000</v>
      </c>
      <c r="F2904" s="1078"/>
      <c r="G2904" s="1078"/>
      <c r="H2904" s="1078"/>
      <c r="I2904" s="1078"/>
      <c r="J2904" s="1078">
        <f>C2904*E2904</f>
        <v>2500000</v>
      </c>
      <c r="K2904" s="1078">
        <f t="shared" si="263"/>
        <v>2500000</v>
      </c>
      <c r="L2904" s="1078"/>
      <c r="M2904" s="1078"/>
      <c r="N2904" s="1078"/>
      <c r="O2904" s="1079">
        <f t="shared" si="262"/>
        <v>2500000</v>
      </c>
      <c r="P2904" s="1080"/>
      <c r="Q2904" s="1829"/>
      <c r="R2904" s="1829"/>
      <c r="S2904" s="1829"/>
      <c r="T2904" s="1829"/>
      <c r="U2904" s="1829"/>
      <c r="V2904" s="1829"/>
      <c r="W2904" s="1829"/>
      <c r="X2904" s="1829"/>
      <c r="Y2904" s="1829"/>
      <c r="Z2904" s="1829"/>
      <c r="AA2904" s="1829"/>
      <c r="AB2904" s="1829"/>
      <c r="AC2904" s="1829"/>
      <c r="AD2904" s="1829"/>
      <c r="AE2904" s="1829"/>
      <c r="AF2904" s="1829"/>
      <c r="AG2904" s="1829"/>
      <c r="AH2904" s="1829"/>
      <c r="AI2904" s="1829"/>
      <c r="AJ2904" s="1829"/>
      <c r="AK2904" s="1829"/>
      <c r="AL2904" s="1829"/>
      <c r="AM2904" s="1829"/>
      <c r="AN2904" s="1829"/>
      <c r="AO2904" s="1829"/>
      <c r="AP2904" s="1829"/>
      <c r="AQ2904" s="1829"/>
      <c r="AR2904" s="1829"/>
      <c r="AS2904" s="1829"/>
      <c r="AT2904" s="1829"/>
      <c r="AU2904" s="1829"/>
      <c r="AV2904" s="1829"/>
      <c r="AW2904" s="1829"/>
      <c r="AX2904" s="1829"/>
      <c r="AY2904" s="1829"/>
      <c r="AZ2904" s="1829"/>
      <c r="BA2904" s="1829"/>
      <c r="BB2904" s="1829"/>
      <c r="BC2904" s="1829"/>
      <c r="BD2904" s="1829"/>
      <c r="BE2904" s="1829"/>
      <c r="BF2904" s="1829"/>
      <c r="BG2904" s="1829"/>
      <c r="BH2904" s="1829"/>
      <c r="BI2904" s="1829"/>
      <c r="BJ2904" s="1829"/>
      <c r="BK2904" s="1829"/>
      <c r="BL2904" s="1829"/>
      <c r="BM2904" s="1829"/>
      <c r="BN2904" s="1829"/>
      <c r="BO2904" s="1829"/>
      <c r="BP2904" s="1829"/>
      <c r="BQ2904" s="1829"/>
      <c r="BR2904" s="1829"/>
      <c r="BS2904" s="1829"/>
      <c r="BT2904" s="1829"/>
      <c r="BU2904" s="1829"/>
      <c r="BV2904" s="1829"/>
      <c r="BW2904" s="1829"/>
      <c r="BX2904" s="1829"/>
      <c r="BY2904" s="1829"/>
      <c r="BZ2904" s="1829"/>
      <c r="CA2904" s="1829"/>
      <c r="CB2904" s="1829"/>
      <c r="CC2904" s="1829"/>
      <c r="CD2904" s="1829"/>
      <c r="CE2904" s="1829"/>
      <c r="CF2904" s="1829"/>
      <c r="CG2904" s="1829"/>
      <c r="CH2904" s="1829"/>
      <c r="CI2904" s="1829"/>
      <c r="CJ2904" s="1829"/>
      <c r="CK2904" s="1829"/>
    </row>
    <row r="2905" spans="1:89" s="1081" customFormat="1" ht="21" customHeight="1" x14ac:dyDescent="0.25">
      <c r="A2905" s="1074">
        <v>11</v>
      </c>
      <c r="B2905" s="1082" t="s">
        <v>1020</v>
      </c>
      <c r="C2905" s="1075">
        <v>1</v>
      </c>
      <c r="D2905" s="1076" t="s">
        <v>16</v>
      </c>
      <c r="E2905" s="1077">
        <v>1500000</v>
      </c>
      <c r="F2905" s="1078"/>
      <c r="G2905" s="1078"/>
      <c r="H2905" s="1078"/>
      <c r="I2905" s="1078"/>
      <c r="J2905" s="1078"/>
      <c r="K2905" s="1078"/>
      <c r="L2905" s="1078">
        <f>E2905</f>
        <v>1500000</v>
      </c>
      <c r="M2905" s="1078"/>
      <c r="N2905" s="1078">
        <f t="shared" si="261"/>
        <v>1500000</v>
      </c>
      <c r="O2905" s="1079">
        <f t="shared" si="262"/>
        <v>1500000</v>
      </c>
      <c r="P2905" s="1080"/>
      <c r="Q2905" s="1829"/>
      <c r="R2905" s="1829"/>
      <c r="S2905" s="1829"/>
      <c r="T2905" s="1829"/>
      <c r="U2905" s="1829"/>
      <c r="V2905" s="1829"/>
      <c r="W2905" s="1829"/>
      <c r="X2905" s="1829"/>
      <c r="Y2905" s="1829"/>
      <c r="Z2905" s="1829"/>
      <c r="AA2905" s="1829"/>
      <c r="AB2905" s="1829"/>
      <c r="AC2905" s="1829"/>
      <c r="AD2905" s="1829"/>
      <c r="AE2905" s="1829"/>
      <c r="AF2905" s="1829"/>
      <c r="AG2905" s="1829"/>
      <c r="AH2905" s="1829"/>
      <c r="AI2905" s="1829"/>
      <c r="AJ2905" s="1829"/>
      <c r="AK2905" s="1829"/>
      <c r="AL2905" s="1829"/>
      <c r="AM2905" s="1829"/>
      <c r="AN2905" s="1829"/>
      <c r="AO2905" s="1829"/>
      <c r="AP2905" s="1829"/>
      <c r="AQ2905" s="1829"/>
      <c r="AR2905" s="1829"/>
      <c r="AS2905" s="1829"/>
      <c r="AT2905" s="1829"/>
      <c r="AU2905" s="1829"/>
      <c r="AV2905" s="1829"/>
      <c r="AW2905" s="1829"/>
      <c r="AX2905" s="1829"/>
      <c r="AY2905" s="1829"/>
      <c r="AZ2905" s="1829"/>
      <c r="BA2905" s="1829"/>
      <c r="BB2905" s="1829"/>
      <c r="BC2905" s="1829"/>
      <c r="BD2905" s="1829"/>
      <c r="BE2905" s="1829"/>
      <c r="BF2905" s="1829"/>
      <c r="BG2905" s="1829"/>
      <c r="BH2905" s="1829"/>
      <c r="BI2905" s="1829"/>
      <c r="BJ2905" s="1829"/>
      <c r="BK2905" s="1829"/>
      <c r="BL2905" s="1829"/>
      <c r="BM2905" s="1829"/>
      <c r="BN2905" s="1829"/>
      <c r="BO2905" s="1829"/>
      <c r="BP2905" s="1829"/>
      <c r="BQ2905" s="1829"/>
      <c r="BR2905" s="1829"/>
      <c r="BS2905" s="1829"/>
      <c r="BT2905" s="1829"/>
      <c r="BU2905" s="1829"/>
      <c r="BV2905" s="1829"/>
      <c r="BW2905" s="1829"/>
      <c r="BX2905" s="1829"/>
      <c r="BY2905" s="1829"/>
      <c r="BZ2905" s="1829"/>
      <c r="CA2905" s="1829"/>
      <c r="CB2905" s="1829"/>
      <c r="CC2905" s="1829"/>
      <c r="CD2905" s="1829"/>
      <c r="CE2905" s="1829"/>
      <c r="CF2905" s="1829"/>
      <c r="CG2905" s="1829"/>
      <c r="CH2905" s="1829"/>
      <c r="CI2905" s="1829"/>
      <c r="CJ2905" s="1829"/>
      <c r="CK2905" s="1829"/>
    </row>
    <row r="2906" spans="1:89" s="1081" customFormat="1" ht="21" customHeight="1" x14ac:dyDescent="0.25">
      <c r="A2906" s="1074">
        <v>12</v>
      </c>
      <c r="B2906" s="1082" t="s">
        <v>1021</v>
      </c>
      <c r="C2906" s="1075">
        <v>1</v>
      </c>
      <c r="D2906" s="1076" t="s">
        <v>16</v>
      </c>
      <c r="E2906" s="1077">
        <v>5000000</v>
      </c>
      <c r="F2906" s="1078"/>
      <c r="G2906" s="1078"/>
      <c r="H2906" s="1078"/>
      <c r="I2906" s="1078"/>
      <c r="J2906" s="1078"/>
      <c r="K2906" s="1078"/>
      <c r="L2906" s="1078">
        <f>E2906</f>
        <v>5000000</v>
      </c>
      <c r="M2906" s="1078"/>
      <c r="N2906" s="1078">
        <f t="shared" si="261"/>
        <v>5000000</v>
      </c>
      <c r="O2906" s="1079">
        <f t="shared" si="262"/>
        <v>5000000</v>
      </c>
      <c r="P2906" s="1080"/>
      <c r="Q2906" s="1829"/>
      <c r="R2906" s="1829"/>
      <c r="S2906" s="1829"/>
      <c r="T2906" s="1829"/>
      <c r="U2906" s="1829"/>
      <c r="V2906" s="1829"/>
      <c r="W2906" s="1829"/>
      <c r="X2906" s="1829"/>
      <c r="Y2906" s="1829"/>
      <c r="Z2906" s="1829"/>
      <c r="AA2906" s="1829"/>
      <c r="AB2906" s="1829"/>
      <c r="AC2906" s="1829"/>
      <c r="AD2906" s="1829"/>
      <c r="AE2906" s="1829"/>
      <c r="AF2906" s="1829"/>
      <c r="AG2906" s="1829"/>
      <c r="AH2906" s="1829"/>
      <c r="AI2906" s="1829"/>
      <c r="AJ2906" s="1829"/>
      <c r="AK2906" s="1829"/>
      <c r="AL2906" s="1829"/>
      <c r="AM2906" s="1829"/>
      <c r="AN2906" s="1829"/>
      <c r="AO2906" s="1829"/>
      <c r="AP2906" s="1829"/>
      <c r="AQ2906" s="1829"/>
      <c r="AR2906" s="1829"/>
      <c r="AS2906" s="1829"/>
      <c r="AT2906" s="1829"/>
      <c r="AU2906" s="1829"/>
      <c r="AV2906" s="1829"/>
      <c r="AW2906" s="1829"/>
      <c r="AX2906" s="1829"/>
      <c r="AY2906" s="1829"/>
      <c r="AZ2906" s="1829"/>
      <c r="BA2906" s="1829"/>
      <c r="BB2906" s="1829"/>
      <c r="BC2906" s="1829"/>
      <c r="BD2906" s="1829"/>
      <c r="BE2906" s="1829"/>
      <c r="BF2906" s="1829"/>
      <c r="BG2906" s="1829"/>
      <c r="BH2906" s="1829"/>
      <c r="BI2906" s="1829"/>
      <c r="BJ2906" s="1829"/>
      <c r="BK2906" s="1829"/>
      <c r="BL2906" s="1829"/>
      <c r="BM2906" s="1829"/>
      <c r="BN2906" s="1829"/>
      <c r="BO2906" s="1829"/>
      <c r="BP2906" s="1829"/>
      <c r="BQ2906" s="1829"/>
      <c r="BR2906" s="1829"/>
      <c r="BS2906" s="1829"/>
      <c r="BT2906" s="1829"/>
      <c r="BU2906" s="1829"/>
      <c r="BV2906" s="1829"/>
      <c r="BW2906" s="1829"/>
      <c r="BX2906" s="1829"/>
      <c r="BY2906" s="1829"/>
      <c r="BZ2906" s="1829"/>
      <c r="CA2906" s="1829"/>
      <c r="CB2906" s="1829"/>
      <c r="CC2906" s="1829"/>
      <c r="CD2906" s="1829"/>
      <c r="CE2906" s="1829"/>
      <c r="CF2906" s="1829"/>
      <c r="CG2906" s="1829"/>
      <c r="CH2906" s="1829"/>
      <c r="CI2906" s="1829"/>
      <c r="CJ2906" s="1829"/>
      <c r="CK2906" s="1829"/>
    </row>
    <row r="2907" spans="1:89" s="1081" customFormat="1" ht="21" customHeight="1" x14ac:dyDescent="0.25">
      <c r="A2907" s="1074">
        <v>13</v>
      </c>
      <c r="B2907" s="1082" t="s">
        <v>1022</v>
      </c>
      <c r="C2907" s="1075">
        <v>1</v>
      </c>
      <c r="D2907" s="1076" t="s">
        <v>16</v>
      </c>
      <c r="E2907" s="1077">
        <f>10000000-5000000</f>
        <v>5000000</v>
      </c>
      <c r="F2907" s="1078"/>
      <c r="G2907" s="1078"/>
      <c r="H2907" s="1078"/>
      <c r="I2907" s="1078"/>
      <c r="J2907" s="1078"/>
      <c r="K2907" s="1078"/>
      <c r="L2907" s="1078">
        <f>E2907</f>
        <v>5000000</v>
      </c>
      <c r="M2907" s="1078"/>
      <c r="N2907" s="1078">
        <f t="shared" si="261"/>
        <v>5000000</v>
      </c>
      <c r="O2907" s="1079">
        <f t="shared" si="262"/>
        <v>5000000</v>
      </c>
      <c r="P2907" s="1080"/>
      <c r="Q2907" s="1829"/>
      <c r="R2907" s="1829"/>
      <c r="S2907" s="1829"/>
      <c r="T2907" s="1829"/>
      <c r="U2907" s="1829"/>
      <c r="V2907" s="1829"/>
      <c r="W2907" s="1829"/>
      <c r="X2907" s="1829"/>
      <c r="Y2907" s="1829"/>
      <c r="Z2907" s="1829"/>
      <c r="AA2907" s="1829"/>
      <c r="AB2907" s="1829"/>
      <c r="AC2907" s="1829"/>
      <c r="AD2907" s="1829"/>
      <c r="AE2907" s="1829"/>
      <c r="AF2907" s="1829"/>
      <c r="AG2907" s="1829"/>
      <c r="AH2907" s="1829"/>
      <c r="AI2907" s="1829"/>
      <c r="AJ2907" s="1829"/>
      <c r="AK2907" s="1829"/>
      <c r="AL2907" s="1829"/>
      <c r="AM2907" s="1829"/>
      <c r="AN2907" s="1829"/>
      <c r="AO2907" s="1829"/>
      <c r="AP2907" s="1829"/>
      <c r="AQ2907" s="1829"/>
      <c r="AR2907" s="1829"/>
      <c r="AS2907" s="1829"/>
      <c r="AT2907" s="1829"/>
      <c r="AU2907" s="1829"/>
      <c r="AV2907" s="1829"/>
      <c r="AW2907" s="1829"/>
      <c r="AX2907" s="1829"/>
      <c r="AY2907" s="1829"/>
      <c r="AZ2907" s="1829"/>
      <c r="BA2907" s="1829"/>
      <c r="BB2907" s="1829"/>
      <c r="BC2907" s="1829"/>
      <c r="BD2907" s="1829"/>
      <c r="BE2907" s="1829"/>
      <c r="BF2907" s="1829"/>
      <c r="BG2907" s="1829"/>
      <c r="BH2907" s="1829"/>
      <c r="BI2907" s="1829"/>
      <c r="BJ2907" s="1829"/>
      <c r="BK2907" s="1829"/>
      <c r="BL2907" s="1829"/>
      <c r="BM2907" s="1829"/>
      <c r="BN2907" s="1829"/>
      <c r="BO2907" s="1829"/>
      <c r="BP2907" s="1829"/>
      <c r="BQ2907" s="1829"/>
      <c r="BR2907" s="1829"/>
      <c r="BS2907" s="1829"/>
      <c r="BT2907" s="1829"/>
      <c r="BU2907" s="1829"/>
      <c r="BV2907" s="1829"/>
      <c r="BW2907" s="1829"/>
      <c r="BX2907" s="1829"/>
      <c r="BY2907" s="1829"/>
      <c r="BZ2907" s="1829"/>
      <c r="CA2907" s="1829"/>
      <c r="CB2907" s="1829"/>
      <c r="CC2907" s="1829"/>
      <c r="CD2907" s="1829"/>
      <c r="CE2907" s="1829"/>
      <c r="CF2907" s="1829"/>
      <c r="CG2907" s="1829"/>
      <c r="CH2907" s="1829"/>
      <c r="CI2907" s="1829"/>
      <c r="CJ2907" s="1829"/>
      <c r="CK2907" s="1829"/>
    </row>
    <row r="2908" spans="1:89" s="1081" customFormat="1" ht="21" customHeight="1" x14ac:dyDescent="0.25">
      <c r="A2908" s="1074">
        <v>14</v>
      </c>
      <c r="B2908" s="1082" t="s">
        <v>1023</v>
      </c>
      <c r="C2908" s="1075">
        <v>1</v>
      </c>
      <c r="D2908" s="1076" t="s">
        <v>16</v>
      </c>
      <c r="E2908" s="1077">
        <f>300000-100000</f>
        <v>200000</v>
      </c>
      <c r="F2908" s="1078"/>
      <c r="G2908" s="1078"/>
      <c r="H2908" s="1078"/>
      <c r="I2908" s="1078"/>
      <c r="J2908" s="1078"/>
      <c r="K2908" s="1078"/>
      <c r="L2908" s="1078">
        <f>E2908</f>
        <v>200000</v>
      </c>
      <c r="M2908" s="1078"/>
      <c r="N2908" s="1078">
        <f t="shared" si="261"/>
        <v>200000</v>
      </c>
      <c r="O2908" s="1079">
        <f t="shared" si="262"/>
        <v>200000</v>
      </c>
      <c r="P2908" s="1080"/>
      <c r="Q2908" s="1829"/>
      <c r="R2908" s="1829"/>
      <c r="S2908" s="1829"/>
      <c r="T2908" s="1829"/>
      <c r="U2908" s="1829"/>
      <c r="V2908" s="1829"/>
      <c r="W2908" s="1829"/>
      <c r="X2908" s="1829"/>
      <c r="Y2908" s="1829"/>
      <c r="Z2908" s="1829"/>
      <c r="AA2908" s="1829"/>
      <c r="AB2908" s="1829"/>
      <c r="AC2908" s="1829"/>
      <c r="AD2908" s="1829"/>
      <c r="AE2908" s="1829"/>
      <c r="AF2908" s="1829"/>
      <c r="AG2908" s="1829"/>
      <c r="AH2908" s="1829"/>
      <c r="AI2908" s="1829"/>
      <c r="AJ2908" s="1829"/>
      <c r="AK2908" s="1829"/>
      <c r="AL2908" s="1829"/>
      <c r="AM2908" s="1829"/>
      <c r="AN2908" s="1829"/>
      <c r="AO2908" s="1829"/>
      <c r="AP2908" s="1829"/>
      <c r="AQ2908" s="1829"/>
      <c r="AR2908" s="1829"/>
      <c r="AS2908" s="1829"/>
      <c r="AT2908" s="1829"/>
      <c r="AU2908" s="1829"/>
      <c r="AV2908" s="1829"/>
      <c r="AW2908" s="1829"/>
      <c r="AX2908" s="1829"/>
      <c r="AY2908" s="1829"/>
      <c r="AZ2908" s="1829"/>
      <c r="BA2908" s="1829"/>
      <c r="BB2908" s="1829"/>
      <c r="BC2908" s="1829"/>
      <c r="BD2908" s="1829"/>
      <c r="BE2908" s="1829"/>
      <c r="BF2908" s="1829"/>
      <c r="BG2908" s="1829"/>
      <c r="BH2908" s="1829"/>
      <c r="BI2908" s="1829"/>
      <c r="BJ2908" s="1829"/>
      <c r="BK2908" s="1829"/>
      <c r="BL2908" s="1829"/>
      <c r="BM2908" s="1829"/>
      <c r="BN2908" s="1829"/>
      <c r="BO2908" s="1829"/>
      <c r="BP2908" s="1829"/>
      <c r="BQ2908" s="1829"/>
      <c r="BR2908" s="1829"/>
      <c r="BS2908" s="1829"/>
      <c r="BT2908" s="1829"/>
      <c r="BU2908" s="1829"/>
      <c r="BV2908" s="1829"/>
      <c r="BW2908" s="1829"/>
      <c r="BX2908" s="1829"/>
      <c r="BY2908" s="1829"/>
      <c r="BZ2908" s="1829"/>
      <c r="CA2908" s="1829"/>
      <c r="CB2908" s="1829"/>
      <c r="CC2908" s="1829"/>
      <c r="CD2908" s="1829"/>
      <c r="CE2908" s="1829"/>
      <c r="CF2908" s="1829"/>
      <c r="CG2908" s="1829"/>
      <c r="CH2908" s="1829"/>
      <c r="CI2908" s="1829"/>
      <c r="CJ2908" s="1829"/>
      <c r="CK2908" s="1829"/>
    </row>
    <row r="2909" spans="1:89" s="1081" customFormat="1" ht="21" customHeight="1" x14ac:dyDescent="0.25">
      <c r="A2909" s="1074">
        <v>15</v>
      </c>
      <c r="B2909" s="1083" t="s">
        <v>1024</v>
      </c>
      <c r="C2909" s="1075">
        <v>1</v>
      </c>
      <c r="D2909" s="1076" t="s">
        <v>16</v>
      </c>
      <c r="E2909" s="1077">
        <f>1500000+750000+250000</f>
        <v>2500000</v>
      </c>
      <c r="F2909" s="1078"/>
      <c r="G2909" s="1078"/>
      <c r="H2909" s="1078"/>
      <c r="I2909" s="1078"/>
      <c r="J2909" s="1078"/>
      <c r="K2909" s="1078"/>
      <c r="L2909" s="1078">
        <f>E2909</f>
        <v>2500000</v>
      </c>
      <c r="M2909" s="1078"/>
      <c r="N2909" s="1078">
        <f t="shared" si="261"/>
        <v>2500000</v>
      </c>
      <c r="O2909" s="1079">
        <f t="shared" si="262"/>
        <v>2500000</v>
      </c>
      <c r="P2909" s="1080"/>
      <c r="Q2909" s="1829"/>
      <c r="R2909" s="1829"/>
      <c r="S2909" s="1829"/>
      <c r="T2909" s="1829"/>
      <c r="U2909" s="1829"/>
      <c r="V2909" s="1829"/>
      <c r="W2909" s="1829"/>
      <c r="X2909" s="1829"/>
      <c r="Y2909" s="1829"/>
      <c r="Z2909" s="1829"/>
      <c r="AA2909" s="1829"/>
      <c r="AB2909" s="1829"/>
      <c r="AC2909" s="1829"/>
      <c r="AD2909" s="1829"/>
      <c r="AE2909" s="1829"/>
      <c r="AF2909" s="1829"/>
      <c r="AG2909" s="1829"/>
      <c r="AH2909" s="1829"/>
      <c r="AI2909" s="1829"/>
      <c r="AJ2909" s="1829"/>
      <c r="AK2909" s="1829"/>
      <c r="AL2909" s="1829"/>
      <c r="AM2909" s="1829"/>
      <c r="AN2909" s="1829"/>
      <c r="AO2909" s="1829"/>
      <c r="AP2909" s="1829"/>
      <c r="AQ2909" s="1829"/>
      <c r="AR2909" s="1829"/>
      <c r="AS2909" s="1829"/>
      <c r="AT2909" s="1829"/>
      <c r="AU2909" s="1829"/>
      <c r="AV2909" s="1829"/>
      <c r="AW2909" s="1829"/>
      <c r="AX2909" s="1829"/>
      <c r="AY2909" s="1829"/>
      <c r="AZ2909" s="1829"/>
      <c r="BA2909" s="1829"/>
      <c r="BB2909" s="1829"/>
      <c r="BC2909" s="1829"/>
      <c r="BD2909" s="1829"/>
      <c r="BE2909" s="1829"/>
      <c r="BF2909" s="1829"/>
      <c r="BG2909" s="1829"/>
      <c r="BH2909" s="1829"/>
      <c r="BI2909" s="1829"/>
      <c r="BJ2909" s="1829"/>
      <c r="BK2909" s="1829"/>
      <c r="BL2909" s="1829"/>
      <c r="BM2909" s="1829"/>
      <c r="BN2909" s="1829"/>
      <c r="BO2909" s="1829"/>
      <c r="BP2909" s="1829"/>
      <c r="BQ2909" s="1829"/>
      <c r="BR2909" s="1829"/>
      <c r="BS2909" s="1829"/>
      <c r="BT2909" s="1829"/>
      <c r="BU2909" s="1829"/>
      <c r="BV2909" s="1829"/>
      <c r="BW2909" s="1829"/>
      <c r="BX2909" s="1829"/>
      <c r="BY2909" s="1829"/>
      <c r="BZ2909" s="1829"/>
      <c r="CA2909" s="1829"/>
      <c r="CB2909" s="1829"/>
      <c r="CC2909" s="1829"/>
      <c r="CD2909" s="1829"/>
      <c r="CE2909" s="1829"/>
      <c r="CF2909" s="1829"/>
      <c r="CG2909" s="1829"/>
      <c r="CH2909" s="1829"/>
      <c r="CI2909" s="1829"/>
      <c r="CJ2909" s="1829"/>
      <c r="CK2909" s="1829"/>
    </row>
    <row r="2910" spans="1:89" s="1081" customFormat="1" ht="33.75" customHeight="1" x14ac:dyDescent="0.25">
      <c r="A2910" s="1074">
        <v>16</v>
      </c>
      <c r="B2910" s="1084" t="s">
        <v>2077</v>
      </c>
      <c r="C2910" s="1075">
        <v>1</v>
      </c>
      <c r="D2910" s="1076" t="s">
        <v>16</v>
      </c>
      <c r="E2910" s="1077">
        <v>200000</v>
      </c>
      <c r="F2910" s="1078"/>
      <c r="G2910" s="1078"/>
      <c r="H2910" s="1078"/>
      <c r="I2910" s="1078"/>
      <c r="J2910" s="1078">
        <f>C2910*E2910</f>
        <v>200000</v>
      </c>
      <c r="K2910" s="1078">
        <f t="shared" si="263"/>
        <v>200000</v>
      </c>
      <c r="L2910" s="1078"/>
      <c r="M2910" s="1078"/>
      <c r="N2910" s="1078"/>
      <c r="O2910" s="1079">
        <f t="shared" si="262"/>
        <v>200000</v>
      </c>
      <c r="P2910" s="1080"/>
      <c r="Q2910" s="1829"/>
      <c r="R2910" s="1829"/>
      <c r="S2910" s="1829"/>
      <c r="T2910" s="1829"/>
      <c r="U2910" s="1829"/>
      <c r="V2910" s="1829"/>
      <c r="W2910" s="1829"/>
      <c r="X2910" s="1829"/>
      <c r="Y2910" s="1829"/>
      <c r="Z2910" s="1829"/>
      <c r="AA2910" s="1829"/>
      <c r="AB2910" s="1829"/>
      <c r="AC2910" s="1829"/>
      <c r="AD2910" s="1829"/>
      <c r="AE2910" s="1829"/>
      <c r="AF2910" s="1829"/>
      <c r="AG2910" s="1829"/>
      <c r="AH2910" s="1829"/>
      <c r="AI2910" s="1829"/>
      <c r="AJ2910" s="1829"/>
      <c r="AK2910" s="1829"/>
      <c r="AL2910" s="1829"/>
      <c r="AM2910" s="1829"/>
      <c r="AN2910" s="1829"/>
      <c r="AO2910" s="1829"/>
      <c r="AP2910" s="1829"/>
      <c r="AQ2910" s="1829"/>
      <c r="AR2910" s="1829"/>
      <c r="AS2910" s="1829"/>
      <c r="AT2910" s="1829"/>
      <c r="AU2910" s="1829"/>
      <c r="AV2910" s="1829"/>
      <c r="AW2910" s="1829"/>
      <c r="AX2910" s="1829"/>
      <c r="AY2910" s="1829"/>
      <c r="AZ2910" s="1829"/>
      <c r="BA2910" s="1829"/>
      <c r="BB2910" s="1829"/>
      <c r="BC2910" s="1829"/>
      <c r="BD2910" s="1829"/>
      <c r="BE2910" s="1829"/>
      <c r="BF2910" s="1829"/>
      <c r="BG2910" s="1829"/>
      <c r="BH2910" s="1829"/>
      <c r="BI2910" s="1829"/>
      <c r="BJ2910" s="1829"/>
      <c r="BK2910" s="1829"/>
      <c r="BL2910" s="1829"/>
      <c r="BM2910" s="1829"/>
      <c r="BN2910" s="1829"/>
      <c r="BO2910" s="1829"/>
      <c r="BP2910" s="1829"/>
      <c r="BQ2910" s="1829"/>
      <c r="BR2910" s="1829"/>
      <c r="BS2910" s="1829"/>
      <c r="BT2910" s="1829"/>
      <c r="BU2910" s="1829"/>
      <c r="BV2910" s="1829"/>
      <c r="BW2910" s="1829"/>
      <c r="BX2910" s="1829"/>
      <c r="BY2910" s="1829"/>
      <c r="BZ2910" s="1829"/>
      <c r="CA2910" s="1829"/>
      <c r="CB2910" s="1829"/>
      <c r="CC2910" s="1829"/>
      <c r="CD2910" s="1829"/>
      <c r="CE2910" s="1829"/>
      <c r="CF2910" s="1829"/>
      <c r="CG2910" s="1829"/>
      <c r="CH2910" s="1829"/>
      <c r="CI2910" s="1829"/>
      <c r="CJ2910" s="1829"/>
      <c r="CK2910" s="1829"/>
    </row>
    <row r="2911" spans="1:89" ht="21" customHeight="1" x14ac:dyDescent="0.25">
      <c r="A2911" s="764"/>
      <c r="B2911" s="711"/>
      <c r="C2911" s="772"/>
      <c r="D2911" s="766"/>
      <c r="E2911" s="767"/>
      <c r="F2911" s="714"/>
      <c r="G2911" s="714"/>
      <c r="H2911" s="714"/>
      <c r="I2911" s="714"/>
      <c r="J2911" s="714"/>
      <c r="K2911" s="714"/>
      <c r="L2911" s="714"/>
      <c r="M2911" s="714"/>
      <c r="N2911" s="714"/>
      <c r="O2911" s="753"/>
      <c r="P2911" s="754"/>
    </row>
    <row r="2912" spans="1:89" ht="33.75" customHeight="1" x14ac:dyDescent="0.25">
      <c r="A2912" s="764"/>
      <c r="B2912" s="711"/>
      <c r="C2912" s="772"/>
      <c r="D2912" s="766"/>
      <c r="E2912" s="767"/>
      <c r="F2912" s="714"/>
      <c r="G2912" s="714"/>
      <c r="H2912" s="714"/>
      <c r="I2912" s="714"/>
      <c r="J2912" s="714"/>
      <c r="K2912" s="714"/>
      <c r="L2912" s="714"/>
      <c r="M2912" s="714"/>
      <c r="N2912" s="714"/>
      <c r="O2912" s="753"/>
      <c r="P2912" s="754"/>
    </row>
    <row r="2913" spans="1:89" ht="21" customHeight="1" x14ac:dyDescent="0.25">
      <c r="A2913" s="764"/>
      <c r="B2913" s="711" t="s">
        <v>995</v>
      </c>
      <c r="C2913" s="772"/>
      <c r="D2913" s="766"/>
      <c r="E2913" s="767"/>
      <c r="F2913" s="714"/>
      <c r="G2913" s="714"/>
      <c r="H2913" s="714"/>
      <c r="I2913" s="714"/>
      <c r="J2913" s="714"/>
      <c r="K2913" s="714"/>
      <c r="L2913" s="714"/>
      <c r="M2913" s="714"/>
      <c r="N2913" s="714"/>
      <c r="O2913" s="753"/>
      <c r="P2913" s="754"/>
    </row>
    <row r="2914" spans="1:89" s="1081" customFormat="1" ht="21" customHeight="1" x14ac:dyDescent="0.25">
      <c r="A2914" s="1074">
        <v>17</v>
      </c>
      <c r="B2914" s="1693" t="s">
        <v>1025</v>
      </c>
      <c r="C2914" s="1075">
        <v>1</v>
      </c>
      <c r="D2914" s="1076" t="s">
        <v>16</v>
      </c>
      <c r="E2914" s="1077">
        <f>500000+250000</f>
        <v>750000</v>
      </c>
      <c r="F2914" s="1078"/>
      <c r="G2914" s="1078"/>
      <c r="H2914" s="1078"/>
      <c r="I2914" s="1078"/>
      <c r="J2914" s="1078"/>
      <c r="K2914" s="1078"/>
      <c r="L2914" s="1078">
        <f t="shared" ref="L2914:L2920" si="264">E2914*C2914</f>
        <v>750000</v>
      </c>
      <c r="M2914" s="1078"/>
      <c r="N2914" s="1078">
        <f t="shared" ref="N2914:N2923" si="265">L2914+M2914</f>
        <v>750000</v>
      </c>
      <c r="O2914" s="1079">
        <f t="shared" ref="O2914:O2923" si="266">K2914+N2914</f>
        <v>750000</v>
      </c>
      <c r="P2914" s="1080"/>
      <c r="Q2914" s="1829"/>
      <c r="R2914" s="1829"/>
      <c r="S2914" s="1829"/>
      <c r="T2914" s="1829"/>
      <c r="U2914" s="1829"/>
      <c r="V2914" s="1829"/>
      <c r="W2914" s="1829"/>
      <c r="X2914" s="1829"/>
      <c r="Y2914" s="1829"/>
      <c r="Z2914" s="1829"/>
      <c r="AA2914" s="1829"/>
      <c r="AB2914" s="1829"/>
      <c r="AC2914" s="1829"/>
      <c r="AD2914" s="1829"/>
      <c r="AE2914" s="1829"/>
      <c r="AF2914" s="1829"/>
      <c r="AG2914" s="1829"/>
      <c r="AH2914" s="1829"/>
      <c r="AI2914" s="1829"/>
      <c r="AJ2914" s="1829"/>
      <c r="AK2914" s="1829"/>
      <c r="AL2914" s="1829"/>
      <c r="AM2914" s="1829"/>
      <c r="AN2914" s="1829"/>
      <c r="AO2914" s="1829"/>
      <c r="AP2914" s="1829"/>
      <c r="AQ2914" s="1829"/>
      <c r="AR2914" s="1829"/>
      <c r="AS2914" s="1829"/>
      <c r="AT2914" s="1829"/>
      <c r="AU2914" s="1829"/>
      <c r="AV2914" s="1829"/>
      <c r="AW2914" s="1829"/>
      <c r="AX2914" s="1829"/>
      <c r="AY2914" s="1829"/>
      <c r="AZ2914" s="1829"/>
      <c r="BA2914" s="1829"/>
      <c r="BB2914" s="1829"/>
      <c r="BC2914" s="1829"/>
      <c r="BD2914" s="1829"/>
      <c r="BE2914" s="1829"/>
      <c r="BF2914" s="1829"/>
      <c r="BG2914" s="1829"/>
      <c r="BH2914" s="1829"/>
      <c r="BI2914" s="1829"/>
      <c r="BJ2914" s="1829"/>
      <c r="BK2914" s="1829"/>
      <c r="BL2914" s="1829"/>
      <c r="BM2914" s="1829"/>
      <c r="BN2914" s="1829"/>
      <c r="BO2914" s="1829"/>
      <c r="BP2914" s="1829"/>
      <c r="BQ2914" s="1829"/>
      <c r="BR2914" s="1829"/>
      <c r="BS2914" s="1829"/>
      <c r="BT2914" s="1829"/>
      <c r="BU2914" s="1829"/>
      <c r="BV2914" s="1829"/>
      <c r="BW2914" s="1829"/>
      <c r="BX2914" s="1829"/>
      <c r="BY2914" s="1829"/>
      <c r="BZ2914" s="1829"/>
      <c r="CA2914" s="1829"/>
      <c r="CB2914" s="1829"/>
      <c r="CC2914" s="1829"/>
      <c r="CD2914" s="1829"/>
      <c r="CE2914" s="1829"/>
      <c r="CF2914" s="1829"/>
      <c r="CG2914" s="1829"/>
      <c r="CH2914" s="1829"/>
      <c r="CI2914" s="1829"/>
      <c r="CJ2914" s="1829"/>
      <c r="CK2914" s="1829"/>
    </row>
    <row r="2915" spans="1:89" s="1081" customFormat="1" ht="21" customHeight="1" x14ac:dyDescent="0.25">
      <c r="A2915" s="1074">
        <v>18</v>
      </c>
      <c r="B2915" s="1693" t="s">
        <v>1026</v>
      </c>
      <c r="C2915" s="1075">
        <v>1</v>
      </c>
      <c r="D2915" s="1076" t="s">
        <v>16</v>
      </c>
      <c r="E2915" s="1077">
        <v>600000</v>
      </c>
      <c r="F2915" s="1078"/>
      <c r="G2915" s="1078"/>
      <c r="H2915" s="1078"/>
      <c r="I2915" s="1078"/>
      <c r="J2915" s="1078"/>
      <c r="K2915" s="1078"/>
      <c r="L2915" s="1078">
        <f t="shared" si="264"/>
        <v>600000</v>
      </c>
      <c r="M2915" s="1078"/>
      <c r="N2915" s="1078">
        <f t="shared" si="265"/>
        <v>600000</v>
      </c>
      <c r="O2915" s="1079">
        <f t="shared" si="266"/>
        <v>600000</v>
      </c>
      <c r="P2915" s="1080"/>
      <c r="Q2915" s="1829"/>
      <c r="R2915" s="1829"/>
      <c r="S2915" s="1829"/>
      <c r="T2915" s="1829"/>
      <c r="U2915" s="1829"/>
      <c r="V2915" s="1829"/>
      <c r="W2915" s="1829"/>
      <c r="X2915" s="1829"/>
      <c r="Y2915" s="1829"/>
      <c r="Z2915" s="1829"/>
      <c r="AA2915" s="1829"/>
      <c r="AB2915" s="1829"/>
      <c r="AC2915" s="1829"/>
      <c r="AD2915" s="1829"/>
      <c r="AE2915" s="1829"/>
      <c r="AF2915" s="1829"/>
      <c r="AG2915" s="1829"/>
      <c r="AH2915" s="1829"/>
      <c r="AI2915" s="1829"/>
      <c r="AJ2915" s="1829"/>
      <c r="AK2915" s="1829"/>
      <c r="AL2915" s="1829"/>
      <c r="AM2915" s="1829"/>
      <c r="AN2915" s="1829"/>
      <c r="AO2915" s="1829"/>
      <c r="AP2915" s="1829"/>
      <c r="AQ2915" s="1829"/>
      <c r="AR2915" s="1829"/>
      <c r="AS2915" s="1829"/>
      <c r="AT2915" s="1829"/>
      <c r="AU2915" s="1829"/>
      <c r="AV2915" s="1829"/>
      <c r="AW2915" s="1829"/>
      <c r="AX2915" s="1829"/>
      <c r="AY2915" s="1829"/>
      <c r="AZ2915" s="1829"/>
      <c r="BA2915" s="1829"/>
      <c r="BB2915" s="1829"/>
      <c r="BC2915" s="1829"/>
      <c r="BD2915" s="1829"/>
      <c r="BE2915" s="1829"/>
      <c r="BF2915" s="1829"/>
      <c r="BG2915" s="1829"/>
      <c r="BH2915" s="1829"/>
      <c r="BI2915" s="1829"/>
      <c r="BJ2915" s="1829"/>
      <c r="BK2915" s="1829"/>
      <c r="BL2915" s="1829"/>
      <c r="BM2915" s="1829"/>
      <c r="BN2915" s="1829"/>
      <c r="BO2915" s="1829"/>
      <c r="BP2915" s="1829"/>
      <c r="BQ2915" s="1829"/>
      <c r="BR2915" s="1829"/>
      <c r="BS2915" s="1829"/>
      <c r="BT2915" s="1829"/>
      <c r="BU2915" s="1829"/>
      <c r="BV2915" s="1829"/>
      <c r="BW2915" s="1829"/>
      <c r="BX2915" s="1829"/>
      <c r="BY2915" s="1829"/>
      <c r="BZ2915" s="1829"/>
      <c r="CA2915" s="1829"/>
      <c r="CB2915" s="1829"/>
      <c r="CC2915" s="1829"/>
      <c r="CD2915" s="1829"/>
      <c r="CE2915" s="1829"/>
      <c r="CF2915" s="1829"/>
      <c r="CG2915" s="1829"/>
      <c r="CH2915" s="1829"/>
      <c r="CI2915" s="1829"/>
      <c r="CJ2915" s="1829"/>
      <c r="CK2915" s="1829"/>
    </row>
    <row r="2916" spans="1:89" s="1081" customFormat="1" ht="32.25" customHeight="1" x14ac:dyDescent="0.25">
      <c r="A2916" s="1074">
        <v>19</v>
      </c>
      <c r="B2916" s="1082" t="s">
        <v>1808</v>
      </c>
      <c r="C2916" s="1075">
        <v>1</v>
      </c>
      <c r="D2916" s="1076" t="s">
        <v>16</v>
      </c>
      <c r="E2916" s="1077">
        <v>500000</v>
      </c>
      <c r="F2916" s="1078"/>
      <c r="G2916" s="1078"/>
      <c r="H2916" s="1078"/>
      <c r="I2916" s="1078"/>
      <c r="J2916" s="1078"/>
      <c r="K2916" s="1078"/>
      <c r="L2916" s="1078">
        <f t="shared" si="264"/>
        <v>500000</v>
      </c>
      <c r="M2916" s="1078"/>
      <c r="N2916" s="1078">
        <f t="shared" si="265"/>
        <v>500000</v>
      </c>
      <c r="O2916" s="1079">
        <f t="shared" si="266"/>
        <v>500000</v>
      </c>
      <c r="P2916" s="1080"/>
      <c r="Q2916" s="1829"/>
      <c r="R2916" s="1829"/>
      <c r="S2916" s="1829"/>
      <c r="T2916" s="1829"/>
      <c r="U2916" s="1829"/>
      <c r="V2916" s="1829"/>
      <c r="W2916" s="1829"/>
      <c r="X2916" s="1829"/>
      <c r="Y2916" s="1829"/>
      <c r="Z2916" s="1829"/>
      <c r="AA2916" s="1829"/>
      <c r="AB2916" s="1829"/>
      <c r="AC2916" s="1829"/>
      <c r="AD2916" s="1829"/>
      <c r="AE2916" s="1829"/>
      <c r="AF2916" s="1829"/>
      <c r="AG2916" s="1829"/>
      <c r="AH2916" s="1829"/>
      <c r="AI2916" s="1829"/>
      <c r="AJ2916" s="1829"/>
      <c r="AK2916" s="1829"/>
      <c r="AL2916" s="1829"/>
      <c r="AM2916" s="1829"/>
      <c r="AN2916" s="1829"/>
      <c r="AO2916" s="1829"/>
      <c r="AP2916" s="1829"/>
      <c r="AQ2916" s="1829"/>
      <c r="AR2916" s="1829"/>
      <c r="AS2916" s="1829"/>
      <c r="AT2916" s="1829"/>
      <c r="AU2916" s="1829"/>
      <c r="AV2916" s="1829"/>
      <c r="AW2916" s="1829"/>
      <c r="AX2916" s="1829"/>
      <c r="AY2916" s="1829"/>
      <c r="AZ2916" s="1829"/>
      <c r="BA2916" s="1829"/>
      <c r="BB2916" s="1829"/>
      <c r="BC2916" s="1829"/>
      <c r="BD2916" s="1829"/>
      <c r="BE2916" s="1829"/>
      <c r="BF2916" s="1829"/>
      <c r="BG2916" s="1829"/>
      <c r="BH2916" s="1829"/>
      <c r="BI2916" s="1829"/>
      <c r="BJ2916" s="1829"/>
      <c r="BK2916" s="1829"/>
      <c r="BL2916" s="1829"/>
      <c r="BM2916" s="1829"/>
      <c r="BN2916" s="1829"/>
      <c r="BO2916" s="1829"/>
      <c r="BP2916" s="1829"/>
      <c r="BQ2916" s="1829"/>
      <c r="BR2916" s="1829"/>
      <c r="BS2916" s="1829"/>
      <c r="BT2916" s="1829"/>
      <c r="BU2916" s="1829"/>
      <c r="BV2916" s="1829"/>
      <c r="BW2916" s="1829"/>
      <c r="BX2916" s="1829"/>
      <c r="BY2916" s="1829"/>
      <c r="BZ2916" s="1829"/>
      <c r="CA2916" s="1829"/>
      <c r="CB2916" s="1829"/>
      <c r="CC2916" s="1829"/>
      <c r="CD2916" s="1829"/>
      <c r="CE2916" s="1829"/>
      <c r="CF2916" s="1829"/>
      <c r="CG2916" s="1829"/>
      <c r="CH2916" s="1829"/>
      <c r="CI2916" s="1829"/>
      <c r="CJ2916" s="1829"/>
      <c r="CK2916" s="1829"/>
    </row>
    <row r="2917" spans="1:89" s="1081" customFormat="1" ht="21" customHeight="1" x14ac:dyDescent="0.25">
      <c r="A2917" s="1074">
        <v>20</v>
      </c>
      <c r="B2917" s="1083" t="s">
        <v>1809</v>
      </c>
      <c r="C2917" s="1075">
        <v>1</v>
      </c>
      <c r="D2917" s="1076" t="s">
        <v>16</v>
      </c>
      <c r="E2917" s="1077">
        <v>600000</v>
      </c>
      <c r="F2917" s="1078"/>
      <c r="G2917" s="1078"/>
      <c r="H2917" s="1078"/>
      <c r="I2917" s="1078"/>
      <c r="J2917" s="1078"/>
      <c r="K2917" s="1078"/>
      <c r="L2917" s="1078">
        <f t="shared" si="264"/>
        <v>600000</v>
      </c>
      <c r="M2917" s="1078"/>
      <c r="N2917" s="1078">
        <f t="shared" si="265"/>
        <v>600000</v>
      </c>
      <c r="O2917" s="1079">
        <f t="shared" si="266"/>
        <v>600000</v>
      </c>
      <c r="P2917" s="1080"/>
      <c r="Q2917" s="1829"/>
      <c r="R2917" s="1829"/>
      <c r="S2917" s="1829"/>
      <c r="T2917" s="1829"/>
      <c r="U2917" s="1829"/>
      <c r="V2917" s="1829"/>
      <c r="W2917" s="1829"/>
      <c r="X2917" s="1829"/>
      <c r="Y2917" s="1829"/>
      <c r="Z2917" s="1829"/>
      <c r="AA2917" s="1829"/>
      <c r="AB2917" s="1829"/>
      <c r="AC2917" s="1829"/>
      <c r="AD2917" s="1829"/>
      <c r="AE2917" s="1829"/>
      <c r="AF2917" s="1829"/>
      <c r="AG2917" s="1829"/>
      <c r="AH2917" s="1829"/>
      <c r="AI2917" s="1829"/>
      <c r="AJ2917" s="1829"/>
      <c r="AK2917" s="1829"/>
      <c r="AL2917" s="1829"/>
      <c r="AM2917" s="1829"/>
      <c r="AN2917" s="1829"/>
      <c r="AO2917" s="1829"/>
      <c r="AP2917" s="1829"/>
      <c r="AQ2917" s="1829"/>
      <c r="AR2917" s="1829"/>
      <c r="AS2917" s="1829"/>
      <c r="AT2917" s="1829"/>
      <c r="AU2917" s="1829"/>
      <c r="AV2917" s="1829"/>
      <c r="AW2917" s="1829"/>
      <c r="AX2917" s="1829"/>
      <c r="AY2917" s="1829"/>
      <c r="AZ2917" s="1829"/>
      <c r="BA2917" s="1829"/>
      <c r="BB2917" s="1829"/>
      <c r="BC2917" s="1829"/>
      <c r="BD2917" s="1829"/>
      <c r="BE2917" s="1829"/>
      <c r="BF2917" s="1829"/>
      <c r="BG2917" s="1829"/>
      <c r="BH2917" s="1829"/>
      <c r="BI2917" s="1829"/>
      <c r="BJ2917" s="1829"/>
      <c r="BK2917" s="1829"/>
      <c r="BL2917" s="1829"/>
      <c r="BM2917" s="1829"/>
      <c r="BN2917" s="1829"/>
      <c r="BO2917" s="1829"/>
      <c r="BP2917" s="1829"/>
      <c r="BQ2917" s="1829"/>
      <c r="BR2917" s="1829"/>
      <c r="BS2917" s="1829"/>
      <c r="BT2917" s="1829"/>
      <c r="BU2917" s="1829"/>
      <c r="BV2917" s="1829"/>
      <c r="BW2917" s="1829"/>
      <c r="BX2917" s="1829"/>
      <c r="BY2917" s="1829"/>
      <c r="BZ2917" s="1829"/>
      <c r="CA2917" s="1829"/>
      <c r="CB2917" s="1829"/>
      <c r="CC2917" s="1829"/>
      <c r="CD2917" s="1829"/>
      <c r="CE2917" s="1829"/>
      <c r="CF2917" s="1829"/>
      <c r="CG2917" s="1829"/>
      <c r="CH2917" s="1829"/>
      <c r="CI2917" s="1829"/>
      <c r="CJ2917" s="1829"/>
      <c r="CK2917" s="1829"/>
    </row>
    <row r="2918" spans="1:89" s="1081" customFormat="1" ht="21" customHeight="1" x14ac:dyDescent="0.25">
      <c r="A2918" s="1074">
        <v>21</v>
      </c>
      <c r="B2918" s="1083" t="s">
        <v>1810</v>
      </c>
      <c r="C2918" s="1075">
        <v>1</v>
      </c>
      <c r="D2918" s="1076" t="s">
        <v>16</v>
      </c>
      <c r="E2918" s="1077">
        <v>650000</v>
      </c>
      <c r="F2918" s="1078"/>
      <c r="G2918" s="1078"/>
      <c r="H2918" s="1078"/>
      <c r="I2918" s="1078"/>
      <c r="J2918" s="1078"/>
      <c r="K2918" s="1078"/>
      <c r="L2918" s="1078">
        <f t="shared" si="264"/>
        <v>650000</v>
      </c>
      <c r="M2918" s="1078"/>
      <c r="N2918" s="1078">
        <f t="shared" si="265"/>
        <v>650000</v>
      </c>
      <c r="O2918" s="1079">
        <f t="shared" si="266"/>
        <v>650000</v>
      </c>
      <c r="P2918" s="1080"/>
      <c r="Q2918" s="1829"/>
      <c r="R2918" s="1829"/>
      <c r="S2918" s="1829"/>
      <c r="T2918" s="1829"/>
      <c r="U2918" s="1829"/>
      <c r="V2918" s="1829"/>
      <c r="W2918" s="1829"/>
      <c r="X2918" s="1829"/>
      <c r="Y2918" s="1829"/>
      <c r="Z2918" s="1829"/>
      <c r="AA2918" s="1829"/>
      <c r="AB2918" s="1829"/>
      <c r="AC2918" s="1829"/>
      <c r="AD2918" s="1829"/>
      <c r="AE2918" s="1829"/>
      <c r="AF2918" s="1829"/>
      <c r="AG2918" s="1829"/>
      <c r="AH2918" s="1829"/>
      <c r="AI2918" s="1829"/>
      <c r="AJ2918" s="1829"/>
      <c r="AK2918" s="1829"/>
      <c r="AL2918" s="1829"/>
      <c r="AM2918" s="1829"/>
      <c r="AN2918" s="1829"/>
      <c r="AO2918" s="1829"/>
      <c r="AP2918" s="1829"/>
      <c r="AQ2918" s="1829"/>
      <c r="AR2918" s="1829"/>
      <c r="AS2918" s="1829"/>
      <c r="AT2918" s="1829"/>
      <c r="AU2918" s="1829"/>
      <c r="AV2918" s="1829"/>
      <c r="AW2918" s="1829"/>
      <c r="AX2918" s="1829"/>
      <c r="AY2918" s="1829"/>
      <c r="AZ2918" s="1829"/>
      <c r="BA2918" s="1829"/>
      <c r="BB2918" s="1829"/>
      <c r="BC2918" s="1829"/>
      <c r="BD2918" s="1829"/>
      <c r="BE2918" s="1829"/>
      <c r="BF2918" s="1829"/>
      <c r="BG2918" s="1829"/>
      <c r="BH2918" s="1829"/>
      <c r="BI2918" s="1829"/>
      <c r="BJ2918" s="1829"/>
      <c r="BK2918" s="1829"/>
      <c r="BL2918" s="1829"/>
      <c r="BM2918" s="1829"/>
      <c r="BN2918" s="1829"/>
      <c r="BO2918" s="1829"/>
      <c r="BP2918" s="1829"/>
      <c r="BQ2918" s="1829"/>
      <c r="BR2918" s="1829"/>
      <c r="BS2918" s="1829"/>
      <c r="BT2918" s="1829"/>
      <c r="BU2918" s="1829"/>
      <c r="BV2918" s="1829"/>
      <c r="BW2918" s="1829"/>
      <c r="BX2918" s="1829"/>
      <c r="BY2918" s="1829"/>
      <c r="BZ2918" s="1829"/>
      <c r="CA2918" s="1829"/>
      <c r="CB2918" s="1829"/>
      <c r="CC2918" s="1829"/>
      <c r="CD2918" s="1829"/>
      <c r="CE2918" s="1829"/>
      <c r="CF2918" s="1829"/>
      <c r="CG2918" s="1829"/>
      <c r="CH2918" s="1829"/>
      <c r="CI2918" s="1829"/>
      <c r="CJ2918" s="1829"/>
      <c r="CK2918" s="1829"/>
    </row>
    <row r="2919" spans="1:89" s="1081" customFormat="1" ht="46.5" customHeight="1" x14ac:dyDescent="0.25">
      <c r="A2919" s="1074">
        <v>22</v>
      </c>
      <c r="B2919" s="1694" t="s">
        <v>1818</v>
      </c>
      <c r="C2919" s="1075">
        <v>1</v>
      </c>
      <c r="D2919" s="1076" t="s">
        <v>16</v>
      </c>
      <c r="E2919" s="1077">
        <v>600000</v>
      </c>
      <c r="F2919" s="1078"/>
      <c r="G2919" s="1078"/>
      <c r="H2919" s="1078"/>
      <c r="I2919" s="1078"/>
      <c r="J2919" s="1078"/>
      <c r="K2919" s="1078"/>
      <c r="L2919" s="1078">
        <f t="shared" si="264"/>
        <v>600000</v>
      </c>
      <c r="M2919" s="1078"/>
      <c r="N2919" s="1078">
        <f t="shared" si="265"/>
        <v>600000</v>
      </c>
      <c r="O2919" s="1079">
        <f t="shared" si="266"/>
        <v>600000</v>
      </c>
      <c r="P2919" s="1080"/>
      <c r="Q2919" s="1829"/>
      <c r="R2919" s="1829"/>
      <c r="S2919" s="1829"/>
      <c r="T2919" s="1829"/>
      <c r="U2919" s="1829"/>
      <c r="V2919" s="1829"/>
      <c r="W2919" s="1829"/>
      <c r="X2919" s="1829"/>
      <c r="Y2919" s="1829"/>
      <c r="Z2919" s="1829"/>
      <c r="AA2919" s="1829"/>
      <c r="AB2919" s="1829"/>
      <c r="AC2919" s="1829"/>
      <c r="AD2919" s="1829"/>
      <c r="AE2919" s="1829"/>
      <c r="AF2919" s="1829"/>
      <c r="AG2919" s="1829"/>
      <c r="AH2919" s="1829"/>
      <c r="AI2919" s="1829"/>
      <c r="AJ2919" s="1829"/>
      <c r="AK2919" s="1829"/>
      <c r="AL2919" s="1829"/>
      <c r="AM2919" s="1829"/>
      <c r="AN2919" s="1829"/>
      <c r="AO2919" s="1829"/>
      <c r="AP2919" s="1829"/>
      <c r="AQ2919" s="1829"/>
      <c r="AR2919" s="1829"/>
      <c r="AS2919" s="1829"/>
      <c r="AT2919" s="1829"/>
      <c r="AU2919" s="1829"/>
      <c r="AV2919" s="1829"/>
      <c r="AW2919" s="1829"/>
      <c r="AX2919" s="1829"/>
      <c r="AY2919" s="1829"/>
      <c r="AZ2919" s="1829"/>
      <c r="BA2919" s="1829"/>
      <c r="BB2919" s="1829"/>
      <c r="BC2919" s="1829"/>
      <c r="BD2919" s="1829"/>
      <c r="BE2919" s="1829"/>
      <c r="BF2919" s="1829"/>
      <c r="BG2919" s="1829"/>
      <c r="BH2919" s="1829"/>
      <c r="BI2919" s="1829"/>
      <c r="BJ2919" s="1829"/>
      <c r="BK2919" s="1829"/>
      <c r="BL2919" s="1829"/>
      <c r="BM2919" s="1829"/>
      <c r="BN2919" s="1829"/>
      <c r="BO2919" s="1829"/>
      <c r="BP2919" s="1829"/>
      <c r="BQ2919" s="1829"/>
      <c r="BR2919" s="1829"/>
      <c r="BS2919" s="1829"/>
      <c r="BT2919" s="1829"/>
      <c r="BU2919" s="1829"/>
      <c r="BV2919" s="1829"/>
      <c r="BW2919" s="1829"/>
      <c r="BX2919" s="1829"/>
      <c r="BY2919" s="1829"/>
      <c r="BZ2919" s="1829"/>
      <c r="CA2919" s="1829"/>
      <c r="CB2919" s="1829"/>
      <c r="CC2919" s="1829"/>
      <c r="CD2919" s="1829"/>
      <c r="CE2919" s="1829"/>
      <c r="CF2919" s="1829"/>
      <c r="CG2919" s="1829"/>
      <c r="CH2919" s="1829"/>
      <c r="CI2919" s="1829"/>
      <c r="CJ2919" s="1829"/>
      <c r="CK2919" s="1829"/>
    </row>
    <row r="2920" spans="1:89" s="1081" customFormat="1" ht="21" customHeight="1" x14ac:dyDescent="0.25">
      <c r="A2920" s="1074">
        <v>23</v>
      </c>
      <c r="B2920" s="1082" t="s">
        <v>1806</v>
      </c>
      <c r="C2920" s="1075">
        <v>1</v>
      </c>
      <c r="D2920" s="1076" t="s">
        <v>16</v>
      </c>
      <c r="E2920" s="1077">
        <v>500000</v>
      </c>
      <c r="F2920" s="1078"/>
      <c r="G2920" s="1078"/>
      <c r="H2920" s="1078"/>
      <c r="I2920" s="1078"/>
      <c r="J2920" s="1078"/>
      <c r="K2920" s="1078"/>
      <c r="L2920" s="1078">
        <f t="shared" si="264"/>
        <v>500000</v>
      </c>
      <c r="M2920" s="1078"/>
      <c r="N2920" s="1078">
        <f t="shared" si="265"/>
        <v>500000</v>
      </c>
      <c r="O2920" s="1079">
        <f t="shared" si="266"/>
        <v>500000</v>
      </c>
      <c r="P2920" s="1080"/>
      <c r="Q2920" s="1829"/>
      <c r="R2920" s="1829"/>
      <c r="S2920" s="1829"/>
      <c r="T2920" s="1829"/>
      <c r="U2920" s="1829"/>
      <c r="V2920" s="1829"/>
      <c r="W2920" s="1829"/>
      <c r="X2920" s="1829"/>
      <c r="Y2920" s="1829"/>
      <c r="Z2920" s="1829"/>
      <c r="AA2920" s="1829"/>
      <c r="AB2920" s="1829"/>
      <c r="AC2920" s="1829"/>
      <c r="AD2920" s="1829"/>
      <c r="AE2920" s="1829"/>
      <c r="AF2920" s="1829"/>
      <c r="AG2920" s="1829"/>
      <c r="AH2920" s="1829"/>
      <c r="AI2920" s="1829"/>
      <c r="AJ2920" s="1829"/>
      <c r="AK2920" s="1829"/>
      <c r="AL2920" s="1829"/>
      <c r="AM2920" s="1829"/>
      <c r="AN2920" s="1829"/>
      <c r="AO2920" s="1829"/>
      <c r="AP2920" s="1829"/>
      <c r="AQ2920" s="1829"/>
      <c r="AR2920" s="1829"/>
      <c r="AS2920" s="1829"/>
      <c r="AT2920" s="1829"/>
      <c r="AU2920" s="1829"/>
      <c r="AV2920" s="1829"/>
      <c r="AW2920" s="1829"/>
      <c r="AX2920" s="1829"/>
      <c r="AY2920" s="1829"/>
      <c r="AZ2920" s="1829"/>
      <c r="BA2920" s="1829"/>
      <c r="BB2920" s="1829"/>
      <c r="BC2920" s="1829"/>
      <c r="BD2920" s="1829"/>
      <c r="BE2920" s="1829"/>
      <c r="BF2920" s="1829"/>
      <c r="BG2920" s="1829"/>
      <c r="BH2920" s="1829"/>
      <c r="BI2920" s="1829"/>
      <c r="BJ2920" s="1829"/>
      <c r="BK2920" s="1829"/>
      <c r="BL2920" s="1829"/>
      <c r="BM2920" s="1829"/>
      <c r="BN2920" s="1829"/>
      <c r="BO2920" s="1829"/>
      <c r="BP2920" s="1829"/>
      <c r="BQ2920" s="1829"/>
      <c r="BR2920" s="1829"/>
      <c r="BS2920" s="1829"/>
      <c r="BT2920" s="1829"/>
      <c r="BU2920" s="1829"/>
      <c r="BV2920" s="1829"/>
      <c r="BW2920" s="1829"/>
      <c r="BX2920" s="1829"/>
      <c r="BY2920" s="1829"/>
      <c r="BZ2920" s="1829"/>
      <c r="CA2920" s="1829"/>
      <c r="CB2920" s="1829"/>
      <c r="CC2920" s="1829"/>
      <c r="CD2920" s="1829"/>
      <c r="CE2920" s="1829"/>
      <c r="CF2920" s="1829"/>
      <c r="CG2920" s="1829"/>
      <c r="CH2920" s="1829"/>
      <c r="CI2920" s="1829"/>
      <c r="CJ2920" s="1829"/>
      <c r="CK2920" s="1829"/>
    </row>
    <row r="2921" spans="1:89" s="1081" customFormat="1" ht="21" customHeight="1" x14ac:dyDescent="0.25">
      <c r="A2921" s="1074">
        <v>24</v>
      </c>
      <c r="B2921" s="1082" t="s">
        <v>1837</v>
      </c>
      <c r="C2921" s="1075">
        <v>1</v>
      </c>
      <c r="D2921" s="1076" t="s">
        <v>16</v>
      </c>
      <c r="E2921" s="1077">
        <v>500000</v>
      </c>
      <c r="F2921" s="1078"/>
      <c r="G2921" s="1078"/>
      <c r="H2921" s="1078"/>
      <c r="I2921" s="1078"/>
      <c r="J2921" s="1078"/>
      <c r="K2921" s="1078"/>
      <c r="L2921" s="1078">
        <f>E2921*C2921</f>
        <v>500000</v>
      </c>
      <c r="M2921" s="1078"/>
      <c r="N2921" s="1078">
        <f t="shared" si="265"/>
        <v>500000</v>
      </c>
      <c r="O2921" s="1079">
        <f t="shared" si="266"/>
        <v>500000</v>
      </c>
      <c r="P2921" s="1080"/>
      <c r="Q2921" s="1829"/>
      <c r="R2921" s="1829"/>
      <c r="S2921" s="1829"/>
      <c r="T2921" s="1829"/>
      <c r="U2921" s="1829"/>
      <c r="V2921" s="1829"/>
      <c r="W2921" s="1829"/>
      <c r="X2921" s="1829"/>
      <c r="Y2921" s="1829"/>
      <c r="Z2921" s="1829"/>
      <c r="AA2921" s="1829"/>
      <c r="AB2921" s="1829"/>
      <c r="AC2921" s="1829"/>
      <c r="AD2921" s="1829"/>
      <c r="AE2921" s="1829"/>
      <c r="AF2921" s="1829"/>
      <c r="AG2921" s="1829"/>
      <c r="AH2921" s="1829"/>
      <c r="AI2921" s="1829"/>
      <c r="AJ2921" s="1829"/>
      <c r="AK2921" s="1829"/>
      <c r="AL2921" s="1829"/>
      <c r="AM2921" s="1829"/>
      <c r="AN2921" s="1829"/>
      <c r="AO2921" s="1829"/>
      <c r="AP2921" s="1829"/>
      <c r="AQ2921" s="1829"/>
      <c r="AR2921" s="1829"/>
      <c r="AS2921" s="1829"/>
      <c r="AT2921" s="1829"/>
      <c r="AU2921" s="1829"/>
      <c r="AV2921" s="1829"/>
      <c r="AW2921" s="1829"/>
      <c r="AX2921" s="1829"/>
      <c r="AY2921" s="1829"/>
      <c r="AZ2921" s="1829"/>
      <c r="BA2921" s="1829"/>
      <c r="BB2921" s="1829"/>
      <c r="BC2921" s="1829"/>
      <c r="BD2921" s="1829"/>
      <c r="BE2921" s="1829"/>
      <c r="BF2921" s="1829"/>
      <c r="BG2921" s="1829"/>
      <c r="BH2921" s="1829"/>
      <c r="BI2921" s="1829"/>
      <c r="BJ2921" s="1829"/>
      <c r="BK2921" s="1829"/>
      <c r="BL2921" s="1829"/>
      <c r="BM2921" s="1829"/>
      <c r="BN2921" s="1829"/>
      <c r="BO2921" s="1829"/>
      <c r="BP2921" s="1829"/>
      <c r="BQ2921" s="1829"/>
      <c r="BR2921" s="1829"/>
      <c r="BS2921" s="1829"/>
      <c r="BT2921" s="1829"/>
      <c r="BU2921" s="1829"/>
      <c r="BV2921" s="1829"/>
      <c r="BW2921" s="1829"/>
      <c r="BX2921" s="1829"/>
      <c r="BY2921" s="1829"/>
      <c r="BZ2921" s="1829"/>
      <c r="CA2921" s="1829"/>
      <c r="CB2921" s="1829"/>
      <c r="CC2921" s="1829"/>
      <c r="CD2921" s="1829"/>
      <c r="CE2921" s="1829"/>
      <c r="CF2921" s="1829"/>
      <c r="CG2921" s="1829"/>
      <c r="CH2921" s="1829"/>
      <c r="CI2921" s="1829"/>
      <c r="CJ2921" s="1829"/>
      <c r="CK2921" s="1829"/>
    </row>
    <row r="2922" spans="1:89" s="1081" customFormat="1" ht="21" customHeight="1" x14ac:dyDescent="0.25">
      <c r="A2922" s="1074">
        <v>25</v>
      </c>
      <c r="B2922" s="1082" t="s">
        <v>1838</v>
      </c>
      <c r="C2922" s="1075">
        <v>1</v>
      </c>
      <c r="D2922" s="1076" t="s">
        <v>16</v>
      </c>
      <c r="E2922" s="1077">
        <v>500000</v>
      </c>
      <c r="F2922" s="1078"/>
      <c r="G2922" s="1078"/>
      <c r="H2922" s="1078"/>
      <c r="I2922" s="1078"/>
      <c r="J2922" s="1078"/>
      <c r="K2922" s="1078"/>
      <c r="L2922" s="1078">
        <f>E2922*C2922</f>
        <v>500000</v>
      </c>
      <c r="M2922" s="1078"/>
      <c r="N2922" s="1078">
        <f t="shared" si="265"/>
        <v>500000</v>
      </c>
      <c r="O2922" s="1079">
        <f t="shared" si="266"/>
        <v>500000</v>
      </c>
      <c r="P2922" s="1080"/>
      <c r="Q2922" s="1829"/>
      <c r="R2922" s="1829"/>
      <c r="S2922" s="1829"/>
      <c r="T2922" s="1829"/>
      <c r="U2922" s="1829"/>
      <c r="V2922" s="1829"/>
      <c r="W2922" s="1829"/>
      <c r="X2922" s="1829"/>
      <c r="Y2922" s="1829"/>
      <c r="Z2922" s="1829"/>
      <c r="AA2922" s="1829"/>
      <c r="AB2922" s="1829"/>
      <c r="AC2922" s="1829"/>
      <c r="AD2922" s="1829"/>
      <c r="AE2922" s="1829"/>
      <c r="AF2922" s="1829"/>
      <c r="AG2922" s="1829"/>
      <c r="AH2922" s="1829"/>
      <c r="AI2922" s="1829"/>
      <c r="AJ2922" s="1829"/>
      <c r="AK2922" s="1829"/>
      <c r="AL2922" s="1829"/>
      <c r="AM2922" s="1829"/>
      <c r="AN2922" s="1829"/>
      <c r="AO2922" s="1829"/>
      <c r="AP2922" s="1829"/>
      <c r="AQ2922" s="1829"/>
      <c r="AR2922" s="1829"/>
      <c r="AS2922" s="1829"/>
      <c r="AT2922" s="1829"/>
      <c r="AU2922" s="1829"/>
      <c r="AV2922" s="1829"/>
      <c r="AW2922" s="1829"/>
      <c r="AX2922" s="1829"/>
      <c r="AY2922" s="1829"/>
      <c r="AZ2922" s="1829"/>
      <c r="BA2922" s="1829"/>
      <c r="BB2922" s="1829"/>
      <c r="BC2922" s="1829"/>
      <c r="BD2922" s="1829"/>
      <c r="BE2922" s="1829"/>
      <c r="BF2922" s="1829"/>
      <c r="BG2922" s="1829"/>
      <c r="BH2922" s="1829"/>
      <c r="BI2922" s="1829"/>
      <c r="BJ2922" s="1829"/>
      <c r="BK2922" s="1829"/>
      <c r="BL2922" s="1829"/>
      <c r="BM2922" s="1829"/>
      <c r="BN2922" s="1829"/>
      <c r="BO2922" s="1829"/>
      <c r="BP2922" s="1829"/>
      <c r="BQ2922" s="1829"/>
      <c r="BR2922" s="1829"/>
      <c r="BS2922" s="1829"/>
      <c r="BT2922" s="1829"/>
      <c r="BU2922" s="1829"/>
      <c r="BV2922" s="1829"/>
      <c r="BW2922" s="1829"/>
      <c r="BX2922" s="1829"/>
      <c r="BY2922" s="1829"/>
      <c r="BZ2922" s="1829"/>
      <c r="CA2922" s="1829"/>
      <c r="CB2922" s="1829"/>
      <c r="CC2922" s="1829"/>
      <c r="CD2922" s="1829"/>
      <c r="CE2922" s="1829"/>
      <c r="CF2922" s="1829"/>
      <c r="CG2922" s="1829"/>
      <c r="CH2922" s="1829"/>
      <c r="CI2922" s="1829"/>
      <c r="CJ2922" s="1829"/>
      <c r="CK2922" s="1829"/>
    </row>
    <row r="2923" spans="1:89" s="1081" customFormat="1" ht="21" customHeight="1" x14ac:dyDescent="0.25">
      <c r="A2923" s="1074">
        <v>26</v>
      </c>
      <c r="B2923" s="1082" t="s">
        <v>1839</v>
      </c>
      <c r="C2923" s="1075">
        <v>1</v>
      </c>
      <c r="D2923" s="1076" t="s">
        <v>16</v>
      </c>
      <c r="E2923" s="1077">
        <v>500000</v>
      </c>
      <c r="F2923" s="1078"/>
      <c r="G2923" s="1078"/>
      <c r="H2923" s="1078"/>
      <c r="I2923" s="1078"/>
      <c r="J2923" s="1078"/>
      <c r="K2923" s="1078"/>
      <c r="L2923" s="1078">
        <f>E2923*C2923</f>
        <v>500000</v>
      </c>
      <c r="M2923" s="1078"/>
      <c r="N2923" s="1078">
        <f t="shared" si="265"/>
        <v>500000</v>
      </c>
      <c r="O2923" s="1079">
        <f t="shared" si="266"/>
        <v>500000</v>
      </c>
      <c r="P2923" s="1080"/>
      <c r="Q2923" s="1829"/>
      <c r="R2923" s="1829"/>
      <c r="S2923" s="1829"/>
      <c r="T2923" s="1829"/>
      <c r="U2923" s="1829"/>
      <c r="V2923" s="1829"/>
      <c r="W2923" s="1829"/>
      <c r="X2923" s="1829"/>
      <c r="Y2923" s="1829"/>
      <c r="Z2923" s="1829"/>
      <c r="AA2923" s="1829"/>
      <c r="AB2923" s="1829"/>
      <c r="AC2923" s="1829"/>
      <c r="AD2923" s="1829"/>
      <c r="AE2923" s="1829"/>
      <c r="AF2923" s="1829"/>
      <c r="AG2923" s="1829"/>
      <c r="AH2923" s="1829"/>
      <c r="AI2923" s="1829"/>
      <c r="AJ2923" s="1829"/>
      <c r="AK2923" s="1829"/>
      <c r="AL2923" s="1829"/>
      <c r="AM2923" s="1829"/>
      <c r="AN2923" s="1829"/>
      <c r="AO2923" s="1829"/>
      <c r="AP2923" s="1829"/>
      <c r="AQ2923" s="1829"/>
      <c r="AR2923" s="1829"/>
      <c r="AS2923" s="1829"/>
      <c r="AT2923" s="1829"/>
      <c r="AU2923" s="1829"/>
      <c r="AV2923" s="1829"/>
      <c r="AW2923" s="1829"/>
      <c r="AX2923" s="1829"/>
      <c r="AY2923" s="1829"/>
      <c r="AZ2923" s="1829"/>
      <c r="BA2923" s="1829"/>
      <c r="BB2923" s="1829"/>
      <c r="BC2923" s="1829"/>
      <c r="BD2923" s="1829"/>
      <c r="BE2923" s="1829"/>
      <c r="BF2923" s="1829"/>
      <c r="BG2923" s="1829"/>
      <c r="BH2923" s="1829"/>
      <c r="BI2923" s="1829"/>
      <c r="BJ2923" s="1829"/>
      <c r="BK2923" s="1829"/>
      <c r="BL2923" s="1829"/>
      <c r="BM2923" s="1829"/>
      <c r="BN2923" s="1829"/>
      <c r="BO2923" s="1829"/>
      <c r="BP2923" s="1829"/>
      <c r="BQ2923" s="1829"/>
      <c r="BR2923" s="1829"/>
      <c r="BS2923" s="1829"/>
      <c r="BT2923" s="1829"/>
      <c r="BU2923" s="1829"/>
      <c r="BV2923" s="1829"/>
      <c r="BW2923" s="1829"/>
      <c r="BX2923" s="1829"/>
      <c r="BY2923" s="1829"/>
      <c r="BZ2923" s="1829"/>
      <c r="CA2923" s="1829"/>
      <c r="CB2923" s="1829"/>
      <c r="CC2923" s="1829"/>
      <c r="CD2923" s="1829"/>
      <c r="CE2923" s="1829"/>
      <c r="CF2923" s="1829"/>
      <c r="CG2923" s="1829"/>
      <c r="CH2923" s="1829"/>
      <c r="CI2923" s="1829"/>
      <c r="CJ2923" s="1829"/>
      <c r="CK2923" s="1829"/>
    </row>
    <row r="2924" spans="1:89" ht="21" customHeight="1" x14ac:dyDescent="0.25">
      <c r="A2924" s="764"/>
      <c r="B2924" s="674"/>
      <c r="C2924" s="772"/>
      <c r="D2924" s="766"/>
      <c r="E2924" s="767"/>
      <c r="F2924" s="714"/>
      <c r="G2924" s="714"/>
      <c r="H2924" s="714"/>
      <c r="I2924" s="714"/>
      <c r="J2924" s="714"/>
      <c r="K2924" s="714"/>
      <c r="L2924" s="714"/>
      <c r="M2924" s="714"/>
      <c r="N2924" s="714"/>
      <c r="O2924" s="753"/>
      <c r="P2924" s="754"/>
    </row>
    <row r="2925" spans="1:89" ht="21" customHeight="1" x14ac:dyDescent="0.25">
      <c r="A2925" s="764"/>
      <c r="B2925" s="674" t="s">
        <v>999</v>
      </c>
      <c r="C2925" s="772"/>
      <c r="D2925" s="766"/>
      <c r="E2925" s="767"/>
      <c r="F2925" s="714"/>
      <c r="G2925" s="714"/>
      <c r="H2925" s="714"/>
      <c r="I2925" s="714"/>
      <c r="J2925" s="714"/>
      <c r="K2925" s="714"/>
      <c r="L2925" s="714"/>
      <c r="M2925" s="714"/>
      <c r="N2925" s="714"/>
      <c r="O2925" s="753"/>
      <c r="P2925" s="754"/>
    </row>
    <row r="2926" spans="1:89" s="1081" customFormat="1" ht="21" customHeight="1" x14ac:dyDescent="0.25">
      <c r="A2926" s="1074">
        <v>27</v>
      </c>
      <c r="B2926" s="1082" t="s">
        <v>216</v>
      </c>
      <c r="C2926" s="1075">
        <v>1</v>
      </c>
      <c r="D2926" s="1076" t="s">
        <v>16</v>
      </c>
      <c r="E2926" s="1077">
        <v>500000</v>
      </c>
      <c r="F2926" s="1078"/>
      <c r="G2926" s="1078"/>
      <c r="H2926" s="1078"/>
      <c r="I2926" s="1078"/>
      <c r="J2926" s="1078">
        <f t="shared" ref="J2926:J2938" si="267">C2926*E2926</f>
        <v>500000</v>
      </c>
      <c r="K2926" s="1078">
        <f t="shared" ref="K2926:K2940" si="268">I2926+J2926</f>
        <v>500000</v>
      </c>
      <c r="L2926" s="1078"/>
      <c r="M2926" s="1078"/>
      <c r="N2926" s="1078"/>
      <c r="O2926" s="1079">
        <f t="shared" ref="O2926:O2940" si="269">K2926+N2926</f>
        <v>500000</v>
      </c>
      <c r="P2926" s="1080"/>
      <c r="Q2926" s="1829"/>
      <c r="R2926" s="1829"/>
      <c r="S2926" s="1829"/>
      <c r="T2926" s="1829"/>
      <c r="U2926" s="1829"/>
      <c r="V2926" s="1829"/>
      <c r="W2926" s="1829"/>
      <c r="X2926" s="1829"/>
      <c r="Y2926" s="1829"/>
      <c r="Z2926" s="1829"/>
      <c r="AA2926" s="1829"/>
      <c r="AB2926" s="1829"/>
      <c r="AC2926" s="1829"/>
      <c r="AD2926" s="1829"/>
      <c r="AE2926" s="1829"/>
      <c r="AF2926" s="1829"/>
      <c r="AG2926" s="1829"/>
      <c r="AH2926" s="1829"/>
      <c r="AI2926" s="1829"/>
      <c r="AJ2926" s="1829"/>
      <c r="AK2926" s="1829"/>
      <c r="AL2926" s="1829"/>
      <c r="AM2926" s="1829"/>
      <c r="AN2926" s="1829"/>
      <c r="AO2926" s="1829"/>
      <c r="AP2926" s="1829"/>
      <c r="AQ2926" s="1829"/>
      <c r="AR2926" s="1829"/>
      <c r="AS2926" s="1829"/>
      <c r="AT2926" s="1829"/>
      <c r="AU2926" s="1829"/>
      <c r="AV2926" s="1829"/>
      <c r="AW2926" s="1829"/>
      <c r="AX2926" s="1829"/>
      <c r="AY2926" s="1829"/>
      <c r="AZ2926" s="1829"/>
      <c r="BA2926" s="1829"/>
      <c r="BB2926" s="1829"/>
      <c r="BC2926" s="1829"/>
      <c r="BD2926" s="1829"/>
      <c r="BE2926" s="1829"/>
      <c r="BF2926" s="1829"/>
      <c r="BG2926" s="1829"/>
      <c r="BH2926" s="1829"/>
      <c r="BI2926" s="1829"/>
      <c r="BJ2926" s="1829"/>
      <c r="BK2926" s="1829"/>
      <c r="BL2926" s="1829"/>
      <c r="BM2926" s="1829"/>
      <c r="BN2926" s="1829"/>
      <c r="BO2926" s="1829"/>
      <c r="BP2926" s="1829"/>
      <c r="BQ2926" s="1829"/>
      <c r="BR2926" s="1829"/>
      <c r="BS2926" s="1829"/>
      <c r="BT2926" s="1829"/>
      <c r="BU2926" s="1829"/>
      <c r="BV2926" s="1829"/>
      <c r="BW2926" s="1829"/>
      <c r="BX2926" s="1829"/>
      <c r="BY2926" s="1829"/>
      <c r="BZ2926" s="1829"/>
      <c r="CA2926" s="1829"/>
      <c r="CB2926" s="1829"/>
      <c r="CC2926" s="1829"/>
      <c r="CD2926" s="1829"/>
      <c r="CE2926" s="1829"/>
      <c r="CF2926" s="1829"/>
      <c r="CG2926" s="1829"/>
      <c r="CH2926" s="1829"/>
      <c r="CI2926" s="1829"/>
      <c r="CJ2926" s="1829"/>
      <c r="CK2926" s="1829"/>
    </row>
    <row r="2927" spans="1:89" s="1081" customFormat="1" ht="21" customHeight="1" x14ac:dyDescent="0.25">
      <c r="A2927" s="1074">
        <v>28</v>
      </c>
      <c r="B2927" s="1082" t="s">
        <v>1027</v>
      </c>
      <c r="C2927" s="1075">
        <v>1</v>
      </c>
      <c r="D2927" s="1076" t="s">
        <v>16</v>
      </c>
      <c r="E2927" s="1077">
        <v>200000</v>
      </c>
      <c r="F2927" s="1077"/>
      <c r="G2927" s="1077"/>
      <c r="H2927" s="1077"/>
      <c r="I2927" s="1077"/>
      <c r="J2927" s="1077">
        <f t="shared" si="267"/>
        <v>200000</v>
      </c>
      <c r="K2927" s="1078">
        <f t="shared" si="268"/>
        <v>200000</v>
      </c>
      <c r="L2927" s="1077"/>
      <c r="M2927" s="1077"/>
      <c r="N2927" s="1078"/>
      <c r="O2927" s="1079">
        <f t="shared" si="269"/>
        <v>200000</v>
      </c>
      <c r="P2927" s="1080"/>
      <c r="Q2927" s="1829"/>
      <c r="R2927" s="1829"/>
      <c r="S2927" s="1829"/>
      <c r="T2927" s="1829"/>
      <c r="U2927" s="1829"/>
      <c r="V2927" s="1829"/>
      <c r="W2927" s="1829"/>
      <c r="X2927" s="1829"/>
      <c r="Y2927" s="1829"/>
      <c r="Z2927" s="1829"/>
      <c r="AA2927" s="1829"/>
      <c r="AB2927" s="1829"/>
      <c r="AC2927" s="1829"/>
      <c r="AD2927" s="1829"/>
      <c r="AE2927" s="1829"/>
      <c r="AF2927" s="1829"/>
      <c r="AG2927" s="1829"/>
      <c r="AH2927" s="1829"/>
      <c r="AI2927" s="1829"/>
      <c r="AJ2927" s="1829"/>
      <c r="AK2927" s="1829"/>
      <c r="AL2927" s="1829"/>
      <c r="AM2927" s="1829"/>
      <c r="AN2927" s="1829"/>
      <c r="AO2927" s="1829"/>
      <c r="AP2927" s="1829"/>
      <c r="AQ2927" s="1829"/>
      <c r="AR2927" s="1829"/>
      <c r="AS2927" s="1829"/>
      <c r="AT2927" s="1829"/>
      <c r="AU2927" s="1829"/>
      <c r="AV2927" s="1829"/>
      <c r="AW2927" s="1829"/>
      <c r="AX2927" s="1829"/>
      <c r="AY2927" s="1829"/>
      <c r="AZ2927" s="1829"/>
      <c r="BA2927" s="1829"/>
      <c r="BB2927" s="1829"/>
      <c r="BC2927" s="1829"/>
      <c r="BD2927" s="1829"/>
      <c r="BE2927" s="1829"/>
      <c r="BF2927" s="1829"/>
      <c r="BG2927" s="1829"/>
      <c r="BH2927" s="1829"/>
      <c r="BI2927" s="1829"/>
      <c r="BJ2927" s="1829"/>
      <c r="BK2927" s="1829"/>
      <c r="BL2927" s="1829"/>
      <c r="BM2927" s="1829"/>
      <c r="BN2927" s="1829"/>
      <c r="BO2927" s="1829"/>
      <c r="BP2927" s="1829"/>
      <c r="BQ2927" s="1829"/>
      <c r="BR2927" s="1829"/>
      <c r="BS2927" s="1829"/>
      <c r="BT2927" s="1829"/>
      <c r="BU2927" s="1829"/>
      <c r="BV2927" s="1829"/>
      <c r="BW2927" s="1829"/>
      <c r="BX2927" s="1829"/>
      <c r="BY2927" s="1829"/>
      <c r="BZ2927" s="1829"/>
      <c r="CA2927" s="1829"/>
      <c r="CB2927" s="1829"/>
      <c r="CC2927" s="1829"/>
      <c r="CD2927" s="1829"/>
      <c r="CE2927" s="1829"/>
      <c r="CF2927" s="1829"/>
      <c r="CG2927" s="1829"/>
      <c r="CH2927" s="1829"/>
      <c r="CI2927" s="1829"/>
      <c r="CJ2927" s="1829"/>
      <c r="CK2927" s="1829"/>
    </row>
    <row r="2928" spans="1:89" s="1081" customFormat="1" ht="21" customHeight="1" x14ac:dyDescent="0.25">
      <c r="A2928" s="1074">
        <v>29</v>
      </c>
      <c r="B2928" s="1084" t="s">
        <v>211</v>
      </c>
      <c r="C2928" s="1075">
        <v>1</v>
      </c>
      <c r="D2928" s="1076" t="s">
        <v>16</v>
      </c>
      <c r="E2928" s="1077">
        <v>500000</v>
      </c>
      <c r="F2928" s="1078"/>
      <c r="G2928" s="1078"/>
      <c r="H2928" s="1078"/>
      <c r="I2928" s="1078"/>
      <c r="J2928" s="1078">
        <f t="shared" si="267"/>
        <v>500000</v>
      </c>
      <c r="K2928" s="1078">
        <f t="shared" si="268"/>
        <v>500000</v>
      </c>
      <c r="L2928" s="1078"/>
      <c r="M2928" s="1078"/>
      <c r="N2928" s="1078"/>
      <c r="O2928" s="1079">
        <f t="shared" si="269"/>
        <v>500000</v>
      </c>
      <c r="P2928" s="1080"/>
      <c r="Q2928" s="1829"/>
      <c r="R2928" s="1829"/>
      <c r="S2928" s="1829"/>
      <c r="T2928" s="1829"/>
      <c r="U2928" s="1829"/>
      <c r="V2928" s="1829"/>
      <c r="W2928" s="1829"/>
      <c r="X2928" s="1829"/>
      <c r="Y2928" s="1829"/>
      <c r="Z2928" s="1829"/>
      <c r="AA2928" s="1829"/>
      <c r="AB2928" s="1829"/>
      <c r="AC2928" s="1829"/>
      <c r="AD2928" s="1829"/>
      <c r="AE2928" s="1829"/>
      <c r="AF2928" s="1829"/>
      <c r="AG2928" s="1829"/>
      <c r="AH2928" s="1829"/>
      <c r="AI2928" s="1829"/>
      <c r="AJ2928" s="1829"/>
      <c r="AK2928" s="1829"/>
      <c r="AL2928" s="1829"/>
      <c r="AM2928" s="1829"/>
      <c r="AN2928" s="1829"/>
      <c r="AO2928" s="1829"/>
      <c r="AP2928" s="1829"/>
      <c r="AQ2928" s="1829"/>
      <c r="AR2928" s="1829"/>
      <c r="AS2928" s="1829"/>
      <c r="AT2928" s="1829"/>
      <c r="AU2928" s="1829"/>
      <c r="AV2928" s="1829"/>
      <c r="AW2928" s="1829"/>
      <c r="AX2928" s="1829"/>
      <c r="AY2928" s="1829"/>
      <c r="AZ2928" s="1829"/>
      <c r="BA2928" s="1829"/>
      <c r="BB2928" s="1829"/>
      <c r="BC2928" s="1829"/>
      <c r="BD2928" s="1829"/>
      <c r="BE2928" s="1829"/>
      <c r="BF2928" s="1829"/>
      <c r="BG2928" s="1829"/>
      <c r="BH2928" s="1829"/>
      <c r="BI2928" s="1829"/>
      <c r="BJ2928" s="1829"/>
      <c r="BK2928" s="1829"/>
      <c r="BL2928" s="1829"/>
      <c r="BM2928" s="1829"/>
      <c r="BN2928" s="1829"/>
      <c r="BO2928" s="1829"/>
      <c r="BP2928" s="1829"/>
      <c r="BQ2928" s="1829"/>
      <c r="BR2928" s="1829"/>
      <c r="BS2928" s="1829"/>
      <c r="BT2928" s="1829"/>
      <c r="BU2928" s="1829"/>
      <c r="BV2928" s="1829"/>
      <c r="BW2928" s="1829"/>
      <c r="BX2928" s="1829"/>
      <c r="BY2928" s="1829"/>
      <c r="BZ2928" s="1829"/>
      <c r="CA2928" s="1829"/>
      <c r="CB2928" s="1829"/>
      <c r="CC2928" s="1829"/>
      <c r="CD2928" s="1829"/>
      <c r="CE2928" s="1829"/>
      <c r="CF2928" s="1829"/>
      <c r="CG2928" s="1829"/>
      <c r="CH2928" s="1829"/>
      <c r="CI2928" s="1829"/>
      <c r="CJ2928" s="1829"/>
      <c r="CK2928" s="1829"/>
    </row>
    <row r="2929" spans="1:89" s="1081" customFormat="1" ht="21" customHeight="1" x14ac:dyDescent="0.25">
      <c r="A2929" s="1074">
        <v>30</v>
      </c>
      <c r="B2929" s="1084" t="s">
        <v>1028</v>
      </c>
      <c r="C2929" s="1075">
        <v>1</v>
      </c>
      <c r="D2929" s="1076" t="s">
        <v>16</v>
      </c>
      <c r="E2929" s="1077">
        <v>500000</v>
      </c>
      <c r="F2929" s="1078"/>
      <c r="G2929" s="1078"/>
      <c r="H2929" s="1078"/>
      <c r="I2929" s="1078"/>
      <c r="J2929" s="1078">
        <f t="shared" si="267"/>
        <v>500000</v>
      </c>
      <c r="K2929" s="1078">
        <f t="shared" si="268"/>
        <v>500000</v>
      </c>
      <c r="L2929" s="1078"/>
      <c r="M2929" s="1078"/>
      <c r="N2929" s="1078"/>
      <c r="O2929" s="1079">
        <f t="shared" si="269"/>
        <v>500000</v>
      </c>
      <c r="P2929" s="1080"/>
      <c r="Q2929" s="1829"/>
      <c r="R2929" s="1829"/>
      <c r="S2929" s="1829"/>
      <c r="T2929" s="1829"/>
      <c r="U2929" s="1829"/>
      <c r="V2929" s="1829"/>
      <c r="W2929" s="1829"/>
      <c r="X2929" s="1829"/>
      <c r="Y2929" s="1829"/>
      <c r="Z2929" s="1829"/>
      <c r="AA2929" s="1829"/>
      <c r="AB2929" s="1829"/>
      <c r="AC2929" s="1829"/>
      <c r="AD2929" s="1829"/>
      <c r="AE2929" s="1829"/>
      <c r="AF2929" s="1829"/>
      <c r="AG2929" s="1829"/>
      <c r="AH2929" s="1829"/>
      <c r="AI2929" s="1829"/>
      <c r="AJ2929" s="1829"/>
      <c r="AK2929" s="1829"/>
      <c r="AL2929" s="1829"/>
      <c r="AM2929" s="1829"/>
      <c r="AN2929" s="1829"/>
      <c r="AO2929" s="1829"/>
      <c r="AP2929" s="1829"/>
      <c r="AQ2929" s="1829"/>
      <c r="AR2929" s="1829"/>
      <c r="AS2929" s="1829"/>
      <c r="AT2929" s="1829"/>
      <c r="AU2929" s="1829"/>
      <c r="AV2929" s="1829"/>
      <c r="AW2929" s="1829"/>
      <c r="AX2929" s="1829"/>
      <c r="AY2929" s="1829"/>
      <c r="AZ2929" s="1829"/>
      <c r="BA2929" s="1829"/>
      <c r="BB2929" s="1829"/>
      <c r="BC2929" s="1829"/>
      <c r="BD2929" s="1829"/>
      <c r="BE2929" s="1829"/>
      <c r="BF2929" s="1829"/>
      <c r="BG2929" s="1829"/>
      <c r="BH2929" s="1829"/>
      <c r="BI2929" s="1829"/>
      <c r="BJ2929" s="1829"/>
      <c r="BK2929" s="1829"/>
      <c r="BL2929" s="1829"/>
      <c r="BM2929" s="1829"/>
      <c r="BN2929" s="1829"/>
      <c r="BO2929" s="1829"/>
      <c r="BP2929" s="1829"/>
      <c r="BQ2929" s="1829"/>
      <c r="BR2929" s="1829"/>
      <c r="BS2929" s="1829"/>
      <c r="BT2929" s="1829"/>
      <c r="BU2929" s="1829"/>
      <c r="BV2929" s="1829"/>
      <c r="BW2929" s="1829"/>
      <c r="BX2929" s="1829"/>
      <c r="BY2929" s="1829"/>
      <c r="BZ2929" s="1829"/>
      <c r="CA2929" s="1829"/>
      <c r="CB2929" s="1829"/>
      <c r="CC2929" s="1829"/>
      <c r="CD2929" s="1829"/>
      <c r="CE2929" s="1829"/>
      <c r="CF2929" s="1829"/>
      <c r="CG2929" s="1829"/>
      <c r="CH2929" s="1829"/>
      <c r="CI2929" s="1829"/>
      <c r="CJ2929" s="1829"/>
      <c r="CK2929" s="1829"/>
    </row>
    <row r="2930" spans="1:89" s="1081" customFormat="1" ht="21" customHeight="1" x14ac:dyDescent="0.25">
      <c r="A2930" s="1074">
        <v>31</v>
      </c>
      <c r="B2930" s="1084" t="s">
        <v>1029</v>
      </c>
      <c r="C2930" s="1075">
        <v>1</v>
      </c>
      <c r="D2930" s="1076" t="s">
        <v>16</v>
      </c>
      <c r="E2930" s="1077">
        <f>350000+150000</f>
        <v>500000</v>
      </c>
      <c r="F2930" s="1078"/>
      <c r="G2930" s="1078"/>
      <c r="H2930" s="1078"/>
      <c r="I2930" s="1078"/>
      <c r="J2930" s="1078">
        <f t="shared" si="267"/>
        <v>500000</v>
      </c>
      <c r="K2930" s="1078">
        <f t="shared" si="268"/>
        <v>500000</v>
      </c>
      <c r="L2930" s="1078"/>
      <c r="M2930" s="1078"/>
      <c r="N2930" s="1078"/>
      <c r="O2930" s="1079">
        <f t="shared" si="269"/>
        <v>500000</v>
      </c>
      <c r="P2930" s="1080"/>
      <c r="Q2930" s="1829"/>
      <c r="R2930" s="1829"/>
      <c r="S2930" s="1829"/>
      <c r="T2930" s="1829"/>
      <c r="U2930" s="1829"/>
      <c r="V2930" s="1829"/>
      <c r="W2930" s="1829"/>
      <c r="X2930" s="1829"/>
      <c r="Y2930" s="1829"/>
      <c r="Z2930" s="1829"/>
      <c r="AA2930" s="1829"/>
      <c r="AB2930" s="1829"/>
      <c r="AC2930" s="1829"/>
      <c r="AD2930" s="1829"/>
      <c r="AE2930" s="1829"/>
      <c r="AF2930" s="1829"/>
      <c r="AG2930" s="1829"/>
      <c r="AH2930" s="1829"/>
      <c r="AI2930" s="1829"/>
      <c r="AJ2930" s="1829"/>
      <c r="AK2930" s="1829"/>
      <c r="AL2930" s="1829"/>
      <c r="AM2930" s="1829"/>
      <c r="AN2930" s="1829"/>
      <c r="AO2930" s="1829"/>
      <c r="AP2930" s="1829"/>
      <c r="AQ2930" s="1829"/>
      <c r="AR2930" s="1829"/>
      <c r="AS2930" s="1829"/>
      <c r="AT2930" s="1829"/>
      <c r="AU2930" s="1829"/>
      <c r="AV2930" s="1829"/>
      <c r="AW2930" s="1829"/>
      <c r="AX2930" s="1829"/>
      <c r="AY2930" s="1829"/>
      <c r="AZ2930" s="1829"/>
      <c r="BA2930" s="1829"/>
      <c r="BB2930" s="1829"/>
      <c r="BC2930" s="1829"/>
      <c r="BD2930" s="1829"/>
      <c r="BE2930" s="1829"/>
      <c r="BF2930" s="1829"/>
      <c r="BG2930" s="1829"/>
      <c r="BH2930" s="1829"/>
      <c r="BI2930" s="1829"/>
      <c r="BJ2930" s="1829"/>
      <c r="BK2930" s="1829"/>
      <c r="BL2930" s="1829"/>
      <c r="BM2930" s="1829"/>
      <c r="BN2930" s="1829"/>
      <c r="BO2930" s="1829"/>
      <c r="BP2930" s="1829"/>
      <c r="BQ2930" s="1829"/>
      <c r="BR2930" s="1829"/>
      <c r="BS2930" s="1829"/>
      <c r="BT2930" s="1829"/>
      <c r="BU2930" s="1829"/>
      <c r="BV2930" s="1829"/>
      <c r="BW2930" s="1829"/>
      <c r="BX2930" s="1829"/>
      <c r="BY2930" s="1829"/>
      <c r="BZ2930" s="1829"/>
      <c r="CA2930" s="1829"/>
      <c r="CB2930" s="1829"/>
      <c r="CC2930" s="1829"/>
      <c r="CD2930" s="1829"/>
      <c r="CE2930" s="1829"/>
      <c r="CF2930" s="1829"/>
      <c r="CG2930" s="1829"/>
      <c r="CH2930" s="1829"/>
      <c r="CI2930" s="1829"/>
      <c r="CJ2930" s="1829"/>
      <c r="CK2930" s="1829"/>
    </row>
    <row r="2931" spans="1:89" s="1081" customFormat="1" ht="30" customHeight="1" x14ac:dyDescent="0.25">
      <c r="A2931" s="1074">
        <v>32</v>
      </c>
      <c r="B2931" s="1084" t="s">
        <v>1030</v>
      </c>
      <c r="C2931" s="1075">
        <v>1</v>
      </c>
      <c r="D2931" s="1076" t="s">
        <v>16</v>
      </c>
      <c r="E2931" s="1077">
        <v>500000</v>
      </c>
      <c r="F2931" s="1078"/>
      <c r="G2931" s="1078"/>
      <c r="H2931" s="1078"/>
      <c r="I2931" s="1078"/>
      <c r="J2931" s="1078">
        <f t="shared" si="267"/>
        <v>500000</v>
      </c>
      <c r="K2931" s="1078">
        <f t="shared" si="268"/>
        <v>500000</v>
      </c>
      <c r="L2931" s="1078"/>
      <c r="M2931" s="1078"/>
      <c r="N2931" s="1078"/>
      <c r="O2931" s="1079">
        <f t="shared" si="269"/>
        <v>500000</v>
      </c>
      <c r="P2931" s="1080"/>
      <c r="Q2931" s="1829"/>
      <c r="R2931" s="1829"/>
      <c r="S2931" s="1829"/>
      <c r="T2931" s="1829"/>
      <c r="U2931" s="1829"/>
      <c r="V2931" s="1829"/>
      <c r="W2931" s="1829"/>
      <c r="X2931" s="1829"/>
      <c r="Y2931" s="1829"/>
      <c r="Z2931" s="1829"/>
      <c r="AA2931" s="1829"/>
      <c r="AB2931" s="1829"/>
      <c r="AC2931" s="1829"/>
      <c r="AD2931" s="1829"/>
      <c r="AE2931" s="1829"/>
      <c r="AF2931" s="1829"/>
      <c r="AG2931" s="1829"/>
      <c r="AH2931" s="1829"/>
      <c r="AI2931" s="1829"/>
      <c r="AJ2931" s="1829"/>
      <c r="AK2931" s="1829"/>
      <c r="AL2931" s="1829"/>
      <c r="AM2931" s="1829"/>
      <c r="AN2931" s="1829"/>
      <c r="AO2931" s="1829"/>
      <c r="AP2931" s="1829"/>
      <c r="AQ2931" s="1829"/>
      <c r="AR2931" s="1829"/>
      <c r="AS2931" s="1829"/>
      <c r="AT2931" s="1829"/>
      <c r="AU2931" s="1829"/>
      <c r="AV2931" s="1829"/>
      <c r="AW2931" s="1829"/>
      <c r="AX2931" s="1829"/>
      <c r="AY2931" s="1829"/>
      <c r="AZ2931" s="1829"/>
      <c r="BA2931" s="1829"/>
      <c r="BB2931" s="1829"/>
      <c r="BC2931" s="1829"/>
      <c r="BD2931" s="1829"/>
      <c r="BE2931" s="1829"/>
      <c r="BF2931" s="1829"/>
      <c r="BG2931" s="1829"/>
      <c r="BH2931" s="1829"/>
      <c r="BI2931" s="1829"/>
      <c r="BJ2931" s="1829"/>
      <c r="BK2931" s="1829"/>
      <c r="BL2931" s="1829"/>
      <c r="BM2931" s="1829"/>
      <c r="BN2931" s="1829"/>
      <c r="BO2931" s="1829"/>
      <c r="BP2931" s="1829"/>
      <c r="BQ2931" s="1829"/>
      <c r="BR2931" s="1829"/>
      <c r="BS2931" s="1829"/>
      <c r="BT2931" s="1829"/>
      <c r="BU2931" s="1829"/>
      <c r="BV2931" s="1829"/>
      <c r="BW2931" s="1829"/>
      <c r="BX2931" s="1829"/>
      <c r="BY2931" s="1829"/>
      <c r="BZ2931" s="1829"/>
      <c r="CA2931" s="1829"/>
      <c r="CB2931" s="1829"/>
      <c r="CC2931" s="1829"/>
      <c r="CD2931" s="1829"/>
      <c r="CE2931" s="1829"/>
      <c r="CF2931" s="1829"/>
      <c r="CG2931" s="1829"/>
      <c r="CH2931" s="1829"/>
      <c r="CI2931" s="1829"/>
      <c r="CJ2931" s="1829"/>
      <c r="CK2931" s="1829"/>
    </row>
    <row r="2932" spans="1:89" s="1081" customFormat="1" ht="21" customHeight="1" x14ac:dyDescent="0.25">
      <c r="A2932" s="1074">
        <v>33</v>
      </c>
      <c r="B2932" s="1084" t="s">
        <v>1031</v>
      </c>
      <c r="C2932" s="1075">
        <v>1</v>
      </c>
      <c r="D2932" s="1076" t="s">
        <v>16</v>
      </c>
      <c r="E2932" s="1077">
        <v>250000</v>
      </c>
      <c r="F2932" s="1078"/>
      <c r="G2932" s="1078"/>
      <c r="H2932" s="1078"/>
      <c r="I2932" s="1078"/>
      <c r="J2932" s="1078">
        <f t="shared" si="267"/>
        <v>250000</v>
      </c>
      <c r="K2932" s="1078">
        <f t="shared" si="268"/>
        <v>250000</v>
      </c>
      <c r="L2932" s="1078"/>
      <c r="M2932" s="1078"/>
      <c r="N2932" s="1078"/>
      <c r="O2932" s="1079">
        <f t="shared" si="269"/>
        <v>250000</v>
      </c>
      <c r="P2932" s="1080"/>
      <c r="Q2932" s="1829"/>
      <c r="R2932" s="1829"/>
      <c r="S2932" s="1829"/>
      <c r="T2932" s="1829"/>
      <c r="U2932" s="1829"/>
      <c r="V2932" s="1829"/>
      <c r="W2932" s="1829"/>
      <c r="X2932" s="1829"/>
      <c r="Y2932" s="1829"/>
      <c r="Z2932" s="1829"/>
      <c r="AA2932" s="1829"/>
      <c r="AB2932" s="1829"/>
      <c r="AC2932" s="1829"/>
      <c r="AD2932" s="1829"/>
      <c r="AE2932" s="1829"/>
      <c r="AF2932" s="1829"/>
      <c r="AG2932" s="1829"/>
      <c r="AH2932" s="1829"/>
      <c r="AI2932" s="1829"/>
      <c r="AJ2932" s="1829"/>
      <c r="AK2932" s="1829"/>
      <c r="AL2932" s="1829"/>
      <c r="AM2932" s="1829"/>
      <c r="AN2932" s="1829"/>
      <c r="AO2932" s="1829"/>
      <c r="AP2932" s="1829"/>
      <c r="AQ2932" s="1829"/>
      <c r="AR2932" s="1829"/>
      <c r="AS2932" s="1829"/>
      <c r="AT2932" s="1829"/>
      <c r="AU2932" s="1829"/>
      <c r="AV2932" s="1829"/>
      <c r="AW2932" s="1829"/>
      <c r="AX2932" s="1829"/>
      <c r="AY2932" s="1829"/>
      <c r="AZ2932" s="1829"/>
      <c r="BA2932" s="1829"/>
      <c r="BB2932" s="1829"/>
      <c r="BC2932" s="1829"/>
      <c r="BD2932" s="1829"/>
      <c r="BE2932" s="1829"/>
      <c r="BF2932" s="1829"/>
      <c r="BG2932" s="1829"/>
      <c r="BH2932" s="1829"/>
      <c r="BI2932" s="1829"/>
      <c r="BJ2932" s="1829"/>
      <c r="BK2932" s="1829"/>
      <c r="BL2932" s="1829"/>
      <c r="BM2932" s="1829"/>
      <c r="BN2932" s="1829"/>
      <c r="BO2932" s="1829"/>
      <c r="BP2932" s="1829"/>
      <c r="BQ2932" s="1829"/>
      <c r="BR2932" s="1829"/>
      <c r="BS2932" s="1829"/>
      <c r="BT2932" s="1829"/>
      <c r="BU2932" s="1829"/>
      <c r="BV2932" s="1829"/>
      <c r="BW2932" s="1829"/>
      <c r="BX2932" s="1829"/>
      <c r="BY2932" s="1829"/>
      <c r="BZ2932" s="1829"/>
      <c r="CA2932" s="1829"/>
      <c r="CB2932" s="1829"/>
      <c r="CC2932" s="1829"/>
      <c r="CD2932" s="1829"/>
      <c r="CE2932" s="1829"/>
      <c r="CF2932" s="1829"/>
      <c r="CG2932" s="1829"/>
      <c r="CH2932" s="1829"/>
      <c r="CI2932" s="1829"/>
      <c r="CJ2932" s="1829"/>
      <c r="CK2932" s="1829"/>
    </row>
    <row r="2933" spans="1:89" s="1081" customFormat="1" ht="21" customHeight="1" x14ac:dyDescent="0.25">
      <c r="A2933" s="1074">
        <v>34</v>
      </c>
      <c r="B2933" s="1084" t="s">
        <v>1032</v>
      </c>
      <c r="C2933" s="1075">
        <v>1</v>
      </c>
      <c r="D2933" s="1076" t="s">
        <v>16</v>
      </c>
      <c r="E2933" s="1077">
        <v>300000</v>
      </c>
      <c r="F2933" s="1078"/>
      <c r="G2933" s="1078"/>
      <c r="H2933" s="1078"/>
      <c r="I2933" s="1078"/>
      <c r="J2933" s="1078">
        <f t="shared" si="267"/>
        <v>300000</v>
      </c>
      <c r="K2933" s="1078">
        <f t="shared" si="268"/>
        <v>300000</v>
      </c>
      <c r="L2933" s="1078"/>
      <c r="M2933" s="1078"/>
      <c r="N2933" s="1078"/>
      <c r="O2933" s="1079">
        <f t="shared" si="269"/>
        <v>300000</v>
      </c>
      <c r="P2933" s="1080"/>
      <c r="Q2933" s="1829"/>
      <c r="R2933" s="1829"/>
      <c r="S2933" s="1829"/>
      <c r="T2933" s="1829"/>
      <c r="U2933" s="1829"/>
      <c r="V2933" s="1829"/>
      <c r="W2933" s="1829"/>
      <c r="X2933" s="1829"/>
      <c r="Y2933" s="1829"/>
      <c r="Z2933" s="1829"/>
      <c r="AA2933" s="1829"/>
      <c r="AB2933" s="1829"/>
      <c r="AC2933" s="1829"/>
      <c r="AD2933" s="1829"/>
      <c r="AE2933" s="1829"/>
      <c r="AF2933" s="1829"/>
      <c r="AG2933" s="1829"/>
      <c r="AH2933" s="1829"/>
      <c r="AI2933" s="1829"/>
      <c r="AJ2933" s="1829"/>
      <c r="AK2933" s="1829"/>
      <c r="AL2933" s="1829"/>
      <c r="AM2933" s="1829"/>
      <c r="AN2933" s="1829"/>
      <c r="AO2933" s="1829"/>
      <c r="AP2933" s="1829"/>
      <c r="AQ2933" s="1829"/>
      <c r="AR2933" s="1829"/>
      <c r="AS2933" s="1829"/>
      <c r="AT2933" s="1829"/>
      <c r="AU2933" s="1829"/>
      <c r="AV2933" s="1829"/>
      <c r="AW2933" s="1829"/>
      <c r="AX2933" s="1829"/>
      <c r="AY2933" s="1829"/>
      <c r="AZ2933" s="1829"/>
      <c r="BA2933" s="1829"/>
      <c r="BB2933" s="1829"/>
      <c r="BC2933" s="1829"/>
      <c r="BD2933" s="1829"/>
      <c r="BE2933" s="1829"/>
      <c r="BF2933" s="1829"/>
      <c r="BG2933" s="1829"/>
      <c r="BH2933" s="1829"/>
      <c r="BI2933" s="1829"/>
      <c r="BJ2933" s="1829"/>
      <c r="BK2933" s="1829"/>
      <c r="BL2933" s="1829"/>
      <c r="BM2933" s="1829"/>
      <c r="BN2933" s="1829"/>
      <c r="BO2933" s="1829"/>
      <c r="BP2933" s="1829"/>
      <c r="BQ2933" s="1829"/>
      <c r="BR2933" s="1829"/>
      <c r="BS2933" s="1829"/>
      <c r="BT2933" s="1829"/>
      <c r="BU2933" s="1829"/>
      <c r="BV2933" s="1829"/>
      <c r="BW2933" s="1829"/>
      <c r="BX2933" s="1829"/>
      <c r="BY2933" s="1829"/>
      <c r="BZ2933" s="1829"/>
      <c r="CA2933" s="1829"/>
      <c r="CB2933" s="1829"/>
      <c r="CC2933" s="1829"/>
      <c r="CD2933" s="1829"/>
      <c r="CE2933" s="1829"/>
      <c r="CF2933" s="1829"/>
      <c r="CG2933" s="1829"/>
      <c r="CH2933" s="1829"/>
      <c r="CI2933" s="1829"/>
      <c r="CJ2933" s="1829"/>
      <c r="CK2933" s="1829"/>
    </row>
    <row r="2934" spans="1:89" s="1081" customFormat="1" ht="21" customHeight="1" x14ac:dyDescent="0.25">
      <c r="A2934" s="1074">
        <v>35</v>
      </c>
      <c r="B2934" s="1084" t="s">
        <v>1606</v>
      </c>
      <c r="C2934" s="1075">
        <v>1</v>
      </c>
      <c r="D2934" s="1076" t="s">
        <v>16</v>
      </c>
      <c r="E2934" s="1077">
        <v>400000</v>
      </c>
      <c r="F2934" s="1078"/>
      <c r="G2934" s="1078"/>
      <c r="H2934" s="1078"/>
      <c r="I2934" s="1078"/>
      <c r="J2934" s="1078">
        <f t="shared" si="267"/>
        <v>400000</v>
      </c>
      <c r="K2934" s="1078">
        <f t="shared" si="268"/>
        <v>400000</v>
      </c>
      <c r="L2934" s="1078"/>
      <c r="M2934" s="1078"/>
      <c r="N2934" s="1078"/>
      <c r="O2934" s="1079">
        <f t="shared" si="269"/>
        <v>400000</v>
      </c>
      <c r="P2934" s="1080"/>
      <c r="Q2934" s="1829"/>
      <c r="R2934" s="1829"/>
      <c r="S2934" s="1829"/>
      <c r="T2934" s="1829"/>
      <c r="U2934" s="1829"/>
      <c r="V2934" s="1829"/>
      <c r="W2934" s="1829"/>
      <c r="X2934" s="1829"/>
      <c r="Y2934" s="1829"/>
      <c r="Z2934" s="1829"/>
      <c r="AA2934" s="1829"/>
      <c r="AB2934" s="1829"/>
      <c r="AC2934" s="1829"/>
      <c r="AD2934" s="1829"/>
      <c r="AE2934" s="1829"/>
      <c r="AF2934" s="1829"/>
      <c r="AG2934" s="1829"/>
      <c r="AH2934" s="1829"/>
      <c r="AI2934" s="1829"/>
      <c r="AJ2934" s="1829"/>
      <c r="AK2934" s="1829"/>
      <c r="AL2934" s="1829"/>
      <c r="AM2934" s="1829"/>
      <c r="AN2934" s="1829"/>
      <c r="AO2934" s="1829"/>
      <c r="AP2934" s="1829"/>
      <c r="AQ2934" s="1829"/>
      <c r="AR2934" s="1829"/>
      <c r="AS2934" s="1829"/>
      <c r="AT2934" s="1829"/>
      <c r="AU2934" s="1829"/>
      <c r="AV2934" s="1829"/>
      <c r="AW2934" s="1829"/>
      <c r="AX2934" s="1829"/>
      <c r="AY2934" s="1829"/>
      <c r="AZ2934" s="1829"/>
      <c r="BA2934" s="1829"/>
      <c r="BB2934" s="1829"/>
      <c r="BC2934" s="1829"/>
      <c r="BD2934" s="1829"/>
      <c r="BE2934" s="1829"/>
      <c r="BF2934" s="1829"/>
      <c r="BG2934" s="1829"/>
      <c r="BH2934" s="1829"/>
      <c r="BI2934" s="1829"/>
      <c r="BJ2934" s="1829"/>
      <c r="BK2934" s="1829"/>
      <c r="BL2934" s="1829"/>
      <c r="BM2934" s="1829"/>
      <c r="BN2934" s="1829"/>
      <c r="BO2934" s="1829"/>
      <c r="BP2934" s="1829"/>
      <c r="BQ2934" s="1829"/>
      <c r="BR2934" s="1829"/>
      <c r="BS2934" s="1829"/>
      <c r="BT2934" s="1829"/>
      <c r="BU2934" s="1829"/>
      <c r="BV2934" s="1829"/>
      <c r="BW2934" s="1829"/>
      <c r="BX2934" s="1829"/>
      <c r="BY2934" s="1829"/>
      <c r="BZ2934" s="1829"/>
      <c r="CA2934" s="1829"/>
      <c r="CB2934" s="1829"/>
      <c r="CC2934" s="1829"/>
      <c r="CD2934" s="1829"/>
      <c r="CE2934" s="1829"/>
      <c r="CF2934" s="1829"/>
      <c r="CG2934" s="1829"/>
      <c r="CH2934" s="1829"/>
      <c r="CI2934" s="1829"/>
      <c r="CJ2934" s="1829"/>
      <c r="CK2934" s="1829"/>
    </row>
    <row r="2935" spans="1:89" s="1081" customFormat="1" ht="21" customHeight="1" x14ac:dyDescent="0.25">
      <c r="A2935" s="1074">
        <v>36</v>
      </c>
      <c r="B2935" s="1084" t="s">
        <v>1033</v>
      </c>
      <c r="C2935" s="1075">
        <v>1</v>
      </c>
      <c r="D2935" s="1076" t="s">
        <v>16</v>
      </c>
      <c r="E2935" s="1077">
        <v>300000</v>
      </c>
      <c r="F2935" s="1078"/>
      <c r="G2935" s="1078"/>
      <c r="H2935" s="1078"/>
      <c r="I2935" s="1078"/>
      <c r="J2935" s="1078">
        <f t="shared" si="267"/>
        <v>300000</v>
      </c>
      <c r="K2935" s="1078">
        <f t="shared" si="268"/>
        <v>300000</v>
      </c>
      <c r="L2935" s="1078"/>
      <c r="M2935" s="1078"/>
      <c r="N2935" s="1078"/>
      <c r="O2935" s="1079">
        <f t="shared" si="269"/>
        <v>300000</v>
      </c>
      <c r="P2935" s="1080"/>
      <c r="Q2935" s="1829"/>
      <c r="R2935" s="1829"/>
      <c r="S2935" s="1829"/>
      <c r="T2935" s="1829"/>
      <c r="U2935" s="1829"/>
      <c r="V2935" s="1829"/>
      <c r="W2935" s="1829"/>
      <c r="X2935" s="1829"/>
      <c r="Y2935" s="1829"/>
      <c r="Z2935" s="1829"/>
      <c r="AA2935" s="1829"/>
      <c r="AB2935" s="1829"/>
      <c r="AC2935" s="1829"/>
      <c r="AD2935" s="1829"/>
      <c r="AE2935" s="1829"/>
      <c r="AF2935" s="1829"/>
      <c r="AG2935" s="1829"/>
      <c r="AH2935" s="1829"/>
      <c r="AI2935" s="1829"/>
      <c r="AJ2935" s="1829"/>
      <c r="AK2935" s="1829"/>
      <c r="AL2935" s="1829"/>
      <c r="AM2935" s="1829"/>
      <c r="AN2935" s="1829"/>
      <c r="AO2935" s="1829"/>
      <c r="AP2935" s="1829"/>
      <c r="AQ2935" s="1829"/>
      <c r="AR2935" s="1829"/>
      <c r="AS2935" s="1829"/>
      <c r="AT2935" s="1829"/>
      <c r="AU2935" s="1829"/>
      <c r="AV2935" s="1829"/>
      <c r="AW2935" s="1829"/>
      <c r="AX2935" s="1829"/>
      <c r="AY2935" s="1829"/>
      <c r="AZ2935" s="1829"/>
      <c r="BA2935" s="1829"/>
      <c r="BB2935" s="1829"/>
      <c r="BC2935" s="1829"/>
      <c r="BD2935" s="1829"/>
      <c r="BE2935" s="1829"/>
      <c r="BF2935" s="1829"/>
      <c r="BG2935" s="1829"/>
      <c r="BH2935" s="1829"/>
      <c r="BI2935" s="1829"/>
      <c r="BJ2935" s="1829"/>
      <c r="BK2935" s="1829"/>
      <c r="BL2935" s="1829"/>
      <c r="BM2935" s="1829"/>
      <c r="BN2935" s="1829"/>
      <c r="BO2935" s="1829"/>
      <c r="BP2935" s="1829"/>
      <c r="BQ2935" s="1829"/>
      <c r="BR2935" s="1829"/>
      <c r="BS2935" s="1829"/>
      <c r="BT2935" s="1829"/>
      <c r="BU2935" s="1829"/>
      <c r="BV2935" s="1829"/>
      <c r="BW2935" s="1829"/>
      <c r="BX2935" s="1829"/>
      <c r="BY2935" s="1829"/>
      <c r="BZ2935" s="1829"/>
      <c r="CA2935" s="1829"/>
      <c r="CB2935" s="1829"/>
      <c r="CC2935" s="1829"/>
      <c r="CD2935" s="1829"/>
      <c r="CE2935" s="1829"/>
      <c r="CF2935" s="1829"/>
      <c r="CG2935" s="1829"/>
      <c r="CH2935" s="1829"/>
      <c r="CI2935" s="1829"/>
      <c r="CJ2935" s="1829"/>
      <c r="CK2935" s="1829"/>
    </row>
    <row r="2936" spans="1:89" s="1081" customFormat="1" ht="21" customHeight="1" x14ac:dyDescent="0.25">
      <c r="A2936" s="1074">
        <v>37</v>
      </c>
      <c r="B2936" s="1084" t="s">
        <v>1034</v>
      </c>
      <c r="C2936" s="1075">
        <v>1</v>
      </c>
      <c r="D2936" s="1076" t="s">
        <v>16</v>
      </c>
      <c r="E2936" s="1077">
        <v>500000</v>
      </c>
      <c r="F2936" s="1078"/>
      <c r="G2936" s="1078"/>
      <c r="H2936" s="1078"/>
      <c r="I2936" s="1078"/>
      <c r="J2936" s="1078">
        <f t="shared" si="267"/>
        <v>500000</v>
      </c>
      <c r="K2936" s="1078">
        <f t="shared" si="268"/>
        <v>500000</v>
      </c>
      <c r="L2936" s="1078"/>
      <c r="M2936" s="1078"/>
      <c r="N2936" s="1078"/>
      <c r="O2936" s="1079">
        <f t="shared" si="269"/>
        <v>500000</v>
      </c>
      <c r="P2936" s="1080"/>
      <c r="Q2936" s="1829"/>
      <c r="R2936" s="1829"/>
      <c r="S2936" s="1829"/>
      <c r="T2936" s="1829"/>
      <c r="U2936" s="1829"/>
      <c r="V2936" s="1829"/>
      <c r="W2936" s="1829"/>
      <c r="X2936" s="1829"/>
      <c r="Y2936" s="1829"/>
      <c r="Z2936" s="1829"/>
      <c r="AA2936" s="1829"/>
      <c r="AB2936" s="1829"/>
      <c r="AC2936" s="1829"/>
      <c r="AD2936" s="1829"/>
      <c r="AE2936" s="1829"/>
      <c r="AF2936" s="1829"/>
      <c r="AG2936" s="1829"/>
      <c r="AH2936" s="1829"/>
      <c r="AI2936" s="1829"/>
      <c r="AJ2936" s="1829"/>
      <c r="AK2936" s="1829"/>
      <c r="AL2936" s="1829"/>
      <c r="AM2936" s="1829"/>
      <c r="AN2936" s="1829"/>
      <c r="AO2936" s="1829"/>
      <c r="AP2936" s="1829"/>
      <c r="AQ2936" s="1829"/>
      <c r="AR2936" s="1829"/>
      <c r="AS2936" s="1829"/>
      <c r="AT2936" s="1829"/>
      <c r="AU2936" s="1829"/>
      <c r="AV2936" s="1829"/>
      <c r="AW2936" s="1829"/>
      <c r="AX2936" s="1829"/>
      <c r="AY2936" s="1829"/>
      <c r="AZ2936" s="1829"/>
      <c r="BA2936" s="1829"/>
      <c r="BB2936" s="1829"/>
      <c r="BC2936" s="1829"/>
      <c r="BD2936" s="1829"/>
      <c r="BE2936" s="1829"/>
      <c r="BF2936" s="1829"/>
      <c r="BG2936" s="1829"/>
      <c r="BH2936" s="1829"/>
      <c r="BI2936" s="1829"/>
      <c r="BJ2936" s="1829"/>
      <c r="BK2936" s="1829"/>
      <c r="BL2936" s="1829"/>
      <c r="BM2936" s="1829"/>
      <c r="BN2936" s="1829"/>
      <c r="BO2936" s="1829"/>
      <c r="BP2936" s="1829"/>
      <c r="BQ2936" s="1829"/>
      <c r="BR2936" s="1829"/>
      <c r="BS2936" s="1829"/>
      <c r="BT2936" s="1829"/>
      <c r="BU2936" s="1829"/>
      <c r="BV2936" s="1829"/>
      <c r="BW2936" s="1829"/>
      <c r="BX2936" s="1829"/>
      <c r="BY2936" s="1829"/>
      <c r="BZ2936" s="1829"/>
      <c r="CA2936" s="1829"/>
      <c r="CB2936" s="1829"/>
      <c r="CC2936" s="1829"/>
      <c r="CD2936" s="1829"/>
      <c r="CE2936" s="1829"/>
      <c r="CF2936" s="1829"/>
      <c r="CG2936" s="1829"/>
      <c r="CH2936" s="1829"/>
      <c r="CI2936" s="1829"/>
      <c r="CJ2936" s="1829"/>
      <c r="CK2936" s="1829"/>
    </row>
    <row r="2937" spans="1:89" s="1081" customFormat="1" ht="21" customHeight="1" x14ac:dyDescent="0.25">
      <c r="A2937" s="1074">
        <v>38</v>
      </c>
      <c r="B2937" s="1084" t="s">
        <v>1035</v>
      </c>
      <c r="C2937" s="1075">
        <v>1</v>
      </c>
      <c r="D2937" s="1076" t="s">
        <v>16</v>
      </c>
      <c r="E2937" s="1077">
        <f>500000-200000</f>
        <v>300000</v>
      </c>
      <c r="F2937" s="1078"/>
      <c r="G2937" s="1078"/>
      <c r="H2937" s="1078"/>
      <c r="I2937" s="1078"/>
      <c r="J2937" s="1078">
        <f t="shared" si="267"/>
        <v>300000</v>
      </c>
      <c r="K2937" s="1078">
        <f t="shared" si="268"/>
        <v>300000</v>
      </c>
      <c r="L2937" s="1078"/>
      <c r="M2937" s="1078"/>
      <c r="N2937" s="1078"/>
      <c r="O2937" s="1079">
        <f t="shared" si="269"/>
        <v>300000</v>
      </c>
      <c r="P2937" s="1080"/>
      <c r="Q2937" s="1829"/>
      <c r="R2937" s="1829"/>
      <c r="S2937" s="1829"/>
      <c r="T2937" s="1829"/>
      <c r="U2937" s="1829"/>
      <c r="V2937" s="1829"/>
      <c r="W2937" s="1829"/>
      <c r="X2937" s="1829"/>
      <c r="Y2937" s="1829"/>
      <c r="Z2937" s="1829"/>
      <c r="AA2937" s="1829"/>
      <c r="AB2937" s="1829"/>
      <c r="AC2937" s="1829"/>
      <c r="AD2937" s="1829"/>
      <c r="AE2937" s="1829"/>
      <c r="AF2937" s="1829"/>
      <c r="AG2937" s="1829"/>
      <c r="AH2937" s="1829"/>
      <c r="AI2937" s="1829"/>
      <c r="AJ2937" s="1829"/>
      <c r="AK2937" s="1829"/>
      <c r="AL2937" s="1829"/>
      <c r="AM2937" s="1829"/>
      <c r="AN2937" s="1829"/>
      <c r="AO2937" s="1829"/>
      <c r="AP2937" s="1829"/>
      <c r="AQ2937" s="1829"/>
      <c r="AR2937" s="1829"/>
      <c r="AS2937" s="1829"/>
      <c r="AT2937" s="1829"/>
      <c r="AU2937" s="1829"/>
      <c r="AV2937" s="1829"/>
      <c r="AW2937" s="1829"/>
      <c r="AX2937" s="1829"/>
      <c r="AY2937" s="1829"/>
      <c r="AZ2937" s="1829"/>
      <c r="BA2937" s="1829"/>
      <c r="BB2937" s="1829"/>
      <c r="BC2937" s="1829"/>
      <c r="BD2937" s="1829"/>
      <c r="BE2937" s="1829"/>
      <c r="BF2937" s="1829"/>
      <c r="BG2937" s="1829"/>
      <c r="BH2937" s="1829"/>
      <c r="BI2937" s="1829"/>
      <c r="BJ2937" s="1829"/>
      <c r="BK2937" s="1829"/>
      <c r="BL2937" s="1829"/>
      <c r="BM2937" s="1829"/>
      <c r="BN2937" s="1829"/>
      <c r="BO2937" s="1829"/>
      <c r="BP2937" s="1829"/>
      <c r="BQ2937" s="1829"/>
      <c r="BR2937" s="1829"/>
      <c r="BS2937" s="1829"/>
      <c r="BT2937" s="1829"/>
      <c r="BU2937" s="1829"/>
      <c r="BV2937" s="1829"/>
      <c r="BW2937" s="1829"/>
      <c r="BX2937" s="1829"/>
      <c r="BY2937" s="1829"/>
      <c r="BZ2937" s="1829"/>
      <c r="CA2937" s="1829"/>
      <c r="CB2937" s="1829"/>
      <c r="CC2937" s="1829"/>
      <c r="CD2937" s="1829"/>
      <c r="CE2937" s="1829"/>
      <c r="CF2937" s="1829"/>
      <c r="CG2937" s="1829"/>
      <c r="CH2937" s="1829"/>
      <c r="CI2937" s="1829"/>
      <c r="CJ2937" s="1829"/>
      <c r="CK2937" s="1829"/>
    </row>
    <row r="2938" spans="1:89" s="1081" customFormat="1" ht="33.75" customHeight="1" x14ac:dyDescent="0.25">
      <c r="A2938" s="1074">
        <v>39</v>
      </c>
      <c r="B2938" s="1084" t="s">
        <v>1807</v>
      </c>
      <c r="C2938" s="1075">
        <v>1</v>
      </c>
      <c r="D2938" s="1076" t="s">
        <v>16</v>
      </c>
      <c r="E2938" s="1077">
        <v>250000</v>
      </c>
      <c r="F2938" s="1078"/>
      <c r="G2938" s="1078"/>
      <c r="H2938" s="1078"/>
      <c r="I2938" s="1078"/>
      <c r="J2938" s="1078">
        <f t="shared" si="267"/>
        <v>250000</v>
      </c>
      <c r="K2938" s="1078">
        <f t="shared" si="268"/>
        <v>250000</v>
      </c>
      <c r="L2938" s="1078"/>
      <c r="M2938" s="1078"/>
      <c r="N2938" s="1078"/>
      <c r="O2938" s="1079">
        <f t="shared" si="269"/>
        <v>250000</v>
      </c>
      <c r="P2938" s="1080"/>
      <c r="Q2938" s="1829"/>
      <c r="R2938" s="1829"/>
      <c r="S2938" s="1829"/>
      <c r="T2938" s="1829"/>
      <c r="U2938" s="1829"/>
      <c r="V2938" s="1829"/>
      <c r="W2938" s="1829"/>
      <c r="X2938" s="1829"/>
      <c r="Y2938" s="1829"/>
      <c r="Z2938" s="1829"/>
      <c r="AA2938" s="1829"/>
      <c r="AB2938" s="1829"/>
      <c r="AC2938" s="1829"/>
      <c r="AD2938" s="1829"/>
      <c r="AE2938" s="1829"/>
      <c r="AF2938" s="1829"/>
      <c r="AG2938" s="1829"/>
      <c r="AH2938" s="1829"/>
      <c r="AI2938" s="1829"/>
      <c r="AJ2938" s="1829"/>
      <c r="AK2938" s="1829"/>
      <c r="AL2938" s="1829"/>
      <c r="AM2938" s="1829"/>
      <c r="AN2938" s="1829"/>
      <c r="AO2938" s="1829"/>
      <c r="AP2938" s="1829"/>
      <c r="AQ2938" s="1829"/>
      <c r="AR2938" s="1829"/>
      <c r="AS2938" s="1829"/>
      <c r="AT2938" s="1829"/>
      <c r="AU2938" s="1829"/>
      <c r="AV2938" s="1829"/>
      <c r="AW2938" s="1829"/>
      <c r="AX2938" s="1829"/>
      <c r="AY2938" s="1829"/>
      <c r="AZ2938" s="1829"/>
      <c r="BA2938" s="1829"/>
      <c r="BB2938" s="1829"/>
      <c r="BC2938" s="1829"/>
      <c r="BD2938" s="1829"/>
      <c r="BE2938" s="1829"/>
      <c r="BF2938" s="1829"/>
      <c r="BG2938" s="1829"/>
      <c r="BH2938" s="1829"/>
      <c r="BI2938" s="1829"/>
      <c r="BJ2938" s="1829"/>
      <c r="BK2938" s="1829"/>
      <c r="BL2938" s="1829"/>
      <c r="BM2938" s="1829"/>
      <c r="BN2938" s="1829"/>
      <c r="BO2938" s="1829"/>
      <c r="BP2938" s="1829"/>
      <c r="BQ2938" s="1829"/>
      <c r="BR2938" s="1829"/>
      <c r="BS2938" s="1829"/>
      <c r="BT2938" s="1829"/>
      <c r="BU2938" s="1829"/>
      <c r="BV2938" s="1829"/>
      <c r="BW2938" s="1829"/>
      <c r="BX2938" s="1829"/>
      <c r="BY2938" s="1829"/>
      <c r="BZ2938" s="1829"/>
      <c r="CA2938" s="1829"/>
      <c r="CB2938" s="1829"/>
      <c r="CC2938" s="1829"/>
      <c r="CD2938" s="1829"/>
      <c r="CE2938" s="1829"/>
      <c r="CF2938" s="1829"/>
      <c r="CG2938" s="1829"/>
      <c r="CH2938" s="1829"/>
      <c r="CI2938" s="1829"/>
      <c r="CJ2938" s="1829"/>
      <c r="CK2938" s="1829"/>
    </row>
    <row r="2939" spans="1:89" s="1081" customFormat="1" ht="33.75" customHeight="1" x14ac:dyDescent="0.25">
      <c r="A2939" s="1074">
        <v>40</v>
      </c>
      <c r="B2939" s="1084" t="s">
        <v>1840</v>
      </c>
      <c r="C2939" s="1075">
        <v>1</v>
      </c>
      <c r="D2939" s="1076" t="s">
        <v>16</v>
      </c>
      <c r="E2939" s="1077">
        <v>300000</v>
      </c>
      <c r="F2939" s="1078"/>
      <c r="G2939" s="1078"/>
      <c r="H2939" s="1078"/>
      <c r="I2939" s="1078"/>
      <c r="J2939" s="1078">
        <f>C2939*E2939</f>
        <v>300000</v>
      </c>
      <c r="K2939" s="1078">
        <f t="shared" si="268"/>
        <v>300000</v>
      </c>
      <c r="L2939" s="1078"/>
      <c r="M2939" s="1078"/>
      <c r="N2939" s="1078"/>
      <c r="O2939" s="1079">
        <f t="shared" si="269"/>
        <v>300000</v>
      </c>
      <c r="P2939" s="1080"/>
      <c r="Q2939" s="1829"/>
      <c r="R2939" s="1829"/>
      <c r="S2939" s="1829"/>
      <c r="T2939" s="1829"/>
      <c r="U2939" s="1829"/>
      <c r="V2939" s="1829"/>
      <c r="W2939" s="1829"/>
      <c r="X2939" s="1829"/>
      <c r="Y2939" s="1829"/>
      <c r="Z2939" s="1829"/>
      <c r="AA2939" s="1829"/>
      <c r="AB2939" s="1829"/>
      <c r="AC2939" s="1829"/>
      <c r="AD2939" s="1829"/>
      <c r="AE2939" s="1829"/>
      <c r="AF2939" s="1829"/>
      <c r="AG2939" s="1829"/>
      <c r="AH2939" s="1829"/>
      <c r="AI2939" s="1829"/>
      <c r="AJ2939" s="1829"/>
      <c r="AK2939" s="1829"/>
      <c r="AL2939" s="1829"/>
      <c r="AM2939" s="1829"/>
      <c r="AN2939" s="1829"/>
      <c r="AO2939" s="1829"/>
      <c r="AP2939" s="1829"/>
      <c r="AQ2939" s="1829"/>
      <c r="AR2939" s="1829"/>
      <c r="AS2939" s="1829"/>
      <c r="AT2939" s="1829"/>
      <c r="AU2939" s="1829"/>
      <c r="AV2939" s="1829"/>
      <c r="AW2939" s="1829"/>
      <c r="AX2939" s="1829"/>
      <c r="AY2939" s="1829"/>
      <c r="AZ2939" s="1829"/>
      <c r="BA2939" s="1829"/>
      <c r="BB2939" s="1829"/>
      <c r="BC2939" s="1829"/>
      <c r="BD2939" s="1829"/>
      <c r="BE2939" s="1829"/>
      <c r="BF2939" s="1829"/>
      <c r="BG2939" s="1829"/>
      <c r="BH2939" s="1829"/>
      <c r="BI2939" s="1829"/>
      <c r="BJ2939" s="1829"/>
      <c r="BK2939" s="1829"/>
      <c r="BL2939" s="1829"/>
      <c r="BM2939" s="1829"/>
      <c r="BN2939" s="1829"/>
      <c r="BO2939" s="1829"/>
      <c r="BP2939" s="1829"/>
      <c r="BQ2939" s="1829"/>
      <c r="BR2939" s="1829"/>
      <c r="BS2939" s="1829"/>
      <c r="BT2939" s="1829"/>
      <c r="BU2939" s="1829"/>
      <c r="BV2939" s="1829"/>
      <c r="BW2939" s="1829"/>
      <c r="BX2939" s="1829"/>
      <c r="BY2939" s="1829"/>
      <c r="BZ2939" s="1829"/>
      <c r="CA2939" s="1829"/>
      <c r="CB2939" s="1829"/>
      <c r="CC2939" s="1829"/>
      <c r="CD2939" s="1829"/>
      <c r="CE2939" s="1829"/>
      <c r="CF2939" s="1829"/>
      <c r="CG2939" s="1829"/>
      <c r="CH2939" s="1829"/>
      <c r="CI2939" s="1829"/>
      <c r="CJ2939" s="1829"/>
      <c r="CK2939" s="1829"/>
    </row>
    <row r="2940" spans="1:89" s="1081" customFormat="1" ht="33.75" customHeight="1" x14ac:dyDescent="0.25">
      <c r="A2940" s="1074">
        <v>41</v>
      </c>
      <c r="B2940" s="1084" t="s">
        <v>1841</v>
      </c>
      <c r="C2940" s="1075">
        <v>1</v>
      </c>
      <c r="D2940" s="1076" t="s">
        <v>16</v>
      </c>
      <c r="E2940" s="1077">
        <v>250000</v>
      </c>
      <c r="F2940" s="1078"/>
      <c r="G2940" s="1078"/>
      <c r="H2940" s="1078"/>
      <c r="I2940" s="1078"/>
      <c r="J2940" s="1078">
        <f>C2940*E2940</f>
        <v>250000</v>
      </c>
      <c r="K2940" s="1078">
        <f t="shared" si="268"/>
        <v>250000</v>
      </c>
      <c r="L2940" s="1078"/>
      <c r="M2940" s="1078"/>
      <c r="N2940" s="1078"/>
      <c r="O2940" s="1079">
        <f t="shared" si="269"/>
        <v>250000</v>
      </c>
      <c r="P2940" s="1080"/>
      <c r="Q2940" s="1829"/>
      <c r="R2940" s="1829"/>
      <c r="S2940" s="1829"/>
      <c r="T2940" s="1829"/>
      <c r="U2940" s="1829"/>
      <c r="V2940" s="1829"/>
      <c r="W2940" s="1829"/>
      <c r="X2940" s="1829"/>
      <c r="Y2940" s="1829"/>
      <c r="Z2940" s="1829"/>
      <c r="AA2940" s="1829"/>
      <c r="AB2940" s="1829"/>
      <c r="AC2940" s="1829"/>
      <c r="AD2940" s="1829"/>
      <c r="AE2940" s="1829"/>
      <c r="AF2940" s="1829"/>
      <c r="AG2940" s="1829"/>
      <c r="AH2940" s="1829"/>
      <c r="AI2940" s="1829"/>
      <c r="AJ2940" s="1829"/>
      <c r="AK2940" s="1829"/>
      <c r="AL2940" s="1829"/>
      <c r="AM2940" s="1829"/>
      <c r="AN2940" s="1829"/>
      <c r="AO2940" s="1829"/>
      <c r="AP2940" s="1829"/>
      <c r="AQ2940" s="1829"/>
      <c r="AR2940" s="1829"/>
      <c r="AS2940" s="1829"/>
      <c r="AT2940" s="1829"/>
      <c r="AU2940" s="1829"/>
      <c r="AV2940" s="1829"/>
      <c r="AW2940" s="1829"/>
      <c r="AX2940" s="1829"/>
      <c r="AY2940" s="1829"/>
      <c r="AZ2940" s="1829"/>
      <c r="BA2940" s="1829"/>
      <c r="BB2940" s="1829"/>
      <c r="BC2940" s="1829"/>
      <c r="BD2940" s="1829"/>
      <c r="BE2940" s="1829"/>
      <c r="BF2940" s="1829"/>
      <c r="BG2940" s="1829"/>
      <c r="BH2940" s="1829"/>
      <c r="BI2940" s="1829"/>
      <c r="BJ2940" s="1829"/>
      <c r="BK2940" s="1829"/>
      <c r="BL2940" s="1829"/>
      <c r="BM2940" s="1829"/>
      <c r="BN2940" s="1829"/>
      <c r="BO2940" s="1829"/>
      <c r="BP2940" s="1829"/>
      <c r="BQ2940" s="1829"/>
      <c r="BR2940" s="1829"/>
      <c r="BS2940" s="1829"/>
      <c r="BT2940" s="1829"/>
      <c r="BU2940" s="1829"/>
      <c r="BV2940" s="1829"/>
      <c r="BW2940" s="1829"/>
      <c r="BX2940" s="1829"/>
      <c r="BY2940" s="1829"/>
      <c r="BZ2940" s="1829"/>
      <c r="CA2940" s="1829"/>
      <c r="CB2940" s="1829"/>
      <c r="CC2940" s="1829"/>
      <c r="CD2940" s="1829"/>
      <c r="CE2940" s="1829"/>
      <c r="CF2940" s="1829"/>
      <c r="CG2940" s="1829"/>
      <c r="CH2940" s="1829"/>
      <c r="CI2940" s="1829"/>
      <c r="CJ2940" s="1829"/>
      <c r="CK2940" s="1829"/>
    </row>
    <row r="2941" spans="1:89" ht="21" customHeight="1" x14ac:dyDescent="0.25">
      <c r="A2941" s="764"/>
      <c r="B2941" s="677"/>
      <c r="C2941" s="772"/>
      <c r="D2941" s="766"/>
      <c r="E2941" s="767"/>
      <c r="F2941" s="714"/>
      <c r="G2941" s="714"/>
      <c r="H2941" s="714"/>
      <c r="I2941" s="714"/>
      <c r="J2941" s="714"/>
      <c r="K2941" s="714"/>
      <c r="L2941" s="714"/>
      <c r="M2941" s="714"/>
      <c r="N2941" s="714"/>
      <c r="O2941" s="753"/>
      <c r="P2941" s="754"/>
    </row>
    <row r="2942" spans="1:89" ht="21" customHeight="1" x14ac:dyDescent="0.25">
      <c r="A2942" s="764"/>
      <c r="B2942" s="773" t="s">
        <v>1036</v>
      </c>
      <c r="C2942" s="772"/>
      <c r="D2942" s="766"/>
      <c r="E2942" s="767"/>
      <c r="F2942" s="714"/>
      <c r="G2942" s="714"/>
      <c r="H2942" s="714"/>
      <c r="I2942" s="714"/>
      <c r="J2942" s="714">
        <f t="shared" ref="J2942:J2957" si="270">C2942*E2942</f>
        <v>0</v>
      </c>
      <c r="K2942" s="714">
        <f t="shared" ref="K2942:K2957" si="271">I2942+J2942</f>
        <v>0</v>
      </c>
      <c r="L2942" s="714"/>
      <c r="M2942" s="714"/>
      <c r="N2942" s="714"/>
      <c r="O2942" s="753">
        <f>N2942+K2942+H2942</f>
        <v>0</v>
      </c>
      <c r="P2942" s="754"/>
    </row>
    <row r="2943" spans="1:89" ht="13.5" customHeight="1" x14ac:dyDescent="0.25">
      <c r="A2943" s="764"/>
      <c r="B2943" s="771"/>
      <c r="C2943" s="772"/>
      <c r="D2943" s="766"/>
      <c r="E2943" s="767"/>
      <c r="F2943" s="714"/>
      <c r="G2943" s="714"/>
      <c r="H2943" s="714"/>
      <c r="I2943" s="714"/>
      <c r="J2943" s="714">
        <f t="shared" si="270"/>
        <v>0</v>
      </c>
      <c r="K2943" s="714">
        <f t="shared" si="271"/>
        <v>0</v>
      </c>
      <c r="L2943" s="714"/>
      <c r="M2943" s="714"/>
      <c r="N2943" s="714"/>
      <c r="O2943" s="753">
        <f>N2943+K2943+H2943</f>
        <v>0</v>
      </c>
      <c r="P2943" s="754"/>
    </row>
    <row r="2944" spans="1:89" ht="21" customHeight="1" x14ac:dyDescent="0.25">
      <c r="A2944" s="764"/>
      <c r="B2944" s="771" t="s">
        <v>984</v>
      </c>
      <c r="C2944" s="772"/>
      <c r="D2944" s="766"/>
      <c r="E2944" s="767"/>
      <c r="F2944" s="714"/>
      <c r="G2944" s="714"/>
      <c r="H2944" s="714"/>
      <c r="I2944" s="714"/>
      <c r="J2944" s="714">
        <f t="shared" si="270"/>
        <v>0</v>
      </c>
      <c r="K2944" s="714">
        <f t="shared" si="271"/>
        <v>0</v>
      </c>
      <c r="L2944" s="714"/>
      <c r="M2944" s="714"/>
      <c r="N2944" s="714"/>
      <c r="O2944" s="753">
        <f>N2944+K2944+H2944</f>
        <v>0</v>
      </c>
      <c r="P2944" s="754"/>
    </row>
    <row r="2945" spans="1:89" s="1081" customFormat="1" ht="21" customHeight="1" x14ac:dyDescent="0.25">
      <c r="A2945" s="1074">
        <v>1</v>
      </c>
      <c r="B2945" s="1083" t="s">
        <v>1607</v>
      </c>
      <c r="C2945" s="1075">
        <v>75</v>
      </c>
      <c r="D2945" s="1076" t="s">
        <v>119</v>
      </c>
      <c r="E2945" s="1077">
        <v>470000</v>
      </c>
      <c r="F2945" s="1078"/>
      <c r="G2945" s="1078"/>
      <c r="H2945" s="1078"/>
      <c r="I2945" s="1078"/>
      <c r="J2945" s="1078">
        <f t="shared" si="270"/>
        <v>35250000</v>
      </c>
      <c r="K2945" s="1078">
        <f t="shared" si="271"/>
        <v>35250000</v>
      </c>
      <c r="L2945" s="1078"/>
      <c r="M2945" s="1078"/>
      <c r="N2945" s="1078"/>
      <c r="O2945" s="1079">
        <f t="shared" ref="O2945:O2957" si="272">K2945+N2945</f>
        <v>35250000</v>
      </c>
      <c r="P2945" s="1080"/>
      <c r="Q2945" s="1829"/>
      <c r="R2945" s="1829"/>
      <c r="S2945" s="1829"/>
      <c r="T2945" s="1829"/>
      <c r="U2945" s="1829"/>
      <c r="V2945" s="1829"/>
      <c r="W2945" s="1829"/>
      <c r="X2945" s="1829"/>
      <c r="Y2945" s="1829"/>
      <c r="Z2945" s="1829"/>
      <c r="AA2945" s="1829"/>
      <c r="AB2945" s="1829"/>
      <c r="AC2945" s="1829"/>
      <c r="AD2945" s="1829"/>
      <c r="AE2945" s="1829"/>
      <c r="AF2945" s="1829"/>
      <c r="AG2945" s="1829"/>
      <c r="AH2945" s="1829"/>
      <c r="AI2945" s="1829"/>
      <c r="AJ2945" s="1829"/>
      <c r="AK2945" s="1829"/>
      <c r="AL2945" s="1829"/>
      <c r="AM2945" s="1829"/>
      <c r="AN2945" s="1829"/>
      <c r="AO2945" s="1829"/>
      <c r="AP2945" s="1829"/>
      <c r="AQ2945" s="1829"/>
      <c r="AR2945" s="1829"/>
      <c r="AS2945" s="1829"/>
      <c r="AT2945" s="1829"/>
      <c r="AU2945" s="1829"/>
      <c r="AV2945" s="1829"/>
      <c r="AW2945" s="1829"/>
      <c r="AX2945" s="1829"/>
      <c r="AY2945" s="1829"/>
      <c r="AZ2945" s="1829"/>
      <c r="BA2945" s="1829"/>
      <c r="BB2945" s="1829"/>
      <c r="BC2945" s="1829"/>
      <c r="BD2945" s="1829"/>
      <c r="BE2945" s="1829"/>
      <c r="BF2945" s="1829"/>
      <c r="BG2945" s="1829"/>
      <c r="BH2945" s="1829"/>
      <c r="BI2945" s="1829"/>
      <c r="BJ2945" s="1829"/>
      <c r="BK2945" s="1829"/>
      <c r="BL2945" s="1829"/>
      <c r="BM2945" s="1829"/>
      <c r="BN2945" s="1829"/>
      <c r="BO2945" s="1829"/>
      <c r="BP2945" s="1829"/>
      <c r="BQ2945" s="1829"/>
      <c r="BR2945" s="1829"/>
      <c r="BS2945" s="1829"/>
      <c r="BT2945" s="1829"/>
      <c r="BU2945" s="1829"/>
      <c r="BV2945" s="1829"/>
      <c r="BW2945" s="1829"/>
      <c r="BX2945" s="1829"/>
      <c r="BY2945" s="1829"/>
      <c r="BZ2945" s="1829"/>
      <c r="CA2945" s="1829"/>
      <c r="CB2945" s="1829"/>
      <c r="CC2945" s="1829"/>
      <c r="CD2945" s="1829"/>
      <c r="CE2945" s="1829"/>
      <c r="CF2945" s="1829"/>
      <c r="CG2945" s="1829"/>
      <c r="CH2945" s="1829"/>
      <c r="CI2945" s="1829"/>
      <c r="CJ2945" s="1829"/>
      <c r="CK2945" s="1829"/>
    </row>
    <row r="2946" spans="1:89" s="1081" customFormat="1" ht="21" customHeight="1" x14ac:dyDescent="0.25">
      <c r="A2946" s="1074">
        <v>2</v>
      </c>
      <c r="B2946" s="1083" t="s">
        <v>1608</v>
      </c>
      <c r="C2946" s="1075">
        <v>1</v>
      </c>
      <c r="D2946" s="1076" t="s">
        <v>16</v>
      </c>
      <c r="E2946" s="1077">
        <v>6000000</v>
      </c>
      <c r="F2946" s="1078"/>
      <c r="G2946" s="1078"/>
      <c r="H2946" s="1078"/>
      <c r="I2946" s="1078"/>
      <c r="J2946" s="1078">
        <f t="shared" si="270"/>
        <v>6000000</v>
      </c>
      <c r="K2946" s="1078">
        <f t="shared" si="271"/>
        <v>6000000</v>
      </c>
      <c r="L2946" s="1078"/>
      <c r="M2946" s="1078"/>
      <c r="N2946" s="1078"/>
      <c r="O2946" s="1079">
        <f t="shared" si="272"/>
        <v>6000000</v>
      </c>
      <c r="P2946" s="1080"/>
      <c r="Q2946" s="1829"/>
      <c r="R2946" s="1829"/>
      <c r="S2946" s="1829"/>
      <c r="T2946" s="1829"/>
      <c r="U2946" s="1829"/>
      <c r="V2946" s="1829"/>
      <c r="W2946" s="1829"/>
      <c r="X2946" s="1829"/>
      <c r="Y2946" s="1829"/>
      <c r="Z2946" s="1829"/>
      <c r="AA2946" s="1829"/>
      <c r="AB2946" s="1829"/>
      <c r="AC2946" s="1829"/>
      <c r="AD2946" s="1829"/>
      <c r="AE2946" s="1829"/>
      <c r="AF2946" s="1829"/>
      <c r="AG2946" s="1829"/>
      <c r="AH2946" s="1829"/>
      <c r="AI2946" s="1829"/>
      <c r="AJ2946" s="1829"/>
      <c r="AK2946" s="1829"/>
      <c r="AL2946" s="1829"/>
      <c r="AM2946" s="1829"/>
      <c r="AN2946" s="1829"/>
      <c r="AO2946" s="1829"/>
      <c r="AP2946" s="1829"/>
      <c r="AQ2946" s="1829"/>
      <c r="AR2946" s="1829"/>
      <c r="AS2946" s="1829"/>
      <c r="AT2946" s="1829"/>
      <c r="AU2946" s="1829"/>
      <c r="AV2946" s="1829"/>
      <c r="AW2946" s="1829"/>
      <c r="AX2946" s="1829"/>
      <c r="AY2946" s="1829"/>
      <c r="AZ2946" s="1829"/>
      <c r="BA2946" s="1829"/>
      <c r="BB2946" s="1829"/>
      <c r="BC2946" s="1829"/>
      <c r="BD2946" s="1829"/>
      <c r="BE2946" s="1829"/>
      <c r="BF2946" s="1829"/>
      <c r="BG2946" s="1829"/>
      <c r="BH2946" s="1829"/>
      <c r="BI2946" s="1829"/>
      <c r="BJ2946" s="1829"/>
      <c r="BK2946" s="1829"/>
      <c r="BL2946" s="1829"/>
      <c r="BM2946" s="1829"/>
      <c r="BN2946" s="1829"/>
      <c r="BO2946" s="1829"/>
      <c r="BP2946" s="1829"/>
      <c r="BQ2946" s="1829"/>
      <c r="BR2946" s="1829"/>
      <c r="BS2946" s="1829"/>
      <c r="BT2946" s="1829"/>
      <c r="BU2946" s="1829"/>
      <c r="BV2946" s="1829"/>
      <c r="BW2946" s="1829"/>
      <c r="BX2946" s="1829"/>
      <c r="BY2946" s="1829"/>
      <c r="BZ2946" s="1829"/>
      <c r="CA2946" s="1829"/>
      <c r="CB2946" s="1829"/>
      <c r="CC2946" s="1829"/>
      <c r="CD2946" s="1829"/>
      <c r="CE2946" s="1829"/>
      <c r="CF2946" s="1829"/>
      <c r="CG2946" s="1829"/>
      <c r="CH2946" s="1829"/>
      <c r="CI2946" s="1829"/>
      <c r="CJ2946" s="1829"/>
      <c r="CK2946" s="1829"/>
    </row>
    <row r="2947" spans="1:89" s="1081" customFormat="1" ht="21" customHeight="1" x14ac:dyDescent="0.25">
      <c r="A2947" s="1074">
        <v>3</v>
      </c>
      <c r="B2947" s="1083" t="s">
        <v>1609</v>
      </c>
      <c r="C2947" s="1075">
        <v>1</v>
      </c>
      <c r="D2947" s="1076" t="s">
        <v>16</v>
      </c>
      <c r="E2947" s="1077">
        <v>3000000</v>
      </c>
      <c r="F2947" s="1078"/>
      <c r="G2947" s="1078"/>
      <c r="H2947" s="1078"/>
      <c r="I2947" s="1078"/>
      <c r="J2947" s="1078">
        <f t="shared" si="270"/>
        <v>3000000</v>
      </c>
      <c r="K2947" s="1078">
        <f t="shared" si="271"/>
        <v>3000000</v>
      </c>
      <c r="L2947" s="1078"/>
      <c r="M2947" s="1078"/>
      <c r="N2947" s="1078"/>
      <c r="O2947" s="1079">
        <f t="shared" si="272"/>
        <v>3000000</v>
      </c>
      <c r="P2947" s="1080"/>
      <c r="Q2947" s="1829"/>
      <c r="R2947" s="1829"/>
      <c r="S2947" s="1829"/>
      <c r="T2947" s="1829"/>
      <c r="U2947" s="1829"/>
      <c r="V2947" s="1829"/>
      <c r="W2947" s="1829"/>
      <c r="X2947" s="1829"/>
      <c r="Y2947" s="1829"/>
      <c r="Z2947" s="1829"/>
      <c r="AA2947" s="1829"/>
      <c r="AB2947" s="1829"/>
      <c r="AC2947" s="1829"/>
      <c r="AD2947" s="1829"/>
      <c r="AE2947" s="1829"/>
      <c r="AF2947" s="1829"/>
      <c r="AG2947" s="1829"/>
      <c r="AH2947" s="1829"/>
      <c r="AI2947" s="1829"/>
      <c r="AJ2947" s="1829"/>
      <c r="AK2947" s="1829"/>
      <c r="AL2947" s="1829"/>
      <c r="AM2947" s="1829"/>
      <c r="AN2947" s="1829"/>
      <c r="AO2947" s="1829"/>
      <c r="AP2947" s="1829"/>
      <c r="AQ2947" s="1829"/>
      <c r="AR2947" s="1829"/>
      <c r="AS2947" s="1829"/>
      <c r="AT2947" s="1829"/>
      <c r="AU2947" s="1829"/>
      <c r="AV2947" s="1829"/>
      <c r="AW2947" s="1829"/>
      <c r="AX2947" s="1829"/>
      <c r="AY2947" s="1829"/>
      <c r="AZ2947" s="1829"/>
      <c r="BA2947" s="1829"/>
      <c r="BB2947" s="1829"/>
      <c r="BC2947" s="1829"/>
      <c r="BD2947" s="1829"/>
      <c r="BE2947" s="1829"/>
      <c r="BF2947" s="1829"/>
      <c r="BG2947" s="1829"/>
      <c r="BH2947" s="1829"/>
      <c r="BI2947" s="1829"/>
      <c r="BJ2947" s="1829"/>
      <c r="BK2947" s="1829"/>
      <c r="BL2947" s="1829"/>
      <c r="BM2947" s="1829"/>
      <c r="BN2947" s="1829"/>
      <c r="BO2947" s="1829"/>
      <c r="BP2947" s="1829"/>
      <c r="BQ2947" s="1829"/>
      <c r="BR2947" s="1829"/>
      <c r="BS2947" s="1829"/>
      <c r="BT2947" s="1829"/>
      <c r="BU2947" s="1829"/>
      <c r="BV2947" s="1829"/>
      <c r="BW2947" s="1829"/>
      <c r="BX2947" s="1829"/>
      <c r="BY2947" s="1829"/>
      <c r="BZ2947" s="1829"/>
      <c r="CA2947" s="1829"/>
      <c r="CB2947" s="1829"/>
      <c r="CC2947" s="1829"/>
      <c r="CD2947" s="1829"/>
      <c r="CE2947" s="1829"/>
      <c r="CF2947" s="1829"/>
      <c r="CG2947" s="1829"/>
      <c r="CH2947" s="1829"/>
      <c r="CI2947" s="1829"/>
      <c r="CJ2947" s="1829"/>
      <c r="CK2947" s="1829"/>
    </row>
    <row r="2948" spans="1:89" s="1081" customFormat="1" ht="21" customHeight="1" x14ac:dyDescent="0.25">
      <c r="A2948" s="1074">
        <v>4</v>
      </c>
      <c r="B2948" s="1083" t="s">
        <v>1037</v>
      </c>
      <c r="C2948" s="1075">
        <v>1</v>
      </c>
      <c r="D2948" s="1076" t="s">
        <v>16</v>
      </c>
      <c r="E2948" s="1077">
        <v>1500000</v>
      </c>
      <c r="F2948" s="1078"/>
      <c r="G2948" s="1078"/>
      <c r="H2948" s="1078"/>
      <c r="I2948" s="1078"/>
      <c r="J2948" s="1078">
        <f t="shared" si="270"/>
        <v>1500000</v>
      </c>
      <c r="K2948" s="1078">
        <f t="shared" si="271"/>
        <v>1500000</v>
      </c>
      <c r="L2948" s="1078"/>
      <c r="M2948" s="1078"/>
      <c r="N2948" s="1078"/>
      <c r="O2948" s="1079">
        <f t="shared" si="272"/>
        <v>1500000</v>
      </c>
      <c r="P2948" s="1080"/>
      <c r="Q2948" s="1829"/>
      <c r="R2948" s="1829"/>
      <c r="S2948" s="1829"/>
      <c r="T2948" s="1829"/>
      <c r="U2948" s="1829"/>
      <c r="V2948" s="1829"/>
      <c r="W2948" s="1829"/>
      <c r="X2948" s="1829"/>
      <c r="Y2948" s="1829"/>
      <c r="Z2948" s="1829"/>
      <c r="AA2948" s="1829"/>
      <c r="AB2948" s="1829"/>
      <c r="AC2948" s="1829"/>
      <c r="AD2948" s="1829"/>
      <c r="AE2948" s="1829"/>
      <c r="AF2948" s="1829"/>
      <c r="AG2948" s="1829"/>
      <c r="AH2948" s="1829"/>
      <c r="AI2948" s="1829"/>
      <c r="AJ2948" s="1829"/>
      <c r="AK2948" s="1829"/>
      <c r="AL2948" s="1829"/>
      <c r="AM2948" s="1829"/>
      <c r="AN2948" s="1829"/>
      <c r="AO2948" s="1829"/>
      <c r="AP2948" s="1829"/>
      <c r="AQ2948" s="1829"/>
      <c r="AR2948" s="1829"/>
      <c r="AS2948" s="1829"/>
      <c r="AT2948" s="1829"/>
      <c r="AU2948" s="1829"/>
      <c r="AV2948" s="1829"/>
      <c r="AW2948" s="1829"/>
      <c r="AX2948" s="1829"/>
      <c r="AY2948" s="1829"/>
      <c r="AZ2948" s="1829"/>
      <c r="BA2948" s="1829"/>
      <c r="BB2948" s="1829"/>
      <c r="BC2948" s="1829"/>
      <c r="BD2948" s="1829"/>
      <c r="BE2948" s="1829"/>
      <c r="BF2948" s="1829"/>
      <c r="BG2948" s="1829"/>
      <c r="BH2948" s="1829"/>
      <c r="BI2948" s="1829"/>
      <c r="BJ2948" s="1829"/>
      <c r="BK2948" s="1829"/>
      <c r="BL2948" s="1829"/>
      <c r="BM2948" s="1829"/>
      <c r="BN2948" s="1829"/>
      <c r="BO2948" s="1829"/>
      <c r="BP2948" s="1829"/>
      <c r="BQ2948" s="1829"/>
      <c r="BR2948" s="1829"/>
      <c r="BS2948" s="1829"/>
      <c r="BT2948" s="1829"/>
      <c r="BU2948" s="1829"/>
      <c r="BV2948" s="1829"/>
      <c r="BW2948" s="1829"/>
      <c r="BX2948" s="1829"/>
      <c r="BY2948" s="1829"/>
      <c r="BZ2948" s="1829"/>
      <c r="CA2948" s="1829"/>
      <c r="CB2948" s="1829"/>
      <c r="CC2948" s="1829"/>
      <c r="CD2948" s="1829"/>
      <c r="CE2948" s="1829"/>
      <c r="CF2948" s="1829"/>
      <c r="CG2948" s="1829"/>
      <c r="CH2948" s="1829"/>
      <c r="CI2948" s="1829"/>
      <c r="CJ2948" s="1829"/>
      <c r="CK2948" s="1829"/>
    </row>
    <row r="2949" spans="1:89" s="1081" customFormat="1" ht="21" customHeight="1" x14ac:dyDescent="0.25">
      <c r="A2949" s="1074">
        <v>5</v>
      </c>
      <c r="B2949" s="1083" t="s">
        <v>1038</v>
      </c>
      <c r="C2949" s="1075">
        <v>1</v>
      </c>
      <c r="D2949" s="1076" t="s">
        <v>16</v>
      </c>
      <c r="E2949" s="1077">
        <v>150000</v>
      </c>
      <c r="F2949" s="1078"/>
      <c r="G2949" s="1078"/>
      <c r="H2949" s="1078"/>
      <c r="I2949" s="1078"/>
      <c r="J2949" s="1078">
        <f t="shared" si="270"/>
        <v>150000</v>
      </c>
      <c r="K2949" s="1078">
        <f t="shared" si="271"/>
        <v>150000</v>
      </c>
      <c r="L2949" s="1078"/>
      <c r="M2949" s="1078"/>
      <c r="N2949" s="1078"/>
      <c r="O2949" s="1079">
        <f t="shared" si="272"/>
        <v>150000</v>
      </c>
      <c r="P2949" s="1080"/>
      <c r="Q2949" s="1829"/>
      <c r="R2949" s="1829"/>
      <c r="S2949" s="1829"/>
      <c r="T2949" s="1829"/>
      <c r="U2949" s="1829"/>
      <c r="V2949" s="1829"/>
      <c r="W2949" s="1829"/>
      <c r="X2949" s="1829"/>
      <c r="Y2949" s="1829"/>
      <c r="Z2949" s="1829"/>
      <c r="AA2949" s="1829"/>
      <c r="AB2949" s="1829"/>
      <c r="AC2949" s="1829"/>
      <c r="AD2949" s="1829"/>
      <c r="AE2949" s="1829"/>
      <c r="AF2949" s="1829"/>
      <c r="AG2949" s="1829"/>
      <c r="AH2949" s="1829"/>
      <c r="AI2949" s="1829"/>
      <c r="AJ2949" s="1829"/>
      <c r="AK2949" s="1829"/>
      <c r="AL2949" s="1829"/>
      <c r="AM2949" s="1829"/>
      <c r="AN2949" s="1829"/>
      <c r="AO2949" s="1829"/>
      <c r="AP2949" s="1829"/>
      <c r="AQ2949" s="1829"/>
      <c r="AR2949" s="1829"/>
      <c r="AS2949" s="1829"/>
      <c r="AT2949" s="1829"/>
      <c r="AU2949" s="1829"/>
      <c r="AV2949" s="1829"/>
      <c r="AW2949" s="1829"/>
      <c r="AX2949" s="1829"/>
      <c r="AY2949" s="1829"/>
      <c r="AZ2949" s="1829"/>
      <c r="BA2949" s="1829"/>
      <c r="BB2949" s="1829"/>
      <c r="BC2949" s="1829"/>
      <c r="BD2949" s="1829"/>
      <c r="BE2949" s="1829"/>
      <c r="BF2949" s="1829"/>
      <c r="BG2949" s="1829"/>
      <c r="BH2949" s="1829"/>
      <c r="BI2949" s="1829"/>
      <c r="BJ2949" s="1829"/>
      <c r="BK2949" s="1829"/>
      <c r="BL2949" s="1829"/>
      <c r="BM2949" s="1829"/>
      <c r="BN2949" s="1829"/>
      <c r="BO2949" s="1829"/>
      <c r="BP2949" s="1829"/>
      <c r="BQ2949" s="1829"/>
      <c r="BR2949" s="1829"/>
      <c r="BS2949" s="1829"/>
      <c r="BT2949" s="1829"/>
      <c r="BU2949" s="1829"/>
      <c r="BV2949" s="1829"/>
      <c r="BW2949" s="1829"/>
      <c r="BX2949" s="1829"/>
      <c r="BY2949" s="1829"/>
      <c r="BZ2949" s="1829"/>
      <c r="CA2949" s="1829"/>
      <c r="CB2949" s="1829"/>
      <c r="CC2949" s="1829"/>
      <c r="CD2949" s="1829"/>
      <c r="CE2949" s="1829"/>
      <c r="CF2949" s="1829"/>
      <c r="CG2949" s="1829"/>
      <c r="CH2949" s="1829"/>
      <c r="CI2949" s="1829"/>
      <c r="CJ2949" s="1829"/>
      <c r="CK2949" s="1829"/>
    </row>
    <row r="2950" spans="1:89" s="1081" customFormat="1" ht="37.5" customHeight="1" x14ac:dyDescent="0.25">
      <c r="A2950" s="1074">
        <v>6</v>
      </c>
      <c r="B2950" s="1082" t="s">
        <v>1039</v>
      </c>
      <c r="C2950" s="1075">
        <v>1</v>
      </c>
      <c r="D2950" s="1076" t="s">
        <v>16</v>
      </c>
      <c r="E2950" s="1077">
        <v>1000000</v>
      </c>
      <c r="F2950" s="1078"/>
      <c r="G2950" s="1078"/>
      <c r="H2950" s="1078"/>
      <c r="I2950" s="1078"/>
      <c r="J2950" s="1078">
        <f t="shared" si="270"/>
        <v>1000000</v>
      </c>
      <c r="K2950" s="1078">
        <f t="shared" si="271"/>
        <v>1000000</v>
      </c>
      <c r="L2950" s="1078"/>
      <c r="M2950" s="1078"/>
      <c r="N2950" s="1078"/>
      <c r="O2950" s="1079">
        <f t="shared" si="272"/>
        <v>1000000</v>
      </c>
      <c r="P2950" s="1080"/>
      <c r="Q2950" s="1829"/>
      <c r="R2950" s="1829"/>
      <c r="S2950" s="1829"/>
      <c r="T2950" s="1829"/>
      <c r="U2950" s="1829"/>
      <c r="V2950" s="1829"/>
      <c r="W2950" s="1829"/>
      <c r="X2950" s="1829"/>
      <c r="Y2950" s="1829"/>
      <c r="Z2950" s="1829"/>
      <c r="AA2950" s="1829"/>
      <c r="AB2950" s="1829"/>
      <c r="AC2950" s="1829"/>
      <c r="AD2950" s="1829"/>
      <c r="AE2950" s="1829"/>
      <c r="AF2950" s="1829"/>
      <c r="AG2950" s="1829"/>
      <c r="AH2950" s="1829"/>
      <c r="AI2950" s="1829"/>
      <c r="AJ2950" s="1829"/>
      <c r="AK2950" s="1829"/>
      <c r="AL2950" s="1829"/>
      <c r="AM2950" s="1829"/>
      <c r="AN2950" s="1829"/>
      <c r="AO2950" s="1829"/>
      <c r="AP2950" s="1829"/>
      <c r="AQ2950" s="1829"/>
      <c r="AR2950" s="1829"/>
      <c r="AS2950" s="1829"/>
      <c r="AT2950" s="1829"/>
      <c r="AU2950" s="1829"/>
      <c r="AV2950" s="1829"/>
      <c r="AW2950" s="1829"/>
      <c r="AX2950" s="1829"/>
      <c r="AY2950" s="1829"/>
      <c r="AZ2950" s="1829"/>
      <c r="BA2950" s="1829"/>
      <c r="BB2950" s="1829"/>
      <c r="BC2950" s="1829"/>
      <c r="BD2950" s="1829"/>
      <c r="BE2950" s="1829"/>
      <c r="BF2950" s="1829"/>
      <c r="BG2950" s="1829"/>
      <c r="BH2950" s="1829"/>
      <c r="BI2950" s="1829"/>
      <c r="BJ2950" s="1829"/>
      <c r="BK2950" s="1829"/>
      <c r="BL2950" s="1829"/>
      <c r="BM2950" s="1829"/>
      <c r="BN2950" s="1829"/>
      <c r="BO2950" s="1829"/>
      <c r="BP2950" s="1829"/>
      <c r="BQ2950" s="1829"/>
      <c r="BR2950" s="1829"/>
      <c r="BS2950" s="1829"/>
      <c r="BT2950" s="1829"/>
      <c r="BU2950" s="1829"/>
      <c r="BV2950" s="1829"/>
      <c r="BW2950" s="1829"/>
      <c r="BX2950" s="1829"/>
      <c r="BY2950" s="1829"/>
      <c r="BZ2950" s="1829"/>
      <c r="CA2950" s="1829"/>
      <c r="CB2950" s="1829"/>
      <c r="CC2950" s="1829"/>
      <c r="CD2950" s="1829"/>
      <c r="CE2950" s="1829"/>
      <c r="CF2950" s="1829"/>
      <c r="CG2950" s="1829"/>
      <c r="CH2950" s="1829"/>
      <c r="CI2950" s="1829"/>
      <c r="CJ2950" s="1829"/>
      <c r="CK2950" s="1829"/>
    </row>
    <row r="2951" spans="1:89" s="1081" customFormat="1" ht="21" customHeight="1" x14ac:dyDescent="0.25">
      <c r="A2951" s="1074">
        <v>7</v>
      </c>
      <c r="B2951" s="1083" t="s">
        <v>1040</v>
      </c>
      <c r="C2951" s="1075">
        <v>1</v>
      </c>
      <c r="D2951" s="1076" t="s">
        <v>16</v>
      </c>
      <c r="E2951" s="1077">
        <v>3000000</v>
      </c>
      <c r="F2951" s="1078"/>
      <c r="G2951" s="1078"/>
      <c r="H2951" s="1078"/>
      <c r="I2951" s="1078"/>
      <c r="J2951" s="1078">
        <f t="shared" si="270"/>
        <v>3000000</v>
      </c>
      <c r="K2951" s="1078">
        <f t="shared" si="271"/>
        <v>3000000</v>
      </c>
      <c r="L2951" s="1078"/>
      <c r="M2951" s="1078"/>
      <c r="N2951" s="1078"/>
      <c r="O2951" s="1079">
        <f t="shared" si="272"/>
        <v>3000000</v>
      </c>
      <c r="P2951" s="1080"/>
      <c r="Q2951" s="1829"/>
      <c r="R2951" s="1829"/>
      <c r="S2951" s="1829"/>
      <c r="T2951" s="1829"/>
      <c r="U2951" s="1829"/>
      <c r="V2951" s="1829"/>
      <c r="W2951" s="1829"/>
      <c r="X2951" s="1829"/>
      <c r="Y2951" s="1829"/>
      <c r="Z2951" s="1829"/>
      <c r="AA2951" s="1829"/>
      <c r="AB2951" s="1829"/>
      <c r="AC2951" s="1829"/>
      <c r="AD2951" s="1829"/>
      <c r="AE2951" s="1829"/>
      <c r="AF2951" s="1829"/>
      <c r="AG2951" s="1829"/>
      <c r="AH2951" s="1829"/>
      <c r="AI2951" s="1829"/>
      <c r="AJ2951" s="1829"/>
      <c r="AK2951" s="1829"/>
      <c r="AL2951" s="1829"/>
      <c r="AM2951" s="1829"/>
      <c r="AN2951" s="1829"/>
      <c r="AO2951" s="1829"/>
      <c r="AP2951" s="1829"/>
      <c r="AQ2951" s="1829"/>
      <c r="AR2951" s="1829"/>
      <c r="AS2951" s="1829"/>
      <c r="AT2951" s="1829"/>
      <c r="AU2951" s="1829"/>
      <c r="AV2951" s="1829"/>
      <c r="AW2951" s="1829"/>
      <c r="AX2951" s="1829"/>
      <c r="AY2951" s="1829"/>
      <c r="AZ2951" s="1829"/>
      <c r="BA2951" s="1829"/>
      <c r="BB2951" s="1829"/>
      <c r="BC2951" s="1829"/>
      <c r="BD2951" s="1829"/>
      <c r="BE2951" s="1829"/>
      <c r="BF2951" s="1829"/>
      <c r="BG2951" s="1829"/>
      <c r="BH2951" s="1829"/>
      <c r="BI2951" s="1829"/>
      <c r="BJ2951" s="1829"/>
      <c r="BK2951" s="1829"/>
      <c r="BL2951" s="1829"/>
      <c r="BM2951" s="1829"/>
      <c r="BN2951" s="1829"/>
      <c r="BO2951" s="1829"/>
      <c r="BP2951" s="1829"/>
      <c r="BQ2951" s="1829"/>
      <c r="BR2951" s="1829"/>
      <c r="BS2951" s="1829"/>
      <c r="BT2951" s="1829"/>
      <c r="BU2951" s="1829"/>
      <c r="BV2951" s="1829"/>
      <c r="BW2951" s="1829"/>
      <c r="BX2951" s="1829"/>
      <c r="BY2951" s="1829"/>
      <c r="BZ2951" s="1829"/>
      <c r="CA2951" s="1829"/>
      <c r="CB2951" s="1829"/>
      <c r="CC2951" s="1829"/>
      <c r="CD2951" s="1829"/>
      <c r="CE2951" s="1829"/>
      <c r="CF2951" s="1829"/>
      <c r="CG2951" s="1829"/>
      <c r="CH2951" s="1829"/>
      <c r="CI2951" s="1829"/>
      <c r="CJ2951" s="1829"/>
      <c r="CK2951" s="1829"/>
    </row>
    <row r="2952" spans="1:89" s="1081" customFormat="1" ht="21" customHeight="1" x14ac:dyDescent="0.25">
      <c r="A2952" s="1074">
        <v>8</v>
      </c>
      <c r="B2952" s="1083" t="s">
        <v>1610</v>
      </c>
      <c r="C2952" s="1075">
        <v>1</v>
      </c>
      <c r="D2952" s="1076" t="s">
        <v>16</v>
      </c>
      <c r="E2952" s="1077">
        <v>700000</v>
      </c>
      <c r="F2952" s="1078"/>
      <c r="G2952" s="1078"/>
      <c r="H2952" s="1078"/>
      <c r="I2952" s="1078"/>
      <c r="J2952" s="1078">
        <f t="shared" si="270"/>
        <v>700000</v>
      </c>
      <c r="K2952" s="1078">
        <f t="shared" si="271"/>
        <v>700000</v>
      </c>
      <c r="L2952" s="1078"/>
      <c r="M2952" s="1078"/>
      <c r="N2952" s="1078"/>
      <c r="O2952" s="1079">
        <f t="shared" si="272"/>
        <v>700000</v>
      </c>
      <c r="P2952" s="1080"/>
      <c r="Q2952" s="1829"/>
      <c r="R2952" s="1829"/>
      <c r="S2952" s="1829"/>
      <c r="T2952" s="1829"/>
      <c r="U2952" s="1829"/>
      <c r="V2952" s="1829"/>
      <c r="W2952" s="1829"/>
      <c r="X2952" s="1829"/>
      <c r="Y2952" s="1829"/>
      <c r="Z2952" s="1829"/>
      <c r="AA2952" s="1829"/>
      <c r="AB2952" s="1829"/>
      <c r="AC2952" s="1829"/>
      <c r="AD2952" s="1829"/>
      <c r="AE2952" s="1829"/>
      <c r="AF2952" s="1829"/>
      <c r="AG2952" s="1829"/>
      <c r="AH2952" s="1829"/>
      <c r="AI2952" s="1829"/>
      <c r="AJ2952" s="1829"/>
      <c r="AK2952" s="1829"/>
      <c r="AL2952" s="1829"/>
      <c r="AM2952" s="1829"/>
      <c r="AN2952" s="1829"/>
      <c r="AO2952" s="1829"/>
      <c r="AP2952" s="1829"/>
      <c r="AQ2952" s="1829"/>
      <c r="AR2952" s="1829"/>
      <c r="AS2952" s="1829"/>
      <c r="AT2952" s="1829"/>
      <c r="AU2952" s="1829"/>
      <c r="AV2952" s="1829"/>
      <c r="AW2952" s="1829"/>
      <c r="AX2952" s="1829"/>
      <c r="AY2952" s="1829"/>
      <c r="AZ2952" s="1829"/>
      <c r="BA2952" s="1829"/>
      <c r="BB2952" s="1829"/>
      <c r="BC2952" s="1829"/>
      <c r="BD2952" s="1829"/>
      <c r="BE2952" s="1829"/>
      <c r="BF2952" s="1829"/>
      <c r="BG2952" s="1829"/>
      <c r="BH2952" s="1829"/>
      <c r="BI2952" s="1829"/>
      <c r="BJ2952" s="1829"/>
      <c r="BK2952" s="1829"/>
      <c r="BL2952" s="1829"/>
      <c r="BM2952" s="1829"/>
      <c r="BN2952" s="1829"/>
      <c r="BO2952" s="1829"/>
      <c r="BP2952" s="1829"/>
      <c r="BQ2952" s="1829"/>
      <c r="BR2952" s="1829"/>
      <c r="BS2952" s="1829"/>
      <c r="BT2952" s="1829"/>
      <c r="BU2952" s="1829"/>
      <c r="BV2952" s="1829"/>
      <c r="BW2952" s="1829"/>
      <c r="BX2952" s="1829"/>
      <c r="BY2952" s="1829"/>
      <c r="BZ2952" s="1829"/>
      <c r="CA2952" s="1829"/>
      <c r="CB2952" s="1829"/>
      <c r="CC2952" s="1829"/>
      <c r="CD2952" s="1829"/>
      <c r="CE2952" s="1829"/>
      <c r="CF2952" s="1829"/>
      <c r="CG2952" s="1829"/>
      <c r="CH2952" s="1829"/>
      <c r="CI2952" s="1829"/>
      <c r="CJ2952" s="1829"/>
      <c r="CK2952" s="1829"/>
    </row>
    <row r="2953" spans="1:89" s="1081" customFormat="1" ht="21" customHeight="1" x14ac:dyDescent="0.25">
      <c r="A2953" s="1074">
        <v>9</v>
      </c>
      <c r="B2953" s="1083" t="s">
        <v>1041</v>
      </c>
      <c r="C2953" s="1075">
        <v>1</v>
      </c>
      <c r="D2953" s="1076" t="s">
        <v>16</v>
      </c>
      <c r="E2953" s="1077">
        <v>450000</v>
      </c>
      <c r="F2953" s="1078"/>
      <c r="G2953" s="1078"/>
      <c r="H2953" s="1078"/>
      <c r="I2953" s="1078"/>
      <c r="J2953" s="1078">
        <f t="shared" si="270"/>
        <v>450000</v>
      </c>
      <c r="K2953" s="1078">
        <f t="shared" si="271"/>
        <v>450000</v>
      </c>
      <c r="L2953" s="1078"/>
      <c r="M2953" s="1078"/>
      <c r="N2953" s="1078"/>
      <c r="O2953" s="1079">
        <f t="shared" si="272"/>
        <v>450000</v>
      </c>
      <c r="P2953" s="1080"/>
      <c r="Q2953" s="1829"/>
      <c r="R2953" s="1829"/>
      <c r="S2953" s="1829"/>
      <c r="T2953" s="1829"/>
      <c r="U2953" s="1829"/>
      <c r="V2953" s="1829"/>
      <c r="W2953" s="1829"/>
      <c r="X2953" s="1829"/>
      <c r="Y2953" s="1829"/>
      <c r="Z2953" s="1829"/>
      <c r="AA2953" s="1829"/>
      <c r="AB2953" s="1829"/>
      <c r="AC2953" s="1829"/>
      <c r="AD2953" s="1829"/>
      <c r="AE2953" s="1829"/>
      <c r="AF2953" s="1829"/>
      <c r="AG2953" s="1829"/>
      <c r="AH2953" s="1829"/>
      <c r="AI2953" s="1829"/>
      <c r="AJ2953" s="1829"/>
      <c r="AK2953" s="1829"/>
      <c r="AL2953" s="1829"/>
      <c r="AM2953" s="1829"/>
      <c r="AN2953" s="1829"/>
      <c r="AO2953" s="1829"/>
      <c r="AP2953" s="1829"/>
      <c r="AQ2953" s="1829"/>
      <c r="AR2953" s="1829"/>
      <c r="AS2953" s="1829"/>
      <c r="AT2953" s="1829"/>
      <c r="AU2953" s="1829"/>
      <c r="AV2953" s="1829"/>
      <c r="AW2953" s="1829"/>
      <c r="AX2953" s="1829"/>
      <c r="AY2953" s="1829"/>
      <c r="AZ2953" s="1829"/>
      <c r="BA2953" s="1829"/>
      <c r="BB2953" s="1829"/>
      <c r="BC2953" s="1829"/>
      <c r="BD2953" s="1829"/>
      <c r="BE2953" s="1829"/>
      <c r="BF2953" s="1829"/>
      <c r="BG2953" s="1829"/>
      <c r="BH2953" s="1829"/>
      <c r="BI2953" s="1829"/>
      <c r="BJ2953" s="1829"/>
      <c r="BK2953" s="1829"/>
      <c r="BL2953" s="1829"/>
      <c r="BM2953" s="1829"/>
      <c r="BN2953" s="1829"/>
      <c r="BO2953" s="1829"/>
      <c r="BP2953" s="1829"/>
      <c r="BQ2953" s="1829"/>
      <c r="BR2953" s="1829"/>
      <c r="BS2953" s="1829"/>
      <c r="BT2953" s="1829"/>
      <c r="BU2953" s="1829"/>
      <c r="BV2953" s="1829"/>
      <c r="BW2953" s="1829"/>
      <c r="BX2953" s="1829"/>
      <c r="BY2953" s="1829"/>
      <c r="BZ2953" s="1829"/>
      <c r="CA2953" s="1829"/>
      <c r="CB2953" s="1829"/>
      <c r="CC2953" s="1829"/>
      <c r="CD2953" s="1829"/>
      <c r="CE2953" s="1829"/>
      <c r="CF2953" s="1829"/>
      <c r="CG2953" s="1829"/>
      <c r="CH2953" s="1829"/>
      <c r="CI2953" s="1829"/>
      <c r="CJ2953" s="1829"/>
      <c r="CK2953" s="1829"/>
    </row>
    <row r="2954" spans="1:89" s="1081" customFormat="1" ht="21" customHeight="1" x14ac:dyDescent="0.25">
      <c r="A2954" s="1074">
        <v>10</v>
      </c>
      <c r="B2954" s="1083" t="s">
        <v>1042</v>
      </c>
      <c r="C2954" s="1075">
        <v>1</v>
      </c>
      <c r="D2954" s="1076" t="s">
        <v>16</v>
      </c>
      <c r="E2954" s="1077">
        <v>200000</v>
      </c>
      <c r="F2954" s="1078"/>
      <c r="G2954" s="1078"/>
      <c r="H2954" s="1078"/>
      <c r="I2954" s="1078"/>
      <c r="J2954" s="1078">
        <f t="shared" si="270"/>
        <v>200000</v>
      </c>
      <c r="K2954" s="1078">
        <f t="shared" si="271"/>
        <v>200000</v>
      </c>
      <c r="L2954" s="1078"/>
      <c r="M2954" s="1078"/>
      <c r="N2954" s="1078"/>
      <c r="O2954" s="1079">
        <f t="shared" si="272"/>
        <v>200000</v>
      </c>
      <c r="P2954" s="1080"/>
      <c r="Q2954" s="1829"/>
      <c r="R2954" s="1829"/>
      <c r="S2954" s="1829"/>
      <c r="T2954" s="1829"/>
      <c r="U2954" s="1829"/>
      <c r="V2954" s="1829"/>
      <c r="W2954" s="1829"/>
      <c r="X2954" s="1829"/>
      <c r="Y2954" s="1829"/>
      <c r="Z2954" s="1829"/>
      <c r="AA2954" s="1829"/>
      <c r="AB2954" s="1829"/>
      <c r="AC2954" s="1829"/>
      <c r="AD2954" s="1829"/>
      <c r="AE2954" s="1829"/>
      <c r="AF2954" s="1829"/>
      <c r="AG2954" s="1829"/>
      <c r="AH2954" s="1829"/>
      <c r="AI2954" s="1829"/>
      <c r="AJ2954" s="1829"/>
      <c r="AK2954" s="1829"/>
      <c r="AL2954" s="1829"/>
      <c r="AM2954" s="1829"/>
      <c r="AN2954" s="1829"/>
      <c r="AO2954" s="1829"/>
      <c r="AP2954" s="1829"/>
      <c r="AQ2954" s="1829"/>
      <c r="AR2954" s="1829"/>
      <c r="AS2954" s="1829"/>
      <c r="AT2954" s="1829"/>
      <c r="AU2954" s="1829"/>
      <c r="AV2954" s="1829"/>
      <c r="AW2954" s="1829"/>
      <c r="AX2954" s="1829"/>
      <c r="AY2954" s="1829"/>
      <c r="AZ2954" s="1829"/>
      <c r="BA2954" s="1829"/>
      <c r="BB2954" s="1829"/>
      <c r="BC2954" s="1829"/>
      <c r="BD2954" s="1829"/>
      <c r="BE2954" s="1829"/>
      <c r="BF2954" s="1829"/>
      <c r="BG2954" s="1829"/>
      <c r="BH2954" s="1829"/>
      <c r="BI2954" s="1829"/>
      <c r="BJ2954" s="1829"/>
      <c r="BK2954" s="1829"/>
      <c r="BL2954" s="1829"/>
      <c r="BM2954" s="1829"/>
      <c r="BN2954" s="1829"/>
      <c r="BO2954" s="1829"/>
      <c r="BP2954" s="1829"/>
      <c r="BQ2954" s="1829"/>
      <c r="BR2954" s="1829"/>
      <c r="BS2954" s="1829"/>
      <c r="BT2954" s="1829"/>
      <c r="BU2954" s="1829"/>
      <c r="BV2954" s="1829"/>
      <c r="BW2954" s="1829"/>
      <c r="BX2954" s="1829"/>
      <c r="BY2954" s="1829"/>
      <c r="BZ2954" s="1829"/>
      <c r="CA2954" s="1829"/>
      <c r="CB2954" s="1829"/>
      <c r="CC2954" s="1829"/>
      <c r="CD2954" s="1829"/>
      <c r="CE2954" s="1829"/>
      <c r="CF2954" s="1829"/>
      <c r="CG2954" s="1829"/>
      <c r="CH2954" s="1829"/>
      <c r="CI2954" s="1829"/>
      <c r="CJ2954" s="1829"/>
      <c r="CK2954" s="1829"/>
    </row>
    <row r="2955" spans="1:89" s="1081" customFormat="1" ht="36" customHeight="1" x14ac:dyDescent="0.25">
      <c r="A2955" s="1074">
        <v>11</v>
      </c>
      <c r="B2955" s="1082" t="s">
        <v>1043</v>
      </c>
      <c r="C2955" s="1075">
        <v>1</v>
      </c>
      <c r="D2955" s="1076" t="s">
        <v>16</v>
      </c>
      <c r="E2955" s="1077">
        <v>700000</v>
      </c>
      <c r="F2955" s="1078"/>
      <c r="G2955" s="1078"/>
      <c r="H2955" s="1078"/>
      <c r="I2955" s="1078"/>
      <c r="J2955" s="1078">
        <f t="shared" si="270"/>
        <v>700000</v>
      </c>
      <c r="K2955" s="1078">
        <f t="shared" si="271"/>
        <v>700000</v>
      </c>
      <c r="L2955" s="1078"/>
      <c r="M2955" s="1078"/>
      <c r="N2955" s="1078"/>
      <c r="O2955" s="1079">
        <f t="shared" si="272"/>
        <v>700000</v>
      </c>
      <c r="P2955" s="1080"/>
      <c r="Q2955" s="1829"/>
      <c r="R2955" s="1829"/>
      <c r="S2955" s="1829"/>
      <c r="T2955" s="1829"/>
      <c r="U2955" s="1829"/>
      <c r="V2955" s="1829"/>
      <c r="W2955" s="1829"/>
      <c r="X2955" s="1829"/>
      <c r="Y2955" s="1829"/>
      <c r="Z2955" s="1829"/>
      <c r="AA2955" s="1829"/>
      <c r="AB2955" s="1829"/>
      <c r="AC2955" s="1829"/>
      <c r="AD2955" s="1829"/>
      <c r="AE2955" s="1829"/>
      <c r="AF2955" s="1829"/>
      <c r="AG2955" s="1829"/>
      <c r="AH2955" s="1829"/>
      <c r="AI2955" s="1829"/>
      <c r="AJ2955" s="1829"/>
      <c r="AK2955" s="1829"/>
      <c r="AL2955" s="1829"/>
      <c r="AM2955" s="1829"/>
      <c r="AN2955" s="1829"/>
      <c r="AO2955" s="1829"/>
      <c r="AP2955" s="1829"/>
      <c r="AQ2955" s="1829"/>
      <c r="AR2955" s="1829"/>
      <c r="AS2955" s="1829"/>
      <c r="AT2955" s="1829"/>
      <c r="AU2955" s="1829"/>
      <c r="AV2955" s="1829"/>
      <c r="AW2955" s="1829"/>
      <c r="AX2955" s="1829"/>
      <c r="AY2955" s="1829"/>
      <c r="AZ2955" s="1829"/>
      <c r="BA2955" s="1829"/>
      <c r="BB2955" s="1829"/>
      <c r="BC2955" s="1829"/>
      <c r="BD2955" s="1829"/>
      <c r="BE2955" s="1829"/>
      <c r="BF2955" s="1829"/>
      <c r="BG2955" s="1829"/>
      <c r="BH2955" s="1829"/>
      <c r="BI2955" s="1829"/>
      <c r="BJ2955" s="1829"/>
      <c r="BK2955" s="1829"/>
      <c r="BL2955" s="1829"/>
      <c r="BM2955" s="1829"/>
      <c r="BN2955" s="1829"/>
      <c r="BO2955" s="1829"/>
      <c r="BP2955" s="1829"/>
      <c r="BQ2955" s="1829"/>
      <c r="BR2955" s="1829"/>
      <c r="BS2955" s="1829"/>
      <c r="BT2955" s="1829"/>
      <c r="BU2955" s="1829"/>
      <c r="BV2955" s="1829"/>
      <c r="BW2955" s="1829"/>
      <c r="BX2955" s="1829"/>
      <c r="BY2955" s="1829"/>
      <c r="BZ2955" s="1829"/>
      <c r="CA2955" s="1829"/>
      <c r="CB2955" s="1829"/>
      <c r="CC2955" s="1829"/>
      <c r="CD2955" s="1829"/>
      <c r="CE2955" s="1829"/>
      <c r="CF2955" s="1829"/>
      <c r="CG2955" s="1829"/>
      <c r="CH2955" s="1829"/>
      <c r="CI2955" s="1829"/>
      <c r="CJ2955" s="1829"/>
      <c r="CK2955" s="1829"/>
    </row>
    <row r="2956" spans="1:89" s="1081" customFormat="1" ht="21" customHeight="1" x14ac:dyDescent="0.25">
      <c r="A2956" s="1074">
        <v>12</v>
      </c>
      <c r="B2956" s="1083" t="s">
        <v>1611</v>
      </c>
      <c r="C2956" s="1075">
        <v>1</v>
      </c>
      <c r="D2956" s="1076" t="s">
        <v>16</v>
      </c>
      <c r="E2956" s="1077">
        <v>425000</v>
      </c>
      <c r="F2956" s="1078"/>
      <c r="G2956" s="1078"/>
      <c r="H2956" s="1078"/>
      <c r="I2956" s="1078"/>
      <c r="J2956" s="1078">
        <f t="shared" si="270"/>
        <v>425000</v>
      </c>
      <c r="K2956" s="1078">
        <f t="shared" si="271"/>
        <v>425000</v>
      </c>
      <c r="L2956" s="1078"/>
      <c r="M2956" s="1078"/>
      <c r="N2956" s="1078"/>
      <c r="O2956" s="1079">
        <f t="shared" si="272"/>
        <v>425000</v>
      </c>
      <c r="P2956" s="1080"/>
      <c r="Q2956" s="1829"/>
      <c r="R2956" s="1829"/>
      <c r="S2956" s="1829"/>
      <c r="T2956" s="1829"/>
      <c r="U2956" s="1829"/>
      <c r="V2956" s="1829"/>
      <c r="W2956" s="1829"/>
      <c r="X2956" s="1829"/>
      <c r="Y2956" s="1829"/>
      <c r="Z2956" s="1829"/>
      <c r="AA2956" s="1829"/>
      <c r="AB2956" s="1829"/>
      <c r="AC2956" s="1829"/>
      <c r="AD2956" s="1829"/>
      <c r="AE2956" s="1829"/>
      <c r="AF2956" s="1829"/>
      <c r="AG2956" s="1829"/>
      <c r="AH2956" s="1829"/>
      <c r="AI2956" s="1829"/>
      <c r="AJ2956" s="1829"/>
      <c r="AK2956" s="1829"/>
      <c r="AL2956" s="1829"/>
      <c r="AM2956" s="1829"/>
      <c r="AN2956" s="1829"/>
      <c r="AO2956" s="1829"/>
      <c r="AP2956" s="1829"/>
      <c r="AQ2956" s="1829"/>
      <c r="AR2956" s="1829"/>
      <c r="AS2956" s="1829"/>
      <c r="AT2956" s="1829"/>
      <c r="AU2956" s="1829"/>
      <c r="AV2956" s="1829"/>
      <c r="AW2956" s="1829"/>
      <c r="AX2956" s="1829"/>
      <c r="AY2956" s="1829"/>
      <c r="AZ2956" s="1829"/>
      <c r="BA2956" s="1829"/>
      <c r="BB2956" s="1829"/>
      <c r="BC2956" s="1829"/>
      <c r="BD2956" s="1829"/>
      <c r="BE2956" s="1829"/>
      <c r="BF2956" s="1829"/>
      <c r="BG2956" s="1829"/>
      <c r="BH2956" s="1829"/>
      <c r="BI2956" s="1829"/>
      <c r="BJ2956" s="1829"/>
      <c r="BK2956" s="1829"/>
      <c r="BL2956" s="1829"/>
      <c r="BM2956" s="1829"/>
      <c r="BN2956" s="1829"/>
      <c r="BO2956" s="1829"/>
      <c r="BP2956" s="1829"/>
      <c r="BQ2956" s="1829"/>
      <c r="BR2956" s="1829"/>
      <c r="BS2956" s="1829"/>
      <c r="BT2956" s="1829"/>
      <c r="BU2956" s="1829"/>
      <c r="BV2956" s="1829"/>
      <c r="BW2956" s="1829"/>
      <c r="BX2956" s="1829"/>
      <c r="BY2956" s="1829"/>
      <c r="BZ2956" s="1829"/>
      <c r="CA2956" s="1829"/>
      <c r="CB2956" s="1829"/>
      <c r="CC2956" s="1829"/>
      <c r="CD2956" s="1829"/>
      <c r="CE2956" s="1829"/>
      <c r="CF2956" s="1829"/>
      <c r="CG2956" s="1829"/>
      <c r="CH2956" s="1829"/>
      <c r="CI2956" s="1829"/>
      <c r="CJ2956" s="1829"/>
      <c r="CK2956" s="1829"/>
    </row>
    <row r="2957" spans="1:89" s="1081" customFormat="1" ht="37.5" customHeight="1" x14ac:dyDescent="0.25">
      <c r="A2957" s="1074">
        <v>13</v>
      </c>
      <c r="B2957" s="1082" t="s">
        <v>1612</v>
      </c>
      <c r="C2957" s="1075">
        <v>1</v>
      </c>
      <c r="D2957" s="1076" t="s">
        <v>16</v>
      </c>
      <c r="E2957" s="1077">
        <v>500000</v>
      </c>
      <c r="F2957" s="1078"/>
      <c r="G2957" s="1078"/>
      <c r="H2957" s="1078"/>
      <c r="I2957" s="1078"/>
      <c r="J2957" s="1078">
        <f t="shared" si="270"/>
        <v>500000</v>
      </c>
      <c r="K2957" s="1078">
        <f t="shared" si="271"/>
        <v>500000</v>
      </c>
      <c r="L2957" s="1078"/>
      <c r="M2957" s="1078"/>
      <c r="N2957" s="1078"/>
      <c r="O2957" s="1079">
        <f t="shared" si="272"/>
        <v>500000</v>
      </c>
      <c r="P2957" s="1080"/>
      <c r="Q2957" s="1829"/>
      <c r="R2957" s="1829"/>
      <c r="S2957" s="1829"/>
      <c r="T2957" s="1829"/>
      <c r="U2957" s="1829"/>
      <c r="V2957" s="1829"/>
      <c r="W2957" s="1829"/>
      <c r="X2957" s="1829"/>
      <c r="Y2957" s="1829"/>
      <c r="Z2957" s="1829"/>
      <c r="AA2957" s="1829"/>
      <c r="AB2957" s="1829"/>
      <c r="AC2957" s="1829"/>
      <c r="AD2957" s="1829"/>
      <c r="AE2957" s="1829"/>
      <c r="AF2957" s="1829"/>
      <c r="AG2957" s="1829"/>
      <c r="AH2957" s="1829"/>
      <c r="AI2957" s="1829"/>
      <c r="AJ2957" s="1829"/>
      <c r="AK2957" s="1829"/>
      <c r="AL2957" s="1829"/>
      <c r="AM2957" s="1829"/>
      <c r="AN2957" s="1829"/>
      <c r="AO2957" s="1829"/>
      <c r="AP2957" s="1829"/>
      <c r="AQ2957" s="1829"/>
      <c r="AR2957" s="1829"/>
      <c r="AS2957" s="1829"/>
      <c r="AT2957" s="1829"/>
      <c r="AU2957" s="1829"/>
      <c r="AV2957" s="1829"/>
      <c r="AW2957" s="1829"/>
      <c r="AX2957" s="1829"/>
      <c r="AY2957" s="1829"/>
      <c r="AZ2957" s="1829"/>
      <c r="BA2957" s="1829"/>
      <c r="BB2957" s="1829"/>
      <c r="BC2957" s="1829"/>
      <c r="BD2957" s="1829"/>
      <c r="BE2957" s="1829"/>
      <c r="BF2957" s="1829"/>
      <c r="BG2957" s="1829"/>
      <c r="BH2957" s="1829"/>
      <c r="BI2957" s="1829"/>
      <c r="BJ2957" s="1829"/>
      <c r="BK2957" s="1829"/>
      <c r="BL2957" s="1829"/>
      <c r="BM2957" s="1829"/>
      <c r="BN2957" s="1829"/>
      <c r="BO2957" s="1829"/>
      <c r="BP2957" s="1829"/>
      <c r="BQ2957" s="1829"/>
      <c r="BR2957" s="1829"/>
      <c r="BS2957" s="1829"/>
      <c r="BT2957" s="1829"/>
      <c r="BU2957" s="1829"/>
      <c r="BV2957" s="1829"/>
      <c r="BW2957" s="1829"/>
      <c r="BX2957" s="1829"/>
      <c r="BY2957" s="1829"/>
      <c r="BZ2957" s="1829"/>
      <c r="CA2957" s="1829"/>
      <c r="CB2957" s="1829"/>
      <c r="CC2957" s="1829"/>
      <c r="CD2957" s="1829"/>
      <c r="CE2957" s="1829"/>
      <c r="CF2957" s="1829"/>
      <c r="CG2957" s="1829"/>
      <c r="CH2957" s="1829"/>
      <c r="CI2957" s="1829"/>
      <c r="CJ2957" s="1829"/>
      <c r="CK2957" s="1829"/>
    </row>
    <row r="2958" spans="1:89" s="1081" customFormat="1" ht="29.25" customHeight="1" x14ac:dyDescent="0.25">
      <c r="A2958" s="1074">
        <v>14</v>
      </c>
      <c r="B2958" s="1085" t="s">
        <v>1835</v>
      </c>
      <c r="C2958" s="1695">
        <v>1</v>
      </c>
      <c r="D2958" s="1086" t="s">
        <v>188</v>
      </c>
      <c r="E2958" s="1087">
        <v>750000</v>
      </c>
      <c r="F2958" s="1078"/>
      <c r="G2958" s="1078"/>
      <c r="H2958" s="1078"/>
      <c r="I2958" s="1078"/>
      <c r="J2958" s="1078">
        <f>C2958*E2958</f>
        <v>750000</v>
      </c>
      <c r="K2958" s="1078">
        <f>I2958+J2958</f>
        <v>750000</v>
      </c>
      <c r="L2958" s="1078"/>
      <c r="M2958" s="1078"/>
      <c r="N2958" s="1078"/>
      <c r="O2958" s="1079">
        <f>K2958+N2958</f>
        <v>750000</v>
      </c>
      <c r="P2958" s="1080"/>
      <c r="Q2958" s="1829"/>
      <c r="R2958" s="1829"/>
      <c r="S2958" s="1829"/>
      <c r="T2958" s="1829"/>
      <c r="U2958" s="1829"/>
      <c r="V2958" s="1829"/>
      <c r="W2958" s="1829"/>
      <c r="X2958" s="1829"/>
      <c r="Y2958" s="1829"/>
      <c r="Z2958" s="1829"/>
      <c r="AA2958" s="1829"/>
      <c r="AB2958" s="1829"/>
      <c r="AC2958" s="1829"/>
      <c r="AD2958" s="1829"/>
      <c r="AE2958" s="1829"/>
      <c r="AF2958" s="1829"/>
      <c r="AG2958" s="1829"/>
      <c r="AH2958" s="1829"/>
      <c r="AI2958" s="1829"/>
      <c r="AJ2958" s="1829"/>
      <c r="AK2958" s="1829"/>
      <c r="AL2958" s="1829"/>
      <c r="AM2958" s="1829"/>
      <c r="AN2958" s="1829"/>
      <c r="AO2958" s="1829"/>
      <c r="AP2958" s="1829"/>
      <c r="AQ2958" s="1829"/>
      <c r="AR2958" s="1829"/>
      <c r="AS2958" s="1829"/>
      <c r="AT2958" s="1829"/>
      <c r="AU2958" s="1829"/>
      <c r="AV2958" s="1829"/>
      <c r="AW2958" s="1829"/>
      <c r="AX2958" s="1829"/>
      <c r="AY2958" s="1829"/>
      <c r="AZ2958" s="1829"/>
      <c r="BA2958" s="1829"/>
      <c r="BB2958" s="1829"/>
      <c r="BC2958" s="1829"/>
      <c r="BD2958" s="1829"/>
      <c r="BE2958" s="1829"/>
      <c r="BF2958" s="1829"/>
      <c r="BG2958" s="1829"/>
      <c r="BH2958" s="1829"/>
      <c r="BI2958" s="1829"/>
      <c r="BJ2958" s="1829"/>
      <c r="BK2958" s="1829"/>
      <c r="BL2958" s="1829"/>
      <c r="BM2958" s="1829"/>
      <c r="BN2958" s="1829"/>
      <c r="BO2958" s="1829"/>
      <c r="BP2958" s="1829"/>
      <c r="BQ2958" s="1829"/>
      <c r="BR2958" s="1829"/>
      <c r="BS2958" s="1829"/>
      <c r="BT2958" s="1829"/>
      <c r="BU2958" s="1829"/>
      <c r="BV2958" s="1829"/>
      <c r="BW2958" s="1829"/>
      <c r="BX2958" s="1829"/>
      <c r="BY2958" s="1829"/>
      <c r="BZ2958" s="1829"/>
      <c r="CA2958" s="1829"/>
      <c r="CB2958" s="1829"/>
      <c r="CC2958" s="1829"/>
      <c r="CD2958" s="1829"/>
      <c r="CE2958" s="1829"/>
      <c r="CF2958" s="1829"/>
      <c r="CG2958" s="1829"/>
      <c r="CH2958" s="1829"/>
      <c r="CI2958" s="1829"/>
      <c r="CJ2958" s="1829"/>
      <c r="CK2958" s="1829"/>
    </row>
    <row r="2959" spans="1:89" ht="21" customHeight="1" x14ac:dyDescent="0.25">
      <c r="A2959" s="764"/>
      <c r="B2959" s="711"/>
      <c r="C2959" s="772"/>
      <c r="D2959" s="766"/>
      <c r="E2959" s="767"/>
      <c r="F2959" s="714"/>
      <c r="G2959" s="714"/>
      <c r="H2959" s="714"/>
      <c r="I2959" s="714"/>
      <c r="J2959" s="714"/>
      <c r="K2959" s="714"/>
      <c r="L2959" s="714"/>
      <c r="M2959" s="714"/>
      <c r="N2959" s="714"/>
      <c r="O2959" s="753"/>
      <c r="P2959" s="754"/>
    </row>
    <row r="2960" spans="1:89" ht="21" customHeight="1" x14ac:dyDescent="0.25">
      <c r="A2960" s="764"/>
      <c r="B2960" s="711" t="s">
        <v>995</v>
      </c>
      <c r="C2960" s="772"/>
      <c r="D2960" s="766"/>
      <c r="E2960" s="767"/>
      <c r="F2960" s="714"/>
      <c r="G2960" s="714"/>
      <c r="H2960" s="714"/>
      <c r="I2960" s="714"/>
      <c r="J2960" s="714"/>
      <c r="K2960" s="714"/>
      <c r="L2960" s="714"/>
      <c r="M2960" s="714"/>
      <c r="N2960" s="714"/>
      <c r="O2960" s="753"/>
      <c r="P2960" s="754"/>
    </row>
    <row r="2961" spans="1:89" s="1081" customFormat="1" ht="21" customHeight="1" x14ac:dyDescent="0.25">
      <c r="A2961" s="1074">
        <v>15</v>
      </c>
      <c r="B2961" s="1083" t="s">
        <v>2078</v>
      </c>
      <c r="C2961" s="1075">
        <v>1</v>
      </c>
      <c r="D2961" s="1076" t="s">
        <v>16</v>
      </c>
      <c r="E2961" s="1077">
        <v>600000</v>
      </c>
      <c r="F2961" s="1078"/>
      <c r="G2961" s="1078"/>
      <c r="H2961" s="1078"/>
      <c r="I2961" s="1078"/>
      <c r="J2961" s="1078"/>
      <c r="K2961" s="1078"/>
      <c r="L2961" s="1078">
        <f t="shared" ref="L2961:L2967" si="273">E2961*C2961</f>
        <v>600000</v>
      </c>
      <c r="M2961" s="1078"/>
      <c r="N2961" s="1078">
        <f t="shared" ref="N2961:N2967" si="274">L2961+M2961</f>
        <v>600000</v>
      </c>
      <c r="O2961" s="1079">
        <f t="shared" ref="O2961:O2967" si="275">K2961+N2961</f>
        <v>600000</v>
      </c>
      <c r="P2961" s="1080"/>
      <c r="Q2961" s="1829"/>
      <c r="R2961" s="1829"/>
      <c r="S2961" s="1829"/>
      <c r="T2961" s="1829"/>
      <c r="U2961" s="1829"/>
      <c r="V2961" s="1829"/>
      <c r="W2961" s="1829"/>
      <c r="X2961" s="1829"/>
      <c r="Y2961" s="1829"/>
      <c r="Z2961" s="1829"/>
      <c r="AA2961" s="1829"/>
      <c r="AB2961" s="1829"/>
      <c r="AC2961" s="1829"/>
      <c r="AD2961" s="1829"/>
      <c r="AE2961" s="1829"/>
      <c r="AF2961" s="1829"/>
      <c r="AG2961" s="1829"/>
      <c r="AH2961" s="1829"/>
      <c r="AI2961" s="1829"/>
      <c r="AJ2961" s="1829"/>
      <c r="AK2961" s="1829"/>
      <c r="AL2961" s="1829"/>
      <c r="AM2961" s="1829"/>
      <c r="AN2961" s="1829"/>
      <c r="AO2961" s="1829"/>
      <c r="AP2961" s="1829"/>
      <c r="AQ2961" s="1829"/>
      <c r="AR2961" s="1829"/>
      <c r="AS2961" s="1829"/>
      <c r="AT2961" s="1829"/>
      <c r="AU2961" s="1829"/>
      <c r="AV2961" s="1829"/>
      <c r="AW2961" s="1829"/>
      <c r="AX2961" s="1829"/>
      <c r="AY2961" s="1829"/>
      <c r="AZ2961" s="1829"/>
      <c r="BA2961" s="1829"/>
      <c r="BB2961" s="1829"/>
      <c r="BC2961" s="1829"/>
      <c r="BD2961" s="1829"/>
      <c r="BE2961" s="1829"/>
      <c r="BF2961" s="1829"/>
      <c r="BG2961" s="1829"/>
      <c r="BH2961" s="1829"/>
      <c r="BI2961" s="1829"/>
      <c r="BJ2961" s="1829"/>
      <c r="BK2961" s="1829"/>
      <c r="BL2961" s="1829"/>
      <c r="BM2961" s="1829"/>
      <c r="BN2961" s="1829"/>
      <c r="BO2961" s="1829"/>
      <c r="BP2961" s="1829"/>
      <c r="BQ2961" s="1829"/>
      <c r="BR2961" s="1829"/>
      <c r="BS2961" s="1829"/>
      <c r="BT2961" s="1829"/>
      <c r="BU2961" s="1829"/>
      <c r="BV2961" s="1829"/>
      <c r="BW2961" s="1829"/>
      <c r="BX2961" s="1829"/>
      <c r="BY2961" s="1829"/>
      <c r="BZ2961" s="1829"/>
      <c r="CA2961" s="1829"/>
      <c r="CB2961" s="1829"/>
      <c r="CC2961" s="1829"/>
      <c r="CD2961" s="1829"/>
      <c r="CE2961" s="1829"/>
      <c r="CF2961" s="1829"/>
      <c r="CG2961" s="1829"/>
      <c r="CH2961" s="1829"/>
      <c r="CI2961" s="1829"/>
      <c r="CJ2961" s="1829"/>
      <c r="CK2961" s="1829"/>
    </row>
    <row r="2962" spans="1:89" s="1081" customFormat="1" ht="21" customHeight="1" x14ac:dyDescent="0.25">
      <c r="A2962" s="1074">
        <v>16</v>
      </c>
      <c r="B2962" s="1082" t="s">
        <v>2079</v>
      </c>
      <c r="C2962" s="1075">
        <v>1</v>
      </c>
      <c r="D2962" s="1076" t="s">
        <v>16</v>
      </c>
      <c r="E2962" s="1077">
        <v>600000</v>
      </c>
      <c r="F2962" s="1078"/>
      <c r="G2962" s="1078"/>
      <c r="H2962" s="1078"/>
      <c r="I2962" s="1078"/>
      <c r="J2962" s="1078"/>
      <c r="K2962" s="1078"/>
      <c r="L2962" s="1078">
        <f t="shared" si="273"/>
        <v>600000</v>
      </c>
      <c r="M2962" s="1078"/>
      <c r="N2962" s="1078">
        <f t="shared" si="274"/>
        <v>600000</v>
      </c>
      <c r="O2962" s="1079">
        <f t="shared" si="275"/>
        <v>600000</v>
      </c>
      <c r="P2962" s="1080"/>
      <c r="Q2962" s="1829"/>
      <c r="R2962" s="1829"/>
      <c r="S2962" s="1829"/>
      <c r="T2962" s="1829"/>
      <c r="U2962" s="1829"/>
      <c r="V2962" s="1829"/>
      <c r="W2962" s="1829"/>
      <c r="X2962" s="1829"/>
      <c r="Y2962" s="1829"/>
      <c r="Z2962" s="1829"/>
      <c r="AA2962" s="1829"/>
      <c r="AB2962" s="1829"/>
      <c r="AC2962" s="1829"/>
      <c r="AD2962" s="1829"/>
      <c r="AE2962" s="1829"/>
      <c r="AF2962" s="1829"/>
      <c r="AG2962" s="1829"/>
      <c r="AH2962" s="1829"/>
      <c r="AI2962" s="1829"/>
      <c r="AJ2962" s="1829"/>
      <c r="AK2962" s="1829"/>
      <c r="AL2962" s="1829"/>
      <c r="AM2962" s="1829"/>
      <c r="AN2962" s="1829"/>
      <c r="AO2962" s="1829"/>
      <c r="AP2962" s="1829"/>
      <c r="AQ2962" s="1829"/>
      <c r="AR2962" s="1829"/>
      <c r="AS2962" s="1829"/>
      <c r="AT2962" s="1829"/>
      <c r="AU2962" s="1829"/>
      <c r="AV2962" s="1829"/>
      <c r="AW2962" s="1829"/>
      <c r="AX2962" s="1829"/>
      <c r="AY2962" s="1829"/>
      <c r="AZ2962" s="1829"/>
      <c r="BA2962" s="1829"/>
      <c r="BB2962" s="1829"/>
      <c r="BC2962" s="1829"/>
      <c r="BD2962" s="1829"/>
      <c r="BE2962" s="1829"/>
      <c r="BF2962" s="1829"/>
      <c r="BG2962" s="1829"/>
      <c r="BH2962" s="1829"/>
      <c r="BI2962" s="1829"/>
      <c r="BJ2962" s="1829"/>
      <c r="BK2962" s="1829"/>
      <c r="BL2962" s="1829"/>
      <c r="BM2962" s="1829"/>
      <c r="BN2962" s="1829"/>
      <c r="BO2962" s="1829"/>
      <c r="BP2962" s="1829"/>
      <c r="BQ2962" s="1829"/>
      <c r="BR2962" s="1829"/>
      <c r="BS2962" s="1829"/>
      <c r="BT2962" s="1829"/>
      <c r="BU2962" s="1829"/>
      <c r="BV2962" s="1829"/>
      <c r="BW2962" s="1829"/>
      <c r="BX2962" s="1829"/>
      <c r="BY2962" s="1829"/>
      <c r="BZ2962" s="1829"/>
      <c r="CA2962" s="1829"/>
      <c r="CB2962" s="1829"/>
      <c r="CC2962" s="1829"/>
      <c r="CD2962" s="1829"/>
      <c r="CE2962" s="1829"/>
      <c r="CF2962" s="1829"/>
      <c r="CG2962" s="1829"/>
      <c r="CH2962" s="1829"/>
      <c r="CI2962" s="1829"/>
      <c r="CJ2962" s="1829"/>
      <c r="CK2962" s="1829"/>
    </row>
    <row r="2963" spans="1:89" s="1081" customFormat="1" ht="21" customHeight="1" x14ac:dyDescent="0.25">
      <c r="A2963" s="1074">
        <v>17</v>
      </c>
      <c r="B2963" s="1082" t="s">
        <v>1044</v>
      </c>
      <c r="C2963" s="1075">
        <v>1</v>
      </c>
      <c r="D2963" s="1076" t="s">
        <v>16</v>
      </c>
      <c r="E2963" s="1077">
        <v>600000</v>
      </c>
      <c r="F2963" s="1078"/>
      <c r="G2963" s="1078"/>
      <c r="H2963" s="1078"/>
      <c r="I2963" s="1078"/>
      <c r="J2963" s="1078"/>
      <c r="K2963" s="1078"/>
      <c r="L2963" s="1078">
        <f t="shared" si="273"/>
        <v>600000</v>
      </c>
      <c r="M2963" s="1078"/>
      <c r="N2963" s="1078">
        <f t="shared" si="274"/>
        <v>600000</v>
      </c>
      <c r="O2963" s="1079">
        <f t="shared" si="275"/>
        <v>600000</v>
      </c>
      <c r="P2963" s="1080"/>
      <c r="Q2963" s="1829"/>
      <c r="R2963" s="1829"/>
      <c r="S2963" s="1829"/>
      <c r="T2963" s="1829"/>
      <c r="U2963" s="1829"/>
      <c r="V2963" s="1829"/>
      <c r="W2963" s="1829"/>
      <c r="X2963" s="1829"/>
      <c r="Y2963" s="1829"/>
      <c r="Z2963" s="1829"/>
      <c r="AA2963" s="1829"/>
      <c r="AB2963" s="1829"/>
      <c r="AC2963" s="1829"/>
      <c r="AD2963" s="1829"/>
      <c r="AE2963" s="1829"/>
      <c r="AF2963" s="1829"/>
      <c r="AG2963" s="1829"/>
      <c r="AH2963" s="1829"/>
      <c r="AI2963" s="1829"/>
      <c r="AJ2963" s="1829"/>
      <c r="AK2963" s="1829"/>
      <c r="AL2963" s="1829"/>
      <c r="AM2963" s="1829"/>
      <c r="AN2963" s="1829"/>
      <c r="AO2963" s="1829"/>
      <c r="AP2963" s="1829"/>
      <c r="AQ2963" s="1829"/>
      <c r="AR2963" s="1829"/>
      <c r="AS2963" s="1829"/>
      <c r="AT2963" s="1829"/>
      <c r="AU2963" s="1829"/>
      <c r="AV2963" s="1829"/>
      <c r="AW2963" s="1829"/>
      <c r="AX2963" s="1829"/>
      <c r="AY2963" s="1829"/>
      <c r="AZ2963" s="1829"/>
      <c r="BA2963" s="1829"/>
      <c r="BB2963" s="1829"/>
      <c r="BC2963" s="1829"/>
      <c r="BD2963" s="1829"/>
      <c r="BE2963" s="1829"/>
      <c r="BF2963" s="1829"/>
      <c r="BG2963" s="1829"/>
      <c r="BH2963" s="1829"/>
      <c r="BI2963" s="1829"/>
      <c r="BJ2963" s="1829"/>
      <c r="BK2963" s="1829"/>
      <c r="BL2963" s="1829"/>
      <c r="BM2963" s="1829"/>
      <c r="BN2963" s="1829"/>
      <c r="BO2963" s="1829"/>
      <c r="BP2963" s="1829"/>
      <c r="BQ2963" s="1829"/>
      <c r="BR2963" s="1829"/>
      <c r="BS2963" s="1829"/>
      <c r="BT2963" s="1829"/>
      <c r="BU2963" s="1829"/>
      <c r="BV2963" s="1829"/>
      <c r="BW2963" s="1829"/>
      <c r="BX2963" s="1829"/>
      <c r="BY2963" s="1829"/>
      <c r="BZ2963" s="1829"/>
      <c r="CA2963" s="1829"/>
      <c r="CB2963" s="1829"/>
      <c r="CC2963" s="1829"/>
      <c r="CD2963" s="1829"/>
      <c r="CE2963" s="1829"/>
      <c r="CF2963" s="1829"/>
      <c r="CG2963" s="1829"/>
      <c r="CH2963" s="1829"/>
      <c r="CI2963" s="1829"/>
      <c r="CJ2963" s="1829"/>
      <c r="CK2963" s="1829"/>
    </row>
    <row r="2964" spans="1:89" s="1081" customFormat="1" ht="21" customHeight="1" x14ac:dyDescent="0.25">
      <c r="A2964" s="1074">
        <v>18</v>
      </c>
      <c r="B2964" s="1082" t="s">
        <v>1811</v>
      </c>
      <c r="C2964" s="1075">
        <v>1</v>
      </c>
      <c r="D2964" s="1076" t="s">
        <v>16</v>
      </c>
      <c r="E2964" s="1077">
        <v>600000</v>
      </c>
      <c r="F2964" s="1078"/>
      <c r="G2964" s="1078"/>
      <c r="H2964" s="1078"/>
      <c r="I2964" s="1078"/>
      <c r="J2964" s="1078"/>
      <c r="K2964" s="1078"/>
      <c r="L2964" s="1078">
        <f t="shared" si="273"/>
        <v>600000</v>
      </c>
      <c r="M2964" s="1078"/>
      <c r="N2964" s="1078">
        <f t="shared" si="274"/>
        <v>600000</v>
      </c>
      <c r="O2964" s="1079">
        <f t="shared" si="275"/>
        <v>600000</v>
      </c>
      <c r="P2964" s="1080"/>
      <c r="Q2964" s="1829"/>
      <c r="R2964" s="1829"/>
      <c r="S2964" s="1829"/>
      <c r="T2964" s="1829"/>
      <c r="U2964" s="1829"/>
      <c r="V2964" s="1829"/>
      <c r="W2964" s="1829"/>
      <c r="X2964" s="1829"/>
      <c r="Y2964" s="1829"/>
      <c r="Z2964" s="1829"/>
      <c r="AA2964" s="1829"/>
      <c r="AB2964" s="1829"/>
      <c r="AC2964" s="1829"/>
      <c r="AD2964" s="1829"/>
      <c r="AE2964" s="1829"/>
      <c r="AF2964" s="1829"/>
      <c r="AG2964" s="1829"/>
      <c r="AH2964" s="1829"/>
      <c r="AI2964" s="1829"/>
      <c r="AJ2964" s="1829"/>
      <c r="AK2964" s="1829"/>
      <c r="AL2964" s="1829"/>
      <c r="AM2964" s="1829"/>
      <c r="AN2964" s="1829"/>
      <c r="AO2964" s="1829"/>
      <c r="AP2964" s="1829"/>
      <c r="AQ2964" s="1829"/>
      <c r="AR2964" s="1829"/>
      <c r="AS2964" s="1829"/>
      <c r="AT2964" s="1829"/>
      <c r="AU2964" s="1829"/>
      <c r="AV2964" s="1829"/>
      <c r="AW2964" s="1829"/>
      <c r="AX2964" s="1829"/>
      <c r="AY2964" s="1829"/>
      <c r="AZ2964" s="1829"/>
      <c r="BA2964" s="1829"/>
      <c r="BB2964" s="1829"/>
      <c r="BC2964" s="1829"/>
      <c r="BD2964" s="1829"/>
      <c r="BE2964" s="1829"/>
      <c r="BF2964" s="1829"/>
      <c r="BG2964" s="1829"/>
      <c r="BH2964" s="1829"/>
      <c r="BI2964" s="1829"/>
      <c r="BJ2964" s="1829"/>
      <c r="BK2964" s="1829"/>
      <c r="BL2964" s="1829"/>
      <c r="BM2964" s="1829"/>
      <c r="BN2964" s="1829"/>
      <c r="BO2964" s="1829"/>
      <c r="BP2964" s="1829"/>
      <c r="BQ2964" s="1829"/>
      <c r="BR2964" s="1829"/>
      <c r="BS2964" s="1829"/>
      <c r="BT2964" s="1829"/>
      <c r="BU2964" s="1829"/>
      <c r="BV2964" s="1829"/>
      <c r="BW2964" s="1829"/>
      <c r="BX2964" s="1829"/>
      <c r="BY2964" s="1829"/>
      <c r="BZ2964" s="1829"/>
      <c r="CA2964" s="1829"/>
      <c r="CB2964" s="1829"/>
      <c r="CC2964" s="1829"/>
      <c r="CD2964" s="1829"/>
      <c r="CE2964" s="1829"/>
      <c r="CF2964" s="1829"/>
      <c r="CG2964" s="1829"/>
      <c r="CH2964" s="1829"/>
      <c r="CI2964" s="1829"/>
      <c r="CJ2964" s="1829"/>
      <c r="CK2964" s="1829"/>
    </row>
    <row r="2965" spans="1:89" s="1081" customFormat="1" ht="21" customHeight="1" x14ac:dyDescent="0.25">
      <c r="A2965" s="1074">
        <v>19</v>
      </c>
      <c r="B2965" s="1082" t="s">
        <v>2080</v>
      </c>
      <c r="C2965" s="1075">
        <v>1</v>
      </c>
      <c r="D2965" s="1076" t="s">
        <v>16</v>
      </c>
      <c r="E2965" s="1077">
        <v>600000</v>
      </c>
      <c r="F2965" s="1078"/>
      <c r="G2965" s="1078"/>
      <c r="H2965" s="1078"/>
      <c r="I2965" s="1078"/>
      <c r="J2965" s="1078"/>
      <c r="K2965" s="1078"/>
      <c r="L2965" s="1078">
        <f t="shared" si="273"/>
        <v>600000</v>
      </c>
      <c r="M2965" s="1078"/>
      <c r="N2965" s="1078">
        <f t="shared" si="274"/>
        <v>600000</v>
      </c>
      <c r="O2965" s="1079">
        <f t="shared" si="275"/>
        <v>600000</v>
      </c>
      <c r="P2965" s="1080"/>
      <c r="Q2965" s="1829"/>
      <c r="R2965" s="1829"/>
      <c r="S2965" s="1829"/>
      <c r="T2965" s="1829"/>
      <c r="U2965" s="1829"/>
      <c r="V2965" s="1829"/>
      <c r="W2965" s="1829"/>
      <c r="X2965" s="1829"/>
      <c r="Y2965" s="1829"/>
      <c r="Z2965" s="1829"/>
      <c r="AA2965" s="1829"/>
      <c r="AB2965" s="1829"/>
      <c r="AC2965" s="1829"/>
      <c r="AD2965" s="1829"/>
      <c r="AE2965" s="1829"/>
      <c r="AF2965" s="1829"/>
      <c r="AG2965" s="1829"/>
      <c r="AH2965" s="1829"/>
      <c r="AI2965" s="1829"/>
      <c r="AJ2965" s="1829"/>
      <c r="AK2965" s="1829"/>
      <c r="AL2965" s="1829"/>
      <c r="AM2965" s="1829"/>
      <c r="AN2965" s="1829"/>
      <c r="AO2965" s="1829"/>
      <c r="AP2965" s="1829"/>
      <c r="AQ2965" s="1829"/>
      <c r="AR2965" s="1829"/>
      <c r="AS2965" s="1829"/>
      <c r="AT2965" s="1829"/>
      <c r="AU2965" s="1829"/>
      <c r="AV2965" s="1829"/>
      <c r="AW2965" s="1829"/>
      <c r="AX2965" s="1829"/>
      <c r="AY2965" s="1829"/>
      <c r="AZ2965" s="1829"/>
      <c r="BA2965" s="1829"/>
      <c r="BB2965" s="1829"/>
      <c r="BC2965" s="1829"/>
      <c r="BD2965" s="1829"/>
      <c r="BE2965" s="1829"/>
      <c r="BF2965" s="1829"/>
      <c r="BG2965" s="1829"/>
      <c r="BH2965" s="1829"/>
      <c r="BI2965" s="1829"/>
      <c r="BJ2965" s="1829"/>
      <c r="BK2965" s="1829"/>
      <c r="BL2965" s="1829"/>
      <c r="BM2965" s="1829"/>
      <c r="BN2965" s="1829"/>
      <c r="BO2965" s="1829"/>
      <c r="BP2965" s="1829"/>
      <c r="BQ2965" s="1829"/>
      <c r="BR2965" s="1829"/>
      <c r="BS2965" s="1829"/>
      <c r="BT2965" s="1829"/>
      <c r="BU2965" s="1829"/>
      <c r="BV2965" s="1829"/>
      <c r="BW2965" s="1829"/>
      <c r="BX2965" s="1829"/>
      <c r="BY2965" s="1829"/>
      <c r="BZ2965" s="1829"/>
      <c r="CA2965" s="1829"/>
      <c r="CB2965" s="1829"/>
      <c r="CC2965" s="1829"/>
      <c r="CD2965" s="1829"/>
      <c r="CE2965" s="1829"/>
      <c r="CF2965" s="1829"/>
      <c r="CG2965" s="1829"/>
      <c r="CH2965" s="1829"/>
      <c r="CI2965" s="1829"/>
      <c r="CJ2965" s="1829"/>
      <c r="CK2965" s="1829"/>
    </row>
    <row r="2966" spans="1:89" s="1081" customFormat="1" ht="21" customHeight="1" x14ac:dyDescent="0.25">
      <c r="A2966" s="1074">
        <v>20</v>
      </c>
      <c r="B2966" s="1082" t="s">
        <v>1812</v>
      </c>
      <c r="C2966" s="1075">
        <v>1</v>
      </c>
      <c r="D2966" s="1076" t="s">
        <v>16</v>
      </c>
      <c r="E2966" s="1077">
        <v>600000</v>
      </c>
      <c r="F2966" s="1078"/>
      <c r="G2966" s="1078"/>
      <c r="H2966" s="1078"/>
      <c r="I2966" s="1078"/>
      <c r="J2966" s="1078"/>
      <c r="K2966" s="1078"/>
      <c r="L2966" s="1078">
        <f t="shared" si="273"/>
        <v>600000</v>
      </c>
      <c r="M2966" s="1078"/>
      <c r="N2966" s="1078">
        <f t="shared" si="274"/>
        <v>600000</v>
      </c>
      <c r="O2966" s="1079">
        <f t="shared" si="275"/>
        <v>600000</v>
      </c>
      <c r="P2966" s="1080"/>
      <c r="Q2966" s="1829"/>
      <c r="R2966" s="1829"/>
      <c r="S2966" s="1829"/>
      <c r="T2966" s="1829"/>
      <c r="U2966" s="1829"/>
      <c r="V2966" s="1829"/>
      <c r="W2966" s="1829"/>
      <c r="X2966" s="1829"/>
      <c r="Y2966" s="1829"/>
      <c r="Z2966" s="1829"/>
      <c r="AA2966" s="1829"/>
      <c r="AB2966" s="1829"/>
      <c r="AC2966" s="1829"/>
      <c r="AD2966" s="1829"/>
      <c r="AE2966" s="1829"/>
      <c r="AF2966" s="1829"/>
      <c r="AG2966" s="1829"/>
      <c r="AH2966" s="1829"/>
      <c r="AI2966" s="1829"/>
      <c r="AJ2966" s="1829"/>
      <c r="AK2966" s="1829"/>
      <c r="AL2966" s="1829"/>
      <c r="AM2966" s="1829"/>
      <c r="AN2966" s="1829"/>
      <c r="AO2966" s="1829"/>
      <c r="AP2966" s="1829"/>
      <c r="AQ2966" s="1829"/>
      <c r="AR2966" s="1829"/>
      <c r="AS2966" s="1829"/>
      <c r="AT2966" s="1829"/>
      <c r="AU2966" s="1829"/>
      <c r="AV2966" s="1829"/>
      <c r="AW2966" s="1829"/>
      <c r="AX2966" s="1829"/>
      <c r="AY2966" s="1829"/>
      <c r="AZ2966" s="1829"/>
      <c r="BA2966" s="1829"/>
      <c r="BB2966" s="1829"/>
      <c r="BC2966" s="1829"/>
      <c r="BD2966" s="1829"/>
      <c r="BE2966" s="1829"/>
      <c r="BF2966" s="1829"/>
      <c r="BG2966" s="1829"/>
      <c r="BH2966" s="1829"/>
      <c r="BI2966" s="1829"/>
      <c r="BJ2966" s="1829"/>
      <c r="BK2966" s="1829"/>
      <c r="BL2966" s="1829"/>
      <c r="BM2966" s="1829"/>
      <c r="BN2966" s="1829"/>
      <c r="BO2966" s="1829"/>
      <c r="BP2966" s="1829"/>
      <c r="BQ2966" s="1829"/>
      <c r="BR2966" s="1829"/>
      <c r="BS2966" s="1829"/>
      <c r="BT2966" s="1829"/>
      <c r="BU2966" s="1829"/>
      <c r="BV2966" s="1829"/>
      <c r="BW2966" s="1829"/>
      <c r="BX2966" s="1829"/>
      <c r="BY2966" s="1829"/>
      <c r="BZ2966" s="1829"/>
      <c r="CA2966" s="1829"/>
      <c r="CB2966" s="1829"/>
      <c r="CC2966" s="1829"/>
      <c r="CD2966" s="1829"/>
      <c r="CE2966" s="1829"/>
      <c r="CF2966" s="1829"/>
      <c r="CG2966" s="1829"/>
      <c r="CH2966" s="1829"/>
      <c r="CI2966" s="1829"/>
      <c r="CJ2966" s="1829"/>
      <c r="CK2966" s="1829"/>
    </row>
    <row r="2967" spans="1:89" s="1081" customFormat="1" ht="21" customHeight="1" x14ac:dyDescent="0.25">
      <c r="A2967" s="1074">
        <v>21</v>
      </c>
      <c r="B2967" s="1082" t="s">
        <v>1832</v>
      </c>
      <c r="C2967" s="1075">
        <v>1</v>
      </c>
      <c r="D2967" s="1076" t="s">
        <v>16</v>
      </c>
      <c r="E2967" s="1077">
        <v>600000</v>
      </c>
      <c r="F2967" s="1078"/>
      <c r="G2967" s="1078"/>
      <c r="H2967" s="1078"/>
      <c r="I2967" s="1078"/>
      <c r="J2967" s="1078"/>
      <c r="K2967" s="1078"/>
      <c r="L2967" s="1078">
        <f t="shared" si="273"/>
        <v>600000</v>
      </c>
      <c r="M2967" s="1078"/>
      <c r="N2967" s="1078">
        <f t="shared" si="274"/>
        <v>600000</v>
      </c>
      <c r="O2967" s="1079">
        <f t="shared" si="275"/>
        <v>600000</v>
      </c>
      <c r="P2967" s="1080"/>
      <c r="Q2967" s="1829"/>
      <c r="R2967" s="1829"/>
      <c r="S2967" s="1829"/>
      <c r="T2967" s="1829"/>
      <c r="U2967" s="1829"/>
      <c r="V2967" s="1829"/>
      <c r="W2967" s="1829"/>
      <c r="X2967" s="1829"/>
      <c r="Y2967" s="1829"/>
      <c r="Z2967" s="1829"/>
      <c r="AA2967" s="1829"/>
      <c r="AB2967" s="1829"/>
      <c r="AC2967" s="1829"/>
      <c r="AD2967" s="1829"/>
      <c r="AE2967" s="1829"/>
      <c r="AF2967" s="1829"/>
      <c r="AG2967" s="1829"/>
      <c r="AH2967" s="1829"/>
      <c r="AI2967" s="1829"/>
      <c r="AJ2967" s="1829"/>
      <c r="AK2967" s="1829"/>
      <c r="AL2967" s="1829"/>
      <c r="AM2967" s="1829"/>
      <c r="AN2967" s="1829"/>
      <c r="AO2967" s="1829"/>
      <c r="AP2967" s="1829"/>
      <c r="AQ2967" s="1829"/>
      <c r="AR2967" s="1829"/>
      <c r="AS2967" s="1829"/>
      <c r="AT2967" s="1829"/>
      <c r="AU2967" s="1829"/>
      <c r="AV2967" s="1829"/>
      <c r="AW2967" s="1829"/>
      <c r="AX2967" s="1829"/>
      <c r="AY2967" s="1829"/>
      <c r="AZ2967" s="1829"/>
      <c r="BA2967" s="1829"/>
      <c r="BB2967" s="1829"/>
      <c r="BC2967" s="1829"/>
      <c r="BD2967" s="1829"/>
      <c r="BE2967" s="1829"/>
      <c r="BF2967" s="1829"/>
      <c r="BG2967" s="1829"/>
      <c r="BH2967" s="1829"/>
      <c r="BI2967" s="1829"/>
      <c r="BJ2967" s="1829"/>
      <c r="BK2967" s="1829"/>
      <c r="BL2967" s="1829"/>
      <c r="BM2967" s="1829"/>
      <c r="BN2967" s="1829"/>
      <c r="BO2967" s="1829"/>
      <c r="BP2967" s="1829"/>
      <c r="BQ2967" s="1829"/>
      <c r="BR2967" s="1829"/>
      <c r="BS2967" s="1829"/>
      <c r="BT2967" s="1829"/>
      <c r="BU2967" s="1829"/>
      <c r="BV2967" s="1829"/>
      <c r="BW2967" s="1829"/>
      <c r="BX2967" s="1829"/>
      <c r="BY2967" s="1829"/>
      <c r="BZ2967" s="1829"/>
      <c r="CA2967" s="1829"/>
      <c r="CB2967" s="1829"/>
      <c r="CC2967" s="1829"/>
      <c r="CD2967" s="1829"/>
      <c r="CE2967" s="1829"/>
      <c r="CF2967" s="1829"/>
      <c r="CG2967" s="1829"/>
      <c r="CH2967" s="1829"/>
      <c r="CI2967" s="1829"/>
      <c r="CJ2967" s="1829"/>
      <c r="CK2967" s="1829"/>
    </row>
    <row r="2968" spans="1:89" ht="21" customHeight="1" x14ac:dyDescent="0.25">
      <c r="A2968" s="764"/>
      <c r="B2968" s="724"/>
      <c r="C2968" s="772"/>
      <c r="D2968" s="766"/>
      <c r="E2968" s="767"/>
      <c r="F2968" s="714"/>
      <c r="G2968" s="714"/>
      <c r="H2968" s="714"/>
      <c r="I2968" s="714"/>
      <c r="J2968" s="714"/>
      <c r="K2968" s="714"/>
      <c r="L2968" s="714">
        <f>E2968*C2968</f>
        <v>0</v>
      </c>
      <c r="M2968" s="714"/>
      <c r="N2968" s="714">
        <f>M2968+L2968</f>
        <v>0</v>
      </c>
      <c r="O2968" s="753">
        <f>N2968+K2968+H2968</f>
        <v>0</v>
      </c>
      <c r="P2968" s="754"/>
    </row>
    <row r="2969" spans="1:89" ht="21" customHeight="1" x14ac:dyDescent="0.25">
      <c r="A2969" s="764"/>
      <c r="B2969" s="774" t="s">
        <v>999</v>
      </c>
      <c r="C2969" s="772"/>
      <c r="D2969" s="766"/>
      <c r="E2969" s="767"/>
      <c r="F2969" s="714"/>
      <c r="G2969" s="714"/>
      <c r="H2969" s="714"/>
      <c r="I2969" s="714"/>
      <c r="J2969" s="714"/>
      <c r="K2969" s="714"/>
      <c r="L2969" s="714"/>
      <c r="M2969" s="714"/>
      <c r="N2969" s="714"/>
      <c r="O2969" s="753"/>
      <c r="P2969" s="754"/>
    </row>
    <row r="2970" spans="1:89" s="1081" customFormat="1" ht="21" customHeight="1" x14ac:dyDescent="0.25">
      <c r="A2970" s="1074">
        <v>22</v>
      </c>
      <c r="B2970" s="1696" t="s">
        <v>209</v>
      </c>
      <c r="C2970" s="1075">
        <v>1</v>
      </c>
      <c r="D2970" s="1076" t="s">
        <v>16</v>
      </c>
      <c r="E2970" s="1077">
        <v>850000</v>
      </c>
      <c r="F2970" s="1078"/>
      <c r="G2970" s="1078"/>
      <c r="H2970" s="1078"/>
      <c r="I2970" s="1078"/>
      <c r="J2970" s="1078">
        <f t="shared" ref="J2970:J2979" si="276">C2970*E2970</f>
        <v>850000</v>
      </c>
      <c r="K2970" s="1078">
        <f t="shared" ref="K2970:K2979" si="277">I2970+J2970</f>
        <v>850000</v>
      </c>
      <c r="L2970" s="1078"/>
      <c r="M2970" s="1078"/>
      <c r="N2970" s="1078"/>
      <c r="O2970" s="1079">
        <f t="shared" ref="O2970:O2979" si="278">K2970+N2970</f>
        <v>850000</v>
      </c>
      <c r="P2970" s="1080"/>
      <c r="Q2970" s="1829"/>
      <c r="R2970" s="1829"/>
      <c r="S2970" s="1829"/>
      <c r="T2970" s="1829"/>
      <c r="U2970" s="1829"/>
      <c r="V2970" s="1829"/>
      <c r="W2970" s="1829"/>
      <c r="X2970" s="1829"/>
      <c r="Y2970" s="1829"/>
      <c r="Z2970" s="1829"/>
      <c r="AA2970" s="1829"/>
      <c r="AB2970" s="1829"/>
      <c r="AC2970" s="1829"/>
      <c r="AD2970" s="1829"/>
      <c r="AE2970" s="1829"/>
      <c r="AF2970" s="1829"/>
      <c r="AG2970" s="1829"/>
      <c r="AH2970" s="1829"/>
      <c r="AI2970" s="1829"/>
      <c r="AJ2970" s="1829"/>
      <c r="AK2970" s="1829"/>
      <c r="AL2970" s="1829"/>
      <c r="AM2970" s="1829"/>
      <c r="AN2970" s="1829"/>
      <c r="AO2970" s="1829"/>
      <c r="AP2970" s="1829"/>
      <c r="AQ2970" s="1829"/>
      <c r="AR2970" s="1829"/>
      <c r="AS2970" s="1829"/>
      <c r="AT2970" s="1829"/>
      <c r="AU2970" s="1829"/>
      <c r="AV2970" s="1829"/>
      <c r="AW2970" s="1829"/>
      <c r="AX2970" s="1829"/>
      <c r="AY2970" s="1829"/>
      <c r="AZ2970" s="1829"/>
      <c r="BA2970" s="1829"/>
      <c r="BB2970" s="1829"/>
      <c r="BC2970" s="1829"/>
      <c r="BD2970" s="1829"/>
      <c r="BE2970" s="1829"/>
      <c r="BF2970" s="1829"/>
      <c r="BG2970" s="1829"/>
      <c r="BH2970" s="1829"/>
      <c r="BI2970" s="1829"/>
      <c r="BJ2970" s="1829"/>
      <c r="BK2970" s="1829"/>
      <c r="BL2970" s="1829"/>
      <c r="BM2970" s="1829"/>
      <c r="BN2970" s="1829"/>
      <c r="BO2970" s="1829"/>
      <c r="BP2970" s="1829"/>
      <c r="BQ2970" s="1829"/>
      <c r="BR2970" s="1829"/>
      <c r="BS2970" s="1829"/>
      <c r="BT2970" s="1829"/>
      <c r="BU2970" s="1829"/>
      <c r="BV2970" s="1829"/>
      <c r="BW2970" s="1829"/>
      <c r="BX2970" s="1829"/>
      <c r="BY2970" s="1829"/>
      <c r="BZ2970" s="1829"/>
      <c r="CA2970" s="1829"/>
      <c r="CB2970" s="1829"/>
      <c r="CC2970" s="1829"/>
      <c r="CD2970" s="1829"/>
      <c r="CE2970" s="1829"/>
      <c r="CF2970" s="1829"/>
      <c r="CG2970" s="1829"/>
      <c r="CH2970" s="1829"/>
      <c r="CI2970" s="1829"/>
      <c r="CJ2970" s="1829"/>
      <c r="CK2970" s="1829"/>
    </row>
    <row r="2971" spans="1:89" s="1081" customFormat="1" ht="21" customHeight="1" x14ac:dyDescent="0.25">
      <c r="A2971" s="1074">
        <v>23</v>
      </c>
      <c r="B2971" s="1696" t="s">
        <v>1045</v>
      </c>
      <c r="C2971" s="1075">
        <v>1</v>
      </c>
      <c r="D2971" s="1076" t="s">
        <v>16</v>
      </c>
      <c r="E2971" s="1077">
        <v>300000</v>
      </c>
      <c r="F2971" s="1078"/>
      <c r="G2971" s="1078"/>
      <c r="H2971" s="1078"/>
      <c r="I2971" s="1078"/>
      <c r="J2971" s="1078">
        <f t="shared" si="276"/>
        <v>300000</v>
      </c>
      <c r="K2971" s="1078">
        <f t="shared" si="277"/>
        <v>300000</v>
      </c>
      <c r="L2971" s="1078"/>
      <c r="M2971" s="1078"/>
      <c r="N2971" s="1078"/>
      <c r="O2971" s="1079">
        <f t="shared" si="278"/>
        <v>300000</v>
      </c>
      <c r="P2971" s="1080"/>
      <c r="Q2971" s="1829"/>
      <c r="R2971" s="1829"/>
      <c r="S2971" s="1829"/>
      <c r="T2971" s="1829"/>
      <c r="U2971" s="1829"/>
      <c r="V2971" s="1829"/>
      <c r="W2971" s="1829"/>
      <c r="X2971" s="1829"/>
      <c r="Y2971" s="1829"/>
      <c r="Z2971" s="1829"/>
      <c r="AA2971" s="1829"/>
      <c r="AB2971" s="1829"/>
      <c r="AC2971" s="1829"/>
      <c r="AD2971" s="1829"/>
      <c r="AE2971" s="1829"/>
      <c r="AF2971" s="1829"/>
      <c r="AG2971" s="1829"/>
      <c r="AH2971" s="1829"/>
      <c r="AI2971" s="1829"/>
      <c r="AJ2971" s="1829"/>
      <c r="AK2971" s="1829"/>
      <c r="AL2971" s="1829"/>
      <c r="AM2971" s="1829"/>
      <c r="AN2971" s="1829"/>
      <c r="AO2971" s="1829"/>
      <c r="AP2971" s="1829"/>
      <c r="AQ2971" s="1829"/>
      <c r="AR2971" s="1829"/>
      <c r="AS2971" s="1829"/>
      <c r="AT2971" s="1829"/>
      <c r="AU2971" s="1829"/>
      <c r="AV2971" s="1829"/>
      <c r="AW2971" s="1829"/>
      <c r="AX2971" s="1829"/>
      <c r="AY2971" s="1829"/>
      <c r="AZ2971" s="1829"/>
      <c r="BA2971" s="1829"/>
      <c r="BB2971" s="1829"/>
      <c r="BC2971" s="1829"/>
      <c r="BD2971" s="1829"/>
      <c r="BE2971" s="1829"/>
      <c r="BF2971" s="1829"/>
      <c r="BG2971" s="1829"/>
      <c r="BH2971" s="1829"/>
      <c r="BI2971" s="1829"/>
      <c r="BJ2971" s="1829"/>
      <c r="BK2971" s="1829"/>
      <c r="BL2971" s="1829"/>
      <c r="BM2971" s="1829"/>
      <c r="BN2971" s="1829"/>
      <c r="BO2971" s="1829"/>
      <c r="BP2971" s="1829"/>
      <c r="BQ2971" s="1829"/>
      <c r="BR2971" s="1829"/>
      <c r="BS2971" s="1829"/>
      <c r="BT2971" s="1829"/>
      <c r="BU2971" s="1829"/>
      <c r="BV2971" s="1829"/>
      <c r="BW2971" s="1829"/>
      <c r="BX2971" s="1829"/>
      <c r="BY2971" s="1829"/>
      <c r="BZ2971" s="1829"/>
      <c r="CA2971" s="1829"/>
      <c r="CB2971" s="1829"/>
      <c r="CC2971" s="1829"/>
      <c r="CD2971" s="1829"/>
      <c r="CE2971" s="1829"/>
      <c r="CF2971" s="1829"/>
      <c r="CG2971" s="1829"/>
      <c r="CH2971" s="1829"/>
      <c r="CI2971" s="1829"/>
      <c r="CJ2971" s="1829"/>
      <c r="CK2971" s="1829"/>
    </row>
    <row r="2972" spans="1:89" s="1081" customFormat="1" ht="21" customHeight="1" x14ac:dyDescent="0.25">
      <c r="A2972" s="1074">
        <v>24</v>
      </c>
      <c r="B2972" s="1696" t="s">
        <v>1046</v>
      </c>
      <c r="C2972" s="1075">
        <v>1</v>
      </c>
      <c r="D2972" s="1076" t="s">
        <v>16</v>
      </c>
      <c r="E2972" s="1077">
        <v>200000</v>
      </c>
      <c r="F2972" s="1078"/>
      <c r="G2972" s="1078"/>
      <c r="H2972" s="1078"/>
      <c r="I2972" s="1078"/>
      <c r="J2972" s="1078">
        <f t="shared" si="276"/>
        <v>200000</v>
      </c>
      <c r="K2972" s="1078">
        <f t="shared" si="277"/>
        <v>200000</v>
      </c>
      <c r="L2972" s="1078"/>
      <c r="M2972" s="1078"/>
      <c r="N2972" s="1078"/>
      <c r="O2972" s="1079">
        <f t="shared" si="278"/>
        <v>200000</v>
      </c>
      <c r="P2972" s="1080"/>
      <c r="Q2972" s="1829"/>
      <c r="R2972" s="1829"/>
      <c r="S2972" s="1829"/>
      <c r="T2972" s="1829"/>
      <c r="U2972" s="1829"/>
      <c r="V2972" s="1829"/>
      <c r="W2972" s="1829"/>
      <c r="X2972" s="1829"/>
      <c r="Y2972" s="1829"/>
      <c r="Z2972" s="1829"/>
      <c r="AA2972" s="1829"/>
      <c r="AB2972" s="1829"/>
      <c r="AC2972" s="1829"/>
      <c r="AD2972" s="1829"/>
      <c r="AE2972" s="1829"/>
      <c r="AF2972" s="1829"/>
      <c r="AG2972" s="1829"/>
      <c r="AH2972" s="1829"/>
      <c r="AI2972" s="1829"/>
      <c r="AJ2972" s="1829"/>
      <c r="AK2972" s="1829"/>
      <c r="AL2972" s="1829"/>
      <c r="AM2972" s="1829"/>
      <c r="AN2972" s="1829"/>
      <c r="AO2972" s="1829"/>
      <c r="AP2972" s="1829"/>
      <c r="AQ2972" s="1829"/>
      <c r="AR2972" s="1829"/>
      <c r="AS2972" s="1829"/>
      <c r="AT2972" s="1829"/>
      <c r="AU2972" s="1829"/>
      <c r="AV2972" s="1829"/>
      <c r="AW2972" s="1829"/>
      <c r="AX2972" s="1829"/>
      <c r="AY2972" s="1829"/>
      <c r="AZ2972" s="1829"/>
      <c r="BA2972" s="1829"/>
      <c r="BB2972" s="1829"/>
      <c r="BC2972" s="1829"/>
      <c r="BD2972" s="1829"/>
      <c r="BE2972" s="1829"/>
      <c r="BF2972" s="1829"/>
      <c r="BG2972" s="1829"/>
      <c r="BH2972" s="1829"/>
      <c r="BI2972" s="1829"/>
      <c r="BJ2972" s="1829"/>
      <c r="BK2972" s="1829"/>
      <c r="BL2972" s="1829"/>
      <c r="BM2972" s="1829"/>
      <c r="BN2972" s="1829"/>
      <c r="BO2972" s="1829"/>
      <c r="BP2972" s="1829"/>
      <c r="BQ2972" s="1829"/>
      <c r="BR2972" s="1829"/>
      <c r="BS2972" s="1829"/>
      <c r="BT2972" s="1829"/>
      <c r="BU2972" s="1829"/>
      <c r="BV2972" s="1829"/>
      <c r="BW2972" s="1829"/>
      <c r="BX2972" s="1829"/>
      <c r="BY2972" s="1829"/>
      <c r="BZ2972" s="1829"/>
      <c r="CA2972" s="1829"/>
      <c r="CB2972" s="1829"/>
      <c r="CC2972" s="1829"/>
      <c r="CD2972" s="1829"/>
      <c r="CE2972" s="1829"/>
      <c r="CF2972" s="1829"/>
      <c r="CG2972" s="1829"/>
      <c r="CH2972" s="1829"/>
      <c r="CI2972" s="1829"/>
      <c r="CJ2972" s="1829"/>
      <c r="CK2972" s="1829"/>
    </row>
    <row r="2973" spans="1:89" s="1081" customFormat="1" ht="36" customHeight="1" x14ac:dyDescent="0.25">
      <c r="A2973" s="1074">
        <v>25</v>
      </c>
      <c r="B2973" s="1697" t="s">
        <v>1813</v>
      </c>
      <c r="C2973" s="1075">
        <v>1</v>
      </c>
      <c r="D2973" s="1076" t="s">
        <v>16</v>
      </c>
      <c r="E2973" s="1077">
        <v>650000</v>
      </c>
      <c r="F2973" s="1078"/>
      <c r="G2973" s="1078"/>
      <c r="H2973" s="1078"/>
      <c r="I2973" s="1078"/>
      <c r="J2973" s="1078">
        <f t="shared" si="276"/>
        <v>650000</v>
      </c>
      <c r="K2973" s="1078">
        <f t="shared" si="277"/>
        <v>650000</v>
      </c>
      <c r="L2973" s="1078"/>
      <c r="M2973" s="1078"/>
      <c r="N2973" s="1078"/>
      <c r="O2973" s="1079">
        <f t="shared" si="278"/>
        <v>650000</v>
      </c>
      <c r="P2973" s="1080"/>
      <c r="Q2973" s="1829"/>
      <c r="R2973" s="1829"/>
      <c r="S2973" s="1829"/>
      <c r="T2973" s="1829"/>
      <c r="U2973" s="1829"/>
      <c r="V2973" s="1829"/>
      <c r="W2973" s="1829"/>
      <c r="X2973" s="1829"/>
      <c r="Y2973" s="1829"/>
      <c r="Z2973" s="1829"/>
      <c r="AA2973" s="1829"/>
      <c r="AB2973" s="1829"/>
      <c r="AC2973" s="1829"/>
      <c r="AD2973" s="1829"/>
      <c r="AE2973" s="1829"/>
      <c r="AF2973" s="1829"/>
      <c r="AG2973" s="1829"/>
      <c r="AH2973" s="1829"/>
      <c r="AI2973" s="1829"/>
      <c r="AJ2973" s="1829"/>
      <c r="AK2973" s="1829"/>
      <c r="AL2973" s="1829"/>
      <c r="AM2973" s="1829"/>
      <c r="AN2973" s="1829"/>
      <c r="AO2973" s="1829"/>
      <c r="AP2973" s="1829"/>
      <c r="AQ2973" s="1829"/>
      <c r="AR2973" s="1829"/>
      <c r="AS2973" s="1829"/>
      <c r="AT2973" s="1829"/>
      <c r="AU2973" s="1829"/>
      <c r="AV2973" s="1829"/>
      <c r="AW2973" s="1829"/>
      <c r="AX2973" s="1829"/>
      <c r="AY2973" s="1829"/>
      <c r="AZ2973" s="1829"/>
      <c r="BA2973" s="1829"/>
      <c r="BB2973" s="1829"/>
      <c r="BC2973" s="1829"/>
      <c r="BD2973" s="1829"/>
      <c r="BE2973" s="1829"/>
      <c r="BF2973" s="1829"/>
      <c r="BG2973" s="1829"/>
      <c r="BH2973" s="1829"/>
      <c r="BI2973" s="1829"/>
      <c r="BJ2973" s="1829"/>
      <c r="BK2973" s="1829"/>
      <c r="BL2973" s="1829"/>
      <c r="BM2973" s="1829"/>
      <c r="BN2973" s="1829"/>
      <c r="BO2973" s="1829"/>
      <c r="BP2973" s="1829"/>
      <c r="BQ2973" s="1829"/>
      <c r="BR2973" s="1829"/>
      <c r="BS2973" s="1829"/>
      <c r="BT2973" s="1829"/>
      <c r="BU2973" s="1829"/>
      <c r="BV2973" s="1829"/>
      <c r="BW2973" s="1829"/>
      <c r="BX2973" s="1829"/>
      <c r="BY2973" s="1829"/>
      <c r="BZ2973" s="1829"/>
      <c r="CA2973" s="1829"/>
      <c r="CB2973" s="1829"/>
      <c r="CC2973" s="1829"/>
      <c r="CD2973" s="1829"/>
      <c r="CE2973" s="1829"/>
      <c r="CF2973" s="1829"/>
      <c r="CG2973" s="1829"/>
      <c r="CH2973" s="1829"/>
      <c r="CI2973" s="1829"/>
      <c r="CJ2973" s="1829"/>
      <c r="CK2973" s="1829"/>
    </row>
    <row r="2974" spans="1:89" s="1081" customFormat="1" ht="27" customHeight="1" x14ac:dyDescent="0.25">
      <c r="A2974" s="1074">
        <v>26</v>
      </c>
      <c r="B2974" s="1689" t="s">
        <v>1047</v>
      </c>
      <c r="C2974" s="1075">
        <v>1</v>
      </c>
      <c r="D2974" s="1698" t="s">
        <v>16</v>
      </c>
      <c r="E2974" s="1077">
        <v>450000</v>
      </c>
      <c r="F2974" s="1077"/>
      <c r="G2974" s="1077"/>
      <c r="H2974" s="1077"/>
      <c r="I2974" s="1077"/>
      <c r="J2974" s="1077">
        <f t="shared" si="276"/>
        <v>450000</v>
      </c>
      <c r="K2974" s="1078">
        <f t="shared" si="277"/>
        <v>450000</v>
      </c>
      <c r="L2974" s="1077"/>
      <c r="M2974" s="1077"/>
      <c r="N2974" s="1078"/>
      <c r="O2974" s="1079">
        <f t="shared" si="278"/>
        <v>450000</v>
      </c>
      <c r="P2974" s="1080"/>
      <c r="Q2974" s="1829"/>
      <c r="R2974" s="1829"/>
      <c r="S2974" s="1829"/>
      <c r="T2974" s="1829"/>
      <c r="U2974" s="1829"/>
      <c r="V2974" s="1829"/>
      <c r="W2974" s="1829"/>
      <c r="X2974" s="1829"/>
      <c r="Y2974" s="1829"/>
      <c r="Z2974" s="1829"/>
      <c r="AA2974" s="1829"/>
      <c r="AB2974" s="1829"/>
      <c r="AC2974" s="1829"/>
      <c r="AD2974" s="1829"/>
      <c r="AE2974" s="1829"/>
      <c r="AF2974" s="1829"/>
      <c r="AG2974" s="1829"/>
      <c r="AH2974" s="1829"/>
      <c r="AI2974" s="1829"/>
      <c r="AJ2974" s="1829"/>
      <c r="AK2974" s="1829"/>
      <c r="AL2974" s="1829"/>
      <c r="AM2974" s="1829"/>
      <c r="AN2974" s="1829"/>
      <c r="AO2974" s="1829"/>
      <c r="AP2974" s="1829"/>
      <c r="AQ2974" s="1829"/>
      <c r="AR2974" s="1829"/>
      <c r="AS2974" s="1829"/>
      <c r="AT2974" s="1829"/>
      <c r="AU2974" s="1829"/>
      <c r="AV2974" s="1829"/>
      <c r="AW2974" s="1829"/>
      <c r="AX2974" s="1829"/>
      <c r="AY2974" s="1829"/>
      <c r="AZ2974" s="1829"/>
      <c r="BA2974" s="1829"/>
      <c r="BB2974" s="1829"/>
      <c r="BC2974" s="1829"/>
      <c r="BD2974" s="1829"/>
      <c r="BE2974" s="1829"/>
      <c r="BF2974" s="1829"/>
      <c r="BG2974" s="1829"/>
      <c r="BH2974" s="1829"/>
      <c r="BI2974" s="1829"/>
      <c r="BJ2974" s="1829"/>
      <c r="BK2974" s="1829"/>
      <c r="BL2974" s="1829"/>
      <c r="BM2974" s="1829"/>
      <c r="BN2974" s="1829"/>
      <c r="BO2974" s="1829"/>
      <c r="BP2974" s="1829"/>
      <c r="BQ2974" s="1829"/>
      <c r="BR2974" s="1829"/>
      <c r="BS2974" s="1829"/>
      <c r="BT2974" s="1829"/>
      <c r="BU2974" s="1829"/>
      <c r="BV2974" s="1829"/>
      <c r="BW2974" s="1829"/>
      <c r="BX2974" s="1829"/>
      <c r="BY2974" s="1829"/>
      <c r="BZ2974" s="1829"/>
      <c r="CA2974" s="1829"/>
      <c r="CB2974" s="1829"/>
      <c r="CC2974" s="1829"/>
      <c r="CD2974" s="1829"/>
      <c r="CE2974" s="1829"/>
      <c r="CF2974" s="1829"/>
      <c r="CG2974" s="1829"/>
      <c r="CH2974" s="1829"/>
      <c r="CI2974" s="1829"/>
      <c r="CJ2974" s="1829"/>
      <c r="CK2974" s="1829"/>
    </row>
    <row r="2975" spans="1:89" s="1081" customFormat="1" ht="32.25" customHeight="1" x14ac:dyDescent="0.25">
      <c r="A2975" s="1074">
        <v>27</v>
      </c>
      <c r="B2975" s="1699" t="s">
        <v>1048</v>
      </c>
      <c r="C2975" s="1700">
        <v>1</v>
      </c>
      <c r="D2975" s="1701" t="s">
        <v>16</v>
      </c>
      <c r="E2975" s="1680">
        <v>450000</v>
      </c>
      <c r="F2975" s="1680"/>
      <c r="G2975" s="1680"/>
      <c r="H2975" s="1680"/>
      <c r="I2975" s="1680"/>
      <c r="J2975" s="1680">
        <f t="shared" si="276"/>
        <v>450000</v>
      </c>
      <c r="K2975" s="1078">
        <f t="shared" si="277"/>
        <v>450000</v>
      </c>
      <c r="L2975" s="1680"/>
      <c r="M2975" s="1680"/>
      <c r="N2975" s="1078"/>
      <c r="O2975" s="1079">
        <f t="shared" si="278"/>
        <v>450000</v>
      </c>
      <c r="P2975" s="1080"/>
      <c r="Q2975" s="1829"/>
      <c r="R2975" s="1829"/>
      <c r="S2975" s="1829"/>
      <c r="T2975" s="1829"/>
      <c r="U2975" s="1829"/>
      <c r="V2975" s="1829"/>
      <c r="W2975" s="1829"/>
      <c r="X2975" s="1829"/>
      <c r="Y2975" s="1829"/>
      <c r="Z2975" s="1829"/>
      <c r="AA2975" s="1829"/>
      <c r="AB2975" s="1829"/>
      <c r="AC2975" s="1829"/>
      <c r="AD2975" s="1829"/>
      <c r="AE2975" s="1829"/>
      <c r="AF2975" s="1829"/>
      <c r="AG2975" s="1829"/>
      <c r="AH2975" s="1829"/>
      <c r="AI2975" s="1829"/>
      <c r="AJ2975" s="1829"/>
      <c r="AK2975" s="1829"/>
      <c r="AL2975" s="1829"/>
      <c r="AM2975" s="1829"/>
      <c r="AN2975" s="1829"/>
      <c r="AO2975" s="1829"/>
      <c r="AP2975" s="1829"/>
      <c r="AQ2975" s="1829"/>
      <c r="AR2975" s="1829"/>
      <c r="AS2975" s="1829"/>
      <c r="AT2975" s="1829"/>
      <c r="AU2975" s="1829"/>
      <c r="AV2975" s="1829"/>
      <c r="AW2975" s="1829"/>
      <c r="AX2975" s="1829"/>
      <c r="AY2975" s="1829"/>
      <c r="AZ2975" s="1829"/>
      <c r="BA2975" s="1829"/>
      <c r="BB2975" s="1829"/>
      <c r="BC2975" s="1829"/>
      <c r="BD2975" s="1829"/>
      <c r="BE2975" s="1829"/>
      <c r="BF2975" s="1829"/>
      <c r="BG2975" s="1829"/>
      <c r="BH2975" s="1829"/>
      <c r="BI2975" s="1829"/>
      <c r="BJ2975" s="1829"/>
      <c r="BK2975" s="1829"/>
      <c r="BL2975" s="1829"/>
      <c r="BM2975" s="1829"/>
      <c r="BN2975" s="1829"/>
      <c r="BO2975" s="1829"/>
      <c r="BP2975" s="1829"/>
      <c r="BQ2975" s="1829"/>
      <c r="BR2975" s="1829"/>
      <c r="BS2975" s="1829"/>
      <c r="BT2975" s="1829"/>
      <c r="BU2975" s="1829"/>
      <c r="BV2975" s="1829"/>
      <c r="BW2975" s="1829"/>
      <c r="BX2975" s="1829"/>
      <c r="BY2975" s="1829"/>
      <c r="BZ2975" s="1829"/>
      <c r="CA2975" s="1829"/>
      <c r="CB2975" s="1829"/>
      <c r="CC2975" s="1829"/>
      <c r="CD2975" s="1829"/>
      <c r="CE2975" s="1829"/>
      <c r="CF2975" s="1829"/>
      <c r="CG2975" s="1829"/>
      <c r="CH2975" s="1829"/>
      <c r="CI2975" s="1829"/>
      <c r="CJ2975" s="1829"/>
      <c r="CK2975" s="1829"/>
    </row>
    <row r="2976" spans="1:89" s="1703" customFormat="1" ht="34.5" customHeight="1" x14ac:dyDescent="0.25">
      <c r="A2976" s="1074">
        <v>28</v>
      </c>
      <c r="B2976" s="1702" t="s">
        <v>1049</v>
      </c>
      <c r="C2976" s="1695">
        <v>1</v>
      </c>
      <c r="D2976" s="1701" t="s">
        <v>16</v>
      </c>
      <c r="E2976" s="1679">
        <v>200000</v>
      </c>
      <c r="F2976" s="1680"/>
      <c r="G2976" s="1680"/>
      <c r="H2976" s="1680"/>
      <c r="I2976" s="1680"/>
      <c r="J2976" s="1680">
        <f t="shared" si="276"/>
        <v>200000</v>
      </c>
      <c r="K2976" s="1078">
        <f t="shared" si="277"/>
        <v>200000</v>
      </c>
      <c r="L2976" s="1078"/>
      <c r="M2976" s="1078"/>
      <c r="N2976" s="1078"/>
      <c r="O2976" s="1079">
        <f t="shared" si="278"/>
        <v>200000</v>
      </c>
      <c r="P2976" s="1080"/>
      <c r="Q2976" s="1831"/>
      <c r="R2976" s="1831"/>
      <c r="S2976" s="1831"/>
      <c r="T2976" s="1831"/>
      <c r="U2976" s="1831"/>
      <c r="V2976" s="1831"/>
      <c r="W2976" s="1831"/>
      <c r="X2976" s="1831"/>
      <c r="Y2976" s="1831"/>
      <c r="Z2976" s="1831"/>
      <c r="AA2976" s="1831"/>
      <c r="AB2976" s="1831"/>
      <c r="AC2976" s="1831"/>
      <c r="AD2976" s="1831"/>
      <c r="AE2976" s="1831"/>
      <c r="AF2976" s="1831"/>
      <c r="AG2976" s="1831"/>
      <c r="AH2976" s="1831"/>
      <c r="AI2976" s="1831"/>
      <c r="AJ2976" s="1831"/>
      <c r="AK2976" s="1831"/>
      <c r="AL2976" s="1831"/>
      <c r="AM2976" s="1831"/>
      <c r="AN2976" s="1831"/>
      <c r="AO2976" s="1831"/>
      <c r="AP2976" s="1831"/>
      <c r="AQ2976" s="1831"/>
      <c r="AR2976" s="1831"/>
      <c r="AS2976" s="1831"/>
      <c r="AT2976" s="1831"/>
      <c r="AU2976" s="1831"/>
      <c r="AV2976" s="1831"/>
      <c r="AW2976" s="1831"/>
      <c r="AX2976" s="1831"/>
      <c r="AY2976" s="1831"/>
      <c r="AZ2976" s="1831"/>
      <c r="BA2976" s="1831"/>
      <c r="BB2976" s="1831"/>
      <c r="BC2976" s="1831"/>
      <c r="BD2976" s="1831"/>
      <c r="BE2976" s="1831"/>
      <c r="BF2976" s="1831"/>
      <c r="BG2976" s="1831"/>
      <c r="BH2976" s="1831"/>
      <c r="BI2976" s="1831"/>
      <c r="BJ2976" s="1831"/>
      <c r="BK2976" s="1831"/>
      <c r="BL2976" s="1831"/>
      <c r="BM2976" s="1831"/>
      <c r="BN2976" s="1831"/>
      <c r="BO2976" s="1831"/>
      <c r="BP2976" s="1831"/>
      <c r="BQ2976" s="1831"/>
      <c r="BR2976" s="1831"/>
      <c r="BS2976" s="1831"/>
      <c r="BT2976" s="1831"/>
      <c r="BU2976" s="1831"/>
      <c r="BV2976" s="1831"/>
      <c r="BW2976" s="1831"/>
      <c r="BX2976" s="1831"/>
      <c r="BY2976" s="1831"/>
      <c r="BZ2976" s="1831"/>
      <c r="CA2976" s="1831"/>
      <c r="CB2976" s="1831"/>
      <c r="CC2976" s="1831"/>
      <c r="CD2976" s="1831"/>
      <c r="CE2976" s="1831"/>
      <c r="CF2976" s="1831"/>
      <c r="CG2976" s="1831"/>
      <c r="CH2976" s="1831"/>
      <c r="CI2976" s="1831"/>
      <c r="CJ2976" s="1831"/>
      <c r="CK2976" s="1831"/>
    </row>
    <row r="2977" spans="1:89" s="1081" customFormat="1" ht="23.25" customHeight="1" x14ac:dyDescent="0.25">
      <c r="A2977" s="1074">
        <v>29</v>
      </c>
      <c r="B2977" s="1702" t="s">
        <v>1050</v>
      </c>
      <c r="C2977" s="1695">
        <v>1</v>
      </c>
      <c r="D2977" s="1701" t="s">
        <v>16</v>
      </c>
      <c r="E2977" s="1679">
        <v>300000</v>
      </c>
      <c r="F2977" s="1680"/>
      <c r="G2977" s="1680"/>
      <c r="H2977" s="1680"/>
      <c r="I2977" s="1680"/>
      <c r="J2977" s="1680">
        <f t="shared" si="276"/>
        <v>300000</v>
      </c>
      <c r="K2977" s="1078">
        <f t="shared" si="277"/>
        <v>300000</v>
      </c>
      <c r="L2977" s="1078"/>
      <c r="M2977" s="1078"/>
      <c r="N2977" s="1078"/>
      <c r="O2977" s="1079">
        <f t="shared" si="278"/>
        <v>300000</v>
      </c>
      <c r="P2977" s="1080"/>
      <c r="Q2977" s="1829"/>
      <c r="R2977" s="1829"/>
      <c r="S2977" s="1829"/>
      <c r="T2977" s="1829"/>
      <c r="U2977" s="1829"/>
      <c r="V2977" s="1829"/>
      <c r="W2977" s="1829"/>
      <c r="X2977" s="1829"/>
      <c r="Y2977" s="1829"/>
      <c r="Z2977" s="1829"/>
      <c r="AA2977" s="1829"/>
      <c r="AB2977" s="1829"/>
      <c r="AC2977" s="1829"/>
      <c r="AD2977" s="1829"/>
      <c r="AE2977" s="1829"/>
      <c r="AF2977" s="1829"/>
      <c r="AG2977" s="1829"/>
      <c r="AH2977" s="1829"/>
      <c r="AI2977" s="1829"/>
      <c r="AJ2977" s="1829"/>
      <c r="AK2977" s="1829"/>
      <c r="AL2977" s="1829"/>
      <c r="AM2977" s="1829"/>
      <c r="AN2977" s="1829"/>
      <c r="AO2977" s="1829"/>
      <c r="AP2977" s="1829"/>
      <c r="AQ2977" s="1829"/>
      <c r="AR2977" s="1829"/>
      <c r="AS2977" s="1829"/>
      <c r="AT2977" s="1829"/>
      <c r="AU2977" s="1829"/>
      <c r="AV2977" s="1829"/>
      <c r="AW2977" s="1829"/>
      <c r="AX2977" s="1829"/>
      <c r="AY2977" s="1829"/>
      <c r="AZ2977" s="1829"/>
      <c r="BA2977" s="1829"/>
      <c r="BB2977" s="1829"/>
      <c r="BC2977" s="1829"/>
      <c r="BD2977" s="1829"/>
      <c r="BE2977" s="1829"/>
      <c r="BF2977" s="1829"/>
      <c r="BG2977" s="1829"/>
      <c r="BH2977" s="1829"/>
      <c r="BI2977" s="1829"/>
      <c r="BJ2977" s="1829"/>
      <c r="BK2977" s="1829"/>
      <c r="BL2977" s="1829"/>
      <c r="BM2977" s="1829"/>
      <c r="BN2977" s="1829"/>
      <c r="BO2977" s="1829"/>
      <c r="BP2977" s="1829"/>
      <c r="BQ2977" s="1829"/>
      <c r="BR2977" s="1829"/>
      <c r="BS2977" s="1829"/>
      <c r="BT2977" s="1829"/>
      <c r="BU2977" s="1829"/>
      <c r="BV2977" s="1829"/>
      <c r="BW2977" s="1829"/>
      <c r="BX2977" s="1829"/>
      <c r="BY2977" s="1829"/>
      <c r="BZ2977" s="1829"/>
      <c r="CA2977" s="1829"/>
      <c r="CB2977" s="1829"/>
      <c r="CC2977" s="1829"/>
      <c r="CD2977" s="1829"/>
      <c r="CE2977" s="1829"/>
      <c r="CF2977" s="1829"/>
      <c r="CG2977" s="1829"/>
      <c r="CH2977" s="1829"/>
      <c r="CI2977" s="1829"/>
      <c r="CJ2977" s="1829"/>
      <c r="CK2977" s="1829"/>
    </row>
    <row r="2978" spans="1:89" s="1081" customFormat="1" ht="39" customHeight="1" x14ac:dyDescent="0.25">
      <c r="A2978" s="1074">
        <v>30</v>
      </c>
      <c r="B2978" s="1085" t="s">
        <v>1051</v>
      </c>
      <c r="C2978" s="1695">
        <v>1</v>
      </c>
      <c r="D2978" s="1086" t="s">
        <v>16</v>
      </c>
      <c r="E2978" s="1087">
        <v>300000</v>
      </c>
      <c r="F2978" s="1078"/>
      <c r="G2978" s="1078"/>
      <c r="H2978" s="1078"/>
      <c r="I2978" s="1078"/>
      <c r="J2978" s="1078">
        <f t="shared" si="276"/>
        <v>300000</v>
      </c>
      <c r="K2978" s="1078">
        <f t="shared" si="277"/>
        <v>300000</v>
      </c>
      <c r="L2978" s="1078"/>
      <c r="M2978" s="1078"/>
      <c r="N2978" s="1078"/>
      <c r="O2978" s="1079">
        <f t="shared" si="278"/>
        <v>300000</v>
      </c>
      <c r="P2978" s="1080"/>
      <c r="Q2978" s="1829"/>
      <c r="R2978" s="1829"/>
      <c r="S2978" s="1829"/>
      <c r="T2978" s="1829"/>
      <c r="U2978" s="1829"/>
      <c r="V2978" s="1829"/>
      <c r="W2978" s="1829"/>
      <c r="X2978" s="1829"/>
      <c r="Y2978" s="1829"/>
      <c r="Z2978" s="1829"/>
      <c r="AA2978" s="1829"/>
      <c r="AB2978" s="1829"/>
      <c r="AC2978" s="1829"/>
      <c r="AD2978" s="1829"/>
      <c r="AE2978" s="1829"/>
      <c r="AF2978" s="1829"/>
      <c r="AG2978" s="1829"/>
      <c r="AH2978" s="1829"/>
      <c r="AI2978" s="1829"/>
      <c r="AJ2978" s="1829"/>
      <c r="AK2978" s="1829"/>
      <c r="AL2978" s="1829"/>
      <c r="AM2978" s="1829"/>
      <c r="AN2978" s="1829"/>
      <c r="AO2978" s="1829"/>
      <c r="AP2978" s="1829"/>
      <c r="AQ2978" s="1829"/>
      <c r="AR2978" s="1829"/>
      <c r="AS2978" s="1829"/>
      <c r="AT2978" s="1829"/>
      <c r="AU2978" s="1829"/>
      <c r="AV2978" s="1829"/>
      <c r="AW2978" s="1829"/>
      <c r="AX2978" s="1829"/>
      <c r="AY2978" s="1829"/>
      <c r="AZ2978" s="1829"/>
      <c r="BA2978" s="1829"/>
      <c r="BB2978" s="1829"/>
      <c r="BC2978" s="1829"/>
      <c r="BD2978" s="1829"/>
      <c r="BE2978" s="1829"/>
      <c r="BF2978" s="1829"/>
      <c r="BG2978" s="1829"/>
      <c r="BH2978" s="1829"/>
      <c r="BI2978" s="1829"/>
      <c r="BJ2978" s="1829"/>
      <c r="BK2978" s="1829"/>
      <c r="BL2978" s="1829"/>
      <c r="BM2978" s="1829"/>
      <c r="BN2978" s="1829"/>
      <c r="BO2978" s="1829"/>
      <c r="BP2978" s="1829"/>
      <c r="BQ2978" s="1829"/>
      <c r="BR2978" s="1829"/>
      <c r="BS2978" s="1829"/>
      <c r="BT2978" s="1829"/>
      <c r="BU2978" s="1829"/>
      <c r="BV2978" s="1829"/>
      <c r="BW2978" s="1829"/>
      <c r="BX2978" s="1829"/>
      <c r="BY2978" s="1829"/>
      <c r="BZ2978" s="1829"/>
      <c r="CA2978" s="1829"/>
      <c r="CB2978" s="1829"/>
      <c r="CC2978" s="1829"/>
      <c r="CD2978" s="1829"/>
      <c r="CE2978" s="1829"/>
      <c r="CF2978" s="1829"/>
      <c r="CG2978" s="1829"/>
      <c r="CH2978" s="1829"/>
      <c r="CI2978" s="1829"/>
      <c r="CJ2978" s="1829"/>
      <c r="CK2978" s="1829"/>
    </row>
    <row r="2979" spans="1:89" s="1081" customFormat="1" ht="35.25" customHeight="1" x14ac:dyDescent="0.25">
      <c r="A2979" s="1074">
        <v>31</v>
      </c>
      <c r="B2979" s="1085" t="s">
        <v>1052</v>
      </c>
      <c r="C2979" s="1695">
        <v>1</v>
      </c>
      <c r="D2979" s="1086" t="s">
        <v>16</v>
      </c>
      <c r="E2979" s="1087">
        <v>200000</v>
      </c>
      <c r="F2979" s="1078"/>
      <c r="G2979" s="1078"/>
      <c r="H2979" s="1078"/>
      <c r="I2979" s="1078"/>
      <c r="J2979" s="1078">
        <f t="shared" si="276"/>
        <v>200000</v>
      </c>
      <c r="K2979" s="1078">
        <f t="shared" si="277"/>
        <v>200000</v>
      </c>
      <c r="L2979" s="1078"/>
      <c r="M2979" s="1078"/>
      <c r="N2979" s="1078"/>
      <c r="O2979" s="1079">
        <f t="shared" si="278"/>
        <v>200000</v>
      </c>
      <c r="P2979" s="1080"/>
      <c r="Q2979" s="1829"/>
      <c r="R2979" s="1829"/>
      <c r="S2979" s="1829"/>
      <c r="T2979" s="1829"/>
      <c r="U2979" s="1829"/>
      <c r="V2979" s="1829"/>
      <c r="W2979" s="1829"/>
      <c r="X2979" s="1829"/>
      <c r="Y2979" s="1829"/>
      <c r="Z2979" s="1829"/>
      <c r="AA2979" s="1829"/>
      <c r="AB2979" s="1829"/>
      <c r="AC2979" s="1829"/>
      <c r="AD2979" s="1829"/>
      <c r="AE2979" s="1829"/>
      <c r="AF2979" s="1829"/>
      <c r="AG2979" s="1829"/>
      <c r="AH2979" s="1829"/>
      <c r="AI2979" s="1829"/>
      <c r="AJ2979" s="1829"/>
      <c r="AK2979" s="1829"/>
      <c r="AL2979" s="1829"/>
      <c r="AM2979" s="1829"/>
      <c r="AN2979" s="1829"/>
      <c r="AO2979" s="1829"/>
      <c r="AP2979" s="1829"/>
      <c r="AQ2979" s="1829"/>
      <c r="AR2979" s="1829"/>
      <c r="AS2979" s="1829"/>
      <c r="AT2979" s="1829"/>
      <c r="AU2979" s="1829"/>
      <c r="AV2979" s="1829"/>
      <c r="AW2979" s="1829"/>
      <c r="AX2979" s="1829"/>
      <c r="AY2979" s="1829"/>
      <c r="AZ2979" s="1829"/>
      <c r="BA2979" s="1829"/>
      <c r="BB2979" s="1829"/>
      <c r="BC2979" s="1829"/>
      <c r="BD2979" s="1829"/>
      <c r="BE2979" s="1829"/>
      <c r="BF2979" s="1829"/>
      <c r="BG2979" s="1829"/>
      <c r="BH2979" s="1829"/>
      <c r="BI2979" s="1829"/>
      <c r="BJ2979" s="1829"/>
      <c r="BK2979" s="1829"/>
      <c r="BL2979" s="1829"/>
      <c r="BM2979" s="1829"/>
      <c r="BN2979" s="1829"/>
      <c r="BO2979" s="1829"/>
      <c r="BP2979" s="1829"/>
      <c r="BQ2979" s="1829"/>
      <c r="BR2979" s="1829"/>
      <c r="BS2979" s="1829"/>
      <c r="BT2979" s="1829"/>
      <c r="BU2979" s="1829"/>
      <c r="BV2979" s="1829"/>
      <c r="BW2979" s="1829"/>
      <c r="BX2979" s="1829"/>
      <c r="BY2979" s="1829"/>
      <c r="BZ2979" s="1829"/>
      <c r="CA2979" s="1829"/>
      <c r="CB2979" s="1829"/>
      <c r="CC2979" s="1829"/>
      <c r="CD2979" s="1829"/>
      <c r="CE2979" s="1829"/>
      <c r="CF2979" s="1829"/>
      <c r="CG2979" s="1829"/>
      <c r="CH2979" s="1829"/>
      <c r="CI2979" s="1829"/>
      <c r="CJ2979" s="1829"/>
      <c r="CK2979" s="1829"/>
    </row>
    <row r="2980" spans="1:89" ht="20.25" customHeight="1" x14ac:dyDescent="0.25">
      <c r="A2980" s="942"/>
      <c r="B2980" s="895"/>
      <c r="C2980" s="713"/>
      <c r="D2980" s="943"/>
      <c r="E2980" s="944"/>
      <c r="F2980" s="714"/>
      <c r="G2980" s="714"/>
      <c r="H2980" s="714"/>
      <c r="I2980" s="714"/>
      <c r="J2980" s="714"/>
      <c r="K2980" s="714"/>
      <c r="L2980" s="714"/>
      <c r="M2980" s="714"/>
      <c r="N2980" s="714"/>
      <c r="O2980" s="753"/>
      <c r="P2980" s="754"/>
    </row>
    <row r="2981" spans="1:89" ht="27.75" customHeight="1" x14ac:dyDescent="0.25">
      <c r="A2981" s="942"/>
      <c r="B2981" s="945" t="s">
        <v>1053</v>
      </c>
      <c r="C2981" s="713"/>
      <c r="D2981" s="943"/>
      <c r="E2981" s="944"/>
      <c r="F2981" s="714"/>
      <c r="G2981" s="714"/>
      <c r="H2981" s="714"/>
      <c r="I2981" s="714"/>
      <c r="J2981" s="714">
        <f>C2981*E2981</f>
        <v>0</v>
      </c>
      <c r="K2981" s="714">
        <f>I2981+J2981</f>
        <v>0</v>
      </c>
      <c r="L2981" s="714"/>
      <c r="M2981" s="714"/>
      <c r="N2981" s="714"/>
      <c r="O2981" s="753">
        <f>N2981+K2981+H2981</f>
        <v>0</v>
      </c>
      <c r="P2981" s="754"/>
    </row>
    <row r="2982" spans="1:89" ht="20.25" customHeight="1" x14ac:dyDescent="0.25">
      <c r="A2982" s="942"/>
      <c r="B2982" s="895"/>
      <c r="C2982" s="713"/>
      <c r="D2982" s="943"/>
      <c r="E2982" s="944"/>
      <c r="F2982" s="714"/>
      <c r="G2982" s="714"/>
      <c r="H2982" s="714"/>
      <c r="I2982" s="714"/>
      <c r="J2982" s="714"/>
      <c r="K2982" s="714"/>
      <c r="L2982" s="714">
        <f>E2982*C2982</f>
        <v>0</v>
      </c>
      <c r="M2982" s="714"/>
      <c r="N2982" s="714">
        <f>M2982+L2982</f>
        <v>0</v>
      </c>
      <c r="O2982" s="753">
        <f>N2982+K2982+H2982</f>
        <v>0</v>
      </c>
      <c r="P2982" s="754"/>
    </row>
    <row r="2983" spans="1:89" ht="29.25" customHeight="1" x14ac:dyDescent="0.25">
      <c r="A2983" s="942"/>
      <c r="B2983" s="895" t="s">
        <v>984</v>
      </c>
      <c r="C2983" s="713"/>
      <c r="D2983" s="943"/>
      <c r="E2983" s="944"/>
      <c r="F2983" s="714"/>
      <c r="G2983" s="714"/>
      <c r="H2983" s="714"/>
      <c r="I2983" s="714"/>
      <c r="J2983" s="714"/>
      <c r="K2983" s="714"/>
      <c r="L2983" s="714">
        <f>E2983*C2983</f>
        <v>0</v>
      </c>
      <c r="M2983" s="714"/>
      <c r="N2983" s="714">
        <f>M2983+L2983</f>
        <v>0</v>
      </c>
      <c r="O2983" s="753">
        <f>N2983+K2983+H2983</f>
        <v>0</v>
      </c>
      <c r="P2983" s="754"/>
    </row>
    <row r="2984" spans="1:89" s="1081" customFormat="1" ht="29.25" customHeight="1" x14ac:dyDescent="0.25">
      <c r="A2984" s="1088">
        <v>1</v>
      </c>
      <c r="B2984" s="1085" t="s">
        <v>1054</v>
      </c>
      <c r="C2984" s="1695">
        <v>1</v>
      </c>
      <c r="D2984" s="1086" t="s">
        <v>16</v>
      </c>
      <c r="E2984" s="1087">
        <v>400000</v>
      </c>
      <c r="F2984" s="1078"/>
      <c r="G2984" s="1078"/>
      <c r="H2984" s="1078"/>
      <c r="I2984" s="1078"/>
      <c r="J2984" s="1078">
        <f t="shared" ref="J2984:J2989" si="279">C2984*E2984</f>
        <v>400000</v>
      </c>
      <c r="K2984" s="1078">
        <f t="shared" ref="K2984:K2989" si="280">I2984+J2984</f>
        <v>400000</v>
      </c>
      <c r="L2984" s="1078"/>
      <c r="M2984" s="1078"/>
      <c r="N2984" s="1078"/>
      <c r="O2984" s="1079">
        <f t="shared" ref="O2984:O2991" si="281">K2984+N2984</f>
        <v>400000</v>
      </c>
      <c r="P2984" s="1080"/>
      <c r="Q2984" s="1829"/>
      <c r="R2984" s="1829"/>
      <c r="S2984" s="1829"/>
      <c r="T2984" s="1829"/>
      <c r="U2984" s="1829"/>
      <c r="V2984" s="1829"/>
      <c r="W2984" s="1829"/>
      <c r="X2984" s="1829"/>
      <c r="Y2984" s="1829"/>
      <c r="Z2984" s="1829"/>
      <c r="AA2984" s="1829"/>
      <c r="AB2984" s="1829"/>
      <c r="AC2984" s="1829"/>
      <c r="AD2984" s="1829"/>
      <c r="AE2984" s="1829"/>
      <c r="AF2984" s="1829"/>
      <c r="AG2984" s="1829"/>
      <c r="AH2984" s="1829"/>
      <c r="AI2984" s="1829"/>
      <c r="AJ2984" s="1829"/>
      <c r="AK2984" s="1829"/>
      <c r="AL2984" s="1829"/>
      <c r="AM2984" s="1829"/>
      <c r="AN2984" s="1829"/>
      <c r="AO2984" s="1829"/>
      <c r="AP2984" s="1829"/>
      <c r="AQ2984" s="1829"/>
      <c r="AR2984" s="1829"/>
      <c r="AS2984" s="1829"/>
      <c r="AT2984" s="1829"/>
      <c r="AU2984" s="1829"/>
      <c r="AV2984" s="1829"/>
      <c r="AW2984" s="1829"/>
      <c r="AX2984" s="1829"/>
      <c r="AY2984" s="1829"/>
      <c r="AZ2984" s="1829"/>
      <c r="BA2984" s="1829"/>
      <c r="BB2984" s="1829"/>
      <c r="BC2984" s="1829"/>
      <c r="BD2984" s="1829"/>
      <c r="BE2984" s="1829"/>
      <c r="BF2984" s="1829"/>
      <c r="BG2984" s="1829"/>
      <c r="BH2984" s="1829"/>
      <c r="BI2984" s="1829"/>
      <c r="BJ2984" s="1829"/>
      <c r="BK2984" s="1829"/>
      <c r="BL2984" s="1829"/>
      <c r="BM2984" s="1829"/>
      <c r="BN2984" s="1829"/>
      <c r="BO2984" s="1829"/>
      <c r="BP2984" s="1829"/>
      <c r="BQ2984" s="1829"/>
      <c r="BR2984" s="1829"/>
      <c r="BS2984" s="1829"/>
      <c r="BT2984" s="1829"/>
      <c r="BU2984" s="1829"/>
      <c r="BV2984" s="1829"/>
      <c r="BW2984" s="1829"/>
      <c r="BX2984" s="1829"/>
      <c r="BY2984" s="1829"/>
      <c r="BZ2984" s="1829"/>
      <c r="CA2984" s="1829"/>
      <c r="CB2984" s="1829"/>
      <c r="CC2984" s="1829"/>
      <c r="CD2984" s="1829"/>
      <c r="CE2984" s="1829"/>
      <c r="CF2984" s="1829"/>
      <c r="CG2984" s="1829"/>
      <c r="CH2984" s="1829"/>
      <c r="CI2984" s="1829"/>
      <c r="CJ2984" s="1829"/>
      <c r="CK2984" s="1829"/>
    </row>
    <row r="2985" spans="1:89" s="1081" customFormat="1" ht="29.25" customHeight="1" x14ac:dyDescent="0.25">
      <c r="A2985" s="1088">
        <v>2</v>
      </c>
      <c r="B2985" s="1085" t="s">
        <v>1055</v>
      </c>
      <c r="C2985" s="1695">
        <v>1</v>
      </c>
      <c r="D2985" s="1086" t="s">
        <v>16</v>
      </c>
      <c r="E2985" s="1087">
        <v>250000</v>
      </c>
      <c r="F2985" s="1078"/>
      <c r="G2985" s="1078"/>
      <c r="H2985" s="1078"/>
      <c r="I2985" s="1078"/>
      <c r="J2985" s="1078">
        <f t="shared" si="279"/>
        <v>250000</v>
      </c>
      <c r="K2985" s="1078">
        <f t="shared" si="280"/>
        <v>250000</v>
      </c>
      <c r="L2985" s="1078"/>
      <c r="M2985" s="1078"/>
      <c r="N2985" s="1078"/>
      <c r="O2985" s="1079">
        <f t="shared" si="281"/>
        <v>250000</v>
      </c>
      <c r="P2985" s="1080"/>
      <c r="Q2985" s="1829"/>
      <c r="R2985" s="1829"/>
      <c r="S2985" s="1829"/>
      <c r="T2985" s="1829"/>
      <c r="U2985" s="1829"/>
      <c r="V2985" s="1829"/>
      <c r="W2985" s="1829"/>
      <c r="X2985" s="1829"/>
      <c r="Y2985" s="1829"/>
      <c r="Z2985" s="1829"/>
      <c r="AA2985" s="1829"/>
      <c r="AB2985" s="1829"/>
      <c r="AC2985" s="1829"/>
      <c r="AD2985" s="1829"/>
      <c r="AE2985" s="1829"/>
      <c r="AF2985" s="1829"/>
      <c r="AG2985" s="1829"/>
      <c r="AH2985" s="1829"/>
      <c r="AI2985" s="1829"/>
      <c r="AJ2985" s="1829"/>
      <c r="AK2985" s="1829"/>
      <c r="AL2985" s="1829"/>
      <c r="AM2985" s="1829"/>
      <c r="AN2985" s="1829"/>
      <c r="AO2985" s="1829"/>
      <c r="AP2985" s="1829"/>
      <c r="AQ2985" s="1829"/>
      <c r="AR2985" s="1829"/>
      <c r="AS2985" s="1829"/>
      <c r="AT2985" s="1829"/>
      <c r="AU2985" s="1829"/>
      <c r="AV2985" s="1829"/>
      <c r="AW2985" s="1829"/>
      <c r="AX2985" s="1829"/>
      <c r="AY2985" s="1829"/>
      <c r="AZ2985" s="1829"/>
      <c r="BA2985" s="1829"/>
      <c r="BB2985" s="1829"/>
      <c r="BC2985" s="1829"/>
      <c r="BD2985" s="1829"/>
      <c r="BE2985" s="1829"/>
      <c r="BF2985" s="1829"/>
      <c r="BG2985" s="1829"/>
      <c r="BH2985" s="1829"/>
      <c r="BI2985" s="1829"/>
      <c r="BJ2985" s="1829"/>
      <c r="BK2985" s="1829"/>
      <c r="BL2985" s="1829"/>
      <c r="BM2985" s="1829"/>
      <c r="BN2985" s="1829"/>
      <c r="BO2985" s="1829"/>
      <c r="BP2985" s="1829"/>
      <c r="BQ2985" s="1829"/>
      <c r="BR2985" s="1829"/>
      <c r="BS2985" s="1829"/>
      <c r="BT2985" s="1829"/>
      <c r="BU2985" s="1829"/>
      <c r="BV2985" s="1829"/>
      <c r="BW2985" s="1829"/>
      <c r="BX2985" s="1829"/>
      <c r="BY2985" s="1829"/>
      <c r="BZ2985" s="1829"/>
      <c r="CA2985" s="1829"/>
      <c r="CB2985" s="1829"/>
      <c r="CC2985" s="1829"/>
      <c r="CD2985" s="1829"/>
      <c r="CE2985" s="1829"/>
      <c r="CF2985" s="1829"/>
      <c r="CG2985" s="1829"/>
      <c r="CH2985" s="1829"/>
      <c r="CI2985" s="1829"/>
      <c r="CJ2985" s="1829"/>
      <c r="CK2985" s="1829"/>
    </row>
    <row r="2986" spans="1:89" s="1081" customFormat="1" ht="29.25" customHeight="1" x14ac:dyDescent="0.25">
      <c r="A2986" s="1088">
        <v>3</v>
      </c>
      <c r="B2986" s="1085" t="s">
        <v>1056</v>
      </c>
      <c r="C2986" s="1695">
        <v>1</v>
      </c>
      <c r="D2986" s="1086" t="s">
        <v>16</v>
      </c>
      <c r="E2986" s="1087">
        <v>800000</v>
      </c>
      <c r="F2986" s="1078"/>
      <c r="G2986" s="1078"/>
      <c r="H2986" s="1078"/>
      <c r="I2986" s="1078"/>
      <c r="J2986" s="1078">
        <f t="shared" si="279"/>
        <v>800000</v>
      </c>
      <c r="K2986" s="1078">
        <f t="shared" si="280"/>
        <v>800000</v>
      </c>
      <c r="L2986" s="1078"/>
      <c r="M2986" s="1078"/>
      <c r="N2986" s="1078"/>
      <c r="O2986" s="1079">
        <f t="shared" si="281"/>
        <v>800000</v>
      </c>
      <c r="P2986" s="1080"/>
      <c r="Q2986" s="1829"/>
      <c r="R2986" s="1829"/>
      <c r="S2986" s="1829"/>
      <c r="T2986" s="1829"/>
      <c r="U2986" s="1829"/>
      <c r="V2986" s="1829"/>
      <c r="W2986" s="1829"/>
      <c r="X2986" s="1829"/>
      <c r="Y2986" s="1829"/>
      <c r="Z2986" s="1829"/>
      <c r="AA2986" s="1829"/>
      <c r="AB2986" s="1829"/>
      <c r="AC2986" s="1829"/>
      <c r="AD2986" s="1829"/>
      <c r="AE2986" s="1829"/>
      <c r="AF2986" s="1829"/>
      <c r="AG2986" s="1829"/>
      <c r="AH2986" s="1829"/>
      <c r="AI2986" s="1829"/>
      <c r="AJ2986" s="1829"/>
      <c r="AK2986" s="1829"/>
      <c r="AL2986" s="1829"/>
      <c r="AM2986" s="1829"/>
      <c r="AN2986" s="1829"/>
      <c r="AO2986" s="1829"/>
      <c r="AP2986" s="1829"/>
      <c r="AQ2986" s="1829"/>
      <c r="AR2986" s="1829"/>
      <c r="AS2986" s="1829"/>
      <c r="AT2986" s="1829"/>
      <c r="AU2986" s="1829"/>
      <c r="AV2986" s="1829"/>
      <c r="AW2986" s="1829"/>
      <c r="AX2986" s="1829"/>
      <c r="AY2986" s="1829"/>
      <c r="AZ2986" s="1829"/>
      <c r="BA2986" s="1829"/>
      <c r="BB2986" s="1829"/>
      <c r="BC2986" s="1829"/>
      <c r="BD2986" s="1829"/>
      <c r="BE2986" s="1829"/>
      <c r="BF2986" s="1829"/>
      <c r="BG2986" s="1829"/>
      <c r="BH2986" s="1829"/>
      <c r="BI2986" s="1829"/>
      <c r="BJ2986" s="1829"/>
      <c r="BK2986" s="1829"/>
      <c r="BL2986" s="1829"/>
      <c r="BM2986" s="1829"/>
      <c r="BN2986" s="1829"/>
      <c r="BO2986" s="1829"/>
      <c r="BP2986" s="1829"/>
      <c r="BQ2986" s="1829"/>
      <c r="BR2986" s="1829"/>
      <c r="BS2986" s="1829"/>
      <c r="BT2986" s="1829"/>
      <c r="BU2986" s="1829"/>
      <c r="BV2986" s="1829"/>
      <c r="BW2986" s="1829"/>
      <c r="BX2986" s="1829"/>
      <c r="BY2986" s="1829"/>
      <c r="BZ2986" s="1829"/>
      <c r="CA2986" s="1829"/>
      <c r="CB2986" s="1829"/>
      <c r="CC2986" s="1829"/>
      <c r="CD2986" s="1829"/>
      <c r="CE2986" s="1829"/>
      <c r="CF2986" s="1829"/>
      <c r="CG2986" s="1829"/>
      <c r="CH2986" s="1829"/>
      <c r="CI2986" s="1829"/>
      <c r="CJ2986" s="1829"/>
      <c r="CK2986" s="1829"/>
    </row>
    <row r="2987" spans="1:89" s="1081" customFormat="1" ht="29.25" customHeight="1" x14ac:dyDescent="0.25">
      <c r="A2987" s="1088">
        <v>4</v>
      </c>
      <c r="B2987" s="1085" t="s">
        <v>1057</v>
      </c>
      <c r="C2987" s="1695">
        <v>1</v>
      </c>
      <c r="D2987" s="1086" t="s">
        <v>16</v>
      </c>
      <c r="E2987" s="1087">
        <v>1168000</v>
      </c>
      <c r="F2987" s="1078"/>
      <c r="G2987" s="1078"/>
      <c r="H2987" s="1078"/>
      <c r="I2987" s="1078"/>
      <c r="J2987" s="1078">
        <f t="shared" si="279"/>
        <v>1168000</v>
      </c>
      <c r="K2987" s="1078">
        <f t="shared" si="280"/>
        <v>1168000</v>
      </c>
      <c r="L2987" s="1078"/>
      <c r="M2987" s="1078"/>
      <c r="N2987" s="1078"/>
      <c r="O2987" s="1079">
        <f t="shared" si="281"/>
        <v>1168000</v>
      </c>
      <c r="P2987" s="1080"/>
      <c r="Q2987" s="1829"/>
      <c r="R2987" s="1829"/>
      <c r="S2987" s="1829"/>
      <c r="T2987" s="1829"/>
      <c r="U2987" s="1829"/>
      <c r="V2987" s="1829"/>
      <c r="W2987" s="1829"/>
      <c r="X2987" s="1829"/>
      <c r="Y2987" s="1829"/>
      <c r="Z2987" s="1829"/>
      <c r="AA2987" s="1829"/>
      <c r="AB2987" s="1829"/>
      <c r="AC2987" s="1829"/>
      <c r="AD2987" s="1829"/>
      <c r="AE2987" s="1829"/>
      <c r="AF2987" s="1829"/>
      <c r="AG2987" s="1829"/>
      <c r="AH2987" s="1829"/>
      <c r="AI2987" s="1829"/>
      <c r="AJ2987" s="1829"/>
      <c r="AK2987" s="1829"/>
      <c r="AL2987" s="1829"/>
      <c r="AM2987" s="1829"/>
      <c r="AN2987" s="1829"/>
      <c r="AO2987" s="1829"/>
      <c r="AP2987" s="1829"/>
      <c r="AQ2987" s="1829"/>
      <c r="AR2987" s="1829"/>
      <c r="AS2987" s="1829"/>
      <c r="AT2987" s="1829"/>
      <c r="AU2987" s="1829"/>
      <c r="AV2987" s="1829"/>
      <c r="AW2987" s="1829"/>
      <c r="AX2987" s="1829"/>
      <c r="AY2987" s="1829"/>
      <c r="AZ2987" s="1829"/>
      <c r="BA2987" s="1829"/>
      <c r="BB2987" s="1829"/>
      <c r="BC2987" s="1829"/>
      <c r="BD2987" s="1829"/>
      <c r="BE2987" s="1829"/>
      <c r="BF2987" s="1829"/>
      <c r="BG2987" s="1829"/>
      <c r="BH2987" s="1829"/>
      <c r="BI2987" s="1829"/>
      <c r="BJ2987" s="1829"/>
      <c r="BK2987" s="1829"/>
      <c r="BL2987" s="1829"/>
      <c r="BM2987" s="1829"/>
      <c r="BN2987" s="1829"/>
      <c r="BO2987" s="1829"/>
      <c r="BP2987" s="1829"/>
      <c r="BQ2987" s="1829"/>
      <c r="BR2987" s="1829"/>
      <c r="BS2987" s="1829"/>
      <c r="BT2987" s="1829"/>
      <c r="BU2987" s="1829"/>
      <c r="BV2987" s="1829"/>
      <c r="BW2987" s="1829"/>
      <c r="BX2987" s="1829"/>
      <c r="BY2987" s="1829"/>
      <c r="BZ2987" s="1829"/>
      <c r="CA2987" s="1829"/>
      <c r="CB2987" s="1829"/>
      <c r="CC2987" s="1829"/>
      <c r="CD2987" s="1829"/>
      <c r="CE2987" s="1829"/>
      <c r="CF2987" s="1829"/>
      <c r="CG2987" s="1829"/>
      <c r="CH2987" s="1829"/>
      <c r="CI2987" s="1829"/>
      <c r="CJ2987" s="1829"/>
      <c r="CK2987" s="1829"/>
    </row>
    <row r="2988" spans="1:89" s="1081" customFormat="1" ht="29.25" customHeight="1" x14ac:dyDescent="0.25">
      <c r="A2988" s="1088">
        <v>5</v>
      </c>
      <c r="B2988" s="1085" t="s">
        <v>1613</v>
      </c>
      <c r="C2988" s="1695">
        <v>1</v>
      </c>
      <c r="D2988" s="1086" t="s">
        <v>16</v>
      </c>
      <c r="E2988" s="1087">
        <v>2500500</v>
      </c>
      <c r="F2988" s="1078"/>
      <c r="G2988" s="1078"/>
      <c r="H2988" s="1078"/>
      <c r="I2988" s="1078"/>
      <c r="J2988" s="1078">
        <f t="shared" si="279"/>
        <v>2500500</v>
      </c>
      <c r="K2988" s="1078">
        <f t="shared" si="280"/>
        <v>2500500</v>
      </c>
      <c r="L2988" s="1078"/>
      <c r="M2988" s="1078"/>
      <c r="N2988" s="1078"/>
      <c r="O2988" s="1079">
        <f t="shared" si="281"/>
        <v>2500500</v>
      </c>
      <c r="P2988" s="1080"/>
      <c r="Q2988" s="1829"/>
      <c r="R2988" s="1829"/>
      <c r="S2988" s="1829"/>
      <c r="T2988" s="1829"/>
      <c r="U2988" s="1829"/>
      <c r="V2988" s="1829"/>
      <c r="W2988" s="1829"/>
      <c r="X2988" s="1829"/>
      <c r="Y2988" s="1829"/>
      <c r="Z2988" s="1829"/>
      <c r="AA2988" s="1829"/>
      <c r="AB2988" s="1829"/>
      <c r="AC2988" s="1829"/>
      <c r="AD2988" s="1829"/>
      <c r="AE2988" s="1829"/>
      <c r="AF2988" s="1829"/>
      <c r="AG2988" s="1829"/>
      <c r="AH2988" s="1829"/>
      <c r="AI2988" s="1829"/>
      <c r="AJ2988" s="1829"/>
      <c r="AK2988" s="1829"/>
      <c r="AL2988" s="1829"/>
      <c r="AM2988" s="1829"/>
      <c r="AN2988" s="1829"/>
      <c r="AO2988" s="1829"/>
      <c r="AP2988" s="1829"/>
      <c r="AQ2988" s="1829"/>
      <c r="AR2988" s="1829"/>
      <c r="AS2988" s="1829"/>
      <c r="AT2988" s="1829"/>
      <c r="AU2988" s="1829"/>
      <c r="AV2988" s="1829"/>
      <c r="AW2988" s="1829"/>
      <c r="AX2988" s="1829"/>
      <c r="AY2988" s="1829"/>
      <c r="AZ2988" s="1829"/>
      <c r="BA2988" s="1829"/>
      <c r="BB2988" s="1829"/>
      <c r="BC2988" s="1829"/>
      <c r="BD2988" s="1829"/>
      <c r="BE2988" s="1829"/>
      <c r="BF2988" s="1829"/>
      <c r="BG2988" s="1829"/>
      <c r="BH2988" s="1829"/>
      <c r="BI2988" s="1829"/>
      <c r="BJ2988" s="1829"/>
      <c r="BK2988" s="1829"/>
      <c r="BL2988" s="1829"/>
      <c r="BM2988" s="1829"/>
      <c r="BN2988" s="1829"/>
      <c r="BO2988" s="1829"/>
      <c r="BP2988" s="1829"/>
      <c r="BQ2988" s="1829"/>
      <c r="BR2988" s="1829"/>
      <c r="BS2988" s="1829"/>
      <c r="BT2988" s="1829"/>
      <c r="BU2988" s="1829"/>
      <c r="BV2988" s="1829"/>
      <c r="BW2988" s="1829"/>
      <c r="BX2988" s="1829"/>
      <c r="BY2988" s="1829"/>
      <c r="BZ2988" s="1829"/>
      <c r="CA2988" s="1829"/>
      <c r="CB2988" s="1829"/>
      <c r="CC2988" s="1829"/>
      <c r="CD2988" s="1829"/>
      <c r="CE2988" s="1829"/>
      <c r="CF2988" s="1829"/>
      <c r="CG2988" s="1829"/>
      <c r="CH2988" s="1829"/>
      <c r="CI2988" s="1829"/>
      <c r="CJ2988" s="1829"/>
      <c r="CK2988" s="1829"/>
    </row>
    <row r="2989" spans="1:89" s="1081" customFormat="1" ht="33" customHeight="1" x14ac:dyDescent="0.25">
      <c r="A2989" s="1088">
        <v>6</v>
      </c>
      <c r="B2989" s="1085" t="s">
        <v>1614</v>
      </c>
      <c r="C2989" s="1695">
        <v>1</v>
      </c>
      <c r="D2989" s="1086" t="s">
        <v>16</v>
      </c>
      <c r="E2989" s="1087">
        <v>100000</v>
      </c>
      <c r="F2989" s="1078"/>
      <c r="G2989" s="1078"/>
      <c r="H2989" s="1078"/>
      <c r="I2989" s="1078"/>
      <c r="J2989" s="1078">
        <f t="shared" si="279"/>
        <v>100000</v>
      </c>
      <c r="K2989" s="1078">
        <f t="shared" si="280"/>
        <v>100000</v>
      </c>
      <c r="L2989" s="1078"/>
      <c r="M2989" s="1078"/>
      <c r="N2989" s="1078"/>
      <c r="O2989" s="1079">
        <f t="shared" si="281"/>
        <v>100000</v>
      </c>
      <c r="P2989" s="1080"/>
      <c r="Q2989" s="1829"/>
      <c r="R2989" s="1829"/>
      <c r="S2989" s="1829"/>
      <c r="T2989" s="1829"/>
      <c r="U2989" s="1829"/>
      <c r="V2989" s="1829"/>
      <c r="W2989" s="1829"/>
      <c r="X2989" s="1829"/>
      <c r="Y2989" s="1829"/>
      <c r="Z2989" s="1829"/>
      <c r="AA2989" s="1829"/>
      <c r="AB2989" s="1829"/>
      <c r="AC2989" s="1829"/>
      <c r="AD2989" s="1829"/>
      <c r="AE2989" s="1829"/>
      <c r="AF2989" s="1829"/>
      <c r="AG2989" s="1829"/>
      <c r="AH2989" s="1829"/>
      <c r="AI2989" s="1829"/>
      <c r="AJ2989" s="1829"/>
      <c r="AK2989" s="1829"/>
      <c r="AL2989" s="1829"/>
      <c r="AM2989" s="1829"/>
      <c r="AN2989" s="1829"/>
      <c r="AO2989" s="1829"/>
      <c r="AP2989" s="1829"/>
      <c r="AQ2989" s="1829"/>
      <c r="AR2989" s="1829"/>
      <c r="AS2989" s="1829"/>
      <c r="AT2989" s="1829"/>
      <c r="AU2989" s="1829"/>
      <c r="AV2989" s="1829"/>
      <c r="AW2989" s="1829"/>
      <c r="AX2989" s="1829"/>
      <c r="AY2989" s="1829"/>
      <c r="AZ2989" s="1829"/>
      <c r="BA2989" s="1829"/>
      <c r="BB2989" s="1829"/>
      <c r="BC2989" s="1829"/>
      <c r="BD2989" s="1829"/>
      <c r="BE2989" s="1829"/>
      <c r="BF2989" s="1829"/>
      <c r="BG2989" s="1829"/>
      <c r="BH2989" s="1829"/>
      <c r="BI2989" s="1829"/>
      <c r="BJ2989" s="1829"/>
      <c r="BK2989" s="1829"/>
      <c r="BL2989" s="1829"/>
      <c r="BM2989" s="1829"/>
      <c r="BN2989" s="1829"/>
      <c r="BO2989" s="1829"/>
      <c r="BP2989" s="1829"/>
      <c r="BQ2989" s="1829"/>
      <c r="BR2989" s="1829"/>
      <c r="BS2989" s="1829"/>
      <c r="BT2989" s="1829"/>
      <c r="BU2989" s="1829"/>
      <c r="BV2989" s="1829"/>
      <c r="BW2989" s="1829"/>
      <c r="BX2989" s="1829"/>
      <c r="BY2989" s="1829"/>
      <c r="BZ2989" s="1829"/>
      <c r="CA2989" s="1829"/>
      <c r="CB2989" s="1829"/>
      <c r="CC2989" s="1829"/>
      <c r="CD2989" s="1829"/>
      <c r="CE2989" s="1829"/>
      <c r="CF2989" s="1829"/>
      <c r="CG2989" s="1829"/>
      <c r="CH2989" s="1829"/>
      <c r="CI2989" s="1829"/>
      <c r="CJ2989" s="1829"/>
      <c r="CK2989" s="1829"/>
    </row>
    <row r="2990" spans="1:89" s="1081" customFormat="1" ht="29.25" customHeight="1" x14ac:dyDescent="0.25">
      <c r="A2990" s="1088">
        <v>7</v>
      </c>
      <c r="B2990" s="1085" t="s">
        <v>1615</v>
      </c>
      <c r="C2990" s="1695">
        <v>1</v>
      </c>
      <c r="D2990" s="1086" t="s">
        <v>16</v>
      </c>
      <c r="E2990" s="1087">
        <f>2999000-800000</f>
        <v>2199000</v>
      </c>
      <c r="F2990" s="1078"/>
      <c r="G2990" s="1078"/>
      <c r="H2990" s="1078"/>
      <c r="I2990" s="1078"/>
      <c r="J2990" s="1078"/>
      <c r="K2990" s="1078"/>
      <c r="L2990" s="1078">
        <f>E2990</f>
        <v>2199000</v>
      </c>
      <c r="M2990" s="1078"/>
      <c r="N2990" s="1078">
        <f>L2990+M2990</f>
        <v>2199000</v>
      </c>
      <c r="O2990" s="1079">
        <f t="shared" si="281"/>
        <v>2199000</v>
      </c>
      <c r="P2990" s="1080"/>
      <c r="Q2990" s="1829"/>
      <c r="R2990" s="1829"/>
      <c r="S2990" s="1829"/>
      <c r="T2990" s="1829"/>
      <c r="U2990" s="1829"/>
      <c r="V2990" s="1829"/>
      <c r="W2990" s="1829"/>
      <c r="X2990" s="1829"/>
      <c r="Y2990" s="1829"/>
      <c r="Z2990" s="1829"/>
      <c r="AA2990" s="1829"/>
      <c r="AB2990" s="1829"/>
      <c r="AC2990" s="1829"/>
      <c r="AD2990" s="1829"/>
      <c r="AE2990" s="1829"/>
      <c r="AF2990" s="1829"/>
      <c r="AG2990" s="1829"/>
      <c r="AH2990" s="1829"/>
      <c r="AI2990" s="1829"/>
      <c r="AJ2990" s="1829"/>
      <c r="AK2990" s="1829"/>
      <c r="AL2990" s="1829"/>
      <c r="AM2990" s="1829"/>
      <c r="AN2990" s="1829"/>
      <c r="AO2990" s="1829"/>
      <c r="AP2990" s="1829"/>
      <c r="AQ2990" s="1829"/>
      <c r="AR2990" s="1829"/>
      <c r="AS2990" s="1829"/>
      <c r="AT2990" s="1829"/>
      <c r="AU2990" s="1829"/>
      <c r="AV2990" s="1829"/>
      <c r="AW2990" s="1829"/>
      <c r="AX2990" s="1829"/>
      <c r="AY2990" s="1829"/>
      <c r="AZ2990" s="1829"/>
      <c r="BA2990" s="1829"/>
      <c r="BB2990" s="1829"/>
      <c r="BC2990" s="1829"/>
      <c r="BD2990" s="1829"/>
      <c r="BE2990" s="1829"/>
      <c r="BF2990" s="1829"/>
      <c r="BG2990" s="1829"/>
      <c r="BH2990" s="1829"/>
      <c r="BI2990" s="1829"/>
      <c r="BJ2990" s="1829"/>
      <c r="BK2990" s="1829"/>
      <c r="BL2990" s="1829"/>
      <c r="BM2990" s="1829"/>
      <c r="BN2990" s="1829"/>
      <c r="BO2990" s="1829"/>
      <c r="BP2990" s="1829"/>
      <c r="BQ2990" s="1829"/>
      <c r="BR2990" s="1829"/>
      <c r="BS2990" s="1829"/>
      <c r="BT2990" s="1829"/>
      <c r="BU2990" s="1829"/>
      <c r="BV2990" s="1829"/>
      <c r="BW2990" s="1829"/>
      <c r="BX2990" s="1829"/>
      <c r="BY2990" s="1829"/>
      <c r="BZ2990" s="1829"/>
      <c r="CA2990" s="1829"/>
      <c r="CB2990" s="1829"/>
      <c r="CC2990" s="1829"/>
      <c r="CD2990" s="1829"/>
      <c r="CE2990" s="1829"/>
      <c r="CF2990" s="1829"/>
      <c r="CG2990" s="1829"/>
      <c r="CH2990" s="1829"/>
      <c r="CI2990" s="1829"/>
      <c r="CJ2990" s="1829"/>
      <c r="CK2990" s="1829"/>
    </row>
    <row r="2991" spans="1:89" s="1081" customFormat="1" ht="29.25" customHeight="1" x14ac:dyDescent="0.25">
      <c r="A2991" s="1088">
        <v>8</v>
      </c>
      <c r="B2991" s="1085" t="s">
        <v>2081</v>
      </c>
      <c r="C2991" s="1695">
        <v>1</v>
      </c>
      <c r="D2991" s="1086" t="s">
        <v>16</v>
      </c>
      <c r="E2991" s="1087">
        <v>492500</v>
      </c>
      <c r="F2991" s="1078"/>
      <c r="G2991" s="1078"/>
      <c r="H2991" s="1078"/>
      <c r="I2991" s="1078"/>
      <c r="J2991" s="1078"/>
      <c r="K2991" s="1078"/>
      <c r="L2991" s="1078">
        <f>E2991</f>
        <v>492500</v>
      </c>
      <c r="M2991" s="1078"/>
      <c r="N2991" s="1078">
        <f>L2991+M2991</f>
        <v>492500</v>
      </c>
      <c r="O2991" s="1079">
        <f t="shared" si="281"/>
        <v>492500</v>
      </c>
      <c r="P2991" s="1080"/>
      <c r="Q2991" s="1829"/>
      <c r="R2991" s="1829"/>
      <c r="S2991" s="1829"/>
      <c r="T2991" s="1829"/>
      <c r="U2991" s="1829"/>
      <c r="V2991" s="1829"/>
      <c r="W2991" s="1829"/>
      <c r="X2991" s="1829"/>
      <c r="Y2991" s="1829"/>
      <c r="Z2991" s="1829"/>
      <c r="AA2991" s="1829"/>
      <c r="AB2991" s="1829"/>
      <c r="AC2991" s="1829"/>
      <c r="AD2991" s="1829"/>
      <c r="AE2991" s="1829"/>
      <c r="AF2991" s="1829"/>
      <c r="AG2991" s="1829"/>
      <c r="AH2991" s="1829"/>
      <c r="AI2991" s="1829"/>
      <c r="AJ2991" s="1829"/>
      <c r="AK2991" s="1829"/>
      <c r="AL2991" s="1829"/>
      <c r="AM2991" s="1829"/>
      <c r="AN2991" s="1829"/>
      <c r="AO2991" s="1829"/>
      <c r="AP2991" s="1829"/>
      <c r="AQ2991" s="1829"/>
      <c r="AR2991" s="1829"/>
      <c r="AS2991" s="1829"/>
      <c r="AT2991" s="1829"/>
      <c r="AU2991" s="1829"/>
      <c r="AV2991" s="1829"/>
      <c r="AW2991" s="1829"/>
      <c r="AX2991" s="1829"/>
      <c r="AY2991" s="1829"/>
      <c r="AZ2991" s="1829"/>
      <c r="BA2991" s="1829"/>
      <c r="BB2991" s="1829"/>
      <c r="BC2991" s="1829"/>
      <c r="BD2991" s="1829"/>
      <c r="BE2991" s="1829"/>
      <c r="BF2991" s="1829"/>
      <c r="BG2991" s="1829"/>
      <c r="BH2991" s="1829"/>
      <c r="BI2991" s="1829"/>
      <c r="BJ2991" s="1829"/>
      <c r="BK2991" s="1829"/>
      <c r="BL2991" s="1829"/>
      <c r="BM2991" s="1829"/>
      <c r="BN2991" s="1829"/>
      <c r="BO2991" s="1829"/>
      <c r="BP2991" s="1829"/>
      <c r="BQ2991" s="1829"/>
      <c r="BR2991" s="1829"/>
      <c r="BS2991" s="1829"/>
      <c r="BT2991" s="1829"/>
      <c r="BU2991" s="1829"/>
      <c r="BV2991" s="1829"/>
      <c r="BW2991" s="1829"/>
      <c r="BX2991" s="1829"/>
      <c r="BY2991" s="1829"/>
      <c r="BZ2991" s="1829"/>
      <c r="CA2991" s="1829"/>
      <c r="CB2991" s="1829"/>
      <c r="CC2991" s="1829"/>
      <c r="CD2991" s="1829"/>
      <c r="CE2991" s="1829"/>
      <c r="CF2991" s="1829"/>
      <c r="CG2991" s="1829"/>
      <c r="CH2991" s="1829"/>
      <c r="CI2991" s="1829"/>
      <c r="CJ2991" s="1829"/>
      <c r="CK2991" s="1829"/>
    </row>
    <row r="2992" spans="1:89" ht="29.25" customHeight="1" x14ac:dyDescent="0.25">
      <c r="A2992" s="942"/>
      <c r="B2992" s="895"/>
      <c r="C2992" s="713"/>
      <c r="D2992" s="943"/>
      <c r="E2992" s="944"/>
      <c r="F2992" s="714"/>
      <c r="G2992" s="714"/>
      <c r="H2992" s="714"/>
      <c r="I2992" s="714"/>
      <c r="J2992" s="714"/>
      <c r="K2992" s="714"/>
      <c r="L2992" s="714"/>
      <c r="M2992" s="714"/>
      <c r="N2992" s="714"/>
      <c r="O2992" s="753"/>
      <c r="P2992" s="754"/>
    </row>
    <row r="2993" spans="1:89" ht="29.25" customHeight="1" x14ac:dyDescent="0.25">
      <c r="A2993" s="942"/>
      <c r="B2993" s="895"/>
      <c r="C2993" s="713"/>
      <c r="D2993" s="943"/>
      <c r="E2993" s="944"/>
      <c r="F2993" s="714"/>
      <c r="G2993" s="714"/>
      <c r="H2993" s="714"/>
      <c r="I2993" s="714"/>
      <c r="J2993" s="714"/>
      <c r="K2993" s="714"/>
      <c r="L2993" s="714"/>
      <c r="M2993" s="714"/>
      <c r="N2993" s="714"/>
      <c r="O2993" s="753"/>
      <c r="P2993" s="754"/>
    </row>
    <row r="2994" spans="1:89" ht="29.25" customHeight="1" x14ac:dyDescent="0.25">
      <c r="A2994" s="942"/>
      <c r="B2994" s="895" t="s">
        <v>1058</v>
      </c>
      <c r="C2994" s="713"/>
      <c r="D2994" s="943"/>
      <c r="E2994" s="944"/>
      <c r="F2994" s="714"/>
      <c r="G2994" s="714"/>
      <c r="H2994" s="714"/>
      <c r="I2994" s="714"/>
      <c r="J2994" s="714">
        <f>C2994*E2994</f>
        <v>0</v>
      </c>
      <c r="K2994" s="714">
        <f>I2994+J2994</f>
        <v>0</v>
      </c>
      <c r="L2994" s="714"/>
      <c r="M2994" s="714"/>
      <c r="N2994" s="714"/>
      <c r="O2994" s="753">
        <f>N2994+K2994+H2994</f>
        <v>0</v>
      </c>
      <c r="P2994" s="754"/>
    </row>
    <row r="2995" spans="1:89" s="1081" customFormat="1" ht="29.25" customHeight="1" x14ac:dyDescent="0.25">
      <c r="A2995" s="1088">
        <v>9</v>
      </c>
      <c r="B2995" s="1085" t="s">
        <v>1616</v>
      </c>
      <c r="C2995" s="1695">
        <v>1</v>
      </c>
      <c r="D2995" s="1086" t="s">
        <v>16</v>
      </c>
      <c r="E2995" s="1087">
        <v>500000</v>
      </c>
      <c r="F2995" s="1078"/>
      <c r="G2995" s="1078"/>
      <c r="H2995" s="1078"/>
      <c r="I2995" s="1078"/>
      <c r="J2995" s="1078"/>
      <c r="K2995" s="1078"/>
      <c r="L2995" s="1078">
        <f t="shared" ref="L2995:L3000" si="282">E2995*C2995</f>
        <v>500000</v>
      </c>
      <c r="M2995" s="1078"/>
      <c r="N2995" s="1078">
        <f>L2995+M2995</f>
        <v>500000</v>
      </c>
      <c r="O2995" s="1079">
        <f>K2995+N2995</f>
        <v>500000</v>
      </c>
      <c r="P2995" s="1080"/>
      <c r="Q2995" s="1829"/>
      <c r="R2995" s="1829"/>
      <c r="S2995" s="1829"/>
      <c r="T2995" s="1829"/>
      <c r="U2995" s="1829"/>
      <c r="V2995" s="1829"/>
      <c r="W2995" s="1829"/>
      <c r="X2995" s="1829"/>
      <c r="Y2995" s="1829"/>
      <c r="Z2995" s="1829"/>
      <c r="AA2995" s="1829"/>
      <c r="AB2995" s="1829"/>
      <c r="AC2995" s="1829"/>
      <c r="AD2995" s="1829"/>
      <c r="AE2995" s="1829"/>
      <c r="AF2995" s="1829"/>
      <c r="AG2995" s="1829"/>
      <c r="AH2995" s="1829"/>
      <c r="AI2995" s="1829"/>
      <c r="AJ2995" s="1829"/>
      <c r="AK2995" s="1829"/>
      <c r="AL2995" s="1829"/>
      <c r="AM2995" s="1829"/>
      <c r="AN2995" s="1829"/>
      <c r="AO2995" s="1829"/>
      <c r="AP2995" s="1829"/>
      <c r="AQ2995" s="1829"/>
      <c r="AR2995" s="1829"/>
      <c r="AS2995" s="1829"/>
      <c r="AT2995" s="1829"/>
      <c r="AU2995" s="1829"/>
      <c r="AV2995" s="1829"/>
      <c r="AW2995" s="1829"/>
      <c r="AX2995" s="1829"/>
      <c r="AY2995" s="1829"/>
      <c r="AZ2995" s="1829"/>
      <c r="BA2995" s="1829"/>
      <c r="BB2995" s="1829"/>
      <c r="BC2995" s="1829"/>
      <c r="BD2995" s="1829"/>
      <c r="BE2995" s="1829"/>
      <c r="BF2995" s="1829"/>
      <c r="BG2995" s="1829"/>
      <c r="BH2995" s="1829"/>
      <c r="BI2995" s="1829"/>
      <c r="BJ2995" s="1829"/>
      <c r="BK2995" s="1829"/>
      <c r="BL2995" s="1829"/>
      <c r="BM2995" s="1829"/>
      <c r="BN2995" s="1829"/>
      <c r="BO2995" s="1829"/>
      <c r="BP2995" s="1829"/>
      <c r="BQ2995" s="1829"/>
      <c r="BR2995" s="1829"/>
      <c r="BS2995" s="1829"/>
      <c r="BT2995" s="1829"/>
      <c r="BU2995" s="1829"/>
      <c r="BV2995" s="1829"/>
      <c r="BW2995" s="1829"/>
      <c r="BX2995" s="1829"/>
      <c r="BY2995" s="1829"/>
      <c r="BZ2995" s="1829"/>
      <c r="CA2995" s="1829"/>
      <c r="CB2995" s="1829"/>
      <c r="CC2995" s="1829"/>
      <c r="CD2995" s="1829"/>
      <c r="CE2995" s="1829"/>
      <c r="CF2995" s="1829"/>
      <c r="CG2995" s="1829"/>
      <c r="CH2995" s="1829"/>
      <c r="CI2995" s="1829"/>
      <c r="CJ2995" s="1829"/>
      <c r="CK2995" s="1829"/>
    </row>
    <row r="2996" spans="1:89" s="1081" customFormat="1" ht="29.25" customHeight="1" x14ac:dyDescent="0.25">
      <c r="A2996" s="1088">
        <v>10</v>
      </c>
      <c r="B2996" s="1085" t="s">
        <v>1617</v>
      </c>
      <c r="C2996" s="1695">
        <v>1</v>
      </c>
      <c r="D2996" s="1086" t="s">
        <v>16</v>
      </c>
      <c r="E2996" s="1087">
        <v>500000</v>
      </c>
      <c r="F2996" s="1078"/>
      <c r="G2996" s="1078"/>
      <c r="H2996" s="1078"/>
      <c r="I2996" s="1078"/>
      <c r="J2996" s="1078"/>
      <c r="K2996" s="1078"/>
      <c r="L2996" s="1078">
        <f t="shared" si="282"/>
        <v>500000</v>
      </c>
      <c r="M2996" s="1078"/>
      <c r="N2996" s="1078">
        <f>L2996+M2996</f>
        <v>500000</v>
      </c>
      <c r="O2996" s="1079">
        <f>K2996+N2996</f>
        <v>500000</v>
      </c>
      <c r="P2996" s="1080"/>
      <c r="Q2996" s="1829"/>
      <c r="R2996" s="1829"/>
      <c r="S2996" s="1829"/>
      <c r="T2996" s="1829"/>
      <c r="U2996" s="1829"/>
      <c r="V2996" s="1829"/>
      <c r="W2996" s="1829"/>
      <c r="X2996" s="1829"/>
      <c r="Y2996" s="1829"/>
      <c r="Z2996" s="1829"/>
      <c r="AA2996" s="1829"/>
      <c r="AB2996" s="1829"/>
      <c r="AC2996" s="1829"/>
      <c r="AD2996" s="1829"/>
      <c r="AE2996" s="1829"/>
      <c r="AF2996" s="1829"/>
      <c r="AG2996" s="1829"/>
      <c r="AH2996" s="1829"/>
      <c r="AI2996" s="1829"/>
      <c r="AJ2996" s="1829"/>
      <c r="AK2996" s="1829"/>
      <c r="AL2996" s="1829"/>
      <c r="AM2996" s="1829"/>
      <c r="AN2996" s="1829"/>
      <c r="AO2996" s="1829"/>
      <c r="AP2996" s="1829"/>
      <c r="AQ2996" s="1829"/>
      <c r="AR2996" s="1829"/>
      <c r="AS2996" s="1829"/>
      <c r="AT2996" s="1829"/>
      <c r="AU2996" s="1829"/>
      <c r="AV2996" s="1829"/>
      <c r="AW2996" s="1829"/>
      <c r="AX2996" s="1829"/>
      <c r="AY2996" s="1829"/>
      <c r="AZ2996" s="1829"/>
      <c r="BA2996" s="1829"/>
      <c r="BB2996" s="1829"/>
      <c r="BC2996" s="1829"/>
      <c r="BD2996" s="1829"/>
      <c r="BE2996" s="1829"/>
      <c r="BF2996" s="1829"/>
      <c r="BG2996" s="1829"/>
      <c r="BH2996" s="1829"/>
      <c r="BI2996" s="1829"/>
      <c r="BJ2996" s="1829"/>
      <c r="BK2996" s="1829"/>
      <c r="BL2996" s="1829"/>
      <c r="BM2996" s="1829"/>
      <c r="BN2996" s="1829"/>
      <c r="BO2996" s="1829"/>
      <c r="BP2996" s="1829"/>
      <c r="BQ2996" s="1829"/>
      <c r="BR2996" s="1829"/>
      <c r="BS2996" s="1829"/>
      <c r="BT2996" s="1829"/>
      <c r="BU2996" s="1829"/>
      <c r="BV2996" s="1829"/>
      <c r="BW2996" s="1829"/>
      <c r="BX2996" s="1829"/>
      <c r="BY2996" s="1829"/>
      <c r="BZ2996" s="1829"/>
      <c r="CA2996" s="1829"/>
      <c r="CB2996" s="1829"/>
      <c r="CC2996" s="1829"/>
      <c r="CD2996" s="1829"/>
      <c r="CE2996" s="1829"/>
      <c r="CF2996" s="1829"/>
      <c r="CG2996" s="1829"/>
      <c r="CH2996" s="1829"/>
      <c r="CI2996" s="1829"/>
      <c r="CJ2996" s="1829"/>
      <c r="CK2996" s="1829"/>
    </row>
    <row r="2997" spans="1:89" s="1081" customFormat="1" ht="29.25" customHeight="1" x14ac:dyDescent="0.25">
      <c r="A2997" s="1088">
        <v>11</v>
      </c>
      <c r="B2997" s="1085" t="s">
        <v>2082</v>
      </c>
      <c r="C2997" s="1695">
        <v>1</v>
      </c>
      <c r="D2997" s="1086" t="s">
        <v>16</v>
      </c>
      <c r="E2997" s="1087">
        <v>700000</v>
      </c>
      <c r="F2997" s="1078"/>
      <c r="G2997" s="1078"/>
      <c r="H2997" s="1078"/>
      <c r="I2997" s="1078"/>
      <c r="J2997" s="1078"/>
      <c r="K2997" s="1078"/>
      <c r="L2997" s="1078">
        <f t="shared" si="282"/>
        <v>700000</v>
      </c>
      <c r="M2997" s="1078"/>
      <c r="N2997" s="1078">
        <f>L2997+M2997</f>
        <v>700000</v>
      </c>
      <c r="O2997" s="1079">
        <f>K2997+N2997</f>
        <v>700000</v>
      </c>
      <c r="P2997" s="1080"/>
      <c r="Q2997" s="1829"/>
      <c r="R2997" s="1829"/>
      <c r="S2997" s="1829"/>
      <c r="T2997" s="1829"/>
      <c r="U2997" s="1829"/>
      <c r="V2997" s="1829"/>
      <c r="W2997" s="1829"/>
      <c r="X2997" s="1829"/>
      <c r="Y2997" s="1829"/>
      <c r="Z2997" s="1829"/>
      <c r="AA2997" s="1829"/>
      <c r="AB2997" s="1829"/>
      <c r="AC2997" s="1829"/>
      <c r="AD2997" s="1829"/>
      <c r="AE2997" s="1829"/>
      <c r="AF2997" s="1829"/>
      <c r="AG2997" s="1829"/>
      <c r="AH2997" s="1829"/>
      <c r="AI2997" s="1829"/>
      <c r="AJ2997" s="1829"/>
      <c r="AK2997" s="1829"/>
      <c r="AL2997" s="1829"/>
      <c r="AM2997" s="1829"/>
      <c r="AN2997" s="1829"/>
      <c r="AO2997" s="1829"/>
      <c r="AP2997" s="1829"/>
      <c r="AQ2997" s="1829"/>
      <c r="AR2997" s="1829"/>
      <c r="AS2997" s="1829"/>
      <c r="AT2997" s="1829"/>
      <c r="AU2997" s="1829"/>
      <c r="AV2997" s="1829"/>
      <c r="AW2997" s="1829"/>
      <c r="AX2997" s="1829"/>
      <c r="AY2997" s="1829"/>
      <c r="AZ2997" s="1829"/>
      <c r="BA2997" s="1829"/>
      <c r="BB2997" s="1829"/>
      <c r="BC2997" s="1829"/>
      <c r="BD2997" s="1829"/>
      <c r="BE2997" s="1829"/>
      <c r="BF2997" s="1829"/>
      <c r="BG2997" s="1829"/>
      <c r="BH2997" s="1829"/>
      <c r="BI2997" s="1829"/>
      <c r="BJ2997" s="1829"/>
      <c r="BK2997" s="1829"/>
      <c r="BL2997" s="1829"/>
      <c r="BM2997" s="1829"/>
      <c r="BN2997" s="1829"/>
      <c r="BO2997" s="1829"/>
      <c r="BP2997" s="1829"/>
      <c r="BQ2997" s="1829"/>
      <c r="BR2997" s="1829"/>
      <c r="BS2997" s="1829"/>
      <c r="BT2997" s="1829"/>
      <c r="BU2997" s="1829"/>
      <c r="BV2997" s="1829"/>
      <c r="BW2997" s="1829"/>
      <c r="BX2997" s="1829"/>
      <c r="BY2997" s="1829"/>
      <c r="BZ2997" s="1829"/>
      <c r="CA2997" s="1829"/>
      <c r="CB2997" s="1829"/>
      <c r="CC2997" s="1829"/>
      <c r="CD2997" s="1829"/>
      <c r="CE2997" s="1829"/>
      <c r="CF2997" s="1829"/>
      <c r="CG2997" s="1829"/>
      <c r="CH2997" s="1829"/>
      <c r="CI2997" s="1829"/>
      <c r="CJ2997" s="1829"/>
      <c r="CK2997" s="1829"/>
    </row>
    <row r="2998" spans="1:89" s="1081" customFormat="1" ht="45.75" customHeight="1" x14ac:dyDescent="0.25">
      <c r="A2998" s="1088">
        <v>12</v>
      </c>
      <c r="B2998" s="1085" t="s">
        <v>2083</v>
      </c>
      <c r="C2998" s="1695">
        <v>1</v>
      </c>
      <c r="D2998" s="1086" t="s">
        <v>16</v>
      </c>
      <c r="E2998" s="1087">
        <v>500000</v>
      </c>
      <c r="F2998" s="1078"/>
      <c r="G2998" s="1078"/>
      <c r="H2998" s="1078"/>
      <c r="I2998" s="1078"/>
      <c r="J2998" s="1078"/>
      <c r="K2998" s="1078"/>
      <c r="L2998" s="1078">
        <f t="shared" si="282"/>
        <v>500000</v>
      </c>
      <c r="M2998" s="1078"/>
      <c r="N2998" s="1078">
        <f>L2998+M2998</f>
        <v>500000</v>
      </c>
      <c r="O2998" s="1079">
        <f>K2998+N2998</f>
        <v>500000</v>
      </c>
      <c r="P2998" s="1080"/>
      <c r="Q2998" s="1829"/>
      <c r="R2998" s="1829"/>
      <c r="S2998" s="1829"/>
      <c r="T2998" s="1829"/>
      <c r="U2998" s="1829"/>
      <c r="V2998" s="1829"/>
      <c r="W2998" s="1829"/>
      <c r="X2998" s="1829"/>
      <c r="Y2998" s="1829"/>
      <c r="Z2998" s="1829"/>
      <c r="AA2998" s="1829"/>
      <c r="AB2998" s="1829"/>
      <c r="AC2998" s="1829"/>
      <c r="AD2998" s="1829"/>
      <c r="AE2998" s="1829"/>
      <c r="AF2998" s="1829"/>
      <c r="AG2998" s="1829"/>
      <c r="AH2998" s="1829"/>
      <c r="AI2998" s="1829"/>
      <c r="AJ2998" s="1829"/>
      <c r="AK2998" s="1829"/>
      <c r="AL2998" s="1829"/>
      <c r="AM2998" s="1829"/>
      <c r="AN2998" s="1829"/>
      <c r="AO2998" s="1829"/>
      <c r="AP2998" s="1829"/>
      <c r="AQ2998" s="1829"/>
      <c r="AR2998" s="1829"/>
      <c r="AS2998" s="1829"/>
      <c r="AT2998" s="1829"/>
      <c r="AU2998" s="1829"/>
      <c r="AV2998" s="1829"/>
      <c r="AW2998" s="1829"/>
      <c r="AX2998" s="1829"/>
      <c r="AY2998" s="1829"/>
      <c r="AZ2998" s="1829"/>
      <c r="BA2998" s="1829"/>
      <c r="BB2998" s="1829"/>
      <c r="BC2998" s="1829"/>
      <c r="BD2998" s="1829"/>
      <c r="BE2998" s="1829"/>
      <c r="BF2998" s="1829"/>
      <c r="BG2998" s="1829"/>
      <c r="BH2998" s="1829"/>
      <c r="BI2998" s="1829"/>
      <c r="BJ2998" s="1829"/>
      <c r="BK2998" s="1829"/>
      <c r="BL2998" s="1829"/>
      <c r="BM2998" s="1829"/>
      <c r="BN2998" s="1829"/>
      <c r="BO2998" s="1829"/>
      <c r="BP2998" s="1829"/>
      <c r="BQ2998" s="1829"/>
      <c r="BR2998" s="1829"/>
      <c r="BS2998" s="1829"/>
      <c r="BT2998" s="1829"/>
      <c r="BU2998" s="1829"/>
      <c r="BV2998" s="1829"/>
      <c r="BW2998" s="1829"/>
      <c r="BX2998" s="1829"/>
      <c r="BY2998" s="1829"/>
      <c r="BZ2998" s="1829"/>
      <c r="CA2998" s="1829"/>
      <c r="CB2998" s="1829"/>
      <c r="CC2998" s="1829"/>
      <c r="CD2998" s="1829"/>
      <c r="CE2998" s="1829"/>
      <c r="CF2998" s="1829"/>
      <c r="CG2998" s="1829"/>
      <c r="CH2998" s="1829"/>
      <c r="CI2998" s="1829"/>
      <c r="CJ2998" s="1829"/>
      <c r="CK2998" s="1829"/>
    </row>
    <row r="2999" spans="1:89" s="1081" customFormat="1" ht="33" customHeight="1" x14ac:dyDescent="0.25">
      <c r="A2999" s="1088">
        <v>13</v>
      </c>
      <c r="B2999" s="1085" t="s">
        <v>2084</v>
      </c>
      <c r="C2999" s="1695">
        <v>1</v>
      </c>
      <c r="D2999" s="1086" t="s">
        <v>16</v>
      </c>
      <c r="E2999" s="1087">
        <v>600000</v>
      </c>
      <c r="F2999" s="1078"/>
      <c r="G2999" s="1078"/>
      <c r="H2999" s="1078"/>
      <c r="I2999" s="1078"/>
      <c r="J2999" s="1078"/>
      <c r="K2999" s="1078"/>
      <c r="L2999" s="1078">
        <f t="shared" si="282"/>
        <v>600000</v>
      </c>
      <c r="M2999" s="1078"/>
      <c r="N2999" s="1078">
        <f>L2999+M2999</f>
        <v>600000</v>
      </c>
      <c r="O2999" s="1079">
        <f>K2999+N2999</f>
        <v>600000</v>
      </c>
      <c r="P2999" s="1080"/>
      <c r="Q2999" s="1829"/>
      <c r="R2999" s="1829"/>
      <c r="S2999" s="1829"/>
      <c r="T2999" s="1829"/>
      <c r="U2999" s="1829"/>
      <c r="V2999" s="1829"/>
      <c r="W2999" s="1829"/>
      <c r="X2999" s="1829"/>
      <c r="Y2999" s="1829"/>
      <c r="Z2999" s="1829"/>
      <c r="AA2999" s="1829"/>
      <c r="AB2999" s="1829"/>
      <c r="AC2999" s="1829"/>
      <c r="AD2999" s="1829"/>
      <c r="AE2999" s="1829"/>
      <c r="AF2999" s="1829"/>
      <c r="AG2999" s="1829"/>
      <c r="AH2999" s="1829"/>
      <c r="AI2999" s="1829"/>
      <c r="AJ2999" s="1829"/>
      <c r="AK2999" s="1829"/>
      <c r="AL2999" s="1829"/>
      <c r="AM2999" s="1829"/>
      <c r="AN2999" s="1829"/>
      <c r="AO2999" s="1829"/>
      <c r="AP2999" s="1829"/>
      <c r="AQ2999" s="1829"/>
      <c r="AR2999" s="1829"/>
      <c r="AS2999" s="1829"/>
      <c r="AT2999" s="1829"/>
      <c r="AU2999" s="1829"/>
      <c r="AV2999" s="1829"/>
      <c r="AW2999" s="1829"/>
      <c r="AX2999" s="1829"/>
      <c r="AY2999" s="1829"/>
      <c r="AZ2999" s="1829"/>
      <c r="BA2999" s="1829"/>
      <c r="BB2999" s="1829"/>
      <c r="BC2999" s="1829"/>
      <c r="BD2999" s="1829"/>
      <c r="BE2999" s="1829"/>
      <c r="BF2999" s="1829"/>
      <c r="BG2999" s="1829"/>
      <c r="BH2999" s="1829"/>
      <c r="BI2999" s="1829"/>
      <c r="BJ2999" s="1829"/>
      <c r="BK2999" s="1829"/>
      <c r="BL2999" s="1829"/>
      <c r="BM2999" s="1829"/>
      <c r="BN2999" s="1829"/>
      <c r="BO2999" s="1829"/>
      <c r="BP2999" s="1829"/>
      <c r="BQ2999" s="1829"/>
      <c r="BR2999" s="1829"/>
      <c r="BS2999" s="1829"/>
      <c r="BT2999" s="1829"/>
      <c r="BU2999" s="1829"/>
      <c r="BV2999" s="1829"/>
      <c r="BW2999" s="1829"/>
      <c r="BX2999" s="1829"/>
      <c r="BY2999" s="1829"/>
      <c r="BZ2999" s="1829"/>
      <c r="CA2999" s="1829"/>
      <c r="CB2999" s="1829"/>
      <c r="CC2999" s="1829"/>
      <c r="CD2999" s="1829"/>
      <c r="CE2999" s="1829"/>
      <c r="CF2999" s="1829"/>
      <c r="CG2999" s="1829"/>
      <c r="CH2999" s="1829"/>
      <c r="CI2999" s="1829"/>
      <c r="CJ2999" s="1829"/>
      <c r="CK2999" s="1829"/>
    </row>
    <row r="3000" spans="1:89" ht="29.25" customHeight="1" x14ac:dyDescent="0.25">
      <c r="A3000" s="942"/>
      <c r="B3000" s="895"/>
      <c r="C3000" s="789"/>
      <c r="D3000" s="943"/>
      <c r="E3000" s="944"/>
      <c r="F3000" s="714"/>
      <c r="G3000" s="714"/>
      <c r="H3000" s="714"/>
      <c r="I3000" s="714"/>
      <c r="J3000" s="714"/>
      <c r="K3000" s="714"/>
      <c r="L3000" s="714">
        <f t="shared" si="282"/>
        <v>0</v>
      </c>
      <c r="M3000" s="714"/>
      <c r="N3000" s="714">
        <f>M3000+L3000</f>
        <v>0</v>
      </c>
      <c r="O3000" s="753">
        <f>N3000+K3000+H3000</f>
        <v>0</v>
      </c>
      <c r="P3000" s="754"/>
    </row>
    <row r="3001" spans="1:89" ht="29.25" customHeight="1" x14ac:dyDescent="0.25">
      <c r="A3001" s="942"/>
      <c r="B3001" s="895" t="s">
        <v>999</v>
      </c>
      <c r="C3001" s="713"/>
      <c r="D3001" s="943"/>
      <c r="E3001" s="944"/>
      <c r="F3001" s="714"/>
      <c r="G3001" s="714"/>
      <c r="H3001" s="714"/>
      <c r="I3001" s="714"/>
      <c r="J3001" s="714">
        <f t="shared" ref="J3001:J3010" si="283">C3001*E3001</f>
        <v>0</v>
      </c>
      <c r="K3001" s="714">
        <f t="shared" ref="K3001:K3010" si="284">I3001+J3001</f>
        <v>0</v>
      </c>
      <c r="L3001" s="714"/>
      <c r="M3001" s="714"/>
      <c r="N3001" s="714"/>
      <c r="O3001" s="753">
        <f>N3001+K3001+H3001</f>
        <v>0</v>
      </c>
      <c r="P3001" s="754"/>
    </row>
    <row r="3002" spans="1:89" s="1081" customFormat="1" ht="29.25" customHeight="1" x14ac:dyDescent="0.25">
      <c r="A3002" s="1088">
        <v>14</v>
      </c>
      <c r="B3002" s="1085" t="s">
        <v>2085</v>
      </c>
      <c r="C3002" s="1695">
        <v>1</v>
      </c>
      <c r="D3002" s="1086" t="s">
        <v>16</v>
      </c>
      <c r="E3002" s="1087">
        <v>200000</v>
      </c>
      <c r="F3002" s="1078"/>
      <c r="G3002" s="1078"/>
      <c r="H3002" s="1078"/>
      <c r="I3002" s="1078"/>
      <c r="J3002" s="1078">
        <f t="shared" si="283"/>
        <v>200000</v>
      </c>
      <c r="K3002" s="1078">
        <f t="shared" si="284"/>
        <v>200000</v>
      </c>
      <c r="L3002" s="1078"/>
      <c r="M3002" s="1078"/>
      <c r="N3002" s="1078"/>
      <c r="O3002" s="1079">
        <f t="shared" ref="O3002:O3010" si="285">K3002+N3002</f>
        <v>200000</v>
      </c>
      <c r="P3002" s="1080"/>
      <c r="Q3002" s="1829"/>
      <c r="R3002" s="1829"/>
      <c r="S3002" s="1829"/>
      <c r="T3002" s="1829"/>
      <c r="U3002" s="1829"/>
      <c r="V3002" s="1829"/>
      <c r="W3002" s="1829"/>
      <c r="X3002" s="1829"/>
      <c r="Y3002" s="1829"/>
      <c r="Z3002" s="1829"/>
      <c r="AA3002" s="1829"/>
      <c r="AB3002" s="1829"/>
      <c r="AC3002" s="1829"/>
      <c r="AD3002" s="1829"/>
      <c r="AE3002" s="1829"/>
      <c r="AF3002" s="1829"/>
      <c r="AG3002" s="1829"/>
      <c r="AH3002" s="1829"/>
      <c r="AI3002" s="1829"/>
      <c r="AJ3002" s="1829"/>
      <c r="AK3002" s="1829"/>
      <c r="AL3002" s="1829"/>
      <c r="AM3002" s="1829"/>
      <c r="AN3002" s="1829"/>
      <c r="AO3002" s="1829"/>
      <c r="AP3002" s="1829"/>
      <c r="AQ3002" s="1829"/>
      <c r="AR3002" s="1829"/>
      <c r="AS3002" s="1829"/>
      <c r="AT3002" s="1829"/>
      <c r="AU3002" s="1829"/>
      <c r="AV3002" s="1829"/>
      <c r="AW3002" s="1829"/>
      <c r="AX3002" s="1829"/>
      <c r="AY3002" s="1829"/>
      <c r="AZ3002" s="1829"/>
      <c r="BA3002" s="1829"/>
      <c r="BB3002" s="1829"/>
      <c r="BC3002" s="1829"/>
      <c r="BD3002" s="1829"/>
      <c r="BE3002" s="1829"/>
      <c r="BF3002" s="1829"/>
      <c r="BG3002" s="1829"/>
      <c r="BH3002" s="1829"/>
      <c r="BI3002" s="1829"/>
      <c r="BJ3002" s="1829"/>
      <c r="BK3002" s="1829"/>
      <c r="BL3002" s="1829"/>
      <c r="BM3002" s="1829"/>
      <c r="BN3002" s="1829"/>
      <c r="BO3002" s="1829"/>
      <c r="BP3002" s="1829"/>
      <c r="BQ3002" s="1829"/>
      <c r="BR3002" s="1829"/>
      <c r="BS3002" s="1829"/>
      <c r="BT3002" s="1829"/>
      <c r="BU3002" s="1829"/>
      <c r="BV3002" s="1829"/>
      <c r="BW3002" s="1829"/>
      <c r="BX3002" s="1829"/>
      <c r="BY3002" s="1829"/>
      <c r="BZ3002" s="1829"/>
      <c r="CA3002" s="1829"/>
      <c r="CB3002" s="1829"/>
      <c r="CC3002" s="1829"/>
      <c r="CD3002" s="1829"/>
      <c r="CE3002" s="1829"/>
      <c r="CF3002" s="1829"/>
      <c r="CG3002" s="1829"/>
      <c r="CH3002" s="1829"/>
      <c r="CI3002" s="1829"/>
      <c r="CJ3002" s="1829"/>
      <c r="CK3002" s="1829"/>
    </row>
    <row r="3003" spans="1:89" s="1081" customFormat="1" ht="29.25" customHeight="1" x14ac:dyDescent="0.25">
      <c r="A3003" s="1088">
        <v>15</v>
      </c>
      <c r="B3003" s="1085" t="s">
        <v>1059</v>
      </c>
      <c r="C3003" s="1089">
        <v>1</v>
      </c>
      <c r="D3003" s="1086" t="s">
        <v>16</v>
      </c>
      <c r="E3003" s="1087">
        <v>300000</v>
      </c>
      <c r="F3003" s="1078"/>
      <c r="G3003" s="1078"/>
      <c r="H3003" s="1078"/>
      <c r="I3003" s="1078"/>
      <c r="J3003" s="1078">
        <f t="shared" si="283"/>
        <v>300000</v>
      </c>
      <c r="K3003" s="1078">
        <f t="shared" si="284"/>
        <v>300000</v>
      </c>
      <c r="L3003" s="1078"/>
      <c r="M3003" s="1078"/>
      <c r="N3003" s="1078"/>
      <c r="O3003" s="1079">
        <f t="shared" si="285"/>
        <v>300000</v>
      </c>
      <c r="P3003" s="1080"/>
      <c r="Q3003" s="1829"/>
      <c r="R3003" s="1829"/>
      <c r="S3003" s="1829"/>
      <c r="T3003" s="1829"/>
      <c r="U3003" s="1829"/>
      <c r="V3003" s="1829"/>
      <c r="W3003" s="1829"/>
      <c r="X3003" s="1829"/>
      <c r="Y3003" s="1829"/>
      <c r="Z3003" s="1829"/>
      <c r="AA3003" s="1829"/>
      <c r="AB3003" s="1829"/>
      <c r="AC3003" s="1829"/>
      <c r="AD3003" s="1829"/>
      <c r="AE3003" s="1829"/>
      <c r="AF3003" s="1829"/>
      <c r="AG3003" s="1829"/>
      <c r="AH3003" s="1829"/>
      <c r="AI3003" s="1829"/>
      <c r="AJ3003" s="1829"/>
      <c r="AK3003" s="1829"/>
      <c r="AL3003" s="1829"/>
      <c r="AM3003" s="1829"/>
      <c r="AN3003" s="1829"/>
      <c r="AO3003" s="1829"/>
      <c r="AP3003" s="1829"/>
      <c r="AQ3003" s="1829"/>
      <c r="AR3003" s="1829"/>
      <c r="AS3003" s="1829"/>
      <c r="AT3003" s="1829"/>
      <c r="AU3003" s="1829"/>
      <c r="AV3003" s="1829"/>
      <c r="AW3003" s="1829"/>
      <c r="AX3003" s="1829"/>
      <c r="AY3003" s="1829"/>
      <c r="AZ3003" s="1829"/>
      <c r="BA3003" s="1829"/>
      <c r="BB3003" s="1829"/>
      <c r="BC3003" s="1829"/>
      <c r="BD3003" s="1829"/>
      <c r="BE3003" s="1829"/>
      <c r="BF3003" s="1829"/>
      <c r="BG3003" s="1829"/>
      <c r="BH3003" s="1829"/>
      <c r="BI3003" s="1829"/>
      <c r="BJ3003" s="1829"/>
      <c r="BK3003" s="1829"/>
      <c r="BL3003" s="1829"/>
      <c r="BM3003" s="1829"/>
      <c r="BN3003" s="1829"/>
      <c r="BO3003" s="1829"/>
      <c r="BP3003" s="1829"/>
      <c r="BQ3003" s="1829"/>
      <c r="BR3003" s="1829"/>
      <c r="BS3003" s="1829"/>
      <c r="BT3003" s="1829"/>
      <c r="BU3003" s="1829"/>
      <c r="BV3003" s="1829"/>
      <c r="BW3003" s="1829"/>
      <c r="BX3003" s="1829"/>
      <c r="BY3003" s="1829"/>
      <c r="BZ3003" s="1829"/>
      <c r="CA3003" s="1829"/>
      <c r="CB3003" s="1829"/>
      <c r="CC3003" s="1829"/>
      <c r="CD3003" s="1829"/>
      <c r="CE3003" s="1829"/>
      <c r="CF3003" s="1829"/>
      <c r="CG3003" s="1829"/>
      <c r="CH3003" s="1829"/>
      <c r="CI3003" s="1829"/>
      <c r="CJ3003" s="1829"/>
      <c r="CK3003" s="1829"/>
    </row>
    <row r="3004" spans="1:89" s="1081" customFormat="1" ht="29.25" customHeight="1" x14ac:dyDescent="0.25">
      <c r="A3004" s="1088">
        <v>16</v>
      </c>
      <c r="B3004" s="1085" t="s">
        <v>1060</v>
      </c>
      <c r="C3004" s="1089">
        <v>1</v>
      </c>
      <c r="D3004" s="1086" t="s">
        <v>16</v>
      </c>
      <c r="E3004" s="1087">
        <v>300000</v>
      </c>
      <c r="F3004" s="1078"/>
      <c r="G3004" s="1078"/>
      <c r="H3004" s="1078"/>
      <c r="I3004" s="1078"/>
      <c r="J3004" s="1078">
        <f t="shared" si="283"/>
        <v>300000</v>
      </c>
      <c r="K3004" s="1078">
        <f t="shared" si="284"/>
        <v>300000</v>
      </c>
      <c r="L3004" s="1078"/>
      <c r="M3004" s="1078"/>
      <c r="N3004" s="1078"/>
      <c r="O3004" s="1079">
        <f t="shared" si="285"/>
        <v>300000</v>
      </c>
      <c r="P3004" s="1080"/>
      <c r="Q3004" s="1829"/>
      <c r="R3004" s="1829"/>
      <c r="S3004" s="1829"/>
      <c r="T3004" s="1829"/>
      <c r="U3004" s="1829"/>
      <c r="V3004" s="1829"/>
      <c r="W3004" s="1829"/>
      <c r="X3004" s="1829"/>
      <c r="Y3004" s="1829"/>
      <c r="Z3004" s="1829"/>
      <c r="AA3004" s="1829"/>
      <c r="AB3004" s="1829"/>
      <c r="AC3004" s="1829"/>
      <c r="AD3004" s="1829"/>
      <c r="AE3004" s="1829"/>
      <c r="AF3004" s="1829"/>
      <c r="AG3004" s="1829"/>
      <c r="AH3004" s="1829"/>
      <c r="AI3004" s="1829"/>
      <c r="AJ3004" s="1829"/>
      <c r="AK3004" s="1829"/>
      <c r="AL3004" s="1829"/>
      <c r="AM3004" s="1829"/>
      <c r="AN3004" s="1829"/>
      <c r="AO3004" s="1829"/>
      <c r="AP3004" s="1829"/>
      <c r="AQ3004" s="1829"/>
      <c r="AR3004" s="1829"/>
      <c r="AS3004" s="1829"/>
      <c r="AT3004" s="1829"/>
      <c r="AU3004" s="1829"/>
      <c r="AV3004" s="1829"/>
      <c r="AW3004" s="1829"/>
      <c r="AX3004" s="1829"/>
      <c r="AY3004" s="1829"/>
      <c r="AZ3004" s="1829"/>
      <c r="BA3004" s="1829"/>
      <c r="BB3004" s="1829"/>
      <c r="BC3004" s="1829"/>
      <c r="BD3004" s="1829"/>
      <c r="BE3004" s="1829"/>
      <c r="BF3004" s="1829"/>
      <c r="BG3004" s="1829"/>
      <c r="BH3004" s="1829"/>
      <c r="BI3004" s="1829"/>
      <c r="BJ3004" s="1829"/>
      <c r="BK3004" s="1829"/>
      <c r="BL3004" s="1829"/>
      <c r="BM3004" s="1829"/>
      <c r="BN3004" s="1829"/>
      <c r="BO3004" s="1829"/>
      <c r="BP3004" s="1829"/>
      <c r="BQ3004" s="1829"/>
      <c r="BR3004" s="1829"/>
      <c r="BS3004" s="1829"/>
      <c r="BT3004" s="1829"/>
      <c r="BU3004" s="1829"/>
      <c r="BV3004" s="1829"/>
      <c r="BW3004" s="1829"/>
      <c r="BX3004" s="1829"/>
      <c r="BY3004" s="1829"/>
      <c r="BZ3004" s="1829"/>
      <c r="CA3004" s="1829"/>
      <c r="CB3004" s="1829"/>
      <c r="CC3004" s="1829"/>
      <c r="CD3004" s="1829"/>
      <c r="CE3004" s="1829"/>
      <c r="CF3004" s="1829"/>
      <c r="CG3004" s="1829"/>
      <c r="CH3004" s="1829"/>
      <c r="CI3004" s="1829"/>
      <c r="CJ3004" s="1829"/>
      <c r="CK3004" s="1829"/>
    </row>
    <row r="3005" spans="1:89" s="1081" customFormat="1" ht="29.25" customHeight="1" x14ac:dyDescent="0.25">
      <c r="A3005" s="1088">
        <v>17</v>
      </c>
      <c r="B3005" s="1085" t="s">
        <v>1618</v>
      </c>
      <c r="C3005" s="1089">
        <v>1</v>
      </c>
      <c r="D3005" s="1086" t="s">
        <v>16</v>
      </c>
      <c r="E3005" s="1087">
        <v>450000</v>
      </c>
      <c r="F3005" s="1078"/>
      <c r="G3005" s="1078"/>
      <c r="H3005" s="1078"/>
      <c r="I3005" s="1078"/>
      <c r="J3005" s="1078">
        <f t="shared" si="283"/>
        <v>450000</v>
      </c>
      <c r="K3005" s="1078">
        <f t="shared" si="284"/>
        <v>450000</v>
      </c>
      <c r="L3005" s="1078"/>
      <c r="M3005" s="1078"/>
      <c r="N3005" s="1078"/>
      <c r="O3005" s="1079">
        <f t="shared" si="285"/>
        <v>450000</v>
      </c>
      <c r="P3005" s="1080"/>
      <c r="Q3005" s="1829"/>
      <c r="R3005" s="1829"/>
      <c r="S3005" s="1829"/>
      <c r="T3005" s="1829"/>
      <c r="U3005" s="1829"/>
      <c r="V3005" s="1829"/>
      <c r="W3005" s="1829"/>
      <c r="X3005" s="1829"/>
      <c r="Y3005" s="1829"/>
      <c r="Z3005" s="1829"/>
      <c r="AA3005" s="1829"/>
      <c r="AB3005" s="1829"/>
      <c r="AC3005" s="1829"/>
      <c r="AD3005" s="1829"/>
      <c r="AE3005" s="1829"/>
      <c r="AF3005" s="1829"/>
      <c r="AG3005" s="1829"/>
      <c r="AH3005" s="1829"/>
      <c r="AI3005" s="1829"/>
      <c r="AJ3005" s="1829"/>
      <c r="AK3005" s="1829"/>
      <c r="AL3005" s="1829"/>
      <c r="AM3005" s="1829"/>
      <c r="AN3005" s="1829"/>
      <c r="AO3005" s="1829"/>
      <c r="AP3005" s="1829"/>
      <c r="AQ3005" s="1829"/>
      <c r="AR3005" s="1829"/>
      <c r="AS3005" s="1829"/>
      <c r="AT3005" s="1829"/>
      <c r="AU3005" s="1829"/>
      <c r="AV3005" s="1829"/>
      <c r="AW3005" s="1829"/>
      <c r="AX3005" s="1829"/>
      <c r="AY3005" s="1829"/>
      <c r="AZ3005" s="1829"/>
      <c r="BA3005" s="1829"/>
      <c r="BB3005" s="1829"/>
      <c r="BC3005" s="1829"/>
      <c r="BD3005" s="1829"/>
      <c r="BE3005" s="1829"/>
      <c r="BF3005" s="1829"/>
      <c r="BG3005" s="1829"/>
      <c r="BH3005" s="1829"/>
      <c r="BI3005" s="1829"/>
      <c r="BJ3005" s="1829"/>
      <c r="BK3005" s="1829"/>
      <c r="BL3005" s="1829"/>
      <c r="BM3005" s="1829"/>
      <c r="BN3005" s="1829"/>
      <c r="BO3005" s="1829"/>
      <c r="BP3005" s="1829"/>
      <c r="BQ3005" s="1829"/>
      <c r="BR3005" s="1829"/>
      <c r="BS3005" s="1829"/>
      <c r="BT3005" s="1829"/>
      <c r="BU3005" s="1829"/>
      <c r="BV3005" s="1829"/>
      <c r="BW3005" s="1829"/>
      <c r="BX3005" s="1829"/>
      <c r="BY3005" s="1829"/>
      <c r="BZ3005" s="1829"/>
      <c r="CA3005" s="1829"/>
      <c r="CB3005" s="1829"/>
      <c r="CC3005" s="1829"/>
      <c r="CD3005" s="1829"/>
      <c r="CE3005" s="1829"/>
      <c r="CF3005" s="1829"/>
      <c r="CG3005" s="1829"/>
      <c r="CH3005" s="1829"/>
      <c r="CI3005" s="1829"/>
      <c r="CJ3005" s="1829"/>
      <c r="CK3005" s="1829"/>
    </row>
    <row r="3006" spans="1:89" s="1081" customFormat="1" ht="29.25" customHeight="1" x14ac:dyDescent="0.25">
      <c r="A3006" s="1088">
        <v>18</v>
      </c>
      <c r="B3006" s="1085" t="s">
        <v>1061</v>
      </c>
      <c r="C3006" s="1089">
        <v>1</v>
      </c>
      <c r="D3006" s="1086" t="s">
        <v>16</v>
      </c>
      <c r="E3006" s="1087">
        <f>700000+400000</f>
        <v>1100000</v>
      </c>
      <c r="F3006" s="1078"/>
      <c r="G3006" s="1078"/>
      <c r="H3006" s="1078"/>
      <c r="I3006" s="1078"/>
      <c r="J3006" s="1078">
        <f t="shared" si="283"/>
        <v>1100000</v>
      </c>
      <c r="K3006" s="1078">
        <f t="shared" si="284"/>
        <v>1100000</v>
      </c>
      <c r="L3006" s="1078"/>
      <c r="M3006" s="1078"/>
      <c r="N3006" s="1078"/>
      <c r="O3006" s="1079">
        <f t="shared" si="285"/>
        <v>1100000</v>
      </c>
      <c r="P3006" s="1080"/>
      <c r="Q3006" s="1829"/>
      <c r="R3006" s="1829"/>
      <c r="S3006" s="1829"/>
      <c r="T3006" s="1829"/>
      <c r="U3006" s="1829"/>
      <c r="V3006" s="1829"/>
      <c r="W3006" s="1829"/>
      <c r="X3006" s="1829"/>
      <c r="Y3006" s="1829"/>
      <c r="Z3006" s="1829"/>
      <c r="AA3006" s="1829"/>
      <c r="AB3006" s="1829"/>
      <c r="AC3006" s="1829"/>
      <c r="AD3006" s="1829"/>
      <c r="AE3006" s="1829"/>
      <c r="AF3006" s="1829"/>
      <c r="AG3006" s="1829"/>
      <c r="AH3006" s="1829"/>
      <c r="AI3006" s="1829"/>
      <c r="AJ3006" s="1829"/>
      <c r="AK3006" s="1829"/>
      <c r="AL3006" s="1829"/>
      <c r="AM3006" s="1829"/>
      <c r="AN3006" s="1829"/>
      <c r="AO3006" s="1829"/>
      <c r="AP3006" s="1829"/>
      <c r="AQ3006" s="1829"/>
      <c r="AR3006" s="1829"/>
      <c r="AS3006" s="1829"/>
      <c r="AT3006" s="1829"/>
      <c r="AU3006" s="1829"/>
      <c r="AV3006" s="1829"/>
      <c r="AW3006" s="1829"/>
      <c r="AX3006" s="1829"/>
      <c r="AY3006" s="1829"/>
      <c r="AZ3006" s="1829"/>
      <c r="BA3006" s="1829"/>
      <c r="BB3006" s="1829"/>
      <c r="BC3006" s="1829"/>
      <c r="BD3006" s="1829"/>
      <c r="BE3006" s="1829"/>
      <c r="BF3006" s="1829"/>
      <c r="BG3006" s="1829"/>
      <c r="BH3006" s="1829"/>
      <c r="BI3006" s="1829"/>
      <c r="BJ3006" s="1829"/>
      <c r="BK3006" s="1829"/>
      <c r="BL3006" s="1829"/>
      <c r="BM3006" s="1829"/>
      <c r="BN3006" s="1829"/>
      <c r="BO3006" s="1829"/>
      <c r="BP3006" s="1829"/>
      <c r="BQ3006" s="1829"/>
      <c r="BR3006" s="1829"/>
      <c r="BS3006" s="1829"/>
      <c r="BT3006" s="1829"/>
      <c r="BU3006" s="1829"/>
      <c r="BV3006" s="1829"/>
      <c r="BW3006" s="1829"/>
      <c r="BX3006" s="1829"/>
      <c r="BY3006" s="1829"/>
      <c r="BZ3006" s="1829"/>
      <c r="CA3006" s="1829"/>
      <c r="CB3006" s="1829"/>
      <c r="CC3006" s="1829"/>
      <c r="CD3006" s="1829"/>
      <c r="CE3006" s="1829"/>
      <c r="CF3006" s="1829"/>
      <c r="CG3006" s="1829"/>
      <c r="CH3006" s="1829"/>
      <c r="CI3006" s="1829"/>
      <c r="CJ3006" s="1829"/>
      <c r="CK3006" s="1829"/>
    </row>
    <row r="3007" spans="1:89" s="1081" customFormat="1" ht="29.25" customHeight="1" x14ac:dyDescent="0.25">
      <c r="A3007" s="1088">
        <v>19</v>
      </c>
      <c r="B3007" s="1085" t="s">
        <v>1062</v>
      </c>
      <c r="C3007" s="1089">
        <v>1</v>
      </c>
      <c r="D3007" s="1086" t="s">
        <v>16</v>
      </c>
      <c r="E3007" s="1087">
        <v>200000</v>
      </c>
      <c r="F3007" s="1078"/>
      <c r="G3007" s="1078"/>
      <c r="H3007" s="1078"/>
      <c r="I3007" s="1078"/>
      <c r="J3007" s="1078">
        <f t="shared" si="283"/>
        <v>200000</v>
      </c>
      <c r="K3007" s="1078">
        <f t="shared" si="284"/>
        <v>200000</v>
      </c>
      <c r="L3007" s="1078"/>
      <c r="M3007" s="1078"/>
      <c r="N3007" s="1078"/>
      <c r="O3007" s="1079">
        <f t="shared" si="285"/>
        <v>200000</v>
      </c>
      <c r="P3007" s="1080"/>
      <c r="Q3007" s="1829"/>
      <c r="R3007" s="1829"/>
      <c r="S3007" s="1829"/>
      <c r="T3007" s="1829"/>
      <c r="U3007" s="1829"/>
      <c r="V3007" s="1829"/>
      <c r="W3007" s="1829"/>
      <c r="X3007" s="1829"/>
      <c r="Y3007" s="1829"/>
      <c r="Z3007" s="1829"/>
      <c r="AA3007" s="1829"/>
      <c r="AB3007" s="1829"/>
      <c r="AC3007" s="1829"/>
      <c r="AD3007" s="1829"/>
      <c r="AE3007" s="1829"/>
      <c r="AF3007" s="1829"/>
      <c r="AG3007" s="1829"/>
      <c r="AH3007" s="1829"/>
      <c r="AI3007" s="1829"/>
      <c r="AJ3007" s="1829"/>
      <c r="AK3007" s="1829"/>
      <c r="AL3007" s="1829"/>
      <c r="AM3007" s="1829"/>
      <c r="AN3007" s="1829"/>
      <c r="AO3007" s="1829"/>
      <c r="AP3007" s="1829"/>
      <c r="AQ3007" s="1829"/>
      <c r="AR3007" s="1829"/>
      <c r="AS3007" s="1829"/>
      <c r="AT3007" s="1829"/>
      <c r="AU3007" s="1829"/>
      <c r="AV3007" s="1829"/>
      <c r="AW3007" s="1829"/>
      <c r="AX3007" s="1829"/>
      <c r="AY3007" s="1829"/>
      <c r="AZ3007" s="1829"/>
      <c r="BA3007" s="1829"/>
      <c r="BB3007" s="1829"/>
      <c r="BC3007" s="1829"/>
      <c r="BD3007" s="1829"/>
      <c r="BE3007" s="1829"/>
      <c r="BF3007" s="1829"/>
      <c r="BG3007" s="1829"/>
      <c r="BH3007" s="1829"/>
      <c r="BI3007" s="1829"/>
      <c r="BJ3007" s="1829"/>
      <c r="BK3007" s="1829"/>
      <c r="BL3007" s="1829"/>
      <c r="BM3007" s="1829"/>
      <c r="BN3007" s="1829"/>
      <c r="BO3007" s="1829"/>
      <c r="BP3007" s="1829"/>
      <c r="BQ3007" s="1829"/>
      <c r="BR3007" s="1829"/>
      <c r="BS3007" s="1829"/>
      <c r="BT3007" s="1829"/>
      <c r="BU3007" s="1829"/>
      <c r="BV3007" s="1829"/>
      <c r="BW3007" s="1829"/>
      <c r="BX3007" s="1829"/>
      <c r="BY3007" s="1829"/>
      <c r="BZ3007" s="1829"/>
      <c r="CA3007" s="1829"/>
      <c r="CB3007" s="1829"/>
      <c r="CC3007" s="1829"/>
      <c r="CD3007" s="1829"/>
      <c r="CE3007" s="1829"/>
      <c r="CF3007" s="1829"/>
      <c r="CG3007" s="1829"/>
      <c r="CH3007" s="1829"/>
      <c r="CI3007" s="1829"/>
      <c r="CJ3007" s="1829"/>
      <c r="CK3007" s="1829"/>
    </row>
    <row r="3008" spans="1:89" s="1090" customFormat="1" ht="29.25" customHeight="1" x14ac:dyDescent="0.25">
      <c r="A3008" s="1088">
        <v>20</v>
      </c>
      <c r="B3008" s="1085" t="s">
        <v>1063</v>
      </c>
      <c r="C3008" s="1089">
        <v>1</v>
      </c>
      <c r="D3008" s="1086" t="s">
        <v>16</v>
      </c>
      <c r="E3008" s="1087">
        <v>300000</v>
      </c>
      <c r="F3008" s="1078"/>
      <c r="G3008" s="1078"/>
      <c r="H3008" s="1078"/>
      <c r="I3008" s="1078"/>
      <c r="J3008" s="1078">
        <f t="shared" si="283"/>
        <v>300000</v>
      </c>
      <c r="K3008" s="1078">
        <f t="shared" si="284"/>
        <v>300000</v>
      </c>
      <c r="L3008" s="1078"/>
      <c r="M3008" s="1078"/>
      <c r="N3008" s="1078"/>
      <c r="O3008" s="1079">
        <f t="shared" si="285"/>
        <v>300000</v>
      </c>
      <c r="P3008" s="1080"/>
      <c r="Q3008" s="1832"/>
      <c r="R3008" s="1832"/>
      <c r="S3008" s="1832"/>
      <c r="T3008" s="1832"/>
      <c r="U3008" s="1832"/>
      <c r="V3008" s="1832"/>
      <c r="W3008" s="1832"/>
      <c r="X3008" s="1832"/>
      <c r="Y3008" s="1832"/>
      <c r="Z3008" s="1832"/>
      <c r="AA3008" s="1832"/>
      <c r="AB3008" s="1832"/>
      <c r="AC3008" s="1832"/>
      <c r="AD3008" s="1832"/>
      <c r="AE3008" s="1832"/>
      <c r="AF3008" s="1832"/>
      <c r="AG3008" s="1832"/>
      <c r="AH3008" s="1832"/>
      <c r="AI3008" s="1832"/>
      <c r="AJ3008" s="1832"/>
      <c r="AK3008" s="1832"/>
      <c r="AL3008" s="1832"/>
      <c r="AM3008" s="1832"/>
      <c r="AN3008" s="1832"/>
      <c r="AO3008" s="1832"/>
      <c r="AP3008" s="1832"/>
      <c r="AQ3008" s="1832"/>
      <c r="AR3008" s="1832"/>
      <c r="AS3008" s="1832"/>
      <c r="AT3008" s="1832"/>
      <c r="AU3008" s="1832"/>
      <c r="AV3008" s="1832"/>
      <c r="AW3008" s="1832"/>
      <c r="AX3008" s="1832"/>
      <c r="AY3008" s="1832"/>
      <c r="AZ3008" s="1832"/>
      <c r="BA3008" s="1832"/>
      <c r="BB3008" s="1832"/>
      <c r="BC3008" s="1832"/>
      <c r="BD3008" s="1832"/>
      <c r="BE3008" s="1832"/>
      <c r="BF3008" s="1832"/>
      <c r="BG3008" s="1832"/>
      <c r="BH3008" s="1832"/>
      <c r="BI3008" s="1832"/>
      <c r="BJ3008" s="1832"/>
      <c r="BK3008" s="1832"/>
      <c r="BL3008" s="1832"/>
      <c r="BM3008" s="1832"/>
      <c r="BN3008" s="1832"/>
      <c r="BO3008" s="1832"/>
      <c r="BP3008" s="1832"/>
      <c r="BQ3008" s="1832"/>
      <c r="BR3008" s="1832"/>
      <c r="BS3008" s="1832"/>
      <c r="BT3008" s="1832"/>
      <c r="BU3008" s="1832"/>
      <c r="BV3008" s="1832"/>
      <c r="BW3008" s="1832"/>
      <c r="BX3008" s="1832"/>
      <c r="BY3008" s="1832"/>
      <c r="BZ3008" s="1832"/>
      <c r="CA3008" s="1832"/>
      <c r="CB3008" s="1832"/>
      <c r="CC3008" s="1832"/>
      <c r="CD3008" s="1832"/>
      <c r="CE3008" s="1832"/>
      <c r="CF3008" s="1832"/>
      <c r="CG3008" s="1832"/>
      <c r="CH3008" s="1832"/>
      <c r="CI3008" s="1832"/>
      <c r="CJ3008" s="1832"/>
      <c r="CK3008" s="1832"/>
    </row>
    <row r="3009" spans="1:89" s="1090" customFormat="1" ht="29.25" customHeight="1" x14ac:dyDescent="0.25">
      <c r="A3009" s="1088">
        <v>21</v>
      </c>
      <c r="B3009" s="1085" t="s">
        <v>2086</v>
      </c>
      <c r="C3009" s="1089">
        <v>1</v>
      </c>
      <c r="D3009" s="1086" t="s">
        <v>16</v>
      </c>
      <c r="E3009" s="1087">
        <v>500000</v>
      </c>
      <c r="F3009" s="1078"/>
      <c r="G3009" s="1078"/>
      <c r="H3009" s="1078"/>
      <c r="I3009" s="1078"/>
      <c r="J3009" s="1078">
        <f t="shared" si="283"/>
        <v>500000</v>
      </c>
      <c r="K3009" s="1078">
        <f t="shared" si="284"/>
        <v>500000</v>
      </c>
      <c r="L3009" s="1078"/>
      <c r="M3009" s="1078"/>
      <c r="N3009" s="1078"/>
      <c r="O3009" s="1079">
        <f t="shared" si="285"/>
        <v>500000</v>
      </c>
      <c r="P3009" s="1080"/>
      <c r="Q3009" s="1832"/>
      <c r="R3009" s="1832"/>
      <c r="S3009" s="1832"/>
      <c r="T3009" s="1832"/>
      <c r="U3009" s="1832"/>
      <c r="V3009" s="1832"/>
      <c r="W3009" s="1832"/>
      <c r="X3009" s="1832"/>
      <c r="Y3009" s="1832"/>
      <c r="Z3009" s="1832"/>
      <c r="AA3009" s="1832"/>
      <c r="AB3009" s="1832"/>
      <c r="AC3009" s="1832"/>
      <c r="AD3009" s="1832"/>
      <c r="AE3009" s="1832"/>
      <c r="AF3009" s="1832"/>
      <c r="AG3009" s="1832"/>
      <c r="AH3009" s="1832"/>
      <c r="AI3009" s="1832"/>
      <c r="AJ3009" s="1832"/>
      <c r="AK3009" s="1832"/>
      <c r="AL3009" s="1832"/>
      <c r="AM3009" s="1832"/>
      <c r="AN3009" s="1832"/>
      <c r="AO3009" s="1832"/>
      <c r="AP3009" s="1832"/>
      <c r="AQ3009" s="1832"/>
      <c r="AR3009" s="1832"/>
      <c r="AS3009" s="1832"/>
      <c r="AT3009" s="1832"/>
      <c r="AU3009" s="1832"/>
      <c r="AV3009" s="1832"/>
      <c r="AW3009" s="1832"/>
      <c r="AX3009" s="1832"/>
      <c r="AY3009" s="1832"/>
      <c r="AZ3009" s="1832"/>
      <c r="BA3009" s="1832"/>
      <c r="BB3009" s="1832"/>
      <c r="BC3009" s="1832"/>
      <c r="BD3009" s="1832"/>
      <c r="BE3009" s="1832"/>
      <c r="BF3009" s="1832"/>
      <c r="BG3009" s="1832"/>
      <c r="BH3009" s="1832"/>
      <c r="BI3009" s="1832"/>
      <c r="BJ3009" s="1832"/>
      <c r="BK3009" s="1832"/>
      <c r="BL3009" s="1832"/>
      <c r="BM3009" s="1832"/>
      <c r="BN3009" s="1832"/>
      <c r="BO3009" s="1832"/>
      <c r="BP3009" s="1832"/>
      <c r="BQ3009" s="1832"/>
      <c r="BR3009" s="1832"/>
      <c r="BS3009" s="1832"/>
      <c r="BT3009" s="1832"/>
      <c r="BU3009" s="1832"/>
      <c r="BV3009" s="1832"/>
      <c r="BW3009" s="1832"/>
      <c r="BX3009" s="1832"/>
      <c r="BY3009" s="1832"/>
      <c r="BZ3009" s="1832"/>
      <c r="CA3009" s="1832"/>
      <c r="CB3009" s="1832"/>
      <c r="CC3009" s="1832"/>
      <c r="CD3009" s="1832"/>
      <c r="CE3009" s="1832"/>
      <c r="CF3009" s="1832"/>
      <c r="CG3009" s="1832"/>
      <c r="CH3009" s="1832"/>
      <c r="CI3009" s="1832"/>
      <c r="CJ3009" s="1832"/>
      <c r="CK3009" s="1832"/>
    </row>
    <row r="3010" spans="1:89" s="1090" customFormat="1" ht="41.25" customHeight="1" x14ac:dyDescent="0.25">
      <c r="A3010" s="1088">
        <v>22</v>
      </c>
      <c r="B3010" s="1085" t="s">
        <v>2087</v>
      </c>
      <c r="C3010" s="1089">
        <v>1</v>
      </c>
      <c r="D3010" s="1086" t="s">
        <v>16</v>
      </c>
      <c r="E3010" s="1087">
        <v>150000</v>
      </c>
      <c r="F3010" s="1078"/>
      <c r="G3010" s="1078"/>
      <c r="H3010" s="1078"/>
      <c r="I3010" s="1078"/>
      <c r="J3010" s="1078">
        <f t="shared" si="283"/>
        <v>150000</v>
      </c>
      <c r="K3010" s="1078">
        <f t="shared" si="284"/>
        <v>150000</v>
      </c>
      <c r="L3010" s="1078"/>
      <c r="M3010" s="1078"/>
      <c r="N3010" s="1078"/>
      <c r="O3010" s="1079">
        <f t="shared" si="285"/>
        <v>150000</v>
      </c>
      <c r="P3010" s="1080"/>
      <c r="Q3010" s="1832"/>
      <c r="R3010" s="1832"/>
      <c r="S3010" s="1832"/>
      <c r="T3010" s="1832"/>
      <c r="U3010" s="1832"/>
      <c r="V3010" s="1832"/>
      <c r="W3010" s="1832"/>
      <c r="X3010" s="1832"/>
      <c r="Y3010" s="1832"/>
      <c r="Z3010" s="1832"/>
      <c r="AA3010" s="1832"/>
      <c r="AB3010" s="1832"/>
      <c r="AC3010" s="1832"/>
      <c r="AD3010" s="1832"/>
      <c r="AE3010" s="1832"/>
      <c r="AF3010" s="1832"/>
      <c r="AG3010" s="1832"/>
      <c r="AH3010" s="1832"/>
      <c r="AI3010" s="1832"/>
      <c r="AJ3010" s="1832"/>
      <c r="AK3010" s="1832"/>
      <c r="AL3010" s="1832"/>
      <c r="AM3010" s="1832"/>
      <c r="AN3010" s="1832"/>
      <c r="AO3010" s="1832"/>
      <c r="AP3010" s="1832"/>
      <c r="AQ3010" s="1832"/>
      <c r="AR3010" s="1832"/>
      <c r="AS3010" s="1832"/>
      <c r="AT3010" s="1832"/>
      <c r="AU3010" s="1832"/>
      <c r="AV3010" s="1832"/>
      <c r="AW3010" s="1832"/>
      <c r="AX3010" s="1832"/>
      <c r="AY3010" s="1832"/>
      <c r="AZ3010" s="1832"/>
      <c r="BA3010" s="1832"/>
      <c r="BB3010" s="1832"/>
      <c r="BC3010" s="1832"/>
      <c r="BD3010" s="1832"/>
      <c r="BE3010" s="1832"/>
      <c r="BF3010" s="1832"/>
      <c r="BG3010" s="1832"/>
      <c r="BH3010" s="1832"/>
      <c r="BI3010" s="1832"/>
      <c r="BJ3010" s="1832"/>
      <c r="BK3010" s="1832"/>
      <c r="BL3010" s="1832"/>
      <c r="BM3010" s="1832"/>
      <c r="BN3010" s="1832"/>
      <c r="BO3010" s="1832"/>
      <c r="BP3010" s="1832"/>
      <c r="BQ3010" s="1832"/>
      <c r="BR3010" s="1832"/>
      <c r="BS3010" s="1832"/>
      <c r="BT3010" s="1832"/>
      <c r="BU3010" s="1832"/>
      <c r="BV3010" s="1832"/>
      <c r="BW3010" s="1832"/>
      <c r="BX3010" s="1832"/>
      <c r="BY3010" s="1832"/>
      <c r="BZ3010" s="1832"/>
      <c r="CA3010" s="1832"/>
      <c r="CB3010" s="1832"/>
      <c r="CC3010" s="1832"/>
      <c r="CD3010" s="1832"/>
      <c r="CE3010" s="1832"/>
      <c r="CF3010" s="1832"/>
      <c r="CG3010" s="1832"/>
      <c r="CH3010" s="1832"/>
      <c r="CI3010" s="1832"/>
      <c r="CJ3010" s="1832"/>
      <c r="CK3010" s="1832"/>
    </row>
    <row r="3011" spans="1:89" ht="29.25" customHeight="1" x14ac:dyDescent="0.25">
      <c r="A3011" s="942"/>
      <c r="B3011" s="895"/>
      <c r="C3011" s="789"/>
      <c r="D3011" s="943"/>
      <c r="E3011" s="944"/>
      <c r="F3011" s="714"/>
      <c r="G3011" s="714"/>
      <c r="H3011" s="714"/>
      <c r="I3011" s="714"/>
      <c r="J3011" s="714"/>
      <c r="K3011" s="714"/>
      <c r="L3011" s="714"/>
      <c r="M3011" s="714"/>
      <c r="N3011" s="714"/>
      <c r="O3011" s="753"/>
      <c r="P3011" s="754"/>
    </row>
    <row r="3012" spans="1:89" s="1090" customFormat="1" ht="29.25" customHeight="1" x14ac:dyDescent="0.25">
      <c r="A3012" s="1704" t="s">
        <v>1746</v>
      </c>
      <c r="B3012" s="1705" t="s">
        <v>1064</v>
      </c>
      <c r="C3012" s="1089"/>
      <c r="D3012" s="1086"/>
      <c r="E3012" s="1087"/>
      <c r="F3012" s="1078"/>
      <c r="G3012" s="1078"/>
      <c r="H3012" s="1078"/>
      <c r="I3012" s="1078"/>
      <c r="J3012" s="1078"/>
      <c r="K3012" s="1078"/>
      <c r="L3012" s="1078"/>
      <c r="M3012" s="1078"/>
      <c r="N3012" s="1078"/>
      <c r="O3012" s="1079"/>
      <c r="P3012" s="1080"/>
      <c r="Q3012" s="1832"/>
      <c r="R3012" s="1832"/>
      <c r="S3012" s="1832"/>
      <c r="T3012" s="1832"/>
      <c r="U3012" s="1832"/>
      <c r="V3012" s="1832"/>
      <c r="W3012" s="1832"/>
      <c r="X3012" s="1832"/>
      <c r="Y3012" s="1832"/>
      <c r="Z3012" s="1832"/>
      <c r="AA3012" s="1832"/>
      <c r="AB3012" s="1832"/>
      <c r="AC3012" s="1832"/>
      <c r="AD3012" s="1832"/>
      <c r="AE3012" s="1832"/>
      <c r="AF3012" s="1832"/>
      <c r="AG3012" s="1832"/>
      <c r="AH3012" s="1832"/>
      <c r="AI3012" s="1832"/>
      <c r="AJ3012" s="1832"/>
      <c r="AK3012" s="1832"/>
      <c r="AL3012" s="1832"/>
      <c r="AM3012" s="1832"/>
      <c r="AN3012" s="1832"/>
      <c r="AO3012" s="1832"/>
      <c r="AP3012" s="1832"/>
      <c r="AQ3012" s="1832"/>
      <c r="AR3012" s="1832"/>
      <c r="AS3012" s="1832"/>
      <c r="AT3012" s="1832"/>
      <c r="AU3012" s="1832"/>
      <c r="AV3012" s="1832"/>
      <c r="AW3012" s="1832"/>
      <c r="AX3012" s="1832"/>
      <c r="AY3012" s="1832"/>
      <c r="AZ3012" s="1832"/>
      <c r="BA3012" s="1832"/>
      <c r="BB3012" s="1832"/>
      <c r="BC3012" s="1832"/>
      <c r="BD3012" s="1832"/>
      <c r="BE3012" s="1832"/>
      <c r="BF3012" s="1832"/>
      <c r="BG3012" s="1832"/>
      <c r="BH3012" s="1832"/>
      <c r="BI3012" s="1832"/>
      <c r="BJ3012" s="1832"/>
      <c r="BK3012" s="1832"/>
      <c r="BL3012" s="1832"/>
      <c r="BM3012" s="1832"/>
      <c r="BN3012" s="1832"/>
      <c r="BO3012" s="1832"/>
      <c r="BP3012" s="1832"/>
      <c r="BQ3012" s="1832"/>
      <c r="BR3012" s="1832"/>
      <c r="BS3012" s="1832"/>
      <c r="BT3012" s="1832"/>
      <c r="BU3012" s="1832"/>
      <c r="BV3012" s="1832"/>
      <c r="BW3012" s="1832"/>
      <c r="BX3012" s="1832"/>
      <c r="BY3012" s="1832"/>
      <c r="BZ3012" s="1832"/>
      <c r="CA3012" s="1832"/>
      <c r="CB3012" s="1832"/>
      <c r="CC3012" s="1832"/>
      <c r="CD3012" s="1832"/>
      <c r="CE3012" s="1832"/>
      <c r="CF3012" s="1832"/>
      <c r="CG3012" s="1832"/>
      <c r="CH3012" s="1832"/>
      <c r="CI3012" s="1832"/>
      <c r="CJ3012" s="1832"/>
      <c r="CK3012" s="1832"/>
    </row>
    <row r="3013" spans="1:89" ht="29.25" customHeight="1" x14ac:dyDescent="0.25">
      <c r="A3013" s="942"/>
      <c r="B3013" s="895"/>
      <c r="C3013" s="789"/>
      <c r="D3013" s="943"/>
      <c r="E3013" s="944"/>
      <c r="F3013" s="714"/>
      <c r="G3013" s="714"/>
      <c r="H3013" s="714"/>
      <c r="I3013" s="714"/>
      <c r="J3013" s="714">
        <f t="shared" ref="J3013:J3018" si="286">C3013*E3013</f>
        <v>0</v>
      </c>
      <c r="K3013" s="714">
        <f t="shared" ref="K3013:K3018" si="287">I3013+J3013</f>
        <v>0</v>
      </c>
      <c r="L3013" s="714"/>
      <c r="M3013" s="714"/>
      <c r="N3013" s="714"/>
      <c r="O3013" s="753">
        <f>N3013+K3013+H3013</f>
        <v>0</v>
      </c>
      <c r="P3013" s="754"/>
    </row>
    <row r="3014" spans="1:89" ht="29.25" customHeight="1" x14ac:dyDescent="0.25">
      <c r="A3014" s="942"/>
      <c r="B3014" s="895" t="s">
        <v>999</v>
      </c>
      <c r="C3014" s="789"/>
      <c r="D3014" s="943"/>
      <c r="E3014" s="944"/>
      <c r="F3014" s="714"/>
      <c r="G3014" s="714"/>
      <c r="H3014" s="714"/>
      <c r="I3014" s="714"/>
      <c r="J3014" s="714">
        <f t="shared" si="286"/>
        <v>0</v>
      </c>
      <c r="K3014" s="714">
        <f t="shared" si="287"/>
        <v>0</v>
      </c>
      <c r="L3014" s="714"/>
      <c r="M3014" s="714"/>
      <c r="N3014" s="714"/>
      <c r="O3014" s="753">
        <f>N3014+K3014+H3014</f>
        <v>0</v>
      </c>
      <c r="P3014" s="754"/>
    </row>
    <row r="3015" spans="1:89" s="1090" customFormat="1" ht="27.75" customHeight="1" x14ac:dyDescent="0.25">
      <c r="A3015" s="1088">
        <v>1</v>
      </c>
      <c r="B3015" s="1085" t="s">
        <v>1065</v>
      </c>
      <c r="C3015" s="1089">
        <v>1</v>
      </c>
      <c r="D3015" s="1086" t="s">
        <v>16</v>
      </c>
      <c r="E3015" s="1087">
        <v>4500000</v>
      </c>
      <c r="F3015" s="1078"/>
      <c r="G3015" s="1078"/>
      <c r="H3015" s="1078"/>
      <c r="I3015" s="1078"/>
      <c r="J3015" s="1078">
        <f t="shared" si="286"/>
        <v>4500000</v>
      </c>
      <c r="K3015" s="1078">
        <f t="shared" si="287"/>
        <v>4500000</v>
      </c>
      <c r="L3015" s="1078"/>
      <c r="M3015" s="1078"/>
      <c r="N3015" s="1078"/>
      <c r="O3015" s="1079">
        <f>K3015+N3015</f>
        <v>4500000</v>
      </c>
      <c r="P3015" s="1080"/>
      <c r="Q3015" s="1832"/>
      <c r="R3015" s="1832"/>
      <c r="S3015" s="1832"/>
      <c r="T3015" s="1832"/>
      <c r="U3015" s="1832"/>
      <c r="V3015" s="1832"/>
      <c r="W3015" s="1832"/>
      <c r="X3015" s="1832"/>
      <c r="Y3015" s="1832"/>
      <c r="Z3015" s="1832"/>
      <c r="AA3015" s="1832"/>
      <c r="AB3015" s="1832"/>
      <c r="AC3015" s="1832"/>
      <c r="AD3015" s="1832"/>
      <c r="AE3015" s="1832"/>
      <c r="AF3015" s="1832"/>
      <c r="AG3015" s="1832"/>
      <c r="AH3015" s="1832"/>
      <c r="AI3015" s="1832"/>
      <c r="AJ3015" s="1832"/>
      <c r="AK3015" s="1832"/>
      <c r="AL3015" s="1832"/>
      <c r="AM3015" s="1832"/>
      <c r="AN3015" s="1832"/>
      <c r="AO3015" s="1832"/>
      <c r="AP3015" s="1832"/>
      <c r="AQ3015" s="1832"/>
      <c r="AR3015" s="1832"/>
      <c r="AS3015" s="1832"/>
      <c r="AT3015" s="1832"/>
      <c r="AU3015" s="1832"/>
      <c r="AV3015" s="1832"/>
      <c r="AW3015" s="1832"/>
      <c r="AX3015" s="1832"/>
      <c r="AY3015" s="1832"/>
      <c r="AZ3015" s="1832"/>
      <c r="BA3015" s="1832"/>
      <c r="BB3015" s="1832"/>
      <c r="BC3015" s="1832"/>
      <c r="BD3015" s="1832"/>
      <c r="BE3015" s="1832"/>
      <c r="BF3015" s="1832"/>
      <c r="BG3015" s="1832"/>
      <c r="BH3015" s="1832"/>
      <c r="BI3015" s="1832"/>
      <c r="BJ3015" s="1832"/>
      <c r="BK3015" s="1832"/>
      <c r="BL3015" s="1832"/>
      <c r="BM3015" s="1832"/>
      <c r="BN3015" s="1832"/>
      <c r="BO3015" s="1832"/>
      <c r="BP3015" s="1832"/>
      <c r="BQ3015" s="1832"/>
      <c r="BR3015" s="1832"/>
      <c r="BS3015" s="1832"/>
      <c r="BT3015" s="1832"/>
      <c r="BU3015" s="1832"/>
      <c r="BV3015" s="1832"/>
      <c r="BW3015" s="1832"/>
      <c r="BX3015" s="1832"/>
      <c r="BY3015" s="1832"/>
      <c r="BZ3015" s="1832"/>
      <c r="CA3015" s="1832"/>
      <c r="CB3015" s="1832"/>
      <c r="CC3015" s="1832"/>
      <c r="CD3015" s="1832"/>
      <c r="CE3015" s="1832"/>
      <c r="CF3015" s="1832"/>
      <c r="CG3015" s="1832"/>
      <c r="CH3015" s="1832"/>
      <c r="CI3015" s="1832"/>
      <c r="CJ3015" s="1832"/>
      <c r="CK3015" s="1832"/>
    </row>
    <row r="3016" spans="1:89" s="1090" customFormat="1" ht="29.25" customHeight="1" x14ac:dyDescent="0.25">
      <c r="A3016" s="1088">
        <v>2</v>
      </c>
      <c r="B3016" s="1085" t="s">
        <v>1066</v>
      </c>
      <c r="C3016" s="1089">
        <v>1</v>
      </c>
      <c r="D3016" s="1086" t="s">
        <v>16</v>
      </c>
      <c r="E3016" s="1087">
        <v>1000000</v>
      </c>
      <c r="F3016" s="1078"/>
      <c r="G3016" s="1078"/>
      <c r="H3016" s="1078"/>
      <c r="I3016" s="1078"/>
      <c r="J3016" s="1078">
        <f t="shared" si="286"/>
        <v>1000000</v>
      </c>
      <c r="K3016" s="1078">
        <f t="shared" si="287"/>
        <v>1000000</v>
      </c>
      <c r="L3016" s="1078"/>
      <c r="M3016" s="1078"/>
      <c r="N3016" s="1078"/>
      <c r="O3016" s="1079">
        <f>K3016+N3016</f>
        <v>1000000</v>
      </c>
      <c r="P3016" s="1080"/>
      <c r="Q3016" s="1832"/>
      <c r="R3016" s="1832"/>
      <c r="S3016" s="1832"/>
      <c r="T3016" s="1832"/>
      <c r="U3016" s="1832"/>
      <c r="V3016" s="1832"/>
      <c r="W3016" s="1832"/>
      <c r="X3016" s="1832"/>
      <c r="Y3016" s="1832"/>
      <c r="Z3016" s="1832"/>
      <c r="AA3016" s="1832"/>
      <c r="AB3016" s="1832"/>
      <c r="AC3016" s="1832"/>
      <c r="AD3016" s="1832"/>
      <c r="AE3016" s="1832"/>
      <c r="AF3016" s="1832"/>
      <c r="AG3016" s="1832"/>
      <c r="AH3016" s="1832"/>
      <c r="AI3016" s="1832"/>
      <c r="AJ3016" s="1832"/>
      <c r="AK3016" s="1832"/>
      <c r="AL3016" s="1832"/>
      <c r="AM3016" s="1832"/>
      <c r="AN3016" s="1832"/>
      <c r="AO3016" s="1832"/>
      <c r="AP3016" s="1832"/>
      <c r="AQ3016" s="1832"/>
      <c r="AR3016" s="1832"/>
      <c r="AS3016" s="1832"/>
      <c r="AT3016" s="1832"/>
      <c r="AU3016" s="1832"/>
      <c r="AV3016" s="1832"/>
      <c r="AW3016" s="1832"/>
      <c r="AX3016" s="1832"/>
      <c r="AY3016" s="1832"/>
      <c r="AZ3016" s="1832"/>
      <c r="BA3016" s="1832"/>
      <c r="BB3016" s="1832"/>
      <c r="BC3016" s="1832"/>
      <c r="BD3016" s="1832"/>
      <c r="BE3016" s="1832"/>
      <c r="BF3016" s="1832"/>
      <c r="BG3016" s="1832"/>
      <c r="BH3016" s="1832"/>
      <c r="BI3016" s="1832"/>
      <c r="BJ3016" s="1832"/>
      <c r="BK3016" s="1832"/>
      <c r="BL3016" s="1832"/>
      <c r="BM3016" s="1832"/>
      <c r="BN3016" s="1832"/>
      <c r="BO3016" s="1832"/>
      <c r="BP3016" s="1832"/>
      <c r="BQ3016" s="1832"/>
      <c r="BR3016" s="1832"/>
      <c r="BS3016" s="1832"/>
      <c r="BT3016" s="1832"/>
      <c r="BU3016" s="1832"/>
      <c r="BV3016" s="1832"/>
      <c r="BW3016" s="1832"/>
      <c r="BX3016" s="1832"/>
      <c r="BY3016" s="1832"/>
      <c r="BZ3016" s="1832"/>
      <c r="CA3016" s="1832"/>
      <c r="CB3016" s="1832"/>
      <c r="CC3016" s="1832"/>
      <c r="CD3016" s="1832"/>
      <c r="CE3016" s="1832"/>
      <c r="CF3016" s="1832"/>
      <c r="CG3016" s="1832"/>
      <c r="CH3016" s="1832"/>
      <c r="CI3016" s="1832"/>
      <c r="CJ3016" s="1832"/>
      <c r="CK3016" s="1832"/>
    </row>
    <row r="3017" spans="1:89" s="1090" customFormat="1" ht="29.25" customHeight="1" x14ac:dyDescent="0.25">
      <c r="A3017" s="1088">
        <v>3</v>
      </c>
      <c r="B3017" s="1085" t="s">
        <v>1067</v>
      </c>
      <c r="C3017" s="1089">
        <v>1</v>
      </c>
      <c r="D3017" s="1086" t="s">
        <v>16</v>
      </c>
      <c r="E3017" s="1087">
        <v>300000</v>
      </c>
      <c r="F3017" s="1078"/>
      <c r="G3017" s="1078"/>
      <c r="H3017" s="1078"/>
      <c r="I3017" s="1078"/>
      <c r="J3017" s="1078">
        <f t="shared" si="286"/>
        <v>300000</v>
      </c>
      <c r="K3017" s="1078">
        <f t="shared" si="287"/>
        <v>300000</v>
      </c>
      <c r="L3017" s="1078"/>
      <c r="M3017" s="1078"/>
      <c r="N3017" s="1078"/>
      <c r="O3017" s="1079">
        <f>K3017+N3017</f>
        <v>300000</v>
      </c>
      <c r="P3017" s="1080"/>
      <c r="Q3017" s="1832"/>
      <c r="R3017" s="1832"/>
      <c r="S3017" s="1832"/>
      <c r="T3017" s="1832"/>
      <c r="U3017" s="1832"/>
      <c r="V3017" s="1832"/>
      <c r="W3017" s="1832"/>
      <c r="X3017" s="1832"/>
      <c r="Y3017" s="1832"/>
      <c r="Z3017" s="1832"/>
      <c r="AA3017" s="1832"/>
      <c r="AB3017" s="1832"/>
      <c r="AC3017" s="1832"/>
      <c r="AD3017" s="1832"/>
      <c r="AE3017" s="1832"/>
      <c r="AF3017" s="1832"/>
      <c r="AG3017" s="1832"/>
      <c r="AH3017" s="1832"/>
      <c r="AI3017" s="1832"/>
      <c r="AJ3017" s="1832"/>
      <c r="AK3017" s="1832"/>
      <c r="AL3017" s="1832"/>
      <c r="AM3017" s="1832"/>
      <c r="AN3017" s="1832"/>
      <c r="AO3017" s="1832"/>
      <c r="AP3017" s="1832"/>
      <c r="AQ3017" s="1832"/>
      <c r="AR3017" s="1832"/>
      <c r="AS3017" s="1832"/>
      <c r="AT3017" s="1832"/>
      <c r="AU3017" s="1832"/>
      <c r="AV3017" s="1832"/>
      <c r="AW3017" s="1832"/>
      <c r="AX3017" s="1832"/>
      <c r="AY3017" s="1832"/>
      <c r="AZ3017" s="1832"/>
      <c r="BA3017" s="1832"/>
      <c r="BB3017" s="1832"/>
      <c r="BC3017" s="1832"/>
      <c r="BD3017" s="1832"/>
      <c r="BE3017" s="1832"/>
      <c r="BF3017" s="1832"/>
      <c r="BG3017" s="1832"/>
      <c r="BH3017" s="1832"/>
      <c r="BI3017" s="1832"/>
      <c r="BJ3017" s="1832"/>
      <c r="BK3017" s="1832"/>
      <c r="BL3017" s="1832"/>
      <c r="BM3017" s="1832"/>
      <c r="BN3017" s="1832"/>
      <c r="BO3017" s="1832"/>
      <c r="BP3017" s="1832"/>
      <c r="BQ3017" s="1832"/>
      <c r="BR3017" s="1832"/>
      <c r="BS3017" s="1832"/>
      <c r="BT3017" s="1832"/>
      <c r="BU3017" s="1832"/>
      <c r="BV3017" s="1832"/>
      <c r="BW3017" s="1832"/>
      <c r="BX3017" s="1832"/>
      <c r="BY3017" s="1832"/>
      <c r="BZ3017" s="1832"/>
      <c r="CA3017" s="1832"/>
      <c r="CB3017" s="1832"/>
      <c r="CC3017" s="1832"/>
      <c r="CD3017" s="1832"/>
      <c r="CE3017" s="1832"/>
      <c r="CF3017" s="1832"/>
      <c r="CG3017" s="1832"/>
      <c r="CH3017" s="1832"/>
      <c r="CI3017" s="1832"/>
      <c r="CJ3017" s="1832"/>
      <c r="CK3017" s="1832"/>
    </row>
    <row r="3018" spans="1:89" s="1090" customFormat="1" ht="29.25" customHeight="1" x14ac:dyDescent="0.25">
      <c r="A3018" s="1088">
        <v>4</v>
      </c>
      <c r="B3018" s="1085" t="s">
        <v>1814</v>
      </c>
      <c r="C3018" s="1089">
        <v>1</v>
      </c>
      <c r="D3018" s="1086" t="s">
        <v>16</v>
      </c>
      <c r="E3018" s="1087">
        <v>722000</v>
      </c>
      <c r="F3018" s="1078"/>
      <c r="G3018" s="1078"/>
      <c r="H3018" s="1078"/>
      <c r="I3018" s="1078"/>
      <c r="J3018" s="1078">
        <f t="shared" si="286"/>
        <v>722000</v>
      </c>
      <c r="K3018" s="1078">
        <f t="shared" si="287"/>
        <v>722000</v>
      </c>
      <c r="L3018" s="1078"/>
      <c r="M3018" s="1078"/>
      <c r="N3018" s="1078"/>
      <c r="O3018" s="1079">
        <f>K3018+N3018</f>
        <v>722000</v>
      </c>
      <c r="P3018" s="1080"/>
      <c r="Q3018" s="1832"/>
      <c r="R3018" s="1832"/>
      <c r="S3018" s="1832"/>
      <c r="T3018" s="1832"/>
      <c r="U3018" s="1832"/>
      <c r="V3018" s="1832"/>
      <c r="W3018" s="1832"/>
      <c r="X3018" s="1832"/>
      <c r="Y3018" s="1832"/>
      <c r="Z3018" s="1832"/>
      <c r="AA3018" s="1832"/>
      <c r="AB3018" s="1832"/>
      <c r="AC3018" s="1832"/>
      <c r="AD3018" s="1832"/>
      <c r="AE3018" s="1832"/>
      <c r="AF3018" s="1832"/>
      <c r="AG3018" s="1832"/>
      <c r="AH3018" s="1832"/>
      <c r="AI3018" s="1832"/>
      <c r="AJ3018" s="1832"/>
      <c r="AK3018" s="1832"/>
      <c r="AL3018" s="1832"/>
      <c r="AM3018" s="1832"/>
      <c r="AN3018" s="1832"/>
      <c r="AO3018" s="1832"/>
      <c r="AP3018" s="1832"/>
      <c r="AQ3018" s="1832"/>
      <c r="AR3018" s="1832"/>
      <c r="AS3018" s="1832"/>
      <c r="AT3018" s="1832"/>
      <c r="AU3018" s="1832"/>
      <c r="AV3018" s="1832"/>
      <c r="AW3018" s="1832"/>
      <c r="AX3018" s="1832"/>
      <c r="AY3018" s="1832"/>
      <c r="AZ3018" s="1832"/>
      <c r="BA3018" s="1832"/>
      <c r="BB3018" s="1832"/>
      <c r="BC3018" s="1832"/>
      <c r="BD3018" s="1832"/>
      <c r="BE3018" s="1832"/>
      <c r="BF3018" s="1832"/>
      <c r="BG3018" s="1832"/>
      <c r="BH3018" s="1832"/>
      <c r="BI3018" s="1832"/>
      <c r="BJ3018" s="1832"/>
      <c r="BK3018" s="1832"/>
      <c r="BL3018" s="1832"/>
      <c r="BM3018" s="1832"/>
      <c r="BN3018" s="1832"/>
      <c r="BO3018" s="1832"/>
      <c r="BP3018" s="1832"/>
      <c r="BQ3018" s="1832"/>
      <c r="BR3018" s="1832"/>
      <c r="BS3018" s="1832"/>
      <c r="BT3018" s="1832"/>
      <c r="BU3018" s="1832"/>
      <c r="BV3018" s="1832"/>
      <c r="BW3018" s="1832"/>
      <c r="BX3018" s="1832"/>
      <c r="BY3018" s="1832"/>
      <c r="BZ3018" s="1832"/>
      <c r="CA3018" s="1832"/>
      <c r="CB3018" s="1832"/>
      <c r="CC3018" s="1832"/>
      <c r="CD3018" s="1832"/>
      <c r="CE3018" s="1832"/>
      <c r="CF3018" s="1832"/>
      <c r="CG3018" s="1832"/>
      <c r="CH3018" s="1832"/>
      <c r="CI3018" s="1832"/>
      <c r="CJ3018" s="1832"/>
      <c r="CK3018" s="1832"/>
    </row>
    <row r="3019" spans="1:89" ht="29.25" customHeight="1" x14ac:dyDescent="0.25">
      <c r="A3019" s="942"/>
      <c r="B3019" s="895"/>
      <c r="C3019" s="789"/>
      <c r="D3019" s="943"/>
      <c r="E3019" s="944"/>
      <c r="F3019" s="714"/>
      <c r="G3019" s="714"/>
      <c r="H3019" s="714"/>
      <c r="I3019" s="714"/>
      <c r="J3019" s="714"/>
      <c r="K3019" s="714"/>
      <c r="L3019" s="714"/>
      <c r="M3019" s="714"/>
      <c r="N3019" s="714"/>
      <c r="O3019" s="753"/>
      <c r="P3019" s="754"/>
    </row>
    <row r="3020" spans="1:89" s="1090" customFormat="1" ht="29.25" customHeight="1" x14ac:dyDescent="0.25">
      <c r="A3020" s="1088"/>
      <c r="B3020" s="1091" t="s">
        <v>984</v>
      </c>
      <c r="C3020" s="1089"/>
      <c r="D3020" s="1086"/>
      <c r="E3020" s="1087"/>
      <c r="F3020" s="1078"/>
      <c r="G3020" s="1078"/>
      <c r="H3020" s="1078"/>
      <c r="I3020" s="1078"/>
      <c r="J3020" s="1078"/>
      <c r="K3020" s="1078"/>
      <c r="L3020" s="1078"/>
      <c r="M3020" s="1078"/>
      <c r="N3020" s="1078"/>
      <c r="O3020" s="1079"/>
      <c r="P3020" s="1080"/>
      <c r="Q3020" s="1832"/>
      <c r="R3020" s="1832"/>
      <c r="S3020" s="1832"/>
      <c r="T3020" s="1832"/>
      <c r="U3020" s="1832"/>
      <c r="V3020" s="1832"/>
      <c r="W3020" s="1832"/>
      <c r="X3020" s="1832"/>
      <c r="Y3020" s="1832"/>
      <c r="Z3020" s="1832"/>
      <c r="AA3020" s="1832"/>
      <c r="AB3020" s="1832"/>
      <c r="AC3020" s="1832"/>
      <c r="AD3020" s="1832"/>
      <c r="AE3020" s="1832"/>
      <c r="AF3020" s="1832"/>
      <c r="AG3020" s="1832"/>
      <c r="AH3020" s="1832"/>
      <c r="AI3020" s="1832"/>
      <c r="AJ3020" s="1832"/>
      <c r="AK3020" s="1832"/>
      <c r="AL3020" s="1832"/>
      <c r="AM3020" s="1832"/>
      <c r="AN3020" s="1832"/>
      <c r="AO3020" s="1832"/>
      <c r="AP3020" s="1832"/>
      <c r="AQ3020" s="1832"/>
      <c r="AR3020" s="1832"/>
      <c r="AS3020" s="1832"/>
      <c r="AT3020" s="1832"/>
      <c r="AU3020" s="1832"/>
      <c r="AV3020" s="1832"/>
      <c r="AW3020" s="1832"/>
      <c r="AX3020" s="1832"/>
      <c r="AY3020" s="1832"/>
      <c r="AZ3020" s="1832"/>
      <c r="BA3020" s="1832"/>
      <c r="BB3020" s="1832"/>
      <c r="BC3020" s="1832"/>
      <c r="BD3020" s="1832"/>
      <c r="BE3020" s="1832"/>
      <c r="BF3020" s="1832"/>
      <c r="BG3020" s="1832"/>
      <c r="BH3020" s="1832"/>
      <c r="BI3020" s="1832"/>
      <c r="BJ3020" s="1832"/>
      <c r="BK3020" s="1832"/>
      <c r="BL3020" s="1832"/>
      <c r="BM3020" s="1832"/>
      <c r="BN3020" s="1832"/>
      <c r="BO3020" s="1832"/>
      <c r="BP3020" s="1832"/>
      <c r="BQ3020" s="1832"/>
      <c r="BR3020" s="1832"/>
      <c r="BS3020" s="1832"/>
      <c r="BT3020" s="1832"/>
      <c r="BU3020" s="1832"/>
      <c r="BV3020" s="1832"/>
      <c r="BW3020" s="1832"/>
      <c r="BX3020" s="1832"/>
      <c r="BY3020" s="1832"/>
      <c r="BZ3020" s="1832"/>
      <c r="CA3020" s="1832"/>
      <c r="CB3020" s="1832"/>
      <c r="CC3020" s="1832"/>
      <c r="CD3020" s="1832"/>
      <c r="CE3020" s="1832"/>
      <c r="CF3020" s="1832"/>
      <c r="CG3020" s="1832"/>
      <c r="CH3020" s="1832"/>
      <c r="CI3020" s="1832"/>
      <c r="CJ3020" s="1832"/>
      <c r="CK3020" s="1832"/>
    </row>
    <row r="3021" spans="1:89" s="1090" customFormat="1" ht="29.25" customHeight="1" x14ac:dyDescent="0.25">
      <c r="A3021" s="1088">
        <v>5</v>
      </c>
      <c r="B3021" s="1085" t="s">
        <v>1815</v>
      </c>
      <c r="C3021" s="1089">
        <v>1</v>
      </c>
      <c r="D3021" s="1086" t="s">
        <v>16</v>
      </c>
      <c r="E3021" s="1087">
        <v>350000</v>
      </c>
      <c r="F3021" s="1078"/>
      <c r="G3021" s="1078"/>
      <c r="H3021" s="1078"/>
      <c r="I3021" s="1078"/>
      <c r="J3021" s="1078"/>
      <c r="K3021" s="1078"/>
      <c r="L3021" s="1078">
        <f>E3021</f>
        <v>350000</v>
      </c>
      <c r="M3021" s="1078"/>
      <c r="N3021" s="1078">
        <f>L3021+M3021</f>
        <v>350000</v>
      </c>
      <c r="O3021" s="1079">
        <f>K3021+N3021</f>
        <v>350000</v>
      </c>
      <c r="P3021" s="1080"/>
      <c r="Q3021" s="1832"/>
      <c r="R3021" s="1832"/>
      <c r="S3021" s="1832"/>
      <c r="T3021" s="1832"/>
      <c r="U3021" s="1832"/>
      <c r="V3021" s="1832"/>
      <c r="W3021" s="1832"/>
      <c r="X3021" s="1832"/>
      <c r="Y3021" s="1832"/>
      <c r="Z3021" s="1832"/>
      <c r="AA3021" s="1832"/>
      <c r="AB3021" s="1832"/>
      <c r="AC3021" s="1832"/>
      <c r="AD3021" s="1832"/>
      <c r="AE3021" s="1832"/>
      <c r="AF3021" s="1832"/>
      <c r="AG3021" s="1832"/>
      <c r="AH3021" s="1832"/>
      <c r="AI3021" s="1832"/>
      <c r="AJ3021" s="1832"/>
      <c r="AK3021" s="1832"/>
      <c r="AL3021" s="1832"/>
      <c r="AM3021" s="1832"/>
      <c r="AN3021" s="1832"/>
      <c r="AO3021" s="1832"/>
      <c r="AP3021" s="1832"/>
      <c r="AQ3021" s="1832"/>
      <c r="AR3021" s="1832"/>
      <c r="AS3021" s="1832"/>
      <c r="AT3021" s="1832"/>
      <c r="AU3021" s="1832"/>
      <c r="AV3021" s="1832"/>
      <c r="AW3021" s="1832"/>
      <c r="AX3021" s="1832"/>
      <c r="AY3021" s="1832"/>
      <c r="AZ3021" s="1832"/>
      <c r="BA3021" s="1832"/>
      <c r="BB3021" s="1832"/>
      <c r="BC3021" s="1832"/>
      <c r="BD3021" s="1832"/>
      <c r="BE3021" s="1832"/>
      <c r="BF3021" s="1832"/>
      <c r="BG3021" s="1832"/>
      <c r="BH3021" s="1832"/>
      <c r="BI3021" s="1832"/>
      <c r="BJ3021" s="1832"/>
      <c r="BK3021" s="1832"/>
      <c r="BL3021" s="1832"/>
      <c r="BM3021" s="1832"/>
      <c r="BN3021" s="1832"/>
      <c r="BO3021" s="1832"/>
      <c r="BP3021" s="1832"/>
      <c r="BQ3021" s="1832"/>
      <c r="BR3021" s="1832"/>
      <c r="BS3021" s="1832"/>
      <c r="BT3021" s="1832"/>
      <c r="BU3021" s="1832"/>
      <c r="BV3021" s="1832"/>
      <c r="BW3021" s="1832"/>
      <c r="BX3021" s="1832"/>
      <c r="BY3021" s="1832"/>
      <c r="BZ3021" s="1832"/>
      <c r="CA3021" s="1832"/>
      <c r="CB3021" s="1832"/>
      <c r="CC3021" s="1832"/>
      <c r="CD3021" s="1832"/>
      <c r="CE3021" s="1832"/>
      <c r="CF3021" s="1832"/>
      <c r="CG3021" s="1832"/>
      <c r="CH3021" s="1832"/>
      <c r="CI3021" s="1832"/>
      <c r="CJ3021" s="1832"/>
      <c r="CK3021" s="1832"/>
    </row>
    <row r="3022" spans="1:89" s="1090" customFormat="1" ht="29.25" customHeight="1" x14ac:dyDescent="0.25">
      <c r="A3022" s="1088">
        <v>6</v>
      </c>
      <c r="B3022" s="1085" t="s">
        <v>1819</v>
      </c>
      <c r="C3022" s="1089">
        <v>1</v>
      </c>
      <c r="D3022" s="1086" t="s">
        <v>16</v>
      </c>
      <c r="E3022" s="1087">
        <v>500000</v>
      </c>
      <c r="F3022" s="1078"/>
      <c r="G3022" s="1078"/>
      <c r="H3022" s="1078"/>
      <c r="I3022" s="1078"/>
      <c r="J3022" s="1078"/>
      <c r="K3022" s="1078"/>
      <c r="L3022" s="1078">
        <f>E3022</f>
        <v>500000</v>
      </c>
      <c r="M3022" s="1078"/>
      <c r="N3022" s="1078">
        <f>L3022+M3022</f>
        <v>500000</v>
      </c>
      <c r="O3022" s="1079">
        <f>K3022+N3022</f>
        <v>500000</v>
      </c>
      <c r="P3022" s="1080"/>
      <c r="Q3022" s="1832"/>
      <c r="R3022" s="1832"/>
      <c r="S3022" s="1832"/>
      <c r="T3022" s="1832"/>
      <c r="U3022" s="1832"/>
      <c r="V3022" s="1832"/>
      <c r="W3022" s="1832"/>
      <c r="X3022" s="1832"/>
      <c r="Y3022" s="1832"/>
      <c r="Z3022" s="1832"/>
      <c r="AA3022" s="1832"/>
      <c r="AB3022" s="1832"/>
      <c r="AC3022" s="1832"/>
      <c r="AD3022" s="1832"/>
      <c r="AE3022" s="1832"/>
      <c r="AF3022" s="1832"/>
      <c r="AG3022" s="1832"/>
      <c r="AH3022" s="1832"/>
      <c r="AI3022" s="1832"/>
      <c r="AJ3022" s="1832"/>
      <c r="AK3022" s="1832"/>
      <c r="AL3022" s="1832"/>
      <c r="AM3022" s="1832"/>
      <c r="AN3022" s="1832"/>
      <c r="AO3022" s="1832"/>
      <c r="AP3022" s="1832"/>
      <c r="AQ3022" s="1832"/>
      <c r="AR3022" s="1832"/>
      <c r="AS3022" s="1832"/>
      <c r="AT3022" s="1832"/>
      <c r="AU3022" s="1832"/>
      <c r="AV3022" s="1832"/>
      <c r="AW3022" s="1832"/>
      <c r="AX3022" s="1832"/>
      <c r="AY3022" s="1832"/>
      <c r="AZ3022" s="1832"/>
      <c r="BA3022" s="1832"/>
      <c r="BB3022" s="1832"/>
      <c r="BC3022" s="1832"/>
      <c r="BD3022" s="1832"/>
      <c r="BE3022" s="1832"/>
      <c r="BF3022" s="1832"/>
      <c r="BG3022" s="1832"/>
      <c r="BH3022" s="1832"/>
      <c r="BI3022" s="1832"/>
      <c r="BJ3022" s="1832"/>
      <c r="BK3022" s="1832"/>
      <c r="BL3022" s="1832"/>
      <c r="BM3022" s="1832"/>
      <c r="BN3022" s="1832"/>
      <c r="BO3022" s="1832"/>
      <c r="BP3022" s="1832"/>
      <c r="BQ3022" s="1832"/>
      <c r="BR3022" s="1832"/>
      <c r="BS3022" s="1832"/>
      <c r="BT3022" s="1832"/>
      <c r="BU3022" s="1832"/>
      <c r="BV3022" s="1832"/>
      <c r="BW3022" s="1832"/>
      <c r="BX3022" s="1832"/>
      <c r="BY3022" s="1832"/>
      <c r="BZ3022" s="1832"/>
      <c r="CA3022" s="1832"/>
      <c r="CB3022" s="1832"/>
      <c r="CC3022" s="1832"/>
      <c r="CD3022" s="1832"/>
      <c r="CE3022" s="1832"/>
      <c r="CF3022" s="1832"/>
      <c r="CG3022" s="1832"/>
      <c r="CH3022" s="1832"/>
      <c r="CI3022" s="1832"/>
      <c r="CJ3022" s="1832"/>
      <c r="CK3022" s="1832"/>
    </row>
    <row r="3023" spans="1:89" ht="29.25" customHeight="1" x14ac:dyDescent="0.25">
      <c r="A3023" s="942"/>
      <c r="B3023" s="895"/>
      <c r="C3023" s="789"/>
      <c r="D3023" s="943"/>
      <c r="E3023" s="944"/>
      <c r="F3023" s="714"/>
      <c r="G3023" s="714"/>
      <c r="H3023" s="714"/>
      <c r="I3023" s="714"/>
      <c r="J3023" s="714"/>
      <c r="K3023" s="714"/>
      <c r="L3023" s="714"/>
      <c r="M3023" s="714"/>
      <c r="N3023" s="714"/>
      <c r="O3023" s="753"/>
      <c r="P3023" s="754"/>
    </row>
    <row r="3024" spans="1:89" ht="29.25" customHeight="1" x14ac:dyDescent="0.25">
      <c r="A3024" s="942"/>
      <c r="B3024" s="895"/>
      <c r="C3024" s="789"/>
      <c r="D3024" s="943"/>
      <c r="E3024" s="944"/>
      <c r="F3024" s="714"/>
      <c r="G3024" s="714"/>
      <c r="H3024" s="714"/>
      <c r="I3024" s="714"/>
      <c r="J3024" s="714"/>
      <c r="K3024" s="714"/>
      <c r="L3024" s="714"/>
      <c r="M3024" s="714"/>
      <c r="N3024" s="714"/>
      <c r="O3024" s="753"/>
      <c r="P3024" s="754"/>
    </row>
    <row r="3025" spans="1:89" s="1090" customFormat="1" ht="29.25" customHeight="1" x14ac:dyDescent="0.25">
      <c r="A3025" s="1704" t="s">
        <v>1747</v>
      </c>
      <c r="B3025" s="1705" t="s">
        <v>1619</v>
      </c>
      <c r="C3025" s="1089">
        <f>SUM(K3027:K3055)</f>
        <v>1886600</v>
      </c>
      <c r="D3025" s="1086"/>
      <c r="E3025" s="1087"/>
      <c r="F3025" s="1078"/>
      <c r="G3025" s="1078"/>
      <c r="H3025" s="1078"/>
      <c r="I3025" s="1078"/>
      <c r="J3025" s="1078"/>
      <c r="K3025" s="1078"/>
      <c r="L3025" s="1078"/>
      <c r="M3025" s="1078"/>
      <c r="N3025" s="1078"/>
      <c r="O3025" s="1079"/>
      <c r="P3025" s="1080"/>
      <c r="Q3025" s="1832"/>
      <c r="R3025" s="1832"/>
      <c r="S3025" s="1832"/>
      <c r="T3025" s="1832"/>
      <c r="U3025" s="1832"/>
      <c r="V3025" s="1832"/>
      <c r="W3025" s="1832"/>
      <c r="X3025" s="1832"/>
      <c r="Y3025" s="1832"/>
      <c r="Z3025" s="1832"/>
      <c r="AA3025" s="1832"/>
      <c r="AB3025" s="1832"/>
      <c r="AC3025" s="1832"/>
      <c r="AD3025" s="1832"/>
      <c r="AE3025" s="1832"/>
      <c r="AF3025" s="1832"/>
      <c r="AG3025" s="1832"/>
      <c r="AH3025" s="1832"/>
      <c r="AI3025" s="1832"/>
      <c r="AJ3025" s="1832"/>
      <c r="AK3025" s="1832"/>
      <c r="AL3025" s="1832"/>
      <c r="AM3025" s="1832"/>
      <c r="AN3025" s="1832"/>
      <c r="AO3025" s="1832"/>
      <c r="AP3025" s="1832"/>
      <c r="AQ3025" s="1832"/>
      <c r="AR3025" s="1832"/>
      <c r="AS3025" s="1832"/>
      <c r="AT3025" s="1832"/>
      <c r="AU3025" s="1832"/>
      <c r="AV3025" s="1832"/>
      <c r="AW3025" s="1832"/>
      <c r="AX3025" s="1832"/>
      <c r="AY3025" s="1832"/>
      <c r="AZ3025" s="1832"/>
      <c r="BA3025" s="1832"/>
      <c r="BB3025" s="1832"/>
      <c r="BC3025" s="1832"/>
      <c r="BD3025" s="1832"/>
      <c r="BE3025" s="1832"/>
      <c r="BF3025" s="1832"/>
      <c r="BG3025" s="1832"/>
      <c r="BH3025" s="1832"/>
      <c r="BI3025" s="1832"/>
      <c r="BJ3025" s="1832"/>
      <c r="BK3025" s="1832"/>
      <c r="BL3025" s="1832"/>
      <c r="BM3025" s="1832"/>
      <c r="BN3025" s="1832"/>
      <c r="BO3025" s="1832"/>
      <c r="BP3025" s="1832"/>
      <c r="BQ3025" s="1832"/>
      <c r="BR3025" s="1832"/>
      <c r="BS3025" s="1832"/>
      <c r="BT3025" s="1832"/>
      <c r="BU3025" s="1832"/>
      <c r="BV3025" s="1832"/>
      <c r="BW3025" s="1832"/>
      <c r="BX3025" s="1832"/>
      <c r="BY3025" s="1832"/>
      <c r="BZ3025" s="1832"/>
      <c r="CA3025" s="1832"/>
      <c r="CB3025" s="1832"/>
      <c r="CC3025" s="1832"/>
      <c r="CD3025" s="1832"/>
      <c r="CE3025" s="1832"/>
      <c r="CF3025" s="1832"/>
      <c r="CG3025" s="1832"/>
      <c r="CH3025" s="1832"/>
      <c r="CI3025" s="1832"/>
      <c r="CJ3025" s="1832"/>
      <c r="CK3025" s="1832"/>
    </row>
    <row r="3026" spans="1:89" s="1090" customFormat="1" ht="29.25" customHeight="1" x14ac:dyDescent="0.25">
      <c r="A3026" s="1088"/>
      <c r="B3026" s="1085" t="s">
        <v>1620</v>
      </c>
      <c r="C3026" s="1089"/>
      <c r="D3026" s="1086"/>
      <c r="E3026" s="1087"/>
      <c r="F3026" s="1078"/>
      <c r="G3026" s="1078"/>
      <c r="H3026" s="1078"/>
      <c r="I3026" s="1078"/>
      <c r="J3026" s="1078"/>
      <c r="K3026" s="1078"/>
      <c r="L3026" s="1078"/>
      <c r="M3026" s="1078"/>
      <c r="N3026" s="1078"/>
      <c r="O3026" s="1079"/>
      <c r="P3026" s="1080"/>
      <c r="Q3026" s="1832"/>
      <c r="R3026" s="1832"/>
      <c r="S3026" s="1832"/>
      <c r="T3026" s="1832"/>
      <c r="U3026" s="1832"/>
      <c r="V3026" s="1832"/>
      <c r="W3026" s="1832"/>
      <c r="X3026" s="1832"/>
      <c r="Y3026" s="1832"/>
      <c r="Z3026" s="1832"/>
      <c r="AA3026" s="1832"/>
      <c r="AB3026" s="1832"/>
      <c r="AC3026" s="1832"/>
      <c r="AD3026" s="1832"/>
      <c r="AE3026" s="1832"/>
      <c r="AF3026" s="1832"/>
      <c r="AG3026" s="1832"/>
      <c r="AH3026" s="1832"/>
      <c r="AI3026" s="1832"/>
      <c r="AJ3026" s="1832"/>
      <c r="AK3026" s="1832"/>
      <c r="AL3026" s="1832"/>
      <c r="AM3026" s="1832"/>
      <c r="AN3026" s="1832"/>
      <c r="AO3026" s="1832"/>
      <c r="AP3026" s="1832"/>
      <c r="AQ3026" s="1832"/>
      <c r="AR3026" s="1832"/>
      <c r="AS3026" s="1832"/>
      <c r="AT3026" s="1832"/>
      <c r="AU3026" s="1832"/>
      <c r="AV3026" s="1832"/>
      <c r="AW3026" s="1832"/>
      <c r="AX3026" s="1832"/>
      <c r="AY3026" s="1832"/>
      <c r="AZ3026" s="1832"/>
      <c r="BA3026" s="1832"/>
      <c r="BB3026" s="1832"/>
      <c r="BC3026" s="1832"/>
      <c r="BD3026" s="1832"/>
      <c r="BE3026" s="1832"/>
      <c r="BF3026" s="1832"/>
      <c r="BG3026" s="1832"/>
      <c r="BH3026" s="1832"/>
      <c r="BI3026" s="1832"/>
      <c r="BJ3026" s="1832"/>
      <c r="BK3026" s="1832"/>
      <c r="BL3026" s="1832"/>
      <c r="BM3026" s="1832"/>
      <c r="BN3026" s="1832"/>
      <c r="BO3026" s="1832"/>
      <c r="BP3026" s="1832"/>
      <c r="BQ3026" s="1832"/>
      <c r="BR3026" s="1832"/>
      <c r="BS3026" s="1832"/>
      <c r="BT3026" s="1832"/>
      <c r="BU3026" s="1832"/>
      <c r="BV3026" s="1832"/>
      <c r="BW3026" s="1832"/>
      <c r="BX3026" s="1832"/>
      <c r="BY3026" s="1832"/>
      <c r="BZ3026" s="1832"/>
      <c r="CA3026" s="1832"/>
      <c r="CB3026" s="1832"/>
      <c r="CC3026" s="1832"/>
      <c r="CD3026" s="1832"/>
      <c r="CE3026" s="1832"/>
      <c r="CF3026" s="1832"/>
      <c r="CG3026" s="1832"/>
      <c r="CH3026" s="1832"/>
      <c r="CI3026" s="1832"/>
      <c r="CJ3026" s="1832"/>
      <c r="CK3026" s="1832"/>
    </row>
    <row r="3027" spans="1:89" s="1090" customFormat="1" ht="29.25" customHeight="1" x14ac:dyDescent="0.25">
      <c r="A3027" s="1088"/>
      <c r="B3027" s="1092" t="s">
        <v>1621</v>
      </c>
      <c r="C3027" s="1089">
        <v>12</v>
      </c>
      <c r="D3027" s="1086" t="s">
        <v>20</v>
      </c>
      <c r="E3027" s="1087">
        <v>3580</v>
      </c>
      <c r="F3027" s="1078"/>
      <c r="G3027" s="1078"/>
      <c r="H3027" s="1078">
        <f>F3027+G3027</f>
        <v>0</v>
      </c>
      <c r="I3027" s="1078"/>
      <c r="J3027" s="1078">
        <f>E3027*C3027</f>
        <v>42960</v>
      </c>
      <c r="K3027" s="1078">
        <f t="shared" ref="K3027:K3055" si="288">I3027+J3027</f>
        <v>42960</v>
      </c>
      <c r="L3027" s="1078"/>
      <c r="M3027" s="1078"/>
      <c r="N3027" s="1078"/>
      <c r="O3027" s="1079">
        <f t="shared" ref="O3027:O3055" si="289">K3027+N3027</f>
        <v>42960</v>
      </c>
      <c r="P3027" s="1080"/>
      <c r="Q3027" s="1832"/>
      <c r="R3027" s="1832"/>
      <c r="S3027" s="1832"/>
      <c r="T3027" s="1832"/>
      <c r="U3027" s="1832"/>
      <c r="V3027" s="1832"/>
      <c r="W3027" s="1832"/>
      <c r="X3027" s="1832"/>
      <c r="Y3027" s="1832"/>
      <c r="Z3027" s="1832"/>
      <c r="AA3027" s="1832"/>
      <c r="AB3027" s="1832"/>
      <c r="AC3027" s="1832"/>
      <c r="AD3027" s="1832"/>
      <c r="AE3027" s="1832"/>
      <c r="AF3027" s="1832"/>
      <c r="AG3027" s="1832"/>
      <c r="AH3027" s="1832"/>
      <c r="AI3027" s="1832"/>
      <c r="AJ3027" s="1832"/>
      <c r="AK3027" s="1832"/>
      <c r="AL3027" s="1832"/>
      <c r="AM3027" s="1832"/>
      <c r="AN3027" s="1832"/>
      <c r="AO3027" s="1832"/>
      <c r="AP3027" s="1832"/>
      <c r="AQ3027" s="1832"/>
      <c r="AR3027" s="1832"/>
      <c r="AS3027" s="1832"/>
      <c r="AT3027" s="1832"/>
      <c r="AU3027" s="1832"/>
      <c r="AV3027" s="1832"/>
      <c r="AW3027" s="1832"/>
      <c r="AX3027" s="1832"/>
      <c r="AY3027" s="1832"/>
      <c r="AZ3027" s="1832"/>
      <c r="BA3027" s="1832"/>
      <c r="BB3027" s="1832"/>
      <c r="BC3027" s="1832"/>
      <c r="BD3027" s="1832"/>
      <c r="BE3027" s="1832"/>
      <c r="BF3027" s="1832"/>
      <c r="BG3027" s="1832"/>
      <c r="BH3027" s="1832"/>
      <c r="BI3027" s="1832"/>
      <c r="BJ3027" s="1832"/>
      <c r="BK3027" s="1832"/>
      <c r="BL3027" s="1832"/>
      <c r="BM3027" s="1832"/>
      <c r="BN3027" s="1832"/>
      <c r="BO3027" s="1832"/>
      <c r="BP3027" s="1832"/>
      <c r="BQ3027" s="1832"/>
      <c r="BR3027" s="1832"/>
      <c r="BS3027" s="1832"/>
      <c r="BT3027" s="1832"/>
      <c r="BU3027" s="1832"/>
      <c r="BV3027" s="1832"/>
      <c r="BW3027" s="1832"/>
      <c r="BX3027" s="1832"/>
      <c r="BY3027" s="1832"/>
      <c r="BZ3027" s="1832"/>
      <c r="CA3027" s="1832"/>
      <c r="CB3027" s="1832"/>
      <c r="CC3027" s="1832"/>
      <c r="CD3027" s="1832"/>
      <c r="CE3027" s="1832"/>
      <c r="CF3027" s="1832"/>
      <c r="CG3027" s="1832"/>
      <c r="CH3027" s="1832"/>
      <c r="CI3027" s="1832"/>
      <c r="CJ3027" s="1832"/>
      <c r="CK3027" s="1832"/>
    </row>
    <row r="3028" spans="1:89" s="1090" customFormat="1" ht="29.25" customHeight="1" x14ac:dyDescent="0.25">
      <c r="A3028" s="1088"/>
      <c r="B3028" s="1085" t="s">
        <v>1622</v>
      </c>
      <c r="C3028" s="1089">
        <v>60</v>
      </c>
      <c r="D3028" s="1086" t="s">
        <v>20</v>
      </c>
      <c r="E3028" s="1087">
        <v>2980</v>
      </c>
      <c r="F3028" s="1078"/>
      <c r="G3028" s="1078"/>
      <c r="H3028" s="1078">
        <f>F3028+G3028</f>
        <v>0</v>
      </c>
      <c r="I3028" s="1078"/>
      <c r="J3028" s="1078">
        <f>E3028*C3028</f>
        <v>178800</v>
      </c>
      <c r="K3028" s="1078">
        <f t="shared" si="288"/>
        <v>178800</v>
      </c>
      <c r="L3028" s="1078"/>
      <c r="M3028" s="1078"/>
      <c r="N3028" s="1078"/>
      <c r="O3028" s="1079">
        <f t="shared" si="289"/>
        <v>178800</v>
      </c>
      <c r="P3028" s="1080"/>
      <c r="Q3028" s="1832"/>
      <c r="R3028" s="1832"/>
      <c r="S3028" s="1832"/>
      <c r="T3028" s="1832"/>
      <c r="U3028" s="1832"/>
      <c r="V3028" s="1832"/>
      <c r="W3028" s="1832"/>
      <c r="X3028" s="1832"/>
      <c r="Y3028" s="1832"/>
      <c r="Z3028" s="1832"/>
      <c r="AA3028" s="1832"/>
      <c r="AB3028" s="1832"/>
      <c r="AC3028" s="1832"/>
      <c r="AD3028" s="1832"/>
      <c r="AE3028" s="1832"/>
      <c r="AF3028" s="1832"/>
      <c r="AG3028" s="1832"/>
      <c r="AH3028" s="1832"/>
      <c r="AI3028" s="1832"/>
      <c r="AJ3028" s="1832"/>
      <c r="AK3028" s="1832"/>
      <c r="AL3028" s="1832"/>
      <c r="AM3028" s="1832"/>
      <c r="AN3028" s="1832"/>
      <c r="AO3028" s="1832"/>
      <c r="AP3028" s="1832"/>
      <c r="AQ3028" s="1832"/>
      <c r="AR3028" s="1832"/>
      <c r="AS3028" s="1832"/>
      <c r="AT3028" s="1832"/>
      <c r="AU3028" s="1832"/>
      <c r="AV3028" s="1832"/>
      <c r="AW3028" s="1832"/>
      <c r="AX3028" s="1832"/>
      <c r="AY3028" s="1832"/>
      <c r="AZ3028" s="1832"/>
      <c r="BA3028" s="1832"/>
      <c r="BB3028" s="1832"/>
      <c r="BC3028" s="1832"/>
      <c r="BD3028" s="1832"/>
      <c r="BE3028" s="1832"/>
      <c r="BF3028" s="1832"/>
      <c r="BG3028" s="1832"/>
      <c r="BH3028" s="1832"/>
      <c r="BI3028" s="1832"/>
      <c r="BJ3028" s="1832"/>
      <c r="BK3028" s="1832"/>
      <c r="BL3028" s="1832"/>
      <c r="BM3028" s="1832"/>
      <c r="BN3028" s="1832"/>
      <c r="BO3028" s="1832"/>
      <c r="BP3028" s="1832"/>
      <c r="BQ3028" s="1832"/>
      <c r="BR3028" s="1832"/>
      <c r="BS3028" s="1832"/>
      <c r="BT3028" s="1832"/>
      <c r="BU3028" s="1832"/>
      <c r="BV3028" s="1832"/>
      <c r="BW3028" s="1832"/>
      <c r="BX3028" s="1832"/>
      <c r="BY3028" s="1832"/>
      <c r="BZ3028" s="1832"/>
      <c r="CA3028" s="1832"/>
      <c r="CB3028" s="1832"/>
      <c r="CC3028" s="1832"/>
      <c r="CD3028" s="1832"/>
      <c r="CE3028" s="1832"/>
      <c r="CF3028" s="1832"/>
      <c r="CG3028" s="1832"/>
      <c r="CH3028" s="1832"/>
      <c r="CI3028" s="1832"/>
      <c r="CJ3028" s="1832"/>
      <c r="CK3028" s="1832"/>
    </row>
    <row r="3029" spans="1:89" s="1090" customFormat="1" ht="29.25" customHeight="1" x14ac:dyDescent="0.25">
      <c r="A3029" s="1088"/>
      <c r="B3029" s="1085" t="s">
        <v>1623</v>
      </c>
      <c r="C3029" s="1089">
        <v>12</v>
      </c>
      <c r="D3029" s="1086" t="s">
        <v>20</v>
      </c>
      <c r="E3029" s="1087">
        <v>2830</v>
      </c>
      <c r="F3029" s="1078"/>
      <c r="G3029" s="1078"/>
      <c r="H3029" s="1078">
        <f>F3029+G3029</f>
        <v>0</v>
      </c>
      <c r="I3029" s="1078"/>
      <c r="J3029" s="1078">
        <f>E3029*C3029</f>
        <v>33960</v>
      </c>
      <c r="K3029" s="1078">
        <f t="shared" si="288"/>
        <v>33960</v>
      </c>
      <c r="L3029" s="1078"/>
      <c r="M3029" s="1078"/>
      <c r="N3029" s="1078"/>
      <c r="O3029" s="1079">
        <f t="shared" si="289"/>
        <v>33960</v>
      </c>
      <c r="P3029" s="1080"/>
      <c r="Q3029" s="1832"/>
      <c r="R3029" s="1832"/>
      <c r="S3029" s="1832"/>
      <c r="T3029" s="1832"/>
      <c r="U3029" s="1832"/>
      <c r="V3029" s="1832"/>
      <c r="W3029" s="1832"/>
      <c r="X3029" s="1832"/>
      <c r="Y3029" s="1832"/>
      <c r="Z3029" s="1832"/>
      <c r="AA3029" s="1832"/>
      <c r="AB3029" s="1832"/>
      <c r="AC3029" s="1832"/>
      <c r="AD3029" s="1832"/>
      <c r="AE3029" s="1832"/>
      <c r="AF3029" s="1832"/>
      <c r="AG3029" s="1832"/>
      <c r="AH3029" s="1832"/>
      <c r="AI3029" s="1832"/>
      <c r="AJ3029" s="1832"/>
      <c r="AK3029" s="1832"/>
      <c r="AL3029" s="1832"/>
      <c r="AM3029" s="1832"/>
      <c r="AN3029" s="1832"/>
      <c r="AO3029" s="1832"/>
      <c r="AP3029" s="1832"/>
      <c r="AQ3029" s="1832"/>
      <c r="AR3029" s="1832"/>
      <c r="AS3029" s="1832"/>
      <c r="AT3029" s="1832"/>
      <c r="AU3029" s="1832"/>
      <c r="AV3029" s="1832"/>
      <c r="AW3029" s="1832"/>
      <c r="AX3029" s="1832"/>
      <c r="AY3029" s="1832"/>
      <c r="AZ3029" s="1832"/>
      <c r="BA3029" s="1832"/>
      <c r="BB3029" s="1832"/>
      <c r="BC3029" s="1832"/>
      <c r="BD3029" s="1832"/>
      <c r="BE3029" s="1832"/>
      <c r="BF3029" s="1832"/>
      <c r="BG3029" s="1832"/>
      <c r="BH3029" s="1832"/>
      <c r="BI3029" s="1832"/>
      <c r="BJ3029" s="1832"/>
      <c r="BK3029" s="1832"/>
      <c r="BL3029" s="1832"/>
      <c r="BM3029" s="1832"/>
      <c r="BN3029" s="1832"/>
      <c r="BO3029" s="1832"/>
      <c r="BP3029" s="1832"/>
      <c r="BQ3029" s="1832"/>
      <c r="BR3029" s="1832"/>
      <c r="BS3029" s="1832"/>
      <c r="BT3029" s="1832"/>
      <c r="BU3029" s="1832"/>
      <c r="BV3029" s="1832"/>
      <c r="BW3029" s="1832"/>
      <c r="BX3029" s="1832"/>
      <c r="BY3029" s="1832"/>
      <c r="BZ3029" s="1832"/>
      <c r="CA3029" s="1832"/>
      <c r="CB3029" s="1832"/>
      <c r="CC3029" s="1832"/>
      <c r="CD3029" s="1832"/>
      <c r="CE3029" s="1832"/>
      <c r="CF3029" s="1832"/>
      <c r="CG3029" s="1832"/>
      <c r="CH3029" s="1832"/>
      <c r="CI3029" s="1832"/>
      <c r="CJ3029" s="1832"/>
      <c r="CK3029" s="1832"/>
    </row>
    <row r="3030" spans="1:89" s="1090" customFormat="1" ht="29.25" customHeight="1" x14ac:dyDescent="0.25">
      <c r="A3030" s="1088"/>
      <c r="B3030" s="1085" t="s">
        <v>1624</v>
      </c>
      <c r="C3030" s="1089">
        <v>12</v>
      </c>
      <c r="D3030" s="1086" t="s">
        <v>20</v>
      </c>
      <c r="E3030" s="1087">
        <v>2470</v>
      </c>
      <c r="F3030" s="1078"/>
      <c r="G3030" s="1078"/>
      <c r="H3030" s="1078">
        <f>F3030+G3030</f>
        <v>0</v>
      </c>
      <c r="I3030" s="1078"/>
      <c r="J3030" s="1078">
        <f>E3030*C3030</f>
        <v>29640</v>
      </c>
      <c r="K3030" s="1078">
        <f t="shared" si="288"/>
        <v>29640</v>
      </c>
      <c r="L3030" s="1078"/>
      <c r="M3030" s="1078"/>
      <c r="N3030" s="1078"/>
      <c r="O3030" s="1079">
        <f t="shared" si="289"/>
        <v>29640</v>
      </c>
      <c r="P3030" s="1080"/>
      <c r="Q3030" s="1832"/>
      <c r="R3030" s="1832"/>
      <c r="S3030" s="1832"/>
      <c r="T3030" s="1832"/>
      <c r="U3030" s="1832"/>
      <c r="V3030" s="1832"/>
      <c r="W3030" s="1832"/>
      <c r="X3030" s="1832"/>
      <c r="Y3030" s="1832"/>
      <c r="Z3030" s="1832"/>
      <c r="AA3030" s="1832"/>
      <c r="AB3030" s="1832"/>
      <c r="AC3030" s="1832"/>
      <c r="AD3030" s="1832"/>
      <c r="AE3030" s="1832"/>
      <c r="AF3030" s="1832"/>
      <c r="AG3030" s="1832"/>
      <c r="AH3030" s="1832"/>
      <c r="AI3030" s="1832"/>
      <c r="AJ3030" s="1832"/>
      <c r="AK3030" s="1832"/>
      <c r="AL3030" s="1832"/>
      <c r="AM3030" s="1832"/>
      <c r="AN3030" s="1832"/>
      <c r="AO3030" s="1832"/>
      <c r="AP3030" s="1832"/>
      <c r="AQ3030" s="1832"/>
      <c r="AR3030" s="1832"/>
      <c r="AS3030" s="1832"/>
      <c r="AT3030" s="1832"/>
      <c r="AU3030" s="1832"/>
      <c r="AV3030" s="1832"/>
      <c r="AW3030" s="1832"/>
      <c r="AX3030" s="1832"/>
      <c r="AY3030" s="1832"/>
      <c r="AZ3030" s="1832"/>
      <c r="BA3030" s="1832"/>
      <c r="BB3030" s="1832"/>
      <c r="BC3030" s="1832"/>
      <c r="BD3030" s="1832"/>
      <c r="BE3030" s="1832"/>
      <c r="BF3030" s="1832"/>
      <c r="BG3030" s="1832"/>
      <c r="BH3030" s="1832"/>
      <c r="BI3030" s="1832"/>
      <c r="BJ3030" s="1832"/>
      <c r="BK3030" s="1832"/>
      <c r="BL3030" s="1832"/>
      <c r="BM3030" s="1832"/>
      <c r="BN3030" s="1832"/>
      <c r="BO3030" s="1832"/>
      <c r="BP3030" s="1832"/>
      <c r="BQ3030" s="1832"/>
      <c r="BR3030" s="1832"/>
      <c r="BS3030" s="1832"/>
      <c r="BT3030" s="1832"/>
      <c r="BU3030" s="1832"/>
      <c r="BV3030" s="1832"/>
      <c r="BW3030" s="1832"/>
      <c r="BX3030" s="1832"/>
      <c r="BY3030" s="1832"/>
      <c r="BZ3030" s="1832"/>
      <c r="CA3030" s="1832"/>
      <c r="CB3030" s="1832"/>
      <c r="CC3030" s="1832"/>
      <c r="CD3030" s="1832"/>
      <c r="CE3030" s="1832"/>
      <c r="CF3030" s="1832"/>
      <c r="CG3030" s="1832"/>
      <c r="CH3030" s="1832"/>
      <c r="CI3030" s="1832"/>
      <c r="CJ3030" s="1832"/>
      <c r="CK3030" s="1832"/>
    </row>
    <row r="3031" spans="1:89" s="1090" customFormat="1" ht="29.25" customHeight="1" x14ac:dyDescent="0.25">
      <c r="A3031" s="1088"/>
      <c r="B3031" s="1085" t="s">
        <v>1625</v>
      </c>
      <c r="C3031" s="1089">
        <v>180</v>
      </c>
      <c r="D3031" s="1086" t="s">
        <v>20</v>
      </c>
      <c r="E3031" s="1087">
        <v>1840</v>
      </c>
      <c r="F3031" s="1078"/>
      <c r="G3031" s="1078"/>
      <c r="H3031" s="1078">
        <f>F3031+G3031</f>
        <v>0</v>
      </c>
      <c r="I3031" s="1078"/>
      <c r="J3031" s="1078">
        <f>E3031*C3031</f>
        <v>331200</v>
      </c>
      <c r="K3031" s="1078">
        <f t="shared" si="288"/>
        <v>331200</v>
      </c>
      <c r="L3031" s="1078"/>
      <c r="M3031" s="1078"/>
      <c r="N3031" s="1078"/>
      <c r="O3031" s="1079">
        <f t="shared" si="289"/>
        <v>331200</v>
      </c>
      <c r="P3031" s="1080"/>
      <c r="Q3031" s="1832"/>
      <c r="R3031" s="1832"/>
      <c r="S3031" s="1832"/>
      <c r="T3031" s="1832"/>
      <c r="U3031" s="1832"/>
      <c r="V3031" s="1832"/>
      <c r="W3031" s="1832"/>
      <c r="X3031" s="1832"/>
      <c r="Y3031" s="1832"/>
      <c r="Z3031" s="1832"/>
      <c r="AA3031" s="1832"/>
      <c r="AB3031" s="1832"/>
      <c r="AC3031" s="1832"/>
      <c r="AD3031" s="1832"/>
      <c r="AE3031" s="1832"/>
      <c r="AF3031" s="1832"/>
      <c r="AG3031" s="1832"/>
      <c r="AH3031" s="1832"/>
      <c r="AI3031" s="1832"/>
      <c r="AJ3031" s="1832"/>
      <c r="AK3031" s="1832"/>
      <c r="AL3031" s="1832"/>
      <c r="AM3031" s="1832"/>
      <c r="AN3031" s="1832"/>
      <c r="AO3031" s="1832"/>
      <c r="AP3031" s="1832"/>
      <c r="AQ3031" s="1832"/>
      <c r="AR3031" s="1832"/>
      <c r="AS3031" s="1832"/>
      <c r="AT3031" s="1832"/>
      <c r="AU3031" s="1832"/>
      <c r="AV3031" s="1832"/>
      <c r="AW3031" s="1832"/>
      <c r="AX3031" s="1832"/>
      <c r="AY3031" s="1832"/>
      <c r="AZ3031" s="1832"/>
      <c r="BA3031" s="1832"/>
      <c r="BB3031" s="1832"/>
      <c r="BC3031" s="1832"/>
      <c r="BD3031" s="1832"/>
      <c r="BE3031" s="1832"/>
      <c r="BF3031" s="1832"/>
      <c r="BG3031" s="1832"/>
      <c r="BH3031" s="1832"/>
      <c r="BI3031" s="1832"/>
      <c r="BJ3031" s="1832"/>
      <c r="BK3031" s="1832"/>
      <c r="BL3031" s="1832"/>
      <c r="BM3031" s="1832"/>
      <c r="BN3031" s="1832"/>
      <c r="BO3031" s="1832"/>
      <c r="BP3031" s="1832"/>
      <c r="BQ3031" s="1832"/>
      <c r="BR3031" s="1832"/>
      <c r="BS3031" s="1832"/>
      <c r="BT3031" s="1832"/>
      <c r="BU3031" s="1832"/>
      <c r="BV3031" s="1832"/>
      <c r="BW3031" s="1832"/>
      <c r="BX3031" s="1832"/>
      <c r="BY3031" s="1832"/>
      <c r="BZ3031" s="1832"/>
      <c r="CA3031" s="1832"/>
      <c r="CB3031" s="1832"/>
      <c r="CC3031" s="1832"/>
      <c r="CD3031" s="1832"/>
      <c r="CE3031" s="1832"/>
      <c r="CF3031" s="1832"/>
      <c r="CG3031" s="1832"/>
      <c r="CH3031" s="1832"/>
      <c r="CI3031" s="1832"/>
      <c r="CJ3031" s="1832"/>
      <c r="CK3031" s="1832"/>
    </row>
    <row r="3032" spans="1:89" s="1090" customFormat="1" ht="29.25" customHeight="1" x14ac:dyDescent="0.25">
      <c r="A3032" s="1088"/>
      <c r="B3032" s="1085" t="s">
        <v>1626</v>
      </c>
      <c r="C3032" s="1089"/>
      <c r="D3032" s="1086"/>
      <c r="E3032" s="1087"/>
      <c r="F3032" s="1078"/>
      <c r="G3032" s="1078"/>
      <c r="H3032" s="1078"/>
      <c r="I3032" s="1078"/>
      <c r="J3032" s="1078"/>
      <c r="K3032" s="1078"/>
      <c r="L3032" s="1078"/>
      <c r="M3032" s="1078"/>
      <c r="N3032" s="1078"/>
      <c r="O3032" s="1079"/>
      <c r="P3032" s="1080"/>
      <c r="Q3032" s="1832"/>
      <c r="R3032" s="1832"/>
      <c r="S3032" s="1832"/>
      <c r="T3032" s="1832"/>
      <c r="U3032" s="1832"/>
      <c r="V3032" s="1832"/>
      <c r="W3032" s="1832"/>
      <c r="X3032" s="1832"/>
      <c r="Y3032" s="1832"/>
      <c r="Z3032" s="1832"/>
      <c r="AA3032" s="1832"/>
      <c r="AB3032" s="1832"/>
      <c r="AC3032" s="1832"/>
      <c r="AD3032" s="1832"/>
      <c r="AE3032" s="1832"/>
      <c r="AF3032" s="1832"/>
      <c r="AG3032" s="1832"/>
      <c r="AH3032" s="1832"/>
      <c r="AI3032" s="1832"/>
      <c r="AJ3032" s="1832"/>
      <c r="AK3032" s="1832"/>
      <c r="AL3032" s="1832"/>
      <c r="AM3032" s="1832"/>
      <c r="AN3032" s="1832"/>
      <c r="AO3032" s="1832"/>
      <c r="AP3032" s="1832"/>
      <c r="AQ3032" s="1832"/>
      <c r="AR3032" s="1832"/>
      <c r="AS3032" s="1832"/>
      <c r="AT3032" s="1832"/>
      <c r="AU3032" s="1832"/>
      <c r="AV3032" s="1832"/>
      <c r="AW3032" s="1832"/>
      <c r="AX3032" s="1832"/>
      <c r="AY3032" s="1832"/>
      <c r="AZ3032" s="1832"/>
      <c r="BA3032" s="1832"/>
      <c r="BB3032" s="1832"/>
      <c r="BC3032" s="1832"/>
      <c r="BD3032" s="1832"/>
      <c r="BE3032" s="1832"/>
      <c r="BF3032" s="1832"/>
      <c r="BG3032" s="1832"/>
      <c r="BH3032" s="1832"/>
      <c r="BI3032" s="1832"/>
      <c r="BJ3032" s="1832"/>
      <c r="BK3032" s="1832"/>
      <c r="BL3032" s="1832"/>
      <c r="BM3032" s="1832"/>
      <c r="BN3032" s="1832"/>
      <c r="BO3032" s="1832"/>
      <c r="BP3032" s="1832"/>
      <c r="BQ3032" s="1832"/>
      <c r="BR3032" s="1832"/>
      <c r="BS3032" s="1832"/>
      <c r="BT3032" s="1832"/>
      <c r="BU3032" s="1832"/>
      <c r="BV3032" s="1832"/>
      <c r="BW3032" s="1832"/>
      <c r="BX3032" s="1832"/>
      <c r="BY3032" s="1832"/>
      <c r="BZ3032" s="1832"/>
      <c r="CA3032" s="1832"/>
      <c r="CB3032" s="1832"/>
      <c r="CC3032" s="1832"/>
      <c r="CD3032" s="1832"/>
      <c r="CE3032" s="1832"/>
      <c r="CF3032" s="1832"/>
      <c r="CG3032" s="1832"/>
      <c r="CH3032" s="1832"/>
      <c r="CI3032" s="1832"/>
      <c r="CJ3032" s="1832"/>
      <c r="CK3032" s="1832"/>
    </row>
    <row r="3033" spans="1:89" s="1090" customFormat="1" ht="29.25" customHeight="1" x14ac:dyDescent="0.25">
      <c r="A3033" s="1088"/>
      <c r="B3033" s="1085" t="s">
        <v>1627</v>
      </c>
      <c r="C3033" s="1089">
        <v>12</v>
      </c>
      <c r="D3033" s="1086" t="s">
        <v>20</v>
      </c>
      <c r="E3033" s="1087">
        <v>300</v>
      </c>
      <c r="F3033" s="1078"/>
      <c r="G3033" s="1078"/>
      <c r="H3033" s="1078">
        <f>F3033+G3033</f>
        <v>0</v>
      </c>
      <c r="I3033" s="1078"/>
      <c r="J3033" s="1078">
        <f>E3033*C3033</f>
        <v>3600</v>
      </c>
      <c r="K3033" s="1078">
        <f t="shared" si="288"/>
        <v>3600</v>
      </c>
      <c r="L3033" s="1078"/>
      <c r="M3033" s="1078"/>
      <c r="N3033" s="1078"/>
      <c r="O3033" s="1079">
        <f t="shared" si="289"/>
        <v>3600</v>
      </c>
      <c r="P3033" s="1080"/>
      <c r="Q3033" s="1832"/>
      <c r="R3033" s="1832"/>
      <c r="S3033" s="1832"/>
      <c r="T3033" s="1832"/>
      <c r="U3033" s="1832"/>
      <c r="V3033" s="1832"/>
      <c r="W3033" s="1832"/>
      <c r="X3033" s="1832"/>
      <c r="Y3033" s="1832"/>
      <c r="Z3033" s="1832"/>
      <c r="AA3033" s="1832"/>
      <c r="AB3033" s="1832"/>
      <c r="AC3033" s="1832"/>
      <c r="AD3033" s="1832"/>
      <c r="AE3033" s="1832"/>
      <c r="AF3033" s="1832"/>
      <c r="AG3033" s="1832"/>
      <c r="AH3033" s="1832"/>
      <c r="AI3033" s="1832"/>
      <c r="AJ3033" s="1832"/>
      <c r="AK3033" s="1832"/>
      <c r="AL3033" s="1832"/>
      <c r="AM3033" s="1832"/>
      <c r="AN3033" s="1832"/>
      <c r="AO3033" s="1832"/>
      <c r="AP3033" s="1832"/>
      <c r="AQ3033" s="1832"/>
      <c r="AR3033" s="1832"/>
      <c r="AS3033" s="1832"/>
      <c r="AT3033" s="1832"/>
      <c r="AU3033" s="1832"/>
      <c r="AV3033" s="1832"/>
      <c r="AW3033" s="1832"/>
      <c r="AX3033" s="1832"/>
      <c r="AY3033" s="1832"/>
      <c r="AZ3033" s="1832"/>
      <c r="BA3033" s="1832"/>
      <c r="BB3033" s="1832"/>
      <c r="BC3033" s="1832"/>
      <c r="BD3033" s="1832"/>
      <c r="BE3033" s="1832"/>
      <c r="BF3033" s="1832"/>
      <c r="BG3033" s="1832"/>
      <c r="BH3033" s="1832"/>
      <c r="BI3033" s="1832"/>
      <c r="BJ3033" s="1832"/>
      <c r="BK3033" s="1832"/>
      <c r="BL3033" s="1832"/>
      <c r="BM3033" s="1832"/>
      <c r="BN3033" s="1832"/>
      <c r="BO3033" s="1832"/>
      <c r="BP3033" s="1832"/>
      <c r="BQ3033" s="1832"/>
      <c r="BR3033" s="1832"/>
      <c r="BS3033" s="1832"/>
      <c r="BT3033" s="1832"/>
      <c r="BU3033" s="1832"/>
      <c r="BV3033" s="1832"/>
      <c r="BW3033" s="1832"/>
      <c r="BX3033" s="1832"/>
      <c r="BY3033" s="1832"/>
      <c r="BZ3033" s="1832"/>
      <c r="CA3033" s="1832"/>
      <c r="CB3033" s="1832"/>
      <c r="CC3033" s="1832"/>
      <c r="CD3033" s="1832"/>
      <c r="CE3033" s="1832"/>
      <c r="CF3033" s="1832"/>
      <c r="CG3033" s="1832"/>
      <c r="CH3033" s="1832"/>
      <c r="CI3033" s="1832"/>
      <c r="CJ3033" s="1832"/>
      <c r="CK3033" s="1832"/>
    </row>
    <row r="3034" spans="1:89" s="1090" customFormat="1" ht="29.25" customHeight="1" x14ac:dyDescent="0.25">
      <c r="A3034" s="1088"/>
      <c r="B3034" s="1085" t="s">
        <v>1628</v>
      </c>
      <c r="C3034" s="1089">
        <v>12</v>
      </c>
      <c r="D3034" s="1086" t="s">
        <v>20</v>
      </c>
      <c r="E3034" s="1087">
        <v>250</v>
      </c>
      <c r="F3034" s="1078"/>
      <c r="G3034" s="1078"/>
      <c r="H3034" s="1078">
        <f>F3034+G3034</f>
        <v>0</v>
      </c>
      <c r="I3034" s="1078"/>
      <c r="J3034" s="1078">
        <f>E3034*C3034</f>
        <v>3000</v>
      </c>
      <c r="K3034" s="1078">
        <f t="shared" si="288"/>
        <v>3000</v>
      </c>
      <c r="L3034" s="1078"/>
      <c r="M3034" s="1078"/>
      <c r="N3034" s="1078"/>
      <c r="O3034" s="1079">
        <f t="shared" si="289"/>
        <v>3000</v>
      </c>
      <c r="P3034" s="1080"/>
      <c r="Q3034" s="1832"/>
      <c r="R3034" s="1832"/>
      <c r="S3034" s="1832"/>
      <c r="T3034" s="1832"/>
      <c r="U3034" s="1832"/>
      <c r="V3034" s="1832"/>
      <c r="W3034" s="1832"/>
      <c r="X3034" s="1832"/>
      <c r="Y3034" s="1832"/>
      <c r="Z3034" s="1832"/>
      <c r="AA3034" s="1832"/>
      <c r="AB3034" s="1832"/>
      <c r="AC3034" s="1832"/>
      <c r="AD3034" s="1832"/>
      <c r="AE3034" s="1832"/>
      <c r="AF3034" s="1832"/>
      <c r="AG3034" s="1832"/>
      <c r="AH3034" s="1832"/>
      <c r="AI3034" s="1832"/>
      <c r="AJ3034" s="1832"/>
      <c r="AK3034" s="1832"/>
      <c r="AL3034" s="1832"/>
      <c r="AM3034" s="1832"/>
      <c r="AN3034" s="1832"/>
      <c r="AO3034" s="1832"/>
      <c r="AP3034" s="1832"/>
      <c r="AQ3034" s="1832"/>
      <c r="AR3034" s="1832"/>
      <c r="AS3034" s="1832"/>
      <c r="AT3034" s="1832"/>
      <c r="AU3034" s="1832"/>
      <c r="AV3034" s="1832"/>
      <c r="AW3034" s="1832"/>
      <c r="AX3034" s="1832"/>
      <c r="AY3034" s="1832"/>
      <c r="AZ3034" s="1832"/>
      <c r="BA3034" s="1832"/>
      <c r="BB3034" s="1832"/>
      <c r="BC3034" s="1832"/>
      <c r="BD3034" s="1832"/>
      <c r="BE3034" s="1832"/>
      <c r="BF3034" s="1832"/>
      <c r="BG3034" s="1832"/>
      <c r="BH3034" s="1832"/>
      <c r="BI3034" s="1832"/>
      <c r="BJ3034" s="1832"/>
      <c r="BK3034" s="1832"/>
      <c r="BL3034" s="1832"/>
      <c r="BM3034" s="1832"/>
      <c r="BN3034" s="1832"/>
      <c r="BO3034" s="1832"/>
      <c r="BP3034" s="1832"/>
      <c r="BQ3034" s="1832"/>
      <c r="BR3034" s="1832"/>
      <c r="BS3034" s="1832"/>
      <c r="BT3034" s="1832"/>
      <c r="BU3034" s="1832"/>
      <c r="BV3034" s="1832"/>
      <c r="BW3034" s="1832"/>
      <c r="BX3034" s="1832"/>
      <c r="BY3034" s="1832"/>
      <c r="BZ3034" s="1832"/>
      <c r="CA3034" s="1832"/>
      <c r="CB3034" s="1832"/>
      <c r="CC3034" s="1832"/>
      <c r="CD3034" s="1832"/>
      <c r="CE3034" s="1832"/>
      <c r="CF3034" s="1832"/>
      <c r="CG3034" s="1832"/>
      <c r="CH3034" s="1832"/>
      <c r="CI3034" s="1832"/>
      <c r="CJ3034" s="1832"/>
      <c r="CK3034" s="1832"/>
    </row>
    <row r="3035" spans="1:89" s="1090" customFormat="1" ht="29.25" customHeight="1" x14ac:dyDescent="0.25">
      <c r="A3035" s="1088"/>
      <c r="B3035" s="1085" t="s">
        <v>1629</v>
      </c>
      <c r="C3035" s="1089">
        <v>12</v>
      </c>
      <c r="D3035" s="1086" t="s">
        <v>20</v>
      </c>
      <c r="E3035" s="1087">
        <v>200</v>
      </c>
      <c r="F3035" s="1078"/>
      <c r="G3035" s="1078"/>
      <c r="H3035" s="1078">
        <f>F3035+G3035</f>
        <v>0</v>
      </c>
      <c r="I3035" s="1078"/>
      <c r="J3035" s="1078">
        <f>E3035*C3035</f>
        <v>2400</v>
      </c>
      <c r="K3035" s="1078">
        <f t="shared" si="288"/>
        <v>2400</v>
      </c>
      <c r="L3035" s="1078"/>
      <c r="M3035" s="1078"/>
      <c r="N3035" s="1078"/>
      <c r="O3035" s="1079">
        <f t="shared" si="289"/>
        <v>2400</v>
      </c>
      <c r="P3035" s="1080"/>
      <c r="Q3035" s="1832"/>
      <c r="R3035" s="1832"/>
      <c r="S3035" s="1832"/>
      <c r="T3035" s="1832"/>
      <c r="U3035" s="1832"/>
      <c r="V3035" s="1832"/>
      <c r="W3035" s="1832"/>
      <c r="X3035" s="1832"/>
      <c r="Y3035" s="1832"/>
      <c r="Z3035" s="1832"/>
      <c r="AA3035" s="1832"/>
      <c r="AB3035" s="1832"/>
      <c r="AC3035" s="1832"/>
      <c r="AD3035" s="1832"/>
      <c r="AE3035" s="1832"/>
      <c r="AF3035" s="1832"/>
      <c r="AG3035" s="1832"/>
      <c r="AH3035" s="1832"/>
      <c r="AI3035" s="1832"/>
      <c r="AJ3035" s="1832"/>
      <c r="AK3035" s="1832"/>
      <c r="AL3035" s="1832"/>
      <c r="AM3035" s="1832"/>
      <c r="AN3035" s="1832"/>
      <c r="AO3035" s="1832"/>
      <c r="AP3035" s="1832"/>
      <c r="AQ3035" s="1832"/>
      <c r="AR3035" s="1832"/>
      <c r="AS3035" s="1832"/>
      <c r="AT3035" s="1832"/>
      <c r="AU3035" s="1832"/>
      <c r="AV3035" s="1832"/>
      <c r="AW3035" s="1832"/>
      <c r="AX3035" s="1832"/>
      <c r="AY3035" s="1832"/>
      <c r="AZ3035" s="1832"/>
      <c r="BA3035" s="1832"/>
      <c r="BB3035" s="1832"/>
      <c r="BC3035" s="1832"/>
      <c r="BD3035" s="1832"/>
      <c r="BE3035" s="1832"/>
      <c r="BF3035" s="1832"/>
      <c r="BG3035" s="1832"/>
      <c r="BH3035" s="1832"/>
      <c r="BI3035" s="1832"/>
      <c r="BJ3035" s="1832"/>
      <c r="BK3035" s="1832"/>
      <c r="BL3035" s="1832"/>
      <c r="BM3035" s="1832"/>
      <c r="BN3035" s="1832"/>
      <c r="BO3035" s="1832"/>
      <c r="BP3035" s="1832"/>
      <c r="BQ3035" s="1832"/>
      <c r="BR3035" s="1832"/>
      <c r="BS3035" s="1832"/>
      <c r="BT3035" s="1832"/>
      <c r="BU3035" s="1832"/>
      <c r="BV3035" s="1832"/>
      <c r="BW3035" s="1832"/>
      <c r="BX3035" s="1832"/>
      <c r="BY3035" s="1832"/>
      <c r="BZ3035" s="1832"/>
      <c r="CA3035" s="1832"/>
      <c r="CB3035" s="1832"/>
      <c r="CC3035" s="1832"/>
      <c r="CD3035" s="1832"/>
      <c r="CE3035" s="1832"/>
      <c r="CF3035" s="1832"/>
      <c r="CG3035" s="1832"/>
      <c r="CH3035" s="1832"/>
      <c r="CI3035" s="1832"/>
      <c r="CJ3035" s="1832"/>
      <c r="CK3035" s="1832"/>
    </row>
    <row r="3036" spans="1:89" s="1090" customFormat="1" ht="29.25" customHeight="1" x14ac:dyDescent="0.25">
      <c r="A3036" s="1088"/>
      <c r="B3036" s="1085" t="s">
        <v>1630</v>
      </c>
      <c r="C3036" s="1089">
        <v>60</v>
      </c>
      <c r="D3036" s="1086" t="s">
        <v>20</v>
      </c>
      <c r="E3036" s="1087">
        <v>150</v>
      </c>
      <c r="F3036" s="1078"/>
      <c r="G3036" s="1078"/>
      <c r="H3036" s="1078">
        <f>F3036+G3036</f>
        <v>0</v>
      </c>
      <c r="I3036" s="1078"/>
      <c r="J3036" s="1078">
        <f>E3036*C3036</f>
        <v>9000</v>
      </c>
      <c r="K3036" s="1078">
        <f t="shared" si="288"/>
        <v>9000</v>
      </c>
      <c r="L3036" s="1078"/>
      <c r="M3036" s="1078"/>
      <c r="N3036" s="1078"/>
      <c r="O3036" s="1079">
        <f t="shared" si="289"/>
        <v>9000</v>
      </c>
      <c r="P3036" s="1080"/>
      <c r="Q3036" s="1832"/>
      <c r="R3036" s="1832"/>
      <c r="S3036" s="1832"/>
      <c r="T3036" s="1832"/>
      <c r="U3036" s="1832"/>
      <c r="V3036" s="1832"/>
      <c r="W3036" s="1832"/>
      <c r="X3036" s="1832"/>
      <c r="Y3036" s="1832"/>
      <c r="Z3036" s="1832"/>
      <c r="AA3036" s="1832"/>
      <c r="AB3036" s="1832"/>
      <c r="AC3036" s="1832"/>
      <c r="AD3036" s="1832"/>
      <c r="AE3036" s="1832"/>
      <c r="AF3036" s="1832"/>
      <c r="AG3036" s="1832"/>
      <c r="AH3036" s="1832"/>
      <c r="AI3036" s="1832"/>
      <c r="AJ3036" s="1832"/>
      <c r="AK3036" s="1832"/>
      <c r="AL3036" s="1832"/>
      <c r="AM3036" s="1832"/>
      <c r="AN3036" s="1832"/>
      <c r="AO3036" s="1832"/>
      <c r="AP3036" s="1832"/>
      <c r="AQ3036" s="1832"/>
      <c r="AR3036" s="1832"/>
      <c r="AS3036" s="1832"/>
      <c r="AT3036" s="1832"/>
      <c r="AU3036" s="1832"/>
      <c r="AV3036" s="1832"/>
      <c r="AW3036" s="1832"/>
      <c r="AX3036" s="1832"/>
      <c r="AY3036" s="1832"/>
      <c r="AZ3036" s="1832"/>
      <c r="BA3036" s="1832"/>
      <c r="BB3036" s="1832"/>
      <c r="BC3036" s="1832"/>
      <c r="BD3036" s="1832"/>
      <c r="BE3036" s="1832"/>
      <c r="BF3036" s="1832"/>
      <c r="BG3036" s="1832"/>
      <c r="BH3036" s="1832"/>
      <c r="BI3036" s="1832"/>
      <c r="BJ3036" s="1832"/>
      <c r="BK3036" s="1832"/>
      <c r="BL3036" s="1832"/>
      <c r="BM3036" s="1832"/>
      <c r="BN3036" s="1832"/>
      <c r="BO3036" s="1832"/>
      <c r="BP3036" s="1832"/>
      <c r="BQ3036" s="1832"/>
      <c r="BR3036" s="1832"/>
      <c r="BS3036" s="1832"/>
      <c r="BT3036" s="1832"/>
      <c r="BU3036" s="1832"/>
      <c r="BV3036" s="1832"/>
      <c r="BW3036" s="1832"/>
      <c r="BX3036" s="1832"/>
      <c r="BY3036" s="1832"/>
      <c r="BZ3036" s="1832"/>
      <c r="CA3036" s="1832"/>
      <c r="CB3036" s="1832"/>
      <c r="CC3036" s="1832"/>
      <c r="CD3036" s="1832"/>
      <c r="CE3036" s="1832"/>
      <c r="CF3036" s="1832"/>
      <c r="CG3036" s="1832"/>
      <c r="CH3036" s="1832"/>
      <c r="CI3036" s="1832"/>
      <c r="CJ3036" s="1832"/>
      <c r="CK3036" s="1832"/>
    </row>
    <row r="3037" spans="1:89" s="1090" customFormat="1" ht="29.25" customHeight="1" x14ac:dyDescent="0.25">
      <c r="A3037" s="1088"/>
      <c r="B3037" s="1085" t="s">
        <v>1631</v>
      </c>
      <c r="C3037" s="1089"/>
      <c r="D3037" s="1086"/>
      <c r="E3037" s="1087"/>
      <c r="F3037" s="1078"/>
      <c r="G3037" s="1078"/>
      <c r="H3037" s="1078"/>
      <c r="I3037" s="1078"/>
      <c r="J3037" s="1078"/>
      <c r="K3037" s="1078"/>
      <c r="L3037" s="1078"/>
      <c r="M3037" s="1078"/>
      <c r="N3037" s="1078"/>
      <c r="O3037" s="1079"/>
      <c r="P3037" s="1080"/>
      <c r="Q3037" s="1832"/>
      <c r="R3037" s="1832"/>
      <c r="S3037" s="1832"/>
      <c r="T3037" s="1832"/>
      <c r="U3037" s="1832"/>
      <c r="V3037" s="1832"/>
      <c r="W3037" s="1832"/>
      <c r="X3037" s="1832"/>
      <c r="Y3037" s="1832"/>
      <c r="Z3037" s="1832"/>
      <c r="AA3037" s="1832"/>
      <c r="AB3037" s="1832"/>
      <c r="AC3037" s="1832"/>
      <c r="AD3037" s="1832"/>
      <c r="AE3037" s="1832"/>
      <c r="AF3037" s="1832"/>
      <c r="AG3037" s="1832"/>
      <c r="AH3037" s="1832"/>
      <c r="AI3037" s="1832"/>
      <c r="AJ3037" s="1832"/>
      <c r="AK3037" s="1832"/>
      <c r="AL3037" s="1832"/>
      <c r="AM3037" s="1832"/>
      <c r="AN3037" s="1832"/>
      <c r="AO3037" s="1832"/>
      <c r="AP3037" s="1832"/>
      <c r="AQ3037" s="1832"/>
      <c r="AR3037" s="1832"/>
      <c r="AS3037" s="1832"/>
      <c r="AT3037" s="1832"/>
      <c r="AU3037" s="1832"/>
      <c r="AV3037" s="1832"/>
      <c r="AW3037" s="1832"/>
      <c r="AX3037" s="1832"/>
      <c r="AY3037" s="1832"/>
      <c r="AZ3037" s="1832"/>
      <c r="BA3037" s="1832"/>
      <c r="BB3037" s="1832"/>
      <c r="BC3037" s="1832"/>
      <c r="BD3037" s="1832"/>
      <c r="BE3037" s="1832"/>
      <c r="BF3037" s="1832"/>
      <c r="BG3037" s="1832"/>
      <c r="BH3037" s="1832"/>
      <c r="BI3037" s="1832"/>
      <c r="BJ3037" s="1832"/>
      <c r="BK3037" s="1832"/>
      <c r="BL3037" s="1832"/>
      <c r="BM3037" s="1832"/>
      <c r="BN3037" s="1832"/>
      <c r="BO3037" s="1832"/>
      <c r="BP3037" s="1832"/>
      <c r="BQ3037" s="1832"/>
      <c r="BR3037" s="1832"/>
      <c r="BS3037" s="1832"/>
      <c r="BT3037" s="1832"/>
      <c r="BU3037" s="1832"/>
      <c r="BV3037" s="1832"/>
      <c r="BW3037" s="1832"/>
      <c r="BX3037" s="1832"/>
      <c r="BY3037" s="1832"/>
      <c r="BZ3037" s="1832"/>
      <c r="CA3037" s="1832"/>
      <c r="CB3037" s="1832"/>
      <c r="CC3037" s="1832"/>
      <c r="CD3037" s="1832"/>
      <c r="CE3037" s="1832"/>
      <c r="CF3037" s="1832"/>
      <c r="CG3037" s="1832"/>
      <c r="CH3037" s="1832"/>
      <c r="CI3037" s="1832"/>
      <c r="CJ3037" s="1832"/>
      <c r="CK3037" s="1832"/>
    </row>
    <row r="3038" spans="1:89" s="1090" customFormat="1" ht="29.25" customHeight="1" x14ac:dyDescent="0.25">
      <c r="A3038" s="1088"/>
      <c r="B3038" s="1085" t="s">
        <v>1632</v>
      </c>
      <c r="C3038" s="1089">
        <v>1</v>
      </c>
      <c r="D3038" s="1086" t="s">
        <v>25</v>
      </c>
      <c r="E3038" s="1087">
        <v>170000</v>
      </c>
      <c r="F3038" s="1078"/>
      <c r="G3038" s="1078"/>
      <c r="H3038" s="1078">
        <f t="shared" ref="H3038:H3043" si="290">F3038+G3038</f>
        <v>0</v>
      </c>
      <c r="I3038" s="1078"/>
      <c r="J3038" s="1078">
        <f t="shared" ref="J3038:J3043" si="291">E3038*C3038</f>
        <v>170000</v>
      </c>
      <c r="K3038" s="1078">
        <f t="shared" si="288"/>
        <v>170000</v>
      </c>
      <c r="L3038" s="1078"/>
      <c r="M3038" s="1078"/>
      <c r="N3038" s="1078"/>
      <c r="O3038" s="1079">
        <f t="shared" si="289"/>
        <v>170000</v>
      </c>
      <c r="P3038" s="1080"/>
      <c r="Q3038" s="1832"/>
      <c r="R3038" s="1832"/>
      <c r="S3038" s="1832"/>
      <c r="T3038" s="1832"/>
      <c r="U3038" s="1832"/>
      <c r="V3038" s="1832"/>
      <c r="W3038" s="1832"/>
      <c r="X3038" s="1832"/>
      <c r="Y3038" s="1832"/>
      <c r="Z3038" s="1832"/>
      <c r="AA3038" s="1832"/>
      <c r="AB3038" s="1832"/>
      <c r="AC3038" s="1832"/>
      <c r="AD3038" s="1832"/>
      <c r="AE3038" s="1832"/>
      <c r="AF3038" s="1832"/>
      <c r="AG3038" s="1832"/>
      <c r="AH3038" s="1832"/>
      <c r="AI3038" s="1832"/>
      <c r="AJ3038" s="1832"/>
      <c r="AK3038" s="1832"/>
      <c r="AL3038" s="1832"/>
      <c r="AM3038" s="1832"/>
      <c r="AN3038" s="1832"/>
      <c r="AO3038" s="1832"/>
      <c r="AP3038" s="1832"/>
      <c r="AQ3038" s="1832"/>
      <c r="AR3038" s="1832"/>
      <c r="AS3038" s="1832"/>
      <c r="AT3038" s="1832"/>
      <c r="AU3038" s="1832"/>
      <c r="AV3038" s="1832"/>
      <c r="AW3038" s="1832"/>
      <c r="AX3038" s="1832"/>
      <c r="AY3038" s="1832"/>
      <c r="AZ3038" s="1832"/>
      <c r="BA3038" s="1832"/>
      <c r="BB3038" s="1832"/>
      <c r="BC3038" s="1832"/>
      <c r="BD3038" s="1832"/>
      <c r="BE3038" s="1832"/>
      <c r="BF3038" s="1832"/>
      <c r="BG3038" s="1832"/>
      <c r="BH3038" s="1832"/>
      <c r="BI3038" s="1832"/>
      <c r="BJ3038" s="1832"/>
      <c r="BK3038" s="1832"/>
      <c r="BL3038" s="1832"/>
      <c r="BM3038" s="1832"/>
      <c r="BN3038" s="1832"/>
      <c r="BO3038" s="1832"/>
      <c r="BP3038" s="1832"/>
      <c r="BQ3038" s="1832"/>
      <c r="BR3038" s="1832"/>
      <c r="BS3038" s="1832"/>
      <c r="BT3038" s="1832"/>
      <c r="BU3038" s="1832"/>
      <c r="BV3038" s="1832"/>
      <c r="BW3038" s="1832"/>
      <c r="BX3038" s="1832"/>
      <c r="BY3038" s="1832"/>
      <c r="BZ3038" s="1832"/>
      <c r="CA3038" s="1832"/>
      <c r="CB3038" s="1832"/>
      <c r="CC3038" s="1832"/>
      <c r="CD3038" s="1832"/>
      <c r="CE3038" s="1832"/>
      <c r="CF3038" s="1832"/>
      <c r="CG3038" s="1832"/>
      <c r="CH3038" s="1832"/>
      <c r="CI3038" s="1832"/>
      <c r="CJ3038" s="1832"/>
      <c r="CK3038" s="1832"/>
    </row>
    <row r="3039" spans="1:89" s="1090" customFormat="1" ht="29.25" customHeight="1" x14ac:dyDescent="0.25">
      <c r="A3039" s="1088"/>
      <c r="B3039" s="1085" t="s">
        <v>1633</v>
      </c>
      <c r="C3039" s="1089">
        <v>1</v>
      </c>
      <c r="D3039" s="1086" t="s">
        <v>25</v>
      </c>
      <c r="E3039" s="1087">
        <v>110000</v>
      </c>
      <c r="F3039" s="1078"/>
      <c r="G3039" s="1078"/>
      <c r="H3039" s="1078">
        <f t="shared" si="290"/>
        <v>0</v>
      </c>
      <c r="I3039" s="1078"/>
      <c r="J3039" s="1078">
        <f t="shared" si="291"/>
        <v>110000</v>
      </c>
      <c r="K3039" s="1078">
        <f t="shared" si="288"/>
        <v>110000</v>
      </c>
      <c r="L3039" s="1078"/>
      <c r="M3039" s="1078"/>
      <c r="N3039" s="1078"/>
      <c r="O3039" s="1079">
        <f t="shared" si="289"/>
        <v>110000</v>
      </c>
      <c r="P3039" s="1080"/>
      <c r="Q3039" s="1832"/>
      <c r="R3039" s="1832"/>
      <c r="S3039" s="1832"/>
      <c r="T3039" s="1832"/>
      <c r="U3039" s="1832"/>
      <c r="V3039" s="1832"/>
      <c r="W3039" s="1832"/>
      <c r="X3039" s="1832"/>
      <c r="Y3039" s="1832"/>
      <c r="Z3039" s="1832"/>
      <c r="AA3039" s="1832"/>
      <c r="AB3039" s="1832"/>
      <c r="AC3039" s="1832"/>
      <c r="AD3039" s="1832"/>
      <c r="AE3039" s="1832"/>
      <c r="AF3039" s="1832"/>
      <c r="AG3039" s="1832"/>
      <c r="AH3039" s="1832"/>
      <c r="AI3039" s="1832"/>
      <c r="AJ3039" s="1832"/>
      <c r="AK3039" s="1832"/>
      <c r="AL3039" s="1832"/>
      <c r="AM3039" s="1832"/>
      <c r="AN3039" s="1832"/>
      <c r="AO3039" s="1832"/>
      <c r="AP3039" s="1832"/>
      <c r="AQ3039" s="1832"/>
      <c r="AR3039" s="1832"/>
      <c r="AS3039" s="1832"/>
      <c r="AT3039" s="1832"/>
      <c r="AU3039" s="1832"/>
      <c r="AV3039" s="1832"/>
      <c r="AW3039" s="1832"/>
      <c r="AX3039" s="1832"/>
      <c r="AY3039" s="1832"/>
      <c r="AZ3039" s="1832"/>
      <c r="BA3039" s="1832"/>
      <c r="BB3039" s="1832"/>
      <c r="BC3039" s="1832"/>
      <c r="BD3039" s="1832"/>
      <c r="BE3039" s="1832"/>
      <c r="BF3039" s="1832"/>
      <c r="BG3039" s="1832"/>
      <c r="BH3039" s="1832"/>
      <c r="BI3039" s="1832"/>
      <c r="BJ3039" s="1832"/>
      <c r="BK3039" s="1832"/>
      <c r="BL3039" s="1832"/>
      <c r="BM3039" s="1832"/>
      <c r="BN3039" s="1832"/>
      <c r="BO3039" s="1832"/>
      <c r="BP3039" s="1832"/>
      <c r="BQ3039" s="1832"/>
      <c r="BR3039" s="1832"/>
      <c r="BS3039" s="1832"/>
      <c r="BT3039" s="1832"/>
      <c r="BU3039" s="1832"/>
      <c r="BV3039" s="1832"/>
      <c r="BW3039" s="1832"/>
      <c r="BX3039" s="1832"/>
      <c r="BY3039" s="1832"/>
      <c r="BZ3039" s="1832"/>
      <c r="CA3039" s="1832"/>
      <c r="CB3039" s="1832"/>
      <c r="CC3039" s="1832"/>
      <c r="CD3039" s="1832"/>
      <c r="CE3039" s="1832"/>
      <c r="CF3039" s="1832"/>
      <c r="CG3039" s="1832"/>
      <c r="CH3039" s="1832"/>
      <c r="CI3039" s="1832"/>
      <c r="CJ3039" s="1832"/>
      <c r="CK3039" s="1832"/>
    </row>
    <row r="3040" spans="1:89" s="1081" customFormat="1" ht="29.25" customHeight="1" x14ac:dyDescent="0.25">
      <c r="A3040" s="1088"/>
      <c r="B3040" s="1085" t="s">
        <v>1634</v>
      </c>
      <c r="C3040" s="1089">
        <v>1</v>
      </c>
      <c r="D3040" s="1086" t="s">
        <v>25</v>
      </c>
      <c r="E3040" s="1087">
        <v>170000</v>
      </c>
      <c r="F3040" s="1078"/>
      <c r="G3040" s="1078"/>
      <c r="H3040" s="1078">
        <f t="shared" si="290"/>
        <v>0</v>
      </c>
      <c r="I3040" s="1078"/>
      <c r="J3040" s="1078">
        <f t="shared" si="291"/>
        <v>170000</v>
      </c>
      <c r="K3040" s="1078">
        <f t="shared" si="288"/>
        <v>170000</v>
      </c>
      <c r="L3040" s="1078"/>
      <c r="M3040" s="1078"/>
      <c r="N3040" s="1078"/>
      <c r="O3040" s="1079">
        <f t="shared" si="289"/>
        <v>170000</v>
      </c>
      <c r="P3040" s="1080"/>
      <c r="Q3040" s="1829"/>
      <c r="R3040" s="1829"/>
      <c r="S3040" s="1829"/>
      <c r="T3040" s="1829"/>
      <c r="U3040" s="1829"/>
      <c r="V3040" s="1829"/>
      <c r="W3040" s="1829"/>
      <c r="X3040" s="1829"/>
      <c r="Y3040" s="1829"/>
      <c r="Z3040" s="1829"/>
      <c r="AA3040" s="1829"/>
      <c r="AB3040" s="1829"/>
      <c r="AC3040" s="1829"/>
      <c r="AD3040" s="1829"/>
      <c r="AE3040" s="1829"/>
      <c r="AF3040" s="1829"/>
      <c r="AG3040" s="1829"/>
      <c r="AH3040" s="1829"/>
      <c r="AI3040" s="1829"/>
      <c r="AJ3040" s="1829"/>
      <c r="AK3040" s="1829"/>
      <c r="AL3040" s="1829"/>
      <c r="AM3040" s="1829"/>
      <c r="AN3040" s="1829"/>
      <c r="AO3040" s="1829"/>
      <c r="AP3040" s="1829"/>
      <c r="AQ3040" s="1829"/>
      <c r="AR3040" s="1829"/>
      <c r="AS3040" s="1829"/>
      <c r="AT3040" s="1829"/>
      <c r="AU3040" s="1829"/>
      <c r="AV3040" s="1829"/>
      <c r="AW3040" s="1829"/>
      <c r="AX3040" s="1829"/>
      <c r="AY3040" s="1829"/>
      <c r="AZ3040" s="1829"/>
      <c r="BA3040" s="1829"/>
      <c r="BB3040" s="1829"/>
      <c r="BC3040" s="1829"/>
      <c r="BD3040" s="1829"/>
      <c r="BE3040" s="1829"/>
      <c r="BF3040" s="1829"/>
      <c r="BG3040" s="1829"/>
      <c r="BH3040" s="1829"/>
      <c r="BI3040" s="1829"/>
      <c r="BJ3040" s="1829"/>
      <c r="BK3040" s="1829"/>
      <c r="BL3040" s="1829"/>
      <c r="BM3040" s="1829"/>
      <c r="BN3040" s="1829"/>
      <c r="BO3040" s="1829"/>
      <c r="BP3040" s="1829"/>
      <c r="BQ3040" s="1829"/>
      <c r="BR3040" s="1829"/>
      <c r="BS3040" s="1829"/>
      <c r="BT3040" s="1829"/>
      <c r="BU3040" s="1829"/>
      <c r="BV3040" s="1829"/>
      <c r="BW3040" s="1829"/>
      <c r="BX3040" s="1829"/>
      <c r="BY3040" s="1829"/>
      <c r="BZ3040" s="1829"/>
      <c r="CA3040" s="1829"/>
      <c r="CB3040" s="1829"/>
      <c r="CC3040" s="1829"/>
      <c r="CD3040" s="1829"/>
      <c r="CE3040" s="1829"/>
      <c r="CF3040" s="1829"/>
      <c r="CG3040" s="1829"/>
      <c r="CH3040" s="1829"/>
      <c r="CI3040" s="1829"/>
      <c r="CJ3040" s="1829"/>
      <c r="CK3040" s="1829"/>
    </row>
    <row r="3041" spans="1:89" s="1081" customFormat="1" ht="29.25" customHeight="1" x14ac:dyDescent="0.25">
      <c r="A3041" s="1088"/>
      <c r="B3041" s="1085" t="s">
        <v>1635</v>
      </c>
      <c r="C3041" s="1089">
        <v>1</v>
      </c>
      <c r="D3041" s="1086" t="s">
        <v>25</v>
      </c>
      <c r="E3041" s="1087">
        <v>140000</v>
      </c>
      <c r="F3041" s="1078"/>
      <c r="G3041" s="1078"/>
      <c r="H3041" s="1078">
        <f t="shared" si="290"/>
        <v>0</v>
      </c>
      <c r="I3041" s="1078"/>
      <c r="J3041" s="1078">
        <f t="shared" si="291"/>
        <v>140000</v>
      </c>
      <c r="K3041" s="1078">
        <f t="shared" si="288"/>
        <v>140000</v>
      </c>
      <c r="L3041" s="1078"/>
      <c r="M3041" s="1078"/>
      <c r="N3041" s="1078"/>
      <c r="O3041" s="1079">
        <f t="shared" si="289"/>
        <v>140000</v>
      </c>
      <c r="P3041" s="1080"/>
      <c r="Q3041" s="1829"/>
      <c r="R3041" s="1829"/>
      <c r="S3041" s="1829"/>
      <c r="T3041" s="1829"/>
      <c r="U3041" s="1829"/>
      <c r="V3041" s="1829"/>
      <c r="W3041" s="1829"/>
      <c r="X3041" s="1829"/>
      <c r="Y3041" s="1829"/>
      <c r="Z3041" s="1829"/>
      <c r="AA3041" s="1829"/>
      <c r="AB3041" s="1829"/>
      <c r="AC3041" s="1829"/>
      <c r="AD3041" s="1829"/>
      <c r="AE3041" s="1829"/>
      <c r="AF3041" s="1829"/>
      <c r="AG3041" s="1829"/>
      <c r="AH3041" s="1829"/>
      <c r="AI3041" s="1829"/>
      <c r="AJ3041" s="1829"/>
      <c r="AK3041" s="1829"/>
      <c r="AL3041" s="1829"/>
      <c r="AM3041" s="1829"/>
      <c r="AN3041" s="1829"/>
      <c r="AO3041" s="1829"/>
      <c r="AP3041" s="1829"/>
      <c r="AQ3041" s="1829"/>
      <c r="AR3041" s="1829"/>
      <c r="AS3041" s="1829"/>
      <c r="AT3041" s="1829"/>
      <c r="AU3041" s="1829"/>
      <c r="AV3041" s="1829"/>
      <c r="AW3041" s="1829"/>
      <c r="AX3041" s="1829"/>
      <c r="AY3041" s="1829"/>
      <c r="AZ3041" s="1829"/>
      <c r="BA3041" s="1829"/>
      <c r="BB3041" s="1829"/>
      <c r="BC3041" s="1829"/>
      <c r="BD3041" s="1829"/>
      <c r="BE3041" s="1829"/>
      <c r="BF3041" s="1829"/>
      <c r="BG3041" s="1829"/>
      <c r="BH3041" s="1829"/>
      <c r="BI3041" s="1829"/>
      <c r="BJ3041" s="1829"/>
      <c r="BK3041" s="1829"/>
      <c r="BL3041" s="1829"/>
      <c r="BM3041" s="1829"/>
      <c r="BN3041" s="1829"/>
      <c r="BO3041" s="1829"/>
      <c r="BP3041" s="1829"/>
      <c r="BQ3041" s="1829"/>
      <c r="BR3041" s="1829"/>
      <c r="BS3041" s="1829"/>
      <c r="BT3041" s="1829"/>
      <c r="BU3041" s="1829"/>
      <c r="BV3041" s="1829"/>
      <c r="BW3041" s="1829"/>
      <c r="BX3041" s="1829"/>
      <c r="BY3041" s="1829"/>
      <c r="BZ3041" s="1829"/>
      <c r="CA3041" s="1829"/>
      <c r="CB3041" s="1829"/>
      <c r="CC3041" s="1829"/>
      <c r="CD3041" s="1829"/>
      <c r="CE3041" s="1829"/>
      <c r="CF3041" s="1829"/>
      <c r="CG3041" s="1829"/>
      <c r="CH3041" s="1829"/>
      <c r="CI3041" s="1829"/>
      <c r="CJ3041" s="1829"/>
      <c r="CK3041" s="1829"/>
    </row>
    <row r="3042" spans="1:89" s="1081" customFormat="1" ht="29.25" customHeight="1" x14ac:dyDescent="0.25">
      <c r="A3042" s="1088"/>
      <c r="B3042" s="1085" t="s">
        <v>1636</v>
      </c>
      <c r="C3042" s="1089">
        <v>12</v>
      </c>
      <c r="D3042" s="1086" t="s">
        <v>20</v>
      </c>
      <c r="E3042" s="1087">
        <v>2710</v>
      </c>
      <c r="F3042" s="1078"/>
      <c r="G3042" s="1078"/>
      <c r="H3042" s="1078">
        <f t="shared" si="290"/>
        <v>0</v>
      </c>
      <c r="I3042" s="1078"/>
      <c r="J3042" s="1078">
        <f t="shared" si="291"/>
        <v>32520</v>
      </c>
      <c r="K3042" s="1078">
        <f t="shared" si="288"/>
        <v>32520</v>
      </c>
      <c r="L3042" s="1078"/>
      <c r="M3042" s="1078"/>
      <c r="N3042" s="1078"/>
      <c r="O3042" s="1079">
        <f t="shared" si="289"/>
        <v>32520</v>
      </c>
      <c r="P3042" s="1080"/>
      <c r="Q3042" s="1829"/>
      <c r="R3042" s="1829"/>
      <c r="S3042" s="1829"/>
      <c r="T3042" s="1829"/>
      <c r="U3042" s="1829"/>
      <c r="V3042" s="1829"/>
      <c r="W3042" s="1829"/>
      <c r="X3042" s="1829"/>
      <c r="Y3042" s="1829"/>
      <c r="Z3042" s="1829"/>
      <c r="AA3042" s="1829"/>
      <c r="AB3042" s="1829"/>
      <c r="AC3042" s="1829"/>
      <c r="AD3042" s="1829"/>
      <c r="AE3042" s="1829"/>
      <c r="AF3042" s="1829"/>
      <c r="AG3042" s="1829"/>
      <c r="AH3042" s="1829"/>
      <c r="AI3042" s="1829"/>
      <c r="AJ3042" s="1829"/>
      <c r="AK3042" s="1829"/>
      <c r="AL3042" s="1829"/>
      <c r="AM3042" s="1829"/>
      <c r="AN3042" s="1829"/>
      <c r="AO3042" s="1829"/>
      <c r="AP3042" s="1829"/>
      <c r="AQ3042" s="1829"/>
      <c r="AR3042" s="1829"/>
      <c r="AS3042" s="1829"/>
      <c r="AT3042" s="1829"/>
      <c r="AU3042" s="1829"/>
      <c r="AV3042" s="1829"/>
      <c r="AW3042" s="1829"/>
      <c r="AX3042" s="1829"/>
      <c r="AY3042" s="1829"/>
      <c r="AZ3042" s="1829"/>
      <c r="BA3042" s="1829"/>
      <c r="BB3042" s="1829"/>
      <c r="BC3042" s="1829"/>
      <c r="BD3042" s="1829"/>
      <c r="BE3042" s="1829"/>
      <c r="BF3042" s="1829"/>
      <c r="BG3042" s="1829"/>
      <c r="BH3042" s="1829"/>
      <c r="BI3042" s="1829"/>
      <c r="BJ3042" s="1829"/>
      <c r="BK3042" s="1829"/>
      <c r="BL3042" s="1829"/>
      <c r="BM3042" s="1829"/>
      <c r="BN3042" s="1829"/>
      <c r="BO3042" s="1829"/>
      <c r="BP3042" s="1829"/>
      <c r="BQ3042" s="1829"/>
      <c r="BR3042" s="1829"/>
      <c r="BS3042" s="1829"/>
      <c r="BT3042" s="1829"/>
      <c r="BU3042" s="1829"/>
      <c r="BV3042" s="1829"/>
      <c r="BW3042" s="1829"/>
      <c r="BX3042" s="1829"/>
      <c r="BY3042" s="1829"/>
      <c r="BZ3042" s="1829"/>
      <c r="CA3042" s="1829"/>
      <c r="CB3042" s="1829"/>
      <c r="CC3042" s="1829"/>
      <c r="CD3042" s="1829"/>
      <c r="CE3042" s="1829"/>
      <c r="CF3042" s="1829"/>
      <c r="CG3042" s="1829"/>
      <c r="CH3042" s="1829"/>
      <c r="CI3042" s="1829"/>
      <c r="CJ3042" s="1829"/>
      <c r="CK3042" s="1829"/>
    </row>
    <row r="3043" spans="1:89" s="1081" customFormat="1" ht="29.25" customHeight="1" x14ac:dyDescent="0.25">
      <c r="A3043" s="1088"/>
      <c r="B3043" s="1085" t="s">
        <v>1637</v>
      </c>
      <c r="C3043" s="1089">
        <v>12</v>
      </c>
      <c r="D3043" s="1086" t="s">
        <v>20</v>
      </c>
      <c r="E3043" s="1087">
        <v>2460</v>
      </c>
      <c r="F3043" s="1078"/>
      <c r="G3043" s="1078"/>
      <c r="H3043" s="1078">
        <f t="shared" si="290"/>
        <v>0</v>
      </c>
      <c r="I3043" s="1078"/>
      <c r="J3043" s="1078">
        <f t="shared" si="291"/>
        <v>29520</v>
      </c>
      <c r="K3043" s="1078">
        <f t="shared" si="288"/>
        <v>29520</v>
      </c>
      <c r="L3043" s="1078"/>
      <c r="M3043" s="1078"/>
      <c r="N3043" s="1078"/>
      <c r="O3043" s="1079">
        <f t="shared" si="289"/>
        <v>29520</v>
      </c>
      <c r="P3043" s="1080"/>
      <c r="Q3043" s="1829"/>
      <c r="R3043" s="1829"/>
      <c r="S3043" s="1829"/>
      <c r="T3043" s="1829"/>
      <c r="U3043" s="1829"/>
      <c r="V3043" s="1829"/>
      <c r="W3043" s="1829"/>
      <c r="X3043" s="1829"/>
      <c r="Y3043" s="1829"/>
      <c r="Z3043" s="1829"/>
      <c r="AA3043" s="1829"/>
      <c r="AB3043" s="1829"/>
      <c r="AC3043" s="1829"/>
      <c r="AD3043" s="1829"/>
      <c r="AE3043" s="1829"/>
      <c r="AF3043" s="1829"/>
      <c r="AG3043" s="1829"/>
      <c r="AH3043" s="1829"/>
      <c r="AI3043" s="1829"/>
      <c r="AJ3043" s="1829"/>
      <c r="AK3043" s="1829"/>
      <c r="AL3043" s="1829"/>
      <c r="AM3043" s="1829"/>
      <c r="AN3043" s="1829"/>
      <c r="AO3043" s="1829"/>
      <c r="AP3043" s="1829"/>
      <c r="AQ3043" s="1829"/>
      <c r="AR3043" s="1829"/>
      <c r="AS3043" s="1829"/>
      <c r="AT3043" s="1829"/>
      <c r="AU3043" s="1829"/>
      <c r="AV3043" s="1829"/>
      <c r="AW3043" s="1829"/>
      <c r="AX3043" s="1829"/>
      <c r="AY3043" s="1829"/>
      <c r="AZ3043" s="1829"/>
      <c r="BA3043" s="1829"/>
      <c r="BB3043" s="1829"/>
      <c r="BC3043" s="1829"/>
      <c r="BD3043" s="1829"/>
      <c r="BE3043" s="1829"/>
      <c r="BF3043" s="1829"/>
      <c r="BG3043" s="1829"/>
      <c r="BH3043" s="1829"/>
      <c r="BI3043" s="1829"/>
      <c r="BJ3043" s="1829"/>
      <c r="BK3043" s="1829"/>
      <c r="BL3043" s="1829"/>
      <c r="BM3043" s="1829"/>
      <c r="BN3043" s="1829"/>
      <c r="BO3043" s="1829"/>
      <c r="BP3043" s="1829"/>
      <c r="BQ3043" s="1829"/>
      <c r="BR3043" s="1829"/>
      <c r="BS3043" s="1829"/>
      <c r="BT3043" s="1829"/>
      <c r="BU3043" s="1829"/>
      <c r="BV3043" s="1829"/>
      <c r="BW3043" s="1829"/>
      <c r="BX3043" s="1829"/>
      <c r="BY3043" s="1829"/>
      <c r="BZ3043" s="1829"/>
      <c r="CA3043" s="1829"/>
      <c r="CB3043" s="1829"/>
      <c r="CC3043" s="1829"/>
      <c r="CD3043" s="1829"/>
      <c r="CE3043" s="1829"/>
      <c r="CF3043" s="1829"/>
      <c r="CG3043" s="1829"/>
      <c r="CH3043" s="1829"/>
      <c r="CI3043" s="1829"/>
      <c r="CJ3043" s="1829"/>
      <c r="CK3043" s="1829"/>
    </row>
    <row r="3044" spans="1:89" s="1081" customFormat="1" ht="29.25" customHeight="1" x14ac:dyDescent="0.25">
      <c r="A3044" s="1088"/>
      <c r="B3044" s="1085" t="s">
        <v>1638</v>
      </c>
      <c r="C3044" s="1089"/>
      <c r="D3044" s="1086"/>
      <c r="E3044" s="1087"/>
      <c r="F3044" s="1078"/>
      <c r="G3044" s="1078"/>
      <c r="H3044" s="1078"/>
      <c r="I3044" s="1078"/>
      <c r="J3044" s="1078"/>
      <c r="K3044" s="1078"/>
      <c r="L3044" s="1078"/>
      <c r="M3044" s="1078"/>
      <c r="N3044" s="1078"/>
      <c r="O3044" s="1079"/>
      <c r="P3044" s="1080"/>
      <c r="Q3044" s="1829"/>
      <c r="R3044" s="1829"/>
      <c r="S3044" s="1829"/>
      <c r="T3044" s="1829"/>
      <c r="U3044" s="1829"/>
      <c r="V3044" s="1829"/>
      <c r="W3044" s="1829"/>
      <c r="X3044" s="1829"/>
      <c r="Y3044" s="1829"/>
      <c r="Z3044" s="1829"/>
      <c r="AA3044" s="1829"/>
      <c r="AB3044" s="1829"/>
      <c r="AC3044" s="1829"/>
      <c r="AD3044" s="1829"/>
      <c r="AE3044" s="1829"/>
      <c r="AF3044" s="1829"/>
      <c r="AG3044" s="1829"/>
      <c r="AH3044" s="1829"/>
      <c r="AI3044" s="1829"/>
      <c r="AJ3044" s="1829"/>
      <c r="AK3044" s="1829"/>
      <c r="AL3044" s="1829"/>
      <c r="AM3044" s="1829"/>
      <c r="AN3044" s="1829"/>
      <c r="AO3044" s="1829"/>
      <c r="AP3044" s="1829"/>
      <c r="AQ3044" s="1829"/>
      <c r="AR3044" s="1829"/>
      <c r="AS3044" s="1829"/>
      <c r="AT3044" s="1829"/>
      <c r="AU3044" s="1829"/>
      <c r="AV3044" s="1829"/>
      <c r="AW3044" s="1829"/>
      <c r="AX3044" s="1829"/>
      <c r="AY3044" s="1829"/>
      <c r="AZ3044" s="1829"/>
      <c r="BA3044" s="1829"/>
      <c r="BB3044" s="1829"/>
      <c r="BC3044" s="1829"/>
      <c r="BD3044" s="1829"/>
      <c r="BE3044" s="1829"/>
      <c r="BF3044" s="1829"/>
      <c r="BG3044" s="1829"/>
      <c r="BH3044" s="1829"/>
      <c r="BI3044" s="1829"/>
      <c r="BJ3044" s="1829"/>
      <c r="BK3044" s="1829"/>
      <c r="BL3044" s="1829"/>
      <c r="BM3044" s="1829"/>
      <c r="BN3044" s="1829"/>
      <c r="BO3044" s="1829"/>
      <c r="BP3044" s="1829"/>
      <c r="BQ3044" s="1829"/>
      <c r="BR3044" s="1829"/>
      <c r="BS3044" s="1829"/>
      <c r="BT3044" s="1829"/>
      <c r="BU3044" s="1829"/>
      <c r="BV3044" s="1829"/>
      <c r="BW3044" s="1829"/>
      <c r="BX3044" s="1829"/>
      <c r="BY3044" s="1829"/>
      <c r="BZ3044" s="1829"/>
      <c r="CA3044" s="1829"/>
      <c r="CB3044" s="1829"/>
      <c r="CC3044" s="1829"/>
      <c r="CD3044" s="1829"/>
      <c r="CE3044" s="1829"/>
      <c r="CF3044" s="1829"/>
      <c r="CG3044" s="1829"/>
      <c r="CH3044" s="1829"/>
      <c r="CI3044" s="1829"/>
      <c r="CJ3044" s="1829"/>
      <c r="CK3044" s="1829"/>
    </row>
    <row r="3045" spans="1:89" s="1081" customFormat="1" ht="29.25" customHeight="1" x14ac:dyDescent="0.25">
      <c r="A3045" s="1088"/>
      <c r="B3045" s="1085" t="s">
        <v>1639</v>
      </c>
      <c r="C3045" s="1089">
        <v>1</v>
      </c>
      <c r="D3045" s="1086" t="s">
        <v>25</v>
      </c>
      <c r="E3045" s="1087">
        <v>50000</v>
      </c>
      <c r="F3045" s="1078"/>
      <c r="G3045" s="1078"/>
      <c r="H3045" s="1078">
        <f t="shared" ref="H3045:H3055" si="292">F3045+G3045</f>
        <v>0</v>
      </c>
      <c r="I3045" s="1078"/>
      <c r="J3045" s="1078">
        <f>E3045*C3045</f>
        <v>50000</v>
      </c>
      <c r="K3045" s="1078">
        <f t="shared" si="288"/>
        <v>50000</v>
      </c>
      <c r="L3045" s="1078"/>
      <c r="M3045" s="1078"/>
      <c r="N3045" s="1078"/>
      <c r="O3045" s="1079">
        <f t="shared" si="289"/>
        <v>50000</v>
      </c>
      <c r="P3045" s="1080"/>
      <c r="Q3045" s="1829"/>
      <c r="R3045" s="1829"/>
      <c r="S3045" s="1829"/>
      <c r="T3045" s="1829"/>
      <c r="U3045" s="1829"/>
      <c r="V3045" s="1829"/>
      <c r="W3045" s="1829"/>
      <c r="X3045" s="1829"/>
      <c r="Y3045" s="1829"/>
      <c r="Z3045" s="1829"/>
      <c r="AA3045" s="1829"/>
      <c r="AB3045" s="1829"/>
      <c r="AC3045" s="1829"/>
      <c r="AD3045" s="1829"/>
      <c r="AE3045" s="1829"/>
      <c r="AF3045" s="1829"/>
      <c r="AG3045" s="1829"/>
      <c r="AH3045" s="1829"/>
      <c r="AI3045" s="1829"/>
      <c r="AJ3045" s="1829"/>
      <c r="AK3045" s="1829"/>
      <c r="AL3045" s="1829"/>
      <c r="AM3045" s="1829"/>
      <c r="AN3045" s="1829"/>
      <c r="AO3045" s="1829"/>
      <c r="AP3045" s="1829"/>
      <c r="AQ3045" s="1829"/>
      <c r="AR3045" s="1829"/>
      <c r="AS3045" s="1829"/>
      <c r="AT3045" s="1829"/>
      <c r="AU3045" s="1829"/>
      <c r="AV3045" s="1829"/>
      <c r="AW3045" s="1829"/>
      <c r="AX3045" s="1829"/>
      <c r="AY3045" s="1829"/>
      <c r="AZ3045" s="1829"/>
      <c r="BA3045" s="1829"/>
      <c r="BB3045" s="1829"/>
      <c r="BC3045" s="1829"/>
      <c r="BD3045" s="1829"/>
      <c r="BE3045" s="1829"/>
      <c r="BF3045" s="1829"/>
      <c r="BG3045" s="1829"/>
      <c r="BH3045" s="1829"/>
      <c r="BI3045" s="1829"/>
      <c r="BJ3045" s="1829"/>
      <c r="BK3045" s="1829"/>
      <c r="BL3045" s="1829"/>
      <c r="BM3045" s="1829"/>
      <c r="BN3045" s="1829"/>
      <c r="BO3045" s="1829"/>
      <c r="BP3045" s="1829"/>
      <c r="BQ3045" s="1829"/>
      <c r="BR3045" s="1829"/>
      <c r="BS3045" s="1829"/>
      <c r="BT3045" s="1829"/>
      <c r="BU3045" s="1829"/>
      <c r="BV3045" s="1829"/>
      <c r="BW3045" s="1829"/>
      <c r="BX3045" s="1829"/>
      <c r="BY3045" s="1829"/>
      <c r="BZ3045" s="1829"/>
      <c r="CA3045" s="1829"/>
      <c r="CB3045" s="1829"/>
      <c r="CC3045" s="1829"/>
      <c r="CD3045" s="1829"/>
      <c r="CE3045" s="1829"/>
      <c r="CF3045" s="1829"/>
      <c r="CG3045" s="1829"/>
      <c r="CH3045" s="1829"/>
      <c r="CI3045" s="1829"/>
      <c r="CJ3045" s="1829"/>
      <c r="CK3045" s="1829"/>
    </row>
    <row r="3046" spans="1:89" s="1081" customFormat="1" ht="29.25" customHeight="1" x14ac:dyDescent="0.25">
      <c r="A3046" s="1088"/>
      <c r="B3046" s="1085" t="s">
        <v>1640</v>
      </c>
      <c r="C3046" s="1089"/>
      <c r="D3046" s="1086"/>
      <c r="E3046" s="1087"/>
      <c r="F3046" s="1078"/>
      <c r="G3046" s="1078"/>
      <c r="H3046" s="1078">
        <f t="shared" si="292"/>
        <v>0</v>
      </c>
      <c r="I3046" s="1078"/>
      <c r="J3046" s="1078"/>
      <c r="K3046" s="1078"/>
      <c r="L3046" s="1078"/>
      <c r="M3046" s="1078"/>
      <c r="N3046" s="1078"/>
      <c r="O3046" s="1079"/>
      <c r="P3046" s="1080"/>
      <c r="Q3046" s="1829"/>
      <c r="R3046" s="1829"/>
      <c r="S3046" s="1829"/>
      <c r="T3046" s="1829"/>
      <c r="U3046" s="1829"/>
      <c r="V3046" s="1829"/>
      <c r="W3046" s="1829"/>
      <c r="X3046" s="1829"/>
      <c r="Y3046" s="1829"/>
      <c r="Z3046" s="1829"/>
      <c r="AA3046" s="1829"/>
      <c r="AB3046" s="1829"/>
      <c r="AC3046" s="1829"/>
      <c r="AD3046" s="1829"/>
      <c r="AE3046" s="1829"/>
      <c r="AF3046" s="1829"/>
      <c r="AG3046" s="1829"/>
      <c r="AH3046" s="1829"/>
      <c r="AI3046" s="1829"/>
      <c r="AJ3046" s="1829"/>
      <c r="AK3046" s="1829"/>
      <c r="AL3046" s="1829"/>
      <c r="AM3046" s="1829"/>
      <c r="AN3046" s="1829"/>
      <c r="AO3046" s="1829"/>
      <c r="AP3046" s="1829"/>
      <c r="AQ3046" s="1829"/>
      <c r="AR3046" s="1829"/>
      <c r="AS3046" s="1829"/>
      <c r="AT3046" s="1829"/>
      <c r="AU3046" s="1829"/>
      <c r="AV3046" s="1829"/>
      <c r="AW3046" s="1829"/>
      <c r="AX3046" s="1829"/>
      <c r="AY3046" s="1829"/>
      <c r="AZ3046" s="1829"/>
      <c r="BA3046" s="1829"/>
      <c r="BB3046" s="1829"/>
      <c r="BC3046" s="1829"/>
      <c r="BD3046" s="1829"/>
      <c r="BE3046" s="1829"/>
      <c r="BF3046" s="1829"/>
      <c r="BG3046" s="1829"/>
      <c r="BH3046" s="1829"/>
      <c r="BI3046" s="1829"/>
      <c r="BJ3046" s="1829"/>
      <c r="BK3046" s="1829"/>
      <c r="BL3046" s="1829"/>
      <c r="BM3046" s="1829"/>
      <c r="BN3046" s="1829"/>
      <c r="BO3046" s="1829"/>
      <c r="BP3046" s="1829"/>
      <c r="BQ3046" s="1829"/>
      <c r="BR3046" s="1829"/>
      <c r="BS3046" s="1829"/>
      <c r="BT3046" s="1829"/>
      <c r="BU3046" s="1829"/>
      <c r="BV3046" s="1829"/>
      <c r="BW3046" s="1829"/>
      <c r="BX3046" s="1829"/>
      <c r="BY3046" s="1829"/>
      <c r="BZ3046" s="1829"/>
      <c r="CA3046" s="1829"/>
      <c r="CB3046" s="1829"/>
      <c r="CC3046" s="1829"/>
      <c r="CD3046" s="1829"/>
      <c r="CE3046" s="1829"/>
      <c r="CF3046" s="1829"/>
      <c r="CG3046" s="1829"/>
      <c r="CH3046" s="1829"/>
      <c r="CI3046" s="1829"/>
      <c r="CJ3046" s="1829"/>
      <c r="CK3046" s="1829"/>
    </row>
    <row r="3047" spans="1:89" s="1081" customFormat="1" ht="29.25" customHeight="1" x14ac:dyDescent="0.25">
      <c r="A3047" s="1088"/>
      <c r="B3047" s="1085" t="s">
        <v>1641</v>
      </c>
      <c r="C3047" s="1089">
        <v>1</v>
      </c>
      <c r="D3047" s="1086" t="s">
        <v>25</v>
      </c>
      <c r="E3047" s="1087">
        <v>200000</v>
      </c>
      <c r="F3047" s="1078"/>
      <c r="G3047" s="1078"/>
      <c r="H3047" s="1078">
        <f t="shared" si="292"/>
        <v>0</v>
      </c>
      <c r="I3047" s="1078"/>
      <c r="J3047" s="1078">
        <f>E3047*C3047</f>
        <v>200000</v>
      </c>
      <c r="K3047" s="1078">
        <f t="shared" si="288"/>
        <v>200000</v>
      </c>
      <c r="L3047" s="1078"/>
      <c r="M3047" s="1078"/>
      <c r="N3047" s="1078"/>
      <c r="O3047" s="1079">
        <f t="shared" si="289"/>
        <v>200000</v>
      </c>
      <c r="P3047" s="1080"/>
      <c r="Q3047" s="1829"/>
      <c r="R3047" s="1829"/>
      <c r="S3047" s="1829"/>
      <c r="T3047" s="1829"/>
      <c r="U3047" s="1829"/>
      <c r="V3047" s="1829"/>
      <c r="W3047" s="1829"/>
      <c r="X3047" s="1829"/>
      <c r="Y3047" s="1829"/>
      <c r="Z3047" s="1829"/>
      <c r="AA3047" s="1829"/>
      <c r="AB3047" s="1829"/>
      <c r="AC3047" s="1829"/>
      <c r="AD3047" s="1829"/>
      <c r="AE3047" s="1829"/>
      <c r="AF3047" s="1829"/>
      <c r="AG3047" s="1829"/>
      <c r="AH3047" s="1829"/>
      <c r="AI3047" s="1829"/>
      <c r="AJ3047" s="1829"/>
      <c r="AK3047" s="1829"/>
      <c r="AL3047" s="1829"/>
      <c r="AM3047" s="1829"/>
      <c r="AN3047" s="1829"/>
      <c r="AO3047" s="1829"/>
      <c r="AP3047" s="1829"/>
      <c r="AQ3047" s="1829"/>
      <c r="AR3047" s="1829"/>
      <c r="AS3047" s="1829"/>
      <c r="AT3047" s="1829"/>
      <c r="AU3047" s="1829"/>
      <c r="AV3047" s="1829"/>
      <c r="AW3047" s="1829"/>
      <c r="AX3047" s="1829"/>
      <c r="AY3047" s="1829"/>
      <c r="AZ3047" s="1829"/>
      <c r="BA3047" s="1829"/>
      <c r="BB3047" s="1829"/>
      <c r="BC3047" s="1829"/>
      <c r="BD3047" s="1829"/>
      <c r="BE3047" s="1829"/>
      <c r="BF3047" s="1829"/>
      <c r="BG3047" s="1829"/>
      <c r="BH3047" s="1829"/>
      <c r="BI3047" s="1829"/>
      <c r="BJ3047" s="1829"/>
      <c r="BK3047" s="1829"/>
      <c r="BL3047" s="1829"/>
      <c r="BM3047" s="1829"/>
      <c r="BN3047" s="1829"/>
      <c r="BO3047" s="1829"/>
      <c r="BP3047" s="1829"/>
      <c r="BQ3047" s="1829"/>
      <c r="BR3047" s="1829"/>
      <c r="BS3047" s="1829"/>
      <c r="BT3047" s="1829"/>
      <c r="BU3047" s="1829"/>
      <c r="BV3047" s="1829"/>
      <c r="BW3047" s="1829"/>
      <c r="BX3047" s="1829"/>
      <c r="BY3047" s="1829"/>
      <c r="BZ3047" s="1829"/>
      <c r="CA3047" s="1829"/>
      <c r="CB3047" s="1829"/>
      <c r="CC3047" s="1829"/>
      <c r="CD3047" s="1829"/>
      <c r="CE3047" s="1829"/>
      <c r="CF3047" s="1829"/>
      <c r="CG3047" s="1829"/>
      <c r="CH3047" s="1829"/>
      <c r="CI3047" s="1829"/>
      <c r="CJ3047" s="1829"/>
      <c r="CK3047" s="1829"/>
    </row>
    <row r="3048" spans="1:89" s="1081" customFormat="1" ht="29.25" customHeight="1" x14ac:dyDescent="0.25">
      <c r="A3048" s="1088"/>
      <c r="B3048" s="1085" t="s">
        <v>40</v>
      </c>
      <c r="C3048" s="1089"/>
      <c r="D3048" s="1086"/>
      <c r="E3048" s="1087"/>
      <c r="F3048" s="1078"/>
      <c r="G3048" s="1078"/>
      <c r="H3048" s="1078">
        <f t="shared" si="292"/>
        <v>0</v>
      </c>
      <c r="I3048" s="1078"/>
      <c r="J3048" s="1078"/>
      <c r="K3048" s="1078"/>
      <c r="L3048" s="1078"/>
      <c r="M3048" s="1078"/>
      <c r="N3048" s="1078"/>
      <c r="O3048" s="1079"/>
      <c r="P3048" s="1080"/>
      <c r="Q3048" s="1829"/>
      <c r="R3048" s="1829"/>
      <c r="S3048" s="1829"/>
      <c r="T3048" s="1829"/>
      <c r="U3048" s="1829"/>
      <c r="V3048" s="1829"/>
      <c r="W3048" s="1829"/>
      <c r="X3048" s="1829"/>
      <c r="Y3048" s="1829"/>
      <c r="Z3048" s="1829"/>
      <c r="AA3048" s="1829"/>
      <c r="AB3048" s="1829"/>
      <c r="AC3048" s="1829"/>
      <c r="AD3048" s="1829"/>
      <c r="AE3048" s="1829"/>
      <c r="AF3048" s="1829"/>
      <c r="AG3048" s="1829"/>
      <c r="AH3048" s="1829"/>
      <c r="AI3048" s="1829"/>
      <c r="AJ3048" s="1829"/>
      <c r="AK3048" s="1829"/>
      <c r="AL3048" s="1829"/>
      <c r="AM3048" s="1829"/>
      <c r="AN3048" s="1829"/>
      <c r="AO3048" s="1829"/>
      <c r="AP3048" s="1829"/>
      <c r="AQ3048" s="1829"/>
      <c r="AR3048" s="1829"/>
      <c r="AS3048" s="1829"/>
      <c r="AT3048" s="1829"/>
      <c r="AU3048" s="1829"/>
      <c r="AV3048" s="1829"/>
      <c r="AW3048" s="1829"/>
      <c r="AX3048" s="1829"/>
      <c r="AY3048" s="1829"/>
      <c r="AZ3048" s="1829"/>
      <c r="BA3048" s="1829"/>
      <c r="BB3048" s="1829"/>
      <c r="BC3048" s="1829"/>
      <c r="BD3048" s="1829"/>
      <c r="BE3048" s="1829"/>
      <c r="BF3048" s="1829"/>
      <c r="BG3048" s="1829"/>
      <c r="BH3048" s="1829"/>
      <c r="BI3048" s="1829"/>
      <c r="BJ3048" s="1829"/>
      <c r="BK3048" s="1829"/>
      <c r="BL3048" s="1829"/>
      <c r="BM3048" s="1829"/>
      <c r="BN3048" s="1829"/>
      <c r="BO3048" s="1829"/>
      <c r="BP3048" s="1829"/>
      <c r="BQ3048" s="1829"/>
      <c r="BR3048" s="1829"/>
      <c r="BS3048" s="1829"/>
      <c r="BT3048" s="1829"/>
      <c r="BU3048" s="1829"/>
      <c r="BV3048" s="1829"/>
      <c r="BW3048" s="1829"/>
      <c r="BX3048" s="1829"/>
      <c r="BY3048" s="1829"/>
      <c r="BZ3048" s="1829"/>
      <c r="CA3048" s="1829"/>
      <c r="CB3048" s="1829"/>
      <c r="CC3048" s="1829"/>
      <c r="CD3048" s="1829"/>
      <c r="CE3048" s="1829"/>
      <c r="CF3048" s="1829"/>
      <c r="CG3048" s="1829"/>
      <c r="CH3048" s="1829"/>
      <c r="CI3048" s="1829"/>
      <c r="CJ3048" s="1829"/>
      <c r="CK3048" s="1829"/>
    </row>
    <row r="3049" spans="1:89" s="1081" customFormat="1" ht="29.25" customHeight="1" x14ac:dyDescent="0.25">
      <c r="A3049" s="1088"/>
      <c r="B3049" s="1085" t="s">
        <v>1642</v>
      </c>
      <c r="C3049" s="1089">
        <v>1</v>
      </c>
      <c r="D3049" s="1086" t="s">
        <v>25</v>
      </c>
      <c r="E3049" s="1087">
        <v>150000</v>
      </c>
      <c r="F3049" s="1078"/>
      <c r="G3049" s="1078"/>
      <c r="H3049" s="1078">
        <f t="shared" si="292"/>
        <v>0</v>
      </c>
      <c r="I3049" s="1078"/>
      <c r="J3049" s="1078">
        <f>E3049*C3049</f>
        <v>150000</v>
      </c>
      <c r="K3049" s="1078">
        <f t="shared" si="288"/>
        <v>150000</v>
      </c>
      <c r="L3049" s="1078"/>
      <c r="M3049" s="1078"/>
      <c r="N3049" s="1078"/>
      <c r="O3049" s="1079">
        <f t="shared" si="289"/>
        <v>150000</v>
      </c>
      <c r="P3049" s="1080"/>
      <c r="Q3049" s="1829"/>
      <c r="R3049" s="1829"/>
      <c r="S3049" s="1829"/>
      <c r="T3049" s="1829"/>
      <c r="U3049" s="1829"/>
      <c r="V3049" s="1829"/>
      <c r="W3049" s="1829"/>
      <c r="X3049" s="1829"/>
      <c r="Y3049" s="1829"/>
      <c r="Z3049" s="1829"/>
      <c r="AA3049" s="1829"/>
      <c r="AB3049" s="1829"/>
      <c r="AC3049" s="1829"/>
      <c r="AD3049" s="1829"/>
      <c r="AE3049" s="1829"/>
      <c r="AF3049" s="1829"/>
      <c r="AG3049" s="1829"/>
      <c r="AH3049" s="1829"/>
      <c r="AI3049" s="1829"/>
      <c r="AJ3049" s="1829"/>
      <c r="AK3049" s="1829"/>
      <c r="AL3049" s="1829"/>
      <c r="AM3049" s="1829"/>
      <c r="AN3049" s="1829"/>
      <c r="AO3049" s="1829"/>
      <c r="AP3049" s="1829"/>
      <c r="AQ3049" s="1829"/>
      <c r="AR3049" s="1829"/>
      <c r="AS3049" s="1829"/>
      <c r="AT3049" s="1829"/>
      <c r="AU3049" s="1829"/>
      <c r="AV3049" s="1829"/>
      <c r="AW3049" s="1829"/>
      <c r="AX3049" s="1829"/>
      <c r="AY3049" s="1829"/>
      <c r="AZ3049" s="1829"/>
      <c r="BA3049" s="1829"/>
      <c r="BB3049" s="1829"/>
      <c r="BC3049" s="1829"/>
      <c r="BD3049" s="1829"/>
      <c r="BE3049" s="1829"/>
      <c r="BF3049" s="1829"/>
      <c r="BG3049" s="1829"/>
      <c r="BH3049" s="1829"/>
      <c r="BI3049" s="1829"/>
      <c r="BJ3049" s="1829"/>
      <c r="BK3049" s="1829"/>
      <c r="BL3049" s="1829"/>
      <c r="BM3049" s="1829"/>
      <c r="BN3049" s="1829"/>
      <c r="BO3049" s="1829"/>
      <c r="BP3049" s="1829"/>
      <c r="BQ3049" s="1829"/>
      <c r="BR3049" s="1829"/>
      <c r="BS3049" s="1829"/>
      <c r="BT3049" s="1829"/>
      <c r="BU3049" s="1829"/>
      <c r="BV3049" s="1829"/>
      <c r="BW3049" s="1829"/>
      <c r="BX3049" s="1829"/>
      <c r="BY3049" s="1829"/>
      <c r="BZ3049" s="1829"/>
      <c r="CA3049" s="1829"/>
      <c r="CB3049" s="1829"/>
      <c r="CC3049" s="1829"/>
      <c r="CD3049" s="1829"/>
      <c r="CE3049" s="1829"/>
      <c r="CF3049" s="1829"/>
      <c r="CG3049" s="1829"/>
      <c r="CH3049" s="1829"/>
      <c r="CI3049" s="1829"/>
      <c r="CJ3049" s="1829"/>
      <c r="CK3049" s="1829"/>
    </row>
    <row r="3050" spans="1:89" s="1081" customFormat="1" ht="29.25" customHeight="1" x14ac:dyDescent="0.25">
      <c r="A3050" s="1088"/>
      <c r="B3050" s="1085" t="s">
        <v>1643</v>
      </c>
      <c r="C3050" s="1089">
        <v>1</v>
      </c>
      <c r="D3050" s="1086" t="s">
        <v>16</v>
      </c>
      <c r="E3050" s="1087">
        <v>100000</v>
      </c>
      <c r="F3050" s="1078"/>
      <c r="G3050" s="1078"/>
      <c r="H3050" s="1078">
        <f t="shared" si="292"/>
        <v>0</v>
      </c>
      <c r="I3050" s="1078"/>
      <c r="J3050" s="1078">
        <f>E3050*C3050</f>
        <v>100000</v>
      </c>
      <c r="K3050" s="1078">
        <f t="shared" si="288"/>
        <v>100000</v>
      </c>
      <c r="L3050" s="1078"/>
      <c r="M3050" s="1078"/>
      <c r="N3050" s="1078"/>
      <c r="O3050" s="1079">
        <f t="shared" si="289"/>
        <v>100000</v>
      </c>
      <c r="P3050" s="1080"/>
      <c r="Q3050" s="1829"/>
      <c r="R3050" s="1829"/>
      <c r="S3050" s="1829"/>
      <c r="T3050" s="1829"/>
      <c r="U3050" s="1829"/>
      <c r="V3050" s="1829"/>
      <c r="W3050" s="1829"/>
      <c r="X3050" s="1829"/>
      <c r="Y3050" s="1829"/>
      <c r="Z3050" s="1829"/>
      <c r="AA3050" s="1829"/>
      <c r="AB3050" s="1829"/>
      <c r="AC3050" s="1829"/>
      <c r="AD3050" s="1829"/>
      <c r="AE3050" s="1829"/>
      <c r="AF3050" s="1829"/>
      <c r="AG3050" s="1829"/>
      <c r="AH3050" s="1829"/>
      <c r="AI3050" s="1829"/>
      <c r="AJ3050" s="1829"/>
      <c r="AK3050" s="1829"/>
      <c r="AL3050" s="1829"/>
      <c r="AM3050" s="1829"/>
      <c r="AN3050" s="1829"/>
      <c r="AO3050" s="1829"/>
      <c r="AP3050" s="1829"/>
      <c r="AQ3050" s="1829"/>
      <c r="AR3050" s="1829"/>
      <c r="AS3050" s="1829"/>
      <c r="AT3050" s="1829"/>
      <c r="AU3050" s="1829"/>
      <c r="AV3050" s="1829"/>
      <c r="AW3050" s="1829"/>
      <c r="AX3050" s="1829"/>
      <c r="AY3050" s="1829"/>
      <c r="AZ3050" s="1829"/>
      <c r="BA3050" s="1829"/>
      <c r="BB3050" s="1829"/>
      <c r="BC3050" s="1829"/>
      <c r="BD3050" s="1829"/>
      <c r="BE3050" s="1829"/>
      <c r="BF3050" s="1829"/>
      <c r="BG3050" s="1829"/>
      <c r="BH3050" s="1829"/>
      <c r="BI3050" s="1829"/>
      <c r="BJ3050" s="1829"/>
      <c r="BK3050" s="1829"/>
      <c r="BL3050" s="1829"/>
      <c r="BM3050" s="1829"/>
      <c r="BN3050" s="1829"/>
      <c r="BO3050" s="1829"/>
      <c r="BP3050" s="1829"/>
      <c r="BQ3050" s="1829"/>
      <c r="BR3050" s="1829"/>
      <c r="BS3050" s="1829"/>
      <c r="BT3050" s="1829"/>
      <c r="BU3050" s="1829"/>
      <c r="BV3050" s="1829"/>
      <c r="BW3050" s="1829"/>
      <c r="BX3050" s="1829"/>
      <c r="BY3050" s="1829"/>
      <c r="BZ3050" s="1829"/>
      <c r="CA3050" s="1829"/>
      <c r="CB3050" s="1829"/>
      <c r="CC3050" s="1829"/>
      <c r="CD3050" s="1829"/>
      <c r="CE3050" s="1829"/>
      <c r="CF3050" s="1829"/>
      <c r="CG3050" s="1829"/>
      <c r="CH3050" s="1829"/>
      <c r="CI3050" s="1829"/>
      <c r="CJ3050" s="1829"/>
      <c r="CK3050" s="1829"/>
    </row>
    <row r="3051" spans="1:89" s="1081" customFormat="1" ht="29.25" customHeight="1" x14ac:dyDescent="0.25">
      <c r="A3051" s="1088"/>
      <c r="B3051" s="1085" t="s">
        <v>48</v>
      </c>
      <c r="C3051" s="1089"/>
      <c r="D3051" s="1086"/>
      <c r="E3051" s="1087"/>
      <c r="F3051" s="1078"/>
      <c r="G3051" s="1078"/>
      <c r="H3051" s="1078">
        <f t="shared" si="292"/>
        <v>0</v>
      </c>
      <c r="I3051" s="1078"/>
      <c r="J3051" s="1078"/>
      <c r="K3051" s="1078"/>
      <c r="L3051" s="1078"/>
      <c r="M3051" s="1078"/>
      <c r="N3051" s="1078"/>
      <c r="O3051" s="1079"/>
      <c r="P3051" s="1080"/>
      <c r="Q3051" s="1829"/>
      <c r="R3051" s="1829"/>
      <c r="S3051" s="1829"/>
      <c r="T3051" s="1829"/>
      <c r="U3051" s="1829"/>
      <c r="V3051" s="1829"/>
      <c r="W3051" s="1829"/>
      <c r="X3051" s="1829"/>
      <c r="Y3051" s="1829"/>
      <c r="Z3051" s="1829"/>
      <c r="AA3051" s="1829"/>
      <c r="AB3051" s="1829"/>
      <c r="AC3051" s="1829"/>
      <c r="AD3051" s="1829"/>
      <c r="AE3051" s="1829"/>
      <c r="AF3051" s="1829"/>
      <c r="AG3051" s="1829"/>
      <c r="AH3051" s="1829"/>
      <c r="AI3051" s="1829"/>
      <c r="AJ3051" s="1829"/>
      <c r="AK3051" s="1829"/>
      <c r="AL3051" s="1829"/>
      <c r="AM3051" s="1829"/>
      <c r="AN3051" s="1829"/>
      <c r="AO3051" s="1829"/>
      <c r="AP3051" s="1829"/>
      <c r="AQ3051" s="1829"/>
      <c r="AR3051" s="1829"/>
      <c r="AS3051" s="1829"/>
      <c r="AT3051" s="1829"/>
      <c r="AU3051" s="1829"/>
      <c r="AV3051" s="1829"/>
      <c r="AW3051" s="1829"/>
      <c r="AX3051" s="1829"/>
      <c r="AY3051" s="1829"/>
      <c r="AZ3051" s="1829"/>
      <c r="BA3051" s="1829"/>
      <c r="BB3051" s="1829"/>
      <c r="BC3051" s="1829"/>
      <c r="BD3051" s="1829"/>
      <c r="BE3051" s="1829"/>
      <c r="BF3051" s="1829"/>
      <c r="BG3051" s="1829"/>
      <c r="BH3051" s="1829"/>
      <c r="BI3051" s="1829"/>
      <c r="BJ3051" s="1829"/>
      <c r="BK3051" s="1829"/>
      <c r="BL3051" s="1829"/>
      <c r="BM3051" s="1829"/>
      <c r="BN3051" s="1829"/>
      <c r="BO3051" s="1829"/>
      <c r="BP3051" s="1829"/>
      <c r="BQ3051" s="1829"/>
      <c r="BR3051" s="1829"/>
      <c r="BS3051" s="1829"/>
      <c r="BT3051" s="1829"/>
      <c r="BU3051" s="1829"/>
      <c r="BV3051" s="1829"/>
      <c r="BW3051" s="1829"/>
      <c r="BX3051" s="1829"/>
      <c r="BY3051" s="1829"/>
      <c r="BZ3051" s="1829"/>
      <c r="CA3051" s="1829"/>
      <c r="CB3051" s="1829"/>
      <c r="CC3051" s="1829"/>
      <c r="CD3051" s="1829"/>
      <c r="CE3051" s="1829"/>
      <c r="CF3051" s="1829"/>
      <c r="CG3051" s="1829"/>
      <c r="CH3051" s="1829"/>
      <c r="CI3051" s="1829"/>
      <c r="CJ3051" s="1829"/>
      <c r="CK3051" s="1829"/>
    </row>
    <row r="3052" spans="1:89" s="1081" customFormat="1" ht="29.25" customHeight="1" x14ac:dyDescent="0.25">
      <c r="A3052" s="1088"/>
      <c r="B3052" s="1085" t="s">
        <v>54</v>
      </c>
      <c r="C3052" s="1089">
        <v>50</v>
      </c>
      <c r="D3052" s="1086" t="s">
        <v>55</v>
      </c>
      <c r="E3052" s="1087">
        <v>400</v>
      </c>
      <c r="F3052" s="1078"/>
      <c r="G3052" s="1078"/>
      <c r="H3052" s="1078">
        <f t="shared" si="292"/>
        <v>0</v>
      </c>
      <c r="I3052" s="1078"/>
      <c r="J3052" s="1078">
        <f>E3052*C3052</f>
        <v>20000</v>
      </c>
      <c r="K3052" s="1078">
        <f t="shared" si="288"/>
        <v>20000</v>
      </c>
      <c r="L3052" s="1078"/>
      <c r="M3052" s="1078"/>
      <c r="N3052" s="1078"/>
      <c r="O3052" s="1079">
        <f t="shared" si="289"/>
        <v>20000</v>
      </c>
      <c r="P3052" s="1080"/>
      <c r="Q3052" s="1829"/>
      <c r="R3052" s="1829"/>
      <c r="S3052" s="1829"/>
      <c r="T3052" s="1829"/>
      <c r="U3052" s="1829"/>
      <c r="V3052" s="1829"/>
      <c r="W3052" s="1829"/>
      <c r="X3052" s="1829"/>
      <c r="Y3052" s="1829"/>
      <c r="Z3052" s="1829"/>
      <c r="AA3052" s="1829"/>
      <c r="AB3052" s="1829"/>
      <c r="AC3052" s="1829"/>
      <c r="AD3052" s="1829"/>
      <c r="AE3052" s="1829"/>
      <c r="AF3052" s="1829"/>
      <c r="AG3052" s="1829"/>
      <c r="AH3052" s="1829"/>
      <c r="AI3052" s="1829"/>
      <c r="AJ3052" s="1829"/>
      <c r="AK3052" s="1829"/>
      <c r="AL3052" s="1829"/>
      <c r="AM3052" s="1829"/>
      <c r="AN3052" s="1829"/>
      <c r="AO3052" s="1829"/>
      <c r="AP3052" s="1829"/>
      <c r="AQ3052" s="1829"/>
      <c r="AR3052" s="1829"/>
      <c r="AS3052" s="1829"/>
      <c r="AT3052" s="1829"/>
      <c r="AU3052" s="1829"/>
      <c r="AV3052" s="1829"/>
      <c r="AW3052" s="1829"/>
      <c r="AX3052" s="1829"/>
      <c r="AY3052" s="1829"/>
      <c r="AZ3052" s="1829"/>
      <c r="BA3052" s="1829"/>
      <c r="BB3052" s="1829"/>
      <c r="BC3052" s="1829"/>
      <c r="BD3052" s="1829"/>
      <c r="BE3052" s="1829"/>
      <c r="BF3052" s="1829"/>
      <c r="BG3052" s="1829"/>
      <c r="BH3052" s="1829"/>
      <c r="BI3052" s="1829"/>
      <c r="BJ3052" s="1829"/>
      <c r="BK3052" s="1829"/>
      <c r="BL3052" s="1829"/>
      <c r="BM3052" s="1829"/>
      <c r="BN3052" s="1829"/>
      <c r="BO3052" s="1829"/>
      <c r="BP3052" s="1829"/>
      <c r="BQ3052" s="1829"/>
      <c r="BR3052" s="1829"/>
      <c r="BS3052" s="1829"/>
      <c r="BT3052" s="1829"/>
      <c r="BU3052" s="1829"/>
      <c r="BV3052" s="1829"/>
      <c r="BW3052" s="1829"/>
      <c r="BX3052" s="1829"/>
      <c r="BY3052" s="1829"/>
      <c r="BZ3052" s="1829"/>
      <c r="CA3052" s="1829"/>
      <c r="CB3052" s="1829"/>
      <c r="CC3052" s="1829"/>
      <c r="CD3052" s="1829"/>
      <c r="CE3052" s="1829"/>
      <c r="CF3052" s="1829"/>
      <c r="CG3052" s="1829"/>
      <c r="CH3052" s="1829"/>
      <c r="CI3052" s="1829"/>
      <c r="CJ3052" s="1829"/>
      <c r="CK3052" s="1829"/>
    </row>
    <row r="3053" spans="1:89" s="1081" customFormat="1" ht="29.25" customHeight="1" x14ac:dyDescent="0.25">
      <c r="A3053" s="1088"/>
      <c r="B3053" s="1085" t="s">
        <v>52</v>
      </c>
      <c r="C3053" s="1089">
        <v>25</v>
      </c>
      <c r="D3053" s="1086" t="s">
        <v>55</v>
      </c>
      <c r="E3053" s="1087">
        <v>400</v>
      </c>
      <c r="F3053" s="1078"/>
      <c r="G3053" s="1078"/>
      <c r="H3053" s="1078">
        <f t="shared" si="292"/>
        <v>0</v>
      </c>
      <c r="I3053" s="1078"/>
      <c r="J3053" s="1078">
        <f>E3053*C3053</f>
        <v>10000</v>
      </c>
      <c r="K3053" s="1078">
        <f t="shared" si="288"/>
        <v>10000</v>
      </c>
      <c r="L3053" s="1078"/>
      <c r="M3053" s="1078"/>
      <c r="N3053" s="1078"/>
      <c r="O3053" s="1079">
        <f t="shared" si="289"/>
        <v>10000</v>
      </c>
      <c r="P3053" s="1080"/>
      <c r="Q3053" s="1829"/>
      <c r="R3053" s="1829"/>
      <c r="S3053" s="1829"/>
      <c r="T3053" s="1829"/>
      <c r="U3053" s="1829"/>
      <c r="V3053" s="1829"/>
      <c r="W3053" s="1829"/>
      <c r="X3053" s="1829"/>
      <c r="Y3053" s="1829"/>
      <c r="Z3053" s="1829"/>
      <c r="AA3053" s="1829"/>
      <c r="AB3053" s="1829"/>
      <c r="AC3053" s="1829"/>
      <c r="AD3053" s="1829"/>
      <c r="AE3053" s="1829"/>
      <c r="AF3053" s="1829"/>
      <c r="AG3053" s="1829"/>
      <c r="AH3053" s="1829"/>
      <c r="AI3053" s="1829"/>
      <c r="AJ3053" s="1829"/>
      <c r="AK3053" s="1829"/>
      <c r="AL3053" s="1829"/>
      <c r="AM3053" s="1829"/>
      <c r="AN3053" s="1829"/>
      <c r="AO3053" s="1829"/>
      <c r="AP3053" s="1829"/>
      <c r="AQ3053" s="1829"/>
      <c r="AR3053" s="1829"/>
      <c r="AS3053" s="1829"/>
      <c r="AT3053" s="1829"/>
      <c r="AU3053" s="1829"/>
      <c r="AV3053" s="1829"/>
      <c r="AW3053" s="1829"/>
      <c r="AX3053" s="1829"/>
      <c r="AY3053" s="1829"/>
      <c r="AZ3053" s="1829"/>
      <c r="BA3053" s="1829"/>
      <c r="BB3053" s="1829"/>
      <c r="BC3053" s="1829"/>
      <c r="BD3053" s="1829"/>
      <c r="BE3053" s="1829"/>
      <c r="BF3053" s="1829"/>
      <c r="BG3053" s="1829"/>
      <c r="BH3053" s="1829"/>
      <c r="BI3053" s="1829"/>
      <c r="BJ3053" s="1829"/>
      <c r="BK3053" s="1829"/>
      <c r="BL3053" s="1829"/>
      <c r="BM3053" s="1829"/>
      <c r="BN3053" s="1829"/>
      <c r="BO3053" s="1829"/>
      <c r="BP3053" s="1829"/>
      <c r="BQ3053" s="1829"/>
      <c r="BR3053" s="1829"/>
      <c r="BS3053" s="1829"/>
      <c r="BT3053" s="1829"/>
      <c r="BU3053" s="1829"/>
      <c r="BV3053" s="1829"/>
      <c r="BW3053" s="1829"/>
      <c r="BX3053" s="1829"/>
      <c r="BY3053" s="1829"/>
      <c r="BZ3053" s="1829"/>
      <c r="CA3053" s="1829"/>
      <c r="CB3053" s="1829"/>
      <c r="CC3053" s="1829"/>
      <c r="CD3053" s="1829"/>
      <c r="CE3053" s="1829"/>
      <c r="CF3053" s="1829"/>
      <c r="CG3053" s="1829"/>
      <c r="CH3053" s="1829"/>
      <c r="CI3053" s="1829"/>
      <c r="CJ3053" s="1829"/>
      <c r="CK3053" s="1829"/>
    </row>
    <row r="3054" spans="1:89" s="1081" customFormat="1" ht="29.25" customHeight="1" x14ac:dyDescent="0.25">
      <c r="A3054" s="1088"/>
      <c r="B3054" s="1085" t="s">
        <v>50</v>
      </c>
      <c r="C3054" s="1089">
        <v>25</v>
      </c>
      <c r="D3054" s="1086" t="s">
        <v>51</v>
      </c>
      <c r="E3054" s="1087">
        <v>2300</v>
      </c>
      <c r="F3054" s="1078"/>
      <c r="G3054" s="1078"/>
      <c r="H3054" s="1078">
        <f t="shared" si="292"/>
        <v>0</v>
      </c>
      <c r="I3054" s="1078"/>
      <c r="J3054" s="1078">
        <f>E3054*C3054</f>
        <v>57500</v>
      </c>
      <c r="K3054" s="1078">
        <f t="shared" si="288"/>
        <v>57500</v>
      </c>
      <c r="L3054" s="1078"/>
      <c r="M3054" s="1078"/>
      <c r="N3054" s="1078"/>
      <c r="O3054" s="1079">
        <f t="shared" si="289"/>
        <v>57500</v>
      </c>
      <c r="P3054" s="1080"/>
      <c r="Q3054" s="1829"/>
      <c r="R3054" s="1829"/>
      <c r="S3054" s="1829"/>
      <c r="T3054" s="1829"/>
      <c r="U3054" s="1829"/>
      <c r="V3054" s="1829"/>
      <c r="W3054" s="1829"/>
      <c r="X3054" s="1829"/>
      <c r="Y3054" s="1829"/>
      <c r="Z3054" s="1829"/>
      <c r="AA3054" s="1829"/>
      <c r="AB3054" s="1829"/>
      <c r="AC3054" s="1829"/>
      <c r="AD3054" s="1829"/>
      <c r="AE3054" s="1829"/>
      <c r="AF3054" s="1829"/>
      <c r="AG3054" s="1829"/>
      <c r="AH3054" s="1829"/>
      <c r="AI3054" s="1829"/>
      <c r="AJ3054" s="1829"/>
      <c r="AK3054" s="1829"/>
      <c r="AL3054" s="1829"/>
      <c r="AM3054" s="1829"/>
      <c r="AN3054" s="1829"/>
      <c r="AO3054" s="1829"/>
      <c r="AP3054" s="1829"/>
      <c r="AQ3054" s="1829"/>
      <c r="AR3054" s="1829"/>
      <c r="AS3054" s="1829"/>
      <c r="AT3054" s="1829"/>
      <c r="AU3054" s="1829"/>
      <c r="AV3054" s="1829"/>
      <c r="AW3054" s="1829"/>
      <c r="AX3054" s="1829"/>
      <c r="AY3054" s="1829"/>
      <c r="AZ3054" s="1829"/>
      <c r="BA3054" s="1829"/>
      <c r="BB3054" s="1829"/>
      <c r="BC3054" s="1829"/>
      <c r="BD3054" s="1829"/>
      <c r="BE3054" s="1829"/>
      <c r="BF3054" s="1829"/>
      <c r="BG3054" s="1829"/>
      <c r="BH3054" s="1829"/>
      <c r="BI3054" s="1829"/>
      <c r="BJ3054" s="1829"/>
      <c r="BK3054" s="1829"/>
      <c r="BL3054" s="1829"/>
      <c r="BM3054" s="1829"/>
      <c r="BN3054" s="1829"/>
      <c r="BO3054" s="1829"/>
      <c r="BP3054" s="1829"/>
      <c r="BQ3054" s="1829"/>
      <c r="BR3054" s="1829"/>
      <c r="BS3054" s="1829"/>
      <c r="BT3054" s="1829"/>
      <c r="BU3054" s="1829"/>
      <c r="BV3054" s="1829"/>
      <c r="BW3054" s="1829"/>
      <c r="BX3054" s="1829"/>
      <c r="BY3054" s="1829"/>
      <c r="BZ3054" s="1829"/>
      <c r="CA3054" s="1829"/>
      <c r="CB3054" s="1829"/>
      <c r="CC3054" s="1829"/>
      <c r="CD3054" s="1829"/>
      <c r="CE3054" s="1829"/>
      <c r="CF3054" s="1829"/>
      <c r="CG3054" s="1829"/>
      <c r="CH3054" s="1829"/>
      <c r="CI3054" s="1829"/>
      <c r="CJ3054" s="1829"/>
      <c r="CK3054" s="1829"/>
    </row>
    <row r="3055" spans="1:89" s="1081" customFormat="1" ht="29.25" customHeight="1" x14ac:dyDescent="0.25">
      <c r="A3055" s="1088"/>
      <c r="B3055" s="1085" t="s">
        <v>1644</v>
      </c>
      <c r="C3055" s="1089">
        <v>25</v>
      </c>
      <c r="D3055" s="1086" t="s">
        <v>207</v>
      </c>
      <c r="E3055" s="1087">
        <v>500</v>
      </c>
      <c r="F3055" s="1078"/>
      <c r="G3055" s="1078"/>
      <c r="H3055" s="1078">
        <f t="shared" si="292"/>
        <v>0</v>
      </c>
      <c r="I3055" s="1078"/>
      <c r="J3055" s="1078">
        <f>E3055*C3055</f>
        <v>12500</v>
      </c>
      <c r="K3055" s="1078">
        <f t="shared" si="288"/>
        <v>12500</v>
      </c>
      <c r="L3055" s="1078"/>
      <c r="M3055" s="1078"/>
      <c r="N3055" s="1078"/>
      <c r="O3055" s="1079">
        <f t="shared" si="289"/>
        <v>12500</v>
      </c>
      <c r="P3055" s="1080"/>
      <c r="Q3055" s="1829"/>
      <c r="R3055" s="1829"/>
      <c r="S3055" s="1829"/>
      <c r="T3055" s="1829"/>
      <c r="U3055" s="1829"/>
      <c r="V3055" s="1829"/>
      <c r="W3055" s="1829"/>
      <c r="X3055" s="1829"/>
      <c r="Y3055" s="1829"/>
      <c r="Z3055" s="1829"/>
      <c r="AA3055" s="1829"/>
      <c r="AB3055" s="1829"/>
      <c r="AC3055" s="1829"/>
      <c r="AD3055" s="1829"/>
      <c r="AE3055" s="1829"/>
      <c r="AF3055" s="1829"/>
      <c r="AG3055" s="1829"/>
      <c r="AH3055" s="1829"/>
      <c r="AI3055" s="1829"/>
      <c r="AJ3055" s="1829"/>
      <c r="AK3055" s="1829"/>
      <c r="AL3055" s="1829"/>
      <c r="AM3055" s="1829"/>
      <c r="AN3055" s="1829"/>
      <c r="AO3055" s="1829"/>
      <c r="AP3055" s="1829"/>
      <c r="AQ3055" s="1829"/>
      <c r="AR3055" s="1829"/>
      <c r="AS3055" s="1829"/>
      <c r="AT3055" s="1829"/>
      <c r="AU3055" s="1829"/>
      <c r="AV3055" s="1829"/>
      <c r="AW3055" s="1829"/>
      <c r="AX3055" s="1829"/>
      <c r="AY3055" s="1829"/>
      <c r="AZ3055" s="1829"/>
      <c r="BA3055" s="1829"/>
      <c r="BB3055" s="1829"/>
      <c r="BC3055" s="1829"/>
      <c r="BD3055" s="1829"/>
      <c r="BE3055" s="1829"/>
      <c r="BF3055" s="1829"/>
      <c r="BG3055" s="1829"/>
      <c r="BH3055" s="1829"/>
      <c r="BI3055" s="1829"/>
      <c r="BJ3055" s="1829"/>
      <c r="BK3055" s="1829"/>
      <c r="BL3055" s="1829"/>
      <c r="BM3055" s="1829"/>
      <c r="BN3055" s="1829"/>
      <c r="BO3055" s="1829"/>
      <c r="BP3055" s="1829"/>
      <c r="BQ3055" s="1829"/>
      <c r="BR3055" s="1829"/>
      <c r="BS3055" s="1829"/>
      <c r="BT3055" s="1829"/>
      <c r="BU3055" s="1829"/>
      <c r="BV3055" s="1829"/>
      <c r="BW3055" s="1829"/>
      <c r="BX3055" s="1829"/>
      <c r="BY3055" s="1829"/>
      <c r="BZ3055" s="1829"/>
      <c r="CA3055" s="1829"/>
      <c r="CB3055" s="1829"/>
      <c r="CC3055" s="1829"/>
      <c r="CD3055" s="1829"/>
      <c r="CE3055" s="1829"/>
      <c r="CF3055" s="1829"/>
      <c r="CG3055" s="1829"/>
      <c r="CH3055" s="1829"/>
      <c r="CI3055" s="1829"/>
      <c r="CJ3055" s="1829"/>
      <c r="CK3055" s="1829"/>
    </row>
    <row r="3056" spans="1:89" s="672" customFormat="1" ht="29.25" customHeight="1" thickBot="1" x14ac:dyDescent="0.3">
      <c r="A3056" s="946"/>
      <c r="B3056" s="947"/>
      <c r="C3056" s="1770"/>
      <c r="D3056" s="1771"/>
      <c r="E3056" s="948"/>
      <c r="F3056" s="948"/>
      <c r="G3056" s="948"/>
      <c r="H3056" s="948"/>
      <c r="I3056" s="948"/>
      <c r="J3056" s="948"/>
      <c r="K3056" s="948"/>
      <c r="L3056" s="948"/>
      <c r="M3056" s="948"/>
      <c r="N3056" s="948"/>
      <c r="O3056" s="1772"/>
      <c r="P3056" s="948"/>
      <c r="Q3056" s="1581"/>
      <c r="R3056" s="1581"/>
      <c r="S3056" s="1581"/>
      <c r="T3056" s="1581"/>
      <c r="U3056" s="1581"/>
      <c r="V3056" s="1581"/>
      <c r="W3056" s="1581"/>
      <c r="X3056" s="1581"/>
      <c r="Y3056" s="1581"/>
      <c r="Z3056" s="1581"/>
      <c r="AA3056" s="1581"/>
      <c r="AB3056" s="1581"/>
      <c r="AC3056" s="1581"/>
      <c r="AD3056" s="1581"/>
      <c r="AE3056" s="1581"/>
      <c r="AF3056" s="1581"/>
      <c r="AG3056" s="1581"/>
      <c r="AH3056" s="1581"/>
      <c r="AI3056" s="1581"/>
      <c r="AJ3056" s="1581"/>
      <c r="AK3056" s="1581"/>
      <c r="AL3056" s="1581"/>
      <c r="AM3056" s="1581"/>
      <c r="AN3056" s="1581"/>
      <c r="AO3056" s="1581"/>
      <c r="AP3056" s="1581"/>
      <c r="AQ3056" s="1581"/>
      <c r="AR3056" s="1581"/>
      <c r="AS3056" s="1581"/>
      <c r="AT3056" s="1581"/>
      <c r="AU3056" s="1581"/>
      <c r="AV3056" s="1581"/>
      <c r="AW3056" s="1581"/>
      <c r="AX3056" s="1581"/>
      <c r="AY3056" s="1581"/>
      <c r="AZ3056" s="1581"/>
      <c r="BA3056" s="1581"/>
      <c r="BB3056" s="1581"/>
      <c r="BC3056" s="1581"/>
      <c r="BD3056" s="1581"/>
      <c r="BE3056" s="1581"/>
      <c r="BF3056" s="1581"/>
      <c r="BG3056" s="1581"/>
      <c r="BH3056" s="1581"/>
      <c r="BI3056" s="1581"/>
      <c r="BJ3056" s="1581"/>
      <c r="BK3056" s="1581"/>
      <c r="BL3056" s="1581"/>
      <c r="BM3056" s="1581"/>
      <c r="BN3056" s="1581"/>
      <c r="BO3056" s="1581"/>
      <c r="BP3056" s="1581"/>
      <c r="BQ3056" s="1581"/>
      <c r="BR3056" s="1581"/>
      <c r="BS3056" s="1581"/>
      <c r="BT3056" s="1581"/>
      <c r="BU3056" s="1581"/>
      <c r="BV3056" s="1581"/>
      <c r="BW3056" s="1581"/>
      <c r="BX3056" s="1581"/>
      <c r="BY3056" s="1581"/>
      <c r="BZ3056" s="1581"/>
      <c r="CA3056" s="1581"/>
      <c r="CB3056" s="1581"/>
      <c r="CC3056" s="1581"/>
      <c r="CD3056" s="1581"/>
      <c r="CE3056" s="1581"/>
      <c r="CF3056" s="1581"/>
      <c r="CG3056" s="1581"/>
      <c r="CH3056" s="1581"/>
      <c r="CI3056" s="1581"/>
      <c r="CJ3056" s="1581"/>
      <c r="CK3056" s="1581"/>
    </row>
    <row r="3057" spans="1:89" ht="29.25" customHeight="1" x14ac:dyDescent="0.25">
      <c r="A3057" s="1719">
        <v>39</v>
      </c>
      <c r="B3057" s="1720" t="s">
        <v>219</v>
      </c>
      <c r="C3057" s="1721"/>
      <c r="D3057" s="1722"/>
      <c r="E3057" s="1723"/>
      <c r="F3057" s="1724">
        <f>SUM(F3059:F3165)</f>
        <v>0</v>
      </c>
      <c r="G3057" s="1724">
        <f>SUM(G3059:G3165)</f>
        <v>588600</v>
      </c>
      <c r="H3057" s="1724">
        <f>G3057+F3057</f>
        <v>588600</v>
      </c>
      <c r="I3057" s="1724">
        <f>SUM(I3059:I3165)</f>
        <v>0</v>
      </c>
      <c r="J3057" s="1724">
        <f>SUM(J3059:J3165)</f>
        <v>20813316</v>
      </c>
      <c r="K3057" s="1724">
        <f>J3057+I3057</f>
        <v>20813316</v>
      </c>
      <c r="L3057" s="1724">
        <f>SUM(L3059:L3165)</f>
        <v>1516815000</v>
      </c>
      <c r="M3057" s="1724">
        <f>SUM(M3059:M3165)</f>
        <v>0</v>
      </c>
      <c r="N3057" s="1724">
        <f>M3057+L3057</f>
        <v>1516815000</v>
      </c>
      <c r="O3057" s="1725">
        <f>N3057+K3057+H3057</f>
        <v>1538216916</v>
      </c>
      <c r="P3057" s="776"/>
    </row>
    <row r="3058" spans="1:89" ht="29.25" customHeight="1" x14ac:dyDescent="0.25">
      <c r="A3058" s="949"/>
      <c r="B3058" s="950"/>
      <c r="C3058" s="951"/>
      <c r="D3058" s="952"/>
      <c r="E3058" s="953"/>
      <c r="F3058" s="684"/>
      <c r="G3058" s="684"/>
      <c r="H3058" s="684"/>
      <c r="I3058" s="684"/>
      <c r="J3058" s="684"/>
      <c r="K3058" s="684"/>
      <c r="L3058" s="684"/>
      <c r="M3058" s="684"/>
      <c r="N3058" s="684"/>
      <c r="O3058" s="867"/>
      <c r="P3058" s="754"/>
    </row>
    <row r="3059" spans="1:89" s="1134" customFormat="1" ht="30" customHeight="1" x14ac:dyDescent="0.25">
      <c r="A3059" s="1726"/>
      <c r="B3059" s="1127" t="s">
        <v>2177</v>
      </c>
      <c r="C3059" s="1128">
        <v>1</v>
      </c>
      <c r="D3059" s="1129"/>
      <c r="E3059" s="1130"/>
      <c r="F3059" s="1131"/>
      <c r="G3059" s="1132"/>
      <c r="H3059" s="1131"/>
      <c r="I3059" s="1131"/>
      <c r="J3059" s="1131"/>
      <c r="K3059" s="1131"/>
      <c r="L3059" s="1132"/>
      <c r="M3059" s="1131"/>
      <c r="N3059" s="1133"/>
      <c r="O3059" s="1727"/>
      <c r="P3059" s="1816"/>
      <c r="Q3059" s="1833"/>
      <c r="R3059" s="1833"/>
      <c r="S3059" s="1833"/>
      <c r="T3059" s="1833"/>
      <c r="U3059" s="1833"/>
      <c r="V3059" s="1833"/>
      <c r="W3059" s="1833"/>
      <c r="X3059" s="1833"/>
      <c r="Y3059" s="1833"/>
      <c r="Z3059" s="1833"/>
      <c r="AA3059" s="1833"/>
      <c r="AB3059" s="1833"/>
      <c r="AC3059" s="1833"/>
      <c r="AD3059" s="1833"/>
      <c r="AE3059" s="1833"/>
      <c r="AF3059" s="1833"/>
      <c r="AG3059" s="1833"/>
      <c r="AH3059" s="1833"/>
      <c r="AI3059" s="1833"/>
      <c r="AJ3059" s="1833"/>
      <c r="AK3059" s="1833"/>
      <c r="AL3059" s="1833"/>
      <c r="AM3059" s="1833"/>
      <c r="AN3059" s="1833"/>
      <c r="AO3059" s="1833"/>
      <c r="AP3059" s="1833"/>
      <c r="AQ3059" s="1833"/>
      <c r="AR3059" s="1833"/>
      <c r="AS3059" s="1833"/>
      <c r="AT3059" s="1833"/>
      <c r="AU3059" s="1833"/>
      <c r="AV3059" s="1833"/>
      <c r="AW3059" s="1833"/>
      <c r="AX3059" s="1833"/>
      <c r="AY3059" s="1833"/>
      <c r="AZ3059" s="1833"/>
      <c r="BA3059" s="1833"/>
      <c r="BB3059" s="1833"/>
      <c r="BC3059" s="1833"/>
      <c r="BD3059" s="1833"/>
      <c r="BE3059" s="1833"/>
      <c r="BF3059" s="1833"/>
      <c r="BG3059" s="1833"/>
      <c r="BH3059" s="1833"/>
      <c r="BI3059" s="1833"/>
      <c r="BJ3059" s="1833"/>
      <c r="BK3059" s="1833"/>
      <c r="BL3059" s="1833"/>
      <c r="BM3059" s="1833"/>
      <c r="BN3059" s="1833"/>
      <c r="BO3059" s="1833"/>
      <c r="BP3059" s="1833"/>
      <c r="BQ3059" s="1833"/>
      <c r="BR3059" s="1833"/>
      <c r="BS3059" s="1833"/>
      <c r="BT3059" s="1833"/>
      <c r="BU3059" s="1833"/>
      <c r="BV3059" s="1833"/>
      <c r="BW3059" s="1833"/>
      <c r="BX3059" s="1833"/>
      <c r="BY3059" s="1833"/>
      <c r="BZ3059" s="1833"/>
      <c r="CA3059" s="1833"/>
      <c r="CB3059" s="1833"/>
      <c r="CC3059" s="1833"/>
      <c r="CD3059" s="1833"/>
      <c r="CE3059" s="1833"/>
      <c r="CF3059" s="1833"/>
      <c r="CG3059" s="1833"/>
      <c r="CH3059" s="1833"/>
      <c r="CI3059" s="1833"/>
      <c r="CJ3059" s="1833"/>
      <c r="CK3059" s="1833"/>
    </row>
    <row r="3060" spans="1:89" s="1134" customFormat="1" ht="30" customHeight="1" x14ac:dyDescent="0.25">
      <c r="A3060" s="1726">
        <v>1</v>
      </c>
      <c r="B3060" s="1127" t="s">
        <v>315</v>
      </c>
      <c r="C3060" s="1128">
        <v>1</v>
      </c>
      <c r="D3060" s="1129" t="s">
        <v>47</v>
      </c>
      <c r="E3060" s="1130">
        <v>288600</v>
      </c>
      <c r="F3060" s="1131">
        <v>0</v>
      </c>
      <c r="G3060" s="1132">
        <f>E3060*C3060</f>
        <v>288600</v>
      </c>
      <c r="H3060" s="1131">
        <f>F3060+G3060</f>
        <v>288600</v>
      </c>
      <c r="I3060" s="1131">
        <v>0</v>
      </c>
      <c r="J3060" s="1131">
        <v>0</v>
      </c>
      <c r="K3060" s="1131">
        <v>0</v>
      </c>
      <c r="L3060" s="1131">
        <v>0</v>
      </c>
      <c r="M3060" s="1131">
        <v>0</v>
      </c>
      <c r="N3060" s="1133">
        <v>0</v>
      </c>
      <c r="O3060" s="1727">
        <f t="shared" ref="O3060:O3069" si="293">N3060+K3060+H3060</f>
        <v>288600</v>
      </c>
      <c r="P3060" s="1816"/>
      <c r="Q3060" s="1833"/>
      <c r="R3060" s="1833"/>
      <c r="S3060" s="1833"/>
      <c r="T3060" s="1833"/>
      <c r="U3060" s="1833"/>
      <c r="V3060" s="1833"/>
      <c r="W3060" s="1833"/>
      <c r="X3060" s="1833"/>
      <c r="Y3060" s="1833"/>
      <c r="Z3060" s="1833"/>
      <c r="AA3060" s="1833"/>
      <c r="AB3060" s="1833"/>
      <c r="AC3060" s="1833"/>
      <c r="AD3060" s="1833"/>
      <c r="AE3060" s="1833"/>
      <c r="AF3060" s="1833"/>
      <c r="AG3060" s="1833"/>
      <c r="AH3060" s="1833"/>
      <c r="AI3060" s="1833"/>
      <c r="AJ3060" s="1833"/>
      <c r="AK3060" s="1833"/>
      <c r="AL3060" s="1833"/>
      <c r="AM3060" s="1833"/>
      <c r="AN3060" s="1833"/>
      <c r="AO3060" s="1833"/>
      <c r="AP3060" s="1833"/>
      <c r="AQ3060" s="1833"/>
      <c r="AR3060" s="1833"/>
      <c r="AS3060" s="1833"/>
      <c r="AT3060" s="1833"/>
      <c r="AU3060" s="1833"/>
      <c r="AV3060" s="1833"/>
      <c r="AW3060" s="1833"/>
      <c r="AX3060" s="1833"/>
      <c r="AY3060" s="1833"/>
      <c r="AZ3060" s="1833"/>
      <c r="BA3060" s="1833"/>
      <c r="BB3060" s="1833"/>
      <c r="BC3060" s="1833"/>
      <c r="BD3060" s="1833"/>
      <c r="BE3060" s="1833"/>
      <c r="BF3060" s="1833"/>
      <c r="BG3060" s="1833"/>
      <c r="BH3060" s="1833"/>
      <c r="BI3060" s="1833"/>
      <c r="BJ3060" s="1833"/>
      <c r="BK3060" s="1833"/>
      <c r="BL3060" s="1833"/>
      <c r="BM3060" s="1833"/>
      <c r="BN3060" s="1833"/>
      <c r="BO3060" s="1833"/>
      <c r="BP3060" s="1833"/>
      <c r="BQ3060" s="1833"/>
      <c r="BR3060" s="1833"/>
      <c r="BS3060" s="1833"/>
      <c r="BT3060" s="1833"/>
      <c r="BU3060" s="1833"/>
      <c r="BV3060" s="1833"/>
      <c r="BW3060" s="1833"/>
      <c r="BX3060" s="1833"/>
      <c r="BY3060" s="1833"/>
      <c r="BZ3060" s="1833"/>
      <c r="CA3060" s="1833"/>
      <c r="CB3060" s="1833"/>
      <c r="CC3060" s="1833"/>
      <c r="CD3060" s="1833"/>
      <c r="CE3060" s="1833"/>
      <c r="CF3060" s="1833"/>
      <c r="CG3060" s="1833"/>
      <c r="CH3060" s="1833"/>
      <c r="CI3060" s="1833"/>
      <c r="CJ3060" s="1833"/>
      <c r="CK3060" s="1833"/>
    </row>
    <row r="3061" spans="1:89" s="1134" customFormat="1" ht="30" customHeight="1" x14ac:dyDescent="0.25">
      <c r="A3061" s="1726">
        <f t="shared" ref="A3061:A3066" si="294">A3060+1</f>
        <v>2</v>
      </c>
      <c r="B3061" s="1127" t="s">
        <v>21</v>
      </c>
      <c r="C3061" s="1128">
        <v>1</v>
      </c>
      <c r="D3061" s="1129" t="s">
        <v>47</v>
      </c>
      <c r="E3061" s="1130">
        <v>142000</v>
      </c>
      <c r="F3061" s="1131">
        <v>0</v>
      </c>
      <c r="G3061" s="1131">
        <v>0</v>
      </c>
      <c r="H3061" s="1131">
        <v>0</v>
      </c>
      <c r="I3061" s="1131">
        <v>0</v>
      </c>
      <c r="J3061" s="1132">
        <f>C3061*E3061</f>
        <v>142000</v>
      </c>
      <c r="K3061" s="1131">
        <f>I3061+J3061</f>
        <v>142000</v>
      </c>
      <c r="L3061" s="1131">
        <v>0</v>
      </c>
      <c r="M3061" s="1131">
        <v>0</v>
      </c>
      <c r="N3061" s="1133">
        <v>0</v>
      </c>
      <c r="O3061" s="1727">
        <f t="shared" si="293"/>
        <v>142000</v>
      </c>
      <c r="P3061" s="1816"/>
      <c r="Q3061" s="1833"/>
      <c r="R3061" s="1833"/>
      <c r="S3061" s="1833"/>
      <c r="T3061" s="1833"/>
      <c r="U3061" s="1833"/>
      <c r="V3061" s="1833"/>
      <c r="W3061" s="1833"/>
      <c r="X3061" s="1833"/>
      <c r="Y3061" s="1833"/>
      <c r="Z3061" s="1833"/>
      <c r="AA3061" s="1833"/>
      <c r="AB3061" s="1833"/>
      <c r="AC3061" s="1833"/>
      <c r="AD3061" s="1833"/>
      <c r="AE3061" s="1833"/>
      <c r="AF3061" s="1833"/>
      <c r="AG3061" s="1833"/>
      <c r="AH3061" s="1833"/>
      <c r="AI3061" s="1833"/>
      <c r="AJ3061" s="1833"/>
      <c r="AK3061" s="1833"/>
      <c r="AL3061" s="1833"/>
      <c r="AM3061" s="1833"/>
      <c r="AN3061" s="1833"/>
      <c r="AO3061" s="1833"/>
      <c r="AP3061" s="1833"/>
      <c r="AQ3061" s="1833"/>
      <c r="AR3061" s="1833"/>
      <c r="AS3061" s="1833"/>
      <c r="AT3061" s="1833"/>
      <c r="AU3061" s="1833"/>
      <c r="AV3061" s="1833"/>
      <c r="AW3061" s="1833"/>
      <c r="AX3061" s="1833"/>
      <c r="AY3061" s="1833"/>
      <c r="AZ3061" s="1833"/>
      <c r="BA3061" s="1833"/>
      <c r="BB3061" s="1833"/>
      <c r="BC3061" s="1833"/>
      <c r="BD3061" s="1833"/>
      <c r="BE3061" s="1833"/>
      <c r="BF3061" s="1833"/>
      <c r="BG3061" s="1833"/>
      <c r="BH3061" s="1833"/>
      <c r="BI3061" s="1833"/>
      <c r="BJ3061" s="1833"/>
      <c r="BK3061" s="1833"/>
      <c r="BL3061" s="1833"/>
      <c r="BM3061" s="1833"/>
      <c r="BN3061" s="1833"/>
      <c r="BO3061" s="1833"/>
      <c r="BP3061" s="1833"/>
      <c r="BQ3061" s="1833"/>
      <c r="BR3061" s="1833"/>
      <c r="BS3061" s="1833"/>
      <c r="BT3061" s="1833"/>
      <c r="BU3061" s="1833"/>
      <c r="BV3061" s="1833"/>
      <c r="BW3061" s="1833"/>
      <c r="BX3061" s="1833"/>
      <c r="BY3061" s="1833"/>
      <c r="BZ3061" s="1833"/>
      <c r="CA3061" s="1833"/>
      <c r="CB3061" s="1833"/>
      <c r="CC3061" s="1833"/>
      <c r="CD3061" s="1833"/>
      <c r="CE3061" s="1833"/>
      <c r="CF3061" s="1833"/>
      <c r="CG3061" s="1833"/>
      <c r="CH3061" s="1833"/>
      <c r="CI3061" s="1833"/>
      <c r="CJ3061" s="1833"/>
      <c r="CK3061" s="1833"/>
    </row>
    <row r="3062" spans="1:89" s="1134" customFormat="1" ht="30" customHeight="1" x14ac:dyDescent="0.25">
      <c r="A3062" s="1726">
        <f t="shared" si="294"/>
        <v>3</v>
      </c>
      <c r="B3062" s="1127" t="s">
        <v>206</v>
      </c>
      <c r="C3062" s="1128">
        <v>1</v>
      </c>
      <c r="D3062" s="1129" t="s">
        <v>47</v>
      </c>
      <c r="E3062" s="1130">
        <v>300000</v>
      </c>
      <c r="F3062" s="1131">
        <v>0</v>
      </c>
      <c r="G3062" s="1132">
        <f>E3062*C3062</f>
        <v>300000</v>
      </c>
      <c r="H3062" s="1131">
        <f>F3062+G3062</f>
        <v>300000</v>
      </c>
      <c r="I3062" s="1131">
        <v>0</v>
      </c>
      <c r="J3062" s="1131">
        <v>0</v>
      </c>
      <c r="K3062" s="1131">
        <v>0</v>
      </c>
      <c r="L3062" s="1131">
        <v>0</v>
      </c>
      <c r="M3062" s="1131">
        <v>0</v>
      </c>
      <c r="N3062" s="1133">
        <v>0</v>
      </c>
      <c r="O3062" s="1727">
        <f t="shared" si="293"/>
        <v>300000</v>
      </c>
      <c r="P3062" s="1816"/>
      <c r="Q3062" s="1833"/>
      <c r="R3062" s="1833"/>
      <c r="S3062" s="1833"/>
      <c r="T3062" s="1833"/>
      <c r="U3062" s="1833"/>
      <c r="V3062" s="1833"/>
      <c r="W3062" s="1833"/>
      <c r="X3062" s="1833"/>
      <c r="Y3062" s="1833"/>
      <c r="Z3062" s="1833"/>
      <c r="AA3062" s="1833"/>
      <c r="AB3062" s="1833"/>
      <c r="AC3062" s="1833"/>
      <c r="AD3062" s="1833"/>
      <c r="AE3062" s="1833"/>
      <c r="AF3062" s="1833"/>
      <c r="AG3062" s="1833"/>
      <c r="AH3062" s="1833"/>
      <c r="AI3062" s="1833"/>
      <c r="AJ3062" s="1833"/>
      <c r="AK3062" s="1833"/>
      <c r="AL3062" s="1833"/>
      <c r="AM3062" s="1833"/>
      <c r="AN3062" s="1833"/>
      <c r="AO3062" s="1833"/>
      <c r="AP3062" s="1833"/>
      <c r="AQ3062" s="1833"/>
      <c r="AR3062" s="1833"/>
      <c r="AS3062" s="1833"/>
      <c r="AT3062" s="1833"/>
      <c r="AU3062" s="1833"/>
      <c r="AV3062" s="1833"/>
      <c r="AW3062" s="1833"/>
      <c r="AX3062" s="1833"/>
      <c r="AY3062" s="1833"/>
      <c r="AZ3062" s="1833"/>
      <c r="BA3062" s="1833"/>
      <c r="BB3062" s="1833"/>
      <c r="BC3062" s="1833"/>
      <c r="BD3062" s="1833"/>
      <c r="BE3062" s="1833"/>
      <c r="BF3062" s="1833"/>
      <c r="BG3062" s="1833"/>
      <c r="BH3062" s="1833"/>
      <c r="BI3062" s="1833"/>
      <c r="BJ3062" s="1833"/>
      <c r="BK3062" s="1833"/>
      <c r="BL3062" s="1833"/>
      <c r="BM3062" s="1833"/>
      <c r="BN3062" s="1833"/>
      <c r="BO3062" s="1833"/>
      <c r="BP3062" s="1833"/>
      <c r="BQ3062" s="1833"/>
      <c r="BR3062" s="1833"/>
      <c r="BS3062" s="1833"/>
      <c r="BT3062" s="1833"/>
      <c r="BU3062" s="1833"/>
      <c r="BV3062" s="1833"/>
      <c r="BW3062" s="1833"/>
      <c r="BX3062" s="1833"/>
      <c r="BY3062" s="1833"/>
      <c r="BZ3062" s="1833"/>
      <c r="CA3062" s="1833"/>
      <c r="CB3062" s="1833"/>
      <c r="CC3062" s="1833"/>
      <c r="CD3062" s="1833"/>
      <c r="CE3062" s="1833"/>
      <c r="CF3062" s="1833"/>
      <c r="CG3062" s="1833"/>
      <c r="CH3062" s="1833"/>
      <c r="CI3062" s="1833"/>
      <c r="CJ3062" s="1833"/>
      <c r="CK3062" s="1833"/>
    </row>
    <row r="3063" spans="1:89" s="1134" customFormat="1" ht="30" customHeight="1" x14ac:dyDescent="0.25">
      <c r="A3063" s="1726">
        <f t="shared" si="294"/>
        <v>4</v>
      </c>
      <c r="B3063" s="1127" t="s">
        <v>40</v>
      </c>
      <c r="C3063" s="1128">
        <v>1</v>
      </c>
      <c r="D3063" s="1129" t="s">
        <v>47</v>
      </c>
      <c r="E3063" s="1130">
        <v>500000</v>
      </c>
      <c r="F3063" s="1131">
        <v>0</v>
      </c>
      <c r="G3063" s="1131">
        <v>0</v>
      </c>
      <c r="H3063" s="1131">
        <v>0</v>
      </c>
      <c r="I3063" s="1131">
        <v>0</v>
      </c>
      <c r="J3063" s="1132">
        <f>E3063*C3063</f>
        <v>500000</v>
      </c>
      <c r="K3063" s="1131">
        <f>I3063+J3063</f>
        <v>500000</v>
      </c>
      <c r="L3063" s="1131">
        <v>0</v>
      </c>
      <c r="M3063" s="1131">
        <v>0</v>
      </c>
      <c r="N3063" s="1133">
        <v>0</v>
      </c>
      <c r="O3063" s="1727">
        <f t="shared" si="293"/>
        <v>500000</v>
      </c>
      <c r="P3063" s="1816"/>
      <c r="Q3063" s="1833"/>
      <c r="R3063" s="1833"/>
      <c r="S3063" s="1833"/>
      <c r="T3063" s="1833"/>
      <c r="U3063" s="1833"/>
      <c r="V3063" s="1833"/>
      <c r="W3063" s="1833"/>
      <c r="X3063" s="1833"/>
      <c r="Y3063" s="1833"/>
      <c r="Z3063" s="1833"/>
      <c r="AA3063" s="1833"/>
      <c r="AB3063" s="1833"/>
      <c r="AC3063" s="1833"/>
      <c r="AD3063" s="1833"/>
      <c r="AE3063" s="1833"/>
      <c r="AF3063" s="1833"/>
      <c r="AG3063" s="1833"/>
      <c r="AH3063" s="1833"/>
      <c r="AI3063" s="1833"/>
      <c r="AJ3063" s="1833"/>
      <c r="AK3063" s="1833"/>
      <c r="AL3063" s="1833"/>
      <c r="AM3063" s="1833"/>
      <c r="AN3063" s="1833"/>
      <c r="AO3063" s="1833"/>
      <c r="AP3063" s="1833"/>
      <c r="AQ3063" s="1833"/>
      <c r="AR3063" s="1833"/>
      <c r="AS3063" s="1833"/>
      <c r="AT3063" s="1833"/>
      <c r="AU3063" s="1833"/>
      <c r="AV3063" s="1833"/>
      <c r="AW3063" s="1833"/>
      <c r="AX3063" s="1833"/>
      <c r="AY3063" s="1833"/>
      <c r="AZ3063" s="1833"/>
      <c r="BA3063" s="1833"/>
      <c r="BB3063" s="1833"/>
      <c r="BC3063" s="1833"/>
      <c r="BD3063" s="1833"/>
      <c r="BE3063" s="1833"/>
      <c r="BF3063" s="1833"/>
      <c r="BG3063" s="1833"/>
      <c r="BH3063" s="1833"/>
      <c r="BI3063" s="1833"/>
      <c r="BJ3063" s="1833"/>
      <c r="BK3063" s="1833"/>
      <c r="BL3063" s="1833"/>
      <c r="BM3063" s="1833"/>
      <c r="BN3063" s="1833"/>
      <c r="BO3063" s="1833"/>
      <c r="BP3063" s="1833"/>
      <c r="BQ3063" s="1833"/>
      <c r="BR3063" s="1833"/>
      <c r="BS3063" s="1833"/>
      <c r="BT3063" s="1833"/>
      <c r="BU3063" s="1833"/>
      <c r="BV3063" s="1833"/>
      <c r="BW3063" s="1833"/>
      <c r="BX3063" s="1833"/>
      <c r="BY3063" s="1833"/>
      <c r="BZ3063" s="1833"/>
      <c r="CA3063" s="1833"/>
      <c r="CB3063" s="1833"/>
      <c r="CC3063" s="1833"/>
      <c r="CD3063" s="1833"/>
      <c r="CE3063" s="1833"/>
      <c r="CF3063" s="1833"/>
      <c r="CG3063" s="1833"/>
      <c r="CH3063" s="1833"/>
      <c r="CI3063" s="1833"/>
      <c r="CJ3063" s="1833"/>
      <c r="CK3063" s="1833"/>
    </row>
    <row r="3064" spans="1:89" s="1134" customFormat="1" ht="30" customHeight="1" x14ac:dyDescent="0.25">
      <c r="A3064" s="1726">
        <f t="shared" si="294"/>
        <v>5</v>
      </c>
      <c r="B3064" s="1127" t="s">
        <v>2178</v>
      </c>
      <c r="C3064" s="1128">
        <v>1</v>
      </c>
      <c r="D3064" s="1129" t="s">
        <v>47</v>
      </c>
      <c r="E3064" s="1130">
        <v>146816</v>
      </c>
      <c r="F3064" s="1131">
        <v>0</v>
      </c>
      <c r="G3064" s="1131">
        <v>0</v>
      </c>
      <c r="H3064" s="1131">
        <v>0</v>
      </c>
      <c r="I3064" s="1131">
        <v>0</v>
      </c>
      <c r="J3064" s="1132">
        <f>E3064*C3064</f>
        <v>146816</v>
      </c>
      <c r="K3064" s="1131">
        <f>I3064+J3064</f>
        <v>146816</v>
      </c>
      <c r="L3064" s="1131">
        <v>0</v>
      </c>
      <c r="M3064" s="1131">
        <v>0</v>
      </c>
      <c r="N3064" s="1133">
        <v>0</v>
      </c>
      <c r="O3064" s="1727">
        <f t="shared" si="293"/>
        <v>146816</v>
      </c>
      <c r="P3064" s="1816"/>
      <c r="Q3064" s="1833"/>
      <c r="R3064" s="1833"/>
      <c r="S3064" s="1833"/>
      <c r="T3064" s="1833"/>
      <c r="U3064" s="1833"/>
      <c r="V3064" s="1833"/>
      <c r="W3064" s="1833"/>
      <c r="X3064" s="1833"/>
      <c r="Y3064" s="1833"/>
      <c r="Z3064" s="1833"/>
      <c r="AA3064" s="1833"/>
      <c r="AB3064" s="1833"/>
      <c r="AC3064" s="1833"/>
      <c r="AD3064" s="1833"/>
      <c r="AE3064" s="1833"/>
      <c r="AF3064" s="1833"/>
      <c r="AG3064" s="1833"/>
      <c r="AH3064" s="1833"/>
      <c r="AI3064" s="1833"/>
      <c r="AJ3064" s="1833"/>
      <c r="AK3064" s="1833"/>
      <c r="AL3064" s="1833"/>
      <c r="AM3064" s="1833"/>
      <c r="AN3064" s="1833"/>
      <c r="AO3064" s="1833"/>
      <c r="AP3064" s="1833"/>
      <c r="AQ3064" s="1833"/>
      <c r="AR3064" s="1833"/>
      <c r="AS3064" s="1833"/>
      <c r="AT3064" s="1833"/>
      <c r="AU3064" s="1833"/>
      <c r="AV3064" s="1833"/>
      <c r="AW3064" s="1833"/>
      <c r="AX3064" s="1833"/>
      <c r="AY3064" s="1833"/>
      <c r="AZ3064" s="1833"/>
      <c r="BA3064" s="1833"/>
      <c r="BB3064" s="1833"/>
      <c r="BC3064" s="1833"/>
      <c r="BD3064" s="1833"/>
      <c r="BE3064" s="1833"/>
      <c r="BF3064" s="1833"/>
      <c r="BG3064" s="1833"/>
      <c r="BH3064" s="1833"/>
      <c r="BI3064" s="1833"/>
      <c r="BJ3064" s="1833"/>
      <c r="BK3064" s="1833"/>
      <c r="BL3064" s="1833"/>
      <c r="BM3064" s="1833"/>
      <c r="BN3064" s="1833"/>
      <c r="BO3064" s="1833"/>
      <c r="BP3064" s="1833"/>
      <c r="BQ3064" s="1833"/>
      <c r="BR3064" s="1833"/>
      <c r="BS3064" s="1833"/>
      <c r="BT3064" s="1833"/>
      <c r="BU3064" s="1833"/>
      <c r="BV3064" s="1833"/>
      <c r="BW3064" s="1833"/>
      <c r="BX3064" s="1833"/>
      <c r="BY3064" s="1833"/>
      <c r="BZ3064" s="1833"/>
      <c r="CA3064" s="1833"/>
      <c r="CB3064" s="1833"/>
      <c r="CC3064" s="1833"/>
      <c r="CD3064" s="1833"/>
      <c r="CE3064" s="1833"/>
      <c r="CF3064" s="1833"/>
      <c r="CG3064" s="1833"/>
      <c r="CH3064" s="1833"/>
      <c r="CI3064" s="1833"/>
      <c r="CJ3064" s="1833"/>
      <c r="CK3064" s="1833"/>
    </row>
    <row r="3065" spans="1:89" s="1134" customFormat="1" ht="30" customHeight="1" x14ac:dyDescent="0.25">
      <c r="A3065" s="1726">
        <f t="shared" si="294"/>
        <v>6</v>
      </c>
      <c r="B3065" s="1127" t="s">
        <v>2179</v>
      </c>
      <c r="C3065" s="1128">
        <v>1</v>
      </c>
      <c r="D3065" s="1129" t="s">
        <v>47</v>
      </c>
      <c r="E3065" s="1130">
        <v>120000</v>
      </c>
      <c r="F3065" s="1131">
        <v>0</v>
      </c>
      <c r="G3065" s="1131">
        <v>0</v>
      </c>
      <c r="H3065" s="1131">
        <v>0</v>
      </c>
      <c r="I3065" s="1131">
        <v>0</v>
      </c>
      <c r="J3065" s="1132">
        <f>E3065*C3065</f>
        <v>120000</v>
      </c>
      <c r="K3065" s="1131">
        <f>I3065+J3065</f>
        <v>120000</v>
      </c>
      <c r="L3065" s="1131">
        <v>0</v>
      </c>
      <c r="M3065" s="1131">
        <v>0</v>
      </c>
      <c r="N3065" s="1133">
        <v>0</v>
      </c>
      <c r="O3065" s="1727">
        <f t="shared" si="293"/>
        <v>120000</v>
      </c>
      <c r="P3065" s="1816"/>
      <c r="Q3065" s="1833"/>
      <c r="R3065" s="1833"/>
      <c r="S3065" s="1833"/>
      <c r="T3065" s="1833"/>
      <c r="U3065" s="1833"/>
      <c r="V3065" s="1833"/>
      <c r="W3065" s="1833"/>
      <c r="X3065" s="1833"/>
      <c r="Y3065" s="1833"/>
      <c r="Z3065" s="1833"/>
      <c r="AA3065" s="1833"/>
      <c r="AB3065" s="1833"/>
      <c r="AC3065" s="1833"/>
      <c r="AD3065" s="1833"/>
      <c r="AE3065" s="1833"/>
      <c r="AF3065" s="1833"/>
      <c r="AG3065" s="1833"/>
      <c r="AH3065" s="1833"/>
      <c r="AI3065" s="1833"/>
      <c r="AJ3065" s="1833"/>
      <c r="AK3065" s="1833"/>
      <c r="AL3065" s="1833"/>
      <c r="AM3065" s="1833"/>
      <c r="AN3065" s="1833"/>
      <c r="AO3065" s="1833"/>
      <c r="AP3065" s="1833"/>
      <c r="AQ3065" s="1833"/>
      <c r="AR3065" s="1833"/>
      <c r="AS3065" s="1833"/>
      <c r="AT3065" s="1833"/>
      <c r="AU3065" s="1833"/>
      <c r="AV3065" s="1833"/>
      <c r="AW3065" s="1833"/>
      <c r="AX3065" s="1833"/>
      <c r="AY3065" s="1833"/>
      <c r="AZ3065" s="1833"/>
      <c r="BA3065" s="1833"/>
      <c r="BB3065" s="1833"/>
      <c r="BC3065" s="1833"/>
      <c r="BD3065" s="1833"/>
      <c r="BE3065" s="1833"/>
      <c r="BF3065" s="1833"/>
      <c r="BG3065" s="1833"/>
      <c r="BH3065" s="1833"/>
      <c r="BI3065" s="1833"/>
      <c r="BJ3065" s="1833"/>
      <c r="BK3065" s="1833"/>
      <c r="BL3065" s="1833"/>
      <c r="BM3065" s="1833"/>
      <c r="BN3065" s="1833"/>
      <c r="BO3065" s="1833"/>
      <c r="BP3065" s="1833"/>
      <c r="BQ3065" s="1833"/>
      <c r="BR3065" s="1833"/>
      <c r="BS3065" s="1833"/>
      <c r="BT3065" s="1833"/>
      <c r="BU3065" s="1833"/>
      <c r="BV3065" s="1833"/>
      <c r="BW3065" s="1833"/>
      <c r="BX3065" s="1833"/>
      <c r="BY3065" s="1833"/>
      <c r="BZ3065" s="1833"/>
      <c r="CA3065" s="1833"/>
      <c r="CB3065" s="1833"/>
      <c r="CC3065" s="1833"/>
      <c r="CD3065" s="1833"/>
      <c r="CE3065" s="1833"/>
      <c r="CF3065" s="1833"/>
      <c r="CG3065" s="1833"/>
      <c r="CH3065" s="1833"/>
      <c r="CI3065" s="1833"/>
      <c r="CJ3065" s="1833"/>
      <c r="CK3065" s="1833"/>
    </row>
    <row r="3066" spans="1:89" s="1134" customFormat="1" ht="30" customHeight="1" x14ac:dyDescent="0.25">
      <c r="A3066" s="1726">
        <f t="shared" si="294"/>
        <v>7</v>
      </c>
      <c r="B3066" s="1127" t="s">
        <v>2180</v>
      </c>
      <c r="C3066" s="1128"/>
      <c r="D3066" s="1129"/>
      <c r="E3066" s="1131">
        <v>0</v>
      </c>
      <c r="F3066" s="1131">
        <v>0</v>
      </c>
      <c r="G3066" s="1131">
        <v>0</v>
      </c>
      <c r="H3066" s="1131">
        <v>0</v>
      </c>
      <c r="I3066" s="1131">
        <v>0</v>
      </c>
      <c r="J3066" s="1131">
        <v>0</v>
      </c>
      <c r="K3066" s="1131">
        <v>0</v>
      </c>
      <c r="L3066" s="1131">
        <v>0</v>
      </c>
      <c r="M3066" s="1131">
        <v>0</v>
      </c>
      <c r="N3066" s="1133">
        <v>0</v>
      </c>
      <c r="O3066" s="1727">
        <f t="shared" si="293"/>
        <v>0</v>
      </c>
      <c r="P3066" s="1816"/>
      <c r="Q3066" s="1833"/>
      <c r="R3066" s="1833"/>
      <c r="S3066" s="1833"/>
      <c r="T3066" s="1833"/>
      <c r="U3066" s="1833"/>
      <c r="V3066" s="1833"/>
      <c r="W3066" s="1833"/>
      <c r="X3066" s="1833"/>
      <c r="Y3066" s="1833"/>
      <c r="Z3066" s="1833"/>
      <c r="AA3066" s="1833"/>
      <c r="AB3066" s="1833"/>
      <c r="AC3066" s="1833"/>
      <c r="AD3066" s="1833"/>
      <c r="AE3066" s="1833"/>
      <c r="AF3066" s="1833"/>
      <c r="AG3066" s="1833"/>
      <c r="AH3066" s="1833"/>
      <c r="AI3066" s="1833"/>
      <c r="AJ3066" s="1833"/>
      <c r="AK3066" s="1833"/>
      <c r="AL3066" s="1833"/>
      <c r="AM3066" s="1833"/>
      <c r="AN3066" s="1833"/>
      <c r="AO3066" s="1833"/>
      <c r="AP3066" s="1833"/>
      <c r="AQ3066" s="1833"/>
      <c r="AR3066" s="1833"/>
      <c r="AS3066" s="1833"/>
      <c r="AT3066" s="1833"/>
      <c r="AU3066" s="1833"/>
      <c r="AV3066" s="1833"/>
      <c r="AW3066" s="1833"/>
      <c r="AX3066" s="1833"/>
      <c r="AY3066" s="1833"/>
      <c r="AZ3066" s="1833"/>
      <c r="BA3066" s="1833"/>
      <c r="BB3066" s="1833"/>
      <c r="BC3066" s="1833"/>
      <c r="BD3066" s="1833"/>
      <c r="BE3066" s="1833"/>
      <c r="BF3066" s="1833"/>
      <c r="BG3066" s="1833"/>
      <c r="BH3066" s="1833"/>
      <c r="BI3066" s="1833"/>
      <c r="BJ3066" s="1833"/>
      <c r="BK3066" s="1833"/>
      <c r="BL3066" s="1833"/>
      <c r="BM3066" s="1833"/>
      <c r="BN3066" s="1833"/>
      <c r="BO3066" s="1833"/>
      <c r="BP3066" s="1833"/>
      <c r="BQ3066" s="1833"/>
      <c r="BR3066" s="1833"/>
      <c r="BS3066" s="1833"/>
      <c r="BT3066" s="1833"/>
      <c r="BU3066" s="1833"/>
      <c r="BV3066" s="1833"/>
      <c r="BW3066" s="1833"/>
      <c r="BX3066" s="1833"/>
      <c r="BY3066" s="1833"/>
      <c r="BZ3066" s="1833"/>
      <c r="CA3066" s="1833"/>
      <c r="CB3066" s="1833"/>
      <c r="CC3066" s="1833"/>
      <c r="CD3066" s="1833"/>
      <c r="CE3066" s="1833"/>
      <c r="CF3066" s="1833"/>
      <c r="CG3066" s="1833"/>
      <c r="CH3066" s="1833"/>
      <c r="CI3066" s="1833"/>
      <c r="CJ3066" s="1833"/>
      <c r="CK3066" s="1833"/>
    </row>
    <row r="3067" spans="1:89" s="1134" customFormat="1" ht="30" customHeight="1" x14ac:dyDescent="0.25">
      <c r="A3067" s="1726"/>
      <c r="B3067" s="1135" t="s">
        <v>2181</v>
      </c>
      <c r="C3067" s="1128">
        <v>1</v>
      </c>
      <c r="D3067" s="1129" t="s">
        <v>47</v>
      </c>
      <c r="E3067" s="1130">
        <f>35000+270000+6000</f>
        <v>311000</v>
      </c>
      <c r="F3067" s="1131">
        <v>0</v>
      </c>
      <c r="G3067" s="1131">
        <v>0</v>
      </c>
      <c r="H3067" s="1131">
        <v>0</v>
      </c>
      <c r="I3067" s="1131">
        <v>0</v>
      </c>
      <c r="J3067" s="1132">
        <f>E3067*C3067</f>
        <v>311000</v>
      </c>
      <c r="K3067" s="1131">
        <f>I3067+J3067</f>
        <v>311000</v>
      </c>
      <c r="L3067" s="1131">
        <v>0</v>
      </c>
      <c r="M3067" s="1131">
        <v>0</v>
      </c>
      <c r="N3067" s="1133">
        <v>0</v>
      </c>
      <c r="O3067" s="1727">
        <f t="shared" si="293"/>
        <v>311000</v>
      </c>
      <c r="P3067" s="1816"/>
      <c r="Q3067" s="1833"/>
      <c r="R3067" s="1833"/>
      <c r="S3067" s="1833"/>
      <c r="T3067" s="1833"/>
      <c r="U3067" s="1833"/>
      <c r="V3067" s="1833"/>
      <c r="W3067" s="1833"/>
      <c r="X3067" s="1833"/>
      <c r="Y3067" s="1833"/>
      <c r="Z3067" s="1833"/>
      <c r="AA3067" s="1833"/>
      <c r="AB3067" s="1833"/>
      <c r="AC3067" s="1833"/>
      <c r="AD3067" s="1833"/>
      <c r="AE3067" s="1833"/>
      <c r="AF3067" s="1833"/>
      <c r="AG3067" s="1833"/>
      <c r="AH3067" s="1833"/>
      <c r="AI3067" s="1833"/>
      <c r="AJ3067" s="1833"/>
      <c r="AK3067" s="1833"/>
      <c r="AL3067" s="1833"/>
      <c r="AM3067" s="1833"/>
      <c r="AN3067" s="1833"/>
      <c r="AO3067" s="1833"/>
      <c r="AP3067" s="1833"/>
      <c r="AQ3067" s="1833"/>
      <c r="AR3067" s="1833"/>
      <c r="AS3067" s="1833"/>
      <c r="AT3067" s="1833"/>
      <c r="AU3067" s="1833"/>
      <c r="AV3067" s="1833"/>
      <c r="AW3067" s="1833"/>
      <c r="AX3067" s="1833"/>
      <c r="AY3067" s="1833"/>
      <c r="AZ3067" s="1833"/>
      <c r="BA3067" s="1833"/>
      <c r="BB3067" s="1833"/>
      <c r="BC3067" s="1833"/>
      <c r="BD3067" s="1833"/>
      <c r="BE3067" s="1833"/>
      <c r="BF3067" s="1833"/>
      <c r="BG3067" s="1833"/>
      <c r="BH3067" s="1833"/>
      <c r="BI3067" s="1833"/>
      <c r="BJ3067" s="1833"/>
      <c r="BK3067" s="1833"/>
      <c r="BL3067" s="1833"/>
      <c r="BM3067" s="1833"/>
      <c r="BN3067" s="1833"/>
      <c r="BO3067" s="1833"/>
      <c r="BP3067" s="1833"/>
      <c r="BQ3067" s="1833"/>
      <c r="BR3067" s="1833"/>
      <c r="BS3067" s="1833"/>
      <c r="BT3067" s="1833"/>
      <c r="BU3067" s="1833"/>
      <c r="BV3067" s="1833"/>
      <c r="BW3067" s="1833"/>
      <c r="BX3067" s="1833"/>
      <c r="BY3067" s="1833"/>
      <c r="BZ3067" s="1833"/>
      <c r="CA3067" s="1833"/>
      <c r="CB3067" s="1833"/>
      <c r="CC3067" s="1833"/>
      <c r="CD3067" s="1833"/>
      <c r="CE3067" s="1833"/>
      <c r="CF3067" s="1833"/>
      <c r="CG3067" s="1833"/>
      <c r="CH3067" s="1833"/>
      <c r="CI3067" s="1833"/>
      <c r="CJ3067" s="1833"/>
      <c r="CK3067" s="1833"/>
    </row>
    <row r="3068" spans="1:89" s="1134" customFormat="1" ht="30" customHeight="1" x14ac:dyDescent="0.25">
      <c r="A3068" s="1726"/>
      <c r="B3068" s="1135" t="s">
        <v>2182</v>
      </c>
      <c r="C3068" s="1128">
        <v>1</v>
      </c>
      <c r="D3068" s="1129" t="s">
        <v>47</v>
      </c>
      <c r="E3068" s="1130">
        <v>39000</v>
      </c>
      <c r="F3068" s="1131">
        <v>0</v>
      </c>
      <c r="G3068" s="1131">
        <v>0</v>
      </c>
      <c r="H3068" s="1131">
        <v>0</v>
      </c>
      <c r="I3068" s="1131"/>
      <c r="J3068" s="1132">
        <f>E3068*C3068</f>
        <v>39000</v>
      </c>
      <c r="K3068" s="1131">
        <f>I3068+J3068</f>
        <v>39000</v>
      </c>
      <c r="L3068" s="1131">
        <v>0</v>
      </c>
      <c r="M3068" s="1131">
        <v>0</v>
      </c>
      <c r="N3068" s="1133">
        <v>0</v>
      </c>
      <c r="O3068" s="1727">
        <f t="shared" si="293"/>
        <v>39000</v>
      </c>
      <c r="P3068" s="1816"/>
      <c r="Q3068" s="1833"/>
      <c r="R3068" s="1833"/>
      <c r="S3068" s="1833"/>
      <c r="T3068" s="1833"/>
      <c r="U3068" s="1833"/>
      <c r="V3068" s="1833"/>
      <c r="W3068" s="1833"/>
      <c r="X3068" s="1833"/>
      <c r="Y3068" s="1833"/>
      <c r="Z3068" s="1833"/>
      <c r="AA3068" s="1833"/>
      <c r="AB3068" s="1833"/>
      <c r="AC3068" s="1833"/>
      <c r="AD3068" s="1833"/>
      <c r="AE3068" s="1833"/>
      <c r="AF3068" s="1833"/>
      <c r="AG3068" s="1833"/>
      <c r="AH3068" s="1833"/>
      <c r="AI3068" s="1833"/>
      <c r="AJ3068" s="1833"/>
      <c r="AK3068" s="1833"/>
      <c r="AL3068" s="1833"/>
      <c r="AM3068" s="1833"/>
      <c r="AN3068" s="1833"/>
      <c r="AO3068" s="1833"/>
      <c r="AP3068" s="1833"/>
      <c r="AQ3068" s="1833"/>
      <c r="AR3068" s="1833"/>
      <c r="AS3068" s="1833"/>
      <c r="AT3068" s="1833"/>
      <c r="AU3068" s="1833"/>
      <c r="AV3068" s="1833"/>
      <c r="AW3068" s="1833"/>
      <c r="AX3068" s="1833"/>
      <c r="AY3068" s="1833"/>
      <c r="AZ3068" s="1833"/>
      <c r="BA3068" s="1833"/>
      <c r="BB3068" s="1833"/>
      <c r="BC3068" s="1833"/>
      <c r="BD3068" s="1833"/>
      <c r="BE3068" s="1833"/>
      <c r="BF3068" s="1833"/>
      <c r="BG3068" s="1833"/>
      <c r="BH3068" s="1833"/>
      <c r="BI3068" s="1833"/>
      <c r="BJ3068" s="1833"/>
      <c r="BK3068" s="1833"/>
      <c r="BL3068" s="1833"/>
      <c r="BM3068" s="1833"/>
      <c r="BN3068" s="1833"/>
      <c r="BO3068" s="1833"/>
      <c r="BP3068" s="1833"/>
      <c r="BQ3068" s="1833"/>
      <c r="BR3068" s="1833"/>
      <c r="BS3068" s="1833"/>
      <c r="BT3068" s="1833"/>
      <c r="BU3068" s="1833"/>
      <c r="BV3068" s="1833"/>
      <c r="BW3068" s="1833"/>
      <c r="BX3068" s="1833"/>
      <c r="BY3068" s="1833"/>
      <c r="BZ3068" s="1833"/>
      <c r="CA3068" s="1833"/>
      <c r="CB3068" s="1833"/>
      <c r="CC3068" s="1833"/>
      <c r="CD3068" s="1833"/>
      <c r="CE3068" s="1833"/>
      <c r="CF3068" s="1833"/>
      <c r="CG3068" s="1833"/>
      <c r="CH3068" s="1833"/>
      <c r="CI3068" s="1833"/>
      <c r="CJ3068" s="1833"/>
      <c r="CK3068" s="1833"/>
    </row>
    <row r="3069" spans="1:89" s="1134" customFormat="1" ht="30" customHeight="1" x14ac:dyDescent="0.25">
      <c r="A3069" s="1726">
        <f>A3066+1</f>
        <v>8</v>
      </c>
      <c r="B3069" s="1127" t="s">
        <v>358</v>
      </c>
      <c r="C3069" s="1128">
        <v>1</v>
      </c>
      <c r="D3069" s="1129" t="s">
        <v>47</v>
      </c>
      <c r="E3069" s="1130">
        <v>204500</v>
      </c>
      <c r="F3069" s="1131">
        <v>0</v>
      </c>
      <c r="G3069" s="1131">
        <v>0</v>
      </c>
      <c r="H3069" s="1131">
        <v>0</v>
      </c>
      <c r="I3069" s="1131">
        <v>0</v>
      </c>
      <c r="J3069" s="1132">
        <f>E3069*C3069</f>
        <v>204500</v>
      </c>
      <c r="K3069" s="1131">
        <f>I3069+J3069</f>
        <v>204500</v>
      </c>
      <c r="L3069" s="1131">
        <v>0</v>
      </c>
      <c r="M3069" s="1131">
        <v>0</v>
      </c>
      <c r="N3069" s="1133">
        <v>0</v>
      </c>
      <c r="O3069" s="1727">
        <f t="shared" si="293"/>
        <v>204500</v>
      </c>
      <c r="P3069" s="1816"/>
      <c r="Q3069" s="1833"/>
      <c r="R3069" s="1833"/>
      <c r="S3069" s="1833"/>
      <c r="T3069" s="1833"/>
      <c r="U3069" s="1833"/>
      <c r="V3069" s="1833"/>
      <c r="W3069" s="1833"/>
      <c r="X3069" s="1833"/>
      <c r="Y3069" s="1833"/>
      <c r="Z3069" s="1833"/>
      <c r="AA3069" s="1833"/>
      <c r="AB3069" s="1833"/>
      <c r="AC3069" s="1833"/>
      <c r="AD3069" s="1833"/>
      <c r="AE3069" s="1833"/>
      <c r="AF3069" s="1833"/>
      <c r="AG3069" s="1833"/>
      <c r="AH3069" s="1833"/>
      <c r="AI3069" s="1833"/>
      <c r="AJ3069" s="1833"/>
      <c r="AK3069" s="1833"/>
      <c r="AL3069" s="1833"/>
      <c r="AM3069" s="1833"/>
      <c r="AN3069" s="1833"/>
      <c r="AO3069" s="1833"/>
      <c r="AP3069" s="1833"/>
      <c r="AQ3069" s="1833"/>
      <c r="AR3069" s="1833"/>
      <c r="AS3069" s="1833"/>
      <c r="AT3069" s="1833"/>
      <c r="AU3069" s="1833"/>
      <c r="AV3069" s="1833"/>
      <c r="AW3069" s="1833"/>
      <c r="AX3069" s="1833"/>
      <c r="AY3069" s="1833"/>
      <c r="AZ3069" s="1833"/>
      <c r="BA3069" s="1833"/>
      <c r="BB3069" s="1833"/>
      <c r="BC3069" s="1833"/>
      <c r="BD3069" s="1833"/>
      <c r="BE3069" s="1833"/>
      <c r="BF3069" s="1833"/>
      <c r="BG3069" s="1833"/>
      <c r="BH3069" s="1833"/>
      <c r="BI3069" s="1833"/>
      <c r="BJ3069" s="1833"/>
      <c r="BK3069" s="1833"/>
      <c r="BL3069" s="1833"/>
      <c r="BM3069" s="1833"/>
      <c r="BN3069" s="1833"/>
      <c r="BO3069" s="1833"/>
      <c r="BP3069" s="1833"/>
      <c r="BQ3069" s="1833"/>
      <c r="BR3069" s="1833"/>
      <c r="BS3069" s="1833"/>
      <c r="BT3069" s="1833"/>
      <c r="BU3069" s="1833"/>
      <c r="BV3069" s="1833"/>
      <c r="BW3069" s="1833"/>
      <c r="BX3069" s="1833"/>
      <c r="BY3069" s="1833"/>
      <c r="BZ3069" s="1833"/>
      <c r="CA3069" s="1833"/>
      <c r="CB3069" s="1833"/>
      <c r="CC3069" s="1833"/>
      <c r="CD3069" s="1833"/>
      <c r="CE3069" s="1833"/>
      <c r="CF3069" s="1833"/>
      <c r="CG3069" s="1833"/>
      <c r="CH3069" s="1833"/>
      <c r="CI3069" s="1833"/>
      <c r="CJ3069" s="1833"/>
      <c r="CK3069" s="1833"/>
    </row>
    <row r="3070" spans="1:89" s="1134" customFormat="1" ht="30" customHeight="1" x14ac:dyDescent="0.25">
      <c r="A3070" s="1726">
        <f>A3069+1</f>
        <v>9</v>
      </c>
      <c r="B3070" s="1127" t="s">
        <v>2183</v>
      </c>
      <c r="C3070" s="1128"/>
      <c r="D3070" s="1129"/>
      <c r="E3070" s="1130"/>
      <c r="F3070" s="1131">
        <v>0</v>
      </c>
      <c r="G3070" s="1131">
        <v>0</v>
      </c>
      <c r="H3070" s="1131">
        <v>0</v>
      </c>
      <c r="I3070" s="1131"/>
      <c r="J3070" s="1131"/>
      <c r="K3070" s="1131"/>
      <c r="L3070" s="1131"/>
      <c r="M3070" s="1131"/>
      <c r="N3070" s="1133"/>
      <c r="O3070" s="1727"/>
      <c r="P3070" s="1816"/>
      <c r="Q3070" s="1833"/>
      <c r="R3070" s="1833"/>
      <c r="S3070" s="1833"/>
      <c r="T3070" s="1833"/>
      <c r="U3070" s="1833"/>
      <c r="V3070" s="1833"/>
      <c r="W3070" s="1833"/>
      <c r="X3070" s="1833"/>
      <c r="Y3070" s="1833"/>
      <c r="Z3070" s="1833"/>
      <c r="AA3070" s="1833"/>
      <c r="AB3070" s="1833"/>
      <c r="AC3070" s="1833"/>
      <c r="AD3070" s="1833"/>
      <c r="AE3070" s="1833"/>
      <c r="AF3070" s="1833"/>
      <c r="AG3070" s="1833"/>
      <c r="AH3070" s="1833"/>
      <c r="AI3070" s="1833"/>
      <c r="AJ3070" s="1833"/>
      <c r="AK3070" s="1833"/>
      <c r="AL3070" s="1833"/>
      <c r="AM3070" s="1833"/>
      <c r="AN3070" s="1833"/>
      <c r="AO3070" s="1833"/>
      <c r="AP3070" s="1833"/>
      <c r="AQ3070" s="1833"/>
      <c r="AR3070" s="1833"/>
      <c r="AS3070" s="1833"/>
      <c r="AT3070" s="1833"/>
      <c r="AU3070" s="1833"/>
      <c r="AV3070" s="1833"/>
      <c r="AW3070" s="1833"/>
      <c r="AX3070" s="1833"/>
      <c r="AY3070" s="1833"/>
      <c r="AZ3070" s="1833"/>
      <c r="BA3070" s="1833"/>
      <c r="BB3070" s="1833"/>
      <c r="BC3070" s="1833"/>
      <c r="BD3070" s="1833"/>
      <c r="BE3070" s="1833"/>
      <c r="BF3070" s="1833"/>
      <c r="BG3070" s="1833"/>
      <c r="BH3070" s="1833"/>
      <c r="BI3070" s="1833"/>
      <c r="BJ3070" s="1833"/>
      <c r="BK3070" s="1833"/>
      <c r="BL3070" s="1833"/>
      <c r="BM3070" s="1833"/>
      <c r="BN3070" s="1833"/>
      <c r="BO3070" s="1833"/>
      <c r="BP3070" s="1833"/>
      <c r="BQ3070" s="1833"/>
      <c r="BR3070" s="1833"/>
      <c r="BS3070" s="1833"/>
      <c r="BT3070" s="1833"/>
      <c r="BU3070" s="1833"/>
      <c r="BV3070" s="1833"/>
      <c r="BW3070" s="1833"/>
      <c r="BX3070" s="1833"/>
      <c r="BY3070" s="1833"/>
      <c r="BZ3070" s="1833"/>
      <c r="CA3070" s="1833"/>
      <c r="CB3070" s="1833"/>
      <c r="CC3070" s="1833"/>
      <c r="CD3070" s="1833"/>
      <c r="CE3070" s="1833"/>
      <c r="CF3070" s="1833"/>
      <c r="CG3070" s="1833"/>
      <c r="CH3070" s="1833"/>
      <c r="CI3070" s="1833"/>
      <c r="CJ3070" s="1833"/>
      <c r="CK3070" s="1833"/>
    </row>
    <row r="3071" spans="1:89" s="1134" customFormat="1" ht="30" customHeight="1" x14ac:dyDescent="0.25">
      <c r="A3071" s="1726"/>
      <c r="B3071" s="1135" t="s">
        <v>2184</v>
      </c>
      <c r="C3071" s="1136">
        <v>24</v>
      </c>
      <c r="D3071" s="1129" t="s">
        <v>119</v>
      </c>
      <c r="E3071" s="1130">
        <v>10000</v>
      </c>
      <c r="F3071" s="1131">
        <v>0</v>
      </c>
      <c r="G3071" s="1131">
        <v>0</v>
      </c>
      <c r="H3071" s="1131">
        <v>0</v>
      </c>
      <c r="I3071" s="1131">
        <v>0</v>
      </c>
      <c r="J3071" s="1131">
        <v>0</v>
      </c>
      <c r="K3071" s="1131">
        <v>0</v>
      </c>
      <c r="L3071" s="1131">
        <f t="shared" ref="L3071:L3079" si="295">E3071*C3071</f>
        <v>240000</v>
      </c>
      <c r="M3071" s="1131">
        <v>0</v>
      </c>
      <c r="N3071" s="1133">
        <f t="shared" ref="N3071:N3079" si="296">M3071+L3071</f>
        <v>240000</v>
      </c>
      <c r="O3071" s="1727">
        <f t="shared" ref="O3071:O3079" si="297">N3071+K3071+H3071</f>
        <v>240000</v>
      </c>
      <c r="P3071" s="1816"/>
      <c r="Q3071" s="1833"/>
      <c r="R3071" s="1833"/>
      <c r="S3071" s="1833"/>
      <c r="T3071" s="1833"/>
      <c r="U3071" s="1833"/>
      <c r="V3071" s="1833"/>
      <c r="W3071" s="1833"/>
      <c r="X3071" s="1833"/>
      <c r="Y3071" s="1833"/>
      <c r="Z3071" s="1833"/>
      <c r="AA3071" s="1833"/>
      <c r="AB3071" s="1833"/>
      <c r="AC3071" s="1833"/>
      <c r="AD3071" s="1833"/>
      <c r="AE3071" s="1833"/>
      <c r="AF3071" s="1833"/>
      <c r="AG3071" s="1833"/>
      <c r="AH3071" s="1833"/>
      <c r="AI3071" s="1833"/>
      <c r="AJ3071" s="1833"/>
      <c r="AK3071" s="1833"/>
      <c r="AL3071" s="1833"/>
      <c r="AM3071" s="1833"/>
      <c r="AN3071" s="1833"/>
      <c r="AO3071" s="1833"/>
      <c r="AP3071" s="1833"/>
      <c r="AQ3071" s="1833"/>
      <c r="AR3071" s="1833"/>
      <c r="AS3071" s="1833"/>
      <c r="AT3071" s="1833"/>
      <c r="AU3071" s="1833"/>
      <c r="AV3071" s="1833"/>
      <c r="AW3071" s="1833"/>
      <c r="AX3071" s="1833"/>
      <c r="AY3071" s="1833"/>
      <c r="AZ3071" s="1833"/>
      <c r="BA3071" s="1833"/>
      <c r="BB3071" s="1833"/>
      <c r="BC3071" s="1833"/>
      <c r="BD3071" s="1833"/>
      <c r="BE3071" s="1833"/>
      <c r="BF3071" s="1833"/>
      <c r="BG3071" s="1833"/>
      <c r="BH3071" s="1833"/>
      <c r="BI3071" s="1833"/>
      <c r="BJ3071" s="1833"/>
      <c r="BK3071" s="1833"/>
      <c r="BL3071" s="1833"/>
      <c r="BM3071" s="1833"/>
      <c r="BN3071" s="1833"/>
      <c r="BO3071" s="1833"/>
      <c r="BP3071" s="1833"/>
      <c r="BQ3071" s="1833"/>
      <c r="BR3071" s="1833"/>
      <c r="BS3071" s="1833"/>
      <c r="BT3071" s="1833"/>
      <c r="BU3071" s="1833"/>
      <c r="BV3071" s="1833"/>
      <c r="BW3071" s="1833"/>
      <c r="BX3071" s="1833"/>
      <c r="BY3071" s="1833"/>
      <c r="BZ3071" s="1833"/>
      <c r="CA3071" s="1833"/>
      <c r="CB3071" s="1833"/>
      <c r="CC3071" s="1833"/>
      <c r="CD3071" s="1833"/>
      <c r="CE3071" s="1833"/>
      <c r="CF3071" s="1833"/>
      <c r="CG3071" s="1833"/>
      <c r="CH3071" s="1833"/>
      <c r="CI3071" s="1833"/>
      <c r="CJ3071" s="1833"/>
      <c r="CK3071" s="1833"/>
    </row>
    <row r="3072" spans="1:89" s="1134" customFormat="1" ht="30" customHeight="1" x14ac:dyDescent="0.25">
      <c r="A3072" s="1726"/>
      <c r="B3072" s="1135" t="s">
        <v>2185</v>
      </c>
      <c r="C3072" s="1136">
        <v>11</v>
      </c>
      <c r="D3072" s="1129" t="s">
        <v>119</v>
      </c>
      <c r="E3072" s="1130">
        <v>15000</v>
      </c>
      <c r="F3072" s="1131">
        <v>0</v>
      </c>
      <c r="G3072" s="1132">
        <v>0</v>
      </c>
      <c r="H3072" s="1133">
        <f t="shared" ref="H3072:H3077" si="298">G3072+F3072</f>
        <v>0</v>
      </c>
      <c r="I3072" s="1131">
        <v>0</v>
      </c>
      <c r="J3072" s="1131">
        <v>0</v>
      </c>
      <c r="K3072" s="1131">
        <v>0</v>
      </c>
      <c r="L3072" s="1131">
        <f t="shared" si="295"/>
        <v>165000</v>
      </c>
      <c r="M3072" s="1131">
        <v>0</v>
      </c>
      <c r="N3072" s="1133">
        <f t="shared" si="296"/>
        <v>165000</v>
      </c>
      <c r="O3072" s="1727">
        <f t="shared" si="297"/>
        <v>165000</v>
      </c>
      <c r="P3072" s="1816"/>
      <c r="Q3072" s="1833"/>
      <c r="R3072" s="1833"/>
      <c r="S3072" s="1833"/>
      <c r="T3072" s="1833"/>
      <c r="U3072" s="1833"/>
      <c r="V3072" s="1833"/>
      <c r="W3072" s="1833"/>
      <c r="X3072" s="1833"/>
      <c r="Y3072" s="1833"/>
      <c r="Z3072" s="1833"/>
      <c r="AA3072" s="1833"/>
      <c r="AB3072" s="1833"/>
      <c r="AC3072" s="1833"/>
      <c r="AD3072" s="1833"/>
      <c r="AE3072" s="1833"/>
      <c r="AF3072" s="1833"/>
      <c r="AG3072" s="1833"/>
      <c r="AH3072" s="1833"/>
      <c r="AI3072" s="1833"/>
      <c r="AJ3072" s="1833"/>
      <c r="AK3072" s="1833"/>
      <c r="AL3072" s="1833"/>
      <c r="AM3072" s="1833"/>
      <c r="AN3072" s="1833"/>
      <c r="AO3072" s="1833"/>
      <c r="AP3072" s="1833"/>
      <c r="AQ3072" s="1833"/>
      <c r="AR3072" s="1833"/>
      <c r="AS3072" s="1833"/>
      <c r="AT3072" s="1833"/>
      <c r="AU3072" s="1833"/>
      <c r="AV3072" s="1833"/>
      <c r="AW3072" s="1833"/>
      <c r="AX3072" s="1833"/>
      <c r="AY3072" s="1833"/>
      <c r="AZ3072" s="1833"/>
      <c r="BA3072" s="1833"/>
      <c r="BB3072" s="1833"/>
      <c r="BC3072" s="1833"/>
      <c r="BD3072" s="1833"/>
      <c r="BE3072" s="1833"/>
      <c r="BF3072" s="1833"/>
      <c r="BG3072" s="1833"/>
      <c r="BH3072" s="1833"/>
      <c r="BI3072" s="1833"/>
      <c r="BJ3072" s="1833"/>
      <c r="BK3072" s="1833"/>
      <c r="BL3072" s="1833"/>
      <c r="BM3072" s="1833"/>
      <c r="BN3072" s="1833"/>
      <c r="BO3072" s="1833"/>
      <c r="BP3072" s="1833"/>
      <c r="BQ3072" s="1833"/>
      <c r="BR3072" s="1833"/>
      <c r="BS3072" s="1833"/>
      <c r="BT3072" s="1833"/>
      <c r="BU3072" s="1833"/>
      <c r="BV3072" s="1833"/>
      <c r="BW3072" s="1833"/>
      <c r="BX3072" s="1833"/>
      <c r="BY3072" s="1833"/>
      <c r="BZ3072" s="1833"/>
      <c r="CA3072" s="1833"/>
      <c r="CB3072" s="1833"/>
      <c r="CC3072" s="1833"/>
      <c r="CD3072" s="1833"/>
      <c r="CE3072" s="1833"/>
      <c r="CF3072" s="1833"/>
      <c r="CG3072" s="1833"/>
      <c r="CH3072" s="1833"/>
      <c r="CI3072" s="1833"/>
      <c r="CJ3072" s="1833"/>
      <c r="CK3072" s="1833"/>
    </row>
    <row r="3073" spans="1:89" s="1134" customFormat="1" ht="30" customHeight="1" x14ac:dyDescent="0.25">
      <c r="A3073" s="1726"/>
      <c r="B3073" s="1135" t="s">
        <v>2186</v>
      </c>
      <c r="C3073" s="1136">
        <v>12</v>
      </c>
      <c r="D3073" s="1129" t="s">
        <v>119</v>
      </c>
      <c r="E3073" s="1130">
        <v>3000</v>
      </c>
      <c r="F3073" s="1131">
        <v>0</v>
      </c>
      <c r="G3073" s="1132">
        <v>0</v>
      </c>
      <c r="H3073" s="1131">
        <f t="shared" si="298"/>
        <v>0</v>
      </c>
      <c r="I3073" s="1131">
        <v>0</v>
      </c>
      <c r="J3073" s="1131">
        <v>0</v>
      </c>
      <c r="K3073" s="1131">
        <v>0</v>
      </c>
      <c r="L3073" s="1131">
        <f t="shared" si="295"/>
        <v>36000</v>
      </c>
      <c r="M3073" s="1131">
        <v>0</v>
      </c>
      <c r="N3073" s="1133">
        <f t="shared" si="296"/>
        <v>36000</v>
      </c>
      <c r="O3073" s="1727">
        <f t="shared" si="297"/>
        <v>36000</v>
      </c>
      <c r="P3073" s="1816"/>
      <c r="Q3073" s="1833"/>
      <c r="R3073" s="1833"/>
      <c r="S3073" s="1833"/>
      <c r="T3073" s="1833"/>
      <c r="U3073" s="1833"/>
      <c r="V3073" s="1833"/>
      <c r="W3073" s="1833"/>
      <c r="X3073" s="1833"/>
      <c r="Y3073" s="1833"/>
      <c r="Z3073" s="1833"/>
      <c r="AA3073" s="1833"/>
      <c r="AB3073" s="1833"/>
      <c r="AC3073" s="1833"/>
      <c r="AD3073" s="1833"/>
      <c r="AE3073" s="1833"/>
      <c r="AF3073" s="1833"/>
      <c r="AG3073" s="1833"/>
      <c r="AH3073" s="1833"/>
      <c r="AI3073" s="1833"/>
      <c r="AJ3073" s="1833"/>
      <c r="AK3073" s="1833"/>
      <c r="AL3073" s="1833"/>
      <c r="AM3073" s="1833"/>
      <c r="AN3073" s="1833"/>
      <c r="AO3073" s="1833"/>
      <c r="AP3073" s="1833"/>
      <c r="AQ3073" s="1833"/>
      <c r="AR3073" s="1833"/>
      <c r="AS3073" s="1833"/>
      <c r="AT3073" s="1833"/>
      <c r="AU3073" s="1833"/>
      <c r="AV3073" s="1833"/>
      <c r="AW3073" s="1833"/>
      <c r="AX3073" s="1833"/>
      <c r="AY3073" s="1833"/>
      <c r="AZ3073" s="1833"/>
      <c r="BA3073" s="1833"/>
      <c r="BB3073" s="1833"/>
      <c r="BC3073" s="1833"/>
      <c r="BD3073" s="1833"/>
      <c r="BE3073" s="1833"/>
      <c r="BF3073" s="1833"/>
      <c r="BG3073" s="1833"/>
      <c r="BH3073" s="1833"/>
      <c r="BI3073" s="1833"/>
      <c r="BJ3073" s="1833"/>
      <c r="BK3073" s="1833"/>
      <c r="BL3073" s="1833"/>
      <c r="BM3073" s="1833"/>
      <c r="BN3073" s="1833"/>
      <c r="BO3073" s="1833"/>
      <c r="BP3073" s="1833"/>
      <c r="BQ3073" s="1833"/>
      <c r="BR3073" s="1833"/>
      <c r="BS3073" s="1833"/>
      <c r="BT3073" s="1833"/>
      <c r="BU3073" s="1833"/>
      <c r="BV3073" s="1833"/>
      <c r="BW3073" s="1833"/>
      <c r="BX3073" s="1833"/>
      <c r="BY3073" s="1833"/>
      <c r="BZ3073" s="1833"/>
      <c r="CA3073" s="1833"/>
      <c r="CB3073" s="1833"/>
      <c r="CC3073" s="1833"/>
      <c r="CD3073" s="1833"/>
      <c r="CE3073" s="1833"/>
      <c r="CF3073" s="1833"/>
      <c r="CG3073" s="1833"/>
      <c r="CH3073" s="1833"/>
      <c r="CI3073" s="1833"/>
      <c r="CJ3073" s="1833"/>
      <c r="CK3073" s="1833"/>
    </row>
    <row r="3074" spans="1:89" s="1134" customFormat="1" ht="30" customHeight="1" x14ac:dyDescent="0.25">
      <c r="A3074" s="1726"/>
      <c r="B3074" s="1135" t="s">
        <v>2187</v>
      </c>
      <c r="C3074" s="1137">
        <v>6</v>
      </c>
      <c r="D3074" s="1129" t="s">
        <v>119</v>
      </c>
      <c r="E3074" s="1130">
        <v>5000</v>
      </c>
      <c r="F3074" s="1131">
        <v>0</v>
      </c>
      <c r="G3074" s="1132">
        <v>0</v>
      </c>
      <c r="H3074" s="1131">
        <f t="shared" si="298"/>
        <v>0</v>
      </c>
      <c r="I3074" s="1131">
        <v>0</v>
      </c>
      <c r="J3074" s="1131">
        <v>0</v>
      </c>
      <c r="K3074" s="1131">
        <v>0</v>
      </c>
      <c r="L3074" s="1131">
        <f t="shared" si="295"/>
        <v>30000</v>
      </c>
      <c r="M3074" s="1131">
        <v>0</v>
      </c>
      <c r="N3074" s="1133">
        <f t="shared" si="296"/>
        <v>30000</v>
      </c>
      <c r="O3074" s="1727">
        <f t="shared" si="297"/>
        <v>30000</v>
      </c>
      <c r="P3074" s="1816"/>
      <c r="Q3074" s="1833"/>
      <c r="R3074" s="1833"/>
      <c r="S3074" s="1833"/>
      <c r="T3074" s="1833"/>
      <c r="U3074" s="1833"/>
      <c r="V3074" s="1833"/>
      <c r="W3074" s="1833"/>
      <c r="X3074" s="1833"/>
      <c r="Y3074" s="1833"/>
      <c r="Z3074" s="1833"/>
      <c r="AA3074" s="1833"/>
      <c r="AB3074" s="1833"/>
      <c r="AC3074" s="1833"/>
      <c r="AD3074" s="1833"/>
      <c r="AE3074" s="1833"/>
      <c r="AF3074" s="1833"/>
      <c r="AG3074" s="1833"/>
      <c r="AH3074" s="1833"/>
      <c r="AI3074" s="1833"/>
      <c r="AJ3074" s="1833"/>
      <c r="AK3074" s="1833"/>
      <c r="AL3074" s="1833"/>
      <c r="AM3074" s="1833"/>
      <c r="AN3074" s="1833"/>
      <c r="AO3074" s="1833"/>
      <c r="AP3074" s="1833"/>
      <c r="AQ3074" s="1833"/>
      <c r="AR3074" s="1833"/>
      <c r="AS3074" s="1833"/>
      <c r="AT3074" s="1833"/>
      <c r="AU3074" s="1833"/>
      <c r="AV3074" s="1833"/>
      <c r="AW3074" s="1833"/>
      <c r="AX3074" s="1833"/>
      <c r="AY3074" s="1833"/>
      <c r="AZ3074" s="1833"/>
      <c r="BA3074" s="1833"/>
      <c r="BB3074" s="1833"/>
      <c r="BC3074" s="1833"/>
      <c r="BD3074" s="1833"/>
      <c r="BE3074" s="1833"/>
      <c r="BF3074" s="1833"/>
      <c r="BG3074" s="1833"/>
      <c r="BH3074" s="1833"/>
      <c r="BI3074" s="1833"/>
      <c r="BJ3074" s="1833"/>
      <c r="BK3074" s="1833"/>
      <c r="BL3074" s="1833"/>
      <c r="BM3074" s="1833"/>
      <c r="BN3074" s="1833"/>
      <c r="BO3074" s="1833"/>
      <c r="BP3074" s="1833"/>
      <c r="BQ3074" s="1833"/>
      <c r="BR3074" s="1833"/>
      <c r="BS3074" s="1833"/>
      <c r="BT3074" s="1833"/>
      <c r="BU3074" s="1833"/>
      <c r="BV3074" s="1833"/>
      <c r="BW3074" s="1833"/>
      <c r="BX3074" s="1833"/>
      <c r="BY3074" s="1833"/>
      <c r="BZ3074" s="1833"/>
      <c r="CA3074" s="1833"/>
      <c r="CB3074" s="1833"/>
      <c r="CC3074" s="1833"/>
      <c r="CD3074" s="1833"/>
      <c r="CE3074" s="1833"/>
      <c r="CF3074" s="1833"/>
      <c r="CG3074" s="1833"/>
      <c r="CH3074" s="1833"/>
      <c r="CI3074" s="1833"/>
      <c r="CJ3074" s="1833"/>
      <c r="CK3074" s="1833"/>
    </row>
    <row r="3075" spans="1:89" s="1134" customFormat="1" ht="30" customHeight="1" x14ac:dyDescent="0.25">
      <c r="A3075" s="1726"/>
      <c r="B3075" s="1135" t="s">
        <v>2188</v>
      </c>
      <c r="C3075" s="1137">
        <v>6</v>
      </c>
      <c r="D3075" s="1129" t="s">
        <v>119</v>
      </c>
      <c r="E3075" s="1130">
        <v>10000</v>
      </c>
      <c r="F3075" s="1131">
        <v>0</v>
      </c>
      <c r="G3075" s="1132">
        <v>0</v>
      </c>
      <c r="H3075" s="1131">
        <f t="shared" si="298"/>
        <v>0</v>
      </c>
      <c r="I3075" s="1131">
        <v>0</v>
      </c>
      <c r="J3075" s="1131">
        <v>0</v>
      </c>
      <c r="K3075" s="1131">
        <v>0</v>
      </c>
      <c r="L3075" s="1131">
        <f t="shared" si="295"/>
        <v>60000</v>
      </c>
      <c r="M3075" s="1131">
        <v>0</v>
      </c>
      <c r="N3075" s="1133">
        <f t="shared" si="296"/>
        <v>60000</v>
      </c>
      <c r="O3075" s="1727">
        <f t="shared" si="297"/>
        <v>60000</v>
      </c>
      <c r="P3075" s="1816"/>
      <c r="Q3075" s="1833"/>
      <c r="R3075" s="1833"/>
      <c r="S3075" s="1833"/>
      <c r="T3075" s="1833"/>
      <c r="U3075" s="1833"/>
      <c r="V3075" s="1833"/>
      <c r="W3075" s="1833"/>
      <c r="X3075" s="1833"/>
      <c r="Y3075" s="1833"/>
      <c r="Z3075" s="1833"/>
      <c r="AA3075" s="1833"/>
      <c r="AB3075" s="1833"/>
      <c r="AC3075" s="1833"/>
      <c r="AD3075" s="1833"/>
      <c r="AE3075" s="1833"/>
      <c r="AF3075" s="1833"/>
      <c r="AG3075" s="1833"/>
      <c r="AH3075" s="1833"/>
      <c r="AI3075" s="1833"/>
      <c r="AJ3075" s="1833"/>
      <c r="AK3075" s="1833"/>
      <c r="AL3075" s="1833"/>
      <c r="AM3075" s="1833"/>
      <c r="AN3075" s="1833"/>
      <c r="AO3075" s="1833"/>
      <c r="AP3075" s="1833"/>
      <c r="AQ3075" s="1833"/>
      <c r="AR3075" s="1833"/>
      <c r="AS3075" s="1833"/>
      <c r="AT3075" s="1833"/>
      <c r="AU3075" s="1833"/>
      <c r="AV3075" s="1833"/>
      <c r="AW3075" s="1833"/>
      <c r="AX3075" s="1833"/>
      <c r="AY3075" s="1833"/>
      <c r="AZ3075" s="1833"/>
      <c r="BA3075" s="1833"/>
      <c r="BB3075" s="1833"/>
      <c r="BC3075" s="1833"/>
      <c r="BD3075" s="1833"/>
      <c r="BE3075" s="1833"/>
      <c r="BF3075" s="1833"/>
      <c r="BG3075" s="1833"/>
      <c r="BH3075" s="1833"/>
      <c r="BI3075" s="1833"/>
      <c r="BJ3075" s="1833"/>
      <c r="BK3075" s="1833"/>
      <c r="BL3075" s="1833"/>
      <c r="BM3075" s="1833"/>
      <c r="BN3075" s="1833"/>
      <c r="BO3075" s="1833"/>
      <c r="BP3075" s="1833"/>
      <c r="BQ3075" s="1833"/>
      <c r="BR3075" s="1833"/>
      <c r="BS3075" s="1833"/>
      <c r="BT3075" s="1833"/>
      <c r="BU3075" s="1833"/>
      <c r="BV3075" s="1833"/>
      <c r="BW3075" s="1833"/>
      <c r="BX3075" s="1833"/>
      <c r="BY3075" s="1833"/>
      <c r="BZ3075" s="1833"/>
      <c r="CA3075" s="1833"/>
      <c r="CB3075" s="1833"/>
      <c r="CC3075" s="1833"/>
      <c r="CD3075" s="1833"/>
      <c r="CE3075" s="1833"/>
      <c r="CF3075" s="1833"/>
      <c r="CG3075" s="1833"/>
      <c r="CH3075" s="1833"/>
      <c r="CI3075" s="1833"/>
      <c r="CJ3075" s="1833"/>
      <c r="CK3075" s="1833"/>
    </row>
    <row r="3076" spans="1:89" s="1134" customFormat="1" ht="30" customHeight="1" x14ac:dyDescent="0.25">
      <c r="A3076" s="1726"/>
      <c r="B3076" s="1135" t="s">
        <v>1212</v>
      </c>
      <c r="C3076" s="1137">
        <v>2</v>
      </c>
      <c r="D3076" s="1129" t="s">
        <v>119</v>
      </c>
      <c r="E3076" s="1130">
        <v>10000</v>
      </c>
      <c r="F3076" s="1131">
        <v>0</v>
      </c>
      <c r="G3076" s="1132">
        <v>0</v>
      </c>
      <c r="H3076" s="1131">
        <f t="shared" si="298"/>
        <v>0</v>
      </c>
      <c r="I3076" s="1131">
        <v>0</v>
      </c>
      <c r="J3076" s="1131">
        <v>0</v>
      </c>
      <c r="K3076" s="1131">
        <v>0</v>
      </c>
      <c r="L3076" s="1131">
        <f t="shared" si="295"/>
        <v>20000</v>
      </c>
      <c r="M3076" s="1131">
        <v>0</v>
      </c>
      <c r="N3076" s="1133">
        <f t="shared" si="296"/>
        <v>20000</v>
      </c>
      <c r="O3076" s="1727">
        <f t="shared" si="297"/>
        <v>20000</v>
      </c>
      <c r="P3076" s="1816"/>
      <c r="Q3076" s="1833"/>
      <c r="R3076" s="1833"/>
      <c r="S3076" s="1833"/>
      <c r="T3076" s="1833"/>
      <c r="U3076" s="1833"/>
      <c r="V3076" s="1833"/>
      <c r="W3076" s="1833"/>
      <c r="X3076" s="1833"/>
      <c r="Y3076" s="1833"/>
      <c r="Z3076" s="1833"/>
      <c r="AA3076" s="1833"/>
      <c r="AB3076" s="1833"/>
      <c r="AC3076" s="1833"/>
      <c r="AD3076" s="1833"/>
      <c r="AE3076" s="1833"/>
      <c r="AF3076" s="1833"/>
      <c r="AG3076" s="1833"/>
      <c r="AH3076" s="1833"/>
      <c r="AI3076" s="1833"/>
      <c r="AJ3076" s="1833"/>
      <c r="AK3076" s="1833"/>
      <c r="AL3076" s="1833"/>
      <c r="AM3076" s="1833"/>
      <c r="AN3076" s="1833"/>
      <c r="AO3076" s="1833"/>
      <c r="AP3076" s="1833"/>
      <c r="AQ3076" s="1833"/>
      <c r="AR3076" s="1833"/>
      <c r="AS3076" s="1833"/>
      <c r="AT3076" s="1833"/>
      <c r="AU3076" s="1833"/>
      <c r="AV3076" s="1833"/>
      <c r="AW3076" s="1833"/>
      <c r="AX3076" s="1833"/>
      <c r="AY3076" s="1833"/>
      <c r="AZ3076" s="1833"/>
      <c r="BA3076" s="1833"/>
      <c r="BB3076" s="1833"/>
      <c r="BC3076" s="1833"/>
      <c r="BD3076" s="1833"/>
      <c r="BE3076" s="1833"/>
      <c r="BF3076" s="1833"/>
      <c r="BG3076" s="1833"/>
      <c r="BH3076" s="1833"/>
      <c r="BI3076" s="1833"/>
      <c r="BJ3076" s="1833"/>
      <c r="BK3076" s="1833"/>
      <c r="BL3076" s="1833"/>
      <c r="BM3076" s="1833"/>
      <c r="BN3076" s="1833"/>
      <c r="BO3076" s="1833"/>
      <c r="BP3076" s="1833"/>
      <c r="BQ3076" s="1833"/>
      <c r="BR3076" s="1833"/>
      <c r="BS3076" s="1833"/>
      <c r="BT3076" s="1833"/>
      <c r="BU3076" s="1833"/>
      <c r="BV3076" s="1833"/>
      <c r="BW3076" s="1833"/>
      <c r="BX3076" s="1833"/>
      <c r="BY3076" s="1833"/>
      <c r="BZ3076" s="1833"/>
      <c r="CA3076" s="1833"/>
      <c r="CB3076" s="1833"/>
      <c r="CC3076" s="1833"/>
      <c r="CD3076" s="1833"/>
      <c r="CE3076" s="1833"/>
      <c r="CF3076" s="1833"/>
      <c r="CG3076" s="1833"/>
      <c r="CH3076" s="1833"/>
      <c r="CI3076" s="1833"/>
      <c r="CJ3076" s="1833"/>
      <c r="CK3076" s="1833"/>
    </row>
    <row r="3077" spans="1:89" s="1134" customFormat="1" ht="30" customHeight="1" x14ac:dyDescent="0.25">
      <c r="A3077" s="1726"/>
      <c r="B3077" s="1135" t="s">
        <v>2189</v>
      </c>
      <c r="C3077" s="1137">
        <v>7</v>
      </c>
      <c r="D3077" s="1129" t="s">
        <v>119</v>
      </c>
      <c r="E3077" s="1130">
        <v>10000</v>
      </c>
      <c r="F3077" s="1131">
        <v>0</v>
      </c>
      <c r="G3077" s="1132">
        <v>0</v>
      </c>
      <c r="H3077" s="1131">
        <f t="shared" si="298"/>
        <v>0</v>
      </c>
      <c r="I3077" s="1131">
        <v>0</v>
      </c>
      <c r="J3077" s="1131">
        <v>0</v>
      </c>
      <c r="K3077" s="1131">
        <v>0</v>
      </c>
      <c r="L3077" s="1131">
        <f t="shared" si="295"/>
        <v>70000</v>
      </c>
      <c r="M3077" s="1131">
        <v>0</v>
      </c>
      <c r="N3077" s="1133">
        <f t="shared" si="296"/>
        <v>70000</v>
      </c>
      <c r="O3077" s="1727">
        <f t="shared" si="297"/>
        <v>70000</v>
      </c>
      <c r="P3077" s="1816"/>
      <c r="Q3077" s="1833"/>
      <c r="R3077" s="1833"/>
      <c r="S3077" s="1833"/>
      <c r="T3077" s="1833"/>
      <c r="U3077" s="1833"/>
      <c r="V3077" s="1833"/>
      <c r="W3077" s="1833"/>
      <c r="X3077" s="1833"/>
      <c r="Y3077" s="1833"/>
      <c r="Z3077" s="1833"/>
      <c r="AA3077" s="1833"/>
      <c r="AB3077" s="1833"/>
      <c r="AC3077" s="1833"/>
      <c r="AD3077" s="1833"/>
      <c r="AE3077" s="1833"/>
      <c r="AF3077" s="1833"/>
      <c r="AG3077" s="1833"/>
      <c r="AH3077" s="1833"/>
      <c r="AI3077" s="1833"/>
      <c r="AJ3077" s="1833"/>
      <c r="AK3077" s="1833"/>
      <c r="AL3077" s="1833"/>
      <c r="AM3077" s="1833"/>
      <c r="AN3077" s="1833"/>
      <c r="AO3077" s="1833"/>
      <c r="AP3077" s="1833"/>
      <c r="AQ3077" s="1833"/>
      <c r="AR3077" s="1833"/>
      <c r="AS3077" s="1833"/>
      <c r="AT3077" s="1833"/>
      <c r="AU3077" s="1833"/>
      <c r="AV3077" s="1833"/>
      <c r="AW3077" s="1833"/>
      <c r="AX3077" s="1833"/>
      <c r="AY3077" s="1833"/>
      <c r="AZ3077" s="1833"/>
      <c r="BA3077" s="1833"/>
      <c r="BB3077" s="1833"/>
      <c r="BC3077" s="1833"/>
      <c r="BD3077" s="1833"/>
      <c r="BE3077" s="1833"/>
      <c r="BF3077" s="1833"/>
      <c r="BG3077" s="1833"/>
      <c r="BH3077" s="1833"/>
      <c r="BI3077" s="1833"/>
      <c r="BJ3077" s="1833"/>
      <c r="BK3077" s="1833"/>
      <c r="BL3077" s="1833"/>
      <c r="BM3077" s="1833"/>
      <c r="BN3077" s="1833"/>
      <c r="BO3077" s="1833"/>
      <c r="BP3077" s="1833"/>
      <c r="BQ3077" s="1833"/>
      <c r="BR3077" s="1833"/>
      <c r="BS3077" s="1833"/>
      <c r="BT3077" s="1833"/>
      <c r="BU3077" s="1833"/>
      <c r="BV3077" s="1833"/>
      <c r="BW3077" s="1833"/>
      <c r="BX3077" s="1833"/>
      <c r="BY3077" s="1833"/>
      <c r="BZ3077" s="1833"/>
      <c r="CA3077" s="1833"/>
      <c r="CB3077" s="1833"/>
      <c r="CC3077" s="1833"/>
      <c r="CD3077" s="1833"/>
      <c r="CE3077" s="1833"/>
      <c r="CF3077" s="1833"/>
      <c r="CG3077" s="1833"/>
      <c r="CH3077" s="1833"/>
      <c r="CI3077" s="1833"/>
      <c r="CJ3077" s="1833"/>
      <c r="CK3077" s="1833"/>
    </row>
    <row r="3078" spans="1:89" s="1134" customFormat="1" ht="30" customHeight="1" x14ac:dyDescent="0.25">
      <c r="A3078" s="1726"/>
      <c r="B3078" s="1135" t="s">
        <v>2190</v>
      </c>
      <c r="C3078" s="1138">
        <v>3</v>
      </c>
      <c r="D3078" s="1129" t="s">
        <v>119</v>
      </c>
      <c r="E3078" s="1130">
        <v>280000</v>
      </c>
      <c r="F3078" s="1131">
        <v>0</v>
      </c>
      <c r="G3078" s="1132">
        <v>0</v>
      </c>
      <c r="H3078" s="1131">
        <v>0</v>
      </c>
      <c r="I3078" s="1131">
        <v>0</v>
      </c>
      <c r="J3078" s="1131">
        <v>0</v>
      </c>
      <c r="K3078" s="1131">
        <v>0</v>
      </c>
      <c r="L3078" s="1131">
        <f t="shared" si="295"/>
        <v>840000</v>
      </c>
      <c r="M3078" s="1131">
        <v>0</v>
      </c>
      <c r="N3078" s="1133">
        <f t="shared" si="296"/>
        <v>840000</v>
      </c>
      <c r="O3078" s="1727">
        <f t="shared" si="297"/>
        <v>840000</v>
      </c>
      <c r="P3078" s="1816"/>
      <c r="Q3078" s="1833"/>
      <c r="R3078" s="1833"/>
      <c r="S3078" s="1833"/>
      <c r="T3078" s="1833"/>
      <c r="U3078" s="1833"/>
      <c r="V3078" s="1833"/>
      <c r="W3078" s="1833"/>
      <c r="X3078" s="1833"/>
      <c r="Y3078" s="1833"/>
      <c r="Z3078" s="1833"/>
      <c r="AA3078" s="1833"/>
      <c r="AB3078" s="1833"/>
      <c r="AC3078" s="1833"/>
      <c r="AD3078" s="1833"/>
      <c r="AE3078" s="1833"/>
      <c r="AF3078" s="1833"/>
      <c r="AG3078" s="1833"/>
      <c r="AH3078" s="1833"/>
      <c r="AI3078" s="1833"/>
      <c r="AJ3078" s="1833"/>
      <c r="AK3078" s="1833"/>
      <c r="AL3078" s="1833"/>
      <c r="AM3078" s="1833"/>
      <c r="AN3078" s="1833"/>
      <c r="AO3078" s="1833"/>
      <c r="AP3078" s="1833"/>
      <c r="AQ3078" s="1833"/>
      <c r="AR3078" s="1833"/>
      <c r="AS3078" s="1833"/>
      <c r="AT3078" s="1833"/>
      <c r="AU3078" s="1833"/>
      <c r="AV3078" s="1833"/>
      <c r="AW3078" s="1833"/>
      <c r="AX3078" s="1833"/>
      <c r="AY3078" s="1833"/>
      <c r="AZ3078" s="1833"/>
      <c r="BA3078" s="1833"/>
      <c r="BB3078" s="1833"/>
      <c r="BC3078" s="1833"/>
      <c r="BD3078" s="1833"/>
      <c r="BE3078" s="1833"/>
      <c r="BF3078" s="1833"/>
      <c r="BG3078" s="1833"/>
      <c r="BH3078" s="1833"/>
      <c r="BI3078" s="1833"/>
      <c r="BJ3078" s="1833"/>
      <c r="BK3078" s="1833"/>
      <c r="BL3078" s="1833"/>
      <c r="BM3078" s="1833"/>
      <c r="BN3078" s="1833"/>
      <c r="BO3078" s="1833"/>
      <c r="BP3078" s="1833"/>
      <c r="BQ3078" s="1833"/>
      <c r="BR3078" s="1833"/>
      <c r="BS3078" s="1833"/>
      <c r="BT3078" s="1833"/>
      <c r="BU3078" s="1833"/>
      <c r="BV3078" s="1833"/>
      <c r="BW3078" s="1833"/>
      <c r="BX3078" s="1833"/>
      <c r="BY3078" s="1833"/>
      <c r="BZ3078" s="1833"/>
      <c r="CA3078" s="1833"/>
      <c r="CB3078" s="1833"/>
      <c r="CC3078" s="1833"/>
      <c r="CD3078" s="1833"/>
      <c r="CE3078" s="1833"/>
      <c r="CF3078" s="1833"/>
      <c r="CG3078" s="1833"/>
      <c r="CH3078" s="1833"/>
      <c r="CI3078" s="1833"/>
      <c r="CJ3078" s="1833"/>
      <c r="CK3078" s="1833"/>
    </row>
    <row r="3079" spans="1:89" s="1134" customFormat="1" ht="30" customHeight="1" x14ac:dyDescent="0.25">
      <c r="A3079" s="1726"/>
      <c r="B3079" s="1135" t="s">
        <v>2191</v>
      </c>
      <c r="C3079" s="1136">
        <v>3</v>
      </c>
      <c r="D3079" s="1129" t="s">
        <v>119</v>
      </c>
      <c r="E3079" s="1130">
        <v>18000</v>
      </c>
      <c r="F3079" s="1131">
        <v>0</v>
      </c>
      <c r="G3079" s="1132">
        <v>0</v>
      </c>
      <c r="H3079" s="1131">
        <f>G3079+F3079</f>
        <v>0</v>
      </c>
      <c r="I3079" s="1131">
        <v>0</v>
      </c>
      <c r="J3079" s="1131">
        <v>0</v>
      </c>
      <c r="K3079" s="1131">
        <v>0</v>
      </c>
      <c r="L3079" s="1131">
        <f t="shared" si="295"/>
        <v>54000</v>
      </c>
      <c r="M3079" s="1131">
        <v>0</v>
      </c>
      <c r="N3079" s="1133">
        <f t="shared" si="296"/>
        <v>54000</v>
      </c>
      <c r="O3079" s="1727">
        <f t="shared" si="297"/>
        <v>54000</v>
      </c>
      <c r="P3079" s="1816"/>
      <c r="Q3079" s="1833"/>
      <c r="R3079" s="1833"/>
      <c r="S3079" s="1833"/>
      <c r="T3079" s="1833"/>
      <c r="U3079" s="1833"/>
      <c r="V3079" s="1833"/>
      <c r="W3079" s="1833"/>
      <c r="X3079" s="1833"/>
      <c r="Y3079" s="1833"/>
      <c r="Z3079" s="1833"/>
      <c r="AA3079" s="1833"/>
      <c r="AB3079" s="1833"/>
      <c r="AC3079" s="1833"/>
      <c r="AD3079" s="1833"/>
      <c r="AE3079" s="1833"/>
      <c r="AF3079" s="1833"/>
      <c r="AG3079" s="1833"/>
      <c r="AH3079" s="1833"/>
      <c r="AI3079" s="1833"/>
      <c r="AJ3079" s="1833"/>
      <c r="AK3079" s="1833"/>
      <c r="AL3079" s="1833"/>
      <c r="AM3079" s="1833"/>
      <c r="AN3079" s="1833"/>
      <c r="AO3079" s="1833"/>
      <c r="AP3079" s="1833"/>
      <c r="AQ3079" s="1833"/>
      <c r="AR3079" s="1833"/>
      <c r="AS3079" s="1833"/>
      <c r="AT3079" s="1833"/>
      <c r="AU3079" s="1833"/>
      <c r="AV3079" s="1833"/>
      <c r="AW3079" s="1833"/>
      <c r="AX3079" s="1833"/>
      <c r="AY3079" s="1833"/>
      <c r="AZ3079" s="1833"/>
      <c r="BA3079" s="1833"/>
      <c r="BB3079" s="1833"/>
      <c r="BC3079" s="1833"/>
      <c r="BD3079" s="1833"/>
      <c r="BE3079" s="1833"/>
      <c r="BF3079" s="1833"/>
      <c r="BG3079" s="1833"/>
      <c r="BH3079" s="1833"/>
      <c r="BI3079" s="1833"/>
      <c r="BJ3079" s="1833"/>
      <c r="BK3079" s="1833"/>
      <c r="BL3079" s="1833"/>
      <c r="BM3079" s="1833"/>
      <c r="BN3079" s="1833"/>
      <c r="BO3079" s="1833"/>
      <c r="BP3079" s="1833"/>
      <c r="BQ3079" s="1833"/>
      <c r="BR3079" s="1833"/>
      <c r="BS3079" s="1833"/>
      <c r="BT3079" s="1833"/>
      <c r="BU3079" s="1833"/>
      <c r="BV3079" s="1833"/>
      <c r="BW3079" s="1833"/>
      <c r="BX3079" s="1833"/>
      <c r="BY3079" s="1833"/>
      <c r="BZ3079" s="1833"/>
      <c r="CA3079" s="1833"/>
      <c r="CB3079" s="1833"/>
      <c r="CC3079" s="1833"/>
      <c r="CD3079" s="1833"/>
      <c r="CE3079" s="1833"/>
      <c r="CF3079" s="1833"/>
      <c r="CG3079" s="1833"/>
      <c r="CH3079" s="1833"/>
      <c r="CI3079" s="1833"/>
      <c r="CJ3079" s="1833"/>
      <c r="CK3079" s="1833"/>
    </row>
    <row r="3080" spans="1:89" s="1134" customFormat="1" ht="30" customHeight="1" x14ac:dyDescent="0.25">
      <c r="A3080" s="1726">
        <v>10</v>
      </c>
      <c r="B3080" s="1127" t="s">
        <v>419</v>
      </c>
      <c r="C3080" s="1136"/>
      <c r="D3080" s="1129"/>
      <c r="E3080" s="1130"/>
      <c r="F3080" s="1131"/>
      <c r="G3080" s="1132"/>
      <c r="H3080" s="1131"/>
      <c r="I3080" s="1131"/>
      <c r="J3080" s="1131"/>
      <c r="K3080" s="1131"/>
      <c r="L3080" s="1131"/>
      <c r="M3080" s="1131"/>
      <c r="N3080" s="1133"/>
      <c r="O3080" s="1727"/>
      <c r="P3080" s="1816"/>
      <c r="Q3080" s="1833"/>
      <c r="R3080" s="1833"/>
      <c r="S3080" s="1833"/>
      <c r="T3080" s="1833"/>
      <c r="U3080" s="1833"/>
      <c r="V3080" s="1833"/>
      <c r="W3080" s="1833"/>
      <c r="X3080" s="1833"/>
      <c r="Y3080" s="1833"/>
      <c r="Z3080" s="1833"/>
      <c r="AA3080" s="1833"/>
      <c r="AB3080" s="1833"/>
      <c r="AC3080" s="1833"/>
      <c r="AD3080" s="1833"/>
      <c r="AE3080" s="1833"/>
      <c r="AF3080" s="1833"/>
      <c r="AG3080" s="1833"/>
      <c r="AH3080" s="1833"/>
      <c r="AI3080" s="1833"/>
      <c r="AJ3080" s="1833"/>
      <c r="AK3080" s="1833"/>
      <c r="AL3080" s="1833"/>
      <c r="AM3080" s="1833"/>
      <c r="AN3080" s="1833"/>
      <c r="AO3080" s="1833"/>
      <c r="AP3080" s="1833"/>
      <c r="AQ3080" s="1833"/>
      <c r="AR3080" s="1833"/>
      <c r="AS3080" s="1833"/>
      <c r="AT3080" s="1833"/>
      <c r="AU3080" s="1833"/>
      <c r="AV3080" s="1833"/>
      <c r="AW3080" s="1833"/>
      <c r="AX3080" s="1833"/>
      <c r="AY3080" s="1833"/>
      <c r="AZ3080" s="1833"/>
      <c r="BA3080" s="1833"/>
      <c r="BB3080" s="1833"/>
      <c r="BC3080" s="1833"/>
      <c r="BD3080" s="1833"/>
      <c r="BE3080" s="1833"/>
      <c r="BF3080" s="1833"/>
      <c r="BG3080" s="1833"/>
      <c r="BH3080" s="1833"/>
      <c r="BI3080" s="1833"/>
      <c r="BJ3080" s="1833"/>
      <c r="BK3080" s="1833"/>
      <c r="BL3080" s="1833"/>
      <c r="BM3080" s="1833"/>
      <c r="BN3080" s="1833"/>
      <c r="BO3080" s="1833"/>
      <c r="BP3080" s="1833"/>
      <c r="BQ3080" s="1833"/>
      <c r="BR3080" s="1833"/>
      <c r="BS3080" s="1833"/>
      <c r="BT3080" s="1833"/>
      <c r="BU3080" s="1833"/>
      <c r="BV3080" s="1833"/>
      <c r="BW3080" s="1833"/>
      <c r="BX3080" s="1833"/>
      <c r="BY3080" s="1833"/>
      <c r="BZ3080" s="1833"/>
      <c r="CA3080" s="1833"/>
      <c r="CB3080" s="1833"/>
      <c r="CC3080" s="1833"/>
      <c r="CD3080" s="1833"/>
      <c r="CE3080" s="1833"/>
      <c r="CF3080" s="1833"/>
      <c r="CG3080" s="1833"/>
      <c r="CH3080" s="1833"/>
      <c r="CI3080" s="1833"/>
      <c r="CJ3080" s="1833"/>
      <c r="CK3080" s="1833"/>
    </row>
    <row r="3081" spans="1:89" s="1134" customFormat="1" ht="30" customHeight="1" x14ac:dyDescent="0.25">
      <c r="A3081" s="1726"/>
      <c r="B3081" s="1135" t="s">
        <v>2192</v>
      </c>
      <c r="C3081" s="1136">
        <v>1</v>
      </c>
      <c r="D3081" s="1129" t="s">
        <v>16</v>
      </c>
      <c r="E3081" s="1130">
        <v>150000</v>
      </c>
      <c r="F3081" s="1131">
        <v>0</v>
      </c>
      <c r="G3081" s="1132">
        <v>0</v>
      </c>
      <c r="H3081" s="1131">
        <v>0</v>
      </c>
      <c r="I3081" s="1131">
        <v>0</v>
      </c>
      <c r="J3081" s="1131">
        <v>0</v>
      </c>
      <c r="K3081" s="1131">
        <v>0</v>
      </c>
      <c r="L3081" s="1131">
        <f>E3081*C3081</f>
        <v>150000</v>
      </c>
      <c r="M3081" s="1131">
        <v>0</v>
      </c>
      <c r="N3081" s="1133">
        <f>M3081+L3081</f>
        <v>150000</v>
      </c>
      <c r="O3081" s="1727">
        <f>N3081+K3081+H3081</f>
        <v>150000</v>
      </c>
      <c r="P3081" s="1816"/>
      <c r="Q3081" s="1833"/>
      <c r="R3081" s="1833"/>
      <c r="S3081" s="1833"/>
      <c r="T3081" s="1833"/>
      <c r="U3081" s="1833"/>
      <c r="V3081" s="1833"/>
      <c r="W3081" s="1833"/>
      <c r="X3081" s="1833"/>
      <c r="Y3081" s="1833"/>
      <c r="Z3081" s="1833"/>
      <c r="AA3081" s="1833"/>
      <c r="AB3081" s="1833"/>
      <c r="AC3081" s="1833"/>
      <c r="AD3081" s="1833"/>
      <c r="AE3081" s="1833"/>
      <c r="AF3081" s="1833"/>
      <c r="AG3081" s="1833"/>
      <c r="AH3081" s="1833"/>
      <c r="AI3081" s="1833"/>
      <c r="AJ3081" s="1833"/>
      <c r="AK3081" s="1833"/>
      <c r="AL3081" s="1833"/>
      <c r="AM3081" s="1833"/>
      <c r="AN3081" s="1833"/>
      <c r="AO3081" s="1833"/>
      <c r="AP3081" s="1833"/>
      <c r="AQ3081" s="1833"/>
      <c r="AR3081" s="1833"/>
      <c r="AS3081" s="1833"/>
      <c r="AT3081" s="1833"/>
      <c r="AU3081" s="1833"/>
      <c r="AV3081" s="1833"/>
      <c r="AW3081" s="1833"/>
      <c r="AX3081" s="1833"/>
      <c r="AY3081" s="1833"/>
      <c r="AZ3081" s="1833"/>
      <c r="BA3081" s="1833"/>
      <c r="BB3081" s="1833"/>
      <c r="BC3081" s="1833"/>
      <c r="BD3081" s="1833"/>
      <c r="BE3081" s="1833"/>
      <c r="BF3081" s="1833"/>
      <c r="BG3081" s="1833"/>
      <c r="BH3081" s="1833"/>
      <c r="BI3081" s="1833"/>
      <c r="BJ3081" s="1833"/>
      <c r="BK3081" s="1833"/>
      <c r="BL3081" s="1833"/>
      <c r="BM3081" s="1833"/>
      <c r="BN3081" s="1833"/>
      <c r="BO3081" s="1833"/>
      <c r="BP3081" s="1833"/>
      <c r="BQ3081" s="1833"/>
      <c r="BR3081" s="1833"/>
      <c r="BS3081" s="1833"/>
      <c r="BT3081" s="1833"/>
      <c r="BU3081" s="1833"/>
      <c r="BV3081" s="1833"/>
      <c r="BW3081" s="1833"/>
      <c r="BX3081" s="1833"/>
      <c r="BY3081" s="1833"/>
      <c r="BZ3081" s="1833"/>
      <c r="CA3081" s="1833"/>
      <c r="CB3081" s="1833"/>
      <c r="CC3081" s="1833"/>
      <c r="CD3081" s="1833"/>
      <c r="CE3081" s="1833"/>
      <c r="CF3081" s="1833"/>
      <c r="CG3081" s="1833"/>
      <c r="CH3081" s="1833"/>
      <c r="CI3081" s="1833"/>
      <c r="CJ3081" s="1833"/>
      <c r="CK3081" s="1833"/>
    </row>
    <row r="3082" spans="1:89" s="1134" customFormat="1" ht="45.75" customHeight="1" x14ac:dyDescent="0.25">
      <c r="A3082" s="1726"/>
      <c r="B3082" s="1139" t="s">
        <v>2193</v>
      </c>
      <c r="C3082" s="1136">
        <v>1</v>
      </c>
      <c r="D3082" s="1129" t="s">
        <v>16</v>
      </c>
      <c r="E3082" s="1130">
        <v>1000000</v>
      </c>
      <c r="F3082" s="1131">
        <v>0</v>
      </c>
      <c r="G3082" s="1132">
        <v>0</v>
      </c>
      <c r="H3082" s="1131">
        <v>0</v>
      </c>
      <c r="I3082" s="1131">
        <v>0</v>
      </c>
      <c r="J3082" s="1131">
        <v>0</v>
      </c>
      <c r="K3082" s="1131">
        <v>0</v>
      </c>
      <c r="L3082" s="1131">
        <f>E3082*C3082</f>
        <v>1000000</v>
      </c>
      <c r="M3082" s="1131">
        <v>0</v>
      </c>
      <c r="N3082" s="1133">
        <f>M3082+L3082</f>
        <v>1000000</v>
      </c>
      <c r="O3082" s="1727">
        <f>N3082+K3082+H3082</f>
        <v>1000000</v>
      </c>
      <c r="P3082" s="1816"/>
      <c r="Q3082" s="1833"/>
      <c r="R3082" s="1833"/>
      <c r="S3082" s="1833"/>
      <c r="T3082" s="1833"/>
      <c r="U3082" s="1833"/>
      <c r="V3082" s="1833"/>
      <c r="W3082" s="1833"/>
      <c r="X3082" s="1833"/>
      <c r="Y3082" s="1833"/>
      <c r="Z3082" s="1833"/>
      <c r="AA3082" s="1833"/>
      <c r="AB3082" s="1833"/>
      <c r="AC3082" s="1833"/>
      <c r="AD3082" s="1833"/>
      <c r="AE3082" s="1833"/>
      <c r="AF3082" s="1833"/>
      <c r="AG3082" s="1833"/>
      <c r="AH3082" s="1833"/>
      <c r="AI3082" s="1833"/>
      <c r="AJ3082" s="1833"/>
      <c r="AK3082" s="1833"/>
      <c r="AL3082" s="1833"/>
      <c r="AM3082" s="1833"/>
      <c r="AN3082" s="1833"/>
      <c r="AO3082" s="1833"/>
      <c r="AP3082" s="1833"/>
      <c r="AQ3082" s="1833"/>
      <c r="AR3082" s="1833"/>
      <c r="AS3082" s="1833"/>
      <c r="AT3082" s="1833"/>
      <c r="AU3082" s="1833"/>
      <c r="AV3082" s="1833"/>
      <c r="AW3082" s="1833"/>
      <c r="AX3082" s="1833"/>
      <c r="AY3082" s="1833"/>
      <c r="AZ3082" s="1833"/>
      <c r="BA3082" s="1833"/>
      <c r="BB3082" s="1833"/>
      <c r="BC3082" s="1833"/>
      <c r="BD3082" s="1833"/>
      <c r="BE3082" s="1833"/>
      <c r="BF3082" s="1833"/>
      <c r="BG3082" s="1833"/>
      <c r="BH3082" s="1833"/>
      <c r="BI3082" s="1833"/>
      <c r="BJ3082" s="1833"/>
      <c r="BK3082" s="1833"/>
      <c r="BL3082" s="1833"/>
      <c r="BM3082" s="1833"/>
      <c r="BN3082" s="1833"/>
      <c r="BO3082" s="1833"/>
      <c r="BP3082" s="1833"/>
      <c r="BQ3082" s="1833"/>
      <c r="BR3082" s="1833"/>
      <c r="BS3082" s="1833"/>
      <c r="BT3082" s="1833"/>
      <c r="BU3082" s="1833"/>
      <c r="BV3082" s="1833"/>
      <c r="BW3082" s="1833"/>
      <c r="BX3082" s="1833"/>
      <c r="BY3082" s="1833"/>
      <c r="BZ3082" s="1833"/>
      <c r="CA3082" s="1833"/>
      <c r="CB3082" s="1833"/>
      <c r="CC3082" s="1833"/>
      <c r="CD3082" s="1833"/>
      <c r="CE3082" s="1833"/>
      <c r="CF3082" s="1833"/>
      <c r="CG3082" s="1833"/>
      <c r="CH3082" s="1833"/>
      <c r="CI3082" s="1833"/>
      <c r="CJ3082" s="1833"/>
      <c r="CK3082" s="1833"/>
    </row>
    <row r="3083" spans="1:89" s="1134" customFormat="1" ht="30" customHeight="1" x14ac:dyDescent="0.25">
      <c r="A3083" s="1726"/>
      <c r="B3083" s="1139" t="s">
        <v>2194</v>
      </c>
      <c r="C3083" s="1136">
        <v>1</v>
      </c>
      <c r="D3083" s="1129" t="s">
        <v>16</v>
      </c>
      <c r="E3083" s="1130">
        <v>1500000</v>
      </c>
      <c r="F3083" s="1131">
        <v>0</v>
      </c>
      <c r="G3083" s="1132">
        <v>0</v>
      </c>
      <c r="H3083" s="1131">
        <v>0</v>
      </c>
      <c r="I3083" s="1131">
        <v>0</v>
      </c>
      <c r="J3083" s="1131">
        <v>0</v>
      </c>
      <c r="K3083" s="1131">
        <v>0</v>
      </c>
      <c r="L3083" s="1131">
        <f>E3083*C3083</f>
        <v>1500000</v>
      </c>
      <c r="M3083" s="1131">
        <v>0</v>
      </c>
      <c r="N3083" s="1133">
        <f>M3083+L3083</f>
        <v>1500000</v>
      </c>
      <c r="O3083" s="1727">
        <f>N3083+K3083+H3083</f>
        <v>1500000</v>
      </c>
      <c r="P3083" s="1816"/>
      <c r="Q3083" s="1833"/>
      <c r="R3083" s="1833"/>
      <c r="S3083" s="1833"/>
      <c r="T3083" s="1833"/>
      <c r="U3083" s="1833"/>
      <c r="V3083" s="1833"/>
      <c r="W3083" s="1833"/>
      <c r="X3083" s="1833"/>
      <c r="Y3083" s="1833"/>
      <c r="Z3083" s="1833"/>
      <c r="AA3083" s="1833"/>
      <c r="AB3083" s="1833"/>
      <c r="AC3083" s="1833"/>
      <c r="AD3083" s="1833"/>
      <c r="AE3083" s="1833"/>
      <c r="AF3083" s="1833"/>
      <c r="AG3083" s="1833"/>
      <c r="AH3083" s="1833"/>
      <c r="AI3083" s="1833"/>
      <c r="AJ3083" s="1833"/>
      <c r="AK3083" s="1833"/>
      <c r="AL3083" s="1833"/>
      <c r="AM3083" s="1833"/>
      <c r="AN3083" s="1833"/>
      <c r="AO3083" s="1833"/>
      <c r="AP3083" s="1833"/>
      <c r="AQ3083" s="1833"/>
      <c r="AR3083" s="1833"/>
      <c r="AS3083" s="1833"/>
      <c r="AT3083" s="1833"/>
      <c r="AU3083" s="1833"/>
      <c r="AV3083" s="1833"/>
      <c r="AW3083" s="1833"/>
      <c r="AX3083" s="1833"/>
      <c r="AY3083" s="1833"/>
      <c r="AZ3083" s="1833"/>
      <c r="BA3083" s="1833"/>
      <c r="BB3083" s="1833"/>
      <c r="BC3083" s="1833"/>
      <c r="BD3083" s="1833"/>
      <c r="BE3083" s="1833"/>
      <c r="BF3083" s="1833"/>
      <c r="BG3083" s="1833"/>
      <c r="BH3083" s="1833"/>
      <c r="BI3083" s="1833"/>
      <c r="BJ3083" s="1833"/>
      <c r="BK3083" s="1833"/>
      <c r="BL3083" s="1833"/>
      <c r="BM3083" s="1833"/>
      <c r="BN3083" s="1833"/>
      <c r="BO3083" s="1833"/>
      <c r="BP3083" s="1833"/>
      <c r="BQ3083" s="1833"/>
      <c r="BR3083" s="1833"/>
      <c r="BS3083" s="1833"/>
      <c r="BT3083" s="1833"/>
      <c r="BU3083" s="1833"/>
      <c r="BV3083" s="1833"/>
      <c r="BW3083" s="1833"/>
      <c r="BX3083" s="1833"/>
      <c r="BY3083" s="1833"/>
      <c r="BZ3083" s="1833"/>
      <c r="CA3083" s="1833"/>
      <c r="CB3083" s="1833"/>
      <c r="CC3083" s="1833"/>
      <c r="CD3083" s="1833"/>
      <c r="CE3083" s="1833"/>
      <c r="CF3083" s="1833"/>
      <c r="CG3083" s="1833"/>
      <c r="CH3083" s="1833"/>
      <c r="CI3083" s="1833"/>
      <c r="CJ3083" s="1833"/>
      <c r="CK3083" s="1833"/>
    </row>
    <row r="3084" spans="1:89" s="1134" customFormat="1" ht="20.25" customHeight="1" x14ac:dyDescent="0.25">
      <c r="A3084" s="1726"/>
      <c r="B3084" s="1140"/>
      <c r="C3084" s="1136"/>
      <c r="D3084" s="1129"/>
      <c r="E3084" s="1130"/>
      <c r="F3084" s="1131"/>
      <c r="G3084" s="1132"/>
      <c r="H3084" s="1131"/>
      <c r="I3084" s="1131"/>
      <c r="J3084" s="1131"/>
      <c r="K3084" s="1131"/>
      <c r="L3084" s="1131"/>
      <c r="M3084" s="1131"/>
      <c r="N3084" s="1133"/>
      <c r="O3084" s="1727"/>
      <c r="P3084" s="1816"/>
      <c r="Q3084" s="1833"/>
      <c r="R3084" s="1833"/>
      <c r="S3084" s="1833"/>
      <c r="T3084" s="1833"/>
      <c r="U3084" s="1833"/>
      <c r="V3084" s="1833"/>
      <c r="W3084" s="1833"/>
      <c r="X3084" s="1833"/>
      <c r="Y3084" s="1833"/>
      <c r="Z3084" s="1833"/>
      <c r="AA3084" s="1833"/>
      <c r="AB3084" s="1833"/>
      <c r="AC3084" s="1833"/>
      <c r="AD3084" s="1833"/>
      <c r="AE3084" s="1833"/>
      <c r="AF3084" s="1833"/>
      <c r="AG3084" s="1833"/>
      <c r="AH3084" s="1833"/>
      <c r="AI3084" s="1833"/>
      <c r="AJ3084" s="1833"/>
      <c r="AK3084" s="1833"/>
      <c r="AL3084" s="1833"/>
      <c r="AM3084" s="1833"/>
      <c r="AN3084" s="1833"/>
      <c r="AO3084" s="1833"/>
      <c r="AP3084" s="1833"/>
      <c r="AQ3084" s="1833"/>
      <c r="AR3084" s="1833"/>
      <c r="AS3084" s="1833"/>
      <c r="AT3084" s="1833"/>
      <c r="AU3084" s="1833"/>
      <c r="AV3084" s="1833"/>
      <c r="AW3084" s="1833"/>
      <c r="AX3084" s="1833"/>
      <c r="AY3084" s="1833"/>
      <c r="AZ3084" s="1833"/>
      <c r="BA3084" s="1833"/>
      <c r="BB3084" s="1833"/>
      <c r="BC3084" s="1833"/>
      <c r="BD3084" s="1833"/>
      <c r="BE3084" s="1833"/>
      <c r="BF3084" s="1833"/>
      <c r="BG3084" s="1833"/>
      <c r="BH3084" s="1833"/>
      <c r="BI3084" s="1833"/>
      <c r="BJ3084" s="1833"/>
      <c r="BK3084" s="1833"/>
      <c r="BL3084" s="1833"/>
      <c r="BM3084" s="1833"/>
      <c r="BN3084" s="1833"/>
      <c r="BO3084" s="1833"/>
      <c r="BP3084" s="1833"/>
      <c r="BQ3084" s="1833"/>
      <c r="BR3084" s="1833"/>
      <c r="BS3084" s="1833"/>
      <c r="BT3084" s="1833"/>
      <c r="BU3084" s="1833"/>
      <c r="BV3084" s="1833"/>
      <c r="BW3084" s="1833"/>
      <c r="BX3084" s="1833"/>
      <c r="BY3084" s="1833"/>
      <c r="BZ3084" s="1833"/>
      <c r="CA3084" s="1833"/>
      <c r="CB3084" s="1833"/>
      <c r="CC3084" s="1833"/>
      <c r="CD3084" s="1833"/>
      <c r="CE3084" s="1833"/>
      <c r="CF3084" s="1833"/>
      <c r="CG3084" s="1833"/>
      <c r="CH3084" s="1833"/>
      <c r="CI3084" s="1833"/>
      <c r="CJ3084" s="1833"/>
      <c r="CK3084" s="1833"/>
    </row>
    <row r="3085" spans="1:89" s="1134" customFormat="1" ht="30" customHeight="1" x14ac:dyDescent="0.25">
      <c r="A3085" s="1726">
        <v>11</v>
      </c>
      <c r="B3085" s="1127" t="s">
        <v>2195</v>
      </c>
      <c r="C3085" s="1128">
        <v>1</v>
      </c>
      <c r="D3085" s="1129" t="s">
        <v>16</v>
      </c>
      <c r="E3085" s="1130">
        <v>300000</v>
      </c>
      <c r="F3085" s="1131">
        <v>0</v>
      </c>
      <c r="G3085" s="1132">
        <v>0</v>
      </c>
      <c r="H3085" s="1131">
        <v>0</v>
      </c>
      <c r="I3085" s="1131">
        <v>0</v>
      </c>
      <c r="J3085" s="1131">
        <f>E3085*C3085</f>
        <v>300000</v>
      </c>
      <c r="K3085" s="1131">
        <f>J3085+I3085</f>
        <v>300000</v>
      </c>
      <c r="L3085" s="1131">
        <v>0</v>
      </c>
      <c r="M3085" s="1131">
        <v>0</v>
      </c>
      <c r="N3085" s="1133">
        <v>0</v>
      </c>
      <c r="O3085" s="1727">
        <f t="shared" ref="O3085:O3097" si="299">N3085+K3085+H3085</f>
        <v>300000</v>
      </c>
      <c r="P3085" s="1816"/>
      <c r="Q3085" s="1833"/>
      <c r="R3085" s="1833"/>
      <c r="S3085" s="1833"/>
      <c r="T3085" s="1833"/>
      <c r="U3085" s="1833"/>
      <c r="V3085" s="1833"/>
      <c r="W3085" s="1833"/>
      <c r="X3085" s="1833"/>
      <c r="Y3085" s="1833"/>
      <c r="Z3085" s="1833"/>
      <c r="AA3085" s="1833"/>
      <c r="AB3085" s="1833"/>
      <c r="AC3085" s="1833"/>
      <c r="AD3085" s="1833"/>
      <c r="AE3085" s="1833"/>
      <c r="AF3085" s="1833"/>
      <c r="AG3085" s="1833"/>
      <c r="AH3085" s="1833"/>
      <c r="AI3085" s="1833"/>
      <c r="AJ3085" s="1833"/>
      <c r="AK3085" s="1833"/>
      <c r="AL3085" s="1833"/>
      <c r="AM3085" s="1833"/>
      <c r="AN3085" s="1833"/>
      <c r="AO3085" s="1833"/>
      <c r="AP3085" s="1833"/>
      <c r="AQ3085" s="1833"/>
      <c r="AR3085" s="1833"/>
      <c r="AS3085" s="1833"/>
      <c r="AT3085" s="1833"/>
      <c r="AU3085" s="1833"/>
      <c r="AV3085" s="1833"/>
      <c r="AW3085" s="1833"/>
      <c r="AX3085" s="1833"/>
      <c r="AY3085" s="1833"/>
      <c r="AZ3085" s="1833"/>
      <c r="BA3085" s="1833"/>
      <c r="BB3085" s="1833"/>
      <c r="BC3085" s="1833"/>
      <c r="BD3085" s="1833"/>
      <c r="BE3085" s="1833"/>
      <c r="BF3085" s="1833"/>
      <c r="BG3085" s="1833"/>
      <c r="BH3085" s="1833"/>
      <c r="BI3085" s="1833"/>
      <c r="BJ3085" s="1833"/>
      <c r="BK3085" s="1833"/>
      <c r="BL3085" s="1833"/>
      <c r="BM3085" s="1833"/>
      <c r="BN3085" s="1833"/>
      <c r="BO3085" s="1833"/>
      <c r="BP3085" s="1833"/>
      <c r="BQ3085" s="1833"/>
      <c r="BR3085" s="1833"/>
      <c r="BS3085" s="1833"/>
      <c r="BT3085" s="1833"/>
      <c r="BU3085" s="1833"/>
      <c r="BV3085" s="1833"/>
      <c r="BW3085" s="1833"/>
      <c r="BX3085" s="1833"/>
      <c r="BY3085" s="1833"/>
      <c r="BZ3085" s="1833"/>
      <c r="CA3085" s="1833"/>
      <c r="CB3085" s="1833"/>
      <c r="CC3085" s="1833"/>
      <c r="CD3085" s="1833"/>
      <c r="CE3085" s="1833"/>
      <c r="CF3085" s="1833"/>
      <c r="CG3085" s="1833"/>
      <c r="CH3085" s="1833"/>
      <c r="CI3085" s="1833"/>
      <c r="CJ3085" s="1833"/>
      <c r="CK3085" s="1833"/>
    </row>
    <row r="3086" spans="1:89" s="1134" customFormat="1" ht="30" customHeight="1" x14ac:dyDescent="0.25">
      <c r="A3086" s="1726">
        <f t="shared" ref="A3086:A3097" si="300">A3085+1</f>
        <v>12</v>
      </c>
      <c r="B3086" s="1141" t="s">
        <v>2196</v>
      </c>
      <c r="C3086" s="1128">
        <v>1</v>
      </c>
      <c r="D3086" s="1129" t="s">
        <v>16</v>
      </c>
      <c r="E3086" s="1130">
        <v>300000</v>
      </c>
      <c r="F3086" s="1131">
        <v>0</v>
      </c>
      <c r="G3086" s="1132">
        <v>0</v>
      </c>
      <c r="H3086" s="1131">
        <f>G3086+F3086</f>
        <v>0</v>
      </c>
      <c r="I3086" s="1131">
        <v>0</v>
      </c>
      <c r="J3086" s="1131">
        <v>0</v>
      </c>
      <c r="K3086" s="1131">
        <v>0</v>
      </c>
      <c r="L3086" s="1131">
        <f>E3086*C3086</f>
        <v>300000</v>
      </c>
      <c r="M3086" s="1131">
        <v>0</v>
      </c>
      <c r="N3086" s="1133">
        <f>M3086+L3086</f>
        <v>300000</v>
      </c>
      <c r="O3086" s="1727">
        <f t="shared" si="299"/>
        <v>300000</v>
      </c>
      <c r="P3086" s="1816"/>
      <c r="Q3086" s="1833"/>
      <c r="R3086" s="1833"/>
      <c r="S3086" s="1833"/>
      <c r="T3086" s="1833"/>
      <c r="U3086" s="1833"/>
      <c r="V3086" s="1833"/>
      <c r="W3086" s="1833"/>
      <c r="X3086" s="1833"/>
      <c r="Y3086" s="1833"/>
      <c r="Z3086" s="1833"/>
      <c r="AA3086" s="1833"/>
      <c r="AB3086" s="1833"/>
      <c r="AC3086" s="1833"/>
      <c r="AD3086" s="1833"/>
      <c r="AE3086" s="1833"/>
      <c r="AF3086" s="1833"/>
      <c r="AG3086" s="1833"/>
      <c r="AH3086" s="1833"/>
      <c r="AI3086" s="1833"/>
      <c r="AJ3086" s="1833"/>
      <c r="AK3086" s="1833"/>
      <c r="AL3086" s="1833"/>
      <c r="AM3086" s="1833"/>
      <c r="AN3086" s="1833"/>
      <c r="AO3086" s="1833"/>
      <c r="AP3086" s="1833"/>
      <c r="AQ3086" s="1833"/>
      <c r="AR3086" s="1833"/>
      <c r="AS3086" s="1833"/>
      <c r="AT3086" s="1833"/>
      <c r="AU3086" s="1833"/>
      <c r="AV3086" s="1833"/>
      <c r="AW3086" s="1833"/>
      <c r="AX3086" s="1833"/>
      <c r="AY3086" s="1833"/>
      <c r="AZ3086" s="1833"/>
      <c r="BA3086" s="1833"/>
      <c r="BB3086" s="1833"/>
      <c r="BC3086" s="1833"/>
      <c r="BD3086" s="1833"/>
      <c r="BE3086" s="1833"/>
      <c r="BF3086" s="1833"/>
      <c r="BG3086" s="1833"/>
      <c r="BH3086" s="1833"/>
      <c r="BI3086" s="1833"/>
      <c r="BJ3086" s="1833"/>
      <c r="BK3086" s="1833"/>
      <c r="BL3086" s="1833"/>
      <c r="BM3086" s="1833"/>
      <c r="BN3086" s="1833"/>
      <c r="BO3086" s="1833"/>
      <c r="BP3086" s="1833"/>
      <c r="BQ3086" s="1833"/>
      <c r="BR3086" s="1833"/>
      <c r="BS3086" s="1833"/>
      <c r="BT3086" s="1833"/>
      <c r="BU3086" s="1833"/>
      <c r="BV3086" s="1833"/>
      <c r="BW3086" s="1833"/>
      <c r="BX3086" s="1833"/>
      <c r="BY3086" s="1833"/>
      <c r="BZ3086" s="1833"/>
      <c r="CA3086" s="1833"/>
      <c r="CB3086" s="1833"/>
      <c r="CC3086" s="1833"/>
      <c r="CD3086" s="1833"/>
      <c r="CE3086" s="1833"/>
      <c r="CF3086" s="1833"/>
      <c r="CG3086" s="1833"/>
      <c r="CH3086" s="1833"/>
      <c r="CI3086" s="1833"/>
      <c r="CJ3086" s="1833"/>
      <c r="CK3086" s="1833"/>
    </row>
    <row r="3087" spans="1:89" s="1134" customFormat="1" ht="30" customHeight="1" x14ac:dyDescent="0.25">
      <c r="A3087" s="1726">
        <f t="shared" si="300"/>
        <v>13</v>
      </c>
      <c r="B3087" s="1127" t="s">
        <v>2197</v>
      </c>
      <c r="C3087" s="1128">
        <v>1</v>
      </c>
      <c r="D3087" s="1129" t="s">
        <v>353</v>
      </c>
      <c r="E3087" s="1130">
        <v>750000</v>
      </c>
      <c r="F3087" s="1131">
        <v>0</v>
      </c>
      <c r="G3087" s="1131">
        <v>0</v>
      </c>
      <c r="H3087" s="1131">
        <v>0</v>
      </c>
      <c r="I3087" s="1131">
        <v>0</v>
      </c>
      <c r="J3087" s="1131">
        <f t="shared" ref="J3087:J3097" si="301">E3087*C3087</f>
        <v>750000</v>
      </c>
      <c r="K3087" s="1131">
        <f t="shared" ref="K3087:K3097" si="302">J3087+I3087</f>
        <v>750000</v>
      </c>
      <c r="L3087" s="1131">
        <v>0</v>
      </c>
      <c r="M3087" s="1131">
        <v>0</v>
      </c>
      <c r="N3087" s="1131">
        <v>0</v>
      </c>
      <c r="O3087" s="1727">
        <f t="shared" si="299"/>
        <v>750000</v>
      </c>
      <c r="P3087" s="1816"/>
      <c r="Q3087" s="1833"/>
      <c r="R3087" s="1833"/>
      <c r="S3087" s="1833"/>
      <c r="T3087" s="1833"/>
      <c r="U3087" s="1833"/>
      <c r="V3087" s="1833"/>
      <c r="W3087" s="1833"/>
      <c r="X3087" s="1833"/>
      <c r="Y3087" s="1833"/>
      <c r="Z3087" s="1833"/>
      <c r="AA3087" s="1833"/>
      <c r="AB3087" s="1833"/>
      <c r="AC3087" s="1833"/>
      <c r="AD3087" s="1833"/>
      <c r="AE3087" s="1833"/>
      <c r="AF3087" s="1833"/>
      <c r="AG3087" s="1833"/>
      <c r="AH3087" s="1833"/>
      <c r="AI3087" s="1833"/>
      <c r="AJ3087" s="1833"/>
      <c r="AK3087" s="1833"/>
      <c r="AL3087" s="1833"/>
      <c r="AM3087" s="1833"/>
      <c r="AN3087" s="1833"/>
      <c r="AO3087" s="1833"/>
      <c r="AP3087" s="1833"/>
      <c r="AQ3087" s="1833"/>
      <c r="AR3087" s="1833"/>
      <c r="AS3087" s="1833"/>
      <c r="AT3087" s="1833"/>
      <c r="AU3087" s="1833"/>
      <c r="AV3087" s="1833"/>
      <c r="AW3087" s="1833"/>
      <c r="AX3087" s="1833"/>
      <c r="AY3087" s="1833"/>
      <c r="AZ3087" s="1833"/>
      <c r="BA3087" s="1833"/>
      <c r="BB3087" s="1833"/>
      <c r="BC3087" s="1833"/>
      <c r="BD3087" s="1833"/>
      <c r="BE3087" s="1833"/>
      <c r="BF3087" s="1833"/>
      <c r="BG3087" s="1833"/>
      <c r="BH3087" s="1833"/>
      <c r="BI3087" s="1833"/>
      <c r="BJ3087" s="1833"/>
      <c r="BK3087" s="1833"/>
      <c r="BL3087" s="1833"/>
      <c r="BM3087" s="1833"/>
      <c r="BN3087" s="1833"/>
      <c r="BO3087" s="1833"/>
      <c r="BP3087" s="1833"/>
      <c r="BQ3087" s="1833"/>
      <c r="BR3087" s="1833"/>
      <c r="BS3087" s="1833"/>
      <c r="BT3087" s="1833"/>
      <c r="BU3087" s="1833"/>
      <c r="BV3087" s="1833"/>
      <c r="BW3087" s="1833"/>
      <c r="BX3087" s="1833"/>
      <c r="BY3087" s="1833"/>
      <c r="BZ3087" s="1833"/>
      <c r="CA3087" s="1833"/>
      <c r="CB3087" s="1833"/>
      <c r="CC3087" s="1833"/>
      <c r="CD3087" s="1833"/>
      <c r="CE3087" s="1833"/>
      <c r="CF3087" s="1833"/>
      <c r="CG3087" s="1833"/>
      <c r="CH3087" s="1833"/>
      <c r="CI3087" s="1833"/>
      <c r="CJ3087" s="1833"/>
      <c r="CK3087" s="1833"/>
    </row>
    <row r="3088" spans="1:89" s="1134" customFormat="1" ht="30" customHeight="1" x14ac:dyDescent="0.25">
      <c r="A3088" s="1726">
        <f t="shared" si="300"/>
        <v>14</v>
      </c>
      <c r="B3088" s="1127" t="s">
        <v>2198</v>
      </c>
      <c r="C3088" s="1138">
        <v>1</v>
      </c>
      <c r="D3088" s="1129" t="s">
        <v>353</v>
      </c>
      <c r="E3088" s="1130">
        <v>500000</v>
      </c>
      <c r="F3088" s="1131">
        <v>0</v>
      </c>
      <c r="G3088" s="1131">
        <v>0</v>
      </c>
      <c r="H3088" s="1131">
        <v>0</v>
      </c>
      <c r="I3088" s="1131">
        <v>0</v>
      </c>
      <c r="J3088" s="1131">
        <f t="shared" si="301"/>
        <v>500000</v>
      </c>
      <c r="K3088" s="1131">
        <f t="shared" si="302"/>
        <v>500000</v>
      </c>
      <c r="L3088" s="1131">
        <v>0</v>
      </c>
      <c r="M3088" s="1131">
        <v>0</v>
      </c>
      <c r="N3088" s="1131">
        <v>0</v>
      </c>
      <c r="O3088" s="1727">
        <f t="shared" si="299"/>
        <v>500000</v>
      </c>
      <c r="P3088" s="1816"/>
      <c r="Q3088" s="1833"/>
      <c r="R3088" s="1833"/>
      <c r="S3088" s="1833"/>
      <c r="T3088" s="1833"/>
      <c r="U3088" s="1833"/>
      <c r="V3088" s="1833"/>
      <c r="W3088" s="1833"/>
      <c r="X3088" s="1833"/>
      <c r="Y3088" s="1833"/>
      <c r="Z3088" s="1833"/>
      <c r="AA3088" s="1833"/>
      <c r="AB3088" s="1833"/>
      <c r="AC3088" s="1833"/>
      <c r="AD3088" s="1833"/>
      <c r="AE3088" s="1833"/>
      <c r="AF3088" s="1833"/>
      <c r="AG3088" s="1833"/>
      <c r="AH3088" s="1833"/>
      <c r="AI3088" s="1833"/>
      <c r="AJ3088" s="1833"/>
      <c r="AK3088" s="1833"/>
      <c r="AL3088" s="1833"/>
      <c r="AM3088" s="1833"/>
      <c r="AN3088" s="1833"/>
      <c r="AO3088" s="1833"/>
      <c r="AP3088" s="1833"/>
      <c r="AQ3088" s="1833"/>
      <c r="AR3088" s="1833"/>
      <c r="AS3088" s="1833"/>
      <c r="AT3088" s="1833"/>
      <c r="AU3088" s="1833"/>
      <c r="AV3088" s="1833"/>
      <c r="AW3088" s="1833"/>
      <c r="AX3088" s="1833"/>
      <c r="AY3088" s="1833"/>
      <c r="AZ3088" s="1833"/>
      <c r="BA3088" s="1833"/>
      <c r="BB3088" s="1833"/>
      <c r="BC3088" s="1833"/>
      <c r="BD3088" s="1833"/>
      <c r="BE3088" s="1833"/>
      <c r="BF3088" s="1833"/>
      <c r="BG3088" s="1833"/>
      <c r="BH3088" s="1833"/>
      <c r="BI3088" s="1833"/>
      <c r="BJ3088" s="1833"/>
      <c r="BK3088" s="1833"/>
      <c r="BL3088" s="1833"/>
      <c r="BM3088" s="1833"/>
      <c r="BN3088" s="1833"/>
      <c r="BO3088" s="1833"/>
      <c r="BP3088" s="1833"/>
      <c r="BQ3088" s="1833"/>
      <c r="BR3088" s="1833"/>
      <c r="BS3088" s="1833"/>
      <c r="BT3088" s="1833"/>
      <c r="BU3088" s="1833"/>
      <c r="BV3088" s="1833"/>
      <c r="BW3088" s="1833"/>
      <c r="BX3088" s="1833"/>
      <c r="BY3088" s="1833"/>
      <c r="BZ3088" s="1833"/>
      <c r="CA3088" s="1833"/>
      <c r="CB3088" s="1833"/>
      <c r="CC3088" s="1833"/>
      <c r="CD3088" s="1833"/>
      <c r="CE3088" s="1833"/>
      <c r="CF3088" s="1833"/>
      <c r="CG3088" s="1833"/>
      <c r="CH3088" s="1833"/>
      <c r="CI3088" s="1833"/>
      <c r="CJ3088" s="1833"/>
      <c r="CK3088" s="1833"/>
    </row>
    <row r="3089" spans="1:89" s="1134" customFormat="1" ht="30" customHeight="1" x14ac:dyDescent="0.25">
      <c r="A3089" s="1726">
        <f t="shared" si="300"/>
        <v>15</v>
      </c>
      <c r="B3089" s="1127" t="s">
        <v>2199</v>
      </c>
      <c r="C3089" s="1138">
        <v>1</v>
      </c>
      <c r="D3089" s="1129" t="s">
        <v>16</v>
      </c>
      <c r="E3089" s="1130">
        <v>3500000</v>
      </c>
      <c r="F3089" s="1131">
        <v>0</v>
      </c>
      <c r="G3089" s="1131">
        <v>0</v>
      </c>
      <c r="H3089" s="1131">
        <v>0</v>
      </c>
      <c r="I3089" s="1131">
        <v>0</v>
      </c>
      <c r="J3089" s="1131">
        <f t="shared" si="301"/>
        <v>3500000</v>
      </c>
      <c r="K3089" s="1131">
        <f t="shared" si="302"/>
        <v>3500000</v>
      </c>
      <c r="L3089" s="1131">
        <v>0</v>
      </c>
      <c r="M3089" s="1131">
        <v>0</v>
      </c>
      <c r="N3089" s="1131">
        <v>0</v>
      </c>
      <c r="O3089" s="1727">
        <f t="shared" si="299"/>
        <v>3500000</v>
      </c>
      <c r="P3089" s="1816"/>
      <c r="Q3089" s="1833"/>
      <c r="R3089" s="1833"/>
      <c r="S3089" s="1833"/>
      <c r="T3089" s="1833"/>
      <c r="U3089" s="1833"/>
      <c r="V3089" s="1833"/>
      <c r="W3089" s="1833"/>
      <c r="X3089" s="1833"/>
      <c r="Y3089" s="1833"/>
      <c r="Z3089" s="1833"/>
      <c r="AA3089" s="1833"/>
      <c r="AB3089" s="1833"/>
      <c r="AC3089" s="1833"/>
      <c r="AD3089" s="1833"/>
      <c r="AE3089" s="1833"/>
      <c r="AF3089" s="1833"/>
      <c r="AG3089" s="1833"/>
      <c r="AH3089" s="1833"/>
      <c r="AI3089" s="1833"/>
      <c r="AJ3089" s="1833"/>
      <c r="AK3089" s="1833"/>
      <c r="AL3089" s="1833"/>
      <c r="AM3089" s="1833"/>
      <c r="AN3089" s="1833"/>
      <c r="AO3089" s="1833"/>
      <c r="AP3089" s="1833"/>
      <c r="AQ3089" s="1833"/>
      <c r="AR3089" s="1833"/>
      <c r="AS3089" s="1833"/>
      <c r="AT3089" s="1833"/>
      <c r="AU3089" s="1833"/>
      <c r="AV3089" s="1833"/>
      <c r="AW3089" s="1833"/>
      <c r="AX3089" s="1833"/>
      <c r="AY3089" s="1833"/>
      <c r="AZ3089" s="1833"/>
      <c r="BA3089" s="1833"/>
      <c r="BB3089" s="1833"/>
      <c r="BC3089" s="1833"/>
      <c r="BD3089" s="1833"/>
      <c r="BE3089" s="1833"/>
      <c r="BF3089" s="1833"/>
      <c r="BG3089" s="1833"/>
      <c r="BH3089" s="1833"/>
      <c r="BI3089" s="1833"/>
      <c r="BJ3089" s="1833"/>
      <c r="BK3089" s="1833"/>
      <c r="BL3089" s="1833"/>
      <c r="BM3089" s="1833"/>
      <c r="BN3089" s="1833"/>
      <c r="BO3089" s="1833"/>
      <c r="BP3089" s="1833"/>
      <c r="BQ3089" s="1833"/>
      <c r="BR3089" s="1833"/>
      <c r="BS3089" s="1833"/>
      <c r="BT3089" s="1833"/>
      <c r="BU3089" s="1833"/>
      <c r="BV3089" s="1833"/>
      <c r="BW3089" s="1833"/>
      <c r="BX3089" s="1833"/>
      <c r="BY3089" s="1833"/>
      <c r="BZ3089" s="1833"/>
      <c r="CA3089" s="1833"/>
      <c r="CB3089" s="1833"/>
      <c r="CC3089" s="1833"/>
      <c r="CD3089" s="1833"/>
      <c r="CE3089" s="1833"/>
      <c r="CF3089" s="1833"/>
      <c r="CG3089" s="1833"/>
      <c r="CH3089" s="1833"/>
      <c r="CI3089" s="1833"/>
      <c r="CJ3089" s="1833"/>
      <c r="CK3089" s="1833"/>
    </row>
    <row r="3090" spans="1:89" s="1134" customFormat="1" ht="39.75" customHeight="1" x14ac:dyDescent="0.25">
      <c r="A3090" s="1726">
        <f t="shared" si="300"/>
        <v>16</v>
      </c>
      <c r="B3090" s="1142" t="s">
        <v>2200</v>
      </c>
      <c r="C3090" s="1138">
        <v>1</v>
      </c>
      <c r="D3090" s="1129" t="s">
        <v>16</v>
      </c>
      <c r="E3090" s="1130">
        <v>500000</v>
      </c>
      <c r="F3090" s="1131">
        <v>0</v>
      </c>
      <c r="G3090" s="1131">
        <v>0</v>
      </c>
      <c r="H3090" s="1131">
        <v>0</v>
      </c>
      <c r="I3090" s="1131">
        <v>0</v>
      </c>
      <c r="J3090" s="1131">
        <f t="shared" si="301"/>
        <v>500000</v>
      </c>
      <c r="K3090" s="1131">
        <f t="shared" si="302"/>
        <v>500000</v>
      </c>
      <c r="L3090" s="1131">
        <v>0</v>
      </c>
      <c r="M3090" s="1131">
        <v>0</v>
      </c>
      <c r="N3090" s="1131">
        <v>0</v>
      </c>
      <c r="O3090" s="1727">
        <f t="shared" si="299"/>
        <v>500000</v>
      </c>
      <c r="P3090" s="1816"/>
      <c r="Q3090" s="1833"/>
      <c r="R3090" s="1833"/>
      <c r="S3090" s="1833"/>
      <c r="T3090" s="1833"/>
      <c r="U3090" s="1833"/>
      <c r="V3090" s="1833"/>
      <c r="W3090" s="1833"/>
      <c r="X3090" s="1833"/>
      <c r="Y3090" s="1833"/>
      <c r="Z3090" s="1833"/>
      <c r="AA3090" s="1833"/>
      <c r="AB3090" s="1833"/>
      <c r="AC3090" s="1833"/>
      <c r="AD3090" s="1833"/>
      <c r="AE3090" s="1833"/>
      <c r="AF3090" s="1833"/>
      <c r="AG3090" s="1833"/>
      <c r="AH3090" s="1833"/>
      <c r="AI3090" s="1833"/>
      <c r="AJ3090" s="1833"/>
      <c r="AK3090" s="1833"/>
      <c r="AL3090" s="1833"/>
      <c r="AM3090" s="1833"/>
      <c r="AN3090" s="1833"/>
      <c r="AO3090" s="1833"/>
      <c r="AP3090" s="1833"/>
      <c r="AQ3090" s="1833"/>
      <c r="AR3090" s="1833"/>
      <c r="AS3090" s="1833"/>
      <c r="AT3090" s="1833"/>
      <c r="AU3090" s="1833"/>
      <c r="AV3090" s="1833"/>
      <c r="AW3090" s="1833"/>
      <c r="AX3090" s="1833"/>
      <c r="AY3090" s="1833"/>
      <c r="AZ3090" s="1833"/>
      <c r="BA3090" s="1833"/>
      <c r="BB3090" s="1833"/>
      <c r="BC3090" s="1833"/>
      <c r="BD3090" s="1833"/>
      <c r="BE3090" s="1833"/>
      <c r="BF3090" s="1833"/>
      <c r="BG3090" s="1833"/>
      <c r="BH3090" s="1833"/>
      <c r="BI3090" s="1833"/>
      <c r="BJ3090" s="1833"/>
      <c r="BK3090" s="1833"/>
      <c r="BL3090" s="1833"/>
      <c r="BM3090" s="1833"/>
      <c r="BN3090" s="1833"/>
      <c r="BO3090" s="1833"/>
      <c r="BP3090" s="1833"/>
      <c r="BQ3090" s="1833"/>
      <c r="BR3090" s="1833"/>
      <c r="BS3090" s="1833"/>
      <c r="BT3090" s="1833"/>
      <c r="BU3090" s="1833"/>
      <c r="BV3090" s="1833"/>
      <c r="BW3090" s="1833"/>
      <c r="BX3090" s="1833"/>
      <c r="BY3090" s="1833"/>
      <c r="BZ3090" s="1833"/>
      <c r="CA3090" s="1833"/>
      <c r="CB3090" s="1833"/>
      <c r="CC3090" s="1833"/>
      <c r="CD3090" s="1833"/>
      <c r="CE3090" s="1833"/>
      <c r="CF3090" s="1833"/>
      <c r="CG3090" s="1833"/>
      <c r="CH3090" s="1833"/>
      <c r="CI3090" s="1833"/>
      <c r="CJ3090" s="1833"/>
      <c r="CK3090" s="1833"/>
    </row>
    <row r="3091" spans="1:89" s="1134" customFormat="1" ht="29.25" customHeight="1" x14ac:dyDescent="0.25">
      <c r="A3091" s="1726">
        <f t="shared" si="300"/>
        <v>17</v>
      </c>
      <c r="B3091" s="1142" t="s">
        <v>1068</v>
      </c>
      <c r="C3091" s="1143">
        <v>1</v>
      </c>
      <c r="D3091" s="1129" t="s">
        <v>16</v>
      </c>
      <c r="E3091" s="1144">
        <v>750000</v>
      </c>
      <c r="F3091" s="1131">
        <v>0</v>
      </c>
      <c r="G3091" s="1131">
        <v>0</v>
      </c>
      <c r="H3091" s="1131">
        <v>0</v>
      </c>
      <c r="I3091" s="1131">
        <v>0</v>
      </c>
      <c r="J3091" s="1131">
        <f t="shared" si="301"/>
        <v>750000</v>
      </c>
      <c r="K3091" s="1131">
        <f t="shared" si="302"/>
        <v>750000</v>
      </c>
      <c r="L3091" s="1131">
        <v>0</v>
      </c>
      <c r="M3091" s="1131">
        <v>0</v>
      </c>
      <c r="N3091" s="1131">
        <v>0</v>
      </c>
      <c r="O3091" s="1727">
        <f t="shared" si="299"/>
        <v>750000</v>
      </c>
      <c r="P3091" s="1816"/>
      <c r="Q3091" s="1833"/>
      <c r="R3091" s="1833"/>
      <c r="S3091" s="1833"/>
      <c r="T3091" s="1833"/>
      <c r="U3091" s="1833"/>
      <c r="V3091" s="1833"/>
      <c r="W3091" s="1833"/>
      <c r="X3091" s="1833"/>
      <c r="Y3091" s="1833"/>
      <c r="Z3091" s="1833"/>
      <c r="AA3091" s="1833"/>
      <c r="AB3091" s="1833"/>
      <c r="AC3091" s="1833"/>
      <c r="AD3091" s="1833"/>
      <c r="AE3091" s="1833"/>
      <c r="AF3091" s="1833"/>
      <c r="AG3091" s="1833"/>
      <c r="AH3091" s="1833"/>
      <c r="AI3091" s="1833"/>
      <c r="AJ3091" s="1833"/>
      <c r="AK3091" s="1833"/>
      <c r="AL3091" s="1833"/>
      <c r="AM3091" s="1833"/>
      <c r="AN3091" s="1833"/>
      <c r="AO3091" s="1833"/>
      <c r="AP3091" s="1833"/>
      <c r="AQ3091" s="1833"/>
      <c r="AR3091" s="1833"/>
      <c r="AS3091" s="1833"/>
      <c r="AT3091" s="1833"/>
      <c r="AU3091" s="1833"/>
      <c r="AV3091" s="1833"/>
      <c r="AW3091" s="1833"/>
      <c r="AX3091" s="1833"/>
      <c r="AY3091" s="1833"/>
      <c r="AZ3091" s="1833"/>
      <c r="BA3091" s="1833"/>
      <c r="BB3091" s="1833"/>
      <c r="BC3091" s="1833"/>
      <c r="BD3091" s="1833"/>
      <c r="BE3091" s="1833"/>
      <c r="BF3091" s="1833"/>
      <c r="BG3091" s="1833"/>
      <c r="BH3091" s="1833"/>
      <c r="BI3091" s="1833"/>
      <c r="BJ3091" s="1833"/>
      <c r="BK3091" s="1833"/>
      <c r="BL3091" s="1833"/>
      <c r="BM3091" s="1833"/>
      <c r="BN3091" s="1833"/>
      <c r="BO3091" s="1833"/>
      <c r="BP3091" s="1833"/>
      <c r="BQ3091" s="1833"/>
      <c r="BR3091" s="1833"/>
      <c r="BS3091" s="1833"/>
      <c r="BT3091" s="1833"/>
      <c r="BU3091" s="1833"/>
      <c r="BV3091" s="1833"/>
      <c r="BW3091" s="1833"/>
      <c r="BX3091" s="1833"/>
      <c r="BY3091" s="1833"/>
      <c r="BZ3091" s="1833"/>
      <c r="CA3091" s="1833"/>
      <c r="CB3091" s="1833"/>
      <c r="CC3091" s="1833"/>
      <c r="CD3091" s="1833"/>
      <c r="CE3091" s="1833"/>
      <c r="CF3091" s="1833"/>
      <c r="CG3091" s="1833"/>
      <c r="CH3091" s="1833"/>
      <c r="CI3091" s="1833"/>
      <c r="CJ3091" s="1833"/>
      <c r="CK3091" s="1833"/>
    </row>
    <row r="3092" spans="1:89" s="1134" customFormat="1" ht="29.25" customHeight="1" x14ac:dyDescent="0.25">
      <c r="A3092" s="1726">
        <f t="shared" si="300"/>
        <v>18</v>
      </c>
      <c r="B3092" s="1142" t="s">
        <v>2201</v>
      </c>
      <c r="C3092" s="1143">
        <v>1</v>
      </c>
      <c r="D3092" s="1129" t="s">
        <v>16</v>
      </c>
      <c r="E3092" s="1144">
        <v>150000</v>
      </c>
      <c r="F3092" s="1131">
        <v>0</v>
      </c>
      <c r="G3092" s="1131">
        <v>0</v>
      </c>
      <c r="H3092" s="1131">
        <v>0</v>
      </c>
      <c r="I3092" s="1131">
        <v>0</v>
      </c>
      <c r="J3092" s="1131">
        <f t="shared" si="301"/>
        <v>150000</v>
      </c>
      <c r="K3092" s="1131">
        <f t="shared" si="302"/>
        <v>150000</v>
      </c>
      <c r="L3092" s="1131">
        <v>0</v>
      </c>
      <c r="M3092" s="1131">
        <v>0</v>
      </c>
      <c r="N3092" s="1131">
        <v>0</v>
      </c>
      <c r="O3092" s="1727">
        <f t="shared" si="299"/>
        <v>150000</v>
      </c>
      <c r="P3092" s="1816"/>
      <c r="Q3092" s="1833"/>
      <c r="R3092" s="1833"/>
      <c r="S3092" s="1833"/>
      <c r="T3092" s="1833"/>
      <c r="U3092" s="1833"/>
      <c r="V3092" s="1833"/>
      <c r="W3092" s="1833"/>
      <c r="X3092" s="1833"/>
      <c r="Y3092" s="1833"/>
      <c r="Z3092" s="1833"/>
      <c r="AA3092" s="1833"/>
      <c r="AB3092" s="1833"/>
      <c r="AC3092" s="1833"/>
      <c r="AD3092" s="1833"/>
      <c r="AE3092" s="1833"/>
      <c r="AF3092" s="1833"/>
      <c r="AG3092" s="1833"/>
      <c r="AH3092" s="1833"/>
      <c r="AI3092" s="1833"/>
      <c r="AJ3092" s="1833"/>
      <c r="AK3092" s="1833"/>
      <c r="AL3092" s="1833"/>
      <c r="AM3092" s="1833"/>
      <c r="AN3092" s="1833"/>
      <c r="AO3092" s="1833"/>
      <c r="AP3092" s="1833"/>
      <c r="AQ3092" s="1833"/>
      <c r="AR3092" s="1833"/>
      <c r="AS3092" s="1833"/>
      <c r="AT3092" s="1833"/>
      <c r="AU3092" s="1833"/>
      <c r="AV3092" s="1833"/>
      <c r="AW3092" s="1833"/>
      <c r="AX3092" s="1833"/>
      <c r="AY3092" s="1833"/>
      <c r="AZ3092" s="1833"/>
      <c r="BA3092" s="1833"/>
      <c r="BB3092" s="1833"/>
      <c r="BC3092" s="1833"/>
      <c r="BD3092" s="1833"/>
      <c r="BE3092" s="1833"/>
      <c r="BF3092" s="1833"/>
      <c r="BG3092" s="1833"/>
      <c r="BH3092" s="1833"/>
      <c r="BI3092" s="1833"/>
      <c r="BJ3092" s="1833"/>
      <c r="BK3092" s="1833"/>
      <c r="BL3092" s="1833"/>
      <c r="BM3092" s="1833"/>
      <c r="BN3092" s="1833"/>
      <c r="BO3092" s="1833"/>
      <c r="BP3092" s="1833"/>
      <c r="BQ3092" s="1833"/>
      <c r="BR3092" s="1833"/>
      <c r="BS3092" s="1833"/>
      <c r="BT3092" s="1833"/>
      <c r="BU3092" s="1833"/>
      <c r="BV3092" s="1833"/>
      <c r="BW3092" s="1833"/>
      <c r="BX3092" s="1833"/>
      <c r="BY3092" s="1833"/>
      <c r="BZ3092" s="1833"/>
      <c r="CA3092" s="1833"/>
      <c r="CB3092" s="1833"/>
      <c r="CC3092" s="1833"/>
      <c r="CD3092" s="1833"/>
      <c r="CE3092" s="1833"/>
      <c r="CF3092" s="1833"/>
      <c r="CG3092" s="1833"/>
      <c r="CH3092" s="1833"/>
      <c r="CI3092" s="1833"/>
      <c r="CJ3092" s="1833"/>
      <c r="CK3092" s="1833"/>
    </row>
    <row r="3093" spans="1:89" s="1134" customFormat="1" ht="29.25" customHeight="1" x14ac:dyDescent="0.25">
      <c r="A3093" s="1726">
        <f t="shared" si="300"/>
        <v>19</v>
      </c>
      <c r="B3093" s="1142" t="s">
        <v>2202</v>
      </c>
      <c r="C3093" s="1143">
        <v>1</v>
      </c>
      <c r="D3093" s="1129" t="s">
        <v>16</v>
      </c>
      <c r="E3093" s="1144">
        <v>350000</v>
      </c>
      <c r="F3093" s="1131">
        <v>0</v>
      </c>
      <c r="G3093" s="1131">
        <v>0</v>
      </c>
      <c r="H3093" s="1131">
        <v>0</v>
      </c>
      <c r="I3093" s="1131">
        <v>0</v>
      </c>
      <c r="J3093" s="1131">
        <f t="shared" si="301"/>
        <v>350000</v>
      </c>
      <c r="K3093" s="1131">
        <f t="shared" si="302"/>
        <v>350000</v>
      </c>
      <c r="L3093" s="1131">
        <v>0</v>
      </c>
      <c r="M3093" s="1131">
        <v>0</v>
      </c>
      <c r="N3093" s="1131">
        <v>0</v>
      </c>
      <c r="O3093" s="1727">
        <f t="shared" si="299"/>
        <v>350000</v>
      </c>
      <c r="P3093" s="1816"/>
      <c r="Q3093" s="1833"/>
      <c r="R3093" s="1833"/>
      <c r="S3093" s="1833"/>
      <c r="T3093" s="1833"/>
      <c r="U3093" s="1833"/>
      <c r="V3093" s="1833"/>
      <c r="W3093" s="1833"/>
      <c r="X3093" s="1833"/>
      <c r="Y3093" s="1833"/>
      <c r="Z3093" s="1833"/>
      <c r="AA3093" s="1833"/>
      <c r="AB3093" s="1833"/>
      <c r="AC3093" s="1833"/>
      <c r="AD3093" s="1833"/>
      <c r="AE3093" s="1833"/>
      <c r="AF3093" s="1833"/>
      <c r="AG3093" s="1833"/>
      <c r="AH3093" s="1833"/>
      <c r="AI3093" s="1833"/>
      <c r="AJ3093" s="1833"/>
      <c r="AK3093" s="1833"/>
      <c r="AL3093" s="1833"/>
      <c r="AM3093" s="1833"/>
      <c r="AN3093" s="1833"/>
      <c r="AO3093" s="1833"/>
      <c r="AP3093" s="1833"/>
      <c r="AQ3093" s="1833"/>
      <c r="AR3093" s="1833"/>
      <c r="AS3093" s="1833"/>
      <c r="AT3093" s="1833"/>
      <c r="AU3093" s="1833"/>
      <c r="AV3093" s="1833"/>
      <c r="AW3093" s="1833"/>
      <c r="AX3093" s="1833"/>
      <c r="AY3093" s="1833"/>
      <c r="AZ3093" s="1833"/>
      <c r="BA3093" s="1833"/>
      <c r="BB3093" s="1833"/>
      <c r="BC3093" s="1833"/>
      <c r="BD3093" s="1833"/>
      <c r="BE3093" s="1833"/>
      <c r="BF3093" s="1833"/>
      <c r="BG3093" s="1833"/>
      <c r="BH3093" s="1833"/>
      <c r="BI3093" s="1833"/>
      <c r="BJ3093" s="1833"/>
      <c r="BK3093" s="1833"/>
      <c r="BL3093" s="1833"/>
      <c r="BM3093" s="1833"/>
      <c r="BN3093" s="1833"/>
      <c r="BO3093" s="1833"/>
      <c r="BP3093" s="1833"/>
      <c r="BQ3093" s="1833"/>
      <c r="BR3093" s="1833"/>
      <c r="BS3093" s="1833"/>
      <c r="BT3093" s="1833"/>
      <c r="BU3093" s="1833"/>
      <c r="BV3093" s="1833"/>
      <c r="BW3093" s="1833"/>
      <c r="BX3093" s="1833"/>
      <c r="BY3093" s="1833"/>
      <c r="BZ3093" s="1833"/>
      <c r="CA3093" s="1833"/>
      <c r="CB3093" s="1833"/>
      <c r="CC3093" s="1833"/>
      <c r="CD3093" s="1833"/>
      <c r="CE3093" s="1833"/>
      <c r="CF3093" s="1833"/>
      <c r="CG3093" s="1833"/>
      <c r="CH3093" s="1833"/>
      <c r="CI3093" s="1833"/>
      <c r="CJ3093" s="1833"/>
      <c r="CK3093" s="1833"/>
    </row>
    <row r="3094" spans="1:89" s="1134" customFormat="1" ht="29.25" customHeight="1" x14ac:dyDescent="0.25">
      <c r="A3094" s="1726">
        <f t="shared" si="300"/>
        <v>20</v>
      </c>
      <c r="B3094" s="1142" t="s">
        <v>1069</v>
      </c>
      <c r="C3094" s="1143">
        <v>1</v>
      </c>
      <c r="D3094" s="1129" t="s">
        <v>16</v>
      </c>
      <c r="E3094" s="1144">
        <v>500000</v>
      </c>
      <c r="F3094" s="1131">
        <v>0</v>
      </c>
      <c r="G3094" s="1131">
        <v>0</v>
      </c>
      <c r="H3094" s="1131">
        <v>0</v>
      </c>
      <c r="I3094" s="1131">
        <v>0</v>
      </c>
      <c r="J3094" s="1131">
        <f t="shared" si="301"/>
        <v>500000</v>
      </c>
      <c r="K3094" s="1131">
        <f t="shared" si="302"/>
        <v>500000</v>
      </c>
      <c r="L3094" s="1131">
        <v>0</v>
      </c>
      <c r="M3094" s="1131">
        <v>0</v>
      </c>
      <c r="N3094" s="1131">
        <v>0</v>
      </c>
      <c r="O3094" s="1727">
        <f t="shared" si="299"/>
        <v>500000</v>
      </c>
      <c r="P3094" s="1816"/>
      <c r="Q3094" s="1833"/>
      <c r="R3094" s="1833"/>
      <c r="S3094" s="1833"/>
      <c r="T3094" s="1833"/>
      <c r="U3094" s="1833"/>
      <c r="V3094" s="1833"/>
      <c r="W3094" s="1833"/>
      <c r="X3094" s="1833"/>
      <c r="Y3094" s="1833"/>
      <c r="Z3094" s="1833"/>
      <c r="AA3094" s="1833"/>
      <c r="AB3094" s="1833"/>
      <c r="AC3094" s="1833"/>
      <c r="AD3094" s="1833"/>
      <c r="AE3094" s="1833"/>
      <c r="AF3094" s="1833"/>
      <c r="AG3094" s="1833"/>
      <c r="AH3094" s="1833"/>
      <c r="AI3094" s="1833"/>
      <c r="AJ3094" s="1833"/>
      <c r="AK3094" s="1833"/>
      <c r="AL3094" s="1833"/>
      <c r="AM3094" s="1833"/>
      <c r="AN3094" s="1833"/>
      <c r="AO3094" s="1833"/>
      <c r="AP3094" s="1833"/>
      <c r="AQ3094" s="1833"/>
      <c r="AR3094" s="1833"/>
      <c r="AS3094" s="1833"/>
      <c r="AT3094" s="1833"/>
      <c r="AU3094" s="1833"/>
      <c r="AV3094" s="1833"/>
      <c r="AW3094" s="1833"/>
      <c r="AX3094" s="1833"/>
      <c r="AY3094" s="1833"/>
      <c r="AZ3094" s="1833"/>
      <c r="BA3094" s="1833"/>
      <c r="BB3094" s="1833"/>
      <c r="BC3094" s="1833"/>
      <c r="BD3094" s="1833"/>
      <c r="BE3094" s="1833"/>
      <c r="BF3094" s="1833"/>
      <c r="BG3094" s="1833"/>
      <c r="BH3094" s="1833"/>
      <c r="BI3094" s="1833"/>
      <c r="BJ3094" s="1833"/>
      <c r="BK3094" s="1833"/>
      <c r="BL3094" s="1833"/>
      <c r="BM3094" s="1833"/>
      <c r="BN3094" s="1833"/>
      <c r="BO3094" s="1833"/>
      <c r="BP3094" s="1833"/>
      <c r="BQ3094" s="1833"/>
      <c r="BR3094" s="1833"/>
      <c r="BS3094" s="1833"/>
      <c r="BT3094" s="1833"/>
      <c r="BU3094" s="1833"/>
      <c r="BV3094" s="1833"/>
      <c r="BW3094" s="1833"/>
      <c r="BX3094" s="1833"/>
      <c r="BY3094" s="1833"/>
      <c r="BZ3094" s="1833"/>
      <c r="CA3094" s="1833"/>
      <c r="CB3094" s="1833"/>
      <c r="CC3094" s="1833"/>
      <c r="CD3094" s="1833"/>
      <c r="CE3094" s="1833"/>
      <c r="CF3094" s="1833"/>
      <c r="CG3094" s="1833"/>
      <c r="CH3094" s="1833"/>
      <c r="CI3094" s="1833"/>
      <c r="CJ3094" s="1833"/>
      <c r="CK3094" s="1833"/>
    </row>
    <row r="3095" spans="1:89" s="1134" customFormat="1" ht="39" customHeight="1" x14ac:dyDescent="0.25">
      <c r="A3095" s="1726">
        <f t="shared" si="300"/>
        <v>21</v>
      </c>
      <c r="B3095" s="1142" t="s">
        <v>2203</v>
      </c>
      <c r="C3095" s="1143">
        <v>1</v>
      </c>
      <c r="D3095" s="1145" t="s">
        <v>16</v>
      </c>
      <c r="E3095" s="1144">
        <v>500000</v>
      </c>
      <c r="F3095" s="1131">
        <v>0</v>
      </c>
      <c r="G3095" s="1131">
        <v>0</v>
      </c>
      <c r="H3095" s="1131">
        <v>0</v>
      </c>
      <c r="I3095" s="1131">
        <v>0</v>
      </c>
      <c r="J3095" s="1131">
        <f t="shared" si="301"/>
        <v>500000</v>
      </c>
      <c r="K3095" s="1131">
        <f t="shared" si="302"/>
        <v>500000</v>
      </c>
      <c r="L3095" s="1131">
        <v>0</v>
      </c>
      <c r="M3095" s="1131">
        <v>0</v>
      </c>
      <c r="N3095" s="1131">
        <v>0</v>
      </c>
      <c r="O3095" s="1727">
        <f t="shared" si="299"/>
        <v>500000</v>
      </c>
      <c r="P3095" s="1816"/>
      <c r="Q3095" s="1833"/>
      <c r="R3095" s="1833"/>
      <c r="S3095" s="1833"/>
      <c r="T3095" s="1833"/>
      <c r="U3095" s="1833"/>
      <c r="V3095" s="1833"/>
      <c r="W3095" s="1833"/>
      <c r="X3095" s="1833"/>
      <c r="Y3095" s="1833"/>
      <c r="Z3095" s="1833"/>
      <c r="AA3095" s="1833"/>
      <c r="AB3095" s="1833"/>
      <c r="AC3095" s="1833"/>
      <c r="AD3095" s="1833"/>
      <c r="AE3095" s="1833"/>
      <c r="AF3095" s="1833"/>
      <c r="AG3095" s="1833"/>
      <c r="AH3095" s="1833"/>
      <c r="AI3095" s="1833"/>
      <c r="AJ3095" s="1833"/>
      <c r="AK3095" s="1833"/>
      <c r="AL3095" s="1833"/>
      <c r="AM3095" s="1833"/>
      <c r="AN3095" s="1833"/>
      <c r="AO3095" s="1833"/>
      <c r="AP3095" s="1833"/>
      <c r="AQ3095" s="1833"/>
      <c r="AR3095" s="1833"/>
      <c r="AS3095" s="1833"/>
      <c r="AT3095" s="1833"/>
      <c r="AU3095" s="1833"/>
      <c r="AV3095" s="1833"/>
      <c r="AW3095" s="1833"/>
      <c r="AX3095" s="1833"/>
      <c r="AY3095" s="1833"/>
      <c r="AZ3095" s="1833"/>
      <c r="BA3095" s="1833"/>
      <c r="BB3095" s="1833"/>
      <c r="BC3095" s="1833"/>
      <c r="BD3095" s="1833"/>
      <c r="BE3095" s="1833"/>
      <c r="BF3095" s="1833"/>
      <c r="BG3095" s="1833"/>
      <c r="BH3095" s="1833"/>
      <c r="BI3095" s="1833"/>
      <c r="BJ3095" s="1833"/>
      <c r="BK3095" s="1833"/>
      <c r="BL3095" s="1833"/>
      <c r="BM3095" s="1833"/>
      <c r="BN3095" s="1833"/>
      <c r="BO3095" s="1833"/>
      <c r="BP3095" s="1833"/>
      <c r="BQ3095" s="1833"/>
      <c r="BR3095" s="1833"/>
      <c r="BS3095" s="1833"/>
      <c r="BT3095" s="1833"/>
      <c r="BU3095" s="1833"/>
      <c r="BV3095" s="1833"/>
      <c r="BW3095" s="1833"/>
      <c r="BX3095" s="1833"/>
      <c r="BY3095" s="1833"/>
      <c r="BZ3095" s="1833"/>
      <c r="CA3095" s="1833"/>
      <c r="CB3095" s="1833"/>
      <c r="CC3095" s="1833"/>
      <c r="CD3095" s="1833"/>
      <c r="CE3095" s="1833"/>
      <c r="CF3095" s="1833"/>
      <c r="CG3095" s="1833"/>
      <c r="CH3095" s="1833"/>
      <c r="CI3095" s="1833"/>
      <c r="CJ3095" s="1833"/>
      <c r="CK3095" s="1833"/>
    </row>
    <row r="3096" spans="1:89" s="1134" customFormat="1" ht="29.25" customHeight="1" x14ac:dyDescent="0.25">
      <c r="A3096" s="1726">
        <f t="shared" si="300"/>
        <v>22</v>
      </c>
      <c r="B3096" s="1142" t="s">
        <v>2204</v>
      </c>
      <c r="C3096" s="1143">
        <v>1</v>
      </c>
      <c r="D3096" s="1145" t="s">
        <v>16</v>
      </c>
      <c r="E3096" s="1144">
        <v>2500000</v>
      </c>
      <c r="F3096" s="1131">
        <v>0</v>
      </c>
      <c r="G3096" s="1131">
        <v>0</v>
      </c>
      <c r="H3096" s="1131">
        <v>0</v>
      </c>
      <c r="I3096" s="1131">
        <v>0</v>
      </c>
      <c r="J3096" s="1131">
        <f t="shared" si="301"/>
        <v>2500000</v>
      </c>
      <c r="K3096" s="1131">
        <f t="shared" si="302"/>
        <v>2500000</v>
      </c>
      <c r="L3096" s="1131">
        <v>0</v>
      </c>
      <c r="M3096" s="1131">
        <v>0</v>
      </c>
      <c r="N3096" s="1131">
        <v>0</v>
      </c>
      <c r="O3096" s="1727">
        <f t="shared" si="299"/>
        <v>2500000</v>
      </c>
      <c r="P3096" s="1816"/>
      <c r="Q3096" s="1833"/>
      <c r="R3096" s="1833"/>
      <c r="S3096" s="1833"/>
      <c r="T3096" s="1833"/>
      <c r="U3096" s="1833"/>
      <c r="V3096" s="1833"/>
      <c r="W3096" s="1833"/>
      <c r="X3096" s="1833"/>
      <c r="Y3096" s="1833"/>
      <c r="Z3096" s="1833"/>
      <c r="AA3096" s="1833"/>
      <c r="AB3096" s="1833"/>
      <c r="AC3096" s="1833"/>
      <c r="AD3096" s="1833"/>
      <c r="AE3096" s="1833"/>
      <c r="AF3096" s="1833"/>
      <c r="AG3096" s="1833"/>
      <c r="AH3096" s="1833"/>
      <c r="AI3096" s="1833"/>
      <c r="AJ3096" s="1833"/>
      <c r="AK3096" s="1833"/>
      <c r="AL3096" s="1833"/>
      <c r="AM3096" s="1833"/>
      <c r="AN3096" s="1833"/>
      <c r="AO3096" s="1833"/>
      <c r="AP3096" s="1833"/>
      <c r="AQ3096" s="1833"/>
      <c r="AR3096" s="1833"/>
      <c r="AS3096" s="1833"/>
      <c r="AT3096" s="1833"/>
      <c r="AU3096" s="1833"/>
      <c r="AV3096" s="1833"/>
      <c r="AW3096" s="1833"/>
      <c r="AX3096" s="1833"/>
      <c r="AY3096" s="1833"/>
      <c r="AZ3096" s="1833"/>
      <c r="BA3096" s="1833"/>
      <c r="BB3096" s="1833"/>
      <c r="BC3096" s="1833"/>
      <c r="BD3096" s="1833"/>
      <c r="BE3096" s="1833"/>
      <c r="BF3096" s="1833"/>
      <c r="BG3096" s="1833"/>
      <c r="BH3096" s="1833"/>
      <c r="BI3096" s="1833"/>
      <c r="BJ3096" s="1833"/>
      <c r="BK3096" s="1833"/>
      <c r="BL3096" s="1833"/>
      <c r="BM3096" s="1833"/>
      <c r="BN3096" s="1833"/>
      <c r="BO3096" s="1833"/>
      <c r="BP3096" s="1833"/>
      <c r="BQ3096" s="1833"/>
      <c r="BR3096" s="1833"/>
      <c r="BS3096" s="1833"/>
      <c r="BT3096" s="1833"/>
      <c r="BU3096" s="1833"/>
      <c r="BV3096" s="1833"/>
      <c r="BW3096" s="1833"/>
      <c r="BX3096" s="1833"/>
      <c r="BY3096" s="1833"/>
      <c r="BZ3096" s="1833"/>
      <c r="CA3096" s="1833"/>
      <c r="CB3096" s="1833"/>
      <c r="CC3096" s="1833"/>
      <c r="CD3096" s="1833"/>
      <c r="CE3096" s="1833"/>
      <c r="CF3096" s="1833"/>
      <c r="CG3096" s="1833"/>
      <c r="CH3096" s="1833"/>
      <c r="CI3096" s="1833"/>
      <c r="CJ3096" s="1833"/>
      <c r="CK3096" s="1833"/>
    </row>
    <row r="3097" spans="1:89" s="1134" customFormat="1" ht="29.25" customHeight="1" x14ac:dyDescent="0.25">
      <c r="A3097" s="1726">
        <f t="shared" si="300"/>
        <v>23</v>
      </c>
      <c r="B3097" s="1142" t="s">
        <v>2205</v>
      </c>
      <c r="C3097" s="1143">
        <v>1</v>
      </c>
      <c r="D3097" s="1145" t="s">
        <v>16</v>
      </c>
      <c r="E3097" s="1144">
        <v>600000</v>
      </c>
      <c r="F3097" s="1131">
        <v>0</v>
      </c>
      <c r="G3097" s="1131">
        <v>0</v>
      </c>
      <c r="H3097" s="1131">
        <v>0</v>
      </c>
      <c r="I3097" s="1131">
        <v>0</v>
      </c>
      <c r="J3097" s="1131">
        <f t="shared" si="301"/>
        <v>600000</v>
      </c>
      <c r="K3097" s="1131">
        <f t="shared" si="302"/>
        <v>600000</v>
      </c>
      <c r="L3097" s="1131">
        <v>0</v>
      </c>
      <c r="M3097" s="1131">
        <v>0</v>
      </c>
      <c r="N3097" s="1131">
        <v>0</v>
      </c>
      <c r="O3097" s="1727">
        <f t="shared" si="299"/>
        <v>600000</v>
      </c>
      <c r="P3097" s="1816"/>
      <c r="Q3097" s="1833"/>
      <c r="R3097" s="1833"/>
      <c r="S3097" s="1833"/>
      <c r="T3097" s="1833"/>
      <c r="U3097" s="1833"/>
      <c r="V3097" s="1833"/>
      <c r="W3097" s="1833"/>
      <c r="X3097" s="1833"/>
      <c r="Y3097" s="1833"/>
      <c r="Z3097" s="1833"/>
      <c r="AA3097" s="1833"/>
      <c r="AB3097" s="1833"/>
      <c r="AC3097" s="1833"/>
      <c r="AD3097" s="1833"/>
      <c r="AE3097" s="1833"/>
      <c r="AF3097" s="1833"/>
      <c r="AG3097" s="1833"/>
      <c r="AH3097" s="1833"/>
      <c r="AI3097" s="1833"/>
      <c r="AJ3097" s="1833"/>
      <c r="AK3097" s="1833"/>
      <c r="AL3097" s="1833"/>
      <c r="AM3097" s="1833"/>
      <c r="AN3097" s="1833"/>
      <c r="AO3097" s="1833"/>
      <c r="AP3097" s="1833"/>
      <c r="AQ3097" s="1833"/>
      <c r="AR3097" s="1833"/>
      <c r="AS3097" s="1833"/>
      <c r="AT3097" s="1833"/>
      <c r="AU3097" s="1833"/>
      <c r="AV3097" s="1833"/>
      <c r="AW3097" s="1833"/>
      <c r="AX3097" s="1833"/>
      <c r="AY3097" s="1833"/>
      <c r="AZ3097" s="1833"/>
      <c r="BA3097" s="1833"/>
      <c r="BB3097" s="1833"/>
      <c r="BC3097" s="1833"/>
      <c r="BD3097" s="1833"/>
      <c r="BE3097" s="1833"/>
      <c r="BF3097" s="1833"/>
      <c r="BG3097" s="1833"/>
      <c r="BH3097" s="1833"/>
      <c r="BI3097" s="1833"/>
      <c r="BJ3097" s="1833"/>
      <c r="BK3097" s="1833"/>
      <c r="BL3097" s="1833"/>
      <c r="BM3097" s="1833"/>
      <c r="BN3097" s="1833"/>
      <c r="BO3097" s="1833"/>
      <c r="BP3097" s="1833"/>
      <c r="BQ3097" s="1833"/>
      <c r="BR3097" s="1833"/>
      <c r="BS3097" s="1833"/>
      <c r="BT3097" s="1833"/>
      <c r="BU3097" s="1833"/>
      <c r="BV3097" s="1833"/>
      <c r="BW3097" s="1833"/>
      <c r="BX3097" s="1833"/>
      <c r="BY3097" s="1833"/>
      <c r="BZ3097" s="1833"/>
      <c r="CA3097" s="1833"/>
      <c r="CB3097" s="1833"/>
      <c r="CC3097" s="1833"/>
      <c r="CD3097" s="1833"/>
      <c r="CE3097" s="1833"/>
      <c r="CF3097" s="1833"/>
      <c r="CG3097" s="1833"/>
      <c r="CH3097" s="1833"/>
      <c r="CI3097" s="1833"/>
      <c r="CJ3097" s="1833"/>
      <c r="CK3097" s="1833"/>
    </row>
    <row r="3098" spans="1:89" s="1134" customFormat="1" ht="17.25" customHeight="1" x14ac:dyDescent="0.25">
      <c r="A3098" s="1728"/>
      <c r="B3098" s="1146"/>
      <c r="C3098" s="1143"/>
      <c r="D3098" s="1145"/>
      <c r="E3098" s="1144"/>
      <c r="F3098" s="1131"/>
      <c r="G3098" s="1131"/>
      <c r="H3098" s="1131"/>
      <c r="I3098" s="1131"/>
      <c r="J3098" s="1131"/>
      <c r="K3098" s="1131"/>
      <c r="L3098" s="1131"/>
      <c r="M3098" s="1131"/>
      <c r="N3098" s="1131"/>
      <c r="O3098" s="1727"/>
      <c r="P3098" s="1816"/>
      <c r="Q3098" s="1833"/>
      <c r="R3098" s="1833"/>
      <c r="S3098" s="1833"/>
      <c r="T3098" s="1833"/>
      <c r="U3098" s="1833"/>
      <c r="V3098" s="1833"/>
      <c r="W3098" s="1833"/>
      <c r="X3098" s="1833"/>
      <c r="Y3098" s="1833"/>
      <c r="Z3098" s="1833"/>
      <c r="AA3098" s="1833"/>
      <c r="AB3098" s="1833"/>
      <c r="AC3098" s="1833"/>
      <c r="AD3098" s="1833"/>
      <c r="AE3098" s="1833"/>
      <c r="AF3098" s="1833"/>
      <c r="AG3098" s="1833"/>
      <c r="AH3098" s="1833"/>
      <c r="AI3098" s="1833"/>
      <c r="AJ3098" s="1833"/>
      <c r="AK3098" s="1833"/>
      <c r="AL3098" s="1833"/>
      <c r="AM3098" s="1833"/>
      <c r="AN3098" s="1833"/>
      <c r="AO3098" s="1833"/>
      <c r="AP3098" s="1833"/>
      <c r="AQ3098" s="1833"/>
      <c r="AR3098" s="1833"/>
      <c r="AS3098" s="1833"/>
      <c r="AT3098" s="1833"/>
      <c r="AU3098" s="1833"/>
      <c r="AV3098" s="1833"/>
      <c r="AW3098" s="1833"/>
      <c r="AX3098" s="1833"/>
      <c r="AY3098" s="1833"/>
      <c r="AZ3098" s="1833"/>
      <c r="BA3098" s="1833"/>
      <c r="BB3098" s="1833"/>
      <c r="BC3098" s="1833"/>
      <c r="BD3098" s="1833"/>
      <c r="BE3098" s="1833"/>
      <c r="BF3098" s="1833"/>
      <c r="BG3098" s="1833"/>
      <c r="BH3098" s="1833"/>
      <c r="BI3098" s="1833"/>
      <c r="BJ3098" s="1833"/>
      <c r="BK3098" s="1833"/>
      <c r="BL3098" s="1833"/>
      <c r="BM3098" s="1833"/>
      <c r="BN3098" s="1833"/>
      <c r="BO3098" s="1833"/>
      <c r="BP3098" s="1833"/>
      <c r="BQ3098" s="1833"/>
      <c r="BR3098" s="1833"/>
      <c r="BS3098" s="1833"/>
      <c r="BT3098" s="1833"/>
      <c r="BU3098" s="1833"/>
      <c r="BV3098" s="1833"/>
      <c r="BW3098" s="1833"/>
      <c r="BX3098" s="1833"/>
      <c r="BY3098" s="1833"/>
      <c r="BZ3098" s="1833"/>
      <c r="CA3098" s="1833"/>
      <c r="CB3098" s="1833"/>
      <c r="CC3098" s="1833"/>
      <c r="CD3098" s="1833"/>
      <c r="CE3098" s="1833"/>
      <c r="CF3098" s="1833"/>
      <c r="CG3098" s="1833"/>
      <c r="CH3098" s="1833"/>
      <c r="CI3098" s="1833"/>
      <c r="CJ3098" s="1833"/>
      <c r="CK3098" s="1833"/>
    </row>
    <row r="3099" spans="1:89" s="1134" customFormat="1" ht="30" customHeight="1" x14ac:dyDescent="0.25">
      <c r="A3099" s="1726">
        <v>24</v>
      </c>
      <c r="B3099" s="1147" t="s">
        <v>220</v>
      </c>
      <c r="C3099" s="1148">
        <v>1</v>
      </c>
      <c r="D3099" s="1129" t="s">
        <v>16</v>
      </c>
      <c r="E3099" s="1149">
        <v>500000</v>
      </c>
      <c r="F3099" s="1150">
        <v>0</v>
      </c>
      <c r="G3099" s="1150">
        <v>0</v>
      </c>
      <c r="H3099" s="1151">
        <v>0</v>
      </c>
      <c r="I3099" s="1150">
        <v>0</v>
      </c>
      <c r="J3099" s="1152">
        <f>E3099*C3099</f>
        <v>500000</v>
      </c>
      <c r="K3099" s="1152">
        <f>J3099+I3099</f>
        <v>500000</v>
      </c>
      <c r="L3099" s="1150">
        <v>0</v>
      </c>
      <c r="M3099" s="1150">
        <v>0</v>
      </c>
      <c r="N3099" s="1151">
        <v>0</v>
      </c>
      <c r="O3099" s="1729">
        <f>N3099+K3099+H3099</f>
        <v>500000</v>
      </c>
      <c r="P3099" s="1817"/>
      <c r="Q3099" s="1833"/>
      <c r="R3099" s="1833"/>
      <c r="S3099" s="1833"/>
      <c r="T3099" s="1833"/>
      <c r="U3099" s="1833"/>
      <c r="V3099" s="1833"/>
      <c r="W3099" s="1833"/>
      <c r="X3099" s="1833"/>
      <c r="Y3099" s="1833"/>
      <c r="Z3099" s="1833"/>
      <c r="AA3099" s="1833"/>
      <c r="AB3099" s="1833"/>
      <c r="AC3099" s="1833"/>
      <c r="AD3099" s="1833"/>
      <c r="AE3099" s="1833"/>
      <c r="AF3099" s="1833"/>
      <c r="AG3099" s="1833"/>
      <c r="AH3099" s="1833"/>
      <c r="AI3099" s="1833"/>
      <c r="AJ3099" s="1833"/>
      <c r="AK3099" s="1833"/>
      <c r="AL3099" s="1833"/>
      <c r="AM3099" s="1833"/>
      <c r="AN3099" s="1833"/>
      <c r="AO3099" s="1833"/>
      <c r="AP3099" s="1833"/>
      <c r="AQ3099" s="1833"/>
      <c r="AR3099" s="1833"/>
      <c r="AS3099" s="1833"/>
      <c r="AT3099" s="1833"/>
      <c r="AU3099" s="1833"/>
      <c r="AV3099" s="1833"/>
      <c r="AW3099" s="1833"/>
      <c r="AX3099" s="1833"/>
      <c r="AY3099" s="1833"/>
      <c r="AZ3099" s="1833"/>
      <c r="BA3099" s="1833"/>
      <c r="BB3099" s="1833"/>
      <c r="BC3099" s="1833"/>
      <c r="BD3099" s="1833"/>
      <c r="BE3099" s="1833"/>
      <c r="BF3099" s="1833"/>
      <c r="BG3099" s="1833"/>
      <c r="BH3099" s="1833"/>
      <c r="BI3099" s="1833"/>
      <c r="BJ3099" s="1833"/>
      <c r="BK3099" s="1833"/>
      <c r="BL3099" s="1833"/>
      <c r="BM3099" s="1833"/>
      <c r="BN3099" s="1833"/>
      <c r="BO3099" s="1833"/>
      <c r="BP3099" s="1833"/>
      <c r="BQ3099" s="1833"/>
      <c r="BR3099" s="1833"/>
      <c r="BS3099" s="1833"/>
      <c r="BT3099" s="1833"/>
      <c r="BU3099" s="1833"/>
      <c r="BV3099" s="1833"/>
      <c r="BW3099" s="1833"/>
      <c r="BX3099" s="1833"/>
      <c r="BY3099" s="1833"/>
      <c r="BZ3099" s="1833"/>
      <c r="CA3099" s="1833"/>
      <c r="CB3099" s="1833"/>
      <c r="CC3099" s="1833"/>
      <c r="CD3099" s="1833"/>
      <c r="CE3099" s="1833"/>
      <c r="CF3099" s="1833"/>
      <c r="CG3099" s="1833"/>
      <c r="CH3099" s="1833"/>
      <c r="CI3099" s="1833"/>
      <c r="CJ3099" s="1833"/>
      <c r="CK3099" s="1833"/>
    </row>
    <row r="3100" spans="1:89" s="1134" customFormat="1" ht="30" customHeight="1" x14ac:dyDescent="0.25">
      <c r="A3100" s="1726">
        <v>25</v>
      </c>
      <c r="B3100" s="1153" t="s">
        <v>1070</v>
      </c>
      <c r="C3100" s="1154">
        <v>1</v>
      </c>
      <c r="D3100" s="1129" t="s">
        <v>16</v>
      </c>
      <c r="E3100" s="1149">
        <v>350000</v>
      </c>
      <c r="F3100" s="1131">
        <v>0</v>
      </c>
      <c r="G3100" s="1132">
        <v>0</v>
      </c>
      <c r="H3100" s="1155">
        <v>0</v>
      </c>
      <c r="I3100" s="1131">
        <v>0</v>
      </c>
      <c r="J3100" s="1131">
        <f>E3100*C3100</f>
        <v>350000</v>
      </c>
      <c r="K3100" s="1155">
        <f>J3100+I3100</f>
        <v>350000</v>
      </c>
      <c r="L3100" s="1131">
        <v>0</v>
      </c>
      <c r="M3100" s="1131">
        <v>0</v>
      </c>
      <c r="N3100" s="1133">
        <v>0</v>
      </c>
      <c r="O3100" s="1727">
        <f>N3100+K3100+H3100</f>
        <v>350000</v>
      </c>
      <c r="P3100" s="1816"/>
      <c r="Q3100" s="1833"/>
      <c r="R3100" s="1833"/>
      <c r="S3100" s="1833"/>
      <c r="T3100" s="1833"/>
      <c r="U3100" s="1833"/>
      <c r="V3100" s="1833"/>
      <c r="W3100" s="1833"/>
      <c r="X3100" s="1833"/>
      <c r="Y3100" s="1833"/>
      <c r="Z3100" s="1833"/>
      <c r="AA3100" s="1833"/>
      <c r="AB3100" s="1833"/>
      <c r="AC3100" s="1833"/>
      <c r="AD3100" s="1833"/>
      <c r="AE3100" s="1833"/>
      <c r="AF3100" s="1833"/>
      <c r="AG3100" s="1833"/>
      <c r="AH3100" s="1833"/>
      <c r="AI3100" s="1833"/>
      <c r="AJ3100" s="1833"/>
      <c r="AK3100" s="1833"/>
      <c r="AL3100" s="1833"/>
      <c r="AM3100" s="1833"/>
      <c r="AN3100" s="1833"/>
      <c r="AO3100" s="1833"/>
      <c r="AP3100" s="1833"/>
      <c r="AQ3100" s="1833"/>
      <c r="AR3100" s="1833"/>
      <c r="AS3100" s="1833"/>
      <c r="AT3100" s="1833"/>
      <c r="AU3100" s="1833"/>
      <c r="AV3100" s="1833"/>
      <c r="AW3100" s="1833"/>
      <c r="AX3100" s="1833"/>
      <c r="AY3100" s="1833"/>
      <c r="AZ3100" s="1833"/>
      <c r="BA3100" s="1833"/>
      <c r="BB3100" s="1833"/>
      <c r="BC3100" s="1833"/>
      <c r="BD3100" s="1833"/>
      <c r="BE3100" s="1833"/>
      <c r="BF3100" s="1833"/>
      <c r="BG3100" s="1833"/>
      <c r="BH3100" s="1833"/>
      <c r="BI3100" s="1833"/>
      <c r="BJ3100" s="1833"/>
      <c r="BK3100" s="1833"/>
      <c r="BL3100" s="1833"/>
      <c r="BM3100" s="1833"/>
      <c r="BN3100" s="1833"/>
      <c r="BO3100" s="1833"/>
      <c r="BP3100" s="1833"/>
      <c r="BQ3100" s="1833"/>
      <c r="BR3100" s="1833"/>
      <c r="BS3100" s="1833"/>
      <c r="BT3100" s="1833"/>
      <c r="BU3100" s="1833"/>
      <c r="BV3100" s="1833"/>
      <c r="BW3100" s="1833"/>
      <c r="BX3100" s="1833"/>
      <c r="BY3100" s="1833"/>
      <c r="BZ3100" s="1833"/>
      <c r="CA3100" s="1833"/>
      <c r="CB3100" s="1833"/>
      <c r="CC3100" s="1833"/>
      <c r="CD3100" s="1833"/>
      <c r="CE3100" s="1833"/>
      <c r="CF3100" s="1833"/>
      <c r="CG3100" s="1833"/>
      <c r="CH3100" s="1833"/>
      <c r="CI3100" s="1833"/>
      <c r="CJ3100" s="1833"/>
      <c r="CK3100" s="1833"/>
    </row>
    <row r="3101" spans="1:89" s="1134" customFormat="1" ht="36" x14ac:dyDescent="0.25">
      <c r="A3101" s="1726">
        <f>A3100+1</f>
        <v>26</v>
      </c>
      <c r="B3101" s="1153" t="s">
        <v>1071</v>
      </c>
      <c r="C3101" s="1154">
        <v>1</v>
      </c>
      <c r="D3101" s="1129" t="s">
        <v>16</v>
      </c>
      <c r="E3101" s="1149">
        <v>350000</v>
      </c>
      <c r="F3101" s="1131">
        <v>0</v>
      </c>
      <c r="G3101" s="1132">
        <v>0</v>
      </c>
      <c r="H3101" s="1155">
        <v>0</v>
      </c>
      <c r="I3101" s="1131">
        <v>0</v>
      </c>
      <c r="J3101" s="1131">
        <f>E3101*C3101</f>
        <v>350000</v>
      </c>
      <c r="K3101" s="1155">
        <f>J3101+I3101</f>
        <v>350000</v>
      </c>
      <c r="L3101" s="1131">
        <v>0</v>
      </c>
      <c r="M3101" s="1131">
        <v>0</v>
      </c>
      <c r="N3101" s="1133">
        <v>0</v>
      </c>
      <c r="O3101" s="1727">
        <f>N3101+K3101+H3101</f>
        <v>350000</v>
      </c>
      <c r="P3101" s="1816"/>
      <c r="Q3101" s="1833"/>
      <c r="R3101" s="1833"/>
      <c r="S3101" s="1833"/>
      <c r="T3101" s="1833"/>
      <c r="U3101" s="1833"/>
      <c r="V3101" s="1833"/>
      <c r="W3101" s="1833"/>
      <c r="X3101" s="1833"/>
      <c r="Y3101" s="1833"/>
      <c r="Z3101" s="1833"/>
      <c r="AA3101" s="1833"/>
      <c r="AB3101" s="1833"/>
      <c r="AC3101" s="1833"/>
      <c r="AD3101" s="1833"/>
      <c r="AE3101" s="1833"/>
      <c r="AF3101" s="1833"/>
      <c r="AG3101" s="1833"/>
      <c r="AH3101" s="1833"/>
      <c r="AI3101" s="1833"/>
      <c r="AJ3101" s="1833"/>
      <c r="AK3101" s="1833"/>
      <c r="AL3101" s="1833"/>
      <c r="AM3101" s="1833"/>
      <c r="AN3101" s="1833"/>
      <c r="AO3101" s="1833"/>
      <c r="AP3101" s="1833"/>
      <c r="AQ3101" s="1833"/>
      <c r="AR3101" s="1833"/>
      <c r="AS3101" s="1833"/>
      <c r="AT3101" s="1833"/>
      <c r="AU3101" s="1833"/>
      <c r="AV3101" s="1833"/>
      <c r="AW3101" s="1833"/>
      <c r="AX3101" s="1833"/>
      <c r="AY3101" s="1833"/>
      <c r="AZ3101" s="1833"/>
      <c r="BA3101" s="1833"/>
      <c r="BB3101" s="1833"/>
      <c r="BC3101" s="1833"/>
      <c r="BD3101" s="1833"/>
      <c r="BE3101" s="1833"/>
      <c r="BF3101" s="1833"/>
      <c r="BG3101" s="1833"/>
      <c r="BH3101" s="1833"/>
      <c r="BI3101" s="1833"/>
      <c r="BJ3101" s="1833"/>
      <c r="BK3101" s="1833"/>
      <c r="BL3101" s="1833"/>
      <c r="BM3101" s="1833"/>
      <c r="BN3101" s="1833"/>
      <c r="BO3101" s="1833"/>
      <c r="BP3101" s="1833"/>
      <c r="BQ3101" s="1833"/>
      <c r="BR3101" s="1833"/>
      <c r="BS3101" s="1833"/>
      <c r="BT3101" s="1833"/>
      <c r="BU3101" s="1833"/>
      <c r="BV3101" s="1833"/>
      <c r="BW3101" s="1833"/>
      <c r="BX3101" s="1833"/>
      <c r="BY3101" s="1833"/>
      <c r="BZ3101" s="1833"/>
      <c r="CA3101" s="1833"/>
      <c r="CB3101" s="1833"/>
      <c r="CC3101" s="1833"/>
      <c r="CD3101" s="1833"/>
      <c r="CE3101" s="1833"/>
      <c r="CF3101" s="1833"/>
      <c r="CG3101" s="1833"/>
      <c r="CH3101" s="1833"/>
      <c r="CI3101" s="1833"/>
      <c r="CJ3101" s="1833"/>
      <c r="CK3101" s="1833"/>
    </row>
    <row r="3102" spans="1:89" s="1134" customFormat="1" ht="17.25" customHeight="1" x14ac:dyDescent="0.25">
      <c r="A3102" s="1728"/>
      <c r="B3102" s="1156"/>
      <c r="C3102" s="1143"/>
      <c r="D3102" s="1145"/>
      <c r="E3102" s="1144"/>
      <c r="F3102" s="1131"/>
      <c r="G3102" s="1157"/>
      <c r="H3102" s="1133"/>
      <c r="I3102" s="1157"/>
      <c r="J3102" s="1132"/>
      <c r="K3102" s="1157"/>
      <c r="L3102" s="1131"/>
      <c r="M3102" s="1157"/>
      <c r="N3102" s="1133"/>
      <c r="O3102" s="1727"/>
      <c r="P3102" s="1816"/>
      <c r="Q3102" s="1833"/>
      <c r="R3102" s="1833"/>
      <c r="S3102" s="1833"/>
      <c r="T3102" s="1833"/>
      <c r="U3102" s="1833"/>
      <c r="V3102" s="1833"/>
      <c r="W3102" s="1833"/>
      <c r="X3102" s="1833"/>
      <c r="Y3102" s="1833"/>
      <c r="Z3102" s="1833"/>
      <c r="AA3102" s="1833"/>
      <c r="AB3102" s="1833"/>
      <c r="AC3102" s="1833"/>
      <c r="AD3102" s="1833"/>
      <c r="AE3102" s="1833"/>
      <c r="AF3102" s="1833"/>
      <c r="AG3102" s="1833"/>
      <c r="AH3102" s="1833"/>
      <c r="AI3102" s="1833"/>
      <c r="AJ3102" s="1833"/>
      <c r="AK3102" s="1833"/>
      <c r="AL3102" s="1833"/>
      <c r="AM3102" s="1833"/>
      <c r="AN3102" s="1833"/>
      <c r="AO3102" s="1833"/>
      <c r="AP3102" s="1833"/>
      <c r="AQ3102" s="1833"/>
      <c r="AR3102" s="1833"/>
      <c r="AS3102" s="1833"/>
      <c r="AT3102" s="1833"/>
      <c r="AU3102" s="1833"/>
      <c r="AV3102" s="1833"/>
      <c r="AW3102" s="1833"/>
      <c r="AX3102" s="1833"/>
      <c r="AY3102" s="1833"/>
      <c r="AZ3102" s="1833"/>
      <c r="BA3102" s="1833"/>
      <c r="BB3102" s="1833"/>
      <c r="BC3102" s="1833"/>
      <c r="BD3102" s="1833"/>
      <c r="BE3102" s="1833"/>
      <c r="BF3102" s="1833"/>
      <c r="BG3102" s="1833"/>
      <c r="BH3102" s="1833"/>
      <c r="BI3102" s="1833"/>
      <c r="BJ3102" s="1833"/>
      <c r="BK3102" s="1833"/>
      <c r="BL3102" s="1833"/>
      <c r="BM3102" s="1833"/>
      <c r="BN3102" s="1833"/>
      <c r="BO3102" s="1833"/>
      <c r="BP3102" s="1833"/>
      <c r="BQ3102" s="1833"/>
      <c r="BR3102" s="1833"/>
      <c r="BS3102" s="1833"/>
      <c r="BT3102" s="1833"/>
      <c r="BU3102" s="1833"/>
      <c r="BV3102" s="1833"/>
      <c r="BW3102" s="1833"/>
      <c r="BX3102" s="1833"/>
      <c r="BY3102" s="1833"/>
      <c r="BZ3102" s="1833"/>
      <c r="CA3102" s="1833"/>
      <c r="CB3102" s="1833"/>
      <c r="CC3102" s="1833"/>
      <c r="CD3102" s="1833"/>
      <c r="CE3102" s="1833"/>
      <c r="CF3102" s="1833"/>
      <c r="CG3102" s="1833"/>
      <c r="CH3102" s="1833"/>
      <c r="CI3102" s="1833"/>
      <c r="CJ3102" s="1833"/>
      <c r="CK3102" s="1833"/>
    </row>
    <row r="3103" spans="1:89" s="1134" customFormat="1" ht="36" x14ac:dyDescent="0.25">
      <c r="A3103" s="1730">
        <f>A3101+1</f>
        <v>27</v>
      </c>
      <c r="B3103" s="1158" t="s">
        <v>2206</v>
      </c>
      <c r="C3103" s="1154">
        <v>1</v>
      </c>
      <c r="D3103" s="1129" t="s">
        <v>16</v>
      </c>
      <c r="E3103" s="1149">
        <v>250000</v>
      </c>
      <c r="F3103" s="1131">
        <v>0</v>
      </c>
      <c r="G3103" s="1132">
        <v>0</v>
      </c>
      <c r="H3103" s="1155">
        <v>0</v>
      </c>
      <c r="I3103" s="1131">
        <v>0</v>
      </c>
      <c r="J3103" s="1131">
        <f t="shared" ref="J3103:J3108" si="303">E3103*C3103</f>
        <v>250000</v>
      </c>
      <c r="K3103" s="1155">
        <f t="shared" ref="K3103:K3108" si="304">J3103+I3103</f>
        <v>250000</v>
      </c>
      <c r="L3103" s="1131">
        <v>0</v>
      </c>
      <c r="M3103" s="1131">
        <v>0</v>
      </c>
      <c r="N3103" s="1133">
        <v>0</v>
      </c>
      <c r="O3103" s="1727">
        <f t="shared" ref="O3103:O3108" si="305">N3103+K3103+H3103</f>
        <v>250000</v>
      </c>
      <c r="P3103" s="1816"/>
      <c r="Q3103" s="1833"/>
      <c r="R3103" s="1833"/>
      <c r="S3103" s="1833"/>
      <c r="T3103" s="1833"/>
      <c r="U3103" s="1833"/>
      <c r="V3103" s="1833"/>
      <c r="W3103" s="1833"/>
      <c r="X3103" s="1833"/>
      <c r="Y3103" s="1833"/>
      <c r="Z3103" s="1833"/>
      <c r="AA3103" s="1833"/>
      <c r="AB3103" s="1833"/>
      <c r="AC3103" s="1833"/>
      <c r="AD3103" s="1833"/>
      <c r="AE3103" s="1833"/>
      <c r="AF3103" s="1833"/>
      <c r="AG3103" s="1833"/>
      <c r="AH3103" s="1833"/>
      <c r="AI3103" s="1833"/>
      <c r="AJ3103" s="1833"/>
      <c r="AK3103" s="1833"/>
      <c r="AL3103" s="1833"/>
      <c r="AM3103" s="1833"/>
      <c r="AN3103" s="1833"/>
      <c r="AO3103" s="1833"/>
      <c r="AP3103" s="1833"/>
      <c r="AQ3103" s="1833"/>
      <c r="AR3103" s="1833"/>
      <c r="AS3103" s="1833"/>
      <c r="AT3103" s="1833"/>
      <c r="AU3103" s="1833"/>
      <c r="AV3103" s="1833"/>
      <c r="AW3103" s="1833"/>
      <c r="AX3103" s="1833"/>
      <c r="AY3103" s="1833"/>
      <c r="AZ3103" s="1833"/>
      <c r="BA3103" s="1833"/>
      <c r="BB3103" s="1833"/>
      <c r="BC3103" s="1833"/>
      <c r="BD3103" s="1833"/>
      <c r="BE3103" s="1833"/>
      <c r="BF3103" s="1833"/>
      <c r="BG3103" s="1833"/>
      <c r="BH3103" s="1833"/>
      <c r="BI3103" s="1833"/>
      <c r="BJ3103" s="1833"/>
      <c r="BK3103" s="1833"/>
      <c r="BL3103" s="1833"/>
      <c r="BM3103" s="1833"/>
      <c r="BN3103" s="1833"/>
      <c r="BO3103" s="1833"/>
      <c r="BP3103" s="1833"/>
      <c r="BQ3103" s="1833"/>
      <c r="BR3103" s="1833"/>
      <c r="BS3103" s="1833"/>
      <c r="BT3103" s="1833"/>
      <c r="BU3103" s="1833"/>
      <c r="BV3103" s="1833"/>
      <c r="BW3103" s="1833"/>
      <c r="BX3103" s="1833"/>
      <c r="BY3103" s="1833"/>
      <c r="BZ3103" s="1833"/>
      <c r="CA3103" s="1833"/>
      <c r="CB3103" s="1833"/>
      <c r="CC3103" s="1833"/>
      <c r="CD3103" s="1833"/>
      <c r="CE3103" s="1833"/>
      <c r="CF3103" s="1833"/>
      <c r="CG3103" s="1833"/>
      <c r="CH3103" s="1833"/>
      <c r="CI3103" s="1833"/>
      <c r="CJ3103" s="1833"/>
      <c r="CK3103" s="1833"/>
    </row>
    <row r="3104" spans="1:89" s="1134" customFormat="1" ht="18" x14ac:dyDescent="0.25">
      <c r="A3104" s="1730">
        <f>A3103+1</f>
        <v>28</v>
      </c>
      <c r="B3104" s="1158" t="s">
        <v>1477</v>
      </c>
      <c r="C3104" s="1154">
        <v>1</v>
      </c>
      <c r="D3104" s="1129" t="s">
        <v>16</v>
      </c>
      <c r="E3104" s="1149">
        <v>300000</v>
      </c>
      <c r="F3104" s="1131">
        <v>0</v>
      </c>
      <c r="G3104" s="1132">
        <v>0</v>
      </c>
      <c r="H3104" s="1155">
        <v>0</v>
      </c>
      <c r="I3104" s="1131">
        <v>0</v>
      </c>
      <c r="J3104" s="1131">
        <f t="shared" si="303"/>
        <v>300000</v>
      </c>
      <c r="K3104" s="1155">
        <f t="shared" si="304"/>
        <v>300000</v>
      </c>
      <c r="L3104" s="1131">
        <v>0</v>
      </c>
      <c r="M3104" s="1131">
        <v>0</v>
      </c>
      <c r="N3104" s="1133">
        <v>0</v>
      </c>
      <c r="O3104" s="1727">
        <f t="shared" si="305"/>
        <v>300000</v>
      </c>
      <c r="P3104" s="1816"/>
      <c r="Q3104" s="1833"/>
      <c r="R3104" s="1833"/>
      <c r="S3104" s="1833"/>
      <c r="T3104" s="1833"/>
      <c r="U3104" s="1833"/>
      <c r="V3104" s="1833"/>
      <c r="W3104" s="1833"/>
      <c r="X3104" s="1833"/>
      <c r="Y3104" s="1833"/>
      <c r="Z3104" s="1833"/>
      <c r="AA3104" s="1833"/>
      <c r="AB3104" s="1833"/>
      <c r="AC3104" s="1833"/>
      <c r="AD3104" s="1833"/>
      <c r="AE3104" s="1833"/>
      <c r="AF3104" s="1833"/>
      <c r="AG3104" s="1833"/>
      <c r="AH3104" s="1833"/>
      <c r="AI3104" s="1833"/>
      <c r="AJ3104" s="1833"/>
      <c r="AK3104" s="1833"/>
      <c r="AL3104" s="1833"/>
      <c r="AM3104" s="1833"/>
      <c r="AN3104" s="1833"/>
      <c r="AO3104" s="1833"/>
      <c r="AP3104" s="1833"/>
      <c r="AQ3104" s="1833"/>
      <c r="AR3104" s="1833"/>
      <c r="AS3104" s="1833"/>
      <c r="AT3104" s="1833"/>
      <c r="AU3104" s="1833"/>
      <c r="AV3104" s="1833"/>
      <c r="AW3104" s="1833"/>
      <c r="AX3104" s="1833"/>
      <c r="AY3104" s="1833"/>
      <c r="AZ3104" s="1833"/>
      <c r="BA3104" s="1833"/>
      <c r="BB3104" s="1833"/>
      <c r="BC3104" s="1833"/>
      <c r="BD3104" s="1833"/>
      <c r="BE3104" s="1833"/>
      <c r="BF3104" s="1833"/>
      <c r="BG3104" s="1833"/>
      <c r="BH3104" s="1833"/>
      <c r="BI3104" s="1833"/>
      <c r="BJ3104" s="1833"/>
      <c r="BK3104" s="1833"/>
      <c r="BL3104" s="1833"/>
      <c r="BM3104" s="1833"/>
      <c r="BN3104" s="1833"/>
      <c r="BO3104" s="1833"/>
      <c r="BP3104" s="1833"/>
      <c r="BQ3104" s="1833"/>
      <c r="BR3104" s="1833"/>
      <c r="BS3104" s="1833"/>
      <c r="BT3104" s="1833"/>
      <c r="BU3104" s="1833"/>
      <c r="BV3104" s="1833"/>
      <c r="BW3104" s="1833"/>
      <c r="BX3104" s="1833"/>
      <c r="BY3104" s="1833"/>
      <c r="BZ3104" s="1833"/>
      <c r="CA3104" s="1833"/>
      <c r="CB3104" s="1833"/>
      <c r="CC3104" s="1833"/>
      <c r="CD3104" s="1833"/>
      <c r="CE3104" s="1833"/>
      <c r="CF3104" s="1833"/>
      <c r="CG3104" s="1833"/>
      <c r="CH3104" s="1833"/>
      <c r="CI3104" s="1833"/>
      <c r="CJ3104" s="1833"/>
      <c r="CK3104" s="1833"/>
    </row>
    <row r="3105" spans="1:89" s="1134" customFormat="1" ht="30" customHeight="1" x14ac:dyDescent="0.25">
      <c r="A3105" s="1730">
        <f>A3104+1</f>
        <v>29</v>
      </c>
      <c r="B3105" s="1158" t="s">
        <v>2207</v>
      </c>
      <c r="C3105" s="1159">
        <v>1</v>
      </c>
      <c r="D3105" s="1129" t="s">
        <v>16</v>
      </c>
      <c r="E3105" s="1160">
        <v>200000</v>
      </c>
      <c r="F3105" s="1161">
        <v>0</v>
      </c>
      <c r="G3105" s="1161">
        <v>0</v>
      </c>
      <c r="H3105" s="1161">
        <v>0</v>
      </c>
      <c r="I3105" s="1161">
        <v>0</v>
      </c>
      <c r="J3105" s="1161">
        <f t="shared" si="303"/>
        <v>200000</v>
      </c>
      <c r="K3105" s="1161">
        <f t="shared" si="304"/>
        <v>200000</v>
      </c>
      <c r="L3105" s="1161">
        <v>0</v>
      </c>
      <c r="M3105" s="1161">
        <v>0</v>
      </c>
      <c r="N3105" s="1161">
        <v>0</v>
      </c>
      <c r="O3105" s="1731">
        <f t="shared" si="305"/>
        <v>200000</v>
      </c>
      <c r="P3105" s="1818"/>
      <c r="Q3105" s="1833"/>
      <c r="R3105" s="1833"/>
      <c r="S3105" s="1833"/>
      <c r="T3105" s="1833"/>
      <c r="U3105" s="1833"/>
      <c r="V3105" s="1833"/>
      <c r="W3105" s="1833"/>
      <c r="X3105" s="1833"/>
      <c r="Y3105" s="1833"/>
      <c r="Z3105" s="1833"/>
      <c r="AA3105" s="1833"/>
      <c r="AB3105" s="1833"/>
      <c r="AC3105" s="1833"/>
      <c r="AD3105" s="1833"/>
      <c r="AE3105" s="1833"/>
      <c r="AF3105" s="1833"/>
      <c r="AG3105" s="1833"/>
      <c r="AH3105" s="1833"/>
      <c r="AI3105" s="1833"/>
      <c r="AJ3105" s="1833"/>
      <c r="AK3105" s="1833"/>
      <c r="AL3105" s="1833"/>
      <c r="AM3105" s="1833"/>
      <c r="AN3105" s="1833"/>
      <c r="AO3105" s="1833"/>
      <c r="AP3105" s="1833"/>
      <c r="AQ3105" s="1833"/>
      <c r="AR3105" s="1833"/>
      <c r="AS3105" s="1833"/>
      <c r="AT3105" s="1833"/>
      <c r="AU3105" s="1833"/>
      <c r="AV3105" s="1833"/>
      <c r="AW3105" s="1833"/>
      <c r="AX3105" s="1833"/>
      <c r="AY3105" s="1833"/>
      <c r="AZ3105" s="1833"/>
      <c r="BA3105" s="1833"/>
      <c r="BB3105" s="1833"/>
      <c r="BC3105" s="1833"/>
      <c r="BD3105" s="1833"/>
      <c r="BE3105" s="1833"/>
      <c r="BF3105" s="1833"/>
      <c r="BG3105" s="1833"/>
      <c r="BH3105" s="1833"/>
      <c r="BI3105" s="1833"/>
      <c r="BJ3105" s="1833"/>
      <c r="BK3105" s="1833"/>
      <c r="BL3105" s="1833"/>
      <c r="BM3105" s="1833"/>
      <c r="BN3105" s="1833"/>
      <c r="BO3105" s="1833"/>
      <c r="BP3105" s="1833"/>
      <c r="BQ3105" s="1833"/>
      <c r="BR3105" s="1833"/>
      <c r="BS3105" s="1833"/>
      <c r="BT3105" s="1833"/>
      <c r="BU3105" s="1833"/>
      <c r="BV3105" s="1833"/>
      <c r="BW3105" s="1833"/>
      <c r="BX3105" s="1833"/>
      <c r="BY3105" s="1833"/>
      <c r="BZ3105" s="1833"/>
      <c r="CA3105" s="1833"/>
      <c r="CB3105" s="1833"/>
      <c r="CC3105" s="1833"/>
      <c r="CD3105" s="1833"/>
      <c r="CE3105" s="1833"/>
      <c r="CF3105" s="1833"/>
      <c r="CG3105" s="1833"/>
      <c r="CH3105" s="1833"/>
      <c r="CI3105" s="1833"/>
      <c r="CJ3105" s="1833"/>
      <c r="CK3105" s="1833"/>
    </row>
    <row r="3106" spans="1:89" s="1134" customFormat="1" ht="30" customHeight="1" x14ac:dyDescent="0.25">
      <c r="A3106" s="1730">
        <f>A3105+1</f>
        <v>30</v>
      </c>
      <c r="B3106" s="1158" t="s">
        <v>2208</v>
      </c>
      <c r="C3106" s="1136">
        <v>1</v>
      </c>
      <c r="D3106" s="1129" t="s">
        <v>16</v>
      </c>
      <c r="E3106" s="1130">
        <v>250000</v>
      </c>
      <c r="F3106" s="1131">
        <v>0</v>
      </c>
      <c r="G3106" s="1131">
        <v>0</v>
      </c>
      <c r="H3106" s="1155">
        <v>0</v>
      </c>
      <c r="I3106" s="1131">
        <v>0</v>
      </c>
      <c r="J3106" s="1131">
        <f t="shared" si="303"/>
        <v>250000</v>
      </c>
      <c r="K3106" s="1155">
        <f t="shared" si="304"/>
        <v>250000</v>
      </c>
      <c r="L3106" s="1131">
        <v>0</v>
      </c>
      <c r="M3106" s="1131">
        <v>0</v>
      </c>
      <c r="N3106" s="1131">
        <v>0</v>
      </c>
      <c r="O3106" s="1727">
        <f t="shared" si="305"/>
        <v>250000</v>
      </c>
      <c r="P3106" s="1816"/>
      <c r="Q3106" s="1833"/>
      <c r="R3106" s="1833"/>
      <c r="S3106" s="1833"/>
      <c r="T3106" s="1833"/>
      <c r="U3106" s="1833"/>
      <c r="V3106" s="1833"/>
      <c r="W3106" s="1833"/>
      <c r="X3106" s="1833"/>
      <c r="Y3106" s="1833"/>
      <c r="Z3106" s="1833"/>
      <c r="AA3106" s="1833"/>
      <c r="AB3106" s="1833"/>
      <c r="AC3106" s="1833"/>
      <c r="AD3106" s="1833"/>
      <c r="AE3106" s="1833"/>
      <c r="AF3106" s="1833"/>
      <c r="AG3106" s="1833"/>
      <c r="AH3106" s="1833"/>
      <c r="AI3106" s="1833"/>
      <c r="AJ3106" s="1833"/>
      <c r="AK3106" s="1833"/>
      <c r="AL3106" s="1833"/>
      <c r="AM3106" s="1833"/>
      <c r="AN3106" s="1833"/>
      <c r="AO3106" s="1833"/>
      <c r="AP3106" s="1833"/>
      <c r="AQ3106" s="1833"/>
      <c r="AR3106" s="1833"/>
      <c r="AS3106" s="1833"/>
      <c r="AT3106" s="1833"/>
      <c r="AU3106" s="1833"/>
      <c r="AV3106" s="1833"/>
      <c r="AW3106" s="1833"/>
      <c r="AX3106" s="1833"/>
      <c r="AY3106" s="1833"/>
      <c r="AZ3106" s="1833"/>
      <c r="BA3106" s="1833"/>
      <c r="BB3106" s="1833"/>
      <c r="BC3106" s="1833"/>
      <c r="BD3106" s="1833"/>
      <c r="BE3106" s="1833"/>
      <c r="BF3106" s="1833"/>
      <c r="BG3106" s="1833"/>
      <c r="BH3106" s="1833"/>
      <c r="BI3106" s="1833"/>
      <c r="BJ3106" s="1833"/>
      <c r="BK3106" s="1833"/>
      <c r="BL3106" s="1833"/>
      <c r="BM3106" s="1833"/>
      <c r="BN3106" s="1833"/>
      <c r="BO3106" s="1833"/>
      <c r="BP3106" s="1833"/>
      <c r="BQ3106" s="1833"/>
      <c r="BR3106" s="1833"/>
      <c r="BS3106" s="1833"/>
      <c r="BT3106" s="1833"/>
      <c r="BU3106" s="1833"/>
      <c r="BV3106" s="1833"/>
      <c r="BW3106" s="1833"/>
      <c r="BX3106" s="1833"/>
      <c r="BY3106" s="1833"/>
      <c r="BZ3106" s="1833"/>
      <c r="CA3106" s="1833"/>
      <c r="CB3106" s="1833"/>
      <c r="CC3106" s="1833"/>
      <c r="CD3106" s="1833"/>
      <c r="CE3106" s="1833"/>
      <c r="CF3106" s="1833"/>
      <c r="CG3106" s="1833"/>
      <c r="CH3106" s="1833"/>
      <c r="CI3106" s="1833"/>
      <c r="CJ3106" s="1833"/>
      <c r="CK3106" s="1833"/>
    </row>
    <row r="3107" spans="1:89" s="1134" customFormat="1" ht="30" customHeight="1" x14ac:dyDescent="0.25">
      <c r="A3107" s="1730">
        <f>A3106+1</f>
        <v>31</v>
      </c>
      <c r="B3107" s="1158" t="s">
        <v>2209</v>
      </c>
      <c r="C3107" s="1141">
        <v>1</v>
      </c>
      <c r="D3107" s="1129" t="s">
        <v>16</v>
      </c>
      <c r="E3107" s="1162">
        <v>300000</v>
      </c>
      <c r="F3107" s="1151">
        <v>0</v>
      </c>
      <c r="G3107" s="1151">
        <v>0</v>
      </c>
      <c r="H3107" s="1151">
        <v>0</v>
      </c>
      <c r="I3107" s="1151">
        <v>0</v>
      </c>
      <c r="J3107" s="1152">
        <f t="shared" si="303"/>
        <v>300000</v>
      </c>
      <c r="K3107" s="1152">
        <f t="shared" si="304"/>
        <v>300000</v>
      </c>
      <c r="L3107" s="1151">
        <v>0</v>
      </c>
      <c r="M3107" s="1151">
        <v>0</v>
      </c>
      <c r="N3107" s="1151">
        <v>0</v>
      </c>
      <c r="O3107" s="1729">
        <f t="shared" si="305"/>
        <v>300000</v>
      </c>
      <c r="P3107" s="1817"/>
      <c r="Q3107" s="1833"/>
      <c r="R3107" s="1833"/>
      <c r="S3107" s="1833"/>
      <c r="T3107" s="1833"/>
      <c r="U3107" s="1833"/>
      <c r="V3107" s="1833"/>
      <c r="W3107" s="1833"/>
      <c r="X3107" s="1833"/>
      <c r="Y3107" s="1833"/>
      <c r="Z3107" s="1833"/>
      <c r="AA3107" s="1833"/>
      <c r="AB3107" s="1833"/>
      <c r="AC3107" s="1833"/>
      <c r="AD3107" s="1833"/>
      <c r="AE3107" s="1833"/>
      <c r="AF3107" s="1833"/>
      <c r="AG3107" s="1833"/>
      <c r="AH3107" s="1833"/>
      <c r="AI3107" s="1833"/>
      <c r="AJ3107" s="1833"/>
      <c r="AK3107" s="1833"/>
      <c r="AL3107" s="1833"/>
      <c r="AM3107" s="1833"/>
      <c r="AN3107" s="1833"/>
      <c r="AO3107" s="1833"/>
      <c r="AP3107" s="1833"/>
      <c r="AQ3107" s="1833"/>
      <c r="AR3107" s="1833"/>
      <c r="AS3107" s="1833"/>
      <c r="AT3107" s="1833"/>
      <c r="AU3107" s="1833"/>
      <c r="AV3107" s="1833"/>
      <c r="AW3107" s="1833"/>
      <c r="AX3107" s="1833"/>
      <c r="AY3107" s="1833"/>
      <c r="AZ3107" s="1833"/>
      <c r="BA3107" s="1833"/>
      <c r="BB3107" s="1833"/>
      <c r="BC3107" s="1833"/>
      <c r="BD3107" s="1833"/>
      <c r="BE3107" s="1833"/>
      <c r="BF3107" s="1833"/>
      <c r="BG3107" s="1833"/>
      <c r="BH3107" s="1833"/>
      <c r="BI3107" s="1833"/>
      <c r="BJ3107" s="1833"/>
      <c r="BK3107" s="1833"/>
      <c r="BL3107" s="1833"/>
      <c r="BM3107" s="1833"/>
      <c r="BN3107" s="1833"/>
      <c r="BO3107" s="1833"/>
      <c r="BP3107" s="1833"/>
      <c r="BQ3107" s="1833"/>
      <c r="BR3107" s="1833"/>
      <c r="BS3107" s="1833"/>
      <c r="BT3107" s="1833"/>
      <c r="BU3107" s="1833"/>
      <c r="BV3107" s="1833"/>
      <c r="BW3107" s="1833"/>
      <c r="BX3107" s="1833"/>
      <c r="BY3107" s="1833"/>
      <c r="BZ3107" s="1833"/>
      <c r="CA3107" s="1833"/>
      <c r="CB3107" s="1833"/>
      <c r="CC3107" s="1833"/>
      <c r="CD3107" s="1833"/>
      <c r="CE3107" s="1833"/>
      <c r="CF3107" s="1833"/>
      <c r="CG3107" s="1833"/>
      <c r="CH3107" s="1833"/>
      <c r="CI3107" s="1833"/>
      <c r="CJ3107" s="1833"/>
      <c r="CK3107" s="1833"/>
    </row>
    <row r="3108" spans="1:89" s="1134" customFormat="1" ht="30" customHeight="1" x14ac:dyDescent="0.25">
      <c r="A3108" s="1730">
        <f>A3107+1</f>
        <v>32</v>
      </c>
      <c r="B3108" s="1158" t="s">
        <v>1476</v>
      </c>
      <c r="C3108" s="1141">
        <v>1</v>
      </c>
      <c r="D3108" s="1129" t="s">
        <v>16</v>
      </c>
      <c r="E3108" s="1162">
        <v>500000</v>
      </c>
      <c r="F3108" s="1151">
        <v>0</v>
      </c>
      <c r="G3108" s="1151">
        <v>0</v>
      </c>
      <c r="H3108" s="1151">
        <v>0</v>
      </c>
      <c r="I3108" s="1151">
        <v>0</v>
      </c>
      <c r="J3108" s="1152">
        <f t="shared" si="303"/>
        <v>500000</v>
      </c>
      <c r="K3108" s="1152">
        <f t="shared" si="304"/>
        <v>500000</v>
      </c>
      <c r="L3108" s="1151">
        <v>0</v>
      </c>
      <c r="M3108" s="1151">
        <v>0</v>
      </c>
      <c r="N3108" s="1151">
        <v>0</v>
      </c>
      <c r="O3108" s="1729">
        <f t="shared" si="305"/>
        <v>500000</v>
      </c>
      <c r="P3108" s="1817"/>
      <c r="Q3108" s="1833"/>
      <c r="R3108" s="1833"/>
      <c r="S3108" s="1833"/>
      <c r="T3108" s="1833"/>
      <c r="U3108" s="1833"/>
      <c r="V3108" s="1833"/>
      <c r="W3108" s="1833"/>
      <c r="X3108" s="1833"/>
      <c r="Y3108" s="1833"/>
      <c r="Z3108" s="1833"/>
      <c r="AA3108" s="1833"/>
      <c r="AB3108" s="1833"/>
      <c r="AC3108" s="1833"/>
      <c r="AD3108" s="1833"/>
      <c r="AE3108" s="1833"/>
      <c r="AF3108" s="1833"/>
      <c r="AG3108" s="1833"/>
      <c r="AH3108" s="1833"/>
      <c r="AI3108" s="1833"/>
      <c r="AJ3108" s="1833"/>
      <c r="AK3108" s="1833"/>
      <c r="AL3108" s="1833"/>
      <c r="AM3108" s="1833"/>
      <c r="AN3108" s="1833"/>
      <c r="AO3108" s="1833"/>
      <c r="AP3108" s="1833"/>
      <c r="AQ3108" s="1833"/>
      <c r="AR3108" s="1833"/>
      <c r="AS3108" s="1833"/>
      <c r="AT3108" s="1833"/>
      <c r="AU3108" s="1833"/>
      <c r="AV3108" s="1833"/>
      <c r="AW3108" s="1833"/>
      <c r="AX3108" s="1833"/>
      <c r="AY3108" s="1833"/>
      <c r="AZ3108" s="1833"/>
      <c r="BA3108" s="1833"/>
      <c r="BB3108" s="1833"/>
      <c r="BC3108" s="1833"/>
      <c r="BD3108" s="1833"/>
      <c r="BE3108" s="1833"/>
      <c r="BF3108" s="1833"/>
      <c r="BG3108" s="1833"/>
      <c r="BH3108" s="1833"/>
      <c r="BI3108" s="1833"/>
      <c r="BJ3108" s="1833"/>
      <c r="BK3108" s="1833"/>
      <c r="BL3108" s="1833"/>
      <c r="BM3108" s="1833"/>
      <c r="BN3108" s="1833"/>
      <c r="BO3108" s="1833"/>
      <c r="BP3108" s="1833"/>
      <c r="BQ3108" s="1833"/>
      <c r="BR3108" s="1833"/>
      <c r="BS3108" s="1833"/>
      <c r="BT3108" s="1833"/>
      <c r="BU3108" s="1833"/>
      <c r="BV3108" s="1833"/>
      <c r="BW3108" s="1833"/>
      <c r="BX3108" s="1833"/>
      <c r="BY3108" s="1833"/>
      <c r="BZ3108" s="1833"/>
      <c r="CA3108" s="1833"/>
      <c r="CB3108" s="1833"/>
      <c r="CC3108" s="1833"/>
      <c r="CD3108" s="1833"/>
      <c r="CE3108" s="1833"/>
      <c r="CF3108" s="1833"/>
      <c r="CG3108" s="1833"/>
      <c r="CH3108" s="1833"/>
      <c r="CI3108" s="1833"/>
      <c r="CJ3108" s="1833"/>
      <c r="CK3108" s="1833"/>
    </row>
    <row r="3109" spans="1:89" s="1134" customFormat="1" ht="17.25" customHeight="1" x14ac:dyDescent="0.25">
      <c r="A3109" s="1732"/>
      <c r="B3109" s="1163"/>
      <c r="C3109" s="1164"/>
      <c r="D3109" s="1165"/>
      <c r="E3109" s="1166"/>
      <c r="F3109" s="1151"/>
      <c r="G3109" s="1151"/>
      <c r="H3109" s="1151"/>
      <c r="I3109" s="1151"/>
      <c r="J3109" s="1152"/>
      <c r="K3109" s="1152"/>
      <c r="L3109" s="1151"/>
      <c r="M3109" s="1151"/>
      <c r="N3109" s="1151"/>
      <c r="O3109" s="1729"/>
      <c r="P3109" s="1817"/>
      <c r="Q3109" s="1833"/>
      <c r="R3109" s="1833"/>
      <c r="S3109" s="1833"/>
      <c r="T3109" s="1833"/>
      <c r="U3109" s="1833"/>
      <c r="V3109" s="1833"/>
      <c r="W3109" s="1833"/>
      <c r="X3109" s="1833"/>
      <c r="Y3109" s="1833"/>
      <c r="Z3109" s="1833"/>
      <c r="AA3109" s="1833"/>
      <c r="AB3109" s="1833"/>
      <c r="AC3109" s="1833"/>
      <c r="AD3109" s="1833"/>
      <c r="AE3109" s="1833"/>
      <c r="AF3109" s="1833"/>
      <c r="AG3109" s="1833"/>
      <c r="AH3109" s="1833"/>
      <c r="AI3109" s="1833"/>
      <c r="AJ3109" s="1833"/>
      <c r="AK3109" s="1833"/>
      <c r="AL3109" s="1833"/>
      <c r="AM3109" s="1833"/>
      <c r="AN3109" s="1833"/>
      <c r="AO3109" s="1833"/>
      <c r="AP3109" s="1833"/>
      <c r="AQ3109" s="1833"/>
      <c r="AR3109" s="1833"/>
      <c r="AS3109" s="1833"/>
      <c r="AT3109" s="1833"/>
      <c r="AU3109" s="1833"/>
      <c r="AV3109" s="1833"/>
      <c r="AW3109" s="1833"/>
      <c r="AX3109" s="1833"/>
      <c r="AY3109" s="1833"/>
      <c r="AZ3109" s="1833"/>
      <c r="BA3109" s="1833"/>
      <c r="BB3109" s="1833"/>
      <c r="BC3109" s="1833"/>
      <c r="BD3109" s="1833"/>
      <c r="BE3109" s="1833"/>
      <c r="BF3109" s="1833"/>
      <c r="BG3109" s="1833"/>
      <c r="BH3109" s="1833"/>
      <c r="BI3109" s="1833"/>
      <c r="BJ3109" s="1833"/>
      <c r="BK3109" s="1833"/>
      <c r="BL3109" s="1833"/>
      <c r="BM3109" s="1833"/>
      <c r="BN3109" s="1833"/>
      <c r="BO3109" s="1833"/>
      <c r="BP3109" s="1833"/>
      <c r="BQ3109" s="1833"/>
      <c r="BR3109" s="1833"/>
      <c r="BS3109" s="1833"/>
      <c r="BT3109" s="1833"/>
      <c r="BU3109" s="1833"/>
      <c r="BV3109" s="1833"/>
      <c r="BW3109" s="1833"/>
      <c r="BX3109" s="1833"/>
      <c r="BY3109" s="1833"/>
      <c r="BZ3109" s="1833"/>
      <c r="CA3109" s="1833"/>
      <c r="CB3109" s="1833"/>
      <c r="CC3109" s="1833"/>
      <c r="CD3109" s="1833"/>
      <c r="CE3109" s="1833"/>
      <c r="CF3109" s="1833"/>
      <c r="CG3109" s="1833"/>
      <c r="CH3109" s="1833"/>
      <c r="CI3109" s="1833"/>
      <c r="CJ3109" s="1833"/>
      <c r="CK3109" s="1833"/>
    </row>
    <row r="3110" spans="1:89" s="1134" customFormat="1" ht="36" x14ac:dyDescent="0.25">
      <c r="A3110" s="1730">
        <v>33</v>
      </c>
      <c r="B3110" s="1142" t="s">
        <v>2210</v>
      </c>
      <c r="C3110" s="1136">
        <v>1</v>
      </c>
      <c r="D3110" s="1129" t="s">
        <v>16</v>
      </c>
      <c r="E3110" s="1130">
        <v>300000</v>
      </c>
      <c r="F3110" s="1131">
        <v>0</v>
      </c>
      <c r="G3110" s="1131">
        <v>0</v>
      </c>
      <c r="H3110" s="1155">
        <v>0</v>
      </c>
      <c r="I3110" s="1131">
        <v>0</v>
      </c>
      <c r="J3110" s="1131">
        <f t="shared" ref="J3110:J3116" si="306">E3110*C3110</f>
        <v>300000</v>
      </c>
      <c r="K3110" s="1155">
        <f t="shared" ref="K3110:K3115" si="307">J3110+I3110</f>
        <v>300000</v>
      </c>
      <c r="L3110" s="1131">
        <v>0</v>
      </c>
      <c r="M3110" s="1131">
        <v>0</v>
      </c>
      <c r="N3110" s="1131">
        <v>0</v>
      </c>
      <c r="O3110" s="1727">
        <f t="shared" ref="O3110:O3116" si="308">N3110+K3110+H3110</f>
        <v>300000</v>
      </c>
      <c r="P3110" s="1816"/>
      <c r="Q3110" s="1833"/>
      <c r="R3110" s="1833"/>
      <c r="S3110" s="1833"/>
      <c r="T3110" s="1833"/>
      <c r="U3110" s="1833"/>
      <c r="V3110" s="1833"/>
      <c r="W3110" s="1833"/>
      <c r="X3110" s="1833"/>
      <c r="Y3110" s="1833"/>
      <c r="Z3110" s="1833"/>
      <c r="AA3110" s="1833"/>
      <c r="AB3110" s="1833"/>
      <c r="AC3110" s="1833"/>
      <c r="AD3110" s="1833"/>
      <c r="AE3110" s="1833"/>
      <c r="AF3110" s="1833"/>
      <c r="AG3110" s="1833"/>
      <c r="AH3110" s="1833"/>
      <c r="AI3110" s="1833"/>
      <c r="AJ3110" s="1833"/>
      <c r="AK3110" s="1833"/>
      <c r="AL3110" s="1833"/>
      <c r="AM3110" s="1833"/>
      <c r="AN3110" s="1833"/>
      <c r="AO3110" s="1833"/>
      <c r="AP3110" s="1833"/>
      <c r="AQ3110" s="1833"/>
      <c r="AR3110" s="1833"/>
      <c r="AS3110" s="1833"/>
      <c r="AT3110" s="1833"/>
      <c r="AU3110" s="1833"/>
      <c r="AV3110" s="1833"/>
      <c r="AW3110" s="1833"/>
      <c r="AX3110" s="1833"/>
      <c r="AY3110" s="1833"/>
      <c r="AZ3110" s="1833"/>
      <c r="BA3110" s="1833"/>
      <c r="BB3110" s="1833"/>
      <c r="BC3110" s="1833"/>
      <c r="BD3110" s="1833"/>
      <c r="BE3110" s="1833"/>
      <c r="BF3110" s="1833"/>
      <c r="BG3110" s="1833"/>
      <c r="BH3110" s="1833"/>
      <c r="BI3110" s="1833"/>
      <c r="BJ3110" s="1833"/>
      <c r="BK3110" s="1833"/>
      <c r="BL3110" s="1833"/>
      <c r="BM3110" s="1833"/>
      <c r="BN3110" s="1833"/>
      <c r="BO3110" s="1833"/>
      <c r="BP3110" s="1833"/>
      <c r="BQ3110" s="1833"/>
      <c r="BR3110" s="1833"/>
      <c r="BS3110" s="1833"/>
      <c r="BT3110" s="1833"/>
      <c r="BU3110" s="1833"/>
      <c r="BV3110" s="1833"/>
      <c r="BW3110" s="1833"/>
      <c r="BX3110" s="1833"/>
      <c r="BY3110" s="1833"/>
      <c r="BZ3110" s="1833"/>
      <c r="CA3110" s="1833"/>
      <c r="CB3110" s="1833"/>
      <c r="CC3110" s="1833"/>
      <c r="CD3110" s="1833"/>
      <c r="CE3110" s="1833"/>
      <c r="CF3110" s="1833"/>
      <c r="CG3110" s="1833"/>
      <c r="CH3110" s="1833"/>
      <c r="CI3110" s="1833"/>
      <c r="CJ3110" s="1833"/>
      <c r="CK3110" s="1833"/>
    </row>
    <row r="3111" spans="1:89" s="1134" customFormat="1" ht="30" customHeight="1" x14ac:dyDescent="0.25">
      <c r="A3111" s="1730">
        <f t="shared" ref="A3111:A3116" si="309">A3110+1</f>
        <v>34</v>
      </c>
      <c r="B3111" s="1142" t="s">
        <v>2211</v>
      </c>
      <c r="C3111" s="1136">
        <v>1</v>
      </c>
      <c r="D3111" s="1129" t="s">
        <v>16</v>
      </c>
      <c r="E3111" s="1130">
        <v>450000</v>
      </c>
      <c r="F3111" s="1131">
        <v>0</v>
      </c>
      <c r="G3111" s="1131">
        <v>0</v>
      </c>
      <c r="H3111" s="1155">
        <v>0</v>
      </c>
      <c r="I3111" s="1131">
        <v>0</v>
      </c>
      <c r="J3111" s="1131">
        <f t="shared" si="306"/>
        <v>450000</v>
      </c>
      <c r="K3111" s="1155">
        <f t="shared" si="307"/>
        <v>450000</v>
      </c>
      <c r="L3111" s="1131">
        <v>0</v>
      </c>
      <c r="M3111" s="1131">
        <v>0</v>
      </c>
      <c r="N3111" s="1131">
        <v>0</v>
      </c>
      <c r="O3111" s="1727">
        <f t="shared" si="308"/>
        <v>450000</v>
      </c>
      <c r="P3111" s="1816"/>
      <c r="Q3111" s="1833"/>
      <c r="R3111" s="1833"/>
      <c r="S3111" s="1833"/>
      <c r="T3111" s="1833"/>
      <c r="U3111" s="1833"/>
      <c r="V3111" s="1833"/>
      <c r="W3111" s="1833"/>
      <c r="X3111" s="1833"/>
      <c r="Y3111" s="1833"/>
      <c r="Z3111" s="1833"/>
      <c r="AA3111" s="1833"/>
      <c r="AB3111" s="1833"/>
      <c r="AC3111" s="1833"/>
      <c r="AD3111" s="1833"/>
      <c r="AE3111" s="1833"/>
      <c r="AF3111" s="1833"/>
      <c r="AG3111" s="1833"/>
      <c r="AH3111" s="1833"/>
      <c r="AI3111" s="1833"/>
      <c r="AJ3111" s="1833"/>
      <c r="AK3111" s="1833"/>
      <c r="AL3111" s="1833"/>
      <c r="AM3111" s="1833"/>
      <c r="AN3111" s="1833"/>
      <c r="AO3111" s="1833"/>
      <c r="AP3111" s="1833"/>
      <c r="AQ3111" s="1833"/>
      <c r="AR3111" s="1833"/>
      <c r="AS3111" s="1833"/>
      <c r="AT3111" s="1833"/>
      <c r="AU3111" s="1833"/>
      <c r="AV3111" s="1833"/>
      <c r="AW3111" s="1833"/>
      <c r="AX3111" s="1833"/>
      <c r="AY3111" s="1833"/>
      <c r="AZ3111" s="1833"/>
      <c r="BA3111" s="1833"/>
      <c r="BB3111" s="1833"/>
      <c r="BC3111" s="1833"/>
      <c r="BD3111" s="1833"/>
      <c r="BE3111" s="1833"/>
      <c r="BF3111" s="1833"/>
      <c r="BG3111" s="1833"/>
      <c r="BH3111" s="1833"/>
      <c r="BI3111" s="1833"/>
      <c r="BJ3111" s="1833"/>
      <c r="BK3111" s="1833"/>
      <c r="BL3111" s="1833"/>
      <c r="BM3111" s="1833"/>
      <c r="BN3111" s="1833"/>
      <c r="BO3111" s="1833"/>
      <c r="BP3111" s="1833"/>
      <c r="BQ3111" s="1833"/>
      <c r="BR3111" s="1833"/>
      <c r="BS3111" s="1833"/>
      <c r="BT3111" s="1833"/>
      <c r="BU3111" s="1833"/>
      <c r="BV3111" s="1833"/>
      <c r="BW3111" s="1833"/>
      <c r="BX3111" s="1833"/>
      <c r="BY3111" s="1833"/>
      <c r="BZ3111" s="1833"/>
      <c r="CA3111" s="1833"/>
      <c r="CB3111" s="1833"/>
      <c r="CC3111" s="1833"/>
      <c r="CD3111" s="1833"/>
      <c r="CE3111" s="1833"/>
      <c r="CF3111" s="1833"/>
      <c r="CG3111" s="1833"/>
      <c r="CH3111" s="1833"/>
      <c r="CI3111" s="1833"/>
      <c r="CJ3111" s="1833"/>
      <c r="CK3111" s="1833"/>
    </row>
    <row r="3112" spans="1:89" s="1134" customFormat="1" ht="18" x14ac:dyDescent="0.25">
      <c r="A3112" s="1730">
        <f t="shared" si="309"/>
        <v>35</v>
      </c>
      <c r="B3112" s="1142" t="s">
        <v>2212</v>
      </c>
      <c r="C3112" s="1136">
        <v>1</v>
      </c>
      <c r="D3112" s="1129" t="s">
        <v>16</v>
      </c>
      <c r="E3112" s="1130">
        <v>450000</v>
      </c>
      <c r="F3112" s="1131">
        <v>0</v>
      </c>
      <c r="G3112" s="1131">
        <v>0</v>
      </c>
      <c r="H3112" s="1155">
        <v>0</v>
      </c>
      <c r="I3112" s="1131">
        <v>0</v>
      </c>
      <c r="J3112" s="1131">
        <f t="shared" si="306"/>
        <v>450000</v>
      </c>
      <c r="K3112" s="1155">
        <f t="shared" si="307"/>
        <v>450000</v>
      </c>
      <c r="L3112" s="1131">
        <v>0</v>
      </c>
      <c r="M3112" s="1131">
        <v>0</v>
      </c>
      <c r="N3112" s="1131">
        <v>0</v>
      </c>
      <c r="O3112" s="1727">
        <f t="shared" si="308"/>
        <v>450000</v>
      </c>
      <c r="P3112" s="1816"/>
      <c r="Q3112" s="1833"/>
      <c r="R3112" s="1833"/>
      <c r="S3112" s="1833"/>
      <c r="T3112" s="1833"/>
      <c r="U3112" s="1833"/>
      <c r="V3112" s="1833"/>
      <c r="W3112" s="1833"/>
      <c r="X3112" s="1833"/>
      <c r="Y3112" s="1833"/>
      <c r="Z3112" s="1833"/>
      <c r="AA3112" s="1833"/>
      <c r="AB3112" s="1833"/>
      <c r="AC3112" s="1833"/>
      <c r="AD3112" s="1833"/>
      <c r="AE3112" s="1833"/>
      <c r="AF3112" s="1833"/>
      <c r="AG3112" s="1833"/>
      <c r="AH3112" s="1833"/>
      <c r="AI3112" s="1833"/>
      <c r="AJ3112" s="1833"/>
      <c r="AK3112" s="1833"/>
      <c r="AL3112" s="1833"/>
      <c r="AM3112" s="1833"/>
      <c r="AN3112" s="1833"/>
      <c r="AO3112" s="1833"/>
      <c r="AP3112" s="1833"/>
      <c r="AQ3112" s="1833"/>
      <c r="AR3112" s="1833"/>
      <c r="AS3112" s="1833"/>
      <c r="AT3112" s="1833"/>
      <c r="AU3112" s="1833"/>
      <c r="AV3112" s="1833"/>
      <c r="AW3112" s="1833"/>
      <c r="AX3112" s="1833"/>
      <c r="AY3112" s="1833"/>
      <c r="AZ3112" s="1833"/>
      <c r="BA3112" s="1833"/>
      <c r="BB3112" s="1833"/>
      <c r="BC3112" s="1833"/>
      <c r="BD3112" s="1833"/>
      <c r="BE3112" s="1833"/>
      <c r="BF3112" s="1833"/>
      <c r="BG3112" s="1833"/>
      <c r="BH3112" s="1833"/>
      <c r="BI3112" s="1833"/>
      <c r="BJ3112" s="1833"/>
      <c r="BK3112" s="1833"/>
      <c r="BL3112" s="1833"/>
      <c r="BM3112" s="1833"/>
      <c r="BN3112" s="1833"/>
      <c r="BO3112" s="1833"/>
      <c r="BP3112" s="1833"/>
      <c r="BQ3112" s="1833"/>
      <c r="BR3112" s="1833"/>
      <c r="BS3112" s="1833"/>
      <c r="BT3112" s="1833"/>
      <c r="BU3112" s="1833"/>
      <c r="BV3112" s="1833"/>
      <c r="BW3112" s="1833"/>
      <c r="BX3112" s="1833"/>
      <c r="BY3112" s="1833"/>
      <c r="BZ3112" s="1833"/>
      <c r="CA3112" s="1833"/>
      <c r="CB3112" s="1833"/>
      <c r="CC3112" s="1833"/>
      <c r="CD3112" s="1833"/>
      <c r="CE3112" s="1833"/>
      <c r="CF3112" s="1833"/>
      <c r="CG3112" s="1833"/>
      <c r="CH3112" s="1833"/>
      <c r="CI3112" s="1833"/>
      <c r="CJ3112" s="1833"/>
      <c r="CK3112" s="1833"/>
    </row>
    <row r="3113" spans="1:89" s="1167" customFormat="1" ht="30" customHeight="1" x14ac:dyDescent="0.25">
      <c r="A3113" s="1730">
        <f t="shared" si="309"/>
        <v>36</v>
      </c>
      <c r="B3113" s="1142" t="s">
        <v>1072</v>
      </c>
      <c r="C3113" s="1136">
        <v>1</v>
      </c>
      <c r="D3113" s="1129" t="s">
        <v>16</v>
      </c>
      <c r="E3113" s="1130">
        <v>450000</v>
      </c>
      <c r="F3113" s="1131">
        <v>0</v>
      </c>
      <c r="G3113" s="1131">
        <v>0</v>
      </c>
      <c r="H3113" s="1155">
        <v>0</v>
      </c>
      <c r="I3113" s="1131">
        <v>0</v>
      </c>
      <c r="J3113" s="1131">
        <f t="shared" si="306"/>
        <v>450000</v>
      </c>
      <c r="K3113" s="1155">
        <f t="shared" si="307"/>
        <v>450000</v>
      </c>
      <c r="L3113" s="1131">
        <v>0</v>
      </c>
      <c r="M3113" s="1131">
        <v>0</v>
      </c>
      <c r="N3113" s="1131">
        <v>0</v>
      </c>
      <c r="O3113" s="1727">
        <f t="shared" si="308"/>
        <v>450000</v>
      </c>
      <c r="P3113" s="1816"/>
      <c r="Q3113" s="1834"/>
      <c r="R3113" s="1834"/>
      <c r="S3113" s="1834"/>
      <c r="T3113" s="1834"/>
      <c r="U3113" s="1834"/>
      <c r="V3113" s="1834"/>
      <c r="W3113" s="1834"/>
      <c r="X3113" s="1834"/>
      <c r="Y3113" s="1834"/>
      <c r="Z3113" s="1834"/>
      <c r="AA3113" s="1834"/>
      <c r="AB3113" s="1834"/>
      <c r="AC3113" s="1834"/>
      <c r="AD3113" s="1834"/>
      <c r="AE3113" s="1834"/>
      <c r="AF3113" s="1834"/>
      <c r="AG3113" s="1834"/>
      <c r="AH3113" s="1834"/>
      <c r="AI3113" s="1834"/>
      <c r="AJ3113" s="1834"/>
      <c r="AK3113" s="1834"/>
      <c r="AL3113" s="1834"/>
      <c r="AM3113" s="1834"/>
      <c r="AN3113" s="1834"/>
      <c r="AO3113" s="1834"/>
      <c r="AP3113" s="1834"/>
      <c r="AQ3113" s="1834"/>
      <c r="AR3113" s="1834"/>
      <c r="AS3113" s="1834"/>
      <c r="AT3113" s="1834"/>
      <c r="AU3113" s="1834"/>
      <c r="AV3113" s="1834"/>
      <c r="AW3113" s="1834"/>
      <c r="AX3113" s="1834"/>
      <c r="AY3113" s="1834"/>
      <c r="AZ3113" s="1834"/>
      <c r="BA3113" s="1834"/>
      <c r="BB3113" s="1834"/>
      <c r="BC3113" s="1834"/>
      <c r="BD3113" s="1834"/>
      <c r="BE3113" s="1834"/>
      <c r="BF3113" s="1834"/>
      <c r="BG3113" s="1834"/>
      <c r="BH3113" s="1834"/>
      <c r="BI3113" s="1834"/>
      <c r="BJ3113" s="1834"/>
      <c r="BK3113" s="1834"/>
      <c r="BL3113" s="1834"/>
      <c r="BM3113" s="1834"/>
      <c r="BN3113" s="1834"/>
      <c r="BO3113" s="1834"/>
      <c r="BP3113" s="1834"/>
      <c r="BQ3113" s="1834"/>
      <c r="BR3113" s="1834"/>
      <c r="BS3113" s="1834"/>
      <c r="BT3113" s="1834"/>
      <c r="BU3113" s="1834"/>
      <c r="BV3113" s="1834"/>
      <c r="BW3113" s="1834"/>
      <c r="BX3113" s="1834"/>
      <c r="BY3113" s="1834"/>
      <c r="BZ3113" s="1834"/>
      <c r="CA3113" s="1834"/>
      <c r="CB3113" s="1834"/>
      <c r="CC3113" s="1834"/>
      <c r="CD3113" s="1834"/>
      <c r="CE3113" s="1834"/>
      <c r="CF3113" s="1834"/>
      <c r="CG3113" s="1834"/>
      <c r="CH3113" s="1834"/>
      <c r="CI3113" s="1834"/>
      <c r="CJ3113" s="1834"/>
      <c r="CK3113" s="1834"/>
    </row>
    <row r="3114" spans="1:89" s="1134" customFormat="1" ht="30" customHeight="1" x14ac:dyDescent="0.25">
      <c r="A3114" s="1726">
        <f t="shared" si="309"/>
        <v>37</v>
      </c>
      <c r="B3114" s="1127" t="s">
        <v>1380</v>
      </c>
      <c r="C3114" s="1138">
        <v>1</v>
      </c>
      <c r="D3114" s="1129" t="s">
        <v>16</v>
      </c>
      <c r="E3114" s="1130">
        <v>300000</v>
      </c>
      <c r="F3114" s="1131">
        <v>0</v>
      </c>
      <c r="G3114" s="1131">
        <v>0</v>
      </c>
      <c r="H3114" s="1131">
        <v>0</v>
      </c>
      <c r="I3114" s="1131">
        <v>0</v>
      </c>
      <c r="J3114" s="1131">
        <f t="shared" si="306"/>
        <v>300000</v>
      </c>
      <c r="K3114" s="1131">
        <f t="shared" si="307"/>
        <v>300000</v>
      </c>
      <c r="L3114" s="1131">
        <v>0</v>
      </c>
      <c r="M3114" s="1131">
        <v>0</v>
      </c>
      <c r="N3114" s="1131">
        <v>0</v>
      </c>
      <c r="O3114" s="1727">
        <f t="shared" si="308"/>
        <v>300000</v>
      </c>
      <c r="P3114" s="1816"/>
      <c r="Q3114" s="1833"/>
      <c r="R3114" s="1833"/>
      <c r="S3114" s="1833"/>
      <c r="T3114" s="1833"/>
      <c r="U3114" s="1833"/>
      <c r="V3114" s="1833"/>
      <c r="W3114" s="1833"/>
      <c r="X3114" s="1833"/>
      <c r="Y3114" s="1833"/>
      <c r="Z3114" s="1833"/>
      <c r="AA3114" s="1833"/>
      <c r="AB3114" s="1833"/>
      <c r="AC3114" s="1833"/>
      <c r="AD3114" s="1833"/>
      <c r="AE3114" s="1833"/>
      <c r="AF3114" s="1833"/>
      <c r="AG3114" s="1833"/>
      <c r="AH3114" s="1833"/>
      <c r="AI3114" s="1833"/>
      <c r="AJ3114" s="1833"/>
      <c r="AK3114" s="1833"/>
      <c r="AL3114" s="1833"/>
      <c r="AM3114" s="1833"/>
      <c r="AN3114" s="1833"/>
      <c r="AO3114" s="1833"/>
      <c r="AP3114" s="1833"/>
      <c r="AQ3114" s="1833"/>
      <c r="AR3114" s="1833"/>
      <c r="AS3114" s="1833"/>
      <c r="AT3114" s="1833"/>
      <c r="AU3114" s="1833"/>
      <c r="AV3114" s="1833"/>
      <c r="AW3114" s="1833"/>
      <c r="AX3114" s="1833"/>
      <c r="AY3114" s="1833"/>
      <c r="AZ3114" s="1833"/>
      <c r="BA3114" s="1833"/>
      <c r="BB3114" s="1833"/>
      <c r="BC3114" s="1833"/>
      <c r="BD3114" s="1833"/>
      <c r="BE3114" s="1833"/>
      <c r="BF3114" s="1833"/>
      <c r="BG3114" s="1833"/>
      <c r="BH3114" s="1833"/>
      <c r="BI3114" s="1833"/>
      <c r="BJ3114" s="1833"/>
      <c r="BK3114" s="1833"/>
      <c r="BL3114" s="1833"/>
      <c r="BM3114" s="1833"/>
      <c r="BN3114" s="1833"/>
      <c r="BO3114" s="1833"/>
      <c r="BP3114" s="1833"/>
      <c r="BQ3114" s="1833"/>
      <c r="BR3114" s="1833"/>
      <c r="BS3114" s="1833"/>
      <c r="BT3114" s="1833"/>
      <c r="BU3114" s="1833"/>
      <c r="BV3114" s="1833"/>
      <c r="BW3114" s="1833"/>
      <c r="BX3114" s="1833"/>
      <c r="BY3114" s="1833"/>
      <c r="BZ3114" s="1833"/>
      <c r="CA3114" s="1833"/>
      <c r="CB3114" s="1833"/>
      <c r="CC3114" s="1833"/>
      <c r="CD3114" s="1833"/>
      <c r="CE3114" s="1833"/>
      <c r="CF3114" s="1833"/>
      <c r="CG3114" s="1833"/>
      <c r="CH3114" s="1833"/>
      <c r="CI3114" s="1833"/>
      <c r="CJ3114" s="1833"/>
      <c r="CK3114" s="1833"/>
    </row>
    <row r="3115" spans="1:89" s="1134" customFormat="1" ht="39" customHeight="1" x14ac:dyDescent="0.25">
      <c r="A3115" s="1730">
        <f t="shared" si="309"/>
        <v>38</v>
      </c>
      <c r="B3115" s="1153" t="s">
        <v>2213</v>
      </c>
      <c r="C3115" s="1138">
        <v>1</v>
      </c>
      <c r="D3115" s="1129" t="s">
        <v>16</v>
      </c>
      <c r="E3115" s="1130">
        <v>300000</v>
      </c>
      <c r="F3115" s="1131">
        <v>0</v>
      </c>
      <c r="G3115" s="1131">
        <v>0</v>
      </c>
      <c r="H3115" s="1131">
        <v>0</v>
      </c>
      <c r="I3115" s="1131">
        <v>0</v>
      </c>
      <c r="J3115" s="1131">
        <f t="shared" si="306"/>
        <v>300000</v>
      </c>
      <c r="K3115" s="1131">
        <f t="shared" si="307"/>
        <v>300000</v>
      </c>
      <c r="L3115" s="1131">
        <v>0</v>
      </c>
      <c r="M3115" s="1131">
        <v>0</v>
      </c>
      <c r="N3115" s="1131">
        <v>0</v>
      </c>
      <c r="O3115" s="1727">
        <f t="shared" si="308"/>
        <v>300000</v>
      </c>
      <c r="P3115" s="1816"/>
      <c r="Q3115" s="1833"/>
      <c r="R3115" s="1833"/>
      <c r="S3115" s="1833"/>
      <c r="T3115" s="1833"/>
      <c r="U3115" s="1833"/>
      <c r="V3115" s="1833"/>
      <c r="W3115" s="1833"/>
      <c r="X3115" s="1833"/>
      <c r="Y3115" s="1833"/>
      <c r="Z3115" s="1833"/>
      <c r="AA3115" s="1833"/>
      <c r="AB3115" s="1833"/>
      <c r="AC3115" s="1833"/>
      <c r="AD3115" s="1833"/>
      <c r="AE3115" s="1833"/>
      <c r="AF3115" s="1833"/>
      <c r="AG3115" s="1833"/>
      <c r="AH3115" s="1833"/>
      <c r="AI3115" s="1833"/>
      <c r="AJ3115" s="1833"/>
      <c r="AK3115" s="1833"/>
      <c r="AL3115" s="1833"/>
      <c r="AM3115" s="1833"/>
      <c r="AN3115" s="1833"/>
      <c r="AO3115" s="1833"/>
      <c r="AP3115" s="1833"/>
      <c r="AQ3115" s="1833"/>
      <c r="AR3115" s="1833"/>
      <c r="AS3115" s="1833"/>
      <c r="AT3115" s="1833"/>
      <c r="AU3115" s="1833"/>
      <c r="AV3115" s="1833"/>
      <c r="AW3115" s="1833"/>
      <c r="AX3115" s="1833"/>
      <c r="AY3115" s="1833"/>
      <c r="AZ3115" s="1833"/>
      <c r="BA3115" s="1833"/>
      <c r="BB3115" s="1833"/>
      <c r="BC3115" s="1833"/>
      <c r="BD3115" s="1833"/>
      <c r="BE3115" s="1833"/>
      <c r="BF3115" s="1833"/>
      <c r="BG3115" s="1833"/>
      <c r="BH3115" s="1833"/>
      <c r="BI3115" s="1833"/>
      <c r="BJ3115" s="1833"/>
      <c r="BK3115" s="1833"/>
      <c r="BL3115" s="1833"/>
      <c r="BM3115" s="1833"/>
      <c r="BN3115" s="1833"/>
      <c r="BO3115" s="1833"/>
      <c r="BP3115" s="1833"/>
      <c r="BQ3115" s="1833"/>
      <c r="BR3115" s="1833"/>
      <c r="BS3115" s="1833"/>
      <c r="BT3115" s="1833"/>
      <c r="BU3115" s="1833"/>
      <c r="BV3115" s="1833"/>
      <c r="BW3115" s="1833"/>
      <c r="BX3115" s="1833"/>
      <c r="BY3115" s="1833"/>
      <c r="BZ3115" s="1833"/>
      <c r="CA3115" s="1833"/>
      <c r="CB3115" s="1833"/>
      <c r="CC3115" s="1833"/>
      <c r="CD3115" s="1833"/>
      <c r="CE3115" s="1833"/>
      <c r="CF3115" s="1833"/>
      <c r="CG3115" s="1833"/>
      <c r="CH3115" s="1833"/>
      <c r="CI3115" s="1833"/>
      <c r="CJ3115" s="1833"/>
      <c r="CK3115" s="1833"/>
    </row>
    <row r="3116" spans="1:89" s="1134" customFormat="1" ht="35.25" customHeight="1" x14ac:dyDescent="0.25">
      <c r="A3116" s="1726">
        <f t="shared" si="309"/>
        <v>39</v>
      </c>
      <c r="B3116" s="1153" t="s">
        <v>2214</v>
      </c>
      <c r="C3116" s="1138">
        <v>1</v>
      </c>
      <c r="D3116" s="1129" t="s">
        <v>16</v>
      </c>
      <c r="E3116" s="1130">
        <v>300000</v>
      </c>
      <c r="F3116" s="1131">
        <v>0</v>
      </c>
      <c r="G3116" s="1131">
        <v>0</v>
      </c>
      <c r="H3116" s="1131">
        <v>0</v>
      </c>
      <c r="I3116" s="1131">
        <v>0</v>
      </c>
      <c r="J3116" s="1131">
        <f t="shared" si="306"/>
        <v>300000</v>
      </c>
      <c r="K3116" s="1131">
        <f>J3116+I3116</f>
        <v>300000</v>
      </c>
      <c r="L3116" s="1131">
        <v>0</v>
      </c>
      <c r="M3116" s="1131">
        <v>0</v>
      </c>
      <c r="N3116" s="1131">
        <v>0</v>
      </c>
      <c r="O3116" s="1727">
        <f t="shared" si="308"/>
        <v>300000</v>
      </c>
      <c r="P3116" s="1816"/>
      <c r="Q3116" s="1833"/>
      <c r="R3116" s="1833"/>
      <c r="S3116" s="1833"/>
      <c r="T3116" s="1833"/>
      <c r="U3116" s="1833"/>
      <c r="V3116" s="1833"/>
      <c r="W3116" s="1833"/>
      <c r="X3116" s="1833"/>
      <c r="Y3116" s="1833"/>
      <c r="Z3116" s="1833"/>
      <c r="AA3116" s="1833"/>
      <c r="AB3116" s="1833"/>
      <c r="AC3116" s="1833"/>
      <c r="AD3116" s="1833"/>
      <c r="AE3116" s="1833"/>
      <c r="AF3116" s="1833"/>
      <c r="AG3116" s="1833"/>
      <c r="AH3116" s="1833"/>
      <c r="AI3116" s="1833"/>
      <c r="AJ3116" s="1833"/>
      <c r="AK3116" s="1833"/>
      <c r="AL3116" s="1833"/>
      <c r="AM3116" s="1833"/>
      <c r="AN3116" s="1833"/>
      <c r="AO3116" s="1833"/>
      <c r="AP3116" s="1833"/>
      <c r="AQ3116" s="1833"/>
      <c r="AR3116" s="1833"/>
      <c r="AS3116" s="1833"/>
      <c r="AT3116" s="1833"/>
      <c r="AU3116" s="1833"/>
      <c r="AV3116" s="1833"/>
      <c r="AW3116" s="1833"/>
      <c r="AX3116" s="1833"/>
      <c r="AY3116" s="1833"/>
      <c r="AZ3116" s="1833"/>
      <c r="BA3116" s="1833"/>
      <c r="BB3116" s="1833"/>
      <c r="BC3116" s="1833"/>
      <c r="BD3116" s="1833"/>
      <c r="BE3116" s="1833"/>
      <c r="BF3116" s="1833"/>
      <c r="BG3116" s="1833"/>
      <c r="BH3116" s="1833"/>
      <c r="BI3116" s="1833"/>
      <c r="BJ3116" s="1833"/>
      <c r="BK3116" s="1833"/>
      <c r="BL3116" s="1833"/>
      <c r="BM3116" s="1833"/>
      <c r="BN3116" s="1833"/>
      <c r="BO3116" s="1833"/>
      <c r="BP3116" s="1833"/>
      <c r="BQ3116" s="1833"/>
      <c r="BR3116" s="1833"/>
      <c r="BS3116" s="1833"/>
      <c r="BT3116" s="1833"/>
      <c r="BU3116" s="1833"/>
      <c r="BV3116" s="1833"/>
      <c r="BW3116" s="1833"/>
      <c r="BX3116" s="1833"/>
      <c r="BY3116" s="1833"/>
      <c r="BZ3116" s="1833"/>
      <c r="CA3116" s="1833"/>
      <c r="CB3116" s="1833"/>
      <c r="CC3116" s="1833"/>
      <c r="CD3116" s="1833"/>
      <c r="CE3116" s="1833"/>
      <c r="CF3116" s="1833"/>
      <c r="CG3116" s="1833"/>
      <c r="CH3116" s="1833"/>
      <c r="CI3116" s="1833"/>
      <c r="CJ3116" s="1833"/>
      <c r="CK3116" s="1833"/>
    </row>
    <row r="3117" spans="1:89" s="1134" customFormat="1" ht="17.25" customHeight="1" x14ac:dyDescent="0.25">
      <c r="A3117" s="1733"/>
      <c r="B3117" s="1163"/>
      <c r="C3117" s="1164"/>
      <c r="D3117" s="1165"/>
      <c r="E3117" s="1166"/>
      <c r="F3117" s="1151"/>
      <c r="G3117" s="1151"/>
      <c r="H3117" s="1151"/>
      <c r="I3117" s="1151"/>
      <c r="J3117" s="1152"/>
      <c r="K3117" s="1152"/>
      <c r="L3117" s="1151"/>
      <c r="M3117" s="1151"/>
      <c r="N3117" s="1151"/>
      <c r="O3117" s="1729"/>
      <c r="P3117" s="1817"/>
      <c r="Q3117" s="1833"/>
      <c r="R3117" s="1833"/>
      <c r="S3117" s="1833"/>
      <c r="T3117" s="1833"/>
      <c r="U3117" s="1833"/>
      <c r="V3117" s="1833"/>
      <c r="W3117" s="1833"/>
      <c r="X3117" s="1833"/>
      <c r="Y3117" s="1833"/>
      <c r="Z3117" s="1833"/>
      <c r="AA3117" s="1833"/>
      <c r="AB3117" s="1833"/>
      <c r="AC3117" s="1833"/>
      <c r="AD3117" s="1833"/>
      <c r="AE3117" s="1833"/>
      <c r="AF3117" s="1833"/>
      <c r="AG3117" s="1833"/>
      <c r="AH3117" s="1833"/>
      <c r="AI3117" s="1833"/>
      <c r="AJ3117" s="1833"/>
      <c r="AK3117" s="1833"/>
      <c r="AL3117" s="1833"/>
      <c r="AM3117" s="1833"/>
      <c r="AN3117" s="1833"/>
      <c r="AO3117" s="1833"/>
      <c r="AP3117" s="1833"/>
      <c r="AQ3117" s="1833"/>
      <c r="AR3117" s="1833"/>
      <c r="AS3117" s="1833"/>
      <c r="AT3117" s="1833"/>
      <c r="AU3117" s="1833"/>
      <c r="AV3117" s="1833"/>
      <c r="AW3117" s="1833"/>
      <c r="AX3117" s="1833"/>
      <c r="AY3117" s="1833"/>
      <c r="AZ3117" s="1833"/>
      <c r="BA3117" s="1833"/>
      <c r="BB3117" s="1833"/>
      <c r="BC3117" s="1833"/>
      <c r="BD3117" s="1833"/>
      <c r="BE3117" s="1833"/>
      <c r="BF3117" s="1833"/>
      <c r="BG3117" s="1833"/>
      <c r="BH3117" s="1833"/>
      <c r="BI3117" s="1833"/>
      <c r="BJ3117" s="1833"/>
      <c r="BK3117" s="1833"/>
      <c r="BL3117" s="1833"/>
      <c r="BM3117" s="1833"/>
      <c r="BN3117" s="1833"/>
      <c r="BO3117" s="1833"/>
      <c r="BP3117" s="1833"/>
      <c r="BQ3117" s="1833"/>
      <c r="BR3117" s="1833"/>
      <c r="BS3117" s="1833"/>
      <c r="BT3117" s="1833"/>
      <c r="BU3117" s="1833"/>
      <c r="BV3117" s="1833"/>
      <c r="BW3117" s="1833"/>
      <c r="BX3117" s="1833"/>
      <c r="BY3117" s="1833"/>
      <c r="BZ3117" s="1833"/>
      <c r="CA3117" s="1833"/>
      <c r="CB3117" s="1833"/>
      <c r="CC3117" s="1833"/>
      <c r="CD3117" s="1833"/>
      <c r="CE3117" s="1833"/>
      <c r="CF3117" s="1833"/>
      <c r="CG3117" s="1833"/>
      <c r="CH3117" s="1833"/>
      <c r="CI3117" s="1833"/>
      <c r="CJ3117" s="1833"/>
      <c r="CK3117" s="1833"/>
    </row>
    <row r="3118" spans="1:89" s="1167" customFormat="1" ht="36" x14ac:dyDescent="0.25">
      <c r="A3118" s="1726">
        <v>40</v>
      </c>
      <c r="B3118" s="1168" t="s">
        <v>2215</v>
      </c>
      <c r="C3118" s="1136">
        <v>1</v>
      </c>
      <c r="D3118" s="1129" t="s">
        <v>16</v>
      </c>
      <c r="E3118" s="1130">
        <v>350000</v>
      </c>
      <c r="F3118" s="1169">
        <v>0</v>
      </c>
      <c r="G3118" s="1169">
        <v>0</v>
      </c>
      <c r="H3118" s="1170">
        <v>0</v>
      </c>
      <c r="I3118" s="1169">
        <v>0</v>
      </c>
      <c r="J3118" s="1169">
        <f>E3118*C3118</f>
        <v>350000</v>
      </c>
      <c r="K3118" s="1155">
        <f>J3118+I3118</f>
        <v>350000</v>
      </c>
      <c r="L3118" s="1169">
        <v>0</v>
      </c>
      <c r="M3118" s="1169">
        <v>0</v>
      </c>
      <c r="N3118" s="1169">
        <v>0</v>
      </c>
      <c r="O3118" s="1734">
        <f>N3118+K3118+H3118</f>
        <v>350000</v>
      </c>
      <c r="P3118" s="1819"/>
      <c r="Q3118" s="1834"/>
      <c r="R3118" s="1834"/>
      <c r="S3118" s="1834"/>
      <c r="T3118" s="1834"/>
      <c r="U3118" s="1834"/>
      <c r="V3118" s="1834"/>
      <c r="W3118" s="1834"/>
      <c r="X3118" s="1834"/>
      <c r="Y3118" s="1834"/>
      <c r="Z3118" s="1834"/>
      <c r="AA3118" s="1834"/>
      <c r="AB3118" s="1834"/>
      <c r="AC3118" s="1834"/>
      <c r="AD3118" s="1834"/>
      <c r="AE3118" s="1834"/>
      <c r="AF3118" s="1834"/>
      <c r="AG3118" s="1834"/>
      <c r="AH3118" s="1834"/>
      <c r="AI3118" s="1834"/>
      <c r="AJ3118" s="1834"/>
      <c r="AK3118" s="1834"/>
      <c r="AL3118" s="1834"/>
      <c r="AM3118" s="1834"/>
      <c r="AN3118" s="1834"/>
      <c r="AO3118" s="1834"/>
      <c r="AP3118" s="1834"/>
      <c r="AQ3118" s="1834"/>
      <c r="AR3118" s="1834"/>
      <c r="AS3118" s="1834"/>
      <c r="AT3118" s="1834"/>
      <c r="AU3118" s="1834"/>
      <c r="AV3118" s="1834"/>
      <c r="AW3118" s="1834"/>
      <c r="AX3118" s="1834"/>
      <c r="AY3118" s="1834"/>
      <c r="AZ3118" s="1834"/>
      <c r="BA3118" s="1834"/>
      <c r="BB3118" s="1834"/>
      <c r="BC3118" s="1834"/>
      <c r="BD3118" s="1834"/>
      <c r="BE3118" s="1834"/>
      <c r="BF3118" s="1834"/>
      <c r="BG3118" s="1834"/>
      <c r="BH3118" s="1834"/>
      <c r="BI3118" s="1834"/>
      <c r="BJ3118" s="1834"/>
      <c r="BK3118" s="1834"/>
      <c r="BL3118" s="1834"/>
      <c r="BM3118" s="1834"/>
      <c r="BN3118" s="1834"/>
      <c r="BO3118" s="1834"/>
      <c r="BP3118" s="1834"/>
      <c r="BQ3118" s="1834"/>
      <c r="BR3118" s="1834"/>
      <c r="BS3118" s="1834"/>
      <c r="BT3118" s="1834"/>
      <c r="BU3118" s="1834"/>
      <c r="BV3118" s="1834"/>
      <c r="BW3118" s="1834"/>
      <c r="BX3118" s="1834"/>
      <c r="BY3118" s="1834"/>
      <c r="BZ3118" s="1834"/>
      <c r="CA3118" s="1834"/>
      <c r="CB3118" s="1834"/>
      <c r="CC3118" s="1834"/>
      <c r="CD3118" s="1834"/>
      <c r="CE3118" s="1834"/>
      <c r="CF3118" s="1834"/>
      <c r="CG3118" s="1834"/>
      <c r="CH3118" s="1834"/>
      <c r="CI3118" s="1834"/>
      <c r="CJ3118" s="1834"/>
      <c r="CK3118" s="1834"/>
    </row>
    <row r="3119" spans="1:89" s="1167" customFormat="1" ht="36" x14ac:dyDescent="0.25">
      <c r="A3119" s="1730">
        <f>A3118+1</f>
        <v>41</v>
      </c>
      <c r="B3119" s="1171" t="s">
        <v>2216</v>
      </c>
      <c r="C3119" s="1136">
        <v>1</v>
      </c>
      <c r="D3119" s="1129" t="s">
        <v>16</v>
      </c>
      <c r="E3119" s="1172">
        <v>250000</v>
      </c>
      <c r="F3119" s="1131">
        <v>0</v>
      </c>
      <c r="G3119" s="1131">
        <v>0</v>
      </c>
      <c r="H3119" s="1155">
        <v>0</v>
      </c>
      <c r="I3119" s="1131">
        <v>0</v>
      </c>
      <c r="J3119" s="1131">
        <f>E3119*C3119</f>
        <v>250000</v>
      </c>
      <c r="K3119" s="1155">
        <f>J3119+I3119</f>
        <v>250000</v>
      </c>
      <c r="L3119" s="1131">
        <v>0</v>
      </c>
      <c r="M3119" s="1131">
        <v>0</v>
      </c>
      <c r="N3119" s="1131">
        <v>0</v>
      </c>
      <c r="O3119" s="1727">
        <f>N3119+K3119+H3119</f>
        <v>250000</v>
      </c>
      <c r="P3119" s="1816"/>
      <c r="Q3119" s="1834"/>
      <c r="R3119" s="1834"/>
      <c r="S3119" s="1834"/>
      <c r="T3119" s="1834"/>
      <c r="U3119" s="1834"/>
      <c r="V3119" s="1834"/>
      <c r="W3119" s="1834"/>
      <c r="X3119" s="1834"/>
      <c r="Y3119" s="1834"/>
      <c r="Z3119" s="1834"/>
      <c r="AA3119" s="1834"/>
      <c r="AB3119" s="1834"/>
      <c r="AC3119" s="1834"/>
      <c r="AD3119" s="1834"/>
      <c r="AE3119" s="1834"/>
      <c r="AF3119" s="1834"/>
      <c r="AG3119" s="1834"/>
      <c r="AH3119" s="1834"/>
      <c r="AI3119" s="1834"/>
      <c r="AJ3119" s="1834"/>
      <c r="AK3119" s="1834"/>
      <c r="AL3119" s="1834"/>
      <c r="AM3119" s="1834"/>
      <c r="AN3119" s="1834"/>
      <c r="AO3119" s="1834"/>
      <c r="AP3119" s="1834"/>
      <c r="AQ3119" s="1834"/>
      <c r="AR3119" s="1834"/>
      <c r="AS3119" s="1834"/>
      <c r="AT3119" s="1834"/>
      <c r="AU3119" s="1834"/>
      <c r="AV3119" s="1834"/>
      <c r="AW3119" s="1834"/>
      <c r="AX3119" s="1834"/>
      <c r="AY3119" s="1834"/>
      <c r="AZ3119" s="1834"/>
      <c r="BA3119" s="1834"/>
      <c r="BB3119" s="1834"/>
      <c r="BC3119" s="1834"/>
      <c r="BD3119" s="1834"/>
      <c r="BE3119" s="1834"/>
      <c r="BF3119" s="1834"/>
      <c r="BG3119" s="1834"/>
      <c r="BH3119" s="1834"/>
      <c r="BI3119" s="1834"/>
      <c r="BJ3119" s="1834"/>
      <c r="BK3119" s="1834"/>
      <c r="BL3119" s="1834"/>
      <c r="BM3119" s="1834"/>
      <c r="BN3119" s="1834"/>
      <c r="BO3119" s="1834"/>
      <c r="BP3119" s="1834"/>
      <c r="BQ3119" s="1834"/>
      <c r="BR3119" s="1834"/>
      <c r="BS3119" s="1834"/>
      <c r="BT3119" s="1834"/>
      <c r="BU3119" s="1834"/>
      <c r="BV3119" s="1834"/>
      <c r="BW3119" s="1834"/>
      <c r="BX3119" s="1834"/>
      <c r="BY3119" s="1834"/>
      <c r="BZ3119" s="1834"/>
      <c r="CA3119" s="1834"/>
      <c r="CB3119" s="1834"/>
      <c r="CC3119" s="1834"/>
      <c r="CD3119" s="1834"/>
      <c r="CE3119" s="1834"/>
      <c r="CF3119" s="1834"/>
      <c r="CG3119" s="1834"/>
      <c r="CH3119" s="1834"/>
      <c r="CI3119" s="1834"/>
      <c r="CJ3119" s="1834"/>
      <c r="CK3119" s="1834"/>
    </row>
    <row r="3120" spans="1:89" s="1167" customFormat="1" ht="36" x14ac:dyDescent="0.25">
      <c r="A3120" s="1730">
        <f>A3119+1</f>
        <v>42</v>
      </c>
      <c r="B3120" s="1171" t="s">
        <v>2217</v>
      </c>
      <c r="C3120" s="1136">
        <v>1</v>
      </c>
      <c r="D3120" s="1129" t="s">
        <v>16</v>
      </c>
      <c r="E3120" s="1130">
        <v>350000</v>
      </c>
      <c r="F3120" s="1131">
        <v>0</v>
      </c>
      <c r="G3120" s="1131">
        <v>0</v>
      </c>
      <c r="H3120" s="1155">
        <v>0</v>
      </c>
      <c r="I3120" s="1131">
        <v>0</v>
      </c>
      <c r="J3120" s="1131">
        <f>E3120*C3120</f>
        <v>350000</v>
      </c>
      <c r="K3120" s="1155">
        <f>J3120+I3120</f>
        <v>350000</v>
      </c>
      <c r="L3120" s="1131">
        <v>0</v>
      </c>
      <c r="M3120" s="1131">
        <v>0</v>
      </c>
      <c r="N3120" s="1131">
        <v>0</v>
      </c>
      <c r="O3120" s="1727">
        <f>N3120+K3120+H3120</f>
        <v>350000</v>
      </c>
      <c r="P3120" s="1816"/>
      <c r="Q3120" s="1834"/>
      <c r="R3120" s="1834"/>
      <c r="S3120" s="1834"/>
      <c r="T3120" s="1834"/>
      <c r="U3120" s="1834"/>
      <c r="V3120" s="1834"/>
      <c r="W3120" s="1834"/>
      <c r="X3120" s="1834"/>
      <c r="Y3120" s="1834"/>
      <c r="Z3120" s="1834"/>
      <c r="AA3120" s="1834"/>
      <c r="AB3120" s="1834"/>
      <c r="AC3120" s="1834"/>
      <c r="AD3120" s="1834"/>
      <c r="AE3120" s="1834"/>
      <c r="AF3120" s="1834"/>
      <c r="AG3120" s="1834"/>
      <c r="AH3120" s="1834"/>
      <c r="AI3120" s="1834"/>
      <c r="AJ3120" s="1834"/>
      <c r="AK3120" s="1834"/>
      <c r="AL3120" s="1834"/>
      <c r="AM3120" s="1834"/>
      <c r="AN3120" s="1834"/>
      <c r="AO3120" s="1834"/>
      <c r="AP3120" s="1834"/>
      <c r="AQ3120" s="1834"/>
      <c r="AR3120" s="1834"/>
      <c r="AS3120" s="1834"/>
      <c r="AT3120" s="1834"/>
      <c r="AU3120" s="1834"/>
      <c r="AV3120" s="1834"/>
      <c r="AW3120" s="1834"/>
      <c r="AX3120" s="1834"/>
      <c r="AY3120" s="1834"/>
      <c r="AZ3120" s="1834"/>
      <c r="BA3120" s="1834"/>
      <c r="BB3120" s="1834"/>
      <c r="BC3120" s="1834"/>
      <c r="BD3120" s="1834"/>
      <c r="BE3120" s="1834"/>
      <c r="BF3120" s="1834"/>
      <c r="BG3120" s="1834"/>
      <c r="BH3120" s="1834"/>
      <c r="BI3120" s="1834"/>
      <c r="BJ3120" s="1834"/>
      <c r="BK3120" s="1834"/>
      <c r="BL3120" s="1834"/>
      <c r="BM3120" s="1834"/>
      <c r="BN3120" s="1834"/>
      <c r="BO3120" s="1834"/>
      <c r="BP3120" s="1834"/>
      <c r="BQ3120" s="1834"/>
      <c r="BR3120" s="1834"/>
      <c r="BS3120" s="1834"/>
      <c r="BT3120" s="1834"/>
      <c r="BU3120" s="1834"/>
      <c r="BV3120" s="1834"/>
      <c r="BW3120" s="1834"/>
      <c r="BX3120" s="1834"/>
      <c r="BY3120" s="1834"/>
      <c r="BZ3120" s="1834"/>
      <c r="CA3120" s="1834"/>
      <c r="CB3120" s="1834"/>
      <c r="CC3120" s="1834"/>
      <c r="CD3120" s="1834"/>
      <c r="CE3120" s="1834"/>
      <c r="CF3120" s="1834"/>
      <c r="CG3120" s="1834"/>
      <c r="CH3120" s="1834"/>
      <c r="CI3120" s="1834"/>
      <c r="CJ3120" s="1834"/>
      <c r="CK3120" s="1834"/>
    </row>
    <row r="3121" spans="1:89" s="1167" customFormat="1" ht="30" customHeight="1" x14ac:dyDescent="0.25">
      <c r="A3121" s="1730">
        <f>A3120+1</f>
        <v>43</v>
      </c>
      <c r="B3121" s="1171" t="s">
        <v>2218</v>
      </c>
      <c r="C3121" s="1173">
        <v>1</v>
      </c>
      <c r="D3121" s="1129" t="s">
        <v>16</v>
      </c>
      <c r="E3121" s="1144">
        <v>350000</v>
      </c>
      <c r="F3121" s="1131"/>
      <c r="G3121" s="1131"/>
      <c r="H3121" s="1155"/>
      <c r="I3121" s="1131"/>
      <c r="J3121" s="1131">
        <f>E3121*C3121</f>
        <v>350000</v>
      </c>
      <c r="K3121" s="1155">
        <f>J3121+I3121</f>
        <v>350000</v>
      </c>
      <c r="L3121" s="1131">
        <v>0</v>
      </c>
      <c r="M3121" s="1131">
        <v>0</v>
      </c>
      <c r="N3121" s="1131">
        <v>0</v>
      </c>
      <c r="O3121" s="1727">
        <f>N3121+K3121+H3121</f>
        <v>350000</v>
      </c>
      <c r="P3121" s="1816"/>
      <c r="Q3121" s="1834"/>
      <c r="R3121" s="1834"/>
      <c r="S3121" s="1834"/>
      <c r="T3121" s="1834"/>
      <c r="U3121" s="1834"/>
      <c r="V3121" s="1834"/>
      <c r="W3121" s="1834"/>
      <c r="X3121" s="1834"/>
      <c r="Y3121" s="1834"/>
      <c r="Z3121" s="1834"/>
      <c r="AA3121" s="1834"/>
      <c r="AB3121" s="1834"/>
      <c r="AC3121" s="1834"/>
      <c r="AD3121" s="1834"/>
      <c r="AE3121" s="1834"/>
      <c r="AF3121" s="1834"/>
      <c r="AG3121" s="1834"/>
      <c r="AH3121" s="1834"/>
      <c r="AI3121" s="1834"/>
      <c r="AJ3121" s="1834"/>
      <c r="AK3121" s="1834"/>
      <c r="AL3121" s="1834"/>
      <c r="AM3121" s="1834"/>
      <c r="AN3121" s="1834"/>
      <c r="AO3121" s="1834"/>
      <c r="AP3121" s="1834"/>
      <c r="AQ3121" s="1834"/>
      <c r="AR3121" s="1834"/>
      <c r="AS3121" s="1834"/>
      <c r="AT3121" s="1834"/>
      <c r="AU3121" s="1834"/>
      <c r="AV3121" s="1834"/>
      <c r="AW3121" s="1834"/>
      <c r="AX3121" s="1834"/>
      <c r="AY3121" s="1834"/>
      <c r="AZ3121" s="1834"/>
      <c r="BA3121" s="1834"/>
      <c r="BB3121" s="1834"/>
      <c r="BC3121" s="1834"/>
      <c r="BD3121" s="1834"/>
      <c r="BE3121" s="1834"/>
      <c r="BF3121" s="1834"/>
      <c r="BG3121" s="1834"/>
      <c r="BH3121" s="1834"/>
      <c r="BI3121" s="1834"/>
      <c r="BJ3121" s="1834"/>
      <c r="BK3121" s="1834"/>
      <c r="BL3121" s="1834"/>
      <c r="BM3121" s="1834"/>
      <c r="BN3121" s="1834"/>
      <c r="BO3121" s="1834"/>
      <c r="BP3121" s="1834"/>
      <c r="BQ3121" s="1834"/>
      <c r="BR3121" s="1834"/>
      <c r="BS3121" s="1834"/>
      <c r="BT3121" s="1834"/>
      <c r="BU3121" s="1834"/>
      <c r="BV3121" s="1834"/>
      <c r="BW3121" s="1834"/>
      <c r="BX3121" s="1834"/>
      <c r="BY3121" s="1834"/>
      <c r="BZ3121" s="1834"/>
      <c r="CA3121" s="1834"/>
      <c r="CB3121" s="1834"/>
      <c r="CC3121" s="1834"/>
      <c r="CD3121" s="1834"/>
      <c r="CE3121" s="1834"/>
      <c r="CF3121" s="1834"/>
      <c r="CG3121" s="1834"/>
      <c r="CH3121" s="1834"/>
      <c r="CI3121" s="1834"/>
      <c r="CJ3121" s="1834"/>
      <c r="CK3121" s="1834"/>
    </row>
    <row r="3122" spans="1:89" s="1134" customFormat="1" ht="17.25" customHeight="1" x14ac:dyDescent="0.25">
      <c r="A3122" s="1733"/>
      <c r="B3122" s="1163"/>
      <c r="C3122" s="1164"/>
      <c r="D3122" s="1165"/>
      <c r="E3122" s="1166"/>
      <c r="F3122" s="1151"/>
      <c r="G3122" s="1151"/>
      <c r="H3122" s="1151"/>
      <c r="I3122" s="1151"/>
      <c r="J3122" s="1152"/>
      <c r="K3122" s="1152"/>
      <c r="L3122" s="1151"/>
      <c r="M3122" s="1151"/>
      <c r="N3122" s="1151"/>
      <c r="O3122" s="1729"/>
      <c r="P3122" s="1817"/>
      <c r="Q3122" s="1833"/>
      <c r="R3122" s="1833"/>
      <c r="S3122" s="1833"/>
      <c r="T3122" s="1833"/>
      <c r="U3122" s="1833"/>
      <c r="V3122" s="1833"/>
      <c r="W3122" s="1833"/>
      <c r="X3122" s="1833"/>
      <c r="Y3122" s="1833"/>
      <c r="Z3122" s="1833"/>
      <c r="AA3122" s="1833"/>
      <c r="AB3122" s="1833"/>
      <c r="AC3122" s="1833"/>
      <c r="AD3122" s="1833"/>
      <c r="AE3122" s="1833"/>
      <c r="AF3122" s="1833"/>
      <c r="AG3122" s="1833"/>
      <c r="AH3122" s="1833"/>
      <c r="AI3122" s="1833"/>
      <c r="AJ3122" s="1833"/>
      <c r="AK3122" s="1833"/>
      <c r="AL3122" s="1833"/>
      <c r="AM3122" s="1833"/>
      <c r="AN3122" s="1833"/>
      <c r="AO3122" s="1833"/>
      <c r="AP3122" s="1833"/>
      <c r="AQ3122" s="1833"/>
      <c r="AR3122" s="1833"/>
      <c r="AS3122" s="1833"/>
      <c r="AT3122" s="1833"/>
      <c r="AU3122" s="1833"/>
      <c r="AV3122" s="1833"/>
      <c r="AW3122" s="1833"/>
      <c r="AX3122" s="1833"/>
      <c r="AY3122" s="1833"/>
      <c r="AZ3122" s="1833"/>
      <c r="BA3122" s="1833"/>
      <c r="BB3122" s="1833"/>
      <c r="BC3122" s="1833"/>
      <c r="BD3122" s="1833"/>
      <c r="BE3122" s="1833"/>
      <c r="BF3122" s="1833"/>
      <c r="BG3122" s="1833"/>
      <c r="BH3122" s="1833"/>
      <c r="BI3122" s="1833"/>
      <c r="BJ3122" s="1833"/>
      <c r="BK3122" s="1833"/>
      <c r="BL3122" s="1833"/>
      <c r="BM3122" s="1833"/>
      <c r="BN3122" s="1833"/>
      <c r="BO3122" s="1833"/>
      <c r="BP3122" s="1833"/>
      <c r="BQ3122" s="1833"/>
      <c r="BR3122" s="1833"/>
      <c r="BS3122" s="1833"/>
      <c r="BT3122" s="1833"/>
      <c r="BU3122" s="1833"/>
      <c r="BV3122" s="1833"/>
      <c r="BW3122" s="1833"/>
      <c r="BX3122" s="1833"/>
      <c r="BY3122" s="1833"/>
      <c r="BZ3122" s="1833"/>
      <c r="CA3122" s="1833"/>
      <c r="CB3122" s="1833"/>
      <c r="CC3122" s="1833"/>
      <c r="CD3122" s="1833"/>
      <c r="CE3122" s="1833"/>
      <c r="CF3122" s="1833"/>
      <c r="CG3122" s="1833"/>
      <c r="CH3122" s="1833"/>
      <c r="CI3122" s="1833"/>
      <c r="CJ3122" s="1833"/>
      <c r="CK3122" s="1833"/>
    </row>
    <row r="3123" spans="1:89" s="1167" customFormat="1" ht="31.5" customHeight="1" x14ac:dyDescent="0.25">
      <c r="A3123" s="1730">
        <v>44</v>
      </c>
      <c r="B3123" s="1142" t="s">
        <v>1381</v>
      </c>
      <c r="C3123" s="1136">
        <v>1</v>
      </c>
      <c r="D3123" s="1129" t="s">
        <v>16</v>
      </c>
      <c r="E3123" s="1174">
        <v>350000</v>
      </c>
      <c r="F3123" s="1131">
        <v>0</v>
      </c>
      <c r="G3123" s="1131">
        <v>0</v>
      </c>
      <c r="H3123" s="1131">
        <v>0</v>
      </c>
      <c r="I3123" s="1131">
        <v>0</v>
      </c>
      <c r="J3123" s="1131">
        <f>E3123*C3123</f>
        <v>350000</v>
      </c>
      <c r="K3123" s="1155">
        <f>J3123+I3123</f>
        <v>350000</v>
      </c>
      <c r="L3123" s="1131">
        <v>0</v>
      </c>
      <c r="M3123" s="1131">
        <v>0</v>
      </c>
      <c r="N3123" s="1131">
        <v>0</v>
      </c>
      <c r="O3123" s="1727">
        <f>N3123+K3123+H3123</f>
        <v>350000</v>
      </c>
      <c r="P3123" s="1816"/>
      <c r="Q3123" s="1834"/>
      <c r="R3123" s="1834"/>
      <c r="S3123" s="1834"/>
      <c r="T3123" s="1834"/>
      <c r="U3123" s="1834"/>
      <c r="V3123" s="1834"/>
      <c r="W3123" s="1834"/>
      <c r="X3123" s="1834"/>
      <c r="Y3123" s="1834"/>
      <c r="Z3123" s="1834"/>
      <c r="AA3123" s="1834"/>
      <c r="AB3123" s="1834"/>
      <c r="AC3123" s="1834"/>
      <c r="AD3123" s="1834"/>
      <c r="AE3123" s="1834"/>
      <c r="AF3123" s="1834"/>
      <c r="AG3123" s="1834"/>
      <c r="AH3123" s="1834"/>
      <c r="AI3123" s="1834"/>
      <c r="AJ3123" s="1834"/>
      <c r="AK3123" s="1834"/>
      <c r="AL3123" s="1834"/>
      <c r="AM3123" s="1834"/>
      <c r="AN3123" s="1834"/>
      <c r="AO3123" s="1834"/>
      <c r="AP3123" s="1834"/>
      <c r="AQ3123" s="1834"/>
      <c r="AR3123" s="1834"/>
      <c r="AS3123" s="1834"/>
      <c r="AT3123" s="1834"/>
      <c r="AU3123" s="1834"/>
      <c r="AV3123" s="1834"/>
      <c r="AW3123" s="1834"/>
      <c r="AX3123" s="1834"/>
      <c r="AY3123" s="1834"/>
      <c r="AZ3123" s="1834"/>
      <c r="BA3123" s="1834"/>
      <c r="BB3123" s="1834"/>
      <c r="BC3123" s="1834"/>
      <c r="BD3123" s="1834"/>
      <c r="BE3123" s="1834"/>
      <c r="BF3123" s="1834"/>
      <c r="BG3123" s="1834"/>
      <c r="BH3123" s="1834"/>
      <c r="BI3123" s="1834"/>
      <c r="BJ3123" s="1834"/>
      <c r="BK3123" s="1834"/>
      <c r="BL3123" s="1834"/>
      <c r="BM3123" s="1834"/>
      <c r="BN3123" s="1834"/>
      <c r="BO3123" s="1834"/>
      <c r="BP3123" s="1834"/>
      <c r="BQ3123" s="1834"/>
      <c r="BR3123" s="1834"/>
      <c r="BS3123" s="1834"/>
      <c r="BT3123" s="1834"/>
      <c r="BU3123" s="1834"/>
      <c r="BV3123" s="1834"/>
      <c r="BW3123" s="1834"/>
      <c r="BX3123" s="1834"/>
      <c r="BY3123" s="1834"/>
      <c r="BZ3123" s="1834"/>
      <c r="CA3123" s="1834"/>
      <c r="CB3123" s="1834"/>
      <c r="CC3123" s="1834"/>
      <c r="CD3123" s="1834"/>
      <c r="CE3123" s="1834"/>
      <c r="CF3123" s="1834"/>
      <c r="CG3123" s="1834"/>
      <c r="CH3123" s="1834"/>
      <c r="CI3123" s="1834"/>
      <c r="CJ3123" s="1834"/>
      <c r="CK3123" s="1834"/>
    </row>
    <row r="3124" spans="1:89" s="1167" customFormat="1" ht="18" x14ac:dyDescent="0.25">
      <c r="A3124" s="1730">
        <f>A3123+1</f>
        <v>45</v>
      </c>
      <c r="B3124" s="1171" t="s">
        <v>2219</v>
      </c>
      <c r="C3124" s="1136">
        <v>1</v>
      </c>
      <c r="D3124" s="1129" t="s">
        <v>16</v>
      </c>
      <c r="E3124" s="1172">
        <v>250000</v>
      </c>
      <c r="F3124" s="1131">
        <v>0</v>
      </c>
      <c r="G3124" s="1131">
        <v>0</v>
      </c>
      <c r="H3124" s="1155">
        <v>0</v>
      </c>
      <c r="I3124" s="1131">
        <v>0</v>
      </c>
      <c r="J3124" s="1131">
        <f>E3124*C3124</f>
        <v>250000</v>
      </c>
      <c r="K3124" s="1155">
        <f>J3124+I3124</f>
        <v>250000</v>
      </c>
      <c r="L3124" s="1131">
        <v>0</v>
      </c>
      <c r="M3124" s="1131">
        <v>0</v>
      </c>
      <c r="N3124" s="1131">
        <v>0</v>
      </c>
      <c r="O3124" s="1727">
        <f>N3124+K3124+H3124</f>
        <v>250000</v>
      </c>
      <c r="P3124" s="1816"/>
      <c r="Q3124" s="1834"/>
      <c r="R3124" s="1834"/>
      <c r="S3124" s="1834"/>
      <c r="T3124" s="1834"/>
      <c r="U3124" s="1834"/>
      <c r="V3124" s="1834"/>
      <c r="W3124" s="1834"/>
      <c r="X3124" s="1834"/>
      <c r="Y3124" s="1834"/>
      <c r="Z3124" s="1834"/>
      <c r="AA3124" s="1834"/>
      <c r="AB3124" s="1834"/>
      <c r="AC3124" s="1834"/>
      <c r="AD3124" s="1834"/>
      <c r="AE3124" s="1834"/>
      <c r="AF3124" s="1834"/>
      <c r="AG3124" s="1834"/>
      <c r="AH3124" s="1834"/>
      <c r="AI3124" s="1834"/>
      <c r="AJ3124" s="1834"/>
      <c r="AK3124" s="1834"/>
      <c r="AL3124" s="1834"/>
      <c r="AM3124" s="1834"/>
      <c r="AN3124" s="1834"/>
      <c r="AO3124" s="1834"/>
      <c r="AP3124" s="1834"/>
      <c r="AQ3124" s="1834"/>
      <c r="AR3124" s="1834"/>
      <c r="AS3124" s="1834"/>
      <c r="AT3124" s="1834"/>
      <c r="AU3124" s="1834"/>
      <c r="AV3124" s="1834"/>
      <c r="AW3124" s="1834"/>
      <c r="AX3124" s="1834"/>
      <c r="AY3124" s="1834"/>
      <c r="AZ3124" s="1834"/>
      <c r="BA3124" s="1834"/>
      <c r="BB3124" s="1834"/>
      <c r="BC3124" s="1834"/>
      <c r="BD3124" s="1834"/>
      <c r="BE3124" s="1834"/>
      <c r="BF3124" s="1834"/>
      <c r="BG3124" s="1834"/>
      <c r="BH3124" s="1834"/>
      <c r="BI3124" s="1834"/>
      <c r="BJ3124" s="1834"/>
      <c r="BK3124" s="1834"/>
      <c r="BL3124" s="1834"/>
      <c r="BM3124" s="1834"/>
      <c r="BN3124" s="1834"/>
      <c r="BO3124" s="1834"/>
      <c r="BP3124" s="1834"/>
      <c r="BQ3124" s="1834"/>
      <c r="BR3124" s="1834"/>
      <c r="BS3124" s="1834"/>
      <c r="BT3124" s="1834"/>
      <c r="BU3124" s="1834"/>
      <c r="BV3124" s="1834"/>
      <c r="BW3124" s="1834"/>
      <c r="BX3124" s="1834"/>
      <c r="BY3124" s="1834"/>
      <c r="BZ3124" s="1834"/>
      <c r="CA3124" s="1834"/>
      <c r="CB3124" s="1834"/>
      <c r="CC3124" s="1834"/>
      <c r="CD3124" s="1834"/>
      <c r="CE3124" s="1834"/>
      <c r="CF3124" s="1834"/>
      <c r="CG3124" s="1834"/>
      <c r="CH3124" s="1834"/>
      <c r="CI3124" s="1834"/>
      <c r="CJ3124" s="1834"/>
      <c r="CK3124" s="1834"/>
    </row>
    <row r="3125" spans="1:89" s="1167" customFormat="1" ht="30" customHeight="1" x14ac:dyDescent="0.25">
      <c r="A3125" s="1730">
        <f>A3124+1</f>
        <v>46</v>
      </c>
      <c r="B3125" s="1175" t="s">
        <v>2220</v>
      </c>
      <c r="C3125" s="1136">
        <v>1</v>
      </c>
      <c r="D3125" s="1129" t="s">
        <v>16</v>
      </c>
      <c r="E3125" s="1126">
        <v>500000</v>
      </c>
      <c r="F3125" s="1169">
        <v>0</v>
      </c>
      <c r="G3125" s="1169">
        <v>0</v>
      </c>
      <c r="H3125" s="1170">
        <v>0</v>
      </c>
      <c r="I3125" s="1169">
        <v>0</v>
      </c>
      <c r="J3125" s="1169">
        <f>E3125*C3125</f>
        <v>500000</v>
      </c>
      <c r="K3125" s="1155">
        <f>J3125+I3125</f>
        <v>500000</v>
      </c>
      <c r="L3125" s="1169">
        <v>0</v>
      </c>
      <c r="M3125" s="1169">
        <v>0</v>
      </c>
      <c r="N3125" s="1169">
        <v>0</v>
      </c>
      <c r="O3125" s="1734">
        <f>N3125+K3125+H3125</f>
        <v>500000</v>
      </c>
      <c r="P3125" s="1819"/>
      <c r="Q3125" s="1834"/>
      <c r="R3125" s="1834"/>
      <c r="S3125" s="1834"/>
      <c r="T3125" s="1834"/>
      <c r="U3125" s="1834"/>
      <c r="V3125" s="1834"/>
      <c r="W3125" s="1834"/>
      <c r="X3125" s="1834"/>
      <c r="Y3125" s="1834"/>
      <c r="Z3125" s="1834"/>
      <c r="AA3125" s="1834"/>
      <c r="AB3125" s="1834"/>
      <c r="AC3125" s="1834"/>
      <c r="AD3125" s="1834"/>
      <c r="AE3125" s="1834"/>
      <c r="AF3125" s="1834"/>
      <c r="AG3125" s="1834"/>
      <c r="AH3125" s="1834"/>
      <c r="AI3125" s="1834"/>
      <c r="AJ3125" s="1834"/>
      <c r="AK3125" s="1834"/>
      <c r="AL3125" s="1834"/>
      <c r="AM3125" s="1834"/>
      <c r="AN3125" s="1834"/>
      <c r="AO3125" s="1834"/>
      <c r="AP3125" s="1834"/>
      <c r="AQ3125" s="1834"/>
      <c r="AR3125" s="1834"/>
      <c r="AS3125" s="1834"/>
      <c r="AT3125" s="1834"/>
      <c r="AU3125" s="1834"/>
      <c r="AV3125" s="1834"/>
      <c r="AW3125" s="1834"/>
      <c r="AX3125" s="1834"/>
      <c r="AY3125" s="1834"/>
      <c r="AZ3125" s="1834"/>
      <c r="BA3125" s="1834"/>
      <c r="BB3125" s="1834"/>
      <c r="BC3125" s="1834"/>
      <c r="BD3125" s="1834"/>
      <c r="BE3125" s="1834"/>
      <c r="BF3125" s="1834"/>
      <c r="BG3125" s="1834"/>
      <c r="BH3125" s="1834"/>
      <c r="BI3125" s="1834"/>
      <c r="BJ3125" s="1834"/>
      <c r="BK3125" s="1834"/>
      <c r="BL3125" s="1834"/>
      <c r="BM3125" s="1834"/>
      <c r="BN3125" s="1834"/>
      <c r="BO3125" s="1834"/>
      <c r="BP3125" s="1834"/>
      <c r="BQ3125" s="1834"/>
      <c r="BR3125" s="1834"/>
      <c r="BS3125" s="1834"/>
      <c r="BT3125" s="1834"/>
      <c r="BU3125" s="1834"/>
      <c r="BV3125" s="1834"/>
      <c r="BW3125" s="1834"/>
      <c r="BX3125" s="1834"/>
      <c r="BY3125" s="1834"/>
      <c r="BZ3125" s="1834"/>
      <c r="CA3125" s="1834"/>
      <c r="CB3125" s="1834"/>
      <c r="CC3125" s="1834"/>
      <c r="CD3125" s="1834"/>
      <c r="CE3125" s="1834"/>
      <c r="CF3125" s="1834"/>
      <c r="CG3125" s="1834"/>
      <c r="CH3125" s="1834"/>
      <c r="CI3125" s="1834"/>
      <c r="CJ3125" s="1834"/>
      <c r="CK3125" s="1834"/>
    </row>
    <row r="3126" spans="1:89" s="1167" customFormat="1" ht="30" customHeight="1" x14ac:dyDescent="0.25">
      <c r="A3126" s="1730">
        <f>A3125+1</f>
        <v>47</v>
      </c>
      <c r="B3126" s="1176" t="s">
        <v>1073</v>
      </c>
      <c r="C3126" s="1136">
        <v>1</v>
      </c>
      <c r="D3126" s="1129" t="s">
        <v>16</v>
      </c>
      <c r="E3126" s="1169">
        <v>300000</v>
      </c>
      <c r="F3126" s="1131">
        <v>0</v>
      </c>
      <c r="G3126" s="1131">
        <v>0</v>
      </c>
      <c r="H3126" s="1155">
        <v>0</v>
      </c>
      <c r="I3126" s="1131">
        <v>0</v>
      </c>
      <c r="J3126" s="1131">
        <f>E3126*C3126</f>
        <v>300000</v>
      </c>
      <c r="K3126" s="1155">
        <f>J3126+I3126</f>
        <v>300000</v>
      </c>
      <c r="L3126" s="1131">
        <v>0</v>
      </c>
      <c r="M3126" s="1131">
        <v>0</v>
      </c>
      <c r="N3126" s="1131">
        <v>0</v>
      </c>
      <c r="O3126" s="1727">
        <f>N3126+K3126+H3126</f>
        <v>300000</v>
      </c>
      <c r="P3126" s="1816"/>
      <c r="Q3126" s="1834"/>
      <c r="R3126" s="1834"/>
      <c r="S3126" s="1834"/>
      <c r="T3126" s="1834"/>
      <c r="U3126" s="1834"/>
      <c r="V3126" s="1834"/>
      <c r="W3126" s="1834"/>
      <c r="X3126" s="1834"/>
      <c r="Y3126" s="1834"/>
      <c r="Z3126" s="1834"/>
      <c r="AA3126" s="1834"/>
      <c r="AB3126" s="1834"/>
      <c r="AC3126" s="1834"/>
      <c r="AD3126" s="1834"/>
      <c r="AE3126" s="1834"/>
      <c r="AF3126" s="1834"/>
      <c r="AG3126" s="1834"/>
      <c r="AH3126" s="1834"/>
      <c r="AI3126" s="1834"/>
      <c r="AJ3126" s="1834"/>
      <c r="AK3126" s="1834"/>
      <c r="AL3126" s="1834"/>
      <c r="AM3126" s="1834"/>
      <c r="AN3126" s="1834"/>
      <c r="AO3126" s="1834"/>
      <c r="AP3126" s="1834"/>
      <c r="AQ3126" s="1834"/>
      <c r="AR3126" s="1834"/>
      <c r="AS3126" s="1834"/>
      <c r="AT3126" s="1834"/>
      <c r="AU3126" s="1834"/>
      <c r="AV3126" s="1834"/>
      <c r="AW3126" s="1834"/>
      <c r="AX3126" s="1834"/>
      <c r="AY3126" s="1834"/>
      <c r="AZ3126" s="1834"/>
      <c r="BA3126" s="1834"/>
      <c r="BB3126" s="1834"/>
      <c r="BC3126" s="1834"/>
      <c r="BD3126" s="1834"/>
      <c r="BE3126" s="1834"/>
      <c r="BF3126" s="1834"/>
      <c r="BG3126" s="1834"/>
      <c r="BH3126" s="1834"/>
      <c r="BI3126" s="1834"/>
      <c r="BJ3126" s="1834"/>
      <c r="BK3126" s="1834"/>
      <c r="BL3126" s="1834"/>
      <c r="BM3126" s="1834"/>
      <c r="BN3126" s="1834"/>
      <c r="BO3126" s="1834"/>
      <c r="BP3126" s="1834"/>
      <c r="BQ3126" s="1834"/>
      <c r="BR3126" s="1834"/>
      <c r="BS3126" s="1834"/>
      <c r="BT3126" s="1834"/>
      <c r="BU3126" s="1834"/>
      <c r="BV3126" s="1834"/>
      <c r="BW3126" s="1834"/>
      <c r="BX3126" s="1834"/>
      <c r="BY3126" s="1834"/>
      <c r="BZ3126" s="1834"/>
      <c r="CA3126" s="1834"/>
      <c r="CB3126" s="1834"/>
      <c r="CC3126" s="1834"/>
      <c r="CD3126" s="1834"/>
      <c r="CE3126" s="1834"/>
      <c r="CF3126" s="1834"/>
      <c r="CG3126" s="1834"/>
      <c r="CH3126" s="1834"/>
      <c r="CI3126" s="1834"/>
      <c r="CJ3126" s="1834"/>
      <c r="CK3126" s="1834"/>
    </row>
    <row r="3127" spans="1:89" s="1167" customFormat="1" ht="30" customHeight="1" x14ac:dyDescent="0.25">
      <c r="A3127" s="1730">
        <v>46</v>
      </c>
      <c r="B3127" s="1142" t="s">
        <v>1074</v>
      </c>
      <c r="C3127" s="1136">
        <v>1</v>
      </c>
      <c r="D3127" s="1129" t="s">
        <v>16</v>
      </c>
      <c r="E3127" s="1169">
        <v>200000</v>
      </c>
      <c r="F3127" s="1131">
        <v>0</v>
      </c>
      <c r="G3127" s="1131">
        <v>0</v>
      </c>
      <c r="H3127" s="1155">
        <v>0</v>
      </c>
      <c r="I3127" s="1131">
        <v>0</v>
      </c>
      <c r="J3127" s="1131">
        <f>E3127*C3127</f>
        <v>200000</v>
      </c>
      <c r="K3127" s="1155">
        <f>J3127+I3127</f>
        <v>200000</v>
      </c>
      <c r="L3127" s="1131">
        <v>0</v>
      </c>
      <c r="M3127" s="1131">
        <v>0</v>
      </c>
      <c r="N3127" s="1131">
        <v>0</v>
      </c>
      <c r="O3127" s="1727">
        <f>N3127+K3127+H3127</f>
        <v>200000</v>
      </c>
      <c r="P3127" s="1816"/>
      <c r="Q3127" s="1834"/>
      <c r="R3127" s="1834"/>
      <c r="S3127" s="1834"/>
      <c r="T3127" s="1834"/>
      <c r="U3127" s="1834"/>
      <c r="V3127" s="1834"/>
      <c r="W3127" s="1834"/>
      <c r="X3127" s="1834"/>
      <c r="Y3127" s="1834"/>
      <c r="Z3127" s="1834"/>
      <c r="AA3127" s="1834"/>
      <c r="AB3127" s="1834"/>
      <c r="AC3127" s="1834"/>
      <c r="AD3127" s="1834"/>
      <c r="AE3127" s="1834"/>
      <c r="AF3127" s="1834"/>
      <c r="AG3127" s="1834"/>
      <c r="AH3127" s="1834"/>
      <c r="AI3127" s="1834"/>
      <c r="AJ3127" s="1834"/>
      <c r="AK3127" s="1834"/>
      <c r="AL3127" s="1834"/>
      <c r="AM3127" s="1834"/>
      <c r="AN3127" s="1834"/>
      <c r="AO3127" s="1834"/>
      <c r="AP3127" s="1834"/>
      <c r="AQ3127" s="1834"/>
      <c r="AR3127" s="1834"/>
      <c r="AS3127" s="1834"/>
      <c r="AT3127" s="1834"/>
      <c r="AU3127" s="1834"/>
      <c r="AV3127" s="1834"/>
      <c r="AW3127" s="1834"/>
      <c r="AX3127" s="1834"/>
      <c r="AY3127" s="1834"/>
      <c r="AZ3127" s="1834"/>
      <c r="BA3127" s="1834"/>
      <c r="BB3127" s="1834"/>
      <c r="BC3127" s="1834"/>
      <c r="BD3127" s="1834"/>
      <c r="BE3127" s="1834"/>
      <c r="BF3127" s="1834"/>
      <c r="BG3127" s="1834"/>
      <c r="BH3127" s="1834"/>
      <c r="BI3127" s="1834"/>
      <c r="BJ3127" s="1834"/>
      <c r="BK3127" s="1834"/>
      <c r="BL3127" s="1834"/>
      <c r="BM3127" s="1834"/>
      <c r="BN3127" s="1834"/>
      <c r="BO3127" s="1834"/>
      <c r="BP3127" s="1834"/>
      <c r="BQ3127" s="1834"/>
      <c r="BR3127" s="1834"/>
      <c r="BS3127" s="1834"/>
      <c r="BT3127" s="1834"/>
      <c r="BU3127" s="1834"/>
      <c r="BV3127" s="1834"/>
      <c r="BW3127" s="1834"/>
      <c r="BX3127" s="1834"/>
      <c r="BY3127" s="1834"/>
      <c r="BZ3127" s="1834"/>
      <c r="CA3127" s="1834"/>
      <c r="CB3127" s="1834"/>
      <c r="CC3127" s="1834"/>
      <c r="CD3127" s="1834"/>
      <c r="CE3127" s="1834"/>
      <c r="CF3127" s="1834"/>
      <c r="CG3127" s="1834"/>
      <c r="CH3127" s="1834"/>
      <c r="CI3127" s="1834"/>
      <c r="CJ3127" s="1834"/>
      <c r="CK3127" s="1834"/>
    </row>
    <row r="3128" spans="1:89" s="1134" customFormat="1" ht="17.25" customHeight="1" x14ac:dyDescent="0.25">
      <c r="A3128" s="1733"/>
      <c r="B3128" s="1163"/>
      <c r="C3128" s="1164"/>
      <c r="D3128" s="1165"/>
      <c r="E3128" s="1166"/>
      <c r="F3128" s="1151"/>
      <c r="G3128" s="1151"/>
      <c r="H3128" s="1151"/>
      <c r="I3128" s="1151"/>
      <c r="J3128" s="1152"/>
      <c r="K3128" s="1152"/>
      <c r="L3128" s="1151"/>
      <c r="M3128" s="1151"/>
      <c r="N3128" s="1151"/>
      <c r="O3128" s="1729"/>
      <c r="P3128" s="1817"/>
      <c r="Q3128" s="1833"/>
      <c r="R3128" s="1833"/>
      <c r="S3128" s="1833"/>
      <c r="T3128" s="1833"/>
      <c r="U3128" s="1833"/>
      <c r="V3128" s="1833"/>
      <c r="W3128" s="1833"/>
      <c r="X3128" s="1833"/>
      <c r="Y3128" s="1833"/>
      <c r="Z3128" s="1833"/>
      <c r="AA3128" s="1833"/>
      <c r="AB3128" s="1833"/>
      <c r="AC3128" s="1833"/>
      <c r="AD3128" s="1833"/>
      <c r="AE3128" s="1833"/>
      <c r="AF3128" s="1833"/>
      <c r="AG3128" s="1833"/>
      <c r="AH3128" s="1833"/>
      <c r="AI3128" s="1833"/>
      <c r="AJ3128" s="1833"/>
      <c r="AK3128" s="1833"/>
      <c r="AL3128" s="1833"/>
      <c r="AM3128" s="1833"/>
      <c r="AN3128" s="1833"/>
      <c r="AO3128" s="1833"/>
      <c r="AP3128" s="1833"/>
      <c r="AQ3128" s="1833"/>
      <c r="AR3128" s="1833"/>
      <c r="AS3128" s="1833"/>
      <c r="AT3128" s="1833"/>
      <c r="AU3128" s="1833"/>
      <c r="AV3128" s="1833"/>
      <c r="AW3128" s="1833"/>
      <c r="AX3128" s="1833"/>
      <c r="AY3128" s="1833"/>
      <c r="AZ3128" s="1833"/>
      <c r="BA3128" s="1833"/>
      <c r="BB3128" s="1833"/>
      <c r="BC3128" s="1833"/>
      <c r="BD3128" s="1833"/>
      <c r="BE3128" s="1833"/>
      <c r="BF3128" s="1833"/>
      <c r="BG3128" s="1833"/>
      <c r="BH3128" s="1833"/>
      <c r="BI3128" s="1833"/>
      <c r="BJ3128" s="1833"/>
      <c r="BK3128" s="1833"/>
      <c r="BL3128" s="1833"/>
      <c r="BM3128" s="1833"/>
      <c r="BN3128" s="1833"/>
      <c r="BO3128" s="1833"/>
      <c r="BP3128" s="1833"/>
      <c r="BQ3128" s="1833"/>
      <c r="BR3128" s="1833"/>
      <c r="BS3128" s="1833"/>
      <c r="BT3128" s="1833"/>
      <c r="BU3128" s="1833"/>
      <c r="BV3128" s="1833"/>
      <c r="BW3128" s="1833"/>
      <c r="BX3128" s="1833"/>
      <c r="BY3128" s="1833"/>
      <c r="BZ3128" s="1833"/>
      <c r="CA3128" s="1833"/>
      <c r="CB3128" s="1833"/>
      <c r="CC3128" s="1833"/>
      <c r="CD3128" s="1833"/>
      <c r="CE3128" s="1833"/>
      <c r="CF3128" s="1833"/>
      <c r="CG3128" s="1833"/>
      <c r="CH3128" s="1833"/>
      <c r="CI3128" s="1833"/>
      <c r="CJ3128" s="1833"/>
      <c r="CK3128" s="1833"/>
    </row>
    <row r="3129" spans="1:89" s="1167" customFormat="1" ht="18" x14ac:dyDescent="0.25">
      <c r="A3129" s="1735"/>
      <c r="B3129" s="1177" t="s">
        <v>2221</v>
      </c>
      <c r="C3129" s="1173"/>
      <c r="D3129" s="1178"/>
      <c r="E3129" s="1179"/>
      <c r="F3129" s="1155"/>
      <c r="G3129" s="1155"/>
      <c r="H3129" s="1155"/>
      <c r="I3129" s="1155"/>
      <c r="J3129" s="1155"/>
      <c r="K3129" s="1155"/>
      <c r="L3129" s="1155"/>
      <c r="M3129" s="1155"/>
      <c r="N3129" s="1155"/>
      <c r="O3129" s="1736"/>
      <c r="P3129" s="1820"/>
      <c r="Q3129" s="1834"/>
      <c r="R3129" s="1834"/>
      <c r="S3129" s="1834"/>
      <c r="T3129" s="1834"/>
      <c r="U3129" s="1834"/>
      <c r="V3129" s="1834"/>
      <c r="W3129" s="1834"/>
      <c r="X3129" s="1834"/>
      <c r="Y3129" s="1834"/>
      <c r="Z3129" s="1834"/>
      <c r="AA3129" s="1834"/>
      <c r="AB3129" s="1834"/>
      <c r="AC3129" s="1834"/>
      <c r="AD3129" s="1834"/>
      <c r="AE3129" s="1834"/>
      <c r="AF3129" s="1834"/>
      <c r="AG3129" s="1834"/>
      <c r="AH3129" s="1834"/>
      <c r="AI3129" s="1834"/>
      <c r="AJ3129" s="1834"/>
      <c r="AK3129" s="1834"/>
      <c r="AL3129" s="1834"/>
      <c r="AM3129" s="1834"/>
      <c r="AN3129" s="1834"/>
      <c r="AO3129" s="1834"/>
      <c r="AP3129" s="1834"/>
      <c r="AQ3129" s="1834"/>
      <c r="AR3129" s="1834"/>
      <c r="AS3129" s="1834"/>
      <c r="AT3129" s="1834"/>
      <c r="AU3129" s="1834"/>
      <c r="AV3129" s="1834"/>
      <c r="AW3129" s="1834"/>
      <c r="AX3129" s="1834"/>
      <c r="AY3129" s="1834"/>
      <c r="AZ3129" s="1834"/>
      <c r="BA3129" s="1834"/>
      <c r="BB3129" s="1834"/>
      <c r="BC3129" s="1834"/>
      <c r="BD3129" s="1834"/>
      <c r="BE3129" s="1834"/>
      <c r="BF3129" s="1834"/>
      <c r="BG3129" s="1834"/>
      <c r="BH3129" s="1834"/>
      <c r="BI3129" s="1834"/>
      <c r="BJ3129" s="1834"/>
      <c r="BK3129" s="1834"/>
      <c r="BL3129" s="1834"/>
      <c r="BM3129" s="1834"/>
      <c r="BN3129" s="1834"/>
      <c r="BO3129" s="1834"/>
      <c r="BP3129" s="1834"/>
      <c r="BQ3129" s="1834"/>
      <c r="BR3129" s="1834"/>
      <c r="BS3129" s="1834"/>
      <c r="BT3129" s="1834"/>
      <c r="BU3129" s="1834"/>
      <c r="BV3129" s="1834"/>
      <c r="BW3129" s="1834"/>
      <c r="BX3129" s="1834"/>
      <c r="BY3129" s="1834"/>
      <c r="BZ3129" s="1834"/>
      <c r="CA3129" s="1834"/>
      <c r="CB3129" s="1834"/>
      <c r="CC3129" s="1834"/>
      <c r="CD3129" s="1834"/>
      <c r="CE3129" s="1834"/>
      <c r="CF3129" s="1834"/>
      <c r="CG3129" s="1834"/>
      <c r="CH3129" s="1834"/>
      <c r="CI3129" s="1834"/>
      <c r="CJ3129" s="1834"/>
      <c r="CK3129" s="1834"/>
    </row>
    <row r="3130" spans="1:89" s="1167" customFormat="1" ht="18" x14ac:dyDescent="0.25">
      <c r="A3130" s="1737"/>
      <c r="B3130" s="1180"/>
      <c r="C3130" s="1173"/>
      <c r="D3130" s="1178"/>
      <c r="E3130" s="1179"/>
      <c r="F3130" s="1155"/>
      <c r="G3130" s="1155"/>
      <c r="H3130" s="1155"/>
      <c r="I3130" s="1155"/>
      <c r="J3130" s="1155"/>
      <c r="K3130" s="1155"/>
      <c r="L3130" s="1155"/>
      <c r="M3130" s="1155"/>
      <c r="N3130" s="1155"/>
      <c r="O3130" s="1736"/>
      <c r="P3130" s="1820"/>
      <c r="Q3130" s="1834"/>
      <c r="R3130" s="1834"/>
      <c r="S3130" s="1834"/>
      <c r="T3130" s="1834"/>
      <c r="U3130" s="1834"/>
      <c r="V3130" s="1834"/>
      <c r="W3130" s="1834"/>
      <c r="X3130" s="1834"/>
      <c r="Y3130" s="1834"/>
      <c r="Z3130" s="1834"/>
      <c r="AA3130" s="1834"/>
      <c r="AB3130" s="1834"/>
      <c r="AC3130" s="1834"/>
      <c r="AD3130" s="1834"/>
      <c r="AE3130" s="1834"/>
      <c r="AF3130" s="1834"/>
      <c r="AG3130" s="1834"/>
      <c r="AH3130" s="1834"/>
      <c r="AI3130" s="1834"/>
      <c r="AJ3130" s="1834"/>
      <c r="AK3130" s="1834"/>
      <c r="AL3130" s="1834"/>
      <c r="AM3130" s="1834"/>
      <c r="AN3130" s="1834"/>
      <c r="AO3130" s="1834"/>
      <c r="AP3130" s="1834"/>
      <c r="AQ3130" s="1834"/>
      <c r="AR3130" s="1834"/>
      <c r="AS3130" s="1834"/>
      <c r="AT3130" s="1834"/>
      <c r="AU3130" s="1834"/>
      <c r="AV3130" s="1834"/>
      <c r="AW3130" s="1834"/>
      <c r="AX3130" s="1834"/>
      <c r="AY3130" s="1834"/>
      <c r="AZ3130" s="1834"/>
      <c r="BA3130" s="1834"/>
      <c r="BB3130" s="1834"/>
      <c r="BC3130" s="1834"/>
      <c r="BD3130" s="1834"/>
      <c r="BE3130" s="1834"/>
      <c r="BF3130" s="1834"/>
      <c r="BG3130" s="1834"/>
      <c r="BH3130" s="1834"/>
      <c r="BI3130" s="1834"/>
      <c r="BJ3130" s="1834"/>
      <c r="BK3130" s="1834"/>
      <c r="BL3130" s="1834"/>
      <c r="BM3130" s="1834"/>
      <c r="BN3130" s="1834"/>
      <c r="BO3130" s="1834"/>
      <c r="BP3130" s="1834"/>
      <c r="BQ3130" s="1834"/>
      <c r="BR3130" s="1834"/>
      <c r="BS3130" s="1834"/>
      <c r="BT3130" s="1834"/>
      <c r="BU3130" s="1834"/>
      <c r="BV3130" s="1834"/>
      <c r="BW3130" s="1834"/>
      <c r="BX3130" s="1834"/>
      <c r="BY3130" s="1834"/>
      <c r="BZ3130" s="1834"/>
      <c r="CA3130" s="1834"/>
      <c r="CB3130" s="1834"/>
      <c r="CC3130" s="1834"/>
      <c r="CD3130" s="1834"/>
      <c r="CE3130" s="1834"/>
      <c r="CF3130" s="1834"/>
      <c r="CG3130" s="1834"/>
      <c r="CH3130" s="1834"/>
      <c r="CI3130" s="1834"/>
      <c r="CJ3130" s="1834"/>
      <c r="CK3130" s="1834"/>
    </row>
    <row r="3131" spans="1:89" s="1167" customFormat="1" ht="42.75" customHeight="1" x14ac:dyDescent="0.25">
      <c r="A3131" s="1730">
        <v>47</v>
      </c>
      <c r="B3131" s="1181" t="s">
        <v>2222</v>
      </c>
      <c r="C3131" s="1136">
        <v>1</v>
      </c>
      <c r="D3131" s="1129" t="s">
        <v>2223</v>
      </c>
      <c r="E3131" s="1169">
        <v>750000</v>
      </c>
      <c r="F3131" s="1131">
        <v>0</v>
      </c>
      <c r="G3131" s="1131">
        <v>0</v>
      </c>
      <c r="H3131" s="1155">
        <f>G3131+F3131</f>
        <v>0</v>
      </c>
      <c r="I3131" s="1131">
        <v>0</v>
      </c>
      <c r="J3131" s="1131">
        <v>0</v>
      </c>
      <c r="K3131" s="1155">
        <v>0</v>
      </c>
      <c r="L3131" s="1131">
        <f>E3131*C3131</f>
        <v>750000</v>
      </c>
      <c r="M3131" s="1131">
        <v>0</v>
      </c>
      <c r="N3131" s="1131">
        <f>M3131+L3131</f>
        <v>750000</v>
      </c>
      <c r="O3131" s="1727">
        <f>N3131+K3131+H3131</f>
        <v>750000</v>
      </c>
      <c r="P3131" s="1816"/>
      <c r="Q3131" s="1834"/>
      <c r="R3131" s="1834"/>
      <c r="S3131" s="1834"/>
      <c r="T3131" s="1834"/>
      <c r="U3131" s="1834"/>
      <c r="V3131" s="1834"/>
      <c r="W3131" s="1834"/>
      <c r="X3131" s="1834"/>
      <c r="Y3131" s="1834"/>
      <c r="Z3131" s="1834"/>
      <c r="AA3131" s="1834"/>
      <c r="AB3131" s="1834"/>
      <c r="AC3131" s="1834"/>
      <c r="AD3131" s="1834"/>
      <c r="AE3131" s="1834"/>
      <c r="AF3131" s="1834"/>
      <c r="AG3131" s="1834"/>
      <c r="AH3131" s="1834"/>
      <c r="AI3131" s="1834"/>
      <c r="AJ3131" s="1834"/>
      <c r="AK3131" s="1834"/>
      <c r="AL3131" s="1834"/>
      <c r="AM3131" s="1834"/>
      <c r="AN3131" s="1834"/>
      <c r="AO3131" s="1834"/>
      <c r="AP3131" s="1834"/>
      <c r="AQ3131" s="1834"/>
      <c r="AR3131" s="1834"/>
      <c r="AS3131" s="1834"/>
      <c r="AT3131" s="1834"/>
      <c r="AU3131" s="1834"/>
      <c r="AV3131" s="1834"/>
      <c r="AW3131" s="1834"/>
      <c r="AX3131" s="1834"/>
      <c r="AY3131" s="1834"/>
      <c r="AZ3131" s="1834"/>
      <c r="BA3131" s="1834"/>
      <c r="BB3131" s="1834"/>
      <c r="BC3131" s="1834"/>
      <c r="BD3131" s="1834"/>
      <c r="BE3131" s="1834"/>
      <c r="BF3131" s="1834"/>
      <c r="BG3131" s="1834"/>
      <c r="BH3131" s="1834"/>
      <c r="BI3131" s="1834"/>
      <c r="BJ3131" s="1834"/>
      <c r="BK3131" s="1834"/>
      <c r="BL3131" s="1834"/>
      <c r="BM3131" s="1834"/>
      <c r="BN3131" s="1834"/>
      <c r="BO3131" s="1834"/>
      <c r="BP3131" s="1834"/>
      <c r="BQ3131" s="1834"/>
      <c r="BR3131" s="1834"/>
      <c r="BS3131" s="1834"/>
      <c r="BT3131" s="1834"/>
      <c r="BU3131" s="1834"/>
      <c r="BV3131" s="1834"/>
      <c r="BW3131" s="1834"/>
      <c r="BX3131" s="1834"/>
      <c r="BY3131" s="1834"/>
      <c r="BZ3131" s="1834"/>
      <c r="CA3131" s="1834"/>
      <c r="CB3131" s="1834"/>
      <c r="CC3131" s="1834"/>
      <c r="CD3131" s="1834"/>
      <c r="CE3131" s="1834"/>
      <c r="CF3131" s="1834"/>
      <c r="CG3131" s="1834"/>
      <c r="CH3131" s="1834"/>
      <c r="CI3131" s="1834"/>
      <c r="CJ3131" s="1834"/>
      <c r="CK3131" s="1834"/>
    </row>
    <row r="3132" spans="1:89" s="1167" customFormat="1" ht="36" x14ac:dyDescent="0.25">
      <c r="A3132" s="1730">
        <f>A3131+1</f>
        <v>48</v>
      </c>
      <c r="B3132" s="1181" t="s">
        <v>2224</v>
      </c>
      <c r="C3132" s="1136">
        <v>1</v>
      </c>
      <c r="D3132" s="1129" t="s">
        <v>2223</v>
      </c>
      <c r="E3132" s="1169">
        <v>750000</v>
      </c>
      <c r="F3132" s="1131">
        <v>0</v>
      </c>
      <c r="G3132" s="1131">
        <v>0</v>
      </c>
      <c r="H3132" s="1155">
        <f>G3132+F3132</f>
        <v>0</v>
      </c>
      <c r="I3132" s="1131">
        <v>0</v>
      </c>
      <c r="J3132" s="1131">
        <v>0</v>
      </c>
      <c r="K3132" s="1155">
        <v>0</v>
      </c>
      <c r="L3132" s="1131">
        <f>E3132*C3132</f>
        <v>750000</v>
      </c>
      <c r="M3132" s="1131">
        <v>0</v>
      </c>
      <c r="N3132" s="1131">
        <f>M3132+L3132</f>
        <v>750000</v>
      </c>
      <c r="O3132" s="1727">
        <f>N3132+K3132+H3132</f>
        <v>750000</v>
      </c>
      <c r="P3132" s="1816"/>
      <c r="Q3132" s="1834"/>
      <c r="R3132" s="1834"/>
      <c r="S3132" s="1834"/>
      <c r="T3132" s="1834"/>
      <c r="U3132" s="1834"/>
      <c r="V3132" s="1834"/>
      <c r="W3132" s="1834"/>
      <c r="X3132" s="1834"/>
      <c r="Y3132" s="1834"/>
      <c r="Z3132" s="1834"/>
      <c r="AA3132" s="1834"/>
      <c r="AB3132" s="1834"/>
      <c r="AC3132" s="1834"/>
      <c r="AD3132" s="1834"/>
      <c r="AE3132" s="1834"/>
      <c r="AF3132" s="1834"/>
      <c r="AG3132" s="1834"/>
      <c r="AH3132" s="1834"/>
      <c r="AI3132" s="1834"/>
      <c r="AJ3132" s="1834"/>
      <c r="AK3132" s="1834"/>
      <c r="AL3132" s="1834"/>
      <c r="AM3132" s="1834"/>
      <c r="AN3132" s="1834"/>
      <c r="AO3132" s="1834"/>
      <c r="AP3132" s="1834"/>
      <c r="AQ3132" s="1834"/>
      <c r="AR3132" s="1834"/>
      <c r="AS3132" s="1834"/>
      <c r="AT3132" s="1834"/>
      <c r="AU3132" s="1834"/>
      <c r="AV3132" s="1834"/>
      <c r="AW3132" s="1834"/>
      <c r="AX3132" s="1834"/>
      <c r="AY3132" s="1834"/>
      <c r="AZ3132" s="1834"/>
      <c r="BA3132" s="1834"/>
      <c r="BB3132" s="1834"/>
      <c r="BC3132" s="1834"/>
      <c r="BD3132" s="1834"/>
      <c r="BE3132" s="1834"/>
      <c r="BF3132" s="1834"/>
      <c r="BG3132" s="1834"/>
      <c r="BH3132" s="1834"/>
      <c r="BI3132" s="1834"/>
      <c r="BJ3132" s="1834"/>
      <c r="BK3132" s="1834"/>
      <c r="BL3132" s="1834"/>
      <c r="BM3132" s="1834"/>
      <c r="BN3132" s="1834"/>
      <c r="BO3132" s="1834"/>
      <c r="BP3132" s="1834"/>
      <c r="BQ3132" s="1834"/>
      <c r="BR3132" s="1834"/>
      <c r="BS3132" s="1834"/>
      <c r="BT3132" s="1834"/>
      <c r="BU3132" s="1834"/>
      <c r="BV3132" s="1834"/>
      <c r="BW3132" s="1834"/>
      <c r="BX3132" s="1834"/>
      <c r="BY3132" s="1834"/>
      <c r="BZ3132" s="1834"/>
      <c r="CA3132" s="1834"/>
      <c r="CB3132" s="1834"/>
      <c r="CC3132" s="1834"/>
      <c r="CD3132" s="1834"/>
      <c r="CE3132" s="1834"/>
      <c r="CF3132" s="1834"/>
      <c r="CG3132" s="1834"/>
      <c r="CH3132" s="1834"/>
      <c r="CI3132" s="1834"/>
      <c r="CJ3132" s="1834"/>
      <c r="CK3132" s="1834"/>
    </row>
    <row r="3133" spans="1:89" s="1167" customFormat="1" ht="36" x14ac:dyDescent="0.25">
      <c r="A3133" s="1730">
        <f>A3132+1</f>
        <v>49</v>
      </c>
      <c r="B3133" s="1181" t="s">
        <v>2225</v>
      </c>
      <c r="C3133" s="1136">
        <v>1</v>
      </c>
      <c r="D3133" s="1129" t="s">
        <v>2223</v>
      </c>
      <c r="E3133" s="1169">
        <v>750000</v>
      </c>
      <c r="F3133" s="1131">
        <v>0</v>
      </c>
      <c r="G3133" s="1131">
        <v>0</v>
      </c>
      <c r="H3133" s="1155">
        <f>G3133+F3133</f>
        <v>0</v>
      </c>
      <c r="I3133" s="1131">
        <v>0</v>
      </c>
      <c r="J3133" s="1131">
        <v>0</v>
      </c>
      <c r="K3133" s="1155">
        <v>0</v>
      </c>
      <c r="L3133" s="1131">
        <f>E3133*C3133</f>
        <v>750000</v>
      </c>
      <c r="M3133" s="1131">
        <v>0</v>
      </c>
      <c r="N3133" s="1131">
        <f>M3133+L3133</f>
        <v>750000</v>
      </c>
      <c r="O3133" s="1727">
        <f>N3133+K3133+H3133</f>
        <v>750000</v>
      </c>
      <c r="P3133" s="1816"/>
      <c r="Q3133" s="1834"/>
      <c r="R3133" s="1834"/>
      <c r="S3133" s="1834"/>
      <c r="T3133" s="1834"/>
      <c r="U3133" s="1834"/>
      <c r="V3133" s="1834"/>
      <c r="W3133" s="1834"/>
      <c r="X3133" s="1834"/>
      <c r="Y3133" s="1834"/>
      <c r="Z3133" s="1834"/>
      <c r="AA3133" s="1834"/>
      <c r="AB3133" s="1834"/>
      <c r="AC3133" s="1834"/>
      <c r="AD3133" s="1834"/>
      <c r="AE3133" s="1834"/>
      <c r="AF3133" s="1834"/>
      <c r="AG3133" s="1834"/>
      <c r="AH3133" s="1834"/>
      <c r="AI3133" s="1834"/>
      <c r="AJ3133" s="1834"/>
      <c r="AK3133" s="1834"/>
      <c r="AL3133" s="1834"/>
      <c r="AM3133" s="1834"/>
      <c r="AN3133" s="1834"/>
      <c r="AO3133" s="1834"/>
      <c r="AP3133" s="1834"/>
      <c r="AQ3133" s="1834"/>
      <c r="AR3133" s="1834"/>
      <c r="AS3133" s="1834"/>
      <c r="AT3133" s="1834"/>
      <c r="AU3133" s="1834"/>
      <c r="AV3133" s="1834"/>
      <c r="AW3133" s="1834"/>
      <c r="AX3133" s="1834"/>
      <c r="AY3133" s="1834"/>
      <c r="AZ3133" s="1834"/>
      <c r="BA3133" s="1834"/>
      <c r="BB3133" s="1834"/>
      <c r="BC3133" s="1834"/>
      <c r="BD3133" s="1834"/>
      <c r="BE3133" s="1834"/>
      <c r="BF3133" s="1834"/>
      <c r="BG3133" s="1834"/>
      <c r="BH3133" s="1834"/>
      <c r="BI3133" s="1834"/>
      <c r="BJ3133" s="1834"/>
      <c r="BK3133" s="1834"/>
      <c r="BL3133" s="1834"/>
      <c r="BM3133" s="1834"/>
      <c r="BN3133" s="1834"/>
      <c r="BO3133" s="1834"/>
      <c r="BP3133" s="1834"/>
      <c r="BQ3133" s="1834"/>
      <c r="BR3133" s="1834"/>
      <c r="BS3133" s="1834"/>
      <c r="BT3133" s="1834"/>
      <c r="BU3133" s="1834"/>
      <c r="BV3133" s="1834"/>
      <c r="BW3133" s="1834"/>
      <c r="BX3133" s="1834"/>
      <c r="BY3133" s="1834"/>
      <c r="BZ3133" s="1834"/>
      <c r="CA3133" s="1834"/>
      <c r="CB3133" s="1834"/>
      <c r="CC3133" s="1834"/>
      <c r="CD3133" s="1834"/>
      <c r="CE3133" s="1834"/>
      <c r="CF3133" s="1834"/>
      <c r="CG3133" s="1834"/>
      <c r="CH3133" s="1834"/>
      <c r="CI3133" s="1834"/>
      <c r="CJ3133" s="1834"/>
      <c r="CK3133" s="1834"/>
    </row>
    <row r="3134" spans="1:89" s="1167" customFormat="1" ht="36" x14ac:dyDescent="0.25">
      <c r="A3134" s="1730">
        <f>A3133+1</f>
        <v>50</v>
      </c>
      <c r="B3134" s="1181" t="s">
        <v>2226</v>
      </c>
      <c r="C3134" s="1136">
        <v>1</v>
      </c>
      <c r="D3134" s="1129" t="s">
        <v>2223</v>
      </c>
      <c r="E3134" s="1169">
        <v>750000</v>
      </c>
      <c r="F3134" s="1131">
        <v>0</v>
      </c>
      <c r="G3134" s="1131">
        <v>0</v>
      </c>
      <c r="H3134" s="1155">
        <f>G3134+F3134</f>
        <v>0</v>
      </c>
      <c r="I3134" s="1131">
        <v>0</v>
      </c>
      <c r="J3134" s="1131">
        <v>0</v>
      </c>
      <c r="K3134" s="1155">
        <v>0</v>
      </c>
      <c r="L3134" s="1131">
        <f>E3134*C3134</f>
        <v>750000</v>
      </c>
      <c r="M3134" s="1131">
        <v>0</v>
      </c>
      <c r="N3134" s="1131">
        <f>M3134+L3134</f>
        <v>750000</v>
      </c>
      <c r="O3134" s="1727">
        <f>N3134+K3134+H3134</f>
        <v>750000</v>
      </c>
      <c r="P3134" s="1816"/>
      <c r="Q3134" s="1834"/>
      <c r="R3134" s="1834"/>
      <c r="S3134" s="1834"/>
      <c r="T3134" s="1834"/>
      <c r="U3134" s="1834"/>
      <c r="V3134" s="1834"/>
      <c r="W3134" s="1834"/>
      <c r="X3134" s="1834"/>
      <c r="Y3134" s="1834"/>
      <c r="Z3134" s="1834"/>
      <c r="AA3134" s="1834"/>
      <c r="AB3134" s="1834"/>
      <c r="AC3134" s="1834"/>
      <c r="AD3134" s="1834"/>
      <c r="AE3134" s="1834"/>
      <c r="AF3134" s="1834"/>
      <c r="AG3134" s="1834"/>
      <c r="AH3134" s="1834"/>
      <c r="AI3134" s="1834"/>
      <c r="AJ3134" s="1834"/>
      <c r="AK3134" s="1834"/>
      <c r="AL3134" s="1834"/>
      <c r="AM3134" s="1834"/>
      <c r="AN3134" s="1834"/>
      <c r="AO3134" s="1834"/>
      <c r="AP3134" s="1834"/>
      <c r="AQ3134" s="1834"/>
      <c r="AR3134" s="1834"/>
      <c r="AS3134" s="1834"/>
      <c r="AT3134" s="1834"/>
      <c r="AU3134" s="1834"/>
      <c r="AV3134" s="1834"/>
      <c r="AW3134" s="1834"/>
      <c r="AX3134" s="1834"/>
      <c r="AY3134" s="1834"/>
      <c r="AZ3134" s="1834"/>
      <c r="BA3134" s="1834"/>
      <c r="BB3134" s="1834"/>
      <c r="BC3134" s="1834"/>
      <c r="BD3134" s="1834"/>
      <c r="BE3134" s="1834"/>
      <c r="BF3134" s="1834"/>
      <c r="BG3134" s="1834"/>
      <c r="BH3134" s="1834"/>
      <c r="BI3134" s="1834"/>
      <c r="BJ3134" s="1834"/>
      <c r="BK3134" s="1834"/>
      <c r="BL3134" s="1834"/>
      <c r="BM3134" s="1834"/>
      <c r="BN3134" s="1834"/>
      <c r="BO3134" s="1834"/>
      <c r="BP3134" s="1834"/>
      <c r="BQ3134" s="1834"/>
      <c r="BR3134" s="1834"/>
      <c r="BS3134" s="1834"/>
      <c r="BT3134" s="1834"/>
      <c r="BU3134" s="1834"/>
      <c r="BV3134" s="1834"/>
      <c r="BW3134" s="1834"/>
      <c r="BX3134" s="1834"/>
      <c r="BY3134" s="1834"/>
      <c r="BZ3134" s="1834"/>
      <c r="CA3134" s="1834"/>
      <c r="CB3134" s="1834"/>
      <c r="CC3134" s="1834"/>
      <c r="CD3134" s="1834"/>
      <c r="CE3134" s="1834"/>
      <c r="CF3134" s="1834"/>
      <c r="CG3134" s="1834"/>
      <c r="CH3134" s="1834"/>
      <c r="CI3134" s="1834"/>
      <c r="CJ3134" s="1834"/>
      <c r="CK3134" s="1834"/>
    </row>
    <row r="3135" spans="1:89" s="1167" customFormat="1" ht="36" x14ac:dyDescent="0.25">
      <c r="A3135" s="1730">
        <f>A3134+1</f>
        <v>51</v>
      </c>
      <c r="B3135" s="1181" t="s">
        <v>2227</v>
      </c>
      <c r="C3135" s="1136">
        <v>1</v>
      </c>
      <c r="D3135" s="1129" t="s">
        <v>2223</v>
      </c>
      <c r="E3135" s="1169">
        <v>750000</v>
      </c>
      <c r="F3135" s="1131">
        <v>0</v>
      </c>
      <c r="G3135" s="1131">
        <v>0</v>
      </c>
      <c r="H3135" s="1155">
        <f>G3135+F3135</f>
        <v>0</v>
      </c>
      <c r="I3135" s="1131">
        <v>0</v>
      </c>
      <c r="J3135" s="1131">
        <v>0</v>
      </c>
      <c r="K3135" s="1155">
        <v>0</v>
      </c>
      <c r="L3135" s="1131">
        <f>E3135*C3135</f>
        <v>750000</v>
      </c>
      <c r="M3135" s="1131">
        <v>0</v>
      </c>
      <c r="N3135" s="1131">
        <f>M3135+L3135</f>
        <v>750000</v>
      </c>
      <c r="O3135" s="1727">
        <f>N3135+K3135+H3135</f>
        <v>750000</v>
      </c>
      <c r="P3135" s="1816"/>
      <c r="Q3135" s="1834"/>
      <c r="R3135" s="1834"/>
      <c r="S3135" s="1834"/>
      <c r="T3135" s="1834"/>
      <c r="U3135" s="1834"/>
      <c r="V3135" s="1834"/>
      <c r="W3135" s="1834"/>
      <c r="X3135" s="1834"/>
      <c r="Y3135" s="1834"/>
      <c r="Z3135" s="1834"/>
      <c r="AA3135" s="1834"/>
      <c r="AB3135" s="1834"/>
      <c r="AC3135" s="1834"/>
      <c r="AD3135" s="1834"/>
      <c r="AE3135" s="1834"/>
      <c r="AF3135" s="1834"/>
      <c r="AG3135" s="1834"/>
      <c r="AH3135" s="1834"/>
      <c r="AI3135" s="1834"/>
      <c r="AJ3135" s="1834"/>
      <c r="AK3135" s="1834"/>
      <c r="AL3135" s="1834"/>
      <c r="AM3135" s="1834"/>
      <c r="AN3135" s="1834"/>
      <c r="AO3135" s="1834"/>
      <c r="AP3135" s="1834"/>
      <c r="AQ3135" s="1834"/>
      <c r="AR3135" s="1834"/>
      <c r="AS3135" s="1834"/>
      <c r="AT3135" s="1834"/>
      <c r="AU3135" s="1834"/>
      <c r="AV3135" s="1834"/>
      <c r="AW3135" s="1834"/>
      <c r="AX3135" s="1834"/>
      <c r="AY3135" s="1834"/>
      <c r="AZ3135" s="1834"/>
      <c r="BA3135" s="1834"/>
      <c r="BB3135" s="1834"/>
      <c r="BC3135" s="1834"/>
      <c r="BD3135" s="1834"/>
      <c r="BE3135" s="1834"/>
      <c r="BF3135" s="1834"/>
      <c r="BG3135" s="1834"/>
      <c r="BH3135" s="1834"/>
      <c r="BI3135" s="1834"/>
      <c r="BJ3135" s="1834"/>
      <c r="BK3135" s="1834"/>
      <c r="BL3135" s="1834"/>
      <c r="BM3135" s="1834"/>
      <c r="BN3135" s="1834"/>
      <c r="BO3135" s="1834"/>
      <c r="BP3135" s="1834"/>
      <c r="BQ3135" s="1834"/>
      <c r="BR3135" s="1834"/>
      <c r="BS3135" s="1834"/>
      <c r="BT3135" s="1834"/>
      <c r="BU3135" s="1834"/>
      <c r="BV3135" s="1834"/>
      <c r="BW3135" s="1834"/>
      <c r="BX3135" s="1834"/>
      <c r="BY3135" s="1834"/>
      <c r="BZ3135" s="1834"/>
      <c r="CA3135" s="1834"/>
      <c r="CB3135" s="1834"/>
      <c r="CC3135" s="1834"/>
      <c r="CD3135" s="1834"/>
      <c r="CE3135" s="1834"/>
      <c r="CF3135" s="1834"/>
      <c r="CG3135" s="1834"/>
      <c r="CH3135" s="1834"/>
      <c r="CI3135" s="1834"/>
      <c r="CJ3135" s="1834"/>
      <c r="CK3135" s="1834"/>
    </row>
    <row r="3136" spans="1:89" s="1167" customFormat="1" ht="18" x14ac:dyDescent="0.25">
      <c r="A3136" s="1730"/>
      <c r="B3136" s="1182"/>
      <c r="C3136" s="1136"/>
      <c r="D3136" s="1129"/>
      <c r="E3136" s="1169"/>
      <c r="F3136" s="1131"/>
      <c r="G3136" s="1131"/>
      <c r="H3136" s="1155"/>
      <c r="I3136" s="1131"/>
      <c r="J3136" s="1131"/>
      <c r="K3136" s="1155"/>
      <c r="L3136" s="1131"/>
      <c r="M3136" s="1131"/>
      <c r="N3136" s="1131"/>
      <c r="O3136" s="1727"/>
      <c r="P3136" s="1816"/>
      <c r="Q3136" s="1834"/>
      <c r="R3136" s="1834"/>
      <c r="S3136" s="1834"/>
      <c r="T3136" s="1834"/>
      <c r="U3136" s="1834"/>
      <c r="V3136" s="1834"/>
      <c r="W3136" s="1834"/>
      <c r="X3136" s="1834"/>
      <c r="Y3136" s="1834"/>
      <c r="Z3136" s="1834"/>
      <c r="AA3136" s="1834"/>
      <c r="AB3136" s="1834"/>
      <c r="AC3136" s="1834"/>
      <c r="AD3136" s="1834"/>
      <c r="AE3136" s="1834"/>
      <c r="AF3136" s="1834"/>
      <c r="AG3136" s="1834"/>
      <c r="AH3136" s="1834"/>
      <c r="AI3136" s="1834"/>
      <c r="AJ3136" s="1834"/>
      <c r="AK3136" s="1834"/>
      <c r="AL3136" s="1834"/>
      <c r="AM3136" s="1834"/>
      <c r="AN3136" s="1834"/>
      <c r="AO3136" s="1834"/>
      <c r="AP3136" s="1834"/>
      <c r="AQ3136" s="1834"/>
      <c r="AR3136" s="1834"/>
      <c r="AS3136" s="1834"/>
      <c r="AT3136" s="1834"/>
      <c r="AU3136" s="1834"/>
      <c r="AV3136" s="1834"/>
      <c r="AW3136" s="1834"/>
      <c r="AX3136" s="1834"/>
      <c r="AY3136" s="1834"/>
      <c r="AZ3136" s="1834"/>
      <c r="BA3136" s="1834"/>
      <c r="BB3136" s="1834"/>
      <c r="BC3136" s="1834"/>
      <c r="BD3136" s="1834"/>
      <c r="BE3136" s="1834"/>
      <c r="BF3136" s="1834"/>
      <c r="BG3136" s="1834"/>
      <c r="BH3136" s="1834"/>
      <c r="BI3136" s="1834"/>
      <c r="BJ3136" s="1834"/>
      <c r="BK3136" s="1834"/>
      <c r="BL3136" s="1834"/>
      <c r="BM3136" s="1834"/>
      <c r="BN3136" s="1834"/>
      <c r="BO3136" s="1834"/>
      <c r="BP3136" s="1834"/>
      <c r="BQ3136" s="1834"/>
      <c r="BR3136" s="1834"/>
      <c r="BS3136" s="1834"/>
      <c r="BT3136" s="1834"/>
      <c r="BU3136" s="1834"/>
      <c r="BV3136" s="1834"/>
      <c r="BW3136" s="1834"/>
      <c r="BX3136" s="1834"/>
      <c r="BY3136" s="1834"/>
      <c r="BZ3136" s="1834"/>
      <c r="CA3136" s="1834"/>
      <c r="CB3136" s="1834"/>
      <c r="CC3136" s="1834"/>
      <c r="CD3136" s="1834"/>
      <c r="CE3136" s="1834"/>
      <c r="CF3136" s="1834"/>
      <c r="CG3136" s="1834"/>
      <c r="CH3136" s="1834"/>
      <c r="CI3136" s="1834"/>
      <c r="CJ3136" s="1834"/>
      <c r="CK3136" s="1834"/>
    </row>
    <row r="3137" spans="1:89" s="1167" customFormat="1" ht="36" x14ac:dyDescent="0.25">
      <c r="A3137" s="1730">
        <v>52</v>
      </c>
      <c r="B3137" s="1183" t="s">
        <v>2228</v>
      </c>
      <c r="C3137" s="1148">
        <v>1</v>
      </c>
      <c r="D3137" s="1129" t="s">
        <v>2223</v>
      </c>
      <c r="E3137" s="1162">
        <v>750000</v>
      </c>
      <c r="F3137" s="1131">
        <v>0</v>
      </c>
      <c r="G3137" s="1131">
        <v>0</v>
      </c>
      <c r="H3137" s="1155">
        <f>G3137+F3137</f>
        <v>0</v>
      </c>
      <c r="I3137" s="1131">
        <v>0</v>
      </c>
      <c r="J3137" s="1131">
        <v>0</v>
      </c>
      <c r="K3137" s="1155">
        <v>0</v>
      </c>
      <c r="L3137" s="1131">
        <f>E3137*C3137</f>
        <v>750000</v>
      </c>
      <c r="M3137" s="1131">
        <v>0</v>
      </c>
      <c r="N3137" s="1131">
        <f>M3137+L3137</f>
        <v>750000</v>
      </c>
      <c r="O3137" s="1727">
        <f>N3137+K3137+H3137</f>
        <v>750000</v>
      </c>
      <c r="P3137" s="1816"/>
      <c r="Q3137" s="1834"/>
      <c r="R3137" s="1834"/>
      <c r="S3137" s="1834"/>
      <c r="T3137" s="1834"/>
      <c r="U3137" s="1834"/>
      <c r="V3137" s="1834"/>
      <c r="W3137" s="1834"/>
      <c r="X3137" s="1834"/>
      <c r="Y3137" s="1834"/>
      <c r="Z3137" s="1834"/>
      <c r="AA3137" s="1834"/>
      <c r="AB3137" s="1834"/>
      <c r="AC3137" s="1834"/>
      <c r="AD3137" s="1834"/>
      <c r="AE3137" s="1834"/>
      <c r="AF3137" s="1834"/>
      <c r="AG3137" s="1834"/>
      <c r="AH3137" s="1834"/>
      <c r="AI3137" s="1834"/>
      <c r="AJ3137" s="1834"/>
      <c r="AK3137" s="1834"/>
      <c r="AL3137" s="1834"/>
      <c r="AM3137" s="1834"/>
      <c r="AN3137" s="1834"/>
      <c r="AO3137" s="1834"/>
      <c r="AP3137" s="1834"/>
      <c r="AQ3137" s="1834"/>
      <c r="AR3137" s="1834"/>
      <c r="AS3137" s="1834"/>
      <c r="AT3137" s="1834"/>
      <c r="AU3137" s="1834"/>
      <c r="AV3137" s="1834"/>
      <c r="AW3137" s="1834"/>
      <c r="AX3137" s="1834"/>
      <c r="AY3137" s="1834"/>
      <c r="AZ3137" s="1834"/>
      <c r="BA3137" s="1834"/>
      <c r="BB3137" s="1834"/>
      <c r="BC3137" s="1834"/>
      <c r="BD3137" s="1834"/>
      <c r="BE3137" s="1834"/>
      <c r="BF3137" s="1834"/>
      <c r="BG3137" s="1834"/>
      <c r="BH3137" s="1834"/>
      <c r="BI3137" s="1834"/>
      <c r="BJ3137" s="1834"/>
      <c r="BK3137" s="1834"/>
      <c r="BL3137" s="1834"/>
      <c r="BM3137" s="1834"/>
      <c r="BN3137" s="1834"/>
      <c r="BO3137" s="1834"/>
      <c r="BP3137" s="1834"/>
      <c r="BQ3137" s="1834"/>
      <c r="BR3137" s="1834"/>
      <c r="BS3137" s="1834"/>
      <c r="BT3137" s="1834"/>
      <c r="BU3137" s="1834"/>
      <c r="BV3137" s="1834"/>
      <c r="BW3137" s="1834"/>
      <c r="BX3137" s="1834"/>
      <c r="BY3137" s="1834"/>
      <c r="BZ3137" s="1834"/>
      <c r="CA3137" s="1834"/>
      <c r="CB3137" s="1834"/>
      <c r="CC3137" s="1834"/>
      <c r="CD3137" s="1834"/>
      <c r="CE3137" s="1834"/>
      <c r="CF3137" s="1834"/>
      <c r="CG3137" s="1834"/>
      <c r="CH3137" s="1834"/>
      <c r="CI3137" s="1834"/>
      <c r="CJ3137" s="1834"/>
      <c r="CK3137" s="1834"/>
    </row>
    <row r="3138" spans="1:89" s="1167" customFormat="1" ht="36" x14ac:dyDescent="0.25">
      <c r="A3138" s="1730">
        <f>A3137+1</f>
        <v>53</v>
      </c>
      <c r="B3138" s="1183" t="s">
        <v>2229</v>
      </c>
      <c r="C3138" s="1148">
        <v>1</v>
      </c>
      <c r="D3138" s="1129" t="s">
        <v>2223</v>
      </c>
      <c r="E3138" s="1162">
        <v>1000000</v>
      </c>
      <c r="F3138" s="1131">
        <v>0</v>
      </c>
      <c r="G3138" s="1131">
        <v>0</v>
      </c>
      <c r="H3138" s="1155">
        <f>G3138+F3138</f>
        <v>0</v>
      </c>
      <c r="I3138" s="1131">
        <v>0</v>
      </c>
      <c r="J3138" s="1131">
        <v>0</v>
      </c>
      <c r="K3138" s="1155">
        <v>0</v>
      </c>
      <c r="L3138" s="1131">
        <f>E3138*C3138</f>
        <v>1000000</v>
      </c>
      <c r="M3138" s="1131">
        <v>0</v>
      </c>
      <c r="N3138" s="1131">
        <f>M3138+L3138</f>
        <v>1000000</v>
      </c>
      <c r="O3138" s="1727">
        <f>N3138+K3138+H3138</f>
        <v>1000000</v>
      </c>
      <c r="P3138" s="1816"/>
      <c r="Q3138" s="1834"/>
      <c r="R3138" s="1834"/>
      <c r="S3138" s="1834"/>
      <c r="T3138" s="1834"/>
      <c r="U3138" s="1834"/>
      <c r="V3138" s="1834"/>
      <c r="W3138" s="1834"/>
      <c r="X3138" s="1834"/>
      <c r="Y3138" s="1834"/>
      <c r="Z3138" s="1834"/>
      <c r="AA3138" s="1834"/>
      <c r="AB3138" s="1834"/>
      <c r="AC3138" s="1834"/>
      <c r="AD3138" s="1834"/>
      <c r="AE3138" s="1834"/>
      <c r="AF3138" s="1834"/>
      <c r="AG3138" s="1834"/>
      <c r="AH3138" s="1834"/>
      <c r="AI3138" s="1834"/>
      <c r="AJ3138" s="1834"/>
      <c r="AK3138" s="1834"/>
      <c r="AL3138" s="1834"/>
      <c r="AM3138" s="1834"/>
      <c r="AN3138" s="1834"/>
      <c r="AO3138" s="1834"/>
      <c r="AP3138" s="1834"/>
      <c r="AQ3138" s="1834"/>
      <c r="AR3138" s="1834"/>
      <c r="AS3138" s="1834"/>
      <c r="AT3138" s="1834"/>
      <c r="AU3138" s="1834"/>
      <c r="AV3138" s="1834"/>
      <c r="AW3138" s="1834"/>
      <c r="AX3138" s="1834"/>
      <c r="AY3138" s="1834"/>
      <c r="AZ3138" s="1834"/>
      <c r="BA3138" s="1834"/>
      <c r="BB3138" s="1834"/>
      <c r="BC3138" s="1834"/>
      <c r="BD3138" s="1834"/>
      <c r="BE3138" s="1834"/>
      <c r="BF3138" s="1834"/>
      <c r="BG3138" s="1834"/>
      <c r="BH3138" s="1834"/>
      <c r="BI3138" s="1834"/>
      <c r="BJ3138" s="1834"/>
      <c r="BK3138" s="1834"/>
      <c r="BL3138" s="1834"/>
      <c r="BM3138" s="1834"/>
      <c r="BN3138" s="1834"/>
      <c r="BO3138" s="1834"/>
      <c r="BP3138" s="1834"/>
      <c r="BQ3138" s="1834"/>
      <c r="BR3138" s="1834"/>
      <c r="BS3138" s="1834"/>
      <c r="BT3138" s="1834"/>
      <c r="BU3138" s="1834"/>
      <c r="BV3138" s="1834"/>
      <c r="BW3138" s="1834"/>
      <c r="BX3138" s="1834"/>
      <c r="BY3138" s="1834"/>
      <c r="BZ3138" s="1834"/>
      <c r="CA3138" s="1834"/>
      <c r="CB3138" s="1834"/>
      <c r="CC3138" s="1834"/>
      <c r="CD3138" s="1834"/>
      <c r="CE3138" s="1834"/>
      <c r="CF3138" s="1834"/>
      <c r="CG3138" s="1834"/>
      <c r="CH3138" s="1834"/>
      <c r="CI3138" s="1834"/>
      <c r="CJ3138" s="1834"/>
      <c r="CK3138" s="1834"/>
    </row>
    <row r="3139" spans="1:89" s="1167" customFormat="1" ht="36" x14ac:dyDescent="0.25">
      <c r="A3139" s="1730">
        <f>A3138+1</f>
        <v>54</v>
      </c>
      <c r="B3139" s="1183" t="s">
        <v>2230</v>
      </c>
      <c r="C3139" s="1164">
        <v>1</v>
      </c>
      <c r="D3139" s="1145" t="s">
        <v>2223</v>
      </c>
      <c r="E3139" s="1166">
        <v>1000000</v>
      </c>
      <c r="F3139" s="1184">
        <v>0</v>
      </c>
      <c r="G3139" s="1184">
        <v>0</v>
      </c>
      <c r="H3139" s="1179">
        <f>G3139+F3139</f>
        <v>0</v>
      </c>
      <c r="I3139" s="1184">
        <v>0</v>
      </c>
      <c r="J3139" s="1184">
        <v>0</v>
      </c>
      <c r="K3139" s="1179">
        <v>0</v>
      </c>
      <c r="L3139" s="1184">
        <f>E3139*C3139</f>
        <v>1000000</v>
      </c>
      <c r="M3139" s="1184">
        <v>0</v>
      </c>
      <c r="N3139" s="1184">
        <f>M3139+L3139</f>
        <v>1000000</v>
      </c>
      <c r="O3139" s="1738">
        <f>N3139+K3139+H3139</f>
        <v>1000000</v>
      </c>
      <c r="P3139" s="1816"/>
      <c r="Q3139" s="1834"/>
      <c r="R3139" s="1834"/>
      <c r="S3139" s="1834"/>
      <c r="T3139" s="1834"/>
      <c r="U3139" s="1834"/>
      <c r="V3139" s="1834"/>
      <c r="W3139" s="1834"/>
      <c r="X3139" s="1834"/>
      <c r="Y3139" s="1834"/>
      <c r="Z3139" s="1834"/>
      <c r="AA3139" s="1834"/>
      <c r="AB3139" s="1834"/>
      <c r="AC3139" s="1834"/>
      <c r="AD3139" s="1834"/>
      <c r="AE3139" s="1834"/>
      <c r="AF3139" s="1834"/>
      <c r="AG3139" s="1834"/>
      <c r="AH3139" s="1834"/>
      <c r="AI3139" s="1834"/>
      <c r="AJ3139" s="1834"/>
      <c r="AK3139" s="1834"/>
      <c r="AL3139" s="1834"/>
      <c r="AM3139" s="1834"/>
      <c r="AN3139" s="1834"/>
      <c r="AO3139" s="1834"/>
      <c r="AP3139" s="1834"/>
      <c r="AQ3139" s="1834"/>
      <c r="AR3139" s="1834"/>
      <c r="AS3139" s="1834"/>
      <c r="AT3139" s="1834"/>
      <c r="AU3139" s="1834"/>
      <c r="AV3139" s="1834"/>
      <c r="AW3139" s="1834"/>
      <c r="AX3139" s="1834"/>
      <c r="AY3139" s="1834"/>
      <c r="AZ3139" s="1834"/>
      <c r="BA3139" s="1834"/>
      <c r="BB3139" s="1834"/>
      <c r="BC3139" s="1834"/>
      <c r="BD3139" s="1834"/>
      <c r="BE3139" s="1834"/>
      <c r="BF3139" s="1834"/>
      <c r="BG3139" s="1834"/>
      <c r="BH3139" s="1834"/>
      <c r="BI3139" s="1834"/>
      <c r="BJ3139" s="1834"/>
      <c r="BK3139" s="1834"/>
      <c r="BL3139" s="1834"/>
      <c r="BM3139" s="1834"/>
      <c r="BN3139" s="1834"/>
      <c r="BO3139" s="1834"/>
      <c r="BP3139" s="1834"/>
      <c r="BQ3139" s="1834"/>
      <c r="BR3139" s="1834"/>
      <c r="BS3139" s="1834"/>
      <c r="BT3139" s="1834"/>
      <c r="BU3139" s="1834"/>
      <c r="BV3139" s="1834"/>
      <c r="BW3139" s="1834"/>
      <c r="BX3139" s="1834"/>
      <c r="BY3139" s="1834"/>
      <c r="BZ3139" s="1834"/>
      <c r="CA3139" s="1834"/>
      <c r="CB3139" s="1834"/>
      <c r="CC3139" s="1834"/>
      <c r="CD3139" s="1834"/>
      <c r="CE3139" s="1834"/>
      <c r="CF3139" s="1834"/>
      <c r="CG3139" s="1834"/>
      <c r="CH3139" s="1834"/>
      <c r="CI3139" s="1834"/>
      <c r="CJ3139" s="1834"/>
      <c r="CK3139" s="1834"/>
    </row>
    <row r="3140" spans="1:89" s="1167" customFormat="1" ht="37.5" customHeight="1" x14ac:dyDescent="0.25">
      <c r="A3140" s="1730">
        <f>A3139+1</f>
        <v>55</v>
      </c>
      <c r="B3140" s="1183" t="s">
        <v>2231</v>
      </c>
      <c r="C3140" s="1164">
        <v>1</v>
      </c>
      <c r="D3140" s="1145" t="s">
        <v>2223</v>
      </c>
      <c r="E3140" s="1166">
        <v>750000</v>
      </c>
      <c r="F3140" s="1184">
        <v>0</v>
      </c>
      <c r="G3140" s="1184">
        <v>0</v>
      </c>
      <c r="H3140" s="1179">
        <f>G3140+F3140</f>
        <v>0</v>
      </c>
      <c r="I3140" s="1184">
        <v>0</v>
      </c>
      <c r="J3140" s="1184">
        <v>0</v>
      </c>
      <c r="K3140" s="1179">
        <v>0</v>
      </c>
      <c r="L3140" s="1184">
        <f>E3140*C3140</f>
        <v>750000</v>
      </c>
      <c r="M3140" s="1184">
        <v>0</v>
      </c>
      <c r="N3140" s="1184">
        <f>M3140+L3140</f>
        <v>750000</v>
      </c>
      <c r="O3140" s="1738">
        <f>N3140+K3140+H3140</f>
        <v>750000</v>
      </c>
      <c r="P3140" s="1816"/>
      <c r="Q3140" s="1834"/>
      <c r="R3140" s="1834"/>
      <c r="S3140" s="1834"/>
      <c r="T3140" s="1834"/>
      <c r="U3140" s="1834"/>
      <c r="V3140" s="1834"/>
      <c r="W3140" s="1834"/>
      <c r="X3140" s="1834"/>
      <c r="Y3140" s="1834"/>
      <c r="Z3140" s="1834"/>
      <c r="AA3140" s="1834"/>
      <c r="AB3140" s="1834"/>
      <c r="AC3140" s="1834"/>
      <c r="AD3140" s="1834"/>
      <c r="AE3140" s="1834"/>
      <c r="AF3140" s="1834"/>
      <c r="AG3140" s="1834"/>
      <c r="AH3140" s="1834"/>
      <c r="AI3140" s="1834"/>
      <c r="AJ3140" s="1834"/>
      <c r="AK3140" s="1834"/>
      <c r="AL3140" s="1834"/>
      <c r="AM3140" s="1834"/>
      <c r="AN3140" s="1834"/>
      <c r="AO3140" s="1834"/>
      <c r="AP3140" s="1834"/>
      <c r="AQ3140" s="1834"/>
      <c r="AR3140" s="1834"/>
      <c r="AS3140" s="1834"/>
      <c r="AT3140" s="1834"/>
      <c r="AU3140" s="1834"/>
      <c r="AV3140" s="1834"/>
      <c r="AW3140" s="1834"/>
      <c r="AX3140" s="1834"/>
      <c r="AY3140" s="1834"/>
      <c r="AZ3140" s="1834"/>
      <c r="BA3140" s="1834"/>
      <c r="BB3140" s="1834"/>
      <c r="BC3140" s="1834"/>
      <c r="BD3140" s="1834"/>
      <c r="BE3140" s="1834"/>
      <c r="BF3140" s="1834"/>
      <c r="BG3140" s="1834"/>
      <c r="BH3140" s="1834"/>
      <c r="BI3140" s="1834"/>
      <c r="BJ3140" s="1834"/>
      <c r="BK3140" s="1834"/>
      <c r="BL3140" s="1834"/>
      <c r="BM3140" s="1834"/>
      <c r="BN3140" s="1834"/>
      <c r="BO3140" s="1834"/>
      <c r="BP3140" s="1834"/>
      <c r="BQ3140" s="1834"/>
      <c r="BR3140" s="1834"/>
      <c r="BS3140" s="1834"/>
      <c r="BT3140" s="1834"/>
      <c r="BU3140" s="1834"/>
      <c r="BV3140" s="1834"/>
      <c r="BW3140" s="1834"/>
      <c r="BX3140" s="1834"/>
      <c r="BY3140" s="1834"/>
      <c r="BZ3140" s="1834"/>
      <c r="CA3140" s="1834"/>
      <c r="CB3140" s="1834"/>
      <c r="CC3140" s="1834"/>
      <c r="CD3140" s="1834"/>
      <c r="CE3140" s="1834"/>
      <c r="CF3140" s="1834"/>
      <c r="CG3140" s="1834"/>
      <c r="CH3140" s="1834"/>
      <c r="CI3140" s="1834"/>
      <c r="CJ3140" s="1834"/>
      <c r="CK3140" s="1834"/>
    </row>
    <row r="3141" spans="1:89" s="1167" customFormat="1" ht="18" x14ac:dyDescent="0.25">
      <c r="A3141" s="1739"/>
      <c r="B3141" s="1185"/>
      <c r="C3141" s="1141"/>
      <c r="D3141" s="1186"/>
      <c r="E3141" s="1162"/>
      <c r="F3141" s="1131"/>
      <c r="G3141" s="1131"/>
      <c r="H3141" s="1155"/>
      <c r="I3141" s="1131"/>
      <c r="J3141" s="1131"/>
      <c r="K3141" s="1155"/>
      <c r="L3141" s="1131"/>
      <c r="M3141" s="1131"/>
      <c r="N3141" s="1131"/>
      <c r="O3141" s="1727"/>
      <c r="P3141" s="1816"/>
      <c r="Q3141" s="1834"/>
      <c r="R3141" s="1834"/>
      <c r="S3141" s="1834"/>
      <c r="T3141" s="1834"/>
      <c r="U3141" s="1834"/>
      <c r="V3141" s="1834"/>
      <c r="W3141" s="1834"/>
      <c r="X3141" s="1834"/>
      <c r="Y3141" s="1834"/>
      <c r="Z3141" s="1834"/>
      <c r="AA3141" s="1834"/>
      <c r="AB3141" s="1834"/>
      <c r="AC3141" s="1834"/>
      <c r="AD3141" s="1834"/>
      <c r="AE3141" s="1834"/>
      <c r="AF3141" s="1834"/>
      <c r="AG3141" s="1834"/>
      <c r="AH3141" s="1834"/>
      <c r="AI3141" s="1834"/>
      <c r="AJ3141" s="1834"/>
      <c r="AK3141" s="1834"/>
      <c r="AL3141" s="1834"/>
      <c r="AM3141" s="1834"/>
      <c r="AN3141" s="1834"/>
      <c r="AO3141" s="1834"/>
      <c r="AP3141" s="1834"/>
      <c r="AQ3141" s="1834"/>
      <c r="AR3141" s="1834"/>
      <c r="AS3141" s="1834"/>
      <c r="AT3141" s="1834"/>
      <c r="AU3141" s="1834"/>
      <c r="AV3141" s="1834"/>
      <c r="AW3141" s="1834"/>
      <c r="AX3141" s="1834"/>
      <c r="AY3141" s="1834"/>
      <c r="AZ3141" s="1834"/>
      <c r="BA3141" s="1834"/>
      <c r="BB3141" s="1834"/>
      <c r="BC3141" s="1834"/>
      <c r="BD3141" s="1834"/>
      <c r="BE3141" s="1834"/>
      <c r="BF3141" s="1834"/>
      <c r="BG3141" s="1834"/>
      <c r="BH3141" s="1834"/>
      <c r="BI3141" s="1834"/>
      <c r="BJ3141" s="1834"/>
      <c r="BK3141" s="1834"/>
      <c r="BL3141" s="1834"/>
      <c r="BM3141" s="1834"/>
      <c r="BN3141" s="1834"/>
      <c r="BO3141" s="1834"/>
      <c r="BP3141" s="1834"/>
      <c r="BQ3141" s="1834"/>
      <c r="BR3141" s="1834"/>
      <c r="BS3141" s="1834"/>
      <c r="BT3141" s="1834"/>
      <c r="BU3141" s="1834"/>
      <c r="BV3141" s="1834"/>
      <c r="BW3141" s="1834"/>
      <c r="BX3141" s="1834"/>
      <c r="BY3141" s="1834"/>
      <c r="BZ3141" s="1834"/>
      <c r="CA3141" s="1834"/>
      <c r="CB3141" s="1834"/>
      <c r="CC3141" s="1834"/>
      <c r="CD3141" s="1834"/>
      <c r="CE3141" s="1834"/>
      <c r="CF3141" s="1834"/>
      <c r="CG3141" s="1834"/>
      <c r="CH3141" s="1834"/>
      <c r="CI3141" s="1834"/>
      <c r="CJ3141" s="1834"/>
      <c r="CK3141" s="1834"/>
    </row>
    <row r="3142" spans="1:89" s="1167" customFormat="1" ht="18" x14ac:dyDescent="0.25">
      <c r="A3142" s="1730">
        <v>56</v>
      </c>
      <c r="B3142" s="1187" t="s">
        <v>2232</v>
      </c>
      <c r="C3142" s="1136">
        <v>1</v>
      </c>
      <c r="D3142" s="1129" t="s">
        <v>2223</v>
      </c>
      <c r="E3142" s="1162">
        <v>750000</v>
      </c>
      <c r="F3142" s="1131">
        <v>0</v>
      </c>
      <c r="G3142" s="1131">
        <v>0</v>
      </c>
      <c r="H3142" s="1155">
        <f>G3142+F3142</f>
        <v>0</v>
      </c>
      <c r="I3142" s="1131">
        <v>0</v>
      </c>
      <c r="J3142" s="1131">
        <v>0</v>
      </c>
      <c r="K3142" s="1155">
        <v>0</v>
      </c>
      <c r="L3142" s="1131">
        <f>E3142*C3142</f>
        <v>750000</v>
      </c>
      <c r="M3142" s="1131">
        <v>0</v>
      </c>
      <c r="N3142" s="1131">
        <f>M3142+L3142</f>
        <v>750000</v>
      </c>
      <c r="O3142" s="1727">
        <f>N3142+K3142+H3142</f>
        <v>750000</v>
      </c>
      <c r="P3142" s="1816"/>
      <c r="Q3142" s="1834"/>
      <c r="R3142" s="1834"/>
      <c r="S3142" s="1834"/>
      <c r="T3142" s="1834"/>
      <c r="U3142" s="1834"/>
      <c r="V3142" s="1834"/>
      <c r="W3142" s="1834"/>
      <c r="X3142" s="1834"/>
      <c r="Y3142" s="1834"/>
      <c r="Z3142" s="1834"/>
      <c r="AA3142" s="1834"/>
      <c r="AB3142" s="1834"/>
      <c r="AC3142" s="1834"/>
      <c r="AD3142" s="1834"/>
      <c r="AE3142" s="1834"/>
      <c r="AF3142" s="1834"/>
      <c r="AG3142" s="1834"/>
      <c r="AH3142" s="1834"/>
      <c r="AI3142" s="1834"/>
      <c r="AJ3142" s="1834"/>
      <c r="AK3142" s="1834"/>
      <c r="AL3142" s="1834"/>
      <c r="AM3142" s="1834"/>
      <c r="AN3142" s="1834"/>
      <c r="AO3142" s="1834"/>
      <c r="AP3142" s="1834"/>
      <c r="AQ3142" s="1834"/>
      <c r="AR3142" s="1834"/>
      <c r="AS3142" s="1834"/>
      <c r="AT3142" s="1834"/>
      <c r="AU3142" s="1834"/>
      <c r="AV3142" s="1834"/>
      <c r="AW3142" s="1834"/>
      <c r="AX3142" s="1834"/>
      <c r="AY3142" s="1834"/>
      <c r="AZ3142" s="1834"/>
      <c r="BA3142" s="1834"/>
      <c r="BB3142" s="1834"/>
      <c r="BC3142" s="1834"/>
      <c r="BD3142" s="1834"/>
      <c r="BE3142" s="1834"/>
      <c r="BF3142" s="1834"/>
      <c r="BG3142" s="1834"/>
      <c r="BH3142" s="1834"/>
      <c r="BI3142" s="1834"/>
      <c r="BJ3142" s="1834"/>
      <c r="BK3142" s="1834"/>
      <c r="BL3142" s="1834"/>
      <c r="BM3142" s="1834"/>
      <c r="BN3142" s="1834"/>
      <c r="BO3142" s="1834"/>
      <c r="BP3142" s="1834"/>
      <c r="BQ3142" s="1834"/>
      <c r="BR3142" s="1834"/>
      <c r="BS3142" s="1834"/>
      <c r="BT3142" s="1834"/>
      <c r="BU3142" s="1834"/>
      <c r="BV3142" s="1834"/>
      <c r="BW3142" s="1834"/>
      <c r="BX3142" s="1834"/>
      <c r="BY3142" s="1834"/>
      <c r="BZ3142" s="1834"/>
      <c r="CA3142" s="1834"/>
      <c r="CB3142" s="1834"/>
      <c r="CC3142" s="1834"/>
      <c r="CD3142" s="1834"/>
      <c r="CE3142" s="1834"/>
      <c r="CF3142" s="1834"/>
      <c r="CG3142" s="1834"/>
      <c r="CH3142" s="1834"/>
      <c r="CI3142" s="1834"/>
      <c r="CJ3142" s="1834"/>
      <c r="CK3142" s="1834"/>
    </row>
    <row r="3143" spans="1:89" s="1167" customFormat="1" ht="30" customHeight="1" x14ac:dyDescent="0.25">
      <c r="A3143" s="1730">
        <f>A3142+1</f>
        <v>57</v>
      </c>
      <c r="B3143" s="1183" t="s">
        <v>1820</v>
      </c>
      <c r="C3143" s="1141">
        <v>1</v>
      </c>
      <c r="D3143" s="1129" t="s">
        <v>2223</v>
      </c>
      <c r="E3143" s="1162">
        <v>750000</v>
      </c>
      <c r="F3143" s="1131">
        <v>0</v>
      </c>
      <c r="G3143" s="1131">
        <v>0</v>
      </c>
      <c r="H3143" s="1155">
        <f>G3143+F3143</f>
        <v>0</v>
      </c>
      <c r="I3143" s="1131">
        <v>0</v>
      </c>
      <c r="J3143" s="1131">
        <v>0</v>
      </c>
      <c r="K3143" s="1155">
        <v>0</v>
      </c>
      <c r="L3143" s="1131">
        <f>E3143*C3143</f>
        <v>750000</v>
      </c>
      <c r="M3143" s="1131">
        <v>0</v>
      </c>
      <c r="N3143" s="1131">
        <f>M3143+L3143</f>
        <v>750000</v>
      </c>
      <c r="O3143" s="1727">
        <f>N3143+K3143+H3143</f>
        <v>750000</v>
      </c>
      <c r="P3143" s="1816"/>
      <c r="Q3143" s="1834"/>
      <c r="R3143" s="1834"/>
      <c r="S3143" s="1834"/>
      <c r="T3143" s="1834"/>
      <c r="U3143" s="1834"/>
      <c r="V3143" s="1834"/>
      <c r="W3143" s="1834"/>
      <c r="X3143" s="1834"/>
      <c r="Y3143" s="1834"/>
      <c r="Z3143" s="1834"/>
      <c r="AA3143" s="1834"/>
      <c r="AB3143" s="1834"/>
      <c r="AC3143" s="1834"/>
      <c r="AD3143" s="1834"/>
      <c r="AE3143" s="1834"/>
      <c r="AF3143" s="1834"/>
      <c r="AG3143" s="1834"/>
      <c r="AH3143" s="1834"/>
      <c r="AI3143" s="1834"/>
      <c r="AJ3143" s="1834"/>
      <c r="AK3143" s="1834"/>
      <c r="AL3143" s="1834"/>
      <c r="AM3143" s="1834"/>
      <c r="AN3143" s="1834"/>
      <c r="AO3143" s="1834"/>
      <c r="AP3143" s="1834"/>
      <c r="AQ3143" s="1834"/>
      <c r="AR3143" s="1834"/>
      <c r="AS3143" s="1834"/>
      <c r="AT3143" s="1834"/>
      <c r="AU3143" s="1834"/>
      <c r="AV3143" s="1834"/>
      <c r="AW3143" s="1834"/>
      <c r="AX3143" s="1834"/>
      <c r="AY3143" s="1834"/>
      <c r="AZ3143" s="1834"/>
      <c r="BA3143" s="1834"/>
      <c r="BB3143" s="1834"/>
      <c r="BC3143" s="1834"/>
      <c r="BD3143" s="1834"/>
      <c r="BE3143" s="1834"/>
      <c r="BF3143" s="1834"/>
      <c r="BG3143" s="1834"/>
      <c r="BH3143" s="1834"/>
      <c r="BI3143" s="1834"/>
      <c r="BJ3143" s="1834"/>
      <c r="BK3143" s="1834"/>
      <c r="BL3143" s="1834"/>
      <c r="BM3143" s="1834"/>
      <c r="BN3143" s="1834"/>
      <c r="BO3143" s="1834"/>
      <c r="BP3143" s="1834"/>
      <c r="BQ3143" s="1834"/>
      <c r="BR3143" s="1834"/>
      <c r="BS3143" s="1834"/>
      <c r="BT3143" s="1834"/>
      <c r="BU3143" s="1834"/>
      <c r="BV3143" s="1834"/>
      <c r="BW3143" s="1834"/>
      <c r="BX3143" s="1834"/>
      <c r="BY3143" s="1834"/>
      <c r="BZ3143" s="1834"/>
      <c r="CA3143" s="1834"/>
      <c r="CB3143" s="1834"/>
      <c r="CC3143" s="1834"/>
      <c r="CD3143" s="1834"/>
      <c r="CE3143" s="1834"/>
      <c r="CF3143" s="1834"/>
      <c r="CG3143" s="1834"/>
      <c r="CH3143" s="1834"/>
      <c r="CI3143" s="1834"/>
      <c r="CJ3143" s="1834"/>
      <c r="CK3143" s="1834"/>
    </row>
    <row r="3144" spans="1:89" s="1134" customFormat="1" ht="30" customHeight="1" x14ac:dyDescent="0.25">
      <c r="A3144" s="1730">
        <f>A3143+1</f>
        <v>58</v>
      </c>
      <c r="B3144" s="1181" t="s">
        <v>2233</v>
      </c>
      <c r="C3144" s="1136">
        <v>1</v>
      </c>
      <c r="D3144" s="1129" t="s">
        <v>2223</v>
      </c>
      <c r="E3144" s="1169">
        <v>1000000</v>
      </c>
      <c r="F3144" s="1131">
        <v>0</v>
      </c>
      <c r="G3144" s="1131">
        <v>0</v>
      </c>
      <c r="H3144" s="1155">
        <v>0</v>
      </c>
      <c r="I3144" s="1131">
        <v>0</v>
      </c>
      <c r="J3144" s="1131">
        <v>0</v>
      </c>
      <c r="K3144" s="1155">
        <v>0</v>
      </c>
      <c r="L3144" s="1131">
        <f>E3144*C3144</f>
        <v>1000000</v>
      </c>
      <c r="M3144" s="1131">
        <v>0</v>
      </c>
      <c r="N3144" s="1131">
        <f>M3144+L3144</f>
        <v>1000000</v>
      </c>
      <c r="O3144" s="1727">
        <f>N3144+K3144+H3144</f>
        <v>1000000</v>
      </c>
      <c r="P3144" s="1816"/>
      <c r="Q3144" s="1833"/>
      <c r="R3144" s="1833"/>
      <c r="S3144" s="1833"/>
      <c r="T3144" s="1833"/>
      <c r="U3144" s="1833"/>
      <c r="V3144" s="1833"/>
      <c r="W3144" s="1833"/>
      <c r="X3144" s="1833"/>
      <c r="Y3144" s="1833"/>
      <c r="Z3144" s="1833"/>
      <c r="AA3144" s="1833"/>
      <c r="AB3144" s="1833"/>
      <c r="AC3144" s="1833"/>
      <c r="AD3144" s="1833"/>
      <c r="AE3144" s="1833"/>
      <c r="AF3144" s="1833"/>
      <c r="AG3144" s="1833"/>
      <c r="AH3144" s="1833"/>
      <c r="AI3144" s="1833"/>
      <c r="AJ3144" s="1833"/>
      <c r="AK3144" s="1833"/>
      <c r="AL3144" s="1833"/>
      <c r="AM3144" s="1833"/>
      <c r="AN3144" s="1833"/>
      <c r="AO3144" s="1833"/>
      <c r="AP3144" s="1833"/>
      <c r="AQ3144" s="1833"/>
      <c r="AR3144" s="1833"/>
      <c r="AS3144" s="1833"/>
      <c r="AT3144" s="1833"/>
      <c r="AU3144" s="1833"/>
      <c r="AV3144" s="1833"/>
      <c r="AW3144" s="1833"/>
      <c r="AX3144" s="1833"/>
      <c r="AY3144" s="1833"/>
      <c r="AZ3144" s="1833"/>
      <c r="BA3144" s="1833"/>
      <c r="BB3144" s="1833"/>
      <c r="BC3144" s="1833"/>
      <c r="BD3144" s="1833"/>
      <c r="BE3144" s="1833"/>
      <c r="BF3144" s="1833"/>
      <c r="BG3144" s="1833"/>
      <c r="BH3144" s="1833"/>
      <c r="BI3144" s="1833"/>
      <c r="BJ3144" s="1833"/>
      <c r="BK3144" s="1833"/>
      <c r="BL3144" s="1833"/>
      <c r="BM3144" s="1833"/>
      <c r="BN3144" s="1833"/>
      <c r="BO3144" s="1833"/>
      <c r="BP3144" s="1833"/>
      <c r="BQ3144" s="1833"/>
      <c r="BR3144" s="1833"/>
      <c r="BS3144" s="1833"/>
      <c r="BT3144" s="1833"/>
      <c r="BU3144" s="1833"/>
      <c r="BV3144" s="1833"/>
      <c r="BW3144" s="1833"/>
      <c r="BX3144" s="1833"/>
      <c r="BY3144" s="1833"/>
      <c r="BZ3144" s="1833"/>
      <c r="CA3144" s="1833"/>
      <c r="CB3144" s="1833"/>
      <c r="CC3144" s="1833"/>
      <c r="CD3144" s="1833"/>
      <c r="CE3144" s="1833"/>
      <c r="CF3144" s="1833"/>
      <c r="CG3144" s="1833"/>
      <c r="CH3144" s="1833"/>
      <c r="CI3144" s="1833"/>
      <c r="CJ3144" s="1833"/>
      <c r="CK3144" s="1833"/>
    </row>
    <row r="3145" spans="1:89" s="1134" customFormat="1" ht="24.75" customHeight="1" x14ac:dyDescent="0.25">
      <c r="A3145" s="1730"/>
      <c r="B3145" s="1182"/>
      <c r="C3145" s="1136"/>
      <c r="D3145" s="1129"/>
      <c r="E3145" s="1169"/>
      <c r="F3145" s="1131"/>
      <c r="G3145" s="1131"/>
      <c r="H3145" s="1155"/>
      <c r="I3145" s="1131"/>
      <c r="J3145" s="1131"/>
      <c r="K3145" s="1155"/>
      <c r="L3145" s="1131"/>
      <c r="M3145" s="1131"/>
      <c r="N3145" s="1131"/>
      <c r="O3145" s="1727"/>
      <c r="P3145" s="1816"/>
      <c r="Q3145" s="1833"/>
      <c r="R3145" s="1833"/>
      <c r="S3145" s="1833"/>
      <c r="T3145" s="1833"/>
      <c r="U3145" s="1833"/>
      <c r="V3145" s="1833"/>
      <c r="W3145" s="1833"/>
      <c r="X3145" s="1833"/>
      <c r="Y3145" s="1833"/>
      <c r="Z3145" s="1833"/>
      <c r="AA3145" s="1833"/>
      <c r="AB3145" s="1833"/>
      <c r="AC3145" s="1833"/>
      <c r="AD3145" s="1833"/>
      <c r="AE3145" s="1833"/>
      <c r="AF3145" s="1833"/>
      <c r="AG3145" s="1833"/>
      <c r="AH3145" s="1833"/>
      <c r="AI3145" s="1833"/>
      <c r="AJ3145" s="1833"/>
      <c r="AK3145" s="1833"/>
      <c r="AL3145" s="1833"/>
      <c r="AM3145" s="1833"/>
      <c r="AN3145" s="1833"/>
      <c r="AO3145" s="1833"/>
      <c r="AP3145" s="1833"/>
      <c r="AQ3145" s="1833"/>
      <c r="AR3145" s="1833"/>
      <c r="AS3145" s="1833"/>
      <c r="AT3145" s="1833"/>
      <c r="AU3145" s="1833"/>
      <c r="AV3145" s="1833"/>
      <c r="AW3145" s="1833"/>
      <c r="AX3145" s="1833"/>
      <c r="AY3145" s="1833"/>
      <c r="AZ3145" s="1833"/>
      <c r="BA3145" s="1833"/>
      <c r="BB3145" s="1833"/>
      <c r="BC3145" s="1833"/>
      <c r="BD3145" s="1833"/>
      <c r="BE3145" s="1833"/>
      <c r="BF3145" s="1833"/>
      <c r="BG3145" s="1833"/>
      <c r="BH3145" s="1833"/>
      <c r="BI3145" s="1833"/>
      <c r="BJ3145" s="1833"/>
      <c r="BK3145" s="1833"/>
      <c r="BL3145" s="1833"/>
      <c r="BM3145" s="1833"/>
      <c r="BN3145" s="1833"/>
      <c r="BO3145" s="1833"/>
      <c r="BP3145" s="1833"/>
      <c r="BQ3145" s="1833"/>
      <c r="BR3145" s="1833"/>
      <c r="BS3145" s="1833"/>
      <c r="BT3145" s="1833"/>
      <c r="BU3145" s="1833"/>
      <c r="BV3145" s="1833"/>
      <c r="BW3145" s="1833"/>
      <c r="BX3145" s="1833"/>
      <c r="BY3145" s="1833"/>
      <c r="BZ3145" s="1833"/>
      <c r="CA3145" s="1833"/>
      <c r="CB3145" s="1833"/>
      <c r="CC3145" s="1833"/>
      <c r="CD3145" s="1833"/>
      <c r="CE3145" s="1833"/>
      <c r="CF3145" s="1833"/>
      <c r="CG3145" s="1833"/>
      <c r="CH3145" s="1833"/>
      <c r="CI3145" s="1833"/>
      <c r="CJ3145" s="1833"/>
      <c r="CK3145" s="1833"/>
    </row>
    <row r="3146" spans="1:89" s="1134" customFormat="1" ht="18" x14ac:dyDescent="0.25">
      <c r="A3146" s="1730">
        <f>A3144+1</f>
        <v>59</v>
      </c>
      <c r="B3146" s="1181" t="s">
        <v>1382</v>
      </c>
      <c r="C3146" s="1136">
        <v>1</v>
      </c>
      <c r="D3146" s="1129" t="s">
        <v>2223</v>
      </c>
      <c r="E3146" s="1169">
        <v>750000</v>
      </c>
      <c r="F3146" s="1131">
        <v>0</v>
      </c>
      <c r="G3146" s="1131">
        <v>0</v>
      </c>
      <c r="H3146" s="1155">
        <v>0</v>
      </c>
      <c r="I3146" s="1131">
        <v>0</v>
      </c>
      <c r="J3146" s="1131">
        <v>0</v>
      </c>
      <c r="K3146" s="1155">
        <v>0</v>
      </c>
      <c r="L3146" s="1131">
        <f>E3146*C3146</f>
        <v>750000</v>
      </c>
      <c r="M3146" s="1131"/>
      <c r="N3146" s="1131">
        <f>M3146+L3146</f>
        <v>750000</v>
      </c>
      <c r="O3146" s="1727">
        <f>N3146+K3146+H3146</f>
        <v>750000</v>
      </c>
      <c r="P3146" s="1816"/>
      <c r="Q3146" s="1833"/>
      <c r="R3146" s="1833"/>
      <c r="S3146" s="1833"/>
      <c r="T3146" s="1833"/>
      <c r="U3146" s="1833"/>
      <c r="V3146" s="1833"/>
      <c r="W3146" s="1833"/>
      <c r="X3146" s="1833"/>
      <c r="Y3146" s="1833"/>
      <c r="Z3146" s="1833"/>
      <c r="AA3146" s="1833"/>
      <c r="AB3146" s="1833"/>
      <c r="AC3146" s="1833"/>
      <c r="AD3146" s="1833"/>
      <c r="AE3146" s="1833"/>
      <c r="AF3146" s="1833"/>
      <c r="AG3146" s="1833"/>
      <c r="AH3146" s="1833"/>
      <c r="AI3146" s="1833"/>
      <c r="AJ3146" s="1833"/>
      <c r="AK3146" s="1833"/>
      <c r="AL3146" s="1833"/>
      <c r="AM3146" s="1833"/>
      <c r="AN3146" s="1833"/>
      <c r="AO3146" s="1833"/>
      <c r="AP3146" s="1833"/>
      <c r="AQ3146" s="1833"/>
      <c r="AR3146" s="1833"/>
      <c r="AS3146" s="1833"/>
      <c r="AT3146" s="1833"/>
      <c r="AU3146" s="1833"/>
      <c r="AV3146" s="1833"/>
      <c r="AW3146" s="1833"/>
      <c r="AX3146" s="1833"/>
      <c r="AY3146" s="1833"/>
      <c r="AZ3146" s="1833"/>
      <c r="BA3146" s="1833"/>
      <c r="BB3146" s="1833"/>
      <c r="BC3146" s="1833"/>
      <c r="BD3146" s="1833"/>
      <c r="BE3146" s="1833"/>
      <c r="BF3146" s="1833"/>
      <c r="BG3146" s="1833"/>
      <c r="BH3146" s="1833"/>
      <c r="BI3146" s="1833"/>
      <c r="BJ3146" s="1833"/>
      <c r="BK3146" s="1833"/>
      <c r="BL3146" s="1833"/>
      <c r="BM3146" s="1833"/>
      <c r="BN3146" s="1833"/>
      <c r="BO3146" s="1833"/>
      <c r="BP3146" s="1833"/>
      <c r="BQ3146" s="1833"/>
      <c r="BR3146" s="1833"/>
      <c r="BS3146" s="1833"/>
      <c r="BT3146" s="1833"/>
      <c r="BU3146" s="1833"/>
      <c r="BV3146" s="1833"/>
      <c r="BW3146" s="1833"/>
      <c r="BX3146" s="1833"/>
      <c r="BY3146" s="1833"/>
      <c r="BZ3146" s="1833"/>
      <c r="CA3146" s="1833"/>
      <c r="CB3146" s="1833"/>
      <c r="CC3146" s="1833"/>
      <c r="CD3146" s="1833"/>
      <c r="CE3146" s="1833"/>
      <c r="CF3146" s="1833"/>
      <c r="CG3146" s="1833"/>
      <c r="CH3146" s="1833"/>
      <c r="CI3146" s="1833"/>
      <c r="CJ3146" s="1833"/>
      <c r="CK3146" s="1833"/>
    </row>
    <row r="3147" spans="1:89" s="1167" customFormat="1" ht="36" x14ac:dyDescent="0.25">
      <c r="A3147" s="1730">
        <f>A3146+1</f>
        <v>60</v>
      </c>
      <c r="B3147" s="1183" t="s">
        <v>2234</v>
      </c>
      <c r="C3147" s="1141">
        <v>1</v>
      </c>
      <c r="D3147" s="1129" t="s">
        <v>2223</v>
      </c>
      <c r="E3147" s="1162">
        <v>2000000</v>
      </c>
      <c r="F3147" s="1131">
        <v>0</v>
      </c>
      <c r="G3147" s="1131">
        <v>0</v>
      </c>
      <c r="H3147" s="1155">
        <f>G3147+F3147</f>
        <v>0</v>
      </c>
      <c r="I3147" s="1131">
        <v>0</v>
      </c>
      <c r="J3147" s="1131">
        <v>0</v>
      </c>
      <c r="K3147" s="1155">
        <v>0</v>
      </c>
      <c r="L3147" s="1131">
        <f>E3147*C3147</f>
        <v>2000000</v>
      </c>
      <c r="M3147" s="1131">
        <v>0</v>
      </c>
      <c r="N3147" s="1131">
        <f>M3147+L3147</f>
        <v>2000000</v>
      </c>
      <c r="O3147" s="1727">
        <f>N3147+K3147+H3147</f>
        <v>2000000</v>
      </c>
      <c r="P3147" s="1816"/>
      <c r="Q3147" s="1834"/>
      <c r="R3147" s="1834"/>
      <c r="S3147" s="1834"/>
      <c r="T3147" s="1834"/>
      <c r="U3147" s="1834"/>
      <c r="V3147" s="1834"/>
      <c r="W3147" s="1834"/>
      <c r="X3147" s="1834"/>
      <c r="Y3147" s="1834"/>
      <c r="Z3147" s="1834"/>
      <c r="AA3147" s="1834"/>
      <c r="AB3147" s="1834"/>
      <c r="AC3147" s="1834"/>
      <c r="AD3147" s="1834"/>
      <c r="AE3147" s="1834"/>
      <c r="AF3147" s="1834"/>
      <c r="AG3147" s="1834"/>
      <c r="AH3147" s="1834"/>
      <c r="AI3147" s="1834"/>
      <c r="AJ3147" s="1834"/>
      <c r="AK3147" s="1834"/>
      <c r="AL3147" s="1834"/>
      <c r="AM3147" s="1834"/>
      <c r="AN3147" s="1834"/>
      <c r="AO3147" s="1834"/>
      <c r="AP3147" s="1834"/>
      <c r="AQ3147" s="1834"/>
      <c r="AR3147" s="1834"/>
      <c r="AS3147" s="1834"/>
      <c r="AT3147" s="1834"/>
      <c r="AU3147" s="1834"/>
      <c r="AV3147" s="1834"/>
      <c r="AW3147" s="1834"/>
      <c r="AX3147" s="1834"/>
      <c r="AY3147" s="1834"/>
      <c r="AZ3147" s="1834"/>
      <c r="BA3147" s="1834"/>
      <c r="BB3147" s="1834"/>
      <c r="BC3147" s="1834"/>
      <c r="BD3147" s="1834"/>
      <c r="BE3147" s="1834"/>
      <c r="BF3147" s="1834"/>
      <c r="BG3147" s="1834"/>
      <c r="BH3147" s="1834"/>
      <c r="BI3147" s="1834"/>
      <c r="BJ3147" s="1834"/>
      <c r="BK3147" s="1834"/>
      <c r="BL3147" s="1834"/>
      <c r="BM3147" s="1834"/>
      <c r="BN3147" s="1834"/>
      <c r="BO3147" s="1834"/>
      <c r="BP3147" s="1834"/>
      <c r="BQ3147" s="1834"/>
      <c r="BR3147" s="1834"/>
      <c r="BS3147" s="1834"/>
      <c r="BT3147" s="1834"/>
      <c r="BU3147" s="1834"/>
      <c r="BV3147" s="1834"/>
      <c r="BW3147" s="1834"/>
      <c r="BX3147" s="1834"/>
      <c r="BY3147" s="1834"/>
      <c r="BZ3147" s="1834"/>
      <c r="CA3147" s="1834"/>
      <c r="CB3147" s="1834"/>
      <c r="CC3147" s="1834"/>
      <c r="CD3147" s="1834"/>
      <c r="CE3147" s="1834"/>
      <c r="CF3147" s="1834"/>
      <c r="CG3147" s="1834"/>
      <c r="CH3147" s="1834"/>
      <c r="CI3147" s="1834"/>
      <c r="CJ3147" s="1834"/>
      <c r="CK3147" s="1834"/>
    </row>
    <row r="3148" spans="1:89" s="1167" customFormat="1" ht="36" x14ac:dyDescent="0.25">
      <c r="A3148" s="1730">
        <f>A3147+1</f>
        <v>61</v>
      </c>
      <c r="B3148" s="1183" t="s">
        <v>2235</v>
      </c>
      <c r="C3148" s="1141">
        <v>1</v>
      </c>
      <c r="D3148" s="1129" t="s">
        <v>2223</v>
      </c>
      <c r="E3148" s="1162">
        <v>1000000</v>
      </c>
      <c r="F3148" s="1131">
        <v>0</v>
      </c>
      <c r="G3148" s="1131">
        <v>0</v>
      </c>
      <c r="H3148" s="1155">
        <f>G3148+F3148</f>
        <v>0</v>
      </c>
      <c r="I3148" s="1131">
        <v>0</v>
      </c>
      <c r="J3148" s="1131">
        <v>0</v>
      </c>
      <c r="K3148" s="1155">
        <v>0</v>
      </c>
      <c r="L3148" s="1131">
        <f>E3148*C3148</f>
        <v>1000000</v>
      </c>
      <c r="M3148" s="1131">
        <v>0</v>
      </c>
      <c r="N3148" s="1131">
        <f>M3148+L3148</f>
        <v>1000000</v>
      </c>
      <c r="O3148" s="1727">
        <f>N3148+K3148+H3148</f>
        <v>1000000</v>
      </c>
      <c r="P3148" s="1816"/>
      <c r="Q3148" s="1834"/>
      <c r="R3148" s="1834"/>
      <c r="S3148" s="1834"/>
      <c r="T3148" s="1834"/>
      <c r="U3148" s="1834"/>
      <c r="V3148" s="1834"/>
      <c r="W3148" s="1834"/>
      <c r="X3148" s="1834"/>
      <c r="Y3148" s="1834"/>
      <c r="Z3148" s="1834"/>
      <c r="AA3148" s="1834"/>
      <c r="AB3148" s="1834"/>
      <c r="AC3148" s="1834"/>
      <c r="AD3148" s="1834"/>
      <c r="AE3148" s="1834"/>
      <c r="AF3148" s="1834"/>
      <c r="AG3148" s="1834"/>
      <c r="AH3148" s="1834"/>
      <c r="AI3148" s="1834"/>
      <c r="AJ3148" s="1834"/>
      <c r="AK3148" s="1834"/>
      <c r="AL3148" s="1834"/>
      <c r="AM3148" s="1834"/>
      <c r="AN3148" s="1834"/>
      <c r="AO3148" s="1834"/>
      <c r="AP3148" s="1834"/>
      <c r="AQ3148" s="1834"/>
      <c r="AR3148" s="1834"/>
      <c r="AS3148" s="1834"/>
      <c r="AT3148" s="1834"/>
      <c r="AU3148" s="1834"/>
      <c r="AV3148" s="1834"/>
      <c r="AW3148" s="1834"/>
      <c r="AX3148" s="1834"/>
      <c r="AY3148" s="1834"/>
      <c r="AZ3148" s="1834"/>
      <c r="BA3148" s="1834"/>
      <c r="BB3148" s="1834"/>
      <c r="BC3148" s="1834"/>
      <c r="BD3148" s="1834"/>
      <c r="BE3148" s="1834"/>
      <c r="BF3148" s="1834"/>
      <c r="BG3148" s="1834"/>
      <c r="BH3148" s="1834"/>
      <c r="BI3148" s="1834"/>
      <c r="BJ3148" s="1834"/>
      <c r="BK3148" s="1834"/>
      <c r="BL3148" s="1834"/>
      <c r="BM3148" s="1834"/>
      <c r="BN3148" s="1834"/>
      <c r="BO3148" s="1834"/>
      <c r="BP3148" s="1834"/>
      <c r="BQ3148" s="1834"/>
      <c r="BR3148" s="1834"/>
      <c r="BS3148" s="1834"/>
      <c r="BT3148" s="1834"/>
      <c r="BU3148" s="1834"/>
      <c r="BV3148" s="1834"/>
      <c r="BW3148" s="1834"/>
      <c r="BX3148" s="1834"/>
      <c r="BY3148" s="1834"/>
      <c r="BZ3148" s="1834"/>
      <c r="CA3148" s="1834"/>
      <c r="CB3148" s="1834"/>
      <c r="CC3148" s="1834"/>
      <c r="CD3148" s="1834"/>
      <c r="CE3148" s="1834"/>
      <c r="CF3148" s="1834"/>
      <c r="CG3148" s="1834"/>
      <c r="CH3148" s="1834"/>
      <c r="CI3148" s="1834"/>
      <c r="CJ3148" s="1834"/>
      <c r="CK3148" s="1834"/>
    </row>
    <row r="3149" spans="1:89" s="1167" customFormat="1" ht="36" x14ac:dyDescent="0.25">
      <c r="A3149" s="1730">
        <f>A3148+1</f>
        <v>62</v>
      </c>
      <c r="B3149" s="1183" t="s">
        <v>2236</v>
      </c>
      <c r="C3149" s="1141">
        <v>1</v>
      </c>
      <c r="D3149" s="1129" t="s">
        <v>2223</v>
      </c>
      <c r="E3149" s="1162">
        <v>1000000</v>
      </c>
      <c r="F3149" s="1131">
        <v>0</v>
      </c>
      <c r="G3149" s="1131">
        <v>0</v>
      </c>
      <c r="H3149" s="1155">
        <f>G3149+F3149</f>
        <v>0</v>
      </c>
      <c r="I3149" s="1131">
        <v>0</v>
      </c>
      <c r="J3149" s="1131">
        <v>0</v>
      </c>
      <c r="K3149" s="1155">
        <v>0</v>
      </c>
      <c r="L3149" s="1131">
        <f>E3149*C3149</f>
        <v>1000000</v>
      </c>
      <c r="M3149" s="1131">
        <v>0</v>
      </c>
      <c r="N3149" s="1131">
        <f>M3149+L3149</f>
        <v>1000000</v>
      </c>
      <c r="O3149" s="1727">
        <f>N3149+K3149+H3149</f>
        <v>1000000</v>
      </c>
      <c r="P3149" s="1816"/>
      <c r="Q3149" s="1834"/>
      <c r="R3149" s="1834"/>
      <c r="S3149" s="1834"/>
      <c r="T3149" s="1834"/>
      <c r="U3149" s="1834"/>
      <c r="V3149" s="1834"/>
      <c r="W3149" s="1834"/>
      <c r="X3149" s="1834"/>
      <c r="Y3149" s="1834"/>
      <c r="Z3149" s="1834"/>
      <c r="AA3149" s="1834"/>
      <c r="AB3149" s="1834"/>
      <c r="AC3149" s="1834"/>
      <c r="AD3149" s="1834"/>
      <c r="AE3149" s="1834"/>
      <c r="AF3149" s="1834"/>
      <c r="AG3149" s="1834"/>
      <c r="AH3149" s="1834"/>
      <c r="AI3149" s="1834"/>
      <c r="AJ3149" s="1834"/>
      <c r="AK3149" s="1834"/>
      <c r="AL3149" s="1834"/>
      <c r="AM3149" s="1834"/>
      <c r="AN3149" s="1834"/>
      <c r="AO3149" s="1834"/>
      <c r="AP3149" s="1834"/>
      <c r="AQ3149" s="1834"/>
      <c r="AR3149" s="1834"/>
      <c r="AS3149" s="1834"/>
      <c r="AT3149" s="1834"/>
      <c r="AU3149" s="1834"/>
      <c r="AV3149" s="1834"/>
      <c r="AW3149" s="1834"/>
      <c r="AX3149" s="1834"/>
      <c r="AY3149" s="1834"/>
      <c r="AZ3149" s="1834"/>
      <c r="BA3149" s="1834"/>
      <c r="BB3149" s="1834"/>
      <c r="BC3149" s="1834"/>
      <c r="BD3149" s="1834"/>
      <c r="BE3149" s="1834"/>
      <c r="BF3149" s="1834"/>
      <c r="BG3149" s="1834"/>
      <c r="BH3149" s="1834"/>
      <c r="BI3149" s="1834"/>
      <c r="BJ3149" s="1834"/>
      <c r="BK3149" s="1834"/>
      <c r="BL3149" s="1834"/>
      <c r="BM3149" s="1834"/>
      <c r="BN3149" s="1834"/>
      <c r="BO3149" s="1834"/>
      <c r="BP3149" s="1834"/>
      <c r="BQ3149" s="1834"/>
      <c r="BR3149" s="1834"/>
      <c r="BS3149" s="1834"/>
      <c r="BT3149" s="1834"/>
      <c r="BU3149" s="1834"/>
      <c r="BV3149" s="1834"/>
      <c r="BW3149" s="1834"/>
      <c r="BX3149" s="1834"/>
      <c r="BY3149" s="1834"/>
      <c r="BZ3149" s="1834"/>
      <c r="CA3149" s="1834"/>
      <c r="CB3149" s="1834"/>
      <c r="CC3149" s="1834"/>
      <c r="CD3149" s="1834"/>
      <c r="CE3149" s="1834"/>
      <c r="CF3149" s="1834"/>
      <c r="CG3149" s="1834"/>
      <c r="CH3149" s="1834"/>
      <c r="CI3149" s="1834"/>
      <c r="CJ3149" s="1834"/>
      <c r="CK3149" s="1834"/>
    </row>
    <row r="3150" spans="1:89" s="1167" customFormat="1" ht="27.75" customHeight="1" x14ac:dyDescent="0.25">
      <c r="A3150" s="1730">
        <f>A3149+1</f>
        <v>63</v>
      </c>
      <c r="B3150" s="1183" t="s">
        <v>2237</v>
      </c>
      <c r="C3150" s="1141">
        <v>1</v>
      </c>
      <c r="D3150" s="1129" t="s">
        <v>2223</v>
      </c>
      <c r="E3150" s="1162">
        <v>1000000</v>
      </c>
      <c r="F3150" s="1131">
        <v>0</v>
      </c>
      <c r="G3150" s="1131">
        <v>0</v>
      </c>
      <c r="H3150" s="1155">
        <f>G3150+F3150</f>
        <v>0</v>
      </c>
      <c r="I3150" s="1131">
        <v>0</v>
      </c>
      <c r="J3150" s="1131">
        <v>0</v>
      </c>
      <c r="K3150" s="1155">
        <v>0</v>
      </c>
      <c r="L3150" s="1131">
        <f>E3150*C3150</f>
        <v>1000000</v>
      </c>
      <c r="M3150" s="1131">
        <v>0</v>
      </c>
      <c r="N3150" s="1131">
        <f>M3150+L3150</f>
        <v>1000000</v>
      </c>
      <c r="O3150" s="1727">
        <f>N3150+K3150+H3150</f>
        <v>1000000</v>
      </c>
      <c r="P3150" s="1816"/>
      <c r="Q3150" s="1834"/>
      <c r="R3150" s="1834"/>
      <c r="S3150" s="1834"/>
      <c r="T3150" s="1834"/>
      <c r="U3150" s="1834"/>
      <c r="V3150" s="1834"/>
      <c r="W3150" s="1834"/>
      <c r="X3150" s="1834"/>
      <c r="Y3150" s="1834"/>
      <c r="Z3150" s="1834"/>
      <c r="AA3150" s="1834"/>
      <c r="AB3150" s="1834"/>
      <c r="AC3150" s="1834"/>
      <c r="AD3150" s="1834"/>
      <c r="AE3150" s="1834"/>
      <c r="AF3150" s="1834"/>
      <c r="AG3150" s="1834"/>
      <c r="AH3150" s="1834"/>
      <c r="AI3150" s="1834"/>
      <c r="AJ3150" s="1834"/>
      <c r="AK3150" s="1834"/>
      <c r="AL3150" s="1834"/>
      <c r="AM3150" s="1834"/>
      <c r="AN3150" s="1834"/>
      <c r="AO3150" s="1834"/>
      <c r="AP3150" s="1834"/>
      <c r="AQ3150" s="1834"/>
      <c r="AR3150" s="1834"/>
      <c r="AS3150" s="1834"/>
      <c r="AT3150" s="1834"/>
      <c r="AU3150" s="1834"/>
      <c r="AV3150" s="1834"/>
      <c r="AW3150" s="1834"/>
      <c r="AX3150" s="1834"/>
      <c r="AY3150" s="1834"/>
      <c r="AZ3150" s="1834"/>
      <c r="BA3150" s="1834"/>
      <c r="BB3150" s="1834"/>
      <c r="BC3150" s="1834"/>
      <c r="BD3150" s="1834"/>
      <c r="BE3150" s="1834"/>
      <c r="BF3150" s="1834"/>
      <c r="BG3150" s="1834"/>
      <c r="BH3150" s="1834"/>
      <c r="BI3150" s="1834"/>
      <c r="BJ3150" s="1834"/>
      <c r="BK3150" s="1834"/>
      <c r="BL3150" s="1834"/>
      <c r="BM3150" s="1834"/>
      <c r="BN3150" s="1834"/>
      <c r="BO3150" s="1834"/>
      <c r="BP3150" s="1834"/>
      <c r="BQ3150" s="1834"/>
      <c r="BR3150" s="1834"/>
      <c r="BS3150" s="1834"/>
      <c r="BT3150" s="1834"/>
      <c r="BU3150" s="1834"/>
      <c r="BV3150" s="1834"/>
      <c r="BW3150" s="1834"/>
      <c r="BX3150" s="1834"/>
      <c r="BY3150" s="1834"/>
      <c r="BZ3150" s="1834"/>
      <c r="CA3150" s="1834"/>
      <c r="CB3150" s="1834"/>
      <c r="CC3150" s="1834"/>
      <c r="CD3150" s="1834"/>
      <c r="CE3150" s="1834"/>
      <c r="CF3150" s="1834"/>
      <c r="CG3150" s="1834"/>
      <c r="CH3150" s="1834"/>
      <c r="CI3150" s="1834"/>
      <c r="CJ3150" s="1834"/>
      <c r="CK3150" s="1834"/>
    </row>
    <row r="3151" spans="1:89" s="1167" customFormat="1" ht="27.75" customHeight="1" x14ac:dyDescent="0.25">
      <c r="A3151" s="1730"/>
      <c r="B3151" s="1188"/>
      <c r="C3151" s="1141"/>
      <c r="D3151" s="1129"/>
      <c r="E3151" s="1162"/>
      <c r="F3151" s="1131"/>
      <c r="G3151" s="1131"/>
      <c r="H3151" s="1155"/>
      <c r="I3151" s="1131"/>
      <c r="J3151" s="1131"/>
      <c r="K3151" s="1155"/>
      <c r="L3151" s="1131"/>
      <c r="M3151" s="1131"/>
      <c r="N3151" s="1131"/>
      <c r="O3151" s="1727"/>
      <c r="P3151" s="1816"/>
      <c r="Q3151" s="1834"/>
      <c r="R3151" s="1834"/>
      <c r="S3151" s="1834"/>
      <c r="T3151" s="1834"/>
      <c r="U3151" s="1834"/>
      <c r="V3151" s="1834"/>
      <c r="W3151" s="1834"/>
      <c r="X3151" s="1834"/>
      <c r="Y3151" s="1834"/>
      <c r="Z3151" s="1834"/>
      <c r="AA3151" s="1834"/>
      <c r="AB3151" s="1834"/>
      <c r="AC3151" s="1834"/>
      <c r="AD3151" s="1834"/>
      <c r="AE3151" s="1834"/>
      <c r="AF3151" s="1834"/>
      <c r="AG3151" s="1834"/>
      <c r="AH3151" s="1834"/>
      <c r="AI3151" s="1834"/>
      <c r="AJ3151" s="1834"/>
      <c r="AK3151" s="1834"/>
      <c r="AL3151" s="1834"/>
      <c r="AM3151" s="1834"/>
      <c r="AN3151" s="1834"/>
      <c r="AO3151" s="1834"/>
      <c r="AP3151" s="1834"/>
      <c r="AQ3151" s="1834"/>
      <c r="AR3151" s="1834"/>
      <c r="AS3151" s="1834"/>
      <c r="AT3151" s="1834"/>
      <c r="AU3151" s="1834"/>
      <c r="AV3151" s="1834"/>
      <c r="AW3151" s="1834"/>
      <c r="AX3151" s="1834"/>
      <c r="AY3151" s="1834"/>
      <c r="AZ3151" s="1834"/>
      <c r="BA3151" s="1834"/>
      <c r="BB3151" s="1834"/>
      <c r="BC3151" s="1834"/>
      <c r="BD3151" s="1834"/>
      <c r="BE3151" s="1834"/>
      <c r="BF3151" s="1834"/>
      <c r="BG3151" s="1834"/>
      <c r="BH3151" s="1834"/>
      <c r="BI3151" s="1834"/>
      <c r="BJ3151" s="1834"/>
      <c r="BK3151" s="1834"/>
      <c r="BL3151" s="1834"/>
      <c r="BM3151" s="1834"/>
      <c r="BN3151" s="1834"/>
      <c r="BO3151" s="1834"/>
      <c r="BP3151" s="1834"/>
      <c r="BQ3151" s="1834"/>
      <c r="BR3151" s="1834"/>
      <c r="BS3151" s="1834"/>
      <c r="BT3151" s="1834"/>
      <c r="BU3151" s="1834"/>
      <c r="BV3151" s="1834"/>
      <c r="BW3151" s="1834"/>
      <c r="BX3151" s="1834"/>
      <c r="BY3151" s="1834"/>
      <c r="BZ3151" s="1834"/>
      <c r="CA3151" s="1834"/>
      <c r="CB3151" s="1834"/>
      <c r="CC3151" s="1834"/>
      <c r="CD3151" s="1834"/>
      <c r="CE3151" s="1834"/>
      <c r="CF3151" s="1834"/>
      <c r="CG3151" s="1834"/>
      <c r="CH3151" s="1834"/>
      <c r="CI3151" s="1834"/>
      <c r="CJ3151" s="1834"/>
      <c r="CK3151" s="1834"/>
    </row>
    <row r="3152" spans="1:89" s="1167" customFormat="1" ht="40.5" customHeight="1" x14ac:dyDescent="0.25">
      <c r="A3152" s="1730">
        <v>64</v>
      </c>
      <c r="B3152" s="1189" t="s">
        <v>2238</v>
      </c>
      <c r="C3152" s="1141">
        <v>1</v>
      </c>
      <c r="D3152" s="1129" t="s">
        <v>2223</v>
      </c>
      <c r="E3152" s="1162">
        <v>1500000</v>
      </c>
      <c r="F3152" s="1131">
        <v>0</v>
      </c>
      <c r="G3152" s="1131">
        <v>0</v>
      </c>
      <c r="H3152" s="1155">
        <f>G3152+F3152</f>
        <v>0</v>
      </c>
      <c r="I3152" s="1131">
        <v>0</v>
      </c>
      <c r="J3152" s="1131">
        <v>0</v>
      </c>
      <c r="K3152" s="1155">
        <v>0</v>
      </c>
      <c r="L3152" s="1131">
        <f>E3152*C3152</f>
        <v>1500000</v>
      </c>
      <c r="M3152" s="1131">
        <v>0</v>
      </c>
      <c r="N3152" s="1131">
        <f>M3152+L3152</f>
        <v>1500000</v>
      </c>
      <c r="O3152" s="1727">
        <f>N3152+K3152+H3152</f>
        <v>1500000</v>
      </c>
      <c r="P3152" s="1816"/>
      <c r="Q3152" s="1834"/>
      <c r="R3152" s="1834"/>
      <c r="S3152" s="1834"/>
      <c r="T3152" s="1834"/>
      <c r="U3152" s="1834"/>
      <c r="V3152" s="1834"/>
      <c r="W3152" s="1834"/>
      <c r="X3152" s="1834"/>
      <c r="Y3152" s="1834"/>
      <c r="Z3152" s="1834"/>
      <c r="AA3152" s="1834"/>
      <c r="AB3152" s="1834"/>
      <c r="AC3152" s="1834"/>
      <c r="AD3152" s="1834"/>
      <c r="AE3152" s="1834"/>
      <c r="AF3152" s="1834"/>
      <c r="AG3152" s="1834"/>
      <c r="AH3152" s="1834"/>
      <c r="AI3152" s="1834"/>
      <c r="AJ3152" s="1834"/>
      <c r="AK3152" s="1834"/>
      <c r="AL3152" s="1834"/>
      <c r="AM3152" s="1834"/>
      <c r="AN3152" s="1834"/>
      <c r="AO3152" s="1834"/>
      <c r="AP3152" s="1834"/>
      <c r="AQ3152" s="1834"/>
      <c r="AR3152" s="1834"/>
      <c r="AS3152" s="1834"/>
      <c r="AT3152" s="1834"/>
      <c r="AU3152" s="1834"/>
      <c r="AV3152" s="1834"/>
      <c r="AW3152" s="1834"/>
      <c r="AX3152" s="1834"/>
      <c r="AY3152" s="1834"/>
      <c r="AZ3152" s="1834"/>
      <c r="BA3152" s="1834"/>
      <c r="BB3152" s="1834"/>
      <c r="BC3152" s="1834"/>
      <c r="BD3152" s="1834"/>
      <c r="BE3152" s="1834"/>
      <c r="BF3152" s="1834"/>
      <c r="BG3152" s="1834"/>
      <c r="BH3152" s="1834"/>
      <c r="BI3152" s="1834"/>
      <c r="BJ3152" s="1834"/>
      <c r="BK3152" s="1834"/>
      <c r="BL3152" s="1834"/>
      <c r="BM3152" s="1834"/>
      <c r="BN3152" s="1834"/>
      <c r="BO3152" s="1834"/>
      <c r="BP3152" s="1834"/>
      <c r="BQ3152" s="1834"/>
      <c r="BR3152" s="1834"/>
      <c r="BS3152" s="1834"/>
      <c r="BT3152" s="1834"/>
      <c r="BU3152" s="1834"/>
      <c r="BV3152" s="1834"/>
      <c r="BW3152" s="1834"/>
      <c r="BX3152" s="1834"/>
      <c r="BY3152" s="1834"/>
      <c r="BZ3152" s="1834"/>
      <c r="CA3152" s="1834"/>
      <c r="CB3152" s="1834"/>
      <c r="CC3152" s="1834"/>
      <c r="CD3152" s="1834"/>
      <c r="CE3152" s="1834"/>
      <c r="CF3152" s="1834"/>
      <c r="CG3152" s="1834"/>
      <c r="CH3152" s="1834"/>
      <c r="CI3152" s="1834"/>
      <c r="CJ3152" s="1834"/>
      <c r="CK3152" s="1834"/>
    </row>
    <row r="3153" spans="1:89" s="1191" customFormat="1" ht="37.5" customHeight="1" x14ac:dyDescent="0.25">
      <c r="A3153" s="1730">
        <f>A3152+1</f>
        <v>65</v>
      </c>
      <c r="B3153" s="1190" t="s">
        <v>1383</v>
      </c>
      <c r="C3153" s="1136">
        <v>1</v>
      </c>
      <c r="D3153" s="1129" t="s">
        <v>2223</v>
      </c>
      <c r="E3153" s="1126">
        <v>750000</v>
      </c>
      <c r="F3153" s="1131">
        <v>0</v>
      </c>
      <c r="G3153" s="1131">
        <v>0</v>
      </c>
      <c r="H3153" s="1155">
        <f>G3153+F3153</f>
        <v>0</v>
      </c>
      <c r="I3153" s="1131">
        <v>0</v>
      </c>
      <c r="J3153" s="1131">
        <v>0</v>
      </c>
      <c r="K3153" s="1155">
        <v>0</v>
      </c>
      <c r="L3153" s="1131">
        <f>E3153*C3153</f>
        <v>750000</v>
      </c>
      <c r="M3153" s="1131">
        <v>0</v>
      </c>
      <c r="N3153" s="1131">
        <f>M3153+L3153</f>
        <v>750000</v>
      </c>
      <c r="O3153" s="1727">
        <f>N3153+K3153+H3153</f>
        <v>750000</v>
      </c>
      <c r="P3153" s="1816"/>
      <c r="Q3153" s="1835"/>
      <c r="R3153" s="1835"/>
      <c r="S3153" s="1835"/>
      <c r="T3153" s="1835"/>
      <c r="U3153" s="1835"/>
      <c r="V3153" s="1835"/>
      <c r="W3153" s="1835"/>
      <c r="X3153" s="1835"/>
      <c r="Y3153" s="1835"/>
      <c r="Z3153" s="1835"/>
      <c r="AA3153" s="1835"/>
      <c r="AB3153" s="1835"/>
      <c r="AC3153" s="1835"/>
      <c r="AD3153" s="1835"/>
      <c r="AE3153" s="1835"/>
      <c r="AF3153" s="1835"/>
      <c r="AG3153" s="1835"/>
      <c r="AH3153" s="1835"/>
      <c r="AI3153" s="1835"/>
      <c r="AJ3153" s="1835"/>
      <c r="AK3153" s="1835"/>
      <c r="AL3153" s="1835"/>
      <c r="AM3153" s="1835"/>
      <c r="AN3153" s="1835"/>
      <c r="AO3153" s="1835"/>
      <c r="AP3153" s="1835"/>
      <c r="AQ3153" s="1835"/>
      <c r="AR3153" s="1835"/>
      <c r="AS3153" s="1835"/>
      <c r="AT3153" s="1835"/>
      <c r="AU3153" s="1835"/>
      <c r="AV3153" s="1835"/>
      <c r="AW3153" s="1835"/>
      <c r="AX3153" s="1835"/>
      <c r="AY3153" s="1835"/>
      <c r="AZ3153" s="1835"/>
      <c r="BA3153" s="1835"/>
      <c r="BB3153" s="1835"/>
      <c r="BC3153" s="1835"/>
      <c r="BD3153" s="1835"/>
      <c r="BE3153" s="1835"/>
      <c r="BF3153" s="1835"/>
      <c r="BG3153" s="1835"/>
      <c r="BH3153" s="1835"/>
      <c r="BI3153" s="1835"/>
      <c r="BJ3153" s="1835"/>
      <c r="BK3153" s="1835"/>
      <c r="BL3153" s="1835"/>
      <c r="BM3153" s="1835"/>
      <c r="BN3153" s="1835"/>
      <c r="BO3153" s="1835"/>
      <c r="BP3153" s="1835"/>
      <c r="BQ3153" s="1835"/>
      <c r="BR3153" s="1835"/>
      <c r="BS3153" s="1835"/>
      <c r="BT3153" s="1835"/>
      <c r="BU3153" s="1835"/>
      <c r="BV3153" s="1835"/>
      <c r="BW3153" s="1835"/>
      <c r="BX3153" s="1835"/>
      <c r="BY3153" s="1835"/>
      <c r="BZ3153" s="1835"/>
      <c r="CA3153" s="1835"/>
      <c r="CB3153" s="1835"/>
      <c r="CC3153" s="1835"/>
      <c r="CD3153" s="1835"/>
      <c r="CE3153" s="1835"/>
      <c r="CF3153" s="1835"/>
      <c r="CG3153" s="1835"/>
      <c r="CH3153" s="1835"/>
      <c r="CI3153" s="1835"/>
      <c r="CJ3153" s="1835"/>
      <c r="CK3153" s="1835"/>
    </row>
    <row r="3154" spans="1:89" s="1167" customFormat="1" ht="37.5" customHeight="1" x14ac:dyDescent="0.25">
      <c r="A3154" s="1730">
        <f>A3153+1</f>
        <v>66</v>
      </c>
      <c r="B3154" s="1192" t="s">
        <v>1384</v>
      </c>
      <c r="C3154" s="1136">
        <v>1</v>
      </c>
      <c r="D3154" s="1129" t="s">
        <v>2223</v>
      </c>
      <c r="E3154" s="1193">
        <v>750000</v>
      </c>
      <c r="F3154" s="1131">
        <v>0</v>
      </c>
      <c r="G3154" s="1131">
        <v>0</v>
      </c>
      <c r="H3154" s="1155">
        <f>G3154+F3154</f>
        <v>0</v>
      </c>
      <c r="I3154" s="1131">
        <v>0</v>
      </c>
      <c r="J3154" s="1131">
        <v>0</v>
      </c>
      <c r="K3154" s="1155">
        <v>0</v>
      </c>
      <c r="L3154" s="1131">
        <f>E3154*C3154</f>
        <v>750000</v>
      </c>
      <c r="M3154" s="1131">
        <v>0</v>
      </c>
      <c r="N3154" s="1131">
        <f>M3154+L3154</f>
        <v>750000</v>
      </c>
      <c r="O3154" s="1727">
        <f>N3154+K3154+H3154</f>
        <v>750000</v>
      </c>
      <c r="P3154" s="1816"/>
      <c r="Q3154" s="1834"/>
      <c r="R3154" s="1834"/>
      <c r="S3154" s="1834"/>
      <c r="T3154" s="1834"/>
      <c r="U3154" s="1834"/>
      <c r="V3154" s="1834"/>
      <c r="W3154" s="1834"/>
      <c r="X3154" s="1834"/>
      <c r="Y3154" s="1834"/>
      <c r="Z3154" s="1834"/>
      <c r="AA3154" s="1834"/>
      <c r="AB3154" s="1834"/>
      <c r="AC3154" s="1834"/>
      <c r="AD3154" s="1834"/>
      <c r="AE3154" s="1834"/>
      <c r="AF3154" s="1834"/>
      <c r="AG3154" s="1834"/>
      <c r="AH3154" s="1834"/>
      <c r="AI3154" s="1834"/>
      <c r="AJ3154" s="1834"/>
      <c r="AK3154" s="1834"/>
      <c r="AL3154" s="1834"/>
      <c r="AM3154" s="1834"/>
      <c r="AN3154" s="1834"/>
      <c r="AO3154" s="1834"/>
      <c r="AP3154" s="1834"/>
      <c r="AQ3154" s="1834"/>
      <c r="AR3154" s="1834"/>
      <c r="AS3154" s="1834"/>
      <c r="AT3154" s="1834"/>
      <c r="AU3154" s="1834"/>
      <c r="AV3154" s="1834"/>
      <c r="AW3154" s="1834"/>
      <c r="AX3154" s="1834"/>
      <c r="AY3154" s="1834"/>
      <c r="AZ3154" s="1834"/>
      <c r="BA3154" s="1834"/>
      <c r="BB3154" s="1834"/>
      <c r="BC3154" s="1834"/>
      <c r="BD3154" s="1834"/>
      <c r="BE3154" s="1834"/>
      <c r="BF3154" s="1834"/>
      <c r="BG3154" s="1834"/>
      <c r="BH3154" s="1834"/>
      <c r="BI3154" s="1834"/>
      <c r="BJ3154" s="1834"/>
      <c r="BK3154" s="1834"/>
      <c r="BL3154" s="1834"/>
      <c r="BM3154" s="1834"/>
      <c r="BN3154" s="1834"/>
      <c r="BO3154" s="1834"/>
      <c r="BP3154" s="1834"/>
      <c r="BQ3154" s="1834"/>
      <c r="BR3154" s="1834"/>
      <c r="BS3154" s="1834"/>
      <c r="BT3154" s="1834"/>
      <c r="BU3154" s="1834"/>
      <c r="BV3154" s="1834"/>
      <c r="BW3154" s="1834"/>
      <c r="BX3154" s="1834"/>
      <c r="BY3154" s="1834"/>
      <c r="BZ3154" s="1834"/>
      <c r="CA3154" s="1834"/>
      <c r="CB3154" s="1834"/>
      <c r="CC3154" s="1834"/>
      <c r="CD3154" s="1834"/>
      <c r="CE3154" s="1834"/>
      <c r="CF3154" s="1834"/>
      <c r="CG3154" s="1834"/>
      <c r="CH3154" s="1834"/>
      <c r="CI3154" s="1834"/>
      <c r="CJ3154" s="1834"/>
      <c r="CK3154" s="1834"/>
    </row>
    <row r="3155" spans="1:89" s="1167" customFormat="1" ht="42.75" customHeight="1" x14ac:dyDescent="0.25">
      <c r="A3155" s="1730">
        <f>A3154+1</f>
        <v>67</v>
      </c>
      <c r="B3155" s="1194" t="s">
        <v>2239</v>
      </c>
      <c r="C3155" s="1136">
        <v>1</v>
      </c>
      <c r="D3155" s="1129" t="s">
        <v>2223</v>
      </c>
      <c r="E3155" s="1193">
        <v>750000</v>
      </c>
      <c r="F3155" s="1131">
        <v>0</v>
      </c>
      <c r="G3155" s="1131">
        <v>0</v>
      </c>
      <c r="H3155" s="1155">
        <f>G3155+F3155</f>
        <v>0</v>
      </c>
      <c r="I3155" s="1131">
        <v>0</v>
      </c>
      <c r="J3155" s="1131">
        <v>0</v>
      </c>
      <c r="K3155" s="1155">
        <v>0</v>
      </c>
      <c r="L3155" s="1131">
        <f>E3155*C3155</f>
        <v>750000</v>
      </c>
      <c r="M3155" s="1131">
        <v>0</v>
      </c>
      <c r="N3155" s="1131">
        <f>M3155+L3155</f>
        <v>750000</v>
      </c>
      <c r="O3155" s="1727">
        <f>N3155+K3155+H3155</f>
        <v>750000</v>
      </c>
      <c r="P3155" s="1816"/>
      <c r="Q3155" s="1834"/>
      <c r="R3155" s="1834"/>
      <c r="S3155" s="1834"/>
      <c r="T3155" s="1834"/>
      <c r="U3155" s="1834"/>
      <c r="V3155" s="1834"/>
      <c r="W3155" s="1834"/>
      <c r="X3155" s="1834"/>
      <c r="Y3155" s="1834"/>
      <c r="Z3155" s="1834"/>
      <c r="AA3155" s="1834"/>
      <c r="AB3155" s="1834"/>
      <c r="AC3155" s="1834"/>
      <c r="AD3155" s="1834"/>
      <c r="AE3155" s="1834"/>
      <c r="AF3155" s="1834"/>
      <c r="AG3155" s="1834"/>
      <c r="AH3155" s="1834"/>
      <c r="AI3155" s="1834"/>
      <c r="AJ3155" s="1834"/>
      <c r="AK3155" s="1834"/>
      <c r="AL3155" s="1834"/>
      <c r="AM3155" s="1834"/>
      <c r="AN3155" s="1834"/>
      <c r="AO3155" s="1834"/>
      <c r="AP3155" s="1834"/>
      <c r="AQ3155" s="1834"/>
      <c r="AR3155" s="1834"/>
      <c r="AS3155" s="1834"/>
      <c r="AT3155" s="1834"/>
      <c r="AU3155" s="1834"/>
      <c r="AV3155" s="1834"/>
      <c r="AW3155" s="1834"/>
      <c r="AX3155" s="1834"/>
      <c r="AY3155" s="1834"/>
      <c r="AZ3155" s="1834"/>
      <c r="BA3155" s="1834"/>
      <c r="BB3155" s="1834"/>
      <c r="BC3155" s="1834"/>
      <c r="BD3155" s="1834"/>
      <c r="BE3155" s="1834"/>
      <c r="BF3155" s="1834"/>
      <c r="BG3155" s="1834"/>
      <c r="BH3155" s="1834"/>
      <c r="BI3155" s="1834"/>
      <c r="BJ3155" s="1834"/>
      <c r="BK3155" s="1834"/>
      <c r="BL3155" s="1834"/>
      <c r="BM3155" s="1834"/>
      <c r="BN3155" s="1834"/>
      <c r="BO3155" s="1834"/>
      <c r="BP3155" s="1834"/>
      <c r="BQ3155" s="1834"/>
      <c r="BR3155" s="1834"/>
      <c r="BS3155" s="1834"/>
      <c r="BT3155" s="1834"/>
      <c r="BU3155" s="1834"/>
      <c r="BV3155" s="1834"/>
      <c r="BW3155" s="1834"/>
      <c r="BX3155" s="1834"/>
      <c r="BY3155" s="1834"/>
      <c r="BZ3155" s="1834"/>
      <c r="CA3155" s="1834"/>
      <c r="CB3155" s="1834"/>
      <c r="CC3155" s="1834"/>
      <c r="CD3155" s="1834"/>
      <c r="CE3155" s="1834"/>
      <c r="CF3155" s="1834"/>
      <c r="CG3155" s="1834"/>
      <c r="CH3155" s="1834"/>
      <c r="CI3155" s="1834"/>
      <c r="CJ3155" s="1834"/>
      <c r="CK3155" s="1834"/>
    </row>
    <row r="3156" spans="1:89" s="1134" customFormat="1" ht="33.75" customHeight="1" x14ac:dyDescent="0.25">
      <c r="A3156" s="1730">
        <f>A3155+1</f>
        <v>68</v>
      </c>
      <c r="B3156" s="1195" t="s">
        <v>2240</v>
      </c>
      <c r="C3156" s="1128">
        <v>1</v>
      </c>
      <c r="D3156" s="1129" t="s">
        <v>2223</v>
      </c>
      <c r="E3156" s="1130">
        <v>750000</v>
      </c>
      <c r="F3156" s="1131">
        <v>0</v>
      </c>
      <c r="G3156" s="1131">
        <v>0</v>
      </c>
      <c r="H3156" s="1131">
        <f>G3156+F3156</f>
        <v>0</v>
      </c>
      <c r="I3156" s="1131">
        <v>0</v>
      </c>
      <c r="J3156" s="1131">
        <v>0</v>
      </c>
      <c r="K3156" s="1131">
        <v>0</v>
      </c>
      <c r="L3156" s="1131">
        <f>E3156*C3156</f>
        <v>750000</v>
      </c>
      <c r="M3156" s="1131">
        <v>0</v>
      </c>
      <c r="N3156" s="1131">
        <f>M3156+L3156</f>
        <v>750000</v>
      </c>
      <c r="O3156" s="1727">
        <f>N3156+K3156+H3156</f>
        <v>750000</v>
      </c>
      <c r="P3156" s="1816"/>
      <c r="Q3156" s="1833"/>
      <c r="R3156" s="1833"/>
      <c r="S3156" s="1833"/>
      <c r="T3156" s="1833"/>
      <c r="U3156" s="1833"/>
      <c r="V3156" s="1833"/>
      <c r="W3156" s="1833"/>
      <c r="X3156" s="1833"/>
      <c r="Y3156" s="1833"/>
      <c r="Z3156" s="1833"/>
      <c r="AA3156" s="1833"/>
      <c r="AB3156" s="1833"/>
      <c r="AC3156" s="1833"/>
      <c r="AD3156" s="1833"/>
      <c r="AE3156" s="1833"/>
      <c r="AF3156" s="1833"/>
      <c r="AG3156" s="1833"/>
      <c r="AH3156" s="1833"/>
      <c r="AI3156" s="1833"/>
      <c r="AJ3156" s="1833"/>
      <c r="AK3156" s="1833"/>
      <c r="AL3156" s="1833"/>
      <c r="AM3156" s="1833"/>
      <c r="AN3156" s="1833"/>
      <c r="AO3156" s="1833"/>
      <c r="AP3156" s="1833"/>
      <c r="AQ3156" s="1833"/>
      <c r="AR3156" s="1833"/>
      <c r="AS3156" s="1833"/>
      <c r="AT3156" s="1833"/>
      <c r="AU3156" s="1833"/>
      <c r="AV3156" s="1833"/>
      <c r="AW3156" s="1833"/>
      <c r="AX3156" s="1833"/>
      <c r="AY3156" s="1833"/>
      <c r="AZ3156" s="1833"/>
      <c r="BA3156" s="1833"/>
      <c r="BB3156" s="1833"/>
      <c r="BC3156" s="1833"/>
      <c r="BD3156" s="1833"/>
      <c r="BE3156" s="1833"/>
      <c r="BF3156" s="1833"/>
      <c r="BG3156" s="1833"/>
      <c r="BH3156" s="1833"/>
      <c r="BI3156" s="1833"/>
      <c r="BJ3156" s="1833"/>
      <c r="BK3156" s="1833"/>
      <c r="BL3156" s="1833"/>
      <c r="BM3156" s="1833"/>
      <c r="BN3156" s="1833"/>
      <c r="BO3156" s="1833"/>
      <c r="BP3156" s="1833"/>
      <c r="BQ3156" s="1833"/>
      <c r="BR3156" s="1833"/>
      <c r="BS3156" s="1833"/>
      <c r="BT3156" s="1833"/>
      <c r="BU3156" s="1833"/>
      <c r="BV3156" s="1833"/>
      <c r="BW3156" s="1833"/>
      <c r="BX3156" s="1833"/>
      <c r="BY3156" s="1833"/>
      <c r="BZ3156" s="1833"/>
      <c r="CA3156" s="1833"/>
      <c r="CB3156" s="1833"/>
      <c r="CC3156" s="1833"/>
      <c r="CD3156" s="1833"/>
      <c r="CE3156" s="1833"/>
      <c r="CF3156" s="1833"/>
      <c r="CG3156" s="1833"/>
      <c r="CH3156" s="1833"/>
      <c r="CI3156" s="1833"/>
      <c r="CJ3156" s="1833"/>
      <c r="CK3156" s="1833"/>
    </row>
    <row r="3157" spans="1:89" s="1134" customFormat="1" ht="23.25" customHeight="1" x14ac:dyDescent="0.25">
      <c r="A3157" s="1730"/>
      <c r="B3157" s="1196"/>
      <c r="C3157" s="1128"/>
      <c r="D3157" s="1129"/>
      <c r="E3157" s="1130"/>
      <c r="F3157" s="1131"/>
      <c r="G3157" s="1131"/>
      <c r="H3157" s="1131"/>
      <c r="I3157" s="1131"/>
      <c r="J3157" s="1131"/>
      <c r="K3157" s="1131"/>
      <c r="L3157" s="1131"/>
      <c r="M3157" s="1131"/>
      <c r="N3157" s="1131"/>
      <c r="O3157" s="1727"/>
      <c r="P3157" s="1816"/>
      <c r="Q3157" s="1833"/>
      <c r="R3157" s="1833"/>
      <c r="S3157" s="1833"/>
      <c r="T3157" s="1833"/>
      <c r="U3157" s="1833"/>
      <c r="V3157" s="1833"/>
      <c r="W3157" s="1833"/>
      <c r="X3157" s="1833"/>
      <c r="Y3157" s="1833"/>
      <c r="Z3157" s="1833"/>
      <c r="AA3157" s="1833"/>
      <c r="AB3157" s="1833"/>
      <c r="AC3157" s="1833"/>
      <c r="AD3157" s="1833"/>
      <c r="AE3157" s="1833"/>
      <c r="AF3157" s="1833"/>
      <c r="AG3157" s="1833"/>
      <c r="AH3157" s="1833"/>
      <c r="AI3157" s="1833"/>
      <c r="AJ3157" s="1833"/>
      <c r="AK3157" s="1833"/>
      <c r="AL3157" s="1833"/>
      <c r="AM3157" s="1833"/>
      <c r="AN3157" s="1833"/>
      <c r="AO3157" s="1833"/>
      <c r="AP3157" s="1833"/>
      <c r="AQ3157" s="1833"/>
      <c r="AR3157" s="1833"/>
      <c r="AS3157" s="1833"/>
      <c r="AT3157" s="1833"/>
      <c r="AU3157" s="1833"/>
      <c r="AV3157" s="1833"/>
      <c r="AW3157" s="1833"/>
      <c r="AX3157" s="1833"/>
      <c r="AY3157" s="1833"/>
      <c r="AZ3157" s="1833"/>
      <c r="BA3157" s="1833"/>
      <c r="BB3157" s="1833"/>
      <c r="BC3157" s="1833"/>
      <c r="BD3157" s="1833"/>
      <c r="BE3157" s="1833"/>
      <c r="BF3157" s="1833"/>
      <c r="BG3157" s="1833"/>
      <c r="BH3157" s="1833"/>
      <c r="BI3157" s="1833"/>
      <c r="BJ3157" s="1833"/>
      <c r="BK3157" s="1833"/>
      <c r="BL3157" s="1833"/>
      <c r="BM3157" s="1833"/>
      <c r="BN3157" s="1833"/>
      <c r="BO3157" s="1833"/>
      <c r="BP3157" s="1833"/>
      <c r="BQ3157" s="1833"/>
      <c r="BR3157" s="1833"/>
      <c r="BS3157" s="1833"/>
      <c r="BT3157" s="1833"/>
      <c r="BU3157" s="1833"/>
      <c r="BV3157" s="1833"/>
      <c r="BW3157" s="1833"/>
      <c r="BX3157" s="1833"/>
      <c r="BY3157" s="1833"/>
      <c r="BZ3157" s="1833"/>
      <c r="CA3157" s="1833"/>
      <c r="CB3157" s="1833"/>
      <c r="CC3157" s="1833"/>
      <c r="CD3157" s="1833"/>
      <c r="CE3157" s="1833"/>
      <c r="CF3157" s="1833"/>
      <c r="CG3157" s="1833"/>
      <c r="CH3157" s="1833"/>
      <c r="CI3157" s="1833"/>
      <c r="CJ3157" s="1833"/>
      <c r="CK3157" s="1833"/>
    </row>
    <row r="3158" spans="1:89" s="1134" customFormat="1" ht="18" x14ac:dyDescent="0.25">
      <c r="A3158" s="1730"/>
      <c r="B3158" s="1197" t="s">
        <v>2241</v>
      </c>
      <c r="C3158" s="1128"/>
      <c r="D3158" s="1129"/>
      <c r="E3158" s="1130"/>
      <c r="F3158" s="1131"/>
      <c r="G3158" s="1131"/>
      <c r="H3158" s="1131"/>
      <c r="I3158" s="1131"/>
      <c r="J3158" s="1131"/>
      <c r="K3158" s="1131"/>
      <c r="L3158" s="1131"/>
      <c r="M3158" s="1131"/>
      <c r="N3158" s="1131"/>
      <c r="O3158" s="1727"/>
      <c r="P3158" s="1816"/>
      <c r="Q3158" s="1833"/>
      <c r="R3158" s="1833"/>
      <c r="S3158" s="1833"/>
      <c r="T3158" s="1833"/>
      <c r="U3158" s="1833"/>
      <c r="V3158" s="1833"/>
      <c r="W3158" s="1833"/>
      <c r="X3158" s="1833"/>
      <c r="Y3158" s="1833"/>
      <c r="Z3158" s="1833"/>
      <c r="AA3158" s="1833"/>
      <c r="AB3158" s="1833"/>
      <c r="AC3158" s="1833"/>
      <c r="AD3158" s="1833"/>
      <c r="AE3158" s="1833"/>
      <c r="AF3158" s="1833"/>
      <c r="AG3158" s="1833"/>
      <c r="AH3158" s="1833"/>
      <c r="AI3158" s="1833"/>
      <c r="AJ3158" s="1833"/>
      <c r="AK3158" s="1833"/>
      <c r="AL3158" s="1833"/>
      <c r="AM3158" s="1833"/>
      <c r="AN3158" s="1833"/>
      <c r="AO3158" s="1833"/>
      <c r="AP3158" s="1833"/>
      <c r="AQ3158" s="1833"/>
      <c r="AR3158" s="1833"/>
      <c r="AS3158" s="1833"/>
      <c r="AT3158" s="1833"/>
      <c r="AU3158" s="1833"/>
      <c r="AV3158" s="1833"/>
      <c r="AW3158" s="1833"/>
      <c r="AX3158" s="1833"/>
      <c r="AY3158" s="1833"/>
      <c r="AZ3158" s="1833"/>
      <c r="BA3158" s="1833"/>
      <c r="BB3158" s="1833"/>
      <c r="BC3158" s="1833"/>
      <c r="BD3158" s="1833"/>
      <c r="BE3158" s="1833"/>
      <c r="BF3158" s="1833"/>
      <c r="BG3158" s="1833"/>
      <c r="BH3158" s="1833"/>
      <c r="BI3158" s="1833"/>
      <c r="BJ3158" s="1833"/>
      <c r="BK3158" s="1833"/>
      <c r="BL3158" s="1833"/>
      <c r="BM3158" s="1833"/>
      <c r="BN3158" s="1833"/>
      <c r="BO3158" s="1833"/>
      <c r="BP3158" s="1833"/>
      <c r="BQ3158" s="1833"/>
      <c r="BR3158" s="1833"/>
      <c r="BS3158" s="1833"/>
      <c r="BT3158" s="1833"/>
      <c r="BU3158" s="1833"/>
      <c r="BV3158" s="1833"/>
      <c r="BW3158" s="1833"/>
      <c r="BX3158" s="1833"/>
      <c r="BY3158" s="1833"/>
      <c r="BZ3158" s="1833"/>
      <c r="CA3158" s="1833"/>
      <c r="CB3158" s="1833"/>
      <c r="CC3158" s="1833"/>
      <c r="CD3158" s="1833"/>
      <c r="CE3158" s="1833"/>
      <c r="CF3158" s="1833"/>
      <c r="CG3158" s="1833"/>
      <c r="CH3158" s="1833"/>
      <c r="CI3158" s="1833"/>
      <c r="CJ3158" s="1833"/>
      <c r="CK3158" s="1833"/>
    </row>
    <row r="3159" spans="1:89" s="1167" customFormat="1" ht="18" x14ac:dyDescent="0.25">
      <c r="A3159" s="1730">
        <v>69</v>
      </c>
      <c r="B3159" s="1194" t="s">
        <v>2242</v>
      </c>
      <c r="C3159" s="1136">
        <v>25</v>
      </c>
      <c r="D3159" s="1129" t="s">
        <v>119</v>
      </c>
      <c r="E3159" s="1169">
        <v>1300000</v>
      </c>
      <c r="F3159" s="1131">
        <v>0</v>
      </c>
      <c r="G3159" s="1131">
        <v>0</v>
      </c>
      <c r="H3159" s="1155">
        <f t="shared" ref="H3159:H3165" si="310">G3159+F3159</f>
        <v>0</v>
      </c>
      <c r="I3159" s="1131">
        <v>0</v>
      </c>
      <c r="J3159" s="1131">
        <v>0</v>
      </c>
      <c r="K3159" s="1155">
        <v>0</v>
      </c>
      <c r="L3159" s="1131">
        <f t="shared" ref="L3159:L3165" si="311">E3159*C3159</f>
        <v>32500000</v>
      </c>
      <c r="M3159" s="1131">
        <v>0</v>
      </c>
      <c r="N3159" s="1131">
        <f t="shared" ref="N3159:N3165" si="312">M3159+L3159</f>
        <v>32500000</v>
      </c>
      <c r="O3159" s="1727">
        <f t="shared" ref="O3159:O3165" si="313">N3159+K3159+H3159</f>
        <v>32500000</v>
      </c>
      <c r="P3159" s="1816"/>
      <c r="Q3159" s="1834"/>
      <c r="R3159" s="1834"/>
      <c r="S3159" s="1834"/>
      <c r="T3159" s="1834"/>
      <c r="U3159" s="1834"/>
      <c r="V3159" s="1834"/>
      <c r="W3159" s="1834"/>
      <c r="X3159" s="1834"/>
      <c r="Y3159" s="1834"/>
      <c r="Z3159" s="1834"/>
      <c r="AA3159" s="1834"/>
      <c r="AB3159" s="1834"/>
      <c r="AC3159" s="1834"/>
      <c r="AD3159" s="1834"/>
      <c r="AE3159" s="1834"/>
      <c r="AF3159" s="1834"/>
      <c r="AG3159" s="1834"/>
      <c r="AH3159" s="1834"/>
      <c r="AI3159" s="1834"/>
      <c r="AJ3159" s="1834"/>
      <c r="AK3159" s="1834"/>
      <c r="AL3159" s="1834"/>
      <c r="AM3159" s="1834"/>
      <c r="AN3159" s="1834"/>
      <c r="AO3159" s="1834"/>
      <c r="AP3159" s="1834"/>
      <c r="AQ3159" s="1834"/>
      <c r="AR3159" s="1834"/>
      <c r="AS3159" s="1834"/>
      <c r="AT3159" s="1834"/>
      <c r="AU3159" s="1834"/>
      <c r="AV3159" s="1834"/>
      <c r="AW3159" s="1834"/>
      <c r="AX3159" s="1834"/>
      <c r="AY3159" s="1834"/>
      <c r="AZ3159" s="1834"/>
      <c r="BA3159" s="1834"/>
      <c r="BB3159" s="1834"/>
      <c r="BC3159" s="1834"/>
      <c r="BD3159" s="1834"/>
      <c r="BE3159" s="1834"/>
      <c r="BF3159" s="1834"/>
      <c r="BG3159" s="1834"/>
      <c r="BH3159" s="1834"/>
      <c r="BI3159" s="1834"/>
      <c r="BJ3159" s="1834"/>
      <c r="BK3159" s="1834"/>
      <c r="BL3159" s="1834"/>
      <c r="BM3159" s="1834"/>
      <c r="BN3159" s="1834"/>
      <c r="BO3159" s="1834"/>
      <c r="BP3159" s="1834"/>
      <c r="BQ3159" s="1834"/>
      <c r="BR3159" s="1834"/>
      <c r="BS3159" s="1834"/>
      <c r="BT3159" s="1834"/>
      <c r="BU3159" s="1834"/>
      <c r="BV3159" s="1834"/>
      <c r="BW3159" s="1834"/>
      <c r="BX3159" s="1834"/>
      <c r="BY3159" s="1834"/>
      <c r="BZ3159" s="1834"/>
      <c r="CA3159" s="1834"/>
      <c r="CB3159" s="1834"/>
      <c r="CC3159" s="1834"/>
      <c r="CD3159" s="1834"/>
      <c r="CE3159" s="1834"/>
      <c r="CF3159" s="1834"/>
      <c r="CG3159" s="1834"/>
      <c r="CH3159" s="1834"/>
      <c r="CI3159" s="1834"/>
      <c r="CJ3159" s="1834"/>
      <c r="CK3159" s="1834"/>
    </row>
    <row r="3160" spans="1:89" s="1167" customFormat="1" ht="36" x14ac:dyDescent="0.25">
      <c r="A3160" s="1730">
        <v>70</v>
      </c>
      <c r="B3160" s="1194" t="s">
        <v>2336</v>
      </c>
      <c r="C3160" s="1136">
        <v>1000</v>
      </c>
      <c r="D3160" s="1129" t="s">
        <v>119</v>
      </c>
      <c r="E3160" s="1169">
        <v>1402100</v>
      </c>
      <c r="F3160" s="1131">
        <v>0</v>
      </c>
      <c r="G3160" s="1131">
        <v>0</v>
      </c>
      <c r="H3160" s="1155">
        <f t="shared" ref="H3160" si="314">G3160+F3160</f>
        <v>0</v>
      </c>
      <c r="I3160" s="1131">
        <v>0</v>
      </c>
      <c r="J3160" s="1131">
        <v>0</v>
      </c>
      <c r="K3160" s="1155">
        <v>0</v>
      </c>
      <c r="L3160" s="1131">
        <f t="shared" ref="L3160" si="315">E3160*C3160</f>
        <v>1402100000</v>
      </c>
      <c r="M3160" s="1131">
        <v>0</v>
      </c>
      <c r="N3160" s="1131">
        <f t="shared" ref="N3160" si="316">M3160+L3160</f>
        <v>1402100000</v>
      </c>
      <c r="O3160" s="1727">
        <f t="shared" ref="O3160" si="317">N3160+K3160+H3160</f>
        <v>1402100000</v>
      </c>
      <c r="P3160" s="1816"/>
      <c r="Q3160" s="1834"/>
      <c r="R3160" s="1834"/>
      <c r="S3160" s="1834"/>
      <c r="T3160" s="1834"/>
      <c r="U3160" s="1834"/>
      <c r="V3160" s="1834"/>
      <c r="W3160" s="1834"/>
      <c r="X3160" s="1834"/>
      <c r="Y3160" s="1834"/>
      <c r="Z3160" s="1834"/>
      <c r="AA3160" s="1834"/>
      <c r="AB3160" s="1834"/>
      <c r="AC3160" s="1834"/>
      <c r="AD3160" s="1834"/>
      <c r="AE3160" s="1834"/>
      <c r="AF3160" s="1834"/>
      <c r="AG3160" s="1834"/>
      <c r="AH3160" s="1834"/>
      <c r="AI3160" s="1834"/>
      <c r="AJ3160" s="1834"/>
      <c r="AK3160" s="1834"/>
      <c r="AL3160" s="1834"/>
      <c r="AM3160" s="1834"/>
      <c r="AN3160" s="1834"/>
      <c r="AO3160" s="1834"/>
      <c r="AP3160" s="1834"/>
      <c r="AQ3160" s="1834"/>
      <c r="AR3160" s="1834"/>
      <c r="AS3160" s="1834"/>
      <c r="AT3160" s="1834"/>
      <c r="AU3160" s="1834"/>
      <c r="AV3160" s="1834"/>
      <c r="AW3160" s="1834"/>
      <c r="AX3160" s="1834"/>
      <c r="AY3160" s="1834"/>
      <c r="AZ3160" s="1834"/>
      <c r="BA3160" s="1834"/>
      <c r="BB3160" s="1834"/>
      <c r="BC3160" s="1834"/>
      <c r="BD3160" s="1834"/>
      <c r="BE3160" s="1834"/>
      <c r="BF3160" s="1834"/>
      <c r="BG3160" s="1834"/>
      <c r="BH3160" s="1834"/>
      <c r="BI3160" s="1834"/>
      <c r="BJ3160" s="1834"/>
      <c r="BK3160" s="1834"/>
      <c r="BL3160" s="1834"/>
      <c r="BM3160" s="1834"/>
      <c r="BN3160" s="1834"/>
      <c r="BO3160" s="1834"/>
      <c r="BP3160" s="1834"/>
      <c r="BQ3160" s="1834"/>
      <c r="BR3160" s="1834"/>
      <c r="BS3160" s="1834"/>
      <c r="BT3160" s="1834"/>
      <c r="BU3160" s="1834"/>
      <c r="BV3160" s="1834"/>
      <c r="BW3160" s="1834"/>
      <c r="BX3160" s="1834"/>
      <c r="BY3160" s="1834"/>
      <c r="BZ3160" s="1834"/>
      <c r="CA3160" s="1834"/>
      <c r="CB3160" s="1834"/>
      <c r="CC3160" s="1834"/>
      <c r="CD3160" s="1834"/>
      <c r="CE3160" s="1834"/>
      <c r="CF3160" s="1834"/>
      <c r="CG3160" s="1834"/>
      <c r="CH3160" s="1834"/>
      <c r="CI3160" s="1834"/>
      <c r="CJ3160" s="1834"/>
      <c r="CK3160" s="1834"/>
    </row>
    <row r="3161" spans="1:89" s="1167" customFormat="1" ht="30" customHeight="1" x14ac:dyDescent="0.25">
      <c r="A3161" s="1730">
        <v>71</v>
      </c>
      <c r="B3161" s="1194" t="s">
        <v>1075</v>
      </c>
      <c r="C3161" s="1136">
        <v>25</v>
      </c>
      <c r="D3161" s="1129" t="s">
        <v>119</v>
      </c>
      <c r="E3161" s="1169">
        <v>625000</v>
      </c>
      <c r="F3161" s="1131">
        <v>0</v>
      </c>
      <c r="G3161" s="1131">
        <v>0</v>
      </c>
      <c r="H3161" s="1155">
        <f t="shared" si="310"/>
        <v>0</v>
      </c>
      <c r="I3161" s="1131">
        <v>0</v>
      </c>
      <c r="J3161" s="1131">
        <v>0</v>
      </c>
      <c r="K3161" s="1155">
        <v>0</v>
      </c>
      <c r="L3161" s="1131">
        <f t="shared" si="311"/>
        <v>15625000</v>
      </c>
      <c r="M3161" s="1131">
        <v>0</v>
      </c>
      <c r="N3161" s="1131">
        <f t="shared" si="312"/>
        <v>15625000</v>
      </c>
      <c r="O3161" s="1727">
        <f t="shared" si="313"/>
        <v>15625000</v>
      </c>
      <c r="P3161" s="1816"/>
      <c r="Q3161" s="1834"/>
      <c r="R3161" s="1834"/>
      <c r="S3161" s="1834"/>
      <c r="T3161" s="1834"/>
      <c r="U3161" s="1834"/>
      <c r="V3161" s="1834"/>
      <c r="W3161" s="1834"/>
      <c r="X3161" s="1834"/>
      <c r="Y3161" s="1834"/>
      <c r="Z3161" s="1834"/>
      <c r="AA3161" s="1834"/>
      <c r="AB3161" s="1834"/>
      <c r="AC3161" s="1834"/>
      <c r="AD3161" s="1834"/>
      <c r="AE3161" s="1834"/>
      <c r="AF3161" s="1834"/>
      <c r="AG3161" s="1834"/>
      <c r="AH3161" s="1834"/>
      <c r="AI3161" s="1834"/>
      <c r="AJ3161" s="1834"/>
      <c r="AK3161" s="1834"/>
      <c r="AL3161" s="1834"/>
      <c r="AM3161" s="1834"/>
      <c r="AN3161" s="1834"/>
      <c r="AO3161" s="1834"/>
      <c r="AP3161" s="1834"/>
      <c r="AQ3161" s="1834"/>
      <c r="AR3161" s="1834"/>
      <c r="AS3161" s="1834"/>
      <c r="AT3161" s="1834"/>
      <c r="AU3161" s="1834"/>
      <c r="AV3161" s="1834"/>
      <c r="AW3161" s="1834"/>
      <c r="AX3161" s="1834"/>
      <c r="AY3161" s="1834"/>
      <c r="AZ3161" s="1834"/>
      <c r="BA3161" s="1834"/>
      <c r="BB3161" s="1834"/>
      <c r="BC3161" s="1834"/>
      <c r="BD3161" s="1834"/>
      <c r="BE3161" s="1834"/>
      <c r="BF3161" s="1834"/>
      <c r="BG3161" s="1834"/>
      <c r="BH3161" s="1834"/>
      <c r="BI3161" s="1834"/>
      <c r="BJ3161" s="1834"/>
      <c r="BK3161" s="1834"/>
      <c r="BL3161" s="1834"/>
      <c r="BM3161" s="1834"/>
      <c r="BN3161" s="1834"/>
      <c r="BO3161" s="1834"/>
      <c r="BP3161" s="1834"/>
      <c r="BQ3161" s="1834"/>
      <c r="BR3161" s="1834"/>
      <c r="BS3161" s="1834"/>
      <c r="BT3161" s="1834"/>
      <c r="BU3161" s="1834"/>
      <c r="BV3161" s="1834"/>
      <c r="BW3161" s="1834"/>
      <c r="BX3161" s="1834"/>
      <c r="BY3161" s="1834"/>
      <c r="BZ3161" s="1834"/>
      <c r="CA3161" s="1834"/>
      <c r="CB3161" s="1834"/>
      <c r="CC3161" s="1834"/>
      <c r="CD3161" s="1834"/>
      <c r="CE3161" s="1834"/>
      <c r="CF3161" s="1834"/>
      <c r="CG3161" s="1834"/>
      <c r="CH3161" s="1834"/>
      <c r="CI3161" s="1834"/>
      <c r="CJ3161" s="1834"/>
      <c r="CK3161" s="1834"/>
    </row>
    <row r="3162" spans="1:89" s="1167" customFormat="1" ht="30" customHeight="1" x14ac:dyDescent="0.25">
      <c r="A3162" s="1730">
        <v>72</v>
      </c>
      <c r="B3162" s="1169" t="s">
        <v>2243</v>
      </c>
      <c r="C3162" s="1136">
        <v>50</v>
      </c>
      <c r="D3162" s="1129" t="s">
        <v>119</v>
      </c>
      <c r="E3162" s="1169">
        <v>575000</v>
      </c>
      <c r="F3162" s="1198">
        <v>0</v>
      </c>
      <c r="G3162" s="1131">
        <v>0</v>
      </c>
      <c r="H3162" s="1198">
        <f t="shared" si="310"/>
        <v>0</v>
      </c>
      <c r="I3162" s="1131">
        <v>0</v>
      </c>
      <c r="J3162" s="1198">
        <v>0</v>
      </c>
      <c r="K3162" s="1155">
        <v>0</v>
      </c>
      <c r="L3162" s="1198">
        <f t="shared" si="311"/>
        <v>28750000</v>
      </c>
      <c r="M3162" s="1131">
        <v>0</v>
      </c>
      <c r="N3162" s="1198">
        <f t="shared" si="312"/>
        <v>28750000</v>
      </c>
      <c r="O3162" s="1727">
        <f t="shared" si="313"/>
        <v>28750000</v>
      </c>
      <c r="P3162" s="1816"/>
      <c r="Q3162" s="1834"/>
      <c r="R3162" s="1834"/>
      <c r="S3162" s="1834"/>
      <c r="T3162" s="1834"/>
      <c r="U3162" s="1834"/>
      <c r="V3162" s="1834"/>
      <c r="W3162" s="1834"/>
      <c r="X3162" s="1834"/>
      <c r="Y3162" s="1834"/>
      <c r="Z3162" s="1834"/>
      <c r="AA3162" s="1834"/>
      <c r="AB3162" s="1834"/>
      <c r="AC3162" s="1834"/>
      <c r="AD3162" s="1834"/>
      <c r="AE3162" s="1834"/>
      <c r="AF3162" s="1834"/>
      <c r="AG3162" s="1834"/>
      <c r="AH3162" s="1834"/>
      <c r="AI3162" s="1834"/>
      <c r="AJ3162" s="1834"/>
      <c r="AK3162" s="1834"/>
      <c r="AL3162" s="1834"/>
      <c r="AM3162" s="1834"/>
      <c r="AN3162" s="1834"/>
      <c r="AO3162" s="1834"/>
      <c r="AP3162" s="1834"/>
      <c r="AQ3162" s="1834"/>
      <c r="AR3162" s="1834"/>
      <c r="AS3162" s="1834"/>
      <c r="AT3162" s="1834"/>
      <c r="AU3162" s="1834"/>
      <c r="AV3162" s="1834"/>
      <c r="AW3162" s="1834"/>
      <c r="AX3162" s="1834"/>
      <c r="AY3162" s="1834"/>
      <c r="AZ3162" s="1834"/>
      <c r="BA3162" s="1834"/>
      <c r="BB3162" s="1834"/>
      <c r="BC3162" s="1834"/>
      <c r="BD3162" s="1834"/>
      <c r="BE3162" s="1834"/>
      <c r="BF3162" s="1834"/>
      <c r="BG3162" s="1834"/>
      <c r="BH3162" s="1834"/>
      <c r="BI3162" s="1834"/>
      <c r="BJ3162" s="1834"/>
      <c r="BK3162" s="1834"/>
      <c r="BL3162" s="1834"/>
      <c r="BM3162" s="1834"/>
      <c r="BN3162" s="1834"/>
      <c r="BO3162" s="1834"/>
      <c r="BP3162" s="1834"/>
      <c r="BQ3162" s="1834"/>
      <c r="BR3162" s="1834"/>
      <c r="BS3162" s="1834"/>
      <c r="BT3162" s="1834"/>
      <c r="BU3162" s="1834"/>
      <c r="BV3162" s="1834"/>
      <c r="BW3162" s="1834"/>
      <c r="BX3162" s="1834"/>
      <c r="BY3162" s="1834"/>
      <c r="BZ3162" s="1834"/>
      <c r="CA3162" s="1834"/>
      <c r="CB3162" s="1834"/>
      <c r="CC3162" s="1834"/>
      <c r="CD3162" s="1834"/>
      <c r="CE3162" s="1834"/>
      <c r="CF3162" s="1834"/>
      <c r="CG3162" s="1834"/>
      <c r="CH3162" s="1834"/>
      <c r="CI3162" s="1834"/>
      <c r="CJ3162" s="1834"/>
      <c r="CK3162" s="1834"/>
    </row>
    <row r="3163" spans="1:89" s="1191" customFormat="1" ht="35.25" customHeight="1" x14ac:dyDescent="0.25">
      <c r="A3163" s="1730">
        <v>73</v>
      </c>
      <c r="B3163" s="1199" t="s">
        <v>2244</v>
      </c>
      <c r="C3163" s="1136">
        <v>15</v>
      </c>
      <c r="D3163" s="1129" t="s">
        <v>119</v>
      </c>
      <c r="E3163" s="1193">
        <v>625000</v>
      </c>
      <c r="F3163" s="1131">
        <v>0</v>
      </c>
      <c r="G3163" s="1131">
        <v>0</v>
      </c>
      <c r="H3163" s="1155">
        <f t="shared" si="310"/>
        <v>0</v>
      </c>
      <c r="I3163" s="1131">
        <v>0</v>
      </c>
      <c r="J3163" s="1131">
        <v>0</v>
      </c>
      <c r="K3163" s="1155">
        <v>0</v>
      </c>
      <c r="L3163" s="1131">
        <f t="shared" si="311"/>
        <v>9375000</v>
      </c>
      <c r="M3163" s="1131">
        <v>0</v>
      </c>
      <c r="N3163" s="1131">
        <f t="shared" si="312"/>
        <v>9375000</v>
      </c>
      <c r="O3163" s="1727">
        <f t="shared" si="313"/>
        <v>9375000</v>
      </c>
      <c r="P3163" s="1816"/>
      <c r="Q3163" s="1835"/>
      <c r="R3163" s="1835"/>
      <c r="S3163" s="1835"/>
      <c r="T3163" s="1835"/>
      <c r="U3163" s="1835"/>
      <c r="V3163" s="1835"/>
      <c r="W3163" s="1835"/>
      <c r="X3163" s="1835"/>
      <c r="Y3163" s="1835"/>
      <c r="Z3163" s="1835"/>
      <c r="AA3163" s="1835"/>
      <c r="AB3163" s="1835"/>
      <c r="AC3163" s="1835"/>
      <c r="AD3163" s="1835"/>
      <c r="AE3163" s="1835"/>
      <c r="AF3163" s="1835"/>
      <c r="AG3163" s="1835"/>
      <c r="AH3163" s="1835"/>
      <c r="AI3163" s="1835"/>
      <c r="AJ3163" s="1835"/>
      <c r="AK3163" s="1835"/>
      <c r="AL3163" s="1835"/>
      <c r="AM3163" s="1835"/>
      <c r="AN3163" s="1835"/>
      <c r="AO3163" s="1835"/>
      <c r="AP3163" s="1835"/>
      <c r="AQ3163" s="1835"/>
      <c r="AR3163" s="1835"/>
      <c r="AS3163" s="1835"/>
      <c r="AT3163" s="1835"/>
      <c r="AU3163" s="1835"/>
      <c r="AV3163" s="1835"/>
      <c r="AW3163" s="1835"/>
      <c r="AX3163" s="1835"/>
      <c r="AY3163" s="1835"/>
      <c r="AZ3163" s="1835"/>
      <c r="BA3163" s="1835"/>
      <c r="BB3163" s="1835"/>
      <c r="BC3163" s="1835"/>
      <c r="BD3163" s="1835"/>
      <c r="BE3163" s="1835"/>
      <c r="BF3163" s="1835"/>
      <c r="BG3163" s="1835"/>
      <c r="BH3163" s="1835"/>
      <c r="BI3163" s="1835"/>
      <c r="BJ3163" s="1835"/>
      <c r="BK3163" s="1835"/>
      <c r="BL3163" s="1835"/>
      <c r="BM3163" s="1835"/>
      <c r="BN3163" s="1835"/>
      <c r="BO3163" s="1835"/>
      <c r="BP3163" s="1835"/>
      <c r="BQ3163" s="1835"/>
      <c r="BR3163" s="1835"/>
      <c r="BS3163" s="1835"/>
      <c r="BT3163" s="1835"/>
      <c r="BU3163" s="1835"/>
      <c r="BV3163" s="1835"/>
      <c r="BW3163" s="1835"/>
      <c r="BX3163" s="1835"/>
      <c r="BY3163" s="1835"/>
      <c r="BZ3163" s="1835"/>
      <c r="CA3163" s="1835"/>
      <c r="CB3163" s="1835"/>
      <c r="CC3163" s="1835"/>
      <c r="CD3163" s="1835"/>
      <c r="CE3163" s="1835"/>
      <c r="CF3163" s="1835"/>
      <c r="CG3163" s="1835"/>
      <c r="CH3163" s="1835"/>
      <c r="CI3163" s="1835"/>
      <c r="CJ3163" s="1835"/>
      <c r="CK3163" s="1835"/>
    </row>
    <row r="3164" spans="1:89" s="1167" customFormat="1" ht="18" x14ac:dyDescent="0.25">
      <c r="A3164" s="1730">
        <v>74</v>
      </c>
      <c r="B3164" s="1192" t="s">
        <v>2245</v>
      </c>
      <c r="C3164" s="1136">
        <v>1</v>
      </c>
      <c r="D3164" s="1129" t="s">
        <v>16</v>
      </c>
      <c r="E3164" s="1193">
        <v>2000000</v>
      </c>
      <c r="F3164" s="1131">
        <v>0</v>
      </c>
      <c r="G3164" s="1131">
        <v>0</v>
      </c>
      <c r="H3164" s="1155">
        <f t="shared" si="310"/>
        <v>0</v>
      </c>
      <c r="I3164" s="1131">
        <v>0</v>
      </c>
      <c r="J3164" s="1131">
        <v>0</v>
      </c>
      <c r="K3164" s="1155">
        <v>0</v>
      </c>
      <c r="L3164" s="1131">
        <f t="shared" si="311"/>
        <v>2000000</v>
      </c>
      <c r="M3164" s="1131">
        <v>0</v>
      </c>
      <c r="N3164" s="1131">
        <f t="shared" si="312"/>
        <v>2000000</v>
      </c>
      <c r="O3164" s="1727">
        <f t="shared" si="313"/>
        <v>2000000</v>
      </c>
      <c r="P3164" s="1816"/>
      <c r="Q3164" s="1834"/>
      <c r="R3164" s="1834"/>
      <c r="S3164" s="1834"/>
      <c r="T3164" s="1834"/>
      <c r="U3164" s="1834"/>
      <c r="V3164" s="1834"/>
      <c r="W3164" s="1834"/>
      <c r="X3164" s="1834"/>
      <c r="Y3164" s="1834"/>
      <c r="Z3164" s="1834"/>
      <c r="AA3164" s="1834"/>
      <c r="AB3164" s="1834"/>
      <c r="AC3164" s="1834"/>
      <c r="AD3164" s="1834"/>
      <c r="AE3164" s="1834"/>
      <c r="AF3164" s="1834"/>
      <c r="AG3164" s="1834"/>
      <c r="AH3164" s="1834"/>
      <c r="AI3164" s="1834"/>
      <c r="AJ3164" s="1834"/>
      <c r="AK3164" s="1834"/>
      <c r="AL3164" s="1834"/>
      <c r="AM3164" s="1834"/>
      <c r="AN3164" s="1834"/>
      <c r="AO3164" s="1834"/>
      <c r="AP3164" s="1834"/>
      <c r="AQ3164" s="1834"/>
      <c r="AR3164" s="1834"/>
      <c r="AS3164" s="1834"/>
      <c r="AT3164" s="1834"/>
      <c r="AU3164" s="1834"/>
      <c r="AV3164" s="1834"/>
      <c r="AW3164" s="1834"/>
      <c r="AX3164" s="1834"/>
      <c r="AY3164" s="1834"/>
      <c r="AZ3164" s="1834"/>
      <c r="BA3164" s="1834"/>
      <c r="BB3164" s="1834"/>
      <c r="BC3164" s="1834"/>
      <c r="BD3164" s="1834"/>
      <c r="BE3164" s="1834"/>
      <c r="BF3164" s="1834"/>
      <c r="BG3164" s="1834"/>
      <c r="BH3164" s="1834"/>
      <c r="BI3164" s="1834"/>
      <c r="BJ3164" s="1834"/>
      <c r="BK3164" s="1834"/>
      <c r="BL3164" s="1834"/>
      <c r="BM3164" s="1834"/>
      <c r="BN3164" s="1834"/>
      <c r="BO3164" s="1834"/>
      <c r="BP3164" s="1834"/>
      <c r="BQ3164" s="1834"/>
      <c r="BR3164" s="1834"/>
      <c r="BS3164" s="1834"/>
      <c r="BT3164" s="1834"/>
      <c r="BU3164" s="1834"/>
      <c r="BV3164" s="1834"/>
      <c r="BW3164" s="1834"/>
      <c r="BX3164" s="1834"/>
      <c r="BY3164" s="1834"/>
      <c r="BZ3164" s="1834"/>
      <c r="CA3164" s="1834"/>
      <c r="CB3164" s="1834"/>
      <c r="CC3164" s="1834"/>
      <c r="CD3164" s="1834"/>
      <c r="CE3164" s="1834"/>
      <c r="CF3164" s="1834"/>
      <c r="CG3164" s="1834"/>
      <c r="CH3164" s="1834"/>
      <c r="CI3164" s="1834"/>
      <c r="CJ3164" s="1834"/>
      <c r="CK3164" s="1834"/>
    </row>
    <row r="3165" spans="1:89" s="1167" customFormat="1" ht="18" x14ac:dyDescent="0.25">
      <c r="A3165" s="1730">
        <v>75</v>
      </c>
      <c r="B3165" s="1200" t="s">
        <v>2246</v>
      </c>
      <c r="C3165" s="1136">
        <v>1</v>
      </c>
      <c r="D3165" s="1129" t="s">
        <v>16</v>
      </c>
      <c r="E3165" s="1169">
        <v>2000000</v>
      </c>
      <c r="F3165" s="1131">
        <v>0</v>
      </c>
      <c r="G3165" s="1131">
        <v>0</v>
      </c>
      <c r="H3165" s="1155">
        <f t="shared" si="310"/>
        <v>0</v>
      </c>
      <c r="I3165" s="1131">
        <v>0</v>
      </c>
      <c r="J3165" s="1131">
        <v>0</v>
      </c>
      <c r="K3165" s="1155">
        <v>0</v>
      </c>
      <c r="L3165" s="1131">
        <f t="shared" si="311"/>
        <v>2000000</v>
      </c>
      <c r="M3165" s="1131">
        <v>0</v>
      </c>
      <c r="N3165" s="1131">
        <f t="shared" si="312"/>
        <v>2000000</v>
      </c>
      <c r="O3165" s="1727">
        <f t="shared" si="313"/>
        <v>2000000</v>
      </c>
      <c r="P3165" s="1816"/>
      <c r="Q3165" s="1834"/>
      <c r="R3165" s="1834"/>
      <c r="S3165" s="1834"/>
      <c r="T3165" s="1834"/>
      <c r="U3165" s="1834"/>
      <c r="V3165" s="1834"/>
      <c r="W3165" s="1834"/>
      <c r="X3165" s="1834"/>
      <c r="Y3165" s="1834"/>
      <c r="Z3165" s="1834"/>
      <c r="AA3165" s="1834"/>
      <c r="AB3165" s="1834"/>
      <c r="AC3165" s="1834"/>
      <c r="AD3165" s="1834"/>
      <c r="AE3165" s="1834"/>
      <c r="AF3165" s="1834"/>
      <c r="AG3165" s="1834"/>
      <c r="AH3165" s="1834"/>
      <c r="AI3165" s="1834"/>
      <c r="AJ3165" s="1834"/>
      <c r="AK3165" s="1834"/>
      <c r="AL3165" s="1834"/>
      <c r="AM3165" s="1834"/>
      <c r="AN3165" s="1834"/>
      <c r="AO3165" s="1834"/>
      <c r="AP3165" s="1834"/>
      <c r="AQ3165" s="1834"/>
      <c r="AR3165" s="1834"/>
      <c r="AS3165" s="1834"/>
      <c r="AT3165" s="1834"/>
      <c r="AU3165" s="1834"/>
      <c r="AV3165" s="1834"/>
      <c r="AW3165" s="1834"/>
      <c r="AX3165" s="1834"/>
      <c r="AY3165" s="1834"/>
      <c r="AZ3165" s="1834"/>
      <c r="BA3165" s="1834"/>
      <c r="BB3165" s="1834"/>
      <c r="BC3165" s="1834"/>
      <c r="BD3165" s="1834"/>
      <c r="BE3165" s="1834"/>
      <c r="BF3165" s="1834"/>
      <c r="BG3165" s="1834"/>
      <c r="BH3165" s="1834"/>
      <c r="BI3165" s="1834"/>
      <c r="BJ3165" s="1834"/>
      <c r="BK3165" s="1834"/>
      <c r="BL3165" s="1834"/>
      <c r="BM3165" s="1834"/>
      <c r="BN3165" s="1834"/>
      <c r="BO3165" s="1834"/>
      <c r="BP3165" s="1834"/>
      <c r="BQ3165" s="1834"/>
      <c r="BR3165" s="1834"/>
      <c r="BS3165" s="1834"/>
      <c r="BT3165" s="1834"/>
      <c r="BU3165" s="1834"/>
      <c r="BV3165" s="1834"/>
      <c r="BW3165" s="1834"/>
      <c r="BX3165" s="1834"/>
      <c r="BY3165" s="1834"/>
      <c r="BZ3165" s="1834"/>
      <c r="CA3165" s="1834"/>
      <c r="CB3165" s="1834"/>
      <c r="CC3165" s="1834"/>
      <c r="CD3165" s="1834"/>
      <c r="CE3165" s="1834"/>
      <c r="CF3165" s="1834"/>
      <c r="CG3165" s="1834"/>
      <c r="CH3165" s="1834"/>
      <c r="CI3165" s="1834"/>
      <c r="CJ3165" s="1834"/>
      <c r="CK3165" s="1834"/>
    </row>
    <row r="3166" spans="1:89" ht="29.25" customHeight="1" x14ac:dyDescent="0.25">
      <c r="A3166" s="949"/>
      <c r="B3166" s="950"/>
      <c r="C3166" s="951"/>
      <c r="D3166" s="952"/>
      <c r="E3166" s="953"/>
      <c r="F3166" s="684"/>
      <c r="G3166" s="684"/>
      <c r="H3166" s="684"/>
      <c r="I3166" s="684"/>
      <c r="J3166" s="684"/>
      <c r="K3166" s="684"/>
      <c r="L3166" s="684"/>
      <c r="M3166" s="684"/>
      <c r="N3166" s="684"/>
      <c r="O3166" s="867"/>
      <c r="P3166" s="754"/>
    </row>
    <row r="3167" spans="1:89" ht="29.25" customHeight="1" thickBot="1" x14ac:dyDescent="0.3">
      <c r="A3167" s="1751"/>
      <c r="B3167" s="1752"/>
      <c r="C3167" s="1065"/>
      <c r="D3167" s="1753"/>
      <c r="E3167" s="1754"/>
      <c r="F3167" s="1754"/>
      <c r="G3167" s="1754"/>
      <c r="H3167" s="1754"/>
      <c r="I3167" s="1754"/>
      <c r="J3167" s="1755"/>
      <c r="K3167" s="1755"/>
      <c r="L3167" s="1754"/>
      <c r="M3167" s="1754"/>
      <c r="N3167" s="1754"/>
      <c r="O3167" s="1756"/>
      <c r="P3167" s="956"/>
    </row>
    <row r="3168" spans="1:89" s="957" customFormat="1" ht="61.5" customHeight="1" x14ac:dyDescent="0.25">
      <c r="A3168" s="1716">
        <v>40</v>
      </c>
      <c r="B3168" s="1748" t="s">
        <v>225</v>
      </c>
      <c r="C3168" s="1749"/>
      <c r="D3168" s="1750"/>
      <c r="E3168" s="1717"/>
      <c r="F3168" s="1717">
        <f>SUM(F3169:F3281)</f>
        <v>0</v>
      </c>
      <c r="G3168" s="1717">
        <f>SUM(G3169:G3281)</f>
        <v>0</v>
      </c>
      <c r="H3168" s="1717">
        <f>G3168+F3168</f>
        <v>0</v>
      </c>
      <c r="I3168" s="1717">
        <f>SUM(I3169:I3281)</f>
        <v>0</v>
      </c>
      <c r="J3168" s="1717">
        <f>SUM(J3169:J3281)</f>
        <v>47526190</v>
      </c>
      <c r="K3168" s="1717">
        <f>J3168+I3168</f>
        <v>47526190</v>
      </c>
      <c r="L3168" s="1717">
        <f>SUM(L3169:L3281)</f>
        <v>10232810</v>
      </c>
      <c r="M3168" s="1717">
        <f>SUM(M3169:M3281)</f>
        <v>0</v>
      </c>
      <c r="N3168" s="1717">
        <f>M3168+L3168</f>
        <v>10232810</v>
      </c>
      <c r="O3168" s="1718">
        <f>N3168+K3168+H3168</f>
        <v>57759000</v>
      </c>
      <c r="P3168" s="823"/>
    </row>
    <row r="3169" spans="1:89" s="673" customFormat="1" ht="29.25" customHeight="1" x14ac:dyDescent="0.25">
      <c r="A3169" s="958"/>
      <c r="B3169" s="927"/>
      <c r="C3169" s="835"/>
      <c r="D3169" s="959"/>
      <c r="E3169" s="825"/>
      <c r="F3169" s="960"/>
      <c r="G3169" s="960"/>
      <c r="H3169" s="960"/>
      <c r="I3169" s="960"/>
      <c r="J3169" s="960"/>
      <c r="K3169" s="960"/>
      <c r="L3169" s="960"/>
      <c r="M3169" s="960"/>
      <c r="N3169" s="825"/>
      <c r="O3169" s="826"/>
      <c r="P3169" s="702"/>
      <c r="Q3169" s="783"/>
      <c r="R3169" s="783"/>
      <c r="S3169" s="783"/>
      <c r="T3169" s="783"/>
      <c r="U3169" s="783"/>
      <c r="V3169" s="783"/>
      <c r="W3169" s="783"/>
      <c r="X3169" s="783"/>
      <c r="Y3169" s="783"/>
      <c r="Z3169" s="783"/>
      <c r="AA3169" s="783"/>
      <c r="AB3169" s="783"/>
      <c r="AC3169" s="783"/>
      <c r="AD3169" s="783"/>
      <c r="AE3169" s="783"/>
      <c r="AF3169" s="783"/>
      <c r="AG3169" s="783"/>
      <c r="AH3169" s="783"/>
      <c r="AI3169" s="783"/>
      <c r="AJ3169" s="783"/>
      <c r="AK3169" s="783"/>
      <c r="AL3169" s="783"/>
      <c r="AM3169" s="783"/>
      <c r="AN3169" s="783"/>
      <c r="AO3169" s="783"/>
      <c r="AP3169" s="783"/>
      <c r="AQ3169" s="783"/>
      <c r="AR3169" s="783"/>
      <c r="AS3169" s="783"/>
      <c r="AT3169" s="783"/>
      <c r="AU3169" s="783"/>
      <c r="AV3169" s="783"/>
      <c r="AW3169" s="783"/>
      <c r="AX3169" s="783"/>
      <c r="AY3169" s="783"/>
      <c r="AZ3169" s="783"/>
      <c r="BA3169" s="783"/>
      <c r="BB3169" s="783"/>
      <c r="BC3169" s="783"/>
      <c r="BD3169" s="783"/>
      <c r="BE3169" s="783"/>
      <c r="BF3169" s="783"/>
      <c r="BG3169" s="783"/>
      <c r="BH3169" s="783"/>
      <c r="BI3169" s="783"/>
      <c r="BJ3169" s="783"/>
      <c r="BK3169" s="783"/>
      <c r="BL3169" s="783"/>
      <c r="BM3169" s="783"/>
      <c r="BN3169" s="783"/>
      <c r="BO3169" s="783"/>
      <c r="BP3169" s="783"/>
      <c r="BQ3169" s="783"/>
      <c r="BR3169" s="783"/>
      <c r="BS3169" s="783"/>
      <c r="BT3169" s="783"/>
      <c r="BU3169" s="783"/>
      <c r="BV3169" s="783"/>
      <c r="BW3169" s="783"/>
      <c r="BX3169" s="783"/>
      <c r="BY3169" s="783"/>
      <c r="BZ3169" s="783"/>
      <c r="CA3169" s="783"/>
      <c r="CB3169" s="783"/>
      <c r="CC3169" s="783"/>
      <c r="CD3169" s="783"/>
      <c r="CE3169" s="783"/>
      <c r="CF3169" s="783"/>
      <c r="CG3169" s="783"/>
      <c r="CH3169" s="783"/>
      <c r="CI3169" s="783"/>
      <c r="CJ3169" s="783"/>
      <c r="CK3169" s="783"/>
    </row>
    <row r="3170" spans="1:89" s="673" customFormat="1" ht="20.25" customHeight="1" x14ac:dyDescent="0.25">
      <c r="A3170" s="788"/>
      <c r="B3170" s="924" t="s">
        <v>1478</v>
      </c>
      <c r="C3170" s="699">
        <v>1</v>
      </c>
      <c r="D3170" s="961" t="s">
        <v>47</v>
      </c>
      <c r="E3170" s="700">
        <v>503716</v>
      </c>
      <c r="F3170" s="714"/>
      <c r="G3170" s="714"/>
      <c r="H3170" s="714"/>
      <c r="I3170" s="714"/>
      <c r="J3170" s="714">
        <f>C3170*E3170</f>
        <v>503716</v>
      </c>
      <c r="K3170" s="714">
        <f>I3170+J3170</f>
        <v>503716</v>
      </c>
      <c r="L3170" s="714"/>
      <c r="M3170" s="714"/>
      <c r="N3170" s="714"/>
      <c r="O3170" s="753">
        <f t="shared" ref="O3170:O3181" si="318">N3170+K3170+H3170</f>
        <v>503716</v>
      </c>
      <c r="P3170" s="754"/>
      <c r="Q3170" s="783"/>
      <c r="R3170" s="783"/>
      <c r="S3170" s="783"/>
      <c r="T3170" s="783"/>
      <c r="U3170" s="783"/>
      <c r="V3170" s="783"/>
      <c r="W3170" s="783"/>
      <c r="X3170" s="783"/>
      <c r="Y3170" s="783"/>
      <c r="Z3170" s="783"/>
      <c r="AA3170" s="783"/>
      <c r="AB3170" s="783"/>
      <c r="AC3170" s="783"/>
      <c r="AD3170" s="783"/>
      <c r="AE3170" s="783"/>
      <c r="AF3170" s="783"/>
      <c r="AG3170" s="783"/>
      <c r="AH3170" s="783"/>
      <c r="AI3170" s="783"/>
      <c r="AJ3170" s="783"/>
      <c r="AK3170" s="783"/>
      <c r="AL3170" s="783"/>
      <c r="AM3170" s="783"/>
      <c r="AN3170" s="783"/>
      <c r="AO3170" s="783"/>
      <c r="AP3170" s="783"/>
      <c r="AQ3170" s="783"/>
      <c r="AR3170" s="783"/>
      <c r="AS3170" s="783"/>
      <c r="AT3170" s="783"/>
      <c r="AU3170" s="783"/>
      <c r="AV3170" s="783"/>
      <c r="AW3170" s="783"/>
      <c r="AX3170" s="783"/>
      <c r="AY3170" s="783"/>
      <c r="AZ3170" s="783"/>
      <c r="BA3170" s="783"/>
      <c r="BB3170" s="783"/>
      <c r="BC3170" s="783"/>
      <c r="BD3170" s="783"/>
      <c r="BE3170" s="783"/>
      <c r="BF3170" s="783"/>
      <c r="BG3170" s="783"/>
      <c r="BH3170" s="783"/>
      <c r="BI3170" s="783"/>
      <c r="BJ3170" s="783"/>
      <c r="BK3170" s="783"/>
      <c r="BL3170" s="783"/>
      <c r="BM3170" s="783"/>
      <c r="BN3170" s="783"/>
      <c r="BO3170" s="783"/>
      <c r="BP3170" s="783"/>
      <c r="BQ3170" s="783"/>
      <c r="BR3170" s="783"/>
      <c r="BS3170" s="783"/>
      <c r="BT3170" s="783"/>
      <c r="BU3170" s="783"/>
      <c r="BV3170" s="783"/>
      <c r="BW3170" s="783"/>
      <c r="BX3170" s="783"/>
      <c r="BY3170" s="783"/>
      <c r="BZ3170" s="783"/>
      <c r="CA3170" s="783"/>
      <c r="CB3170" s="783"/>
      <c r="CC3170" s="783"/>
      <c r="CD3170" s="783"/>
      <c r="CE3170" s="783"/>
      <c r="CF3170" s="783"/>
      <c r="CG3170" s="783"/>
      <c r="CH3170" s="783"/>
      <c r="CI3170" s="783"/>
      <c r="CJ3170" s="783"/>
      <c r="CK3170" s="783"/>
    </row>
    <row r="3171" spans="1:89" s="673" customFormat="1" ht="20.25" customHeight="1" x14ac:dyDescent="0.25">
      <c r="A3171" s="788"/>
      <c r="B3171" s="924" t="s">
        <v>1479</v>
      </c>
      <c r="C3171" s="699">
        <v>1</v>
      </c>
      <c r="D3171" s="961" t="s">
        <v>47</v>
      </c>
      <c r="E3171" s="700">
        <v>0</v>
      </c>
      <c r="F3171" s="714"/>
      <c r="G3171" s="714"/>
      <c r="H3171" s="714"/>
      <c r="I3171" s="714"/>
      <c r="J3171" s="714">
        <f>C3171*E3171</f>
        <v>0</v>
      </c>
      <c r="K3171" s="714">
        <f>I3171+J3171</f>
        <v>0</v>
      </c>
      <c r="L3171" s="714"/>
      <c r="M3171" s="714"/>
      <c r="N3171" s="714"/>
      <c r="O3171" s="753">
        <f t="shared" si="318"/>
        <v>0</v>
      </c>
      <c r="P3171" s="754"/>
      <c r="Q3171" s="783"/>
      <c r="R3171" s="783"/>
      <c r="S3171" s="783"/>
      <c r="T3171" s="783"/>
      <c r="U3171" s="783"/>
      <c r="V3171" s="783"/>
      <c r="W3171" s="783"/>
      <c r="X3171" s="783"/>
      <c r="Y3171" s="783"/>
      <c r="Z3171" s="783"/>
      <c r="AA3171" s="783"/>
      <c r="AB3171" s="783"/>
      <c r="AC3171" s="783"/>
      <c r="AD3171" s="783"/>
      <c r="AE3171" s="783"/>
      <c r="AF3171" s="783"/>
      <c r="AG3171" s="783"/>
      <c r="AH3171" s="783"/>
      <c r="AI3171" s="783"/>
      <c r="AJ3171" s="783"/>
      <c r="AK3171" s="783"/>
      <c r="AL3171" s="783"/>
      <c r="AM3171" s="783"/>
      <c r="AN3171" s="783"/>
      <c r="AO3171" s="783"/>
      <c r="AP3171" s="783"/>
      <c r="AQ3171" s="783"/>
      <c r="AR3171" s="783"/>
      <c r="AS3171" s="783"/>
      <c r="AT3171" s="783"/>
      <c r="AU3171" s="783"/>
      <c r="AV3171" s="783"/>
      <c r="AW3171" s="783"/>
      <c r="AX3171" s="783"/>
      <c r="AY3171" s="783"/>
      <c r="AZ3171" s="783"/>
      <c r="BA3171" s="783"/>
      <c r="BB3171" s="783"/>
      <c r="BC3171" s="783"/>
      <c r="BD3171" s="783"/>
      <c r="BE3171" s="783"/>
      <c r="BF3171" s="783"/>
      <c r="BG3171" s="783"/>
      <c r="BH3171" s="783"/>
      <c r="BI3171" s="783"/>
      <c r="BJ3171" s="783"/>
      <c r="BK3171" s="783"/>
      <c r="BL3171" s="783"/>
      <c r="BM3171" s="783"/>
      <c r="BN3171" s="783"/>
      <c r="BO3171" s="783"/>
      <c r="BP3171" s="783"/>
      <c r="BQ3171" s="783"/>
      <c r="BR3171" s="783"/>
      <c r="BS3171" s="783"/>
      <c r="BT3171" s="783"/>
      <c r="BU3171" s="783"/>
      <c r="BV3171" s="783"/>
      <c r="BW3171" s="783"/>
      <c r="BX3171" s="783"/>
      <c r="BY3171" s="783"/>
      <c r="BZ3171" s="783"/>
      <c r="CA3171" s="783"/>
      <c r="CB3171" s="783"/>
      <c r="CC3171" s="783"/>
      <c r="CD3171" s="783"/>
      <c r="CE3171" s="783"/>
      <c r="CF3171" s="783"/>
      <c r="CG3171" s="783"/>
      <c r="CH3171" s="783"/>
      <c r="CI3171" s="783"/>
      <c r="CJ3171" s="783"/>
      <c r="CK3171" s="783"/>
    </row>
    <row r="3172" spans="1:89" s="673" customFormat="1" ht="20.25" customHeight="1" x14ac:dyDescent="0.25">
      <c r="A3172" s="788"/>
      <c r="B3172" s="924" t="s">
        <v>1480</v>
      </c>
      <c r="C3172" s="699">
        <v>1</v>
      </c>
      <c r="D3172" s="961" t="s">
        <v>47</v>
      </c>
      <c r="E3172" s="700">
        <v>0</v>
      </c>
      <c r="F3172" s="714"/>
      <c r="G3172" s="714"/>
      <c r="H3172" s="714"/>
      <c r="I3172" s="714"/>
      <c r="J3172" s="714">
        <f>C3172*E3172</f>
        <v>0</v>
      </c>
      <c r="K3172" s="714">
        <f>I3172+J3172</f>
        <v>0</v>
      </c>
      <c r="L3172" s="714"/>
      <c r="M3172" s="714"/>
      <c r="N3172" s="714"/>
      <c r="O3172" s="753">
        <f t="shared" si="318"/>
        <v>0</v>
      </c>
      <c r="P3172" s="754"/>
      <c r="Q3172" s="783"/>
      <c r="R3172" s="783"/>
      <c r="S3172" s="783"/>
      <c r="T3172" s="783"/>
      <c r="U3172" s="783"/>
      <c r="V3172" s="783"/>
      <c r="W3172" s="783"/>
      <c r="X3172" s="783"/>
      <c r="Y3172" s="783"/>
      <c r="Z3172" s="783"/>
      <c r="AA3172" s="783"/>
      <c r="AB3172" s="783"/>
      <c r="AC3172" s="783"/>
      <c r="AD3172" s="783"/>
      <c r="AE3172" s="783"/>
      <c r="AF3172" s="783"/>
      <c r="AG3172" s="783"/>
      <c r="AH3172" s="783"/>
      <c r="AI3172" s="783"/>
      <c r="AJ3172" s="783"/>
      <c r="AK3172" s="783"/>
      <c r="AL3172" s="783"/>
      <c r="AM3172" s="783"/>
      <c r="AN3172" s="783"/>
      <c r="AO3172" s="783"/>
      <c r="AP3172" s="783"/>
      <c r="AQ3172" s="783"/>
      <c r="AR3172" s="783"/>
      <c r="AS3172" s="783"/>
      <c r="AT3172" s="783"/>
      <c r="AU3172" s="783"/>
      <c r="AV3172" s="783"/>
      <c r="AW3172" s="783"/>
      <c r="AX3172" s="783"/>
      <c r="AY3172" s="783"/>
      <c r="AZ3172" s="783"/>
      <c r="BA3172" s="783"/>
      <c r="BB3172" s="783"/>
      <c r="BC3172" s="783"/>
      <c r="BD3172" s="783"/>
      <c r="BE3172" s="783"/>
      <c r="BF3172" s="783"/>
      <c r="BG3172" s="783"/>
      <c r="BH3172" s="783"/>
      <c r="BI3172" s="783"/>
      <c r="BJ3172" s="783"/>
      <c r="BK3172" s="783"/>
      <c r="BL3172" s="783"/>
      <c r="BM3172" s="783"/>
      <c r="BN3172" s="783"/>
      <c r="BO3172" s="783"/>
      <c r="BP3172" s="783"/>
      <c r="BQ3172" s="783"/>
      <c r="BR3172" s="783"/>
      <c r="BS3172" s="783"/>
      <c r="BT3172" s="783"/>
      <c r="BU3172" s="783"/>
      <c r="BV3172" s="783"/>
      <c r="BW3172" s="783"/>
      <c r="BX3172" s="783"/>
      <c r="BY3172" s="783"/>
      <c r="BZ3172" s="783"/>
      <c r="CA3172" s="783"/>
      <c r="CB3172" s="783"/>
      <c r="CC3172" s="783"/>
      <c r="CD3172" s="783"/>
      <c r="CE3172" s="783"/>
      <c r="CF3172" s="783"/>
      <c r="CG3172" s="783"/>
      <c r="CH3172" s="783"/>
      <c r="CI3172" s="783"/>
      <c r="CJ3172" s="783"/>
      <c r="CK3172" s="783"/>
    </row>
    <row r="3173" spans="1:89" s="673" customFormat="1" ht="20.25" customHeight="1" x14ac:dyDescent="0.25">
      <c r="A3173" s="788"/>
      <c r="B3173" s="924" t="s">
        <v>1481</v>
      </c>
      <c r="C3173" s="699">
        <v>1</v>
      </c>
      <c r="D3173" s="961" t="s">
        <v>47</v>
      </c>
      <c r="E3173" s="700">
        <v>50000</v>
      </c>
      <c r="F3173" s="714"/>
      <c r="G3173" s="714"/>
      <c r="H3173" s="714"/>
      <c r="I3173" s="714"/>
      <c r="J3173" s="714">
        <f>C3173*E3173</f>
        <v>50000</v>
      </c>
      <c r="K3173" s="714">
        <f>I3173+J3173</f>
        <v>50000</v>
      </c>
      <c r="L3173" s="714"/>
      <c r="M3173" s="714"/>
      <c r="N3173" s="714"/>
      <c r="O3173" s="753">
        <f t="shared" si="318"/>
        <v>50000</v>
      </c>
      <c r="P3173" s="754"/>
      <c r="Q3173" s="783"/>
      <c r="R3173" s="783"/>
      <c r="S3173" s="783"/>
      <c r="T3173" s="783"/>
      <c r="U3173" s="783"/>
      <c r="V3173" s="783"/>
      <c r="W3173" s="783"/>
      <c r="X3173" s="783"/>
      <c r="Y3173" s="783"/>
      <c r="Z3173" s="783"/>
      <c r="AA3173" s="783"/>
      <c r="AB3173" s="783"/>
      <c r="AC3173" s="783"/>
      <c r="AD3173" s="783"/>
      <c r="AE3173" s="783"/>
      <c r="AF3173" s="783"/>
      <c r="AG3173" s="783"/>
      <c r="AH3173" s="783"/>
      <c r="AI3173" s="783"/>
      <c r="AJ3173" s="783"/>
      <c r="AK3173" s="783"/>
      <c r="AL3173" s="783"/>
      <c r="AM3173" s="783"/>
      <c r="AN3173" s="783"/>
      <c r="AO3173" s="783"/>
      <c r="AP3173" s="783"/>
      <c r="AQ3173" s="783"/>
      <c r="AR3173" s="783"/>
      <c r="AS3173" s="783"/>
      <c r="AT3173" s="783"/>
      <c r="AU3173" s="783"/>
      <c r="AV3173" s="783"/>
      <c r="AW3173" s="783"/>
      <c r="AX3173" s="783"/>
      <c r="AY3173" s="783"/>
      <c r="AZ3173" s="783"/>
      <c r="BA3173" s="783"/>
      <c r="BB3173" s="783"/>
      <c r="BC3173" s="783"/>
      <c r="BD3173" s="783"/>
      <c r="BE3173" s="783"/>
      <c r="BF3173" s="783"/>
      <c r="BG3173" s="783"/>
      <c r="BH3173" s="783"/>
      <c r="BI3173" s="783"/>
      <c r="BJ3173" s="783"/>
      <c r="BK3173" s="783"/>
      <c r="BL3173" s="783"/>
      <c r="BM3173" s="783"/>
      <c r="BN3173" s="783"/>
      <c r="BO3173" s="783"/>
      <c r="BP3173" s="783"/>
      <c r="BQ3173" s="783"/>
      <c r="BR3173" s="783"/>
      <c r="BS3173" s="783"/>
      <c r="BT3173" s="783"/>
      <c r="BU3173" s="783"/>
      <c r="BV3173" s="783"/>
      <c r="BW3173" s="783"/>
      <c r="BX3173" s="783"/>
      <c r="BY3173" s="783"/>
      <c r="BZ3173" s="783"/>
      <c r="CA3173" s="783"/>
      <c r="CB3173" s="783"/>
      <c r="CC3173" s="783"/>
      <c r="CD3173" s="783"/>
      <c r="CE3173" s="783"/>
      <c r="CF3173" s="783"/>
      <c r="CG3173" s="783"/>
      <c r="CH3173" s="783"/>
      <c r="CI3173" s="783"/>
      <c r="CJ3173" s="783"/>
      <c r="CK3173" s="783"/>
    </row>
    <row r="3174" spans="1:89" s="673" customFormat="1" ht="20.25" customHeight="1" x14ac:dyDescent="0.25">
      <c r="A3174" s="788"/>
      <c r="B3174" s="924" t="s">
        <v>1482</v>
      </c>
      <c r="C3174" s="699">
        <v>5</v>
      </c>
      <c r="D3174" s="961" t="s">
        <v>1645</v>
      </c>
      <c r="E3174" s="700">
        <v>13000</v>
      </c>
      <c r="F3174" s="714"/>
      <c r="G3174" s="714"/>
      <c r="H3174" s="714"/>
      <c r="I3174" s="714"/>
      <c r="J3174" s="714"/>
      <c r="K3174" s="714"/>
      <c r="L3174" s="714">
        <f>E3174*C3174</f>
        <v>65000</v>
      </c>
      <c r="M3174" s="714"/>
      <c r="N3174" s="714">
        <f>M3174+L3174</f>
        <v>65000</v>
      </c>
      <c r="O3174" s="753">
        <f t="shared" si="318"/>
        <v>65000</v>
      </c>
      <c r="P3174" s="754"/>
      <c r="Q3174" s="783"/>
      <c r="R3174" s="783"/>
      <c r="S3174" s="783"/>
      <c r="T3174" s="783"/>
      <c r="U3174" s="783"/>
      <c r="V3174" s="783"/>
      <c r="W3174" s="783"/>
      <c r="X3174" s="783"/>
      <c r="Y3174" s="783"/>
      <c r="Z3174" s="783"/>
      <c r="AA3174" s="783"/>
      <c r="AB3174" s="783"/>
      <c r="AC3174" s="783"/>
      <c r="AD3174" s="783"/>
      <c r="AE3174" s="783"/>
      <c r="AF3174" s="783"/>
      <c r="AG3174" s="783"/>
      <c r="AH3174" s="783"/>
      <c r="AI3174" s="783"/>
      <c r="AJ3174" s="783"/>
      <c r="AK3174" s="783"/>
      <c r="AL3174" s="783"/>
      <c r="AM3174" s="783"/>
      <c r="AN3174" s="783"/>
      <c r="AO3174" s="783"/>
      <c r="AP3174" s="783"/>
      <c r="AQ3174" s="783"/>
      <c r="AR3174" s="783"/>
      <c r="AS3174" s="783"/>
      <c r="AT3174" s="783"/>
      <c r="AU3174" s="783"/>
      <c r="AV3174" s="783"/>
      <c r="AW3174" s="783"/>
      <c r="AX3174" s="783"/>
      <c r="AY3174" s="783"/>
      <c r="AZ3174" s="783"/>
      <c r="BA3174" s="783"/>
      <c r="BB3174" s="783"/>
      <c r="BC3174" s="783"/>
      <c r="BD3174" s="783"/>
      <c r="BE3174" s="783"/>
      <c r="BF3174" s="783"/>
      <c r="BG3174" s="783"/>
      <c r="BH3174" s="783"/>
      <c r="BI3174" s="783"/>
      <c r="BJ3174" s="783"/>
      <c r="BK3174" s="783"/>
      <c r="BL3174" s="783"/>
      <c r="BM3174" s="783"/>
      <c r="BN3174" s="783"/>
      <c r="BO3174" s="783"/>
      <c r="BP3174" s="783"/>
      <c r="BQ3174" s="783"/>
      <c r="BR3174" s="783"/>
      <c r="BS3174" s="783"/>
      <c r="BT3174" s="783"/>
      <c r="BU3174" s="783"/>
      <c r="BV3174" s="783"/>
      <c r="BW3174" s="783"/>
      <c r="BX3174" s="783"/>
      <c r="BY3174" s="783"/>
      <c r="BZ3174" s="783"/>
      <c r="CA3174" s="783"/>
      <c r="CB3174" s="783"/>
      <c r="CC3174" s="783"/>
      <c r="CD3174" s="783"/>
      <c r="CE3174" s="783"/>
      <c r="CF3174" s="783"/>
      <c r="CG3174" s="783"/>
      <c r="CH3174" s="783"/>
      <c r="CI3174" s="783"/>
      <c r="CJ3174" s="783"/>
      <c r="CK3174" s="783"/>
    </row>
    <row r="3175" spans="1:89" s="673" customFormat="1" ht="20.25" customHeight="1" x14ac:dyDescent="0.25">
      <c r="A3175" s="788"/>
      <c r="B3175" s="924" t="s">
        <v>1646</v>
      </c>
      <c r="C3175" s="699">
        <v>0</v>
      </c>
      <c r="D3175" s="961" t="s">
        <v>1645</v>
      </c>
      <c r="E3175" s="700">
        <v>150000</v>
      </c>
      <c r="F3175" s="714"/>
      <c r="G3175" s="714"/>
      <c r="H3175" s="714"/>
      <c r="I3175" s="714"/>
      <c r="J3175" s="714">
        <f>C3175*E3175</f>
        <v>0</v>
      </c>
      <c r="K3175" s="714">
        <f>I3175+J3175</f>
        <v>0</v>
      </c>
      <c r="L3175" s="714"/>
      <c r="M3175" s="714"/>
      <c r="N3175" s="714"/>
      <c r="O3175" s="753">
        <f t="shared" si="318"/>
        <v>0</v>
      </c>
      <c r="P3175" s="754"/>
      <c r="Q3175" s="783"/>
      <c r="R3175" s="783"/>
      <c r="S3175" s="783"/>
      <c r="T3175" s="783"/>
      <c r="U3175" s="783"/>
      <c r="V3175" s="783"/>
      <c r="W3175" s="783"/>
      <c r="X3175" s="783"/>
      <c r="Y3175" s="783"/>
      <c r="Z3175" s="783"/>
      <c r="AA3175" s="783"/>
      <c r="AB3175" s="783"/>
      <c r="AC3175" s="783"/>
      <c r="AD3175" s="783"/>
      <c r="AE3175" s="783"/>
      <c r="AF3175" s="783"/>
      <c r="AG3175" s="783"/>
      <c r="AH3175" s="783"/>
      <c r="AI3175" s="783"/>
      <c r="AJ3175" s="783"/>
      <c r="AK3175" s="783"/>
      <c r="AL3175" s="783"/>
      <c r="AM3175" s="783"/>
      <c r="AN3175" s="783"/>
      <c r="AO3175" s="783"/>
      <c r="AP3175" s="783"/>
      <c r="AQ3175" s="783"/>
      <c r="AR3175" s="783"/>
      <c r="AS3175" s="783"/>
      <c r="AT3175" s="783"/>
      <c r="AU3175" s="783"/>
      <c r="AV3175" s="783"/>
      <c r="AW3175" s="783"/>
      <c r="AX3175" s="783"/>
      <c r="AY3175" s="783"/>
      <c r="AZ3175" s="783"/>
      <c r="BA3175" s="783"/>
      <c r="BB3175" s="783"/>
      <c r="BC3175" s="783"/>
      <c r="BD3175" s="783"/>
      <c r="BE3175" s="783"/>
      <c r="BF3175" s="783"/>
      <c r="BG3175" s="783"/>
      <c r="BH3175" s="783"/>
      <c r="BI3175" s="783"/>
      <c r="BJ3175" s="783"/>
      <c r="BK3175" s="783"/>
      <c r="BL3175" s="783"/>
      <c r="BM3175" s="783"/>
      <c r="BN3175" s="783"/>
      <c r="BO3175" s="783"/>
      <c r="BP3175" s="783"/>
      <c r="BQ3175" s="783"/>
      <c r="BR3175" s="783"/>
      <c r="BS3175" s="783"/>
      <c r="BT3175" s="783"/>
      <c r="BU3175" s="783"/>
      <c r="BV3175" s="783"/>
      <c r="BW3175" s="783"/>
      <c r="BX3175" s="783"/>
      <c r="BY3175" s="783"/>
      <c r="BZ3175" s="783"/>
      <c r="CA3175" s="783"/>
      <c r="CB3175" s="783"/>
      <c r="CC3175" s="783"/>
      <c r="CD3175" s="783"/>
      <c r="CE3175" s="783"/>
      <c r="CF3175" s="783"/>
      <c r="CG3175" s="783"/>
      <c r="CH3175" s="783"/>
      <c r="CI3175" s="783"/>
      <c r="CJ3175" s="783"/>
      <c r="CK3175" s="783"/>
    </row>
    <row r="3176" spans="1:89" s="673" customFormat="1" ht="20.25" customHeight="1" x14ac:dyDescent="0.25">
      <c r="A3176" s="788"/>
      <c r="B3176" s="924" t="s">
        <v>1483</v>
      </c>
      <c r="C3176" s="699">
        <v>1</v>
      </c>
      <c r="D3176" s="961" t="s">
        <v>47</v>
      </c>
      <c r="E3176" s="700">
        <v>500054</v>
      </c>
      <c r="F3176" s="714"/>
      <c r="G3176" s="714"/>
      <c r="H3176" s="714"/>
      <c r="I3176" s="714"/>
      <c r="J3176" s="714">
        <f>C3176*E3176</f>
        <v>500054</v>
      </c>
      <c r="K3176" s="714">
        <f>I3176+J3176</f>
        <v>500054</v>
      </c>
      <c r="L3176" s="714"/>
      <c r="M3176" s="714"/>
      <c r="N3176" s="714"/>
      <c r="O3176" s="753">
        <f t="shared" si="318"/>
        <v>500054</v>
      </c>
      <c r="P3176" s="754"/>
      <c r="Q3176" s="783"/>
      <c r="R3176" s="783"/>
      <c r="S3176" s="783"/>
      <c r="T3176" s="783"/>
      <c r="U3176" s="783"/>
      <c r="V3176" s="783"/>
      <c r="W3176" s="783"/>
      <c r="X3176" s="783"/>
      <c r="Y3176" s="783"/>
      <c r="Z3176" s="783"/>
      <c r="AA3176" s="783"/>
      <c r="AB3176" s="783"/>
      <c r="AC3176" s="783"/>
      <c r="AD3176" s="783"/>
      <c r="AE3176" s="783"/>
      <c r="AF3176" s="783"/>
      <c r="AG3176" s="783"/>
      <c r="AH3176" s="783"/>
      <c r="AI3176" s="783"/>
      <c r="AJ3176" s="783"/>
      <c r="AK3176" s="783"/>
      <c r="AL3176" s="783"/>
      <c r="AM3176" s="783"/>
      <c r="AN3176" s="783"/>
      <c r="AO3176" s="783"/>
      <c r="AP3176" s="783"/>
      <c r="AQ3176" s="783"/>
      <c r="AR3176" s="783"/>
      <c r="AS3176" s="783"/>
      <c r="AT3176" s="783"/>
      <c r="AU3176" s="783"/>
      <c r="AV3176" s="783"/>
      <c r="AW3176" s="783"/>
      <c r="AX3176" s="783"/>
      <c r="AY3176" s="783"/>
      <c r="AZ3176" s="783"/>
      <c r="BA3176" s="783"/>
      <c r="BB3176" s="783"/>
      <c r="BC3176" s="783"/>
      <c r="BD3176" s="783"/>
      <c r="BE3176" s="783"/>
      <c r="BF3176" s="783"/>
      <c r="BG3176" s="783"/>
      <c r="BH3176" s="783"/>
      <c r="BI3176" s="783"/>
      <c r="BJ3176" s="783"/>
      <c r="BK3176" s="783"/>
      <c r="BL3176" s="783"/>
      <c r="BM3176" s="783"/>
      <c r="BN3176" s="783"/>
      <c r="BO3176" s="783"/>
      <c r="BP3176" s="783"/>
      <c r="BQ3176" s="783"/>
      <c r="BR3176" s="783"/>
      <c r="BS3176" s="783"/>
      <c r="BT3176" s="783"/>
      <c r="BU3176" s="783"/>
      <c r="BV3176" s="783"/>
      <c r="BW3176" s="783"/>
      <c r="BX3176" s="783"/>
      <c r="BY3176" s="783"/>
      <c r="BZ3176" s="783"/>
      <c r="CA3176" s="783"/>
      <c r="CB3176" s="783"/>
      <c r="CC3176" s="783"/>
      <c r="CD3176" s="783"/>
      <c r="CE3176" s="783"/>
      <c r="CF3176" s="783"/>
      <c r="CG3176" s="783"/>
      <c r="CH3176" s="783"/>
      <c r="CI3176" s="783"/>
      <c r="CJ3176" s="783"/>
      <c r="CK3176" s="783"/>
    </row>
    <row r="3177" spans="1:89" s="673" customFormat="1" ht="20.25" customHeight="1" x14ac:dyDescent="0.25">
      <c r="A3177" s="788"/>
      <c r="B3177" s="924" t="s">
        <v>1393</v>
      </c>
      <c r="C3177" s="699">
        <v>960</v>
      </c>
      <c r="D3177" s="961" t="s">
        <v>47</v>
      </c>
      <c r="E3177" s="700">
        <v>60</v>
      </c>
      <c r="F3177" s="714"/>
      <c r="G3177" s="714"/>
      <c r="H3177" s="714"/>
      <c r="I3177" s="714"/>
      <c r="J3177" s="714">
        <f>C3177*E3177</f>
        <v>57600</v>
      </c>
      <c r="K3177" s="714">
        <f>I3177+J3177</f>
        <v>57600</v>
      </c>
      <c r="L3177" s="714"/>
      <c r="M3177" s="714"/>
      <c r="N3177" s="714"/>
      <c r="O3177" s="753">
        <f t="shared" si="318"/>
        <v>57600</v>
      </c>
      <c r="P3177" s="754"/>
      <c r="Q3177" s="783"/>
      <c r="R3177" s="783"/>
      <c r="S3177" s="783"/>
      <c r="T3177" s="783"/>
      <c r="U3177" s="783"/>
      <c r="V3177" s="783"/>
      <c r="W3177" s="783"/>
      <c r="X3177" s="783"/>
      <c r="Y3177" s="783"/>
      <c r="Z3177" s="783"/>
      <c r="AA3177" s="783"/>
      <c r="AB3177" s="783"/>
      <c r="AC3177" s="783"/>
      <c r="AD3177" s="783"/>
      <c r="AE3177" s="783"/>
      <c r="AF3177" s="783"/>
      <c r="AG3177" s="783"/>
      <c r="AH3177" s="783"/>
      <c r="AI3177" s="783"/>
      <c r="AJ3177" s="783"/>
      <c r="AK3177" s="783"/>
      <c r="AL3177" s="783"/>
      <c r="AM3177" s="783"/>
      <c r="AN3177" s="783"/>
      <c r="AO3177" s="783"/>
      <c r="AP3177" s="783"/>
      <c r="AQ3177" s="783"/>
      <c r="AR3177" s="783"/>
      <c r="AS3177" s="783"/>
      <c r="AT3177" s="783"/>
      <c r="AU3177" s="783"/>
      <c r="AV3177" s="783"/>
      <c r="AW3177" s="783"/>
      <c r="AX3177" s="783"/>
      <c r="AY3177" s="783"/>
      <c r="AZ3177" s="783"/>
      <c r="BA3177" s="783"/>
      <c r="BB3177" s="783"/>
      <c r="BC3177" s="783"/>
      <c r="BD3177" s="783"/>
      <c r="BE3177" s="783"/>
      <c r="BF3177" s="783"/>
      <c r="BG3177" s="783"/>
      <c r="BH3177" s="783"/>
      <c r="BI3177" s="783"/>
      <c r="BJ3177" s="783"/>
      <c r="BK3177" s="783"/>
      <c r="BL3177" s="783"/>
      <c r="BM3177" s="783"/>
      <c r="BN3177" s="783"/>
      <c r="BO3177" s="783"/>
      <c r="BP3177" s="783"/>
      <c r="BQ3177" s="783"/>
      <c r="BR3177" s="783"/>
      <c r="BS3177" s="783"/>
      <c r="BT3177" s="783"/>
      <c r="BU3177" s="783"/>
      <c r="BV3177" s="783"/>
      <c r="BW3177" s="783"/>
      <c r="BX3177" s="783"/>
      <c r="BY3177" s="783"/>
      <c r="BZ3177" s="783"/>
      <c r="CA3177" s="783"/>
      <c r="CB3177" s="783"/>
      <c r="CC3177" s="783"/>
      <c r="CD3177" s="783"/>
      <c r="CE3177" s="783"/>
      <c r="CF3177" s="783"/>
      <c r="CG3177" s="783"/>
      <c r="CH3177" s="783"/>
      <c r="CI3177" s="783"/>
      <c r="CJ3177" s="783"/>
      <c r="CK3177" s="783"/>
    </row>
    <row r="3178" spans="1:89" s="673" customFormat="1" ht="20.25" customHeight="1" x14ac:dyDescent="0.25">
      <c r="A3178" s="788"/>
      <c r="B3178" s="924" t="s">
        <v>1647</v>
      </c>
      <c r="C3178" s="699">
        <v>1</v>
      </c>
      <c r="D3178" s="961" t="s">
        <v>47</v>
      </c>
      <c r="E3178" s="700">
        <v>57200</v>
      </c>
      <c r="F3178" s="758"/>
      <c r="G3178" s="758"/>
      <c r="H3178" s="758"/>
      <c r="I3178" s="758"/>
      <c r="J3178" s="758">
        <f>C3178*E3178</f>
        <v>57200</v>
      </c>
      <c r="K3178" s="758">
        <f>I3178+J3178</f>
        <v>57200</v>
      </c>
      <c r="L3178" s="758"/>
      <c r="M3178" s="758"/>
      <c r="N3178" s="700"/>
      <c r="O3178" s="701">
        <f t="shared" si="318"/>
        <v>57200</v>
      </c>
      <c r="P3178" s="702"/>
      <c r="Q3178" s="783"/>
      <c r="R3178" s="783"/>
      <c r="S3178" s="783"/>
      <c r="T3178" s="783"/>
      <c r="U3178" s="783"/>
      <c r="V3178" s="783"/>
      <c r="W3178" s="783"/>
      <c r="X3178" s="783"/>
      <c r="Y3178" s="783"/>
      <c r="Z3178" s="783"/>
      <c r="AA3178" s="783"/>
      <c r="AB3178" s="783"/>
      <c r="AC3178" s="783"/>
      <c r="AD3178" s="783"/>
      <c r="AE3178" s="783"/>
      <c r="AF3178" s="783"/>
      <c r="AG3178" s="783"/>
      <c r="AH3178" s="783"/>
      <c r="AI3178" s="783"/>
      <c r="AJ3178" s="783"/>
      <c r="AK3178" s="783"/>
      <c r="AL3178" s="783"/>
      <c r="AM3178" s="783"/>
      <c r="AN3178" s="783"/>
      <c r="AO3178" s="783"/>
      <c r="AP3178" s="783"/>
      <c r="AQ3178" s="783"/>
      <c r="AR3178" s="783"/>
      <c r="AS3178" s="783"/>
      <c r="AT3178" s="783"/>
      <c r="AU3178" s="783"/>
      <c r="AV3178" s="783"/>
      <c r="AW3178" s="783"/>
      <c r="AX3178" s="783"/>
      <c r="AY3178" s="783"/>
      <c r="AZ3178" s="783"/>
      <c r="BA3178" s="783"/>
      <c r="BB3178" s="783"/>
      <c r="BC3178" s="783"/>
      <c r="BD3178" s="783"/>
      <c r="BE3178" s="783"/>
      <c r="BF3178" s="783"/>
      <c r="BG3178" s="783"/>
      <c r="BH3178" s="783"/>
      <c r="BI3178" s="783"/>
      <c r="BJ3178" s="783"/>
      <c r="BK3178" s="783"/>
      <c r="BL3178" s="783"/>
      <c r="BM3178" s="783"/>
      <c r="BN3178" s="783"/>
      <c r="BO3178" s="783"/>
      <c r="BP3178" s="783"/>
      <c r="BQ3178" s="783"/>
      <c r="BR3178" s="783"/>
      <c r="BS3178" s="783"/>
      <c r="BT3178" s="783"/>
      <c r="BU3178" s="783"/>
      <c r="BV3178" s="783"/>
      <c r="BW3178" s="783"/>
      <c r="BX3178" s="783"/>
      <c r="BY3178" s="783"/>
      <c r="BZ3178" s="783"/>
      <c r="CA3178" s="783"/>
      <c r="CB3178" s="783"/>
      <c r="CC3178" s="783"/>
      <c r="CD3178" s="783"/>
      <c r="CE3178" s="783"/>
      <c r="CF3178" s="783"/>
      <c r="CG3178" s="783"/>
      <c r="CH3178" s="783"/>
      <c r="CI3178" s="783"/>
      <c r="CJ3178" s="783"/>
      <c r="CK3178" s="783"/>
    </row>
    <row r="3179" spans="1:89" s="673" customFormat="1" ht="20.25" customHeight="1" x14ac:dyDescent="0.25">
      <c r="A3179" s="788"/>
      <c r="B3179" s="924" t="s">
        <v>1648</v>
      </c>
      <c r="C3179" s="699">
        <v>1</v>
      </c>
      <c r="D3179" s="961" t="s">
        <v>47</v>
      </c>
      <c r="E3179" s="700">
        <v>50000</v>
      </c>
      <c r="F3179" s="758"/>
      <c r="G3179" s="758"/>
      <c r="H3179" s="758"/>
      <c r="I3179" s="758"/>
      <c r="J3179" s="758">
        <f>C3179*E3179</f>
        <v>50000</v>
      </c>
      <c r="K3179" s="758">
        <f>I3179+J3179</f>
        <v>50000</v>
      </c>
      <c r="L3179" s="758"/>
      <c r="M3179" s="758"/>
      <c r="N3179" s="700"/>
      <c r="O3179" s="701">
        <f t="shared" si="318"/>
        <v>50000</v>
      </c>
      <c r="P3179" s="702"/>
      <c r="Q3179" s="783"/>
      <c r="R3179" s="783"/>
      <c r="S3179" s="783"/>
      <c r="T3179" s="783"/>
      <c r="U3179" s="783"/>
      <c r="V3179" s="783"/>
      <c r="W3179" s="783"/>
      <c r="X3179" s="783"/>
      <c r="Y3179" s="783"/>
      <c r="Z3179" s="783"/>
      <c r="AA3179" s="783"/>
      <c r="AB3179" s="783"/>
      <c r="AC3179" s="783"/>
      <c r="AD3179" s="783"/>
      <c r="AE3179" s="783"/>
      <c r="AF3179" s="783"/>
      <c r="AG3179" s="783"/>
      <c r="AH3179" s="783"/>
      <c r="AI3179" s="783"/>
      <c r="AJ3179" s="783"/>
      <c r="AK3179" s="783"/>
      <c r="AL3179" s="783"/>
      <c r="AM3179" s="783"/>
      <c r="AN3179" s="783"/>
      <c r="AO3179" s="783"/>
      <c r="AP3179" s="783"/>
      <c r="AQ3179" s="783"/>
      <c r="AR3179" s="783"/>
      <c r="AS3179" s="783"/>
      <c r="AT3179" s="783"/>
      <c r="AU3179" s="783"/>
      <c r="AV3179" s="783"/>
      <c r="AW3179" s="783"/>
      <c r="AX3179" s="783"/>
      <c r="AY3179" s="783"/>
      <c r="AZ3179" s="783"/>
      <c r="BA3179" s="783"/>
      <c r="BB3179" s="783"/>
      <c r="BC3179" s="783"/>
      <c r="BD3179" s="783"/>
      <c r="BE3179" s="783"/>
      <c r="BF3179" s="783"/>
      <c r="BG3179" s="783"/>
      <c r="BH3179" s="783"/>
      <c r="BI3179" s="783"/>
      <c r="BJ3179" s="783"/>
      <c r="BK3179" s="783"/>
      <c r="BL3179" s="783"/>
      <c r="BM3179" s="783"/>
      <c r="BN3179" s="783"/>
      <c r="BO3179" s="783"/>
      <c r="BP3179" s="783"/>
      <c r="BQ3179" s="783"/>
      <c r="BR3179" s="783"/>
      <c r="BS3179" s="783"/>
      <c r="BT3179" s="783"/>
      <c r="BU3179" s="783"/>
      <c r="BV3179" s="783"/>
      <c r="BW3179" s="783"/>
      <c r="BX3179" s="783"/>
      <c r="BY3179" s="783"/>
      <c r="BZ3179" s="783"/>
      <c r="CA3179" s="783"/>
      <c r="CB3179" s="783"/>
      <c r="CC3179" s="783"/>
      <c r="CD3179" s="783"/>
      <c r="CE3179" s="783"/>
      <c r="CF3179" s="783"/>
      <c r="CG3179" s="783"/>
      <c r="CH3179" s="783"/>
      <c r="CI3179" s="783"/>
      <c r="CJ3179" s="783"/>
      <c r="CK3179" s="783"/>
    </row>
    <row r="3180" spans="1:89" s="673" customFormat="1" ht="20.25" customHeight="1" x14ac:dyDescent="0.25">
      <c r="A3180" s="788"/>
      <c r="B3180" s="924" t="s">
        <v>1649</v>
      </c>
      <c r="C3180" s="699">
        <v>10</v>
      </c>
      <c r="D3180" s="961" t="s">
        <v>76</v>
      </c>
      <c r="E3180" s="700">
        <v>15000</v>
      </c>
      <c r="F3180" s="714"/>
      <c r="G3180" s="714"/>
      <c r="H3180" s="714"/>
      <c r="I3180" s="714"/>
      <c r="J3180" s="714"/>
      <c r="K3180" s="714"/>
      <c r="L3180" s="714">
        <f>E3180*C3180</f>
        <v>150000</v>
      </c>
      <c r="M3180" s="714"/>
      <c r="N3180" s="714">
        <f>M3180+L3180</f>
        <v>150000</v>
      </c>
      <c r="O3180" s="753">
        <f t="shared" si="318"/>
        <v>150000</v>
      </c>
      <c r="P3180" s="754"/>
      <c r="Q3180" s="783"/>
      <c r="R3180" s="783"/>
      <c r="S3180" s="783"/>
      <c r="T3180" s="783"/>
      <c r="U3180" s="783"/>
      <c r="V3180" s="783"/>
      <c r="W3180" s="783"/>
      <c r="X3180" s="783"/>
      <c r="Y3180" s="783"/>
      <c r="Z3180" s="783"/>
      <c r="AA3180" s="783"/>
      <c r="AB3180" s="783"/>
      <c r="AC3180" s="783"/>
      <c r="AD3180" s="783"/>
      <c r="AE3180" s="783"/>
      <c r="AF3180" s="783"/>
      <c r="AG3180" s="783"/>
      <c r="AH3180" s="783"/>
      <c r="AI3180" s="783"/>
      <c r="AJ3180" s="783"/>
      <c r="AK3180" s="783"/>
      <c r="AL3180" s="783"/>
      <c r="AM3180" s="783"/>
      <c r="AN3180" s="783"/>
      <c r="AO3180" s="783"/>
      <c r="AP3180" s="783"/>
      <c r="AQ3180" s="783"/>
      <c r="AR3180" s="783"/>
      <c r="AS3180" s="783"/>
      <c r="AT3180" s="783"/>
      <c r="AU3180" s="783"/>
      <c r="AV3180" s="783"/>
      <c r="AW3180" s="783"/>
      <c r="AX3180" s="783"/>
      <c r="AY3180" s="783"/>
      <c r="AZ3180" s="783"/>
      <c r="BA3180" s="783"/>
      <c r="BB3180" s="783"/>
      <c r="BC3180" s="783"/>
      <c r="BD3180" s="783"/>
      <c r="BE3180" s="783"/>
      <c r="BF3180" s="783"/>
      <c r="BG3180" s="783"/>
      <c r="BH3180" s="783"/>
      <c r="BI3180" s="783"/>
      <c r="BJ3180" s="783"/>
      <c r="BK3180" s="783"/>
      <c r="BL3180" s="783"/>
      <c r="BM3180" s="783"/>
      <c r="BN3180" s="783"/>
      <c r="BO3180" s="783"/>
      <c r="BP3180" s="783"/>
      <c r="BQ3180" s="783"/>
      <c r="BR3180" s="783"/>
      <c r="BS3180" s="783"/>
      <c r="BT3180" s="783"/>
      <c r="BU3180" s="783"/>
      <c r="BV3180" s="783"/>
      <c r="BW3180" s="783"/>
      <c r="BX3180" s="783"/>
      <c r="BY3180" s="783"/>
      <c r="BZ3180" s="783"/>
      <c r="CA3180" s="783"/>
      <c r="CB3180" s="783"/>
      <c r="CC3180" s="783"/>
      <c r="CD3180" s="783"/>
      <c r="CE3180" s="783"/>
      <c r="CF3180" s="783"/>
      <c r="CG3180" s="783"/>
      <c r="CH3180" s="783"/>
      <c r="CI3180" s="783"/>
      <c r="CJ3180" s="783"/>
      <c r="CK3180" s="783"/>
    </row>
    <row r="3181" spans="1:89" s="673" customFormat="1" ht="20.25" customHeight="1" x14ac:dyDescent="0.25">
      <c r="A3181" s="788"/>
      <c r="B3181" s="924" t="s">
        <v>1650</v>
      </c>
      <c r="C3181" s="699">
        <v>1</v>
      </c>
      <c r="D3181" s="961" t="s">
        <v>76</v>
      </c>
      <c r="E3181" s="700">
        <v>17810</v>
      </c>
      <c r="F3181" s="714"/>
      <c r="G3181" s="714"/>
      <c r="H3181" s="714"/>
      <c r="I3181" s="714"/>
      <c r="J3181" s="714"/>
      <c r="K3181" s="714"/>
      <c r="L3181" s="714">
        <f>E3181*C3181</f>
        <v>17810</v>
      </c>
      <c r="M3181" s="714"/>
      <c r="N3181" s="714">
        <f>M3181+L3181</f>
        <v>17810</v>
      </c>
      <c r="O3181" s="753">
        <f t="shared" si="318"/>
        <v>17810</v>
      </c>
      <c r="P3181" s="754"/>
      <c r="Q3181" s="783"/>
      <c r="R3181" s="783"/>
      <c r="S3181" s="783"/>
      <c r="T3181" s="783"/>
      <c r="U3181" s="783"/>
      <c r="V3181" s="783"/>
      <c r="W3181" s="783"/>
      <c r="X3181" s="783"/>
      <c r="Y3181" s="783"/>
      <c r="Z3181" s="783"/>
      <c r="AA3181" s="783"/>
      <c r="AB3181" s="783"/>
      <c r="AC3181" s="783"/>
      <c r="AD3181" s="783"/>
      <c r="AE3181" s="783"/>
      <c r="AF3181" s="783"/>
      <c r="AG3181" s="783"/>
      <c r="AH3181" s="783"/>
      <c r="AI3181" s="783"/>
      <c r="AJ3181" s="783"/>
      <c r="AK3181" s="783"/>
      <c r="AL3181" s="783"/>
      <c r="AM3181" s="783"/>
      <c r="AN3181" s="783"/>
      <c r="AO3181" s="783"/>
      <c r="AP3181" s="783"/>
      <c r="AQ3181" s="783"/>
      <c r="AR3181" s="783"/>
      <c r="AS3181" s="783"/>
      <c r="AT3181" s="783"/>
      <c r="AU3181" s="783"/>
      <c r="AV3181" s="783"/>
      <c r="AW3181" s="783"/>
      <c r="AX3181" s="783"/>
      <c r="AY3181" s="783"/>
      <c r="AZ3181" s="783"/>
      <c r="BA3181" s="783"/>
      <c r="BB3181" s="783"/>
      <c r="BC3181" s="783"/>
      <c r="BD3181" s="783"/>
      <c r="BE3181" s="783"/>
      <c r="BF3181" s="783"/>
      <c r="BG3181" s="783"/>
      <c r="BH3181" s="783"/>
      <c r="BI3181" s="783"/>
      <c r="BJ3181" s="783"/>
      <c r="BK3181" s="783"/>
      <c r="BL3181" s="783"/>
      <c r="BM3181" s="783"/>
      <c r="BN3181" s="783"/>
      <c r="BO3181" s="783"/>
      <c r="BP3181" s="783"/>
      <c r="BQ3181" s="783"/>
      <c r="BR3181" s="783"/>
      <c r="BS3181" s="783"/>
      <c r="BT3181" s="783"/>
      <c r="BU3181" s="783"/>
      <c r="BV3181" s="783"/>
      <c r="BW3181" s="783"/>
      <c r="BX3181" s="783"/>
      <c r="BY3181" s="783"/>
      <c r="BZ3181" s="783"/>
      <c r="CA3181" s="783"/>
      <c r="CB3181" s="783"/>
      <c r="CC3181" s="783"/>
      <c r="CD3181" s="783"/>
      <c r="CE3181" s="783"/>
      <c r="CF3181" s="783"/>
      <c r="CG3181" s="783"/>
      <c r="CH3181" s="783"/>
      <c r="CI3181" s="783"/>
      <c r="CJ3181" s="783"/>
      <c r="CK3181" s="783"/>
    </row>
    <row r="3182" spans="1:89" s="673" customFormat="1" ht="20.25" customHeight="1" x14ac:dyDescent="0.25">
      <c r="A3182" s="788"/>
      <c r="B3182" s="924"/>
      <c r="C3182" s="699"/>
      <c r="D3182" s="961"/>
      <c r="E3182" s="700"/>
      <c r="F3182" s="714"/>
      <c r="G3182" s="714"/>
      <c r="H3182" s="714"/>
      <c r="I3182" s="714"/>
      <c r="J3182" s="714"/>
      <c r="K3182" s="714"/>
      <c r="L3182" s="714"/>
      <c r="M3182" s="714"/>
      <c r="N3182" s="714"/>
      <c r="O3182" s="753"/>
      <c r="P3182" s="754"/>
      <c r="Q3182" s="783"/>
      <c r="R3182" s="783"/>
      <c r="S3182" s="783"/>
      <c r="T3182" s="783"/>
      <c r="U3182" s="783"/>
      <c r="V3182" s="783"/>
      <c r="W3182" s="783"/>
      <c r="X3182" s="783"/>
      <c r="Y3182" s="783"/>
      <c r="Z3182" s="783"/>
      <c r="AA3182" s="783"/>
      <c r="AB3182" s="783"/>
      <c r="AC3182" s="783"/>
      <c r="AD3182" s="783"/>
      <c r="AE3182" s="783"/>
      <c r="AF3182" s="783"/>
      <c r="AG3182" s="783"/>
      <c r="AH3182" s="783"/>
      <c r="AI3182" s="783"/>
      <c r="AJ3182" s="783"/>
      <c r="AK3182" s="783"/>
      <c r="AL3182" s="783"/>
      <c r="AM3182" s="783"/>
      <c r="AN3182" s="783"/>
      <c r="AO3182" s="783"/>
      <c r="AP3182" s="783"/>
      <c r="AQ3182" s="783"/>
      <c r="AR3182" s="783"/>
      <c r="AS3182" s="783"/>
      <c r="AT3182" s="783"/>
      <c r="AU3182" s="783"/>
      <c r="AV3182" s="783"/>
      <c r="AW3182" s="783"/>
      <c r="AX3182" s="783"/>
      <c r="AY3182" s="783"/>
      <c r="AZ3182" s="783"/>
      <c r="BA3182" s="783"/>
      <c r="BB3182" s="783"/>
      <c r="BC3182" s="783"/>
      <c r="BD3182" s="783"/>
      <c r="BE3182" s="783"/>
      <c r="BF3182" s="783"/>
      <c r="BG3182" s="783"/>
      <c r="BH3182" s="783"/>
      <c r="BI3182" s="783"/>
      <c r="BJ3182" s="783"/>
      <c r="BK3182" s="783"/>
      <c r="BL3182" s="783"/>
      <c r="BM3182" s="783"/>
      <c r="BN3182" s="783"/>
      <c r="BO3182" s="783"/>
      <c r="BP3182" s="783"/>
      <c r="BQ3182" s="783"/>
      <c r="BR3182" s="783"/>
      <c r="BS3182" s="783"/>
      <c r="BT3182" s="783"/>
      <c r="BU3182" s="783"/>
      <c r="BV3182" s="783"/>
      <c r="BW3182" s="783"/>
      <c r="BX3182" s="783"/>
      <c r="BY3182" s="783"/>
      <c r="BZ3182" s="783"/>
      <c r="CA3182" s="783"/>
      <c r="CB3182" s="783"/>
      <c r="CC3182" s="783"/>
      <c r="CD3182" s="783"/>
      <c r="CE3182" s="783"/>
      <c r="CF3182" s="783"/>
      <c r="CG3182" s="783"/>
      <c r="CH3182" s="783"/>
      <c r="CI3182" s="783"/>
      <c r="CJ3182" s="783"/>
      <c r="CK3182" s="783"/>
    </row>
    <row r="3183" spans="1:89" s="673" customFormat="1" ht="20.25" customHeight="1" x14ac:dyDescent="0.25">
      <c r="A3183" s="788"/>
      <c r="B3183" s="924"/>
      <c r="C3183" s="699"/>
      <c r="D3183" s="961"/>
      <c r="E3183" s="700"/>
      <c r="F3183" s="714"/>
      <c r="G3183" s="714"/>
      <c r="H3183" s="714"/>
      <c r="I3183" s="714"/>
      <c r="J3183" s="714"/>
      <c r="K3183" s="714"/>
      <c r="L3183" s="714"/>
      <c r="M3183" s="714"/>
      <c r="N3183" s="714"/>
      <c r="O3183" s="753"/>
      <c r="P3183" s="754"/>
      <c r="Q3183" s="783"/>
      <c r="R3183" s="783"/>
      <c r="S3183" s="783"/>
      <c r="T3183" s="783"/>
      <c r="U3183" s="783"/>
      <c r="V3183" s="783"/>
      <c r="W3183" s="783"/>
      <c r="X3183" s="783"/>
      <c r="Y3183" s="783"/>
      <c r="Z3183" s="783"/>
      <c r="AA3183" s="783"/>
      <c r="AB3183" s="783"/>
      <c r="AC3183" s="783"/>
      <c r="AD3183" s="783"/>
      <c r="AE3183" s="783"/>
      <c r="AF3183" s="783"/>
      <c r="AG3183" s="783"/>
      <c r="AH3183" s="783"/>
      <c r="AI3183" s="783"/>
      <c r="AJ3183" s="783"/>
      <c r="AK3183" s="783"/>
      <c r="AL3183" s="783"/>
      <c r="AM3183" s="783"/>
      <c r="AN3183" s="783"/>
      <c r="AO3183" s="783"/>
      <c r="AP3183" s="783"/>
      <c r="AQ3183" s="783"/>
      <c r="AR3183" s="783"/>
      <c r="AS3183" s="783"/>
      <c r="AT3183" s="783"/>
      <c r="AU3183" s="783"/>
      <c r="AV3183" s="783"/>
      <c r="AW3183" s="783"/>
      <c r="AX3183" s="783"/>
      <c r="AY3183" s="783"/>
      <c r="AZ3183" s="783"/>
      <c r="BA3183" s="783"/>
      <c r="BB3183" s="783"/>
      <c r="BC3183" s="783"/>
      <c r="BD3183" s="783"/>
      <c r="BE3183" s="783"/>
      <c r="BF3183" s="783"/>
      <c r="BG3183" s="783"/>
      <c r="BH3183" s="783"/>
      <c r="BI3183" s="783"/>
      <c r="BJ3183" s="783"/>
      <c r="BK3183" s="783"/>
      <c r="BL3183" s="783"/>
      <c r="BM3183" s="783"/>
      <c r="BN3183" s="783"/>
      <c r="BO3183" s="783"/>
      <c r="BP3183" s="783"/>
      <c r="BQ3183" s="783"/>
      <c r="BR3183" s="783"/>
      <c r="BS3183" s="783"/>
      <c r="BT3183" s="783"/>
      <c r="BU3183" s="783"/>
      <c r="BV3183" s="783"/>
      <c r="BW3183" s="783"/>
      <c r="BX3183" s="783"/>
      <c r="BY3183" s="783"/>
      <c r="BZ3183" s="783"/>
      <c r="CA3183" s="783"/>
      <c r="CB3183" s="783"/>
      <c r="CC3183" s="783"/>
      <c r="CD3183" s="783"/>
      <c r="CE3183" s="783"/>
      <c r="CF3183" s="783"/>
      <c r="CG3183" s="783"/>
      <c r="CH3183" s="783"/>
      <c r="CI3183" s="783"/>
      <c r="CJ3183" s="783"/>
      <c r="CK3183" s="783"/>
    </row>
    <row r="3184" spans="1:89" s="673" customFormat="1" ht="25.5" customHeight="1" x14ac:dyDescent="0.25">
      <c r="A3184" s="788"/>
      <c r="B3184" s="962" t="s">
        <v>1191</v>
      </c>
      <c r="C3184" s="699"/>
      <c r="D3184" s="961"/>
      <c r="E3184" s="700"/>
      <c r="F3184" s="714"/>
      <c r="G3184" s="714"/>
      <c r="H3184" s="714"/>
      <c r="I3184" s="714"/>
      <c r="J3184" s="714"/>
      <c r="K3184" s="714"/>
      <c r="L3184" s="714"/>
      <c r="M3184" s="714"/>
      <c r="N3184" s="714"/>
      <c r="O3184" s="753"/>
      <c r="P3184" s="754"/>
      <c r="Q3184" s="783"/>
      <c r="R3184" s="783"/>
      <c r="S3184" s="783"/>
      <c r="T3184" s="783"/>
      <c r="U3184" s="783"/>
      <c r="V3184" s="783"/>
      <c r="W3184" s="783"/>
      <c r="X3184" s="783"/>
      <c r="Y3184" s="783"/>
      <c r="Z3184" s="783"/>
      <c r="AA3184" s="783"/>
      <c r="AB3184" s="783"/>
      <c r="AC3184" s="783"/>
      <c r="AD3184" s="783"/>
      <c r="AE3184" s="783"/>
      <c r="AF3184" s="783"/>
      <c r="AG3184" s="783"/>
      <c r="AH3184" s="783"/>
      <c r="AI3184" s="783"/>
      <c r="AJ3184" s="783"/>
      <c r="AK3184" s="783"/>
      <c r="AL3184" s="783"/>
      <c r="AM3184" s="783"/>
      <c r="AN3184" s="783"/>
      <c r="AO3184" s="783"/>
      <c r="AP3184" s="783"/>
      <c r="AQ3184" s="783"/>
      <c r="AR3184" s="783"/>
      <c r="AS3184" s="783"/>
      <c r="AT3184" s="783"/>
      <c r="AU3184" s="783"/>
      <c r="AV3184" s="783"/>
      <c r="AW3184" s="783"/>
      <c r="AX3184" s="783"/>
      <c r="AY3184" s="783"/>
      <c r="AZ3184" s="783"/>
      <c r="BA3184" s="783"/>
      <c r="BB3184" s="783"/>
      <c r="BC3184" s="783"/>
      <c r="BD3184" s="783"/>
      <c r="BE3184" s="783"/>
      <c r="BF3184" s="783"/>
      <c r="BG3184" s="783"/>
      <c r="BH3184" s="783"/>
      <c r="BI3184" s="783"/>
      <c r="BJ3184" s="783"/>
      <c r="BK3184" s="783"/>
      <c r="BL3184" s="783"/>
      <c r="BM3184" s="783"/>
      <c r="BN3184" s="783"/>
      <c r="BO3184" s="783"/>
      <c r="BP3184" s="783"/>
      <c r="BQ3184" s="783"/>
      <c r="BR3184" s="783"/>
      <c r="BS3184" s="783"/>
      <c r="BT3184" s="783"/>
      <c r="BU3184" s="783"/>
      <c r="BV3184" s="783"/>
      <c r="BW3184" s="783"/>
      <c r="BX3184" s="783"/>
      <c r="BY3184" s="783"/>
      <c r="BZ3184" s="783"/>
      <c r="CA3184" s="783"/>
      <c r="CB3184" s="783"/>
      <c r="CC3184" s="783"/>
      <c r="CD3184" s="783"/>
      <c r="CE3184" s="783"/>
      <c r="CF3184" s="783"/>
      <c r="CG3184" s="783"/>
      <c r="CH3184" s="783"/>
      <c r="CI3184" s="783"/>
      <c r="CJ3184" s="783"/>
      <c r="CK3184" s="783"/>
    </row>
    <row r="3185" spans="1:89" s="673" customFormat="1" ht="25.5" customHeight="1" x14ac:dyDescent="0.25">
      <c r="A3185" s="788"/>
      <c r="B3185" s="771" t="s">
        <v>1827</v>
      </c>
      <c r="C3185" s="699"/>
      <c r="D3185" s="961"/>
      <c r="E3185" s="700"/>
      <c r="F3185" s="714"/>
      <c r="G3185" s="714"/>
      <c r="H3185" s="714"/>
      <c r="I3185" s="714"/>
      <c r="J3185" s="714"/>
      <c r="K3185" s="714"/>
      <c r="L3185" s="714"/>
      <c r="M3185" s="714"/>
      <c r="N3185" s="714"/>
      <c r="O3185" s="753"/>
      <c r="P3185" s="754"/>
      <c r="Q3185" s="783"/>
      <c r="R3185" s="783"/>
      <c r="S3185" s="783"/>
      <c r="T3185" s="783"/>
      <c r="U3185" s="783"/>
      <c r="V3185" s="783"/>
      <c r="W3185" s="783"/>
      <c r="X3185" s="783"/>
      <c r="Y3185" s="783"/>
      <c r="Z3185" s="783"/>
      <c r="AA3185" s="783"/>
      <c r="AB3185" s="783"/>
      <c r="AC3185" s="783"/>
      <c r="AD3185" s="783"/>
      <c r="AE3185" s="783"/>
      <c r="AF3185" s="783"/>
      <c r="AG3185" s="783"/>
      <c r="AH3185" s="783"/>
      <c r="AI3185" s="783"/>
      <c r="AJ3185" s="783"/>
      <c r="AK3185" s="783"/>
      <c r="AL3185" s="783"/>
      <c r="AM3185" s="783"/>
      <c r="AN3185" s="783"/>
      <c r="AO3185" s="783"/>
      <c r="AP3185" s="783"/>
      <c r="AQ3185" s="783"/>
      <c r="AR3185" s="783"/>
      <c r="AS3185" s="783"/>
      <c r="AT3185" s="783"/>
      <c r="AU3185" s="783"/>
      <c r="AV3185" s="783"/>
      <c r="AW3185" s="783"/>
      <c r="AX3185" s="783"/>
      <c r="AY3185" s="783"/>
      <c r="AZ3185" s="783"/>
      <c r="BA3185" s="783"/>
      <c r="BB3185" s="783"/>
      <c r="BC3185" s="783"/>
      <c r="BD3185" s="783"/>
      <c r="BE3185" s="783"/>
      <c r="BF3185" s="783"/>
      <c r="BG3185" s="783"/>
      <c r="BH3185" s="783"/>
      <c r="BI3185" s="783"/>
      <c r="BJ3185" s="783"/>
      <c r="BK3185" s="783"/>
      <c r="BL3185" s="783"/>
      <c r="BM3185" s="783"/>
      <c r="BN3185" s="783"/>
      <c r="BO3185" s="783"/>
      <c r="BP3185" s="783"/>
      <c r="BQ3185" s="783"/>
      <c r="BR3185" s="783"/>
      <c r="BS3185" s="783"/>
      <c r="BT3185" s="783"/>
      <c r="BU3185" s="783"/>
      <c r="BV3185" s="783"/>
      <c r="BW3185" s="783"/>
      <c r="BX3185" s="783"/>
      <c r="BY3185" s="783"/>
      <c r="BZ3185" s="783"/>
      <c r="CA3185" s="783"/>
      <c r="CB3185" s="783"/>
      <c r="CC3185" s="783"/>
      <c r="CD3185" s="783"/>
      <c r="CE3185" s="783"/>
      <c r="CF3185" s="783"/>
      <c r="CG3185" s="783"/>
      <c r="CH3185" s="783"/>
      <c r="CI3185" s="783"/>
      <c r="CJ3185" s="783"/>
      <c r="CK3185" s="783"/>
    </row>
    <row r="3186" spans="1:89" s="779" customFormat="1" ht="20.25" customHeight="1" x14ac:dyDescent="0.2">
      <c r="A3186" s="788"/>
      <c r="B3186" s="778" t="s">
        <v>1173</v>
      </c>
      <c r="C3186" s="693">
        <v>1</v>
      </c>
      <c r="D3186" s="961" t="s">
        <v>60</v>
      </c>
      <c r="E3186" s="963">
        <v>570000</v>
      </c>
      <c r="F3186" s="964">
        <v>0</v>
      </c>
      <c r="G3186" s="964">
        <v>0</v>
      </c>
      <c r="H3186" s="965">
        <v>0</v>
      </c>
      <c r="I3186" s="964">
        <v>0</v>
      </c>
      <c r="J3186" s="964">
        <f t="shared" ref="J3186:J3196" si="319">E3186*C3186</f>
        <v>570000</v>
      </c>
      <c r="K3186" s="965">
        <f t="shared" ref="K3186:K3196" si="320">J3186+I3186</f>
        <v>570000</v>
      </c>
      <c r="L3186" s="964">
        <v>0</v>
      </c>
      <c r="M3186" s="964">
        <v>0</v>
      </c>
      <c r="N3186" s="964">
        <v>0</v>
      </c>
      <c r="O3186" s="966">
        <f t="shared" ref="O3186:O3196" si="321">N3186+K3186+H3186</f>
        <v>570000</v>
      </c>
      <c r="P3186" s="967"/>
      <c r="Q3186" s="1836"/>
      <c r="R3186" s="1836"/>
      <c r="S3186" s="1836"/>
      <c r="T3186" s="1836"/>
      <c r="U3186" s="1836"/>
      <c r="V3186" s="1836"/>
      <c r="W3186" s="1836"/>
      <c r="X3186" s="1836"/>
      <c r="Y3186" s="1836"/>
      <c r="Z3186" s="1836"/>
      <c r="AA3186" s="1836"/>
      <c r="AB3186" s="1836"/>
      <c r="AC3186" s="1836"/>
      <c r="AD3186" s="1836"/>
      <c r="AE3186" s="1836"/>
      <c r="AF3186" s="1836"/>
      <c r="AG3186" s="1836"/>
      <c r="AH3186" s="1836"/>
      <c r="AI3186" s="1836"/>
      <c r="AJ3186" s="1836"/>
      <c r="AK3186" s="1836"/>
      <c r="AL3186" s="1836"/>
      <c r="AM3186" s="1836"/>
      <c r="AN3186" s="1836"/>
      <c r="AO3186" s="1836"/>
      <c r="AP3186" s="1836"/>
      <c r="AQ3186" s="1836"/>
      <c r="AR3186" s="1836"/>
      <c r="AS3186" s="1836"/>
      <c r="AT3186" s="1836"/>
      <c r="AU3186" s="1836"/>
      <c r="AV3186" s="1836"/>
      <c r="AW3186" s="1836"/>
      <c r="AX3186" s="1836"/>
      <c r="AY3186" s="1836"/>
      <c r="AZ3186" s="1836"/>
      <c r="BA3186" s="1836"/>
      <c r="BB3186" s="1836"/>
      <c r="BC3186" s="1836"/>
      <c r="BD3186" s="1836"/>
      <c r="BE3186" s="1836"/>
      <c r="BF3186" s="1836"/>
      <c r="BG3186" s="1836"/>
      <c r="BH3186" s="1836"/>
      <c r="BI3186" s="1836"/>
      <c r="BJ3186" s="1836"/>
      <c r="BK3186" s="1836"/>
      <c r="BL3186" s="1836"/>
      <c r="BM3186" s="1836"/>
      <c r="BN3186" s="1836"/>
      <c r="BO3186" s="1836"/>
      <c r="BP3186" s="1836"/>
      <c r="BQ3186" s="1836"/>
      <c r="BR3186" s="1836"/>
      <c r="BS3186" s="1836"/>
      <c r="BT3186" s="1836"/>
      <c r="BU3186" s="1836"/>
      <c r="BV3186" s="1836"/>
      <c r="BW3186" s="1836"/>
      <c r="BX3186" s="1836"/>
      <c r="BY3186" s="1836"/>
      <c r="BZ3186" s="1836"/>
      <c r="CA3186" s="1836"/>
      <c r="CB3186" s="1836"/>
      <c r="CC3186" s="1836"/>
      <c r="CD3186" s="1836"/>
      <c r="CE3186" s="1836"/>
      <c r="CF3186" s="1836"/>
      <c r="CG3186" s="1836"/>
      <c r="CH3186" s="1836"/>
      <c r="CI3186" s="1836"/>
      <c r="CJ3186" s="1836"/>
      <c r="CK3186" s="1836"/>
    </row>
    <row r="3187" spans="1:89" s="673" customFormat="1" ht="20.25" customHeight="1" x14ac:dyDescent="0.25">
      <c r="A3187" s="788"/>
      <c r="B3187" s="968" t="s">
        <v>1174</v>
      </c>
      <c r="C3187" s="827">
        <v>1</v>
      </c>
      <c r="D3187" s="969" t="s">
        <v>60</v>
      </c>
      <c r="E3187" s="970">
        <v>800000</v>
      </c>
      <c r="F3187" s="758">
        <v>0</v>
      </c>
      <c r="G3187" s="758">
        <v>0</v>
      </c>
      <c r="H3187" s="758">
        <v>0</v>
      </c>
      <c r="I3187" s="758">
        <v>0</v>
      </c>
      <c r="J3187" s="758">
        <f t="shared" si="319"/>
        <v>800000</v>
      </c>
      <c r="K3187" s="758">
        <f t="shared" si="320"/>
        <v>800000</v>
      </c>
      <c r="L3187" s="758">
        <v>0</v>
      </c>
      <c r="M3187" s="758">
        <v>0</v>
      </c>
      <c r="N3187" s="700">
        <v>0</v>
      </c>
      <c r="O3187" s="701">
        <f t="shared" si="321"/>
        <v>800000</v>
      </c>
      <c r="P3187" s="702"/>
      <c r="Q3187" s="783"/>
      <c r="R3187" s="783"/>
      <c r="S3187" s="783"/>
      <c r="T3187" s="783"/>
      <c r="U3187" s="783"/>
      <c r="V3187" s="783"/>
      <c r="W3187" s="783"/>
      <c r="X3187" s="783"/>
      <c r="Y3187" s="783"/>
      <c r="Z3187" s="783"/>
      <c r="AA3187" s="783"/>
      <c r="AB3187" s="783"/>
      <c r="AC3187" s="783"/>
      <c r="AD3187" s="783"/>
      <c r="AE3187" s="783"/>
      <c r="AF3187" s="783"/>
      <c r="AG3187" s="783"/>
      <c r="AH3187" s="783"/>
      <c r="AI3187" s="783"/>
      <c r="AJ3187" s="783"/>
      <c r="AK3187" s="783"/>
      <c r="AL3187" s="783"/>
      <c r="AM3187" s="783"/>
      <c r="AN3187" s="783"/>
      <c r="AO3187" s="783"/>
      <c r="AP3187" s="783"/>
      <c r="AQ3187" s="783"/>
      <c r="AR3187" s="783"/>
      <c r="AS3187" s="783"/>
      <c r="AT3187" s="783"/>
      <c r="AU3187" s="783"/>
      <c r="AV3187" s="783"/>
      <c r="AW3187" s="783"/>
      <c r="AX3187" s="783"/>
      <c r="AY3187" s="783"/>
      <c r="AZ3187" s="783"/>
      <c r="BA3187" s="783"/>
      <c r="BB3187" s="783"/>
      <c r="BC3187" s="783"/>
      <c r="BD3187" s="783"/>
      <c r="BE3187" s="783"/>
      <c r="BF3187" s="783"/>
      <c r="BG3187" s="783"/>
      <c r="BH3187" s="783"/>
      <c r="BI3187" s="783"/>
      <c r="BJ3187" s="783"/>
      <c r="BK3187" s="783"/>
      <c r="BL3187" s="783"/>
      <c r="BM3187" s="783"/>
      <c r="BN3187" s="783"/>
      <c r="BO3187" s="783"/>
      <c r="BP3187" s="783"/>
      <c r="BQ3187" s="783"/>
      <c r="BR3187" s="783"/>
      <c r="BS3187" s="783"/>
      <c r="BT3187" s="783"/>
      <c r="BU3187" s="783"/>
      <c r="BV3187" s="783"/>
      <c r="BW3187" s="783"/>
      <c r="BX3187" s="783"/>
      <c r="BY3187" s="783"/>
      <c r="BZ3187" s="783"/>
      <c r="CA3187" s="783"/>
      <c r="CB3187" s="783"/>
      <c r="CC3187" s="783"/>
      <c r="CD3187" s="783"/>
      <c r="CE3187" s="783"/>
      <c r="CF3187" s="783"/>
      <c r="CG3187" s="783"/>
      <c r="CH3187" s="783"/>
      <c r="CI3187" s="783"/>
      <c r="CJ3187" s="783"/>
      <c r="CK3187" s="783"/>
    </row>
    <row r="3188" spans="1:89" s="675" customFormat="1" ht="20.25" customHeight="1" x14ac:dyDescent="0.2">
      <c r="A3188" s="788"/>
      <c r="B3188" s="780" t="s">
        <v>1175</v>
      </c>
      <c r="C3188" s="781">
        <v>1</v>
      </c>
      <c r="D3188" s="969" t="s">
        <v>60</v>
      </c>
      <c r="E3188" s="782">
        <v>600000</v>
      </c>
      <c r="F3188" s="768">
        <v>0</v>
      </c>
      <c r="G3188" s="768">
        <v>0</v>
      </c>
      <c r="H3188" s="792">
        <v>0</v>
      </c>
      <c r="I3188" s="768">
        <v>0</v>
      </c>
      <c r="J3188" s="768">
        <f t="shared" si="319"/>
        <v>600000</v>
      </c>
      <c r="K3188" s="768">
        <f t="shared" si="320"/>
        <v>600000</v>
      </c>
      <c r="L3188" s="768">
        <v>0</v>
      </c>
      <c r="M3188" s="768">
        <v>0</v>
      </c>
      <c r="N3188" s="768">
        <v>0</v>
      </c>
      <c r="O3188" s="769">
        <f t="shared" si="321"/>
        <v>600000</v>
      </c>
      <c r="P3188" s="770"/>
      <c r="Q3188" s="1821"/>
      <c r="R3188" s="1821"/>
      <c r="S3188" s="1821"/>
      <c r="T3188" s="1821"/>
      <c r="U3188" s="1821"/>
      <c r="V3188" s="1821"/>
      <c r="W3188" s="1821"/>
      <c r="X3188" s="1821"/>
      <c r="Y3188" s="1821"/>
      <c r="Z3188" s="1821"/>
      <c r="AA3188" s="1821"/>
      <c r="AB3188" s="1821"/>
      <c r="AC3188" s="1821"/>
      <c r="AD3188" s="1821"/>
      <c r="AE3188" s="1821"/>
      <c r="AF3188" s="1821"/>
      <c r="AG3188" s="1821"/>
      <c r="AH3188" s="1821"/>
      <c r="AI3188" s="1821"/>
      <c r="AJ3188" s="1821"/>
      <c r="AK3188" s="1821"/>
      <c r="AL3188" s="1821"/>
      <c r="AM3188" s="1821"/>
      <c r="AN3188" s="1821"/>
      <c r="AO3188" s="1821"/>
      <c r="AP3188" s="1821"/>
      <c r="AQ3188" s="1821"/>
      <c r="AR3188" s="1821"/>
      <c r="AS3188" s="1821"/>
      <c r="AT3188" s="1821"/>
      <c r="AU3188" s="1821"/>
      <c r="AV3188" s="1821"/>
      <c r="AW3188" s="1821"/>
      <c r="AX3188" s="1821"/>
      <c r="AY3188" s="1821"/>
      <c r="AZ3188" s="1821"/>
      <c r="BA3188" s="1821"/>
      <c r="BB3188" s="1821"/>
      <c r="BC3188" s="1821"/>
      <c r="BD3188" s="1821"/>
      <c r="BE3188" s="1821"/>
      <c r="BF3188" s="1821"/>
      <c r="BG3188" s="1821"/>
      <c r="BH3188" s="1821"/>
      <c r="BI3188" s="1821"/>
      <c r="BJ3188" s="1821"/>
      <c r="BK3188" s="1821"/>
      <c r="BL3188" s="1821"/>
      <c r="BM3188" s="1821"/>
      <c r="BN3188" s="1821"/>
      <c r="BO3188" s="1821"/>
      <c r="BP3188" s="1821"/>
      <c r="BQ3188" s="1821"/>
      <c r="BR3188" s="1821"/>
      <c r="BS3188" s="1821"/>
      <c r="BT3188" s="1821"/>
      <c r="BU3188" s="1821"/>
      <c r="BV3188" s="1821"/>
      <c r="BW3188" s="1821"/>
      <c r="BX3188" s="1821"/>
      <c r="BY3188" s="1821"/>
      <c r="BZ3188" s="1821"/>
      <c r="CA3188" s="1821"/>
      <c r="CB3188" s="1821"/>
      <c r="CC3188" s="1821"/>
      <c r="CD3188" s="1821"/>
      <c r="CE3188" s="1821"/>
      <c r="CF3188" s="1821"/>
      <c r="CG3188" s="1821"/>
      <c r="CH3188" s="1821"/>
      <c r="CI3188" s="1821"/>
      <c r="CJ3188" s="1821"/>
      <c r="CK3188" s="1821"/>
    </row>
    <row r="3189" spans="1:89" s="673" customFormat="1" ht="29.25" customHeight="1" x14ac:dyDescent="0.25">
      <c r="A3189" s="788"/>
      <c r="B3189" s="674" t="s">
        <v>1176</v>
      </c>
      <c r="C3189" s="906">
        <v>1</v>
      </c>
      <c r="D3189" s="969" t="s">
        <v>60</v>
      </c>
      <c r="E3189" s="955">
        <v>500000</v>
      </c>
      <c r="F3189" s="714">
        <v>0</v>
      </c>
      <c r="G3189" s="714">
        <v>0</v>
      </c>
      <c r="H3189" s="695">
        <v>0</v>
      </c>
      <c r="I3189" s="714">
        <v>0</v>
      </c>
      <c r="J3189" s="714">
        <f t="shared" si="319"/>
        <v>500000</v>
      </c>
      <c r="K3189" s="695">
        <f t="shared" si="320"/>
        <v>500000</v>
      </c>
      <c r="L3189" s="714">
        <v>0</v>
      </c>
      <c r="M3189" s="714">
        <v>0</v>
      </c>
      <c r="N3189" s="714">
        <v>0</v>
      </c>
      <c r="O3189" s="753">
        <f t="shared" si="321"/>
        <v>500000</v>
      </c>
      <c r="P3189" s="754"/>
      <c r="Q3189" s="783"/>
      <c r="R3189" s="783"/>
      <c r="S3189" s="783"/>
      <c r="T3189" s="783"/>
      <c r="U3189" s="783"/>
      <c r="V3189" s="783"/>
      <c r="W3189" s="783"/>
      <c r="X3189" s="783"/>
      <c r="Y3189" s="783"/>
      <c r="Z3189" s="783"/>
      <c r="AA3189" s="783"/>
      <c r="AB3189" s="783"/>
      <c r="AC3189" s="783"/>
      <c r="AD3189" s="783"/>
      <c r="AE3189" s="783"/>
      <c r="AF3189" s="783"/>
      <c r="AG3189" s="783"/>
      <c r="AH3189" s="783"/>
      <c r="AI3189" s="783"/>
      <c r="AJ3189" s="783"/>
      <c r="AK3189" s="783"/>
      <c r="AL3189" s="783"/>
      <c r="AM3189" s="783"/>
      <c r="AN3189" s="783"/>
      <c r="AO3189" s="783"/>
      <c r="AP3189" s="783"/>
      <c r="AQ3189" s="783"/>
      <c r="AR3189" s="783"/>
      <c r="AS3189" s="783"/>
      <c r="AT3189" s="783"/>
      <c r="AU3189" s="783"/>
      <c r="AV3189" s="783"/>
      <c r="AW3189" s="783"/>
      <c r="AX3189" s="783"/>
      <c r="AY3189" s="783"/>
      <c r="AZ3189" s="783"/>
      <c r="BA3189" s="783"/>
      <c r="BB3189" s="783"/>
      <c r="BC3189" s="783"/>
      <c r="BD3189" s="783"/>
      <c r="BE3189" s="783"/>
      <c r="BF3189" s="783"/>
      <c r="BG3189" s="783"/>
      <c r="BH3189" s="783"/>
      <c r="BI3189" s="783"/>
      <c r="BJ3189" s="783"/>
      <c r="BK3189" s="783"/>
      <c r="BL3189" s="783"/>
      <c r="BM3189" s="783"/>
      <c r="BN3189" s="783"/>
      <c r="BO3189" s="783"/>
      <c r="BP3189" s="783"/>
      <c r="BQ3189" s="783"/>
      <c r="BR3189" s="783"/>
      <c r="BS3189" s="783"/>
      <c r="BT3189" s="783"/>
      <c r="BU3189" s="783"/>
      <c r="BV3189" s="783"/>
      <c r="BW3189" s="783"/>
      <c r="BX3189" s="783"/>
      <c r="BY3189" s="783"/>
      <c r="BZ3189" s="783"/>
      <c r="CA3189" s="783"/>
      <c r="CB3189" s="783"/>
      <c r="CC3189" s="783"/>
      <c r="CD3189" s="783"/>
      <c r="CE3189" s="783"/>
      <c r="CF3189" s="783"/>
      <c r="CG3189" s="783"/>
      <c r="CH3189" s="783"/>
      <c r="CI3189" s="783"/>
      <c r="CJ3189" s="783"/>
      <c r="CK3189" s="783"/>
    </row>
    <row r="3190" spans="1:89" s="673" customFormat="1" ht="29.25" customHeight="1" x14ac:dyDescent="0.25">
      <c r="A3190" s="788"/>
      <c r="B3190" s="674" t="s">
        <v>1177</v>
      </c>
      <c r="C3190" s="906">
        <v>1</v>
      </c>
      <c r="D3190" s="971" t="s">
        <v>60</v>
      </c>
      <c r="E3190" s="955">
        <v>577000</v>
      </c>
      <c r="F3190" s="714">
        <v>0</v>
      </c>
      <c r="G3190" s="714">
        <v>0</v>
      </c>
      <c r="H3190" s="695">
        <v>0</v>
      </c>
      <c r="I3190" s="714">
        <v>0</v>
      </c>
      <c r="J3190" s="714">
        <f t="shared" si="319"/>
        <v>577000</v>
      </c>
      <c r="K3190" s="695">
        <f t="shared" si="320"/>
        <v>577000</v>
      </c>
      <c r="L3190" s="714">
        <v>0</v>
      </c>
      <c r="M3190" s="714">
        <v>0</v>
      </c>
      <c r="N3190" s="714">
        <v>0</v>
      </c>
      <c r="O3190" s="753">
        <f t="shared" si="321"/>
        <v>577000</v>
      </c>
      <c r="P3190" s="754"/>
      <c r="Q3190" s="783"/>
      <c r="R3190" s="783"/>
      <c r="S3190" s="783"/>
      <c r="T3190" s="783"/>
      <c r="U3190" s="783"/>
      <c r="V3190" s="783"/>
      <c r="W3190" s="783"/>
      <c r="X3190" s="783"/>
      <c r="Y3190" s="783"/>
      <c r="Z3190" s="783"/>
      <c r="AA3190" s="783"/>
      <c r="AB3190" s="783"/>
      <c r="AC3190" s="783"/>
      <c r="AD3190" s="783"/>
      <c r="AE3190" s="783"/>
      <c r="AF3190" s="783"/>
      <c r="AG3190" s="783"/>
      <c r="AH3190" s="783"/>
      <c r="AI3190" s="783"/>
      <c r="AJ3190" s="783"/>
      <c r="AK3190" s="783"/>
      <c r="AL3190" s="783"/>
      <c r="AM3190" s="783"/>
      <c r="AN3190" s="783"/>
      <c r="AO3190" s="783"/>
      <c r="AP3190" s="783"/>
      <c r="AQ3190" s="783"/>
      <c r="AR3190" s="783"/>
      <c r="AS3190" s="783"/>
      <c r="AT3190" s="783"/>
      <c r="AU3190" s="783"/>
      <c r="AV3190" s="783"/>
      <c r="AW3190" s="783"/>
      <c r="AX3190" s="783"/>
      <c r="AY3190" s="783"/>
      <c r="AZ3190" s="783"/>
      <c r="BA3190" s="783"/>
      <c r="BB3190" s="783"/>
      <c r="BC3190" s="783"/>
      <c r="BD3190" s="783"/>
      <c r="BE3190" s="783"/>
      <c r="BF3190" s="783"/>
      <c r="BG3190" s="783"/>
      <c r="BH3190" s="783"/>
      <c r="BI3190" s="783"/>
      <c r="BJ3190" s="783"/>
      <c r="BK3190" s="783"/>
      <c r="BL3190" s="783"/>
      <c r="BM3190" s="783"/>
      <c r="BN3190" s="783"/>
      <c r="BO3190" s="783"/>
      <c r="BP3190" s="783"/>
      <c r="BQ3190" s="783"/>
      <c r="BR3190" s="783"/>
      <c r="BS3190" s="783"/>
      <c r="BT3190" s="783"/>
      <c r="BU3190" s="783"/>
      <c r="BV3190" s="783"/>
      <c r="BW3190" s="783"/>
      <c r="BX3190" s="783"/>
      <c r="BY3190" s="783"/>
      <c r="BZ3190" s="783"/>
      <c r="CA3190" s="783"/>
      <c r="CB3190" s="783"/>
      <c r="CC3190" s="783"/>
      <c r="CD3190" s="783"/>
      <c r="CE3190" s="783"/>
      <c r="CF3190" s="783"/>
      <c r="CG3190" s="783"/>
      <c r="CH3190" s="783"/>
      <c r="CI3190" s="783"/>
      <c r="CJ3190" s="783"/>
      <c r="CK3190" s="783"/>
    </row>
    <row r="3191" spans="1:89" s="673" customFormat="1" ht="29.25" customHeight="1" x14ac:dyDescent="0.25">
      <c r="A3191" s="788"/>
      <c r="B3191" s="674" t="s">
        <v>1178</v>
      </c>
      <c r="C3191" s="906">
        <v>1</v>
      </c>
      <c r="D3191" s="971" t="s">
        <v>60</v>
      </c>
      <c r="E3191" s="955">
        <v>250000</v>
      </c>
      <c r="F3191" s="714">
        <v>0</v>
      </c>
      <c r="G3191" s="714">
        <v>0</v>
      </c>
      <c r="H3191" s="695">
        <v>0</v>
      </c>
      <c r="I3191" s="714">
        <v>0</v>
      </c>
      <c r="J3191" s="714">
        <f t="shared" si="319"/>
        <v>250000</v>
      </c>
      <c r="K3191" s="695">
        <f t="shared" si="320"/>
        <v>250000</v>
      </c>
      <c r="L3191" s="714">
        <v>0</v>
      </c>
      <c r="M3191" s="714">
        <v>0</v>
      </c>
      <c r="N3191" s="714">
        <v>0</v>
      </c>
      <c r="O3191" s="753">
        <f t="shared" si="321"/>
        <v>250000</v>
      </c>
      <c r="P3191" s="754"/>
      <c r="Q3191" s="783"/>
      <c r="R3191" s="783"/>
      <c r="S3191" s="783"/>
      <c r="T3191" s="783"/>
      <c r="U3191" s="783"/>
      <c r="V3191" s="783"/>
      <c r="W3191" s="783"/>
      <c r="X3191" s="783"/>
      <c r="Y3191" s="783"/>
      <c r="Z3191" s="783"/>
      <c r="AA3191" s="783"/>
      <c r="AB3191" s="783"/>
      <c r="AC3191" s="783"/>
      <c r="AD3191" s="783"/>
      <c r="AE3191" s="783"/>
      <c r="AF3191" s="783"/>
      <c r="AG3191" s="783"/>
      <c r="AH3191" s="783"/>
      <c r="AI3191" s="783"/>
      <c r="AJ3191" s="783"/>
      <c r="AK3191" s="783"/>
      <c r="AL3191" s="783"/>
      <c r="AM3191" s="783"/>
      <c r="AN3191" s="783"/>
      <c r="AO3191" s="783"/>
      <c r="AP3191" s="783"/>
      <c r="AQ3191" s="783"/>
      <c r="AR3191" s="783"/>
      <c r="AS3191" s="783"/>
      <c r="AT3191" s="783"/>
      <c r="AU3191" s="783"/>
      <c r="AV3191" s="783"/>
      <c r="AW3191" s="783"/>
      <c r="AX3191" s="783"/>
      <c r="AY3191" s="783"/>
      <c r="AZ3191" s="783"/>
      <c r="BA3191" s="783"/>
      <c r="BB3191" s="783"/>
      <c r="BC3191" s="783"/>
      <c r="BD3191" s="783"/>
      <c r="BE3191" s="783"/>
      <c r="BF3191" s="783"/>
      <c r="BG3191" s="783"/>
      <c r="BH3191" s="783"/>
      <c r="BI3191" s="783"/>
      <c r="BJ3191" s="783"/>
      <c r="BK3191" s="783"/>
      <c r="BL3191" s="783"/>
      <c r="BM3191" s="783"/>
      <c r="BN3191" s="783"/>
      <c r="BO3191" s="783"/>
      <c r="BP3191" s="783"/>
      <c r="BQ3191" s="783"/>
      <c r="BR3191" s="783"/>
      <c r="BS3191" s="783"/>
      <c r="BT3191" s="783"/>
      <c r="BU3191" s="783"/>
      <c r="BV3191" s="783"/>
      <c r="BW3191" s="783"/>
      <c r="BX3191" s="783"/>
      <c r="BY3191" s="783"/>
      <c r="BZ3191" s="783"/>
      <c r="CA3191" s="783"/>
      <c r="CB3191" s="783"/>
      <c r="CC3191" s="783"/>
      <c r="CD3191" s="783"/>
      <c r="CE3191" s="783"/>
      <c r="CF3191" s="783"/>
      <c r="CG3191" s="783"/>
      <c r="CH3191" s="783"/>
      <c r="CI3191" s="783"/>
      <c r="CJ3191" s="783"/>
      <c r="CK3191" s="783"/>
    </row>
    <row r="3192" spans="1:89" s="675" customFormat="1" ht="29.25" customHeight="1" x14ac:dyDescent="0.25">
      <c r="A3192" s="972"/>
      <c r="B3192" s="674" t="s">
        <v>1179</v>
      </c>
      <c r="C3192" s="906">
        <v>1</v>
      </c>
      <c r="D3192" s="790" t="s">
        <v>60</v>
      </c>
      <c r="E3192" s="973">
        <v>300000</v>
      </c>
      <c r="F3192" s="714">
        <v>0</v>
      </c>
      <c r="G3192" s="714">
        <v>0</v>
      </c>
      <c r="H3192" s="695">
        <v>0</v>
      </c>
      <c r="I3192" s="714">
        <v>0</v>
      </c>
      <c r="J3192" s="714">
        <f t="shared" si="319"/>
        <v>300000</v>
      </c>
      <c r="K3192" s="695">
        <f t="shared" si="320"/>
        <v>300000</v>
      </c>
      <c r="L3192" s="714">
        <v>0</v>
      </c>
      <c r="M3192" s="714">
        <v>0</v>
      </c>
      <c r="N3192" s="714">
        <v>0</v>
      </c>
      <c r="O3192" s="753">
        <f t="shared" si="321"/>
        <v>300000</v>
      </c>
      <c r="P3192" s="754"/>
      <c r="Q3192" s="1821"/>
      <c r="R3192" s="1821"/>
      <c r="S3192" s="1821"/>
      <c r="T3192" s="1821"/>
      <c r="U3192" s="1821"/>
      <c r="V3192" s="1821"/>
      <c r="W3192" s="1821"/>
      <c r="X3192" s="1821"/>
      <c r="Y3192" s="1821"/>
      <c r="Z3192" s="1821"/>
      <c r="AA3192" s="1821"/>
      <c r="AB3192" s="1821"/>
      <c r="AC3192" s="1821"/>
      <c r="AD3192" s="1821"/>
      <c r="AE3192" s="1821"/>
      <c r="AF3192" s="1821"/>
      <c r="AG3192" s="1821"/>
      <c r="AH3192" s="1821"/>
      <c r="AI3192" s="1821"/>
      <c r="AJ3192" s="1821"/>
      <c r="AK3192" s="1821"/>
      <c r="AL3192" s="1821"/>
      <c r="AM3192" s="1821"/>
      <c r="AN3192" s="1821"/>
      <c r="AO3192" s="1821"/>
      <c r="AP3192" s="1821"/>
      <c r="AQ3192" s="1821"/>
      <c r="AR3192" s="1821"/>
      <c r="AS3192" s="1821"/>
      <c r="AT3192" s="1821"/>
      <c r="AU3192" s="1821"/>
      <c r="AV3192" s="1821"/>
      <c r="AW3192" s="1821"/>
      <c r="AX3192" s="1821"/>
      <c r="AY3192" s="1821"/>
      <c r="AZ3192" s="1821"/>
      <c r="BA3192" s="1821"/>
      <c r="BB3192" s="1821"/>
      <c r="BC3192" s="1821"/>
      <c r="BD3192" s="1821"/>
      <c r="BE3192" s="1821"/>
      <c r="BF3192" s="1821"/>
      <c r="BG3192" s="1821"/>
      <c r="BH3192" s="1821"/>
      <c r="BI3192" s="1821"/>
      <c r="BJ3192" s="1821"/>
      <c r="BK3192" s="1821"/>
      <c r="BL3192" s="1821"/>
      <c r="BM3192" s="1821"/>
      <c r="BN3192" s="1821"/>
      <c r="BO3192" s="1821"/>
      <c r="BP3192" s="1821"/>
      <c r="BQ3192" s="1821"/>
      <c r="BR3192" s="1821"/>
      <c r="BS3192" s="1821"/>
      <c r="BT3192" s="1821"/>
      <c r="BU3192" s="1821"/>
      <c r="BV3192" s="1821"/>
      <c r="BW3192" s="1821"/>
      <c r="BX3192" s="1821"/>
      <c r="BY3192" s="1821"/>
      <c r="BZ3192" s="1821"/>
      <c r="CA3192" s="1821"/>
      <c r="CB3192" s="1821"/>
      <c r="CC3192" s="1821"/>
      <c r="CD3192" s="1821"/>
      <c r="CE3192" s="1821"/>
      <c r="CF3192" s="1821"/>
      <c r="CG3192" s="1821"/>
      <c r="CH3192" s="1821"/>
      <c r="CI3192" s="1821"/>
      <c r="CJ3192" s="1821"/>
      <c r="CK3192" s="1821"/>
    </row>
    <row r="3193" spans="1:89" s="673" customFormat="1" ht="29.25" customHeight="1" x14ac:dyDescent="0.25">
      <c r="A3193" s="972"/>
      <c r="B3193" s="674" t="s">
        <v>1180</v>
      </c>
      <c r="C3193" s="906">
        <v>1</v>
      </c>
      <c r="D3193" s="790" t="s">
        <v>60</v>
      </c>
      <c r="E3193" s="973">
        <v>450000</v>
      </c>
      <c r="F3193" s="714">
        <v>0</v>
      </c>
      <c r="G3193" s="714">
        <v>0</v>
      </c>
      <c r="H3193" s="695">
        <v>0</v>
      </c>
      <c r="I3193" s="714">
        <v>0</v>
      </c>
      <c r="J3193" s="714">
        <f t="shared" si="319"/>
        <v>450000</v>
      </c>
      <c r="K3193" s="695">
        <f t="shared" si="320"/>
        <v>450000</v>
      </c>
      <c r="L3193" s="714">
        <v>0</v>
      </c>
      <c r="M3193" s="714">
        <v>0</v>
      </c>
      <c r="N3193" s="714">
        <v>0</v>
      </c>
      <c r="O3193" s="753">
        <f t="shared" si="321"/>
        <v>450000</v>
      </c>
      <c r="P3193" s="754"/>
      <c r="Q3193" s="783"/>
      <c r="R3193" s="783"/>
      <c r="S3193" s="783"/>
      <c r="T3193" s="783"/>
      <c r="U3193" s="783"/>
      <c r="V3193" s="783"/>
      <c r="W3193" s="783"/>
      <c r="X3193" s="783"/>
      <c r="Y3193" s="783"/>
      <c r="Z3193" s="783"/>
      <c r="AA3193" s="783"/>
      <c r="AB3193" s="783"/>
      <c r="AC3193" s="783"/>
      <c r="AD3193" s="783"/>
      <c r="AE3193" s="783"/>
      <c r="AF3193" s="783"/>
      <c r="AG3193" s="783"/>
      <c r="AH3193" s="783"/>
      <c r="AI3193" s="783"/>
      <c r="AJ3193" s="783"/>
      <c r="AK3193" s="783"/>
      <c r="AL3193" s="783"/>
      <c r="AM3193" s="783"/>
      <c r="AN3193" s="783"/>
      <c r="AO3193" s="783"/>
      <c r="AP3193" s="783"/>
      <c r="AQ3193" s="783"/>
      <c r="AR3193" s="783"/>
      <c r="AS3193" s="783"/>
      <c r="AT3193" s="783"/>
      <c r="AU3193" s="783"/>
      <c r="AV3193" s="783"/>
      <c r="AW3193" s="783"/>
      <c r="AX3193" s="783"/>
      <c r="AY3193" s="783"/>
      <c r="AZ3193" s="783"/>
      <c r="BA3193" s="783"/>
      <c r="BB3193" s="783"/>
      <c r="BC3193" s="783"/>
      <c r="BD3193" s="783"/>
      <c r="BE3193" s="783"/>
      <c r="BF3193" s="783"/>
      <c r="BG3193" s="783"/>
      <c r="BH3193" s="783"/>
      <c r="BI3193" s="783"/>
      <c r="BJ3193" s="783"/>
      <c r="BK3193" s="783"/>
      <c r="BL3193" s="783"/>
      <c r="BM3193" s="783"/>
      <c r="BN3193" s="783"/>
      <c r="BO3193" s="783"/>
      <c r="BP3193" s="783"/>
      <c r="BQ3193" s="783"/>
      <c r="BR3193" s="783"/>
      <c r="BS3193" s="783"/>
      <c r="BT3193" s="783"/>
      <c r="BU3193" s="783"/>
      <c r="BV3193" s="783"/>
      <c r="BW3193" s="783"/>
      <c r="BX3193" s="783"/>
      <c r="BY3193" s="783"/>
      <c r="BZ3193" s="783"/>
      <c r="CA3193" s="783"/>
      <c r="CB3193" s="783"/>
      <c r="CC3193" s="783"/>
      <c r="CD3193" s="783"/>
      <c r="CE3193" s="783"/>
      <c r="CF3193" s="783"/>
      <c r="CG3193" s="783"/>
      <c r="CH3193" s="783"/>
      <c r="CI3193" s="783"/>
      <c r="CJ3193" s="783"/>
      <c r="CK3193" s="783"/>
    </row>
    <row r="3194" spans="1:89" s="673" customFormat="1" ht="29.25" customHeight="1" x14ac:dyDescent="0.25">
      <c r="A3194" s="972"/>
      <c r="B3194" s="674" t="s">
        <v>1181</v>
      </c>
      <c r="C3194" s="906">
        <v>1</v>
      </c>
      <c r="D3194" s="790" t="s">
        <v>16</v>
      </c>
      <c r="E3194" s="973">
        <v>300000</v>
      </c>
      <c r="F3194" s="714">
        <v>0</v>
      </c>
      <c r="G3194" s="714">
        <v>0</v>
      </c>
      <c r="H3194" s="695">
        <v>0</v>
      </c>
      <c r="I3194" s="714">
        <v>0</v>
      </c>
      <c r="J3194" s="714">
        <f t="shared" si="319"/>
        <v>300000</v>
      </c>
      <c r="K3194" s="695">
        <f t="shared" si="320"/>
        <v>300000</v>
      </c>
      <c r="L3194" s="714">
        <v>0</v>
      </c>
      <c r="M3194" s="714">
        <v>0</v>
      </c>
      <c r="N3194" s="714">
        <v>0</v>
      </c>
      <c r="O3194" s="753">
        <f t="shared" si="321"/>
        <v>300000</v>
      </c>
      <c r="P3194" s="754"/>
      <c r="Q3194" s="783"/>
      <c r="R3194" s="783"/>
      <c r="S3194" s="783"/>
      <c r="T3194" s="783"/>
      <c r="U3194" s="783"/>
      <c r="V3194" s="783"/>
      <c r="W3194" s="783"/>
      <c r="X3194" s="783"/>
      <c r="Y3194" s="783"/>
      <c r="Z3194" s="783"/>
      <c r="AA3194" s="783"/>
      <c r="AB3194" s="783"/>
      <c r="AC3194" s="783"/>
      <c r="AD3194" s="783"/>
      <c r="AE3194" s="783"/>
      <c r="AF3194" s="783"/>
      <c r="AG3194" s="783"/>
      <c r="AH3194" s="783"/>
      <c r="AI3194" s="783"/>
      <c r="AJ3194" s="783"/>
      <c r="AK3194" s="783"/>
      <c r="AL3194" s="783"/>
      <c r="AM3194" s="783"/>
      <c r="AN3194" s="783"/>
      <c r="AO3194" s="783"/>
      <c r="AP3194" s="783"/>
      <c r="AQ3194" s="783"/>
      <c r="AR3194" s="783"/>
      <c r="AS3194" s="783"/>
      <c r="AT3194" s="783"/>
      <c r="AU3194" s="783"/>
      <c r="AV3194" s="783"/>
      <c r="AW3194" s="783"/>
      <c r="AX3194" s="783"/>
      <c r="AY3194" s="783"/>
      <c r="AZ3194" s="783"/>
      <c r="BA3194" s="783"/>
      <c r="BB3194" s="783"/>
      <c r="BC3194" s="783"/>
      <c r="BD3194" s="783"/>
      <c r="BE3194" s="783"/>
      <c r="BF3194" s="783"/>
      <c r="BG3194" s="783"/>
      <c r="BH3194" s="783"/>
      <c r="BI3194" s="783"/>
      <c r="BJ3194" s="783"/>
      <c r="BK3194" s="783"/>
      <c r="BL3194" s="783"/>
      <c r="BM3194" s="783"/>
      <c r="BN3194" s="783"/>
      <c r="BO3194" s="783"/>
      <c r="BP3194" s="783"/>
      <c r="BQ3194" s="783"/>
      <c r="BR3194" s="783"/>
      <c r="BS3194" s="783"/>
      <c r="BT3194" s="783"/>
      <c r="BU3194" s="783"/>
      <c r="BV3194" s="783"/>
      <c r="BW3194" s="783"/>
      <c r="BX3194" s="783"/>
      <c r="BY3194" s="783"/>
      <c r="BZ3194" s="783"/>
      <c r="CA3194" s="783"/>
      <c r="CB3194" s="783"/>
      <c r="CC3194" s="783"/>
      <c r="CD3194" s="783"/>
      <c r="CE3194" s="783"/>
      <c r="CF3194" s="783"/>
      <c r="CG3194" s="783"/>
      <c r="CH3194" s="783"/>
      <c r="CI3194" s="783"/>
      <c r="CJ3194" s="783"/>
      <c r="CK3194" s="783"/>
    </row>
    <row r="3195" spans="1:89" s="673" customFormat="1" ht="29.25" customHeight="1" x14ac:dyDescent="0.25">
      <c r="A3195" s="972"/>
      <c r="B3195" s="674" t="s">
        <v>1182</v>
      </c>
      <c r="C3195" s="906">
        <v>1</v>
      </c>
      <c r="D3195" s="790" t="s">
        <v>60</v>
      </c>
      <c r="E3195" s="973">
        <v>300000</v>
      </c>
      <c r="F3195" s="714">
        <v>0</v>
      </c>
      <c r="G3195" s="714">
        <v>0</v>
      </c>
      <c r="H3195" s="695">
        <v>0</v>
      </c>
      <c r="I3195" s="714">
        <v>0</v>
      </c>
      <c r="J3195" s="714">
        <f t="shared" si="319"/>
        <v>300000</v>
      </c>
      <c r="K3195" s="695">
        <f t="shared" si="320"/>
        <v>300000</v>
      </c>
      <c r="L3195" s="714">
        <v>0</v>
      </c>
      <c r="M3195" s="714">
        <v>0</v>
      </c>
      <c r="N3195" s="714">
        <v>0</v>
      </c>
      <c r="O3195" s="753">
        <f t="shared" si="321"/>
        <v>300000</v>
      </c>
      <c r="P3195" s="754"/>
      <c r="Q3195" s="783"/>
      <c r="R3195" s="783"/>
      <c r="S3195" s="783"/>
      <c r="T3195" s="783"/>
      <c r="U3195" s="783"/>
      <c r="V3195" s="783"/>
      <c r="W3195" s="783"/>
      <c r="X3195" s="783"/>
      <c r="Y3195" s="783"/>
      <c r="Z3195" s="783"/>
      <c r="AA3195" s="783"/>
      <c r="AB3195" s="783"/>
      <c r="AC3195" s="783"/>
      <c r="AD3195" s="783"/>
      <c r="AE3195" s="783"/>
      <c r="AF3195" s="783"/>
      <c r="AG3195" s="783"/>
      <c r="AH3195" s="783"/>
      <c r="AI3195" s="783"/>
      <c r="AJ3195" s="783"/>
      <c r="AK3195" s="783"/>
      <c r="AL3195" s="783"/>
      <c r="AM3195" s="783"/>
      <c r="AN3195" s="783"/>
      <c r="AO3195" s="783"/>
      <c r="AP3195" s="783"/>
      <c r="AQ3195" s="783"/>
      <c r="AR3195" s="783"/>
      <c r="AS3195" s="783"/>
      <c r="AT3195" s="783"/>
      <c r="AU3195" s="783"/>
      <c r="AV3195" s="783"/>
      <c r="AW3195" s="783"/>
      <c r="AX3195" s="783"/>
      <c r="AY3195" s="783"/>
      <c r="AZ3195" s="783"/>
      <c r="BA3195" s="783"/>
      <c r="BB3195" s="783"/>
      <c r="BC3195" s="783"/>
      <c r="BD3195" s="783"/>
      <c r="BE3195" s="783"/>
      <c r="BF3195" s="783"/>
      <c r="BG3195" s="783"/>
      <c r="BH3195" s="783"/>
      <c r="BI3195" s="783"/>
      <c r="BJ3195" s="783"/>
      <c r="BK3195" s="783"/>
      <c r="BL3195" s="783"/>
      <c r="BM3195" s="783"/>
      <c r="BN3195" s="783"/>
      <c r="BO3195" s="783"/>
      <c r="BP3195" s="783"/>
      <c r="BQ3195" s="783"/>
      <c r="BR3195" s="783"/>
      <c r="BS3195" s="783"/>
      <c r="BT3195" s="783"/>
      <c r="BU3195" s="783"/>
      <c r="BV3195" s="783"/>
      <c r="BW3195" s="783"/>
      <c r="BX3195" s="783"/>
      <c r="BY3195" s="783"/>
      <c r="BZ3195" s="783"/>
      <c r="CA3195" s="783"/>
      <c r="CB3195" s="783"/>
      <c r="CC3195" s="783"/>
      <c r="CD3195" s="783"/>
      <c r="CE3195" s="783"/>
      <c r="CF3195" s="783"/>
      <c r="CG3195" s="783"/>
      <c r="CH3195" s="783"/>
      <c r="CI3195" s="783"/>
      <c r="CJ3195" s="783"/>
      <c r="CK3195" s="783"/>
    </row>
    <row r="3196" spans="1:89" s="673" customFormat="1" ht="29.25" customHeight="1" x14ac:dyDescent="0.25">
      <c r="A3196" s="972"/>
      <c r="B3196" s="674" t="s">
        <v>1183</v>
      </c>
      <c r="C3196" s="906">
        <v>1</v>
      </c>
      <c r="D3196" s="790" t="s">
        <v>60</v>
      </c>
      <c r="E3196" s="973">
        <v>550000</v>
      </c>
      <c r="F3196" s="714">
        <v>0</v>
      </c>
      <c r="G3196" s="714">
        <v>0</v>
      </c>
      <c r="H3196" s="695">
        <v>0</v>
      </c>
      <c r="I3196" s="714">
        <v>0</v>
      </c>
      <c r="J3196" s="714">
        <f t="shared" si="319"/>
        <v>550000</v>
      </c>
      <c r="K3196" s="695">
        <f t="shared" si="320"/>
        <v>550000</v>
      </c>
      <c r="L3196" s="714">
        <v>0</v>
      </c>
      <c r="M3196" s="714">
        <v>0</v>
      </c>
      <c r="N3196" s="714">
        <v>0</v>
      </c>
      <c r="O3196" s="753">
        <f t="shared" si="321"/>
        <v>550000</v>
      </c>
      <c r="P3196" s="754"/>
      <c r="Q3196" s="783"/>
      <c r="R3196" s="783"/>
      <c r="S3196" s="783"/>
      <c r="T3196" s="783"/>
      <c r="U3196" s="783"/>
      <c r="V3196" s="783"/>
      <c r="W3196" s="783"/>
      <c r="X3196" s="783"/>
      <c r="Y3196" s="783"/>
      <c r="Z3196" s="783"/>
      <c r="AA3196" s="783"/>
      <c r="AB3196" s="783"/>
      <c r="AC3196" s="783"/>
      <c r="AD3196" s="783"/>
      <c r="AE3196" s="783"/>
      <c r="AF3196" s="783"/>
      <c r="AG3196" s="783"/>
      <c r="AH3196" s="783"/>
      <c r="AI3196" s="783"/>
      <c r="AJ3196" s="783"/>
      <c r="AK3196" s="783"/>
      <c r="AL3196" s="783"/>
      <c r="AM3196" s="783"/>
      <c r="AN3196" s="783"/>
      <c r="AO3196" s="783"/>
      <c r="AP3196" s="783"/>
      <c r="AQ3196" s="783"/>
      <c r="AR3196" s="783"/>
      <c r="AS3196" s="783"/>
      <c r="AT3196" s="783"/>
      <c r="AU3196" s="783"/>
      <c r="AV3196" s="783"/>
      <c r="AW3196" s="783"/>
      <c r="AX3196" s="783"/>
      <c r="AY3196" s="783"/>
      <c r="AZ3196" s="783"/>
      <c r="BA3196" s="783"/>
      <c r="BB3196" s="783"/>
      <c r="BC3196" s="783"/>
      <c r="BD3196" s="783"/>
      <c r="BE3196" s="783"/>
      <c r="BF3196" s="783"/>
      <c r="BG3196" s="783"/>
      <c r="BH3196" s="783"/>
      <c r="BI3196" s="783"/>
      <c r="BJ3196" s="783"/>
      <c r="BK3196" s="783"/>
      <c r="BL3196" s="783"/>
      <c r="BM3196" s="783"/>
      <c r="BN3196" s="783"/>
      <c r="BO3196" s="783"/>
      <c r="BP3196" s="783"/>
      <c r="BQ3196" s="783"/>
      <c r="BR3196" s="783"/>
      <c r="BS3196" s="783"/>
      <c r="BT3196" s="783"/>
      <c r="BU3196" s="783"/>
      <c r="BV3196" s="783"/>
      <c r="BW3196" s="783"/>
      <c r="BX3196" s="783"/>
      <c r="BY3196" s="783"/>
      <c r="BZ3196" s="783"/>
      <c r="CA3196" s="783"/>
      <c r="CB3196" s="783"/>
      <c r="CC3196" s="783"/>
      <c r="CD3196" s="783"/>
      <c r="CE3196" s="783"/>
      <c r="CF3196" s="783"/>
      <c r="CG3196" s="783"/>
      <c r="CH3196" s="783"/>
      <c r="CI3196" s="783"/>
      <c r="CJ3196" s="783"/>
      <c r="CK3196" s="783"/>
    </row>
    <row r="3197" spans="1:89" s="673" customFormat="1" ht="29.25" customHeight="1" x14ac:dyDescent="0.25">
      <c r="A3197" s="972"/>
      <c r="B3197" s="674"/>
      <c r="C3197" s="906"/>
      <c r="D3197" s="790"/>
      <c r="E3197" s="973"/>
      <c r="F3197" s="700"/>
      <c r="G3197" s="700"/>
      <c r="H3197" s="700"/>
      <c r="I3197" s="700"/>
      <c r="J3197" s="700"/>
      <c r="K3197" s="700"/>
      <c r="L3197" s="700"/>
      <c r="M3197" s="700"/>
      <c r="N3197" s="700"/>
      <c r="O3197" s="974"/>
      <c r="P3197" s="956"/>
      <c r="Q3197" s="783"/>
      <c r="R3197" s="783"/>
      <c r="S3197" s="783"/>
      <c r="T3197" s="783"/>
      <c r="U3197" s="783"/>
      <c r="V3197" s="783"/>
      <c r="W3197" s="783"/>
      <c r="X3197" s="783"/>
      <c r="Y3197" s="783"/>
      <c r="Z3197" s="783"/>
      <c r="AA3197" s="783"/>
      <c r="AB3197" s="783"/>
      <c r="AC3197" s="783"/>
      <c r="AD3197" s="783"/>
      <c r="AE3197" s="783"/>
      <c r="AF3197" s="783"/>
      <c r="AG3197" s="783"/>
      <c r="AH3197" s="783"/>
      <c r="AI3197" s="783"/>
      <c r="AJ3197" s="783"/>
      <c r="AK3197" s="783"/>
      <c r="AL3197" s="783"/>
      <c r="AM3197" s="783"/>
      <c r="AN3197" s="783"/>
      <c r="AO3197" s="783"/>
      <c r="AP3197" s="783"/>
      <c r="AQ3197" s="783"/>
      <c r="AR3197" s="783"/>
      <c r="AS3197" s="783"/>
      <c r="AT3197" s="783"/>
      <c r="AU3197" s="783"/>
      <c r="AV3197" s="783"/>
      <c r="AW3197" s="783"/>
      <c r="AX3197" s="783"/>
      <c r="AY3197" s="783"/>
      <c r="AZ3197" s="783"/>
      <c r="BA3197" s="783"/>
      <c r="BB3197" s="783"/>
      <c r="BC3197" s="783"/>
      <c r="BD3197" s="783"/>
      <c r="BE3197" s="783"/>
      <c r="BF3197" s="783"/>
      <c r="BG3197" s="783"/>
      <c r="BH3197" s="783"/>
      <c r="BI3197" s="783"/>
      <c r="BJ3197" s="783"/>
      <c r="BK3197" s="783"/>
      <c r="BL3197" s="783"/>
      <c r="BM3197" s="783"/>
      <c r="BN3197" s="783"/>
      <c r="BO3197" s="783"/>
      <c r="BP3197" s="783"/>
      <c r="BQ3197" s="783"/>
      <c r="BR3197" s="783"/>
      <c r="BS3197" s="783"/>
      <c r="BT3197" s="783"/>
      <c r="BU3197" s="783"/>
      <c r="BV3197" s="783"/>
      <c r="BW3197" s="783"/>
      <c r="BX3197" s="783"/>
      <c r="BY3197" s="783"/>
      <c r="BZ3197" s="783"/>
      <c r="CA3197" s="783"/>
      <c r="CB3197" s="783"/>
      <c r="CC3197" s="783"/>
      <c r="CD3197" s="783"/>
      <c r="CE3197" s="783"/>
      <c r="CF3197" s="783"/>
      <c r="CG3197" s="783"/>
      <c r="CH3197" s="783"/>
      <c r="CI3197" s="783"/>
      <c r="CJ3197" s="783"/>
      <c r="CK3197" s="783"/>
    </row>
    <row r="3198" spans="1:89" s="673" customFormat="1" ht="29.25" customHeight="1" x14ac:dyDescent="0.2">
      <c r="A3198" s="972"/>
      <c r="B3198" s="975" t="s">
        <v>1828</v>
      </c>
      <c r="C3198" s="906"/>
      <c r="D3198" s="790"/>
      <c r="E3198" s="973"/>
      <c r="F3198" s="700"/>
      <c r="G3198" s="700"/>
      <c r="H3198" s="700"/>
      <c r="I3198" s="700"/>
      <c r="J3198" s="700"/>
      <c r="K3198" s="700"/>
      <c r="L3198" s="700"/>
      <c r="M3198" s="700"/>
      <c r="N3198" s="700"/>
      <c r="O3198" s="974"/>
      <c r="P3198" s="956"/>
      <c r="Q3198" s="783"/>
      <c r="R3198" s="783"/>
      <c r="S3198" s="783"/>
      <c r="T3198" s="783"/>
      <c r="U3198" s="783"/>
      <c r="V3198" s="783"/>
      <c r="W3198" s="783"/>
      <c r="X3198" s="783"/>
      <c r="Y3198" s="783"/>
      <c r="Z3198" s="783"/>
      <c r="AA3198" s="783"/>
      <c r="AB3198" s="783"/>
      <c r="AC3198" s="783"/>
      <c r="AD3198" s="783"/>
      <c r="AE3198" s="783"/>
      <c r="AF3198" s="783"/>
      <c r="AG3198" s="783"/>
      <c r="AH3198" s="783"/>
      <c r="AI3198" s="783"/>
      <c r="AJ3198" s="783"/>
      <c r="AK3198" s="783"/>
      <c r="AL3198" s="783"/>
      <c r="AM3198" s="783"/>
      <c r="AN3198" s="783"/>
      <c r="AO3198" s="783"/>
      <c r="AP3198" s="783"/>
      <c r="AQ3198" s="783"/>
      <c r="AR3198" s="783"/>
      <c r="AS3198" s="783"/>
      <c r="AT3198" s="783"/>
      <c r="AU3198" s="783"/>
      <c r="AV3198" s="783"/>
      <c r="AW3198" s="783"/>
      <c r="AX3198" s="783"/>
      <c r="AY3198" s="783"/>
      <c r="AZ3198" s="783"/>
      <c r="BA3198" s="783"/>
      <c r="BB3198" s="783"/>
      <c r="BC3198" s="783"/>
      <c r="BD3198" s="783"/>
      <c r="BE3198" s="783"/>
      <c r="BF3198" s="783"/>
      <c r="BG3198" s="783"/>
      <c r="BH3198" s="783"/>
      <c r="BI3198" s="783"/>
      <c r="BJ3198" s="783"/>
      <c r="BK3198" s="783"/>
      <c r="BL3198" s="783"/>
      <c r="BM3198" s="783"/>
      <c r="BN3198" s="783"/>
      <c r="BO3198" s="783"/>
      <c r="BP3198" s="783"/>
      <c r="BQ3198" s="783"/>
      <c r="BR3198" s="783"/>
      <c r="BS3198" s="783"/>
      <c r="BT3198" s="783"/>
      <c r="BU3198" s="783"/>
      <c r="BV3198" s="783"/>
      <c r="BW3198" s="783"/>
      <c r="BX3198" s="783"/>
      <c r="BY3198" s="783"/>
      <c r="BZ3198" s="783"/>
      <c r="CA3198" s="783"/>
      <c r="CB3198" s="783"/>
      <c r="CC3198" s="783"/>
      <c r="CD3198" s="783"/>
      <c r="CE3198" s="783"/>
      <c r="CF3198" s="783"/>
      <c r="CG3198" s="783"/>
      <c r="CH3198" s="783"/>
      <c r="CI3198" s="783"/>
      <c r="CJ3198" s="783"/>
      <c r="CK3198" s="783"/>
    </row>
    <row r="3199" spans="1:89" s="673" customFormat="1" ht="29.25" customHeight="1" x14ac:dyDescent="0.25">
      <c r="A3199" s="976">
        <v>1</v>
      </c>
      <c r="B3199" s="674" t="s">
        <v>1651</v>
      </c>
      <c r="C3199" s="906">
        <v>1</v>
      </c>
      <c r="D3199" s="790" t="s">
        <v>60</v>
      </c>
      <c r="E3199" s="973">
        <v>700000</v>
      </c>
      <c r="F3199" s="700"/>
      <c r="G3199" s="700"/>
      <c r="H3199" s="700"/>
      <c r="I3199" s="700"/>
      <c r="J3199" s="700"/>
      <c r="K3199" s="700"/>
      <c r="L3199" s="700">
        <f>E3199*C3199</f>
        <v>700000</v>
      </c>
      <c r="M3199" s="700"/>
      <c r="N3199" s="700">
        <f>M3199+L3199</f>
        <v>700000</v>
      </c>
      <c r="O3199" s="974">
        <f>N3199+K3199+H3199</f>
        <v>700000</v>
      </c>
      <c r="P3199" s="956"/>
      <c r="Q3199" s="783"/>
      <c r="R3199" s="783"/>
      <c r="S3199" s="783"/>
      <c r="T3199" s="783"/>
      <c r="U3199" s="783"/>
      <c r="V3199" s="783"/>
      <c r="W3199" s="783"/>
      <c r="X3199" s="783"/>
      <c r="Y3199" s="783"/>
      <c r="Z3199" s="783"/>
      <c r="AA3199" s="783"/>
      <c r="AB3199" s="783"/>
      <c r="AC3199" s="783"/>
      <c r="AD3199" s="783"/>
      <c r="AE3199" s="783"/>
      <c r="AF3199" s="783"/>
      <c r="AG3199" s="783"/>
      <c r="AH3199" s="783"/>
      <c r="AI3199" s="783"/>
      <c r="AJ3199" s="783"/>
      <c r="AK3199" s="783"/>
      <c r="AL3199" s="783"/>
      <c r="AM3199" s="783"/>
      <c r="AN3199" s="783"/>
      <c r="AO3199" s="783"/>
      <c r="AP3199" s="783"/>
      <c r="AQ3199" s="783"/>
      <c r="AR3199" s="783"/>
      <c r="AS3199" s="783"/>
      <c r="AT3199" s="783"/>
      <c r="AU3199" s="783"/>
      <c r="AV3199" s="783"/>
      <c r="AW3199" s="783"/>
      <c r="AX3199" s="783"/>
      <c r="AY3199" s="783"/>
      <c r="AZ3199" s="783"/>
      <c r="BA3199" s="783"/>
      <c r="BB3199" s="783"/>
      <c r="BC3199" s="783"/>
      <c r="BD3199" s="783"/>
      <c r="BE3199" s="783"/>
      <c r="BF3199" s="783"/>
      <c r="BG3199" s="783"/>
      <c r="BH3199" s="783"/>
      <c r="BI3199" s="783"/>
      <c r="BJ3199" s="783"/>
      <c r="BK3199" s="783"/>
      <c r="BL3199" s="783"/>
      <c r="BM3199" s="783"/>
      <c r="BN3199" s="783"/>
      <c r="BO3199" s="783"/>
      <c r="BP3199" s="783"/>
      <c r="BQ3199" s="783"/>
      <c r="BR3199" s="783"/>
      <c r="BS3199" s="783"/>
      <c r="BT3199" s="783"/>
      <c r="BU3199" s="783"/>
      <c r="BV3199" s="783"/>
      <c r="BW3199" s="783"/>
      <c r="BX3199" s="783"/>
      <c r="BY3199" s="783"/>
      <c r="BZ3199" s="783"/>
      <c r="CA3199" s="783"/>
      <c r="CB3199" s="783"/>
      <c r="CC3199" s="783"/>
      <c r="CD3199" s="783"/>
      <c r="CE3199" s="783"/>
      <c r="CF3199" s="783"/>
      <c r="CG3199" s="783"/>
      <c r="CH3199" s="783"/>
      <c r="CI3199" s="783"/>
      <c r="CJ3199" s="783"/>
      <c r="CK3199" s="783"/>
    </row>
    <row r="3200" spans="1:89" s="673" customFormat="1" ht="29.25" customHeight="1" x14ac:dyDescent="0.25">
      <c r="A3200" s="976">
        <v>2</v>
      </c>
      <c r="B3200" s="674" t="s">
        <v>1833</v>
      </c>
      <c r="C3200" s="906">
        <v>1</v>
      </c>
      <c r="D3200" s="790" t="s">
        <v>60</v>
      </c>
      <c r="E3200" s="973">
        <v>700000</v>
      </c>
      <c r="F3200" s="700"/>
      <c r="G3200" s="700"/>
      <c r="H3200" s="700"/>
      <c r="I3200" s="700"/>
      <c r="J3200" s="700"/>
      <c r="K3200" s="700"/>
      <c r="L3200" s="700">
        <f>E3200*C3200</f>
        <v>700000</v>
      </c>
      <c r="M3200" s="700"/>
      <c r="N3200" s="700">
        <f>M3200+L3200</f>
        <v>700000</v>
      </c>
      <c r="O3200" s="974">
        <f>N3200+K3200+H3200</f>
        <v>700000</v>
      </c>
      <c r="P3200" s="956"/>
      <c r="Q3200" s="783"/>
      <c r="R3200" s="783"/>
      <c r="S3200" s="783"/>
      <c r="T3200" s="783"/>
      <c r="U3200" s="783"/>
      <c r="V3200" s="783"/>
      <c r="W3200" s="783"/>
      <c r="X3200" s="783"/>
      <c r="Y3200" s="783"/>
      <c r="Z3200" s="783"/>
      <c r="AA3200" s="783"/>
      <c r="AB3200" s="783"/>
      <c r="AC3200" s="783"/>
      <c r="AD3200" s="783"/>
      <c r="AE3200" s="783"/>
      <c r="AF3200" s="783"/>
      <c r="AG3200" s="783"/>
      <c r="AH3200" s="783"/>
      <c r="AI3200" s="783"/>
      <c r="AJ3200" s="783"/>
      <c r="AK3200" s="783"/>
      <c r="AL3200" s="783"/>
      <c r="AM3200" s="783"/>
      <c r="AN3200" s="783"/>
      <c r="AO3200" s="783"/>
      <c r="AP3200" s="783"/>
      <c r="AQ3200" s="783"/>
      <c r="AR3200" s="783"/>
      <c r="AS3200" s="783"/>
      <c r="AT3200" s="783"/>
      <c r="AU3200" s="783"/>
      <c r="AV3200" s="783"/>
      <c r="AW3200" s="783"/>
      <c r="AX3200" s="783"/>
      <c r="AY3200" s="783"/>
      <c r="AZ3200" s="783"/>
      <c r="BA3200" s="783"/>
      <c r="BB3200" s="783"/>
      <c r="BC3200" s="783"/>
      <c r="BD3200" s="783"/>
      <c r="BE3200" s="783"/>
      <c r="BF3200" s="783"/>
      <c r="BG3200" s="783"/>
      <c r="BH3200" s="783"/>
      <c r="BI3200" s="783"/>
      <c r="BJ3200" s="783"/>
      <c r="BK3200" s="783"/>
      <c r="BL3200" s="783"/>
      <c r="BM3200" s="783"/>
      <c r="BN3200" s="783"/>
      <c r="BO3200" s="783"/>
      <c r="BP3200" s="783"/>
      <c r="BQ3200" s="783"/>
      <c r="BR3200" s="783"/>
      <c r="BS3200" s="783"/>
      <c r="BT3200" s="783"/>
      <c r="BU3200" s="783"/>
      <c r="BV3200" s="783"/>
      <c r="BW3200" s="783"/>
      <c r="BX3200" s="783"/>
      <c r="BY3200" s="783"/>
      <c r="BZ3200" s="783"/>
      <c r="CA3200" s="783"/>
      <c r="CB3200" s="783"/>
      <c r="CC3200" s="783"/>
      <c r="CD3200" s="783"/>
      <c r="CE3200" s="783"/>
      <c r="CF3200" s="783"/>
      <c r="CG3200" s="783"/>
      <c r="CH3200" s="783"/>
      <c r="CI3200" s="783"/>
      <c r="CJ3200" s="783"/>
      <c r="CK3200" s="783"/>
    </row>
    <row r="3201" spans="1:89" s="673" customFormat="1" ht="29.25" customHeight="1" x14ac:dyDescent="0.25">
      <c r="A3201" s="976">
        <v>3</v>
      </c>
      <c r="B3201" s="674" t="s">
        <v>1834</v>
      </c>
      <c r="C3201" s="906">
        <v>1</v>
      </c>
      <c r="D3201" s="790" t="s">
        <v>60</v>
      </c>
      <c r="E3201" s="973">
        <v>700000</v>
      </c>
      <c r="F3201" s="700"/>
      <c r="G3201" s="700"/>
      <c r="H3201" s="700"/>
      <c r="I3201" s="700"/>
      <c r="J3201" s="700"/>
      <c r="K3201" s="700"/>
      <c r="L3201" s="700">
        <f>E3201*C3201</f>
        <v>700000</v>
      </c>
      <c r="M3201" s="700"/>
      <c r="N3201" s="700">
        <f>M3201+L3201</f>
        <v>700000</v>
      </c>
      <c r="O3201" s="974">
        <f>N3201+K3201+H3201</f>
        <v>700000</v>
      </c>
      <c r="P3201" s="956"/>
      <c r="Q3201" s="783"/>
      <c r="R3201" s="783"/>
      <c r="S3201" s="783"/>
      <c r="T3201" s="783"/>
      <c r="U3201" s="783"/>
      <c r="V3201" s="783"/>
      <c r="W3201" s="783"/>
      <c r="X3201" s="783"/>
      <c r="Y3201" s="783"/>
      <c r="Z3201" s="783"/>
      <c r="AA3201" s="783"/>
      <c r="AB3201" s="783"/>
      <c r="AC3201" s="783"/>
      <c r="AD3201" s="783"/>
      <c r="AE3201" s="783"/>
      <c r="AF3201" s="783"/>
      <c r="AG3201" s="783"/>
      <c r="AH3201" s="783"/>
      <c r="AI3201" s="783"/>
      <c r="AJ3201" s="783"/>
      <c r="AK3201" s="783"/>
      <c r="AL3201" s="783"/>
      <c r="AM3201" s="783"/>
      <c r="AN3201" s="783"/>
      <c r="AO3201" s="783"/>
      <c r="AP3201" s="783"/>
      <c r="AQ3201" s="783"/>
      <c r="AR3201" s="783"/>
      <c r="AS3201" s="783"/>
      <c r="AT3201" s="783"/>
      <c r="AU3201" s="783"/>
      <c r="AV3201" s="783"/>
      <c r="AW3201" s="783"/>
      <c r="AX3201" s="783"/>
      <c r="AY3201" s="783"/>
      <c r="AZ3201" s="783"/>
      <c r="BA3201" s="783"/>
      <c r="BB3201" s="783"/>
      <c r="BC3201" s="783"/>
      <c r="BD3201" s="783"/>
      <c r="BE3201" s="783"/>
      <c r="BF3201" s="783"/>
      <c r="BG3201" s="783"/>
      <c r="BH3201" s="783"/>
      <c r="BI3201" s="783"/>
      <c r="BJ3201" s="783"/>
      <c r="BK3201" s="783"/>
      <c r="BL3201" s="783"/>
      <c r="BM3201" s="783"/>
      <c r="BN3201" s="783"/>
      <c r="BO3201" s="783"/>
      <c r="BP3201" s="783"/>
      <c r="BQ3201" s="783"/>
      <c r="BR3201" s="783"/>
      <c r="BS3201" s="783"/>
      <c r="BT3201" s="783"/>
      <c r="BU3201" s="783"/>
      <c r="BV3201" s="783"/>
      <c r="BW3201" s="783"/>
      <c r="BX3201" s="783"/>
      <c r="BY3201" s="783"/>
      <c r="BZ3201" s="783"/>
      <c r="CA3201" s="783"/>
      <c r="CB3201" s="783"/>
      <c r="CC3201" s="783"/>
      <c r="CD3201" s="783"/>
      <c r="CE3201" s="783"/>
      <c r="CF3201" s="783"/>
      <c r="CG3201" s="783"/>
      <c r="CH3201" s="783"/>
      <c r="CI3201" s="783"/>
      <c r="CJ3201" s="783"/>
      <c r="CK3201" s="783"/>
    </row>
    <row r="3202" spans="1:89" s="673" customFormat="1" ht="29.25" customHeight="1" x14ac:dyDescent="0.25">
      <c r="A3202" s="976">
        <v>4</v>
      </c>
      <c r="B3202" s="674" t="s">
        <v>2322</v>
      </c>
      <c r="C3202" s="906">
        <v>1</v>
      </c>
      <c r="D3202" s="790" t="s">
        <v>60</v>
      </c>
      <c r="E3202" s="973">
        <v>700000</v>
      </c>
      <c r="F3202" s="700"/>
      <c r="G3202" s="700"/>
      <c r="H3202" s="700"/>
      <c r="I3202" s="700"/>
      <c r="J3202" s="700"/>
      <c r="K3202" s="700"/>
      <c r="L3202" s="700">
        <f>E3202*C3202</f>
        <v>700000</v>
      </c>
      <c r="M3202" s="700"/>
      <c r="N3202" s="700">
        <f>M3202+L3202</f>
        <v>700000</v>
      </c>
      <c r="O3202" s="974">
        <f>N3202+K3202+H3202</f>
        <v>700000</v>
      </c>
      <c r="P3202" s="956"/>
      <c r="Q3202" s="783"/>
      <c r="R3202" s="783"/>
      <c r="S3202" s="783"/>
      <c r="T3202" s="783"/>
      <c r="U3202" s="783"/>
      <c r="V3202" s="783"/>
      <c r="W3202" s="783"/>
      <c r="X3202" s="783"/>
      <c r="Y3202" s="783"/>
      <c r="Z3202" s="783"/>
      <c r="AA3202" s="783"/>
      <c r="AB3202" s="783"/>
      <c r="AC3202" s="783"/>
      <c r="AD3202" s="783"/>
      <c r="AE3202" s="783"/>
      <c r="AF3202" s="783"/>
      <c r="AG3202" s="783"/>
      <c r="AH3202" s="783"/>
      <c r="AI3202" s="783"/>
      <c r="AJ3202" s="783"/>
      <c r="AK3202" s="783"/>
      <c r="AL3202" s="783"/>
      <c r="AM3202" s="783"/>
      <c r="AN3202" s="783"/>
      <c r="AO3202" s="783"/>
      <c r="AP3202" s="783"/>
      <c r="AQ3202" s="783"/>
      <c r="AR3202" s="783"/>
      <c r="AS3202" s="783"/>
      <c r="AT3202" s="783"/>
      <c r="AU3202" s="783"/>
      <c r="AV3202" s="783"/>
      <c r="AW3202" s="783"/>
      <c r="AX3202" s="783"/>
      <c r="AY3202" s="783"/>
      <c r="AZ3202" s="783"/>
      <c r="BA3202" s="783"/>
      <c r="BB3202" s="783"/>
      <c r="BC3202" s="783"/>
      <c r="BD3202" s="783"/>
      <c r="BE3202" s="783"/>
      <c r="BF3202" s="783"/>
      <c r="BG3202" s="783"/>
      <c r="BH3202" s="783"/>
      <c r="BI3202" s="783"/>
      <c r="BJ3202" s="783"/>
      <c r="BK3202" s="783"/>
      <c r="BL3202" s="783"/>
      <c r="BM3202" s="783"/>
      <c r="BN3202" s="783"/>
      <c r="BO3202" s="783"/>
      <c r="BP3202" s="783"/>
      <c r="BQ3202" s="783"/>
      <c r="BR3202" s="783"/>
      <c r="BS3202" s="783"/>
      <c r="BT3202" s="783"/>
      <c r="BU3202" s="783"/>
      <c r="BV3202" s="783"/>
      <c r="BW3202" s="783"/>
      <c r="BX3202" s="783"/>
      <c r="BY3202" s="783"/>
      <c r="BZ3202" s="783"/>
      <c r="CA3202" s="783"/>
      <c r="CB3202" s="783"/>
      <c r="CC3202" s="783"/>
      <c r="CD3202" s="783"/>
      <c r="CE3202" s="783"/>
      <c r="CF3202" s="783"/>
      <c r="CG3202" s="783"/>
      <c r="CH3202" s="783"/>
      <c r="CI3202" s="783"/>
      <c r="CJ3202" s="783"/>
      <c r="CK3202" s="783"/>
    </row>
    <row r="3203" spans="1:89" s="673" customFormat="1" ht="29.25" customHeight="1" x14ac:dyDescent="0.25">
      <c r="A3203" s="976">
        <v>5</v>
      </c>
      <c r="B3203" s="674" t="s">
        <v>2323</v>
      </c>
      <c r="C3203" s="906">
        <v>1</v>
      </c>
      <c r="D3203" s="790" t="s">
        <v>60</v>
      </c>
      <c r="E3203" s="973">
        <v>700000</v>
      </c>
      <c r="F3203" s="700"/>
      <c r="G3203" s="700"/>
      <c r="H3203" s="700"/>
      <c r="I3203" s="700"/>
      <c r="J3203" s="700"/>
      <c r="K3203" s="700"/>
      <c r="L3203" s="700">
        <f>E3203*C3203</f>
        <v>700000</v>
      </c>
      <c r="M3203" s="700"/>
      <c r="N3203" s="700">
        <f>M3203+L3203</f>
        <v>700000</v>
      </c>
      <c r="O3203" s="974">
        <f>N3203+K3203+H3203</f>
        <v>700000</v>
      </c>
      <c r="P3203" s="956"/>
      <c r="Q3203" s="783"/>
      <c r="R3203" s="783"/>
      <c r="S3203" s="783"/>
      <c r="T3203" s="783"/>
      <c r="U3203" s="783"/>
      <c r="V3203" s="783"/>
      <c r="W3203" s="783"/>
      <c r="X3203" s="783"/>
      <c r="Y3203" s="783"/>
      <c r="Z3203" s="783"/>
      <c r="AA3203" s="783"/>
      <c r="AB3203" s="783"/>
      <c r="AC3203" s="783"/>
      <c r="AD3203" s="783"/>
      <c r="AE3203" s="783"/>
      <c r="AF3203" s="783"/>
      <c r="AG3203" s="783"/>
      <c r="AH3203" s="783"/>
      <c r="AI3203" s="783"/>
      <c r="AJ3203" s="783"/>
      <c r="AK3203" s="783"/>
      <c r="AL3203" s="783"/>
      <c r="AM3203" s="783"/>
      <c r="AN3203" s="783"/>
      <c r="AO3203" s="783"/>
      <c r="AP3203" s="783"/>
      <c r="AQ3203" s="783"/>
      <c r="AR3203" s="783"/>
      <c r="AS3203" s="783"/>
      <c r="AT3203" s="783"/>
      <c r="AU3203" s="783"/>
      <c r="AV3203" s="783"/>
      <c r="AW3203" s="783"/>
      <c r="AX3203" s="783"/>
      <c r="AY3203" s="783"/>
      <c r="AZ3203" s="783"/>
      <c r="BA3203" s="783"/>
      <c r="BB3203" s="783"/>
      <c r="BC3203" s="783"/>
      <c r="BD3203" s="783"/>
      <c r="BE3203" s="783"/>
      <c r="BF3203" s="783"/>
      <c r="BG3203" s="783"/>
      <c r="BH3203" s="783"/>
      <c r="BI3203" s="783"/>
      <c r="BJ3203" s="783"/>
      <c r="BK3203" s="783"/>
      <c r="BL3203" s="783"/>
      <c r="BM3203" s="783"/>
      <c r="BN3203" s="783"/>
      <c r="BO3203" s="783"/>
      <c r="BP3203" s="783"/>
      <c r="BQ3203" s="783"/>
      <c r="BR3203" s="783"/>
      <c r="BS3203" s="783"/>
      <c r="BT3203" s="783"/>
      <c r="BU3203" s="783"/>
      <c r="BV3203" s="783"/>
      <c r="BW3203" s="783"/>
      <c r="BX3203" s="783"/>
      <c r="BY3203" s="783"/>
      <c r="BZ3203" s="783"/>
      <c r="CA3203" s="783"/>
      <c r="CB3203" s="783"/>
      <c r="CC3203" s="783"/>
      <c r="CD3203" s="783"/>
      <c r="CE3203" s="783"/>
      <c r="CF3203" s="783"/>
      <c r="CG3203" s="783"/>
      <c r="CH3203" s="783"/>
      <c r="CI3203" s="783"/>
      <c r="CJ3203" s="783"/>
      <c r="CK3203" s="783"/>
    </row>
    <row r="3204" spans="1:89" s="783" customFormat="1" ht="29.25" customHeight="1" x14ac:dyDescent="0.25">
      <c r="A3204" s="972"/>
      <c r="B3204" s="674"/>
      <c r="C3204" s="906"/>
      <c r="D3204" s="790"/>
      <c r="E3204" s="973"/>
      <c r="F3204" s="700"/>
      <c r="G3204" s="700"/>
      <c r="H3204" s="700"/>
      <c r="I3204" s="700"/>
      <c r="J3204" s="700"/>
      <c r="K3204" s="700"/>
      <c r="L3204" s="700"/>
      <c r="M3204" s="700"/>
      <c r="N3204" s="700"/>
      <c r="O3204" s="974"/>
      <c r="P3204" s="956"/>
    </row>
    <row r="3205" spans="1:89" s="783" customFormat="1" ht="29.25" customHeight="1" x14ac:dyDescent="0.25">
      <c r="A3205" s="972"/>
      <c r="B3205" s="773" t="s">
        <v>1189</v>
      </c>
      <c r="C3205" s="906"/>
      <c r="D3205" s="790"/>
      <c r="E3205" s="973"/>
      <c r="F3205" s="714"/>
      <c r="G3205" s="714"/>
      <c r="H3205" s="695"/>
      <c r="I3205" s="714"/>
      <c r="J3205" s="714"/>
      <c r="K3205" s="695"/>
      <c r="L3205" s="714"/>
      <c r="M3205" s="714"/>
      <c r="N3205" s="714"/>
      <c r="O3205" s="753"/>
      <c r="P3205" s="754"/>
    </row>
    <row r="3206" spans="1:89" s="783" customFormat="1" ht="29.25" customHeight="1" x14ac:dyDescent="0.25">
      <c r="A3206" s="972"/>
      <c r="B3206" s="771" t="s">
        <v>1827</v>
      </c>
      <c r="C3206" s="906"/>
      <c r="D3206" s="790"/>
      <c r="E3206" s="973"/>
      <c r="F3206" s="714"/>
      <c r="G3206" s="714"/>
      <c r="H3206" s="695"/>
      <c r="I3206" s="714"/>
      <c r="J3206" s="714"/>
      <c r="K3206" s="695"/>
      <c r="L3206" s="714"/>
      <c r="M3206" s="714"/>
      <c r="N3206" s="714"/>
      <c r="O3206" s="753"/>
      <c r="P3206" s="754"/>
    </row>
    <row r="3207" spans="1:89" s="673" customFormat="1" ht="29.25" customHeight="1" x14ac:dyDescent="0.25">
      <c r="A3207" s="788"/>
      <c r="B3207" s="674" t="s">
        <v>1821</v>
      </c>
      <c r="C3207" s="789">
        <v>1</v>
      </c>
      <c r="D3207" s="790" t="s">
        <v>60</v>
      </c>
      <c r="E3207" s="973">
        <v>500000</v>
      </c>
      <c r="F3207" s="768">
        <v>0</v>
      </c>
      <c r="G3207" s="768">
        <v>0</v>
      </c>
      <c r="H3207" s="792">
        <v>0</v>
      </c>
      <c r="I3207" s="768">
        <v>0</v>
      </c>
      <c r="J3207" s="768">
        <f t="shared" ref="J3207:J3212" si="322">E3207*C3207</f>
        <v>500000</v>
      </c>
      <c r="K3207" s="768">
        <f t="shared" ref="K3207:K3255" si="323">J3207+I3207</f>
        <v>500000</v>
      </c>
      <c r="L3207" s="768">
        <v>0</v>
      </c>
      <c r="M3207" s="768">
        <v>0</v>
      </c>
      <c r="N3207" s="768">
        <v>0</v>
      </c>
      <c r="O3207" s="769">
        <f t="shared" ref="O3207:O3255" si="324">N3207+K3207+H3207</f>
        <v>500000</v>
      </c>
      <c r="P3207" s="770"/>
      <c r="Q3207" s="783"/>
      <c r="R3207" s="783"/>
      <c r="S3207" s="783"/>
      <c r="T3207" s="783"/>
      <c r="U3207" s="783"/>
      <c r="V3207" s="783"/>
      <c r="W3207" s="783"/>
      <c r="X3207" s="783"/>
      <c r="Y3207" s="783"/>
      <c r="Z3207" s="783"/>
      <c r="AA3207" s="783"/>
      <c r="AB3207" s="783"/>
      <c r="AC3207" s="783"/>
      <c r="AD3207" s="783"/>
      <c r="AE3207" s="783"/>
      <c r="AF3207" s="783"/>
      <c r="AG3207" s="783"/>
      <c r="AH3207" s="783"/>
      <c r="AI3207" s="783"/>
      <c r="AJ3207" s="783"/>
      <c r="AK3207" s="783"/>
      <c r="AL3207" s="783"/>
      <c r="AM3207" s="783"/>
      <c r="AN3207" s="783"/>
      <c r="AO3207" s="783"/>
      <c r="AP3207" s="783"/>
      <c r="AQ3207" s="783"/>
      <c r="AR3207" s="783"/>
      <c r="AS3207" s="783"/>
      <c r="AT3207" s="783"/>
      <c r="AU3207" s="783"/>
      <c r="AV3207" s="783"/>
      <c r="AW3207" s="783"/>
      <c r="AX3207" s="783"/>
      <c r="AY3207" s="783"/>
      <c r="AZ3207" s="783"/>
      <c r="BA3207" s="783"/>
      <c r="BB3207" s="783"/>
      <c r="BC3207" s="783"/>
      <c r="BD3207" s="783"/>
      <c r="BE3207" s="783"/>
      <c r="BF3207" s="783"/>
      <c r="BG3207" s="783"/>
      <c r="BH3207" s="783"/>
      <c r="BI3207" s="783"/>
      <c r="BJ3207" s="783"/>
      <c r="BK3207" s="783"/>
      <c r="BL3207" s="783"/>
      <c r="BM3207" s="783"/>
      <c r="BN3207" s="783"/>
      <c r="BO3207" s="783"/>
      <c r="BP3207" s="783"/>
      <c r="BQ3207" s="783"/>
      <c r="BR3207" s="783"/>
      <c r="BS3207" s="783"/>
      <c r="BT3207" s="783"/>
      <c r="BU3207" s="783"/>
      <c r="BV3207" s="783"/>
      <c r="BW3207" s="783"/>
      <c r="BX3207" s="783"/>
      <c r="BY3207" s="783"/>
      <c r="BZ3207" s="783"/>
      <c r="CA3207" s="783"/>
      <c r="CB3207" s="783"/>
      <c r="CC3207" s="783"/>
      <c r="CD3207" s="783"/>
      <c r="CE3207" s="783"/>
      <c r="CF3207" s="783"/>
      <c r="CG3207" s="783"/>
      <c r="CH3207" s="783"/>
      <c r="CI3207" s="783"/>
      <c r="CJ3207" s="783"/>
      <c r="CK3207" s="783"/>
    </row>
    <row r="3208" spans="1:89" s="673" customFormat="1" ht="29.25" customHeight="1" x14ac:dyDescent="0.25">
      <c r="A3208" s="788"/>
      <c r="B3208" s="784" t="s">
        <v>1822</v>
      </c>
      <c r="C3208" s="789">
        <v>1</v>
      </c>
      <c r="D3208" s="790" t="s">
        <v>60</v>
      </c>
      <c r="E3208" s="973">
        <v>500000</v>
      </c>
      <c r="F3208" s="768">
        <v>0</v>
      </c>
      <c r="G3208" s="768">
        <v>0</v>
      </c>
      <c r="H3208" s="792">
        <v>0</v>
      </c>
      <c r="I3208" s="768">
        <v>0</v>
      </c>
      <c r="J3208" s="768">
        <f t="shared" si="322"/>
        <v>500000</v>
      </c>
      <c r="K3208" s="768">
        <f t="shared" si="323"/>
        <v>500000</v>
      </c>
      <c r="L3208" s="768">
        <v>0</v>
      </c>
      <c r="M3208" s="768">
        <v>0</v>
      </c>
      <c r="N3208" s="768">
        <v>0</v>
      </c>
      <c r="O3208" s="769">
        <f t="shared" si="324"/>
        <v>500000</v>
      </c>
      <c r="P3208" s="770"/>
      <c r="Q3208" s="783"/>
      <c r="R3208" s="783"/>
      <c r="S3208" s="783"/>
      <c r="T3208" s="783"/>
      <c r="U3208" s="783"/>
      <c r="V3208" s="783"/>
      <c r="W3208" s="783"/>
      <c r="X3208" s="783"/>
      <c r="Y3208" s="783"/>
      <c r="Z3208" s="783"/>
      <c r="AA3208" s="783"/>
      <c r="AB3208" s="783"/>
      <c r="AC3208" s="783"/>
      <c r="AD3208" s="783"/>
      <c r="AE3208" s="783"/>
      <c r="AF3208" s="783"/>
      <c r="AG3208" s="783"/>
      <c r="AH3208" s="783"/>
      <c r="AI3208" s="783"/>
      <c r="AJ3208" s="783"/>
      <c r="AK3208" s="783"/>
      <c r="AL3208" s="783"/>
      <c r="AM3208" s="783"/>
      <c r="AN3208" s="783"/>
      <c r="AO3208" s="783"/>
      <c r="AP3208" s="783"/>
      <c r="AQ3208" s="783"/>
      <c r="AR3208" s="783"/>
      <c r="AS3208" s="783"/>
      <c r="AT3208" s="783"/>
      <c r="AU3208" s="783"/>
      <c r="AV3208" s="783"/>
      <c r="AW3208" s="783"/>
      <c r="AX3208" s="783"/>
      <c r="AY3208" s="783"/>
      <c r="AZ3208" s="783"/>
      <c r="BA3208" s="783"/>
      <c r="BB3208" s="783"/>
      <c r="BC3208" s="783"/>
      <c r="BD3208" s="783"/>
      <c r="BE3208" s="783"/>
      <c r="BF3208" s="783"/>
      <c r="BG3208" s="783"/>
      <c r="BH3208" s="783"/>
      <c r="BI3208" s="783"/>
      <c r="BJ3208" s="783"/>
      <c r="BK3208" s="783"/>
      <c r="BL3208" s="783"/>
      <c r="BM3208" s="783"/>
      <c r="BN3208" s="783"/>
      <c r="BO3208" s="783"/>
      <c r="BP3208" s="783"/>
      <c r="BQ3208" s="783"/>
      <c r="BR3208" s="783"/>
      <c r="BS3208" s="783"/>
      <c r="BT3208" s="783"/>
      <c r="BU3208" s="783"/>
      <c r="BV3208" s="783"/>
      <c r="BW3208" s="783"/>
      <c r="BX3208" s="783"/>
      <c r="BY3208" s="783"/>
      <c r="BZ3208" s="783"/>
      <c r="CA3208" s="783"/>
      <c r="CB3208" s="783"/>
      <c r="CC3208" s="783"/>
      <c r="CD3208" s="783"/>
      <c r="CE3208" s="783"/>
      <c r="CF3208" s="783"/>
      <c r="CG3208" s="783"/>
      <c r="CH3208" s="783"/>
      <c r="CI3208" s="783"/>
      <c r="CJ3208" s="783"/>
      <c r="CK3208" s="783"/>
    </row>
    <row r="3209" spans="1:89" s="673" customFormat="1" ht="29.25" customHeight="1" x14ac:dyDescent="0.25">
      <c r="A3209" s="788"/>
      <c r="B3209" s="677" t="s">
        <v>1823</v>
      </c>
      <c r="C3209" s="789">
        <v>1</v>
      </c>
      <c r="D3209" s="790" t="s">
        <v>60</v>
      </c>
      <c r="E3209" s="973">
        <v>500000</v>
      </c>
      <c r="F3209" s="700">
        <v>0</v>
      </c>
      <c r="G3209" s="700">
        <v>0</v>
      </c>
      <c r="H3209" s="700">
        <v>0</v>
      </c>
      <c r="I3209" s="700">
        <v>0</v>
      </c>
      <c r="J3209" s="700">
        <f t="shared" si="322"/>
        <v>500000</v>
      </c>
      <c r="K3209" s="700">
        <f t="shared" si="323"/>
        <v>500000</v>
      </c>
      <c r="L3209" s="700">
        <v>0</v>
      </c>
      <c r="M3209" s="700">
        <v>0</v>
      </c>
      <c r="N3209" s="700">
        <v>0</v>
      </c>
      <c r="O3209" s="974">
        <f t="shared" si="324"/>
        <v>500000</v>
      </c>
      <c r="P3209" s="956"/>
      <c r="Q3209" s="783"/>
      <c r="R3209" s="783"/>
      <c r="S3209" s="783"/>
      <c r="T3209" s="783"/>
      <c r="U3209" s="783"/>
      <c r="V3209" s="783"/>
      <c r="W3209" s="783"/>
      <c r="X3209" s="783"/>
      <c r="Y3209" s="783"/>
      <c r="Z3209" s="783"/>
      <c r="AA3209" s="783"/>
      <c r="AB3209" s="783"/>
      <c r="AC3209" s="783"/>
      <c r="AD3209" s="783"/>
      <c r="AE3209" s="783"/>
      <c r="AF3209" s="783"/>
      <c r="AG3209" s="783"/>
      <c r="AH3209" s="783"/>
      <c r="AI3209" s="783"/>
      <c r="AJ3209" s="783"/>
      <c r="AK3209" s="783"/>
      <c r="AL3209" s="783"/>
      <c r="AM3209" s="783"/>
      <c r="AN3209" s="783"/>
      <c r="AO3209" s="783"/>
      <c r="AP3209" s="783"/>
      <c r="AQ3209" s="783"/>
      <c r="AR3209" s="783"/>
      <c r="AS3209" s="783"/>
      <c r="AT3209" s="783"/>
      <c r="AU3209" s="783"/>
      <c r="AV3209" s="783"/>
      <c r="AW3209" s="783"/>
      <c r="AX3209" s="783"/>
      <c r="AY3209" s="783"/>
      <c r="AZ3209" s="783"/>
      <c r="BA3209" s="783"/>
      <c r="BB3209" s="783"/>
      <c r="BC3209" s="783"/>
      <c r="BD3209" s="783"/>
      <c r="BE3209" s="783"/>
      <c r="BF3209" s="783"/>
      <c r="BG3209" s="783"/>
      <c r="BH3209" s="783"/>
      <c r="BI3209" s="783"/>
      <c r="BJ3209" s="783"/>
      <c r="BK3209" s="783"/>
      <c r="BL3209" s="783"/>
      <c r="BM3209" s="783"/>
      <c r="BN3209" s="783"/>
      <c r="BO3209" s="783"/>
      <c r="BP3209" s="783"/>
      <c r="BQ3209" s="783"/>
      <c r="BR3209" s="783"/>
      <c r="BS3209" s="783"/>
      <c r="BT3209" s="783"/>
      <c r="BU3209" s="783"/>
      <c r="BV3209" s="783"/>
      <c r="BW3209" s="783"/>
      <c r="BX3209" s="783"/>
      <c r="BY3209" s="783"/>
      <c r="BZ3209" s="783"/>
      <c r="CA3209" s="783"/>
      <c r="CB3209" s="783"/>
      <c r="CC3209" s="783"/>
      <c r="CD3209" s="783"/>
      <c r="CE3209" s="783"/>
      <c r="CF3209" s="783"/>
      <c r="CG3209" s="783"/>
      <c r="CH3209" s="783"/>
      <c r="CI3209" s="783"/>
      <c r="CJ3209" s="783"/>
      <c r="CK3209" s="783"/>
    </row>
    <row r="3210" spans="1:89" s="673" customFormat="1" ht="30.75" customHeight="1" x14ac:dyDescent="0.25">
      <c r="A3210" s="788"/>
      <c r="B3210" s="677" t="s">
        <v>2065</v>
      </c>
      <c r="C3210" s="789">
        <v>1</v>
      </c>
      <c r="D3210" s="790" t="s">
        <v>60</v>
      </c>
      <c r="E3210" s="973">
        <v>300000</v>
      </c>
      <c r="F3210" s="714">
        <v>0</v>
      </c>
      <c r="G3210" s="714">
        <v>0</v>
      </c>
      <c r="H3210" s="695">
        <v>0</v>
      </c>
      <c r="I3210" s="714">
        <v>0</v>
      </c>
      <c r="J3210" s="714">
        <f t="shared" si="322"/>
        <v>300000</v>
      </c>
      <c r="K3210" s="695">
        <f t="shared" si="323"/>
        <v>300000</v>
      </c>
      <c r="L3210" s="714">
        <v>0</v>
      </c>
      <c r="M3210" s="714">
        <v>0</v>
      </c>
      <c r="N3210" s="714">
        <v>0</v>
      </c>
      <c r="O3210" s="753">
        <f t="shared" si="324"/>
        <v>300000</v>
      </c>
      <c r="P3210" s="754"/>
      <c r="Q3210" s="783"/>
      <c r="R3210" s="783"/>
      <c r="S3210" s="783"/>
      <c r="T3210" s="783"/>
      <c r="U3210" s="783"/>
      <c r="V3210" s="783"/>
      <c r="W3210" s="783"/>
      <c r="X3210" s="783"/>
      <c r="Y3210" s="783"/>
      <c r="Z3210" s="783"/>
      <c r="AA3210" s="783"/>
      <c r="AB3210" s="783"/>
      <c r="AC3210" s="783"/>
      <c r="AD3210" s="783"/>
      <c r="AE3210" s="783"/>
      <c r="AF3210" s="783"/>
      <c r="AG3210" s="783"/>
      <c r="AH3210" s="783"/>
      <c r="AI3210" s="783"/>
      <c r="AJ3210" s="783"/>
      <c r="AK3210" s="783"/>
      <c r="AL3210" s="783"/>
      <c r="AM3210" s="783"/>
      <c r="AN3210" s="783"/>
      <c r="AO3210" s="783"/>
      <c r="AP3210" s="783"/>
      <c r="AQ3210" s="783"/>
      <c r="AR3210" s="783"/>
      <c r="AS3210" s="783"/>
      <c r="AT3210" s="783"/>
      <c r="AU3210" s="783"/>
      <c r="AV3210" s="783"/>
      <c r="AW3210" s="783"/>
      <c r="AX3210" s="783"/>
      <c r="AY3210" s="783"/>
      <c r="AZ3210" s="783"/>
      <c r="BA3210" s="783"/>
      <c r="BB3210" s="783"/>
      <c r="BC3210" s="783"/>
      <c r="BD3210" s="783"/>
      <c r="BE3210" s="783"/>
      <c r="BF3210" s="783"/>
      <c r="BG3210" s="783"/>
      <c r="BH3210" s="783"/>
      <c r="BI3210" s="783"/>
      <c r="BJ3210" s="783"/>
      <c r="BK3210" s="783"/>
      <c r="BL3210" s="783"/>
      <c r="BM3210" s="783"/>
      <c r="BN3210" s="783"/>
      <c r="BO3210" s="783"/>
      <c r="BP3210" s="783"/>
      <c r="BQ3210" s="783"/>
      <c r="BR3210" s="783"/>
      <c r="BS3210" s="783"/>
      <c r="BT3210" s="783"/>
      <c r="BU3210" s="783"/>
      <c r="BV3210" s="783"/>
      <c r="BW3210" s="783"/>
      <c r="BX3210" s="783"/>
      <c r="BY3210" s="783"/>
      <c r="BZ3210" s="783"/>
      <c r="CA3210" s="783"/>
      <c r="CB3210" s="783"/>
      <c r="CC3210" s="783"/>
      <c r="CD3210" s="783"/>
      <c r="CE3210" s="783"/>
      <c r="CF3210" s="783"/>
      <c r="CG3210" s="783"/>
      <c r="CH3210" s="783"/>
      <c r="CI3210" s="783"/>
      <c r="CJ3210" s="783"/>
      <c r="CK3210" s="783"/>
    </row>
    <row r="3211" spans="1:89" s="673" customFormat="1" ht="29.25" customHeight="1" x14ac:dyDescent="0.25">
      <c r="A3211" s="788"/>
      <c r="B3211" s="677" t="s">
        <v>1652</v>
      </c>
      <c r="C3211" s="789">
        <v>1</v>
      </c>
      <c r="D3211" s="790" t="s">
        <v>60</v>
      </c>
      <c r="E3211" s="973">
        <v>300000</v>
      </c>
      <c r="F3211" s="714">
        <v>0</v>
      </c>
      <c r="G3211" s="714">
        <v>0</v>
      </c>
      <c r="H3211" s="695">
        <v>0</v>
      </c>
      <c r="I3211" s="714">
        <v>0</v>
      </c>
      <c r="J3211" s="714">
        <f t="shared" si="322"/>
        <v>300000</v>
      </c>
      <c r="K3211" s="695">
        <f t="shared" si="323"/>
        <v>300000</v>
      </c>
      <c r="L3211" s="714">
        <v>0</v>
      </c>
      <c r="M3211" s="714">
        <v>0</v>
      </c>
      <c r="N3211" s="714">
        <v>0</v>
      </c>
      <c r="O3211" s="753">
        <f t="shared" si="324"/>
        <v>300000</v>
      </c>
      <c r="P3211" s="754"/>
      <c r="Q3211" s="783"/>
      <c r="R3211" s="783"/>
      <c r="S3211" s="783"/>
      <c r="T3211" s="783"/>
      <c r="U3211" s="783"/>
      <c r="V3211" s="783"/>
      <c r="W3211" s="783"/>
      <c r="X3211" s="783"/>
      <c r="Y3211" s="783"/>
      <c r="Z3211" s="783"/>
      <c r="AA3211" s="783"/>
      <c r="AB3211" s="783"/>
      <c r="AC3211" s="783"/>
      <c r="AD3211" s="783"/>
      <c r="AE3211" s="783"/>
      <c r="AF3211" s="783"/>
      <c r="AG3211" s="783"/>
      <c r="AH3211" s="783"/>
      <c r="AI3211" s="783"/>
      <c r="AJ3211" s="783"/>
      <c r="AK3211" s="783"/>
      <c r="AL3211" s="783"/>
      <c r="AM3211" s="783"/>
      <c r="AN3211" s="783"/>
      <c r="AO3211" s="783"/>
      <c r="AP3211" s="783"/>
      <c r="AQ3211" s="783"/>
      <c r="AR3211" s="783"/>
      <c r="AS3211" s="783"/>
      <c r="AT3211" s="783"/>
      <c r="AU3211" s="783"/>
      <c r="AV3211" s="783"/>
      <c r="AW3211" s="783"/>
      <c r="AX3211" s="783"/>
      <c r="AY3211" s="783"/>
      <c r="AZ3211" s="783"/>
      <c r="BA3211" s="783"/>
      <c r="BB3211" s="783"/>
      <c r="BC3211" s="783"/>
      <c r="BD3211" s="783"/>
      <c r="BE3211" s="783"/>
      <c r="BF3211" s="783"/>
      <c r="BG3211" s="783"/>
      <c r="BH3211" s="783"/>
      <c r="BI3211" s="783"/>
      <c r="BJ3211" s="783"/>
      <c r="BK3211" s="783"/>
      <c r="BL3211" s="783"/>
      <c r="BM3211" s="783"/>
      <c r="BN3211" s="783"/>
      <c r="BO3211" s="783"/>
      <c r="BP3211" s="783"/>
      <c r="BQ3211" s="783"/>
      <c r="BR3211" s="783"/>
      <c r="BS3211" s="783"/>
      <c r="BT3211" s="783"/>
      <c r="BU3211" s="783"/>
      <c r="BV3211" s="783"/>
      <c r="BW3211" s="783"/>
      <c r="BX3211" s="783"/>
      <c r="BY3211" s="783"/>
      <c r="BZ3211" s="783"/>
      <c r="CA3211" s="783"/>
      <c r="CB3211" s="783"/>
      <c r="CC3211" s="783"/>
      <c r="CD3211" s="783"/>
      <c r="CE3211" s="783"/>
      <c r="CF3211" s="783"/>
      <c r="CG3211" s="783"/>
      <c r="CH3211" s="783"/>
      <c r="CI3211" s="783"/>
      <c r="CJ3211" s="783"/>
      <c r="CK3211" s="783"/>
    </row>
    <row r="3212" spans="1:89" s="673" customFormat="1" ht="29.25" customHeight="1" x14ac:dyDescent="0.25">
      <c r="A3212" s="788"/>
      <c r="B3212" s="677" t="s">
        <v>2066</v>
      </c>
      <c r="C3212" s="789">
        <v>1</v>
      </c>
      <c r="D3212" s="790" t="s">
        <v>60</v>
      </c>
      <c r="E3212" s="973">
        <v>500000</v>
      </c>
      <c r="F3212" s="714">
        <v>0</v>
      </c>
      <c r="G3212" s="714">
        <v>0</v>
      </c>
      <c r="H3212" s="695">
        <v>0</v>
      </c>
      <c r="I3212" s="714">
        <v>0</v>
      </c>
      <c r="J3212" s="714">
        <f t="shared" si="322"/>
        <v>500000</v>
      </c>
      <c r="K3212" s="695">
        <f t="shared" si="323"/>
        <v>500000</v>
      </c>
      <c r="L3212" s="714">
        <v>0</v>
      </c>
      <c r="M3212" s="714">
        <v>0</v>
      </c>
      <c r="N3212" s="714">
        <v>0</v>
      </c>
      <c r="O3212" s="753">
        <f t="shared" si="324"/>
        <v>500000</v>
      </c>
      <c r="P3212" s="754"/>
      <c r="Q3212" s="783"/>
      <c r="R3212" s="783"/>
      <c r="S3212" s="783"/>
      <c r="T3212" s="783"/>
      <c r="U3212" s="783"/>
      <c r="V3212" s="783"/>
      <c r="W3212" s="783"/>
      <c r="X3212" s="783"/>
      <c r="Y3212" s="783"/>
      <c r="Z3212" s="783"/>
      <c r="AA3212" s="783"/>
      <c r="AB3212" s="783"/>
      <c r="AC3212" s="783"/>
      <c r="AD3212" s="783"/>
      <c r="AE3212" s="783"/>
      <c r="AF3212" s="783"/>
      <c r="AG3212" s="783"/>
      <c r="AH3212" s="783"/>
      <c r="AI3212" s="783"/>
      <c r="AJ3212" s="783"/>
      <c r="AK3212" s="783"/>
      <c r="AL3212" s="783"/>
      <c r="AM3212" s="783"/>
      <c r="AN3212" s="783"/>
      <c r="AO3212" s="783"/>
      <c r="AP3212" s="783"/>
      <c r="AQ3212" s="783"/>
      <c r="AR3212" s="783"/>
      <c r="AS3212" s="783"/>
      <c r="AT3212" s="783"/>
      <c r="AU3212" s="783"/>
      <c r="AV3212" s="783"/>
      <c r="AW3212" s="783"/>
      <c r="AX3212" s="783"/>
      <c r="AY3212" s="783"/>
      <c r="AZ3212" s="783"/>
      <c r="BA3212" s="783"/>
      <c r="BB3212" s="783"/>
      <c r="BC3212" s="783"/>
      <c r="BD3212" s="783"/>
      <c r="BE3212" s="783"/>
      <c r="BF3212" s="783"/>
      <c r="BG3212" s="783"/>
      <c r="BH3212" s="783"/>
      <c r="BI3212" s="783"/>
      <c r="BJ3212" s="783"/>
      <c r="BK3212" s="783"/>
      <c r="BL3212" s="783"/>
      <c r="BM3212" s="783"/>
      <c r="BN3212" s="783"/>
      <c r="BO3212" s="783"/>
      <c r="BP3212" s="783"/>
      <c r="BQ3212" s="783"/>
      <c r="BR3212" s="783"/>
      <c r="BS3212" s="783"/>
      <c r="BT3212" s="783"/>
      <c r="BU3212" s="783"/>
      <c r="BV3212" s="783"/>
      <c r="BW3212" s="783"/>
      <c r="BX3212" s="783"/>
      <c r="BY3212" s="783"/>
      <c r="BZ3212" s="783"/>
      <c r="CA3212" s="783"/>
      <c r="CB3212" s="783"/>
      <c r="CC3212" s="783"/>
      <c r="CD3212" s="783"/>
      <c r="CE3212" s="783"/>
      <c r="CF3212" s="783"/>
      <c r="CG3212" s="783"/>
      <c r="CH3212" s="783"/>
      <c r="CI3212" s="783"/>
      <c r="CJ3212" s="783"/>
      <c r="CK3212" s="783"/>
    </row>
    <row r="3213" spans="1:89" s="785" customFormat="1" ht="29.25" customHeight="1" x14ac:dyDescent="0.2">
      <c r="A3213" s="977"/>
      <c r="B3213" s="780" t="s">
        <v>1653</v>
      </c>
      <c r="C3213" s="978">
        <v>1</v>
      </c>
      <c r="D3213" s="979" t="s">
        <v>60</v>
      </c>
      <c r="E3213" s="980">
        <v>300000</v>
      </c>
      <c r="F3213" s="981">
        <v>0</v>
      </c>
      <c r="G3213" s="981">
        <v>0</v>
      </c>
      <c r="H3213" s="981">
        <v>0</v>
      </c>
      <c r="I3213" s="981">
        <v>0</v>
      </c>
      <c r="J3213" s="981">
        <f>E3213*C3213</f>
        <v>300000</v>
      </c>
      <c r="K3213" s="981">
        <f t="shared" si="323"/>
        <v>300000</v>
      </c>
      <c r="L3213" s="981">
        <v>0</v>
      </c>
      <c r="M3213" s="981">
        <v>0</v>
      </c>
      <c r="N3213" s="981">
        <v>0</v>
      </c>
      <c r="O3213" s="982">
        <f t="shared" si="324"/>
        <v>300000</v>
      </c>
      <c r="P3213" s="983"/>
      <c r="Q3213" s="1837"/>
      <c r="R3213" s="1837"/>
      <c r="S3213" s="1837"/>
      <c r="T3213" s="1837"/>
      <c r="U3213" s="1837"/>
      <c r="V3213" s="1837"/>
      <c r="W3213" s="1837"/>
      <c r="X3213" s="1837"/>
      <c r="Y3213" s="1837"/>
      <c r="Z3213" s="1837"/>
      <c r="AA3213" s="1837"/>
      <c r="AB3213" s="1837"/>
      <c r="AC3213" s="1837"/>
      <c r="AD3213" s="1837"/>
      <c r="AE3213" s="1837"/>
      <c r="AF3213" s="1837"/>
      <c r="AG3213" s="1837"/>
      <c r="AH3213" s="1837"/>
      <c r="AI3213" s="1837"/>
      <c r="AJ3213" s="1837"/>
      <c r="AK3213" s="1837"/>
      <c r="AL3213" s="1837"/>
      <c r="AM3213" s="1837"/>
      <c r="AN3213" s="1837"/>
      <c r="AO3213" s="1837"/>
      <c r="AP3213" s="1837"/>
      <c r="AQ3213" s="1837"/>
      <c r="AR3213" s="1837"/>
      <c r="AS3213" s="1837"/>
      <c r="AT3213" s="1837"/>
      <c r="AU3213" s="1837"/>
      <c r="AV3213" s="1837"/>
      <c r="AW3213" s="1837"/>
      <c r="AX3213" s="1837"/>
      <c r="AY3213" s="1837"/>
      <c r="AZ3213" s="1837"/>
      <c r="BA3213" s="1837"/>
      <c r="BB3213" s="1837"/>
      <c r="BC3213" s="1837"/>
      <c r="BD3213" s="1837"/>
      <c r="BE3213" s="1837"/>
      <c r="BF3213" s="1837"/>
      <c r="BG3213" s="1837"/>
      <c r="BH3213" s="1837"/>
      <c r="BI3213" s="1837"/>
      <c r="BJ3213" s="1837"/>
      <c r="BK3213" s="1837"/>
      <c r="BL3213" s="1837"/>
      <c r="BM3213" s="1837"/>
      <c r="BN3213" s="1837"/>
      <c r="BO3213" s="1837"/>
      <c r="BP3213" s="1837"/>
      <c r="BQ3213" s="1837"/>
      <c r="BR3213" s="1837"/>
      <c r="BS3213" s="1837"/>
      <c r="BT3213" s="1837"/>
      <c r="BU3213" s="1837"/>
      <c r="BV3213" s="1837"/>
      <c r="BW3213" s="1837"/>
      <c r="BX3213" s="1837"/>
      <c r="BY3213" s="1837"/>
      <c r="BZ3213" s="1837"/>
      <c r="CA3213" s="1837"/>
      <c r="CB3213" s="1837"/>
      <c r="CC3213" s="1837"/>
      <c r="CD3213" s="1837"/>
      <c r="CE3213" s="1837"/>
      <c r="CF3213" s="1837"/>
      <c r="CG3213" s="1837"/>
      <c r="CH3213" s="1837"/>
      <c r="CI3213" s="1837"/>
      <c r="CJ3213" s="1837"/>
      <c r="CK3213" s="1837"/>
    </row>
    <row r="3214" spans="1:89" s="673" customFormat="1" ht="29.25" customHeight="1" x14ac:dyDescent="0.25">
      <c r="A3214" s="788"/>
      <c r="B3214" s="786" t="s">
        <v>1824</v>
      </c>
      <c r="C3214" s="789">
        <v>1</v>
      </c>
      <c r="D3214" s="790" t="s">
        <v>60</v>
      </c>
      <c r="E3214" s="973">
        <v>450000</v>
      </c>
      <c r="F3214" s="700">
        <v>0</v>
      </c>
      <c r="G3214" s="700">
        <v>0</v>
      </c>
      <c r="H3214" s="700">
        <v>0</v>
      </c>
      <c r="I3214" s="700">
        <v>0</v>
      </c>
      <c r="J3214" s="700">
        <f>E3214*C3214</f>
        <v>450000</v>
      </c>
      <c r="K3214" s="700">
        <f t="shared" si="323"/>
        <v>450000</v>
      </c>
      <c r="L3214" s="700">
        <v>0</v>
      </c>
      <c r="M3214" s="700">
        <v>0</v>
      </c>
      <c r="N3214" s="700">
        <v>0</v>
      </c>
      <c r="O3214" s="974">
        <f t="shared" si="324"/>
        <v>450000</v>
      </c>
      <c r="P3214" s="956"/>
      <c r="Q3214" s="783"/>
      <c r="R3214" s="783"/>
      <c r="S3214" s="783"/>
      <c r="T3214" s="783"/>
      <c r="U3214" s="783"/>
      <c r="V3214" s="783"/>
      <c r="W3214" s="783"/>
      <c r="X3214" s="783"/>
      <c r="Y3214" s="783"/>
      <c r="Z3214" s="783"/>
      <c r="AA3214" s="783"/>
      <c r="AB3214" s="783"/>
      <c r="AC3214" s="783"/>
      <c r="AD3214" s="783"/>
      <c r="AE3214" s="783"/>
      <c r="AF3214" s="783"/>
      <c r="AG3214" s="783"/>
      <c r="AH3214" s="783"/>
      <c r="AI3214" s="783"/>
      <c r="AJ3214" s="783"/>
      <c r="AK3214" s="783"/>
      <c r="AL3214" s="783"/>
      <c r="AM3214" s="783"/>
      <c r="AN3214" s="783"/>
      <c r="AO3214" s="783"/>
      <c r="AP3214" s="783"/>
      <c r="AQ3214" s="783"/>
      <c r="AR3214" s="783"/>
      <c r="AS3214" s="783"/>
      <c r="AT3214" s="783"/>
      <c r="AU3214" s="783"/>
      <c r="AV3214" s="783"/>
      <c r="AW3214" s="783"/>
      <c r="AX3214" s="783"/>
      <c r="AY3214" s="783"/>
      <c r="AZ3214" s="783"/>
      <c r="BA3214" s="783"/>
      <c r="BB3214" s="783"/>
      <c r="BC3214" s="783"/>
      <c r="BD3214" s="783"/>
      <c r="BE3214" s="783"/>
      <c r="BF3214" s="783"/>
      <c r="BG3214" s="783"/>
      <c r="BH3214" s="783"/>
      <c r="BI3214" s="783"/>
      <c r="BJ3214" s="783"/>
      <c r="BK3214" s="783"/>
      <c r="BL3214" s="783"/>
      <c r="BM3214" s="783"/>
      <c r="BN3214" s="783"/>
      <c r="BO3214" s="783"/>
      <c r="BP3214" s="783"/>
      <c r="BQ3214" s="783"/>
      <c r="BR3214" s="783"/>
      <c r="BS3214" s="783"/>
      <c r="BT3214" s="783"/>
      <c r="BU3214" s="783"/>
      <c r="BV3214" s="783"/>
      <c r="BW3214" s="783"/>
      <c r="BX3214" s="783"/>
      <c r="BY3214" s="783"/>
      <c r="BZ3214" s="783"/>
      <c r="CA3214" s="783"/>
      <c r="CB3214" s="783"/>
      <c r="CC3214" s="783"/>
      <c r="CD3214" s="783"/>
      <c r="CE3214" s="783"/>
      <c r="CF3214" s="783"/>
      <c r="CG3214" s="783"/>
      <c r="CH3214" s="783"/>
      <c r="CI3214" s="783"/>
      <c r="CJ3214" s="783"/>
      <c r="CK3214" s="783"/>
    </row>
    <row r="3215" spans="1:89" s="785" customFormat="1" ht="29.25" customHeight="1" x14ac:dyDescent="0.2">
      <c r="A3215" s="977"/>
      <c r="B3215" s="690" t="s">
        <v>1825</v>
      </c>
      <c r="C3215" s="978">
        <v>1</v>
      </c>
      <c r="D3215" s="979" t="s">
        <v>60</v>
      </c>
      <c r="E3215" s="984">
        <v>400000</v>
      </c>
      <c r="F3215" s="985">
        <v>0</v>
      </c>
      <c r="G3215" s="985">
        <v>0</v>
      </c>
      <c r="H3215" s="986">
        <v>0</v>
      </c>
      <c r="I3215" s="985">
        <v>0</v>
      </c>
      <c r="J3215" s="985">
        <f>E3215*C3215</f>
        <v>400000</v>
      </c>
      <c r="K3215" s="986">
        <f t="shared" si="323"/>
        <v>400000</v>
      </c>
      <c r="L3215" s="985">
        <v>0</v>
      </c>
      <c r="M3215" s="985">
        <v>0</v>
      </c>
      <c r="N3215" s="985">
        <v>0</v>
      </c>
      <c r="O3215" s="987">
        <f t="shared" si="324"/>
        <v>400000</v>
      </c>
      <c r="P3215" s="988"/>
      <c r="Q3215" s="1837"/>
      <c r="R3215" s="1837"/>
      <c r="S3215" s="1837"/>
      <c r="T3215" s="1837"/>
      <c r="U3215" s="1837"/>
      <c r="V3215" s="1837"/>
      <c r="W3215" s="1837"/>
      <c r="X3215" s="1837"/>
      <c r="Y3215" s="1837"/>
      <c r="Z3215" s="1837"/>
      <c r="AA3215" s="1837"/>
      <c r="AB3215" s="1837"/>
      <c r="AC3215" s="1837"/>
      <c r="AD3215" s="1837"/>
      <c r="AE3215" s="1837"/>
      <c r="AF3215" s="1837"/>
      <c r="AG3215" s="1837"/>
      <c r="AH3215" s="1837"/>
      <c r="AI3215" s="1837"/>
      <c r="AJ3215" s="1837"/>
      <c r="AK3215" s="1837"/>
      <c r="AL3215" s="1837"/>
      <c r="AM3215" s="1837"/>
      <c r="AN3215" s="1837"/>
      <c r="AO3215" s="1837"/>
      <c r="AP3215" s="1837"/>
      <c r="AQ3215" s="1837"/>
      <c r="AR3215" s="1837"/>
      <c r="AS3215" s="1837"/>
      <c r="AT3215" s="1837"/>
      <c r="AU3215" s="1837"/>
      <c r="AV3215" s="1837"/>
      <c r="AW3215" s="1837"/>
      <c r="AX3215" s="1837"/>
      <c r="AY3215" s="1837"/>
      <c r="AZ3215" s="1837"/>
      <c r="BA3215" s="1837"/>
      <c r="BB3215" s="1837"/>
      <c r="BC3215" s="1837"/>
      <c r="BD3215" s="1837"/>
      <c r="BE3215" s="1837"/>
      <c r="BF3215" s="1837"/>
      <c r="BG3215" s="1837"/>
      <c r="BH3215" s="1837"/>
      <c r="BI3215" s="1837"/>
      <c r="BJ3215" s="1837"/>
      <c r="BK3215" s="1837"/>
      <c r="BL3215" s="1837"/>
      <c r="BM3215" s="1837"/>
      <c r="BN3215" s="1837"/>
      <c r="BO3215" s="1837"/>
      <c r="BP3215" s="1837"/>
      <c r="BQ3215" s="1837"/>
      <c r="BR3215" s="1837"/>
      <c r="BS3215" s="1837"/>
      <c r="BT3215" s="1837"/>
      <c r="BU3215" s="1837"/>
      <c r="BV3215" s="1837"/>
      <c r="BW3215" s="1837"/>
      <c r="BX3215" s="1837"/>
      <c r="BY3215" s="1837"/>
      <c r="BZ3215" s="1837"/>
      <c r="CA3215" s="1837"/>
      <c r="CB3215" s="1837"/>
      <c r="CC3215" s="1837"/>
      <c r="CD3215" s="1837"/>
      <c r="CE3215" s="1837"/>
      <c r="CF3215" s="1837"/>
      <c r="CG3215" s="1837"/>
      <c r="CH3215" s="1837"/>
      <c r="CI3215" s="1837"/>
      <c r="CJ3215" s="1837"/>
      <c r="CK3215" s="1837"/>
    </row>
    <row r="3216" spans="1:89" s="785" customFormat="1" ht="29.25" customHeight="1" x14ac:dyDescent="0.2">
      <c r="A3216" s="977"/>
      <c r="B3216" s="780" t="s">
        <v>1826</v>
      </c>
      <c r="C3216" s="978">
        <v>1</v>
      </c>
      <c r="D3216" s="979" t="s">
        <v>60</v>
      </c>
      <c r="E3216" s="984">
        <v>400000</v>
      </c>
      <c r="F3216" s="985">
        <v>0</v>
      </c>
      <c r="G3216" s="985">
        <v>0</v>
      </c>
      <c r="H3216" s="986">
        <v>0</v>
      </c>
      <c r="I3216" s="985">
        <v>0</v>
      </c>
      <c r="J3216" s="985">
        <f>E3216*C3216</f>
        <v>400000</v>
      </c>
      <c r="K3216" s="986">
        <f t="shared" si="323"/>
        <v>400000</v>
      </c>
      <c r="L3216" s="985">
        <v>0</v>
      </c>
      <c r="M3216" s="985">
        <v>0</v>
      </c>
      <c r="N3216" s="985">
        <v>0</v>
      </c>
      <c r="O3216" s="987">
        <f t="shared" si="324"/>
        <v>400000</v>
      </c>
      <c r="P3216" s="988"/>
      <c r="Q3216" s="1837"/>
      <c r="R3216" s="1837"/>
      <c r="S3216" s="1837"/>
      <c r="T3216" s="1837"/>
      <c r="U3216" s="1837"/>
      <c r="V3216" s="1837"/>
      <c r="W3216" s="1837"/>
      <c r="X3216" s="1837"/>
      <c r="Y3216" s="1837"/>
      <c r="Z3216" s="1837"/>
      <c r="AA3216" s="1837"/>
      <c r="AB3216" s="1837"/>
      <c r="AC3216" s="1837"/>
      <c r="AD3216" s="1837"/>
      <c r="AE3216" s="1837"/>
      <c r="AF3216" s="1837"/>
      <c r="AG3216" s="1837"/>
      <c r="AH3216" s="1837"/>
      <c r="AI3216" s="1837"/>
      <c r="AJ3216" s="1837"/>
      <c r="AK3216" s="1837"/>
      <c r="AL3216" s="1837"/>
      <c r="AM3216" s="1837"/>
      <c r="AN3216" s="1837"/>
      <c r="AO3216" s="1837"/>
      <c r="AP3216" s="1837"/>
      <c r="AQ3216" s="1837"/>
      <c r="AR3216" s="1837"/>
      <c r="AS3216" s="1837"/>
      <c r="AT3216" s="1837"/>
      <c r="AU3216" s="1837"/>
      <c r="AV3216" s="1837"/>
      <c r="AW3216" s="1837"/>
      <c r="AX3216" s="1837"/>
      <c r="AY3216" s="1837"/>
      <c r="AZ3216" s="1837"/>
      <c r="BA3216" s="1837"/>
      <c r="BB3216" s="1837"/>
      <c r="BC3216" s="1837"/>
      <c r="BD3216" s="1837"/>
      <c r="BE3216" s="1837"/>
      <c r="BF3216" s="1837"/>
      <c r="BG3216" s="1837"/>
      <c r="BH3216" s="1837"/>
      <c r="BI3216" s="1837"/>
      <c r="BJ3216" s="1837"/>
      <c r="BK3216" s="1837"/>
      <c r="BL3216" s="1837"/>
      <c r="BM3216" s="1837"/>
      <c r="BN3216" s="1837"/>
      <c r="BO3216" s="1837"/>
      <c r="BP3216" s="1837"/>
      <c r="BQ3216" s="1837"/>
      <c r="BR3216" s="1837"/>
      <c r="BS3216" s="1837"/>
      <c r="BT3216" s="1837"/>
      <c r="BU3216" s="1837"/>
      <c r="BV3216" s="1837"/>
      <c r="BW3216" s="1837"/>
      <c r="BX3216" s="1837"/>
      <c r="BY3216" s="1837"/>
      <c r="BZ3216" s="1837"/>
      <c r="CA3216" s="1837"/>
      <c r="CB3216" s="1837"/>
      <c r="CC3216" s="1837"/>
      <c r="CD3216" s="1837"/>
      <c r="CE3216" s="1837"/>
      <c r="CF3216" s="1837"/>
      <c r="CG3216" s="1837"/>
      <c r="CH3216" s="1837"/>
      <c r="CI3216" s="1837"/>
      <c r="CJ3216" s="1837"/>
      <c r="CK3216" s="1837"/>
    </row>
    <row r="3217" spans="1:89" s="785" customFormat="1" ht="29.25" customHeight="1" x14ac:dyDescent="0.2">
      <c r="A3217" s="977"/>
      <c r="B3217" s="780" t="s">
        <v>1830</v>
      </c>
      <c r="C3217" s="978">
        <v>1</v>
      </c>
      <c r="D3217" s="979" t="s">
        <v>60</v>
      </c>
      <c r="E3217" s="984">
        <v>400000</v>
      </c>
      <c r="F3217" s="985"/>
      <c r="G3217" s="985"/>
      <c r="H3217" s="986"/>
      <c r="I3217" s="985"/>
      <c r="J3217" s="985">
        <f>E3217*C3217</f>
        <v>400000</v>
      </c>
      <c r="K3217" s="986">
        <f t="shared" si="323"/>
        <v>400000</v>
      </c>
      <c r="L3217" s="985"/>
      <c r="M3217" s="985"/>
      <c r="N3217" s="985"/>
      <c r="O3217" s="987">
        <f t="shared" si="324"/>
        <v>400000</v>
      </c>
      <c r="P3217" s="988"/>
      <c r="Q3217" s="1837"/>
      <c r="R3217" s="1837"/>
      <c r="S3217" s="1837"/>
      <c r="T3217" s="1837"/>
      <c r="U3217" s="1837"/>
      <c r="V3217" s="1837"/>
      <c r="W3217" s="1837"/>
      <c r="X3217" s="1837"/>
      <c r="Y3217" s="1837"/>
      <c r="Z3217" s="1837"/>
      <c r="AA3217" s="1837"/>
      <c r="AB3217" s="1837"/>
      <c r="AC3217" s="1837"/>
      <c r="AD3217" s="1837"/>
      <c r="AE3217" s="1837"/>
      <c r="AF3217" s="1837"/>
      <c r="AG3217" s="1837"/>
      <c r="AH3217" s="1837"/>
      <c r="AI3217" s="1837"/>
      <c r="AJ3217" s="1837"/>
      <c r="AK3217" s="1837"/>
      <c r="AL3217" s="1837"/>
      <c r="AM3217" s="1837"/>
      <c r="AN3217" s="1837"/>
      <c r="AO3217" s="1837"/>
      <c r="AP3217" s="1837"/>
      <c r="AQ3217" s="1837"/>
      <c r="AR3217" s="1837"/>
      <c r="AS3217" s="1837"/>
      <c r="AT3217" s="1837"/>
      <c r="AU3217" s="1837"/>
      <c r="AV3217" s="1837"/>
      <c r="AW3217" s="1837"/>
      <c r="AX3217" s="1837"/>
      <c r="AY3217" s="1837"/>
      <c r="AZ3217" s="1837"/>
      <c r="BA3217" s="1837"/>
      <c r="BB3217" s="1837"/>
      <c r="BC3217" s="1837"/>
      <c r="BD3217" s="1837"/>
      <c r="BE3217" s="1837"/>
      <c r="BF3217" s="1837"/>
      <c r="BG3217" s="1837"/>
      <c r="BH3217" s="1837"/>
      <c r="BI3217" s="1837"/>
      <c r="BJ3217" s="1837"/>
      <c r="BK3217" s="1837"/>
      <c r="BL3217" s="1837"/>
      <c r="BM3217" s="1837"/>
      <c r="BN3217" s="1837"/>
      <c r="BO3217" s="1837"/>
      <c r="BP3217" s="1837"/>
      <c r="BQ3217" s="1837"/>
      <c r="BR3217" s="1837"/>
      <c r="BS3217" s="1837"/>
      <c r="BT3217" s="1837"/>
      <c r="BU3217" s="1837"/>
      <c r="BV3217" s="1837"/>
      <c r="BW3217" s="1837"/>
      <c r="BX3217" s="1837"/>
      <c r="BY3217" s="1837"/>
      <c r="BZ3217" s="1837"/>
      <c r="CA3217" s="1837"/>
      <c r="CB3217" s="1837"/>
      <c r="CC3217" s="1837"/>
      <c r="CD3217" s="1837"/>
      <c r="CE3217" s="1837"/>
      <c r="CF3217" s="1837"/>
      <c r="CG3217" s="1837"/>
      <c r="CH3217" s="1837"/>
      <c r="CI3217" s="1837"/>
      <c r="CJ3217" s="1837"/>
      <c r="CK3217" s="1837"/>
    </row>
    <row r="3218" spans="1:89" s="785" customFormat="1" ht="29.25" customHeight="1" x14ac:dyDescent="0.2">
      <c r="A3218" s="977"/>
      <c r="B3218" s="780"/>
      <c r="C3218" s="978"/>
      <c r="D3218" s="979"/>
      <c r="E3218" s="984"/>
      <c r="F3218" s="985"/>
      <c r="G3218" s="985"/>
      <c r="H3218" s="986"/>
      <c r="I3218" s="985"/>
      <c r="J3218" s="985"/>
      <c r="K3218" s="986"/>
      <c r="L3218" s="985"/>
      <c r="M3218" s="985"/>
      <c r="N3218" s="985"/>
      <c r="O3218" s="987"/>
      <c r="P3218" s="988"/>
      <c r="Q3218" s="1837"/>
      <c r="R3218" s="1837"/>
      <c r="S3218" s="1837"/>
      <c r="T3218" s="1837"/>
      <c r="U3218" s="1837"/>
      <c r="V3218" s="1837"/>
      <c r="W3218" s="1837"/>
      <c r="X3218" s="1837"/>
      <c r="Y3218" s="1837"/>
      <c r="Z3218" s="1837"/>
      <c r="AA3218" s="1837"/>
      <c r="AB3218" s="1837"/>
      <c r="AC3218" s="1837"/>
      <c r="AD3218" s="1837"/>
      <c r="AE3218" s="1837"/>
      <c r="AF3218" s="1837"/>
      <c r="AG3218" s="1837"/>
      <c r="AH3218" s="1837"/>
      <c r="AI3218" s="1837"/>
      <c r="AJ3218" s="1837"/>
      <c r="AK3218" s="1837"/>
      <c r="AL3218" s="1837"/>
      <c r="AM3218" s="1837"/>
      <c r="AN3218" s="1837"/>
      <c r="AO3218" s="1837"/>
      <c r="AP3218" s="1837"/>
      <c r="AQ3218" s="1837"/>
      <c r="AR3218" s="1837"/>
      <c r="AS3218" s="1837"/>
      <c r="AT3218" s="1837"/>
      <c r="AU3218" s="1837"/>
      <c r="AV3218" s="1837"/>
      <c r="AW3218" s="1837"/>
      <c r="AX3218" s="1837"/>
      <c r="AY3218" s="1837"/>
      <c r="AZ3218" s="1837"/>
      <c r="BA3218" s="1837"/>
      <c r="BB3218" s="1837"/>
      <c r="BC3218" s="1837"/>
      <c r="BD3218" s="1837"/>
      <c r="BE3218" s="1837"/>
      <c r="BF3218" s="1837"/>
      <c r="BG3218" s="1837"/>
      <c r="BH3218" s="1837"/>
      <c r="BI3218" s="1837"/>
      <c r="BJ3218" s="1837"/>
      <c r="BK3218" s="1837"/>
      <c r="BL3218" s="1837"/>
      <c r="BM3218" s="1837"/>
      <c r="BN3218" s="1837"/>
      <c r="BO3218" s="1837"/>
      <c r="BP3218" s="1837"/>
      <c r="BQ3218" s="1837"/>
      <c r="BR3218" s="1837"/>
      <c r="BS3218" s="1837"/>
      <c r="BT3218" s="1837"/>
      <c r="BU3218" s="1837"/>
      <c r="BV3218" s="1837"/>
      <c r="BW3218" s="1837"/>
      <c r="BX3218" s="1837"/>
      <c r="BY3218" s="1837"/>
      <c r="BZ3218" s="1837"/>
      <c r="CA3218" s="1837"/>
      <c r="CB3218" s="1837"/>
      <c r="CC3218" s="1837"/>
      <c r="CD3218" s="1837"/>
      <c r="CE3218" s="1837"/>
      <c r="CF3218" s="1837"/>
      <c r="CG3218" s="1837"/>
      <c r="CH3218" s="1837"/>
      <c r="CI3218" s="1837"/>
      <c r="CJ3218" s="1837"/>
      <c r="CK3218" s="1837"/>
    </row>
    <row r="3219" spans="1:89" s="785" customFormat="1" ht="29.25" customHeight="1" x14ac:dyDescent="0.2">
      <c r="A3219" s="977"/>
      <c r="B3219" s="975" t="s">
        <v>1828</v>
      </c>
      <c r="C3219" s="978"/>
      <c r="D3219" s="979"/>
      <c r="E3219" s="984"/>
      <c r="F3219" s="985"/>
      <c r="G3219" s="985"/>
      <c r="H3219" s="986"/>
      <c r="I3219" s="985"/>
      <c r="J3219" s="985"/>
      <c r="K3219" s="986"/>
      <c r="L3219" s="985"/>
      <c r="M3219" s="985"/>
      <c r="N3219" s="985"/>
      <c r="O3219" s="987"/>
      <c r="P3219" s="988"/>
      <c r="Q3219" s="1837"/>
      <c r="R3219" s="1837"/>
      <c r="S3219" s="1837"/>
      <c r="T3219" s="1837"/>
      <c r="U3219" s="1837"/>
      <c r="V3219" s="1837"/>
      <c r="W3219" s="1837"/>
      <c r="X3219" s="1837"/>
      <c r="Y3219" s="1837"/>
      <c r="Z3219" s="1837"/>
      <c r="AA3219" s="1837"/>
      <c r="AB3219" s="1837"/>
      <c r="AC3219" s="1837"/>
      <c r="AD3219" s="1837"/>
      <c r="AE3219" s="1837"/>
      <c r="AF3219" s="1837"/>
      <c r="AG3219" s="1837"/>
      <c r="AH3219" s="1837"/>
      <c r="AI3219" s="1837"/>
      <c r="AJ3219" s="1837"/>
      <c r="AK3219" s="1837"/>
      <c r="AL3219" s="1837"/>
      <c r="AM3219" s="1837"/>
      <c r="AN3219" s="1837"/>
      <c r="AO3219" s="1837"/>
      <c r="AP3219" s="1837"/>
      <c r="AQ3219" s="1837"/>
      <c r="AR3219" s="1837"/>
      <c r="AS3219" s="1837"/>
      <c r="AT3219" s="1837"/>
      <c r="AU3219" s="1837"/>
      <c r="AV3219" s="1837"/>
      <c r="AW3219" s="1837"/>
      <c r="AX3219" s="1837"/>
      <c r="AY3219" s="1837"/>
      <c r="AZ3219" s="1837"/>
      <c r="BA3219" s="1837"/>
      <c r="BB3219" s="1837"/>
      <c r="BC3219" s="1837"/>
      <c r="BD3219" s="1837"/>
      <c r="BE3219" s="1837"/>
      <c r="BF3219" s="1837"/>
      <c r="BG3219" s="1837"/>
      <c r="BH3219" s="1837"/>
      <c r="BI3219" s="1837"/>
      <c r="BJ3219" s="1837"/>
      <c r="BK3219" s="1837"/>
      <c r="BL3219" s="1837"/>
      <c r="BM3219" s="1837"/>
      <c r="BN3219" s="1837"/>
      <c r="BO3219" s="1837"/>
      <c r="BP3219" s="1837"/>
      <c r="BQ3219" s="1837"/>
      <c r="BR3219" s="1837"/>
      <c r="BS3219" s="1837"/>
      <c r="BT3219" s="1837"/>
      <c r="BU3219" s="1837"/>
      <c r="BV3219" s="1837"/>
      <c r="BW3219" s="1837"/>
      <c r="BX3219" s="1837"/>
      <c r="BY3219" s="1837"/>
      <c r="BZ3219" s="1837"/>
      <c r="CA3219" s="1837"/>
      <c r="CB3219" s="1837"/>
      <c r="CC3219" s="1837"/>
      <c r="CD3219" s="1837"/>
      <c r="CE3219" s="1837"/>
      <c r="CF3219" s="1837"/>
      <c r="CG3219" s="1837"/>
      <c r="CH3219" s="1837"/>
      <c r="CI3219" s="1837"/>
      <c r="CJ3219" s="1837"/>
      <c r="CK3219" s="1837"/>
    </row>
    <row r="3220" spans="1:89" s="785" customFormat="1" ht="29.25" customHeight="1" x14ac:dyDescent="0.2">
      <c r="A3220" s="977"/>
      <c r="B3220" s="780" t="s">
        <v>1829</v>
      </c>
      <c r="C3220" s="978">
        <v>1</v>
      </c>
      <c r="D3220" s="979" t="s">
        <v>16</v>
      </c>
      <c r="E3220" s="984">
        <v>700000</v>
      </c>
      <c r="F3220" s="985"/>
      <c r="G3220" s="985"/>
      <c r="H3220" s="986"/>
      <c r="I3220" s="985"/>
      <c r="J3220" s="985">
        <v>0</v>
      </c>
      <c r="K3220" s="986">
        <f>J3220+I3220</f>
        <v>0</v>
      </c>
      <c r="L3220" s="985">
        <f>E3220*C3220</f>
        <v>700000</v>
      </c>
      <c r="M3220" s="985"/>
      <c r="N3220" s="985">
        <f t="shared" ref="N3220:N3227" si="325">M3220+L3220</f>
        <v>700000</v>
      </c>
      <c r="O3220" s="987">
        <f>N3220+K3220+H3220</f>
        <v>700000</v>
      </c>
      <c r="P3220" s="988"/>
      <c r="Q3220" s="1837"/>
      <c r="R3220" s="1837"/>
      <c r="S3220" s="1837"/>
      <c r="T3220" s="1837"/>
      <c r="U3220" s="1837"/>
      <c r="V3220" s="1837"/>
      <c r="W3220" s="1837"/>
      <c r="X3220" s="1837"/>
      <c r="Y3220" s="1837"/>
      <c r="Z3220" s="1837"/>
      <c r="AA3220" s="1837"/>
      <c r="AB3220" s="1837"/>
      <c r="AC3220" s="1837"/>
      <c r="AD3220" s="1837"/>
      <c r="AE3220" s="1837"/>
      <c r="AF3220" s="1837"/>
      <c r="AG3220" s="1837"/>
      <c r="AH3220" s="1837"/>
      <c r="AI3220" s="1837"/>
      <c r="AJ3220" s="1837"/>
      <c r="AK3220" s="1837"/>
      <c r="AL3220" s="1837"/>
      <c r="AM3220" s="1837"/>
      <c r="AN3220" s="1837"/>
      <c r="AO3220" s="1837"/>
      <c r="AP3220" s="1837"/>
      <c r="AQ3220" s="1837"/>
      <c r="AR3220" s="1837"/>
      <c r="AS3220" s="1837"/>
      <c r="AT3220" s="1837"/>
      <c r="AU3220" s="1837"/>
      <c r="AV3220" s="1837"/>
      <c r="AW3220" s="1837"/>
      <c r="AX3220" s="1837"/>
      <c r="AY3220" s="1837"/>
      <c r="AZ3220" s="1837"/>
      <c r="BA3220" s="1837"/>
      <c r="BB3220" s="1837"/>
      <c r="BC3220" s="1837"/>
      <c r="BD3220" s="1837"/>
      <c r="BE3220" s="1837"/>
      <c r="BF3220" s="1837"/>
      <c r="BG3220" s="1837"/>
      <c r="BH3220" s="1837"/>
      <c r="BI3220" s="1837"/>
      <c r="BJ3220" s="1837"/>
      <c r="BK3220" s="1837"/>
      <c r="BL3220" s="1837"/>
      <c r="BM3220" s="1837"/>
      <c r="BN3220" s="1837"/>
      <c r="BO3220" s="1837"/>
      <c r="BP3220" s="1837"/>
      <c r="BQ3220" s="1837"/>
      <c r="BR3220" s="1837"/>
      <c r="BS3220" s="1837"/>
      <c r="BT3220" s="1837"/>
      <c r="BU3220" s="1837"/>
      <c r="BV3220" s="1837"/>
      <c r="BW3220" s="1837"/>
      <c r="BX3220" s="1837"/>
      <c r="BY3220" s="1837"/>
      <c r="BZ3220" s="1837"/>
      <c r="CA3220" s="1837"/>
      <c r="CB3220" s="1837"/>
      <c r="CC3220" s="1837"/>
      <c r="CD3220" s="1837"/>
      <c r="CE3220" s="1837"/>
      <c r="CF3220" s="1837"/>
      <c r="CG3220" s="1837"/>
      <c r="CH3220" s="1837"/>
      <c r="CI3220" s="1837"/>
      <c r="CJ3220" s="1837"/>
      <c r="CK3220" s="1837"/>
    </row>
    <row r="3221" spans="1:89" s="785" customFormat="1" ht="29.25" customHeight="1" x14ac:dyDescent="0.2">
      <c r="A3221" s="977"/>
      <c r="B3221" s="780" t="s">
        <v>1831</v>
      </c>
      <c r="C3221" s="978">
        <v>1</v>
      </c>
      <c r="D3221" s="979" t="s">
        <v>16</v>
      </c>
      <c r="E3221" s="984">
        <v>500000</v>
      </c>
      <c r="F3221" s="985"/>
      <c r="G3221" s="985"/>
      <c r="H3221" s="986"/>
      <c r="I3221" s="985"/>
      <c r="J3221" s="985">
        <v>0</v>
      </c>
      <c r="K3221" s="986">
        <f>J3221+I3221</f>
        <v>0</v>
      </c>
      <c r="L3221" s="985">
        <f>E3221*C3221</f>
        <v>500000</v>
      </c>
      <c r="M3221" s="985"/>
      <c r="N3221" s="985">
        <f t="shared" si="325"/>
        <v>500000</v>
      </c>
      <c r="O3221" s="987">
        <f>N3221+K3221+H3221</f>
        <v>500000</v>
      </c>
      <c r="P3221" s="988"/>
      <c r="Q3221" s="1837"/>
      <c r="R3221" s="1837"/>
      <c r="S3221" s="1837"/>
      <c r="T3221" s="1837"/>
      <c r="U3221" s="1837"/>
      <c r="V3221" s="1837"/>
      <c r="W3221" s="1837"/>
      <c r="X3221" s="1837"/>
      <c r="Y3221" s="1837"/>
      <c r="Z3221" s="1837"/>
      <c r="AA3221" s="1837"/>
      <c r="AB3221" s="1837"/>
      <c r="AC3221" s="1837"/>
      <c r="AD3221" s="1837"/>
      <c r="AE3221" s="1837"/>
      <c r="AF3221" s="1837"/>
      <c r="AG3221" s="1837"/>
      <c r="AH3221" s="1837"/>
      <c r="AI3221" s="1837"/>
      <c r="AJ3221" s="1837"/>
      <c r="AK3221" s="1837"/>
      <c r="AL3221" s="1837"/>
      <c r="AM3221" s="1837"/>
      <c r="AN3221" s="1837"/>
      <c r="AO3221" s="1837"/>
      <c r="AP3221" s="1837"/>
      <c r="AQ3221" s="1837"/>
      <c r="AR3221" s="1837"/>
      <c r="AS3221" s="1837"/>
      <c r="AT3221" s="1837"/>
      <c r="AU3221" s="1837"/>
      <c r="AV3221" s="1837"/>
      <c r="AW3221" s="1837"/>
      <c r="AX3221" s="1837"/>
      <c r="AY3221" s="1837"/>
      <c r="AZ3221" s="1837"/>
      <c r="BA3221" s="1837"/>
      <c r="BB3221" s="1837"/>
      <c r="BC3221" s="1837"/>
      <c r="BD3221" s="1837"/>
      <c r="BE3221" s="1837"/>
      <c r="BF3221" s="1837"/>
      <c r="BG3221" s="1837"/>
      <c r="BH3221" s="1837"/>
      <c r="BI3221" s="1837"/>
      <c r="BJ3221" s="1837"/>
      <c r="BK3221" s="1837"/>
      <c r="BL3221" s="1837"/>
      <c r="BM3221" s="1837"/>
      <c r="BN3221" s="1837"/>
      <c r="BO3221" s="1837"/>
      <c r="BP3221" s="1837"/>
      <c r="BQ3221" s="1837"/>
      <c r="BR3221" s="1837"/>
      <c r="BS3221" s="1837"/>
      <c r="BT3221" s="1837"/>
      <c r="BU3221" s="1837"/>
      <c r="BV3221" s="1837"/>
      <c r="BW3221" s="1837"/>
      <c r="BX3221" s="1837"/>
      <c r="BY3221" s="1837"/>
      <c r="BZ3221" s="1837"/>
      <c r="CA3221" s="1837"/>
      <c r="CB3221" s="1837"/>
      <c r="CC3221" s="1837"/>
      <c r="CD3221" s="1837"/>
      <c r="CE3221" s="1837"/>
      <c r="CF3221" s="1837"/>
      <c r="CG3221" s="1837"/>
      <c r="CH3221" s="1837"/>
      <c r="CI3221" s="1837"/>
      <c r="CJ3221" s="1837"/>
      <c r="CK3221" s="1837"/>
    </row>
    <row r="3222" spans="1:89" s="785" customFormat="1" ht="29.25" customHeight="1" x14ac:dyDescent="0.2">
      <c r="A3222" s="977"/>
      <c r="B3222" s="780" t="s">
        <v>2324</v>
      </c>
      <c r="C3222" s="978">
        <v>1</v>
      </c>
      <c r="D3222" s="979" t="s">
        <v>16</v>
      </c>
      <c r="E3222" s="984">
        <v>900000</v>
      </c>
      <c r="F3222" s="985"/>
      <c r="G3222" s="985"/>
      <c r="H3222" s="986"/>
      <c r="I3222" s="985"/>
      <c r="J3222" s="985"/>
      <c r="K3222" s="986"/>
      <c r="L3222" s="985">
        <f>E3222*C3222</f>
        <v>900000</v>
      </c>
      <c r="M3222" s="985"/>
      <c r="N3222" s="985">
        <f t="shared" si="325"/>
        <v>900000</v>
      </c>
      <c r="O3222" s="987">
        <f>N3222+K3222+H3222</f>
        <v>900000</v>
      </c>
      <c r="P3222" s="988"/>
      <c r="Q3222" s="1837"/>
      <c r="R3222" s="1837"/>
      <c r="S3222" s="1837"/>
      <c r="T3222" s="1837"/>
      <c r="U3222" s="1837"/>
      <c r="V3222" s="1837"/>
      <c r="W3222" s="1837"/>
      <c r="X3222" s="1837"/>
      <c r="Y3222" s="1837"/>
      <c r="Z3222" s="1837"/>
      <c r="AA3222" s="1837"/>
      <c r="AB3222" s="1837"/>
      <c r="AC3222" s="1837"/>
      <c r="AD3222" s="1837"/>
      <c r="AE3222" s="1837"/>
      <c r="AF3222" s="1837"/>
      <c r="AG3222" s="1837"/>
      <c r="AH3222" s="1837"/>
      <c r="AI3222" s="1837"/>
      <c r="AJ3222" s="1837"/>
      <c r="AK3222" s="1837"/>
      <c r="AL3222" s="1837"/>
      <c r="AM3222" s="1837"/>
      <c r="AN3222" s="1837"/>
      <c r="AO3222" s="1837"/>
      <c r="AP3222" s="1837"/>
      <c r="AQ3222" s="1837"/>
      <c r="AR3222" s="1837"/>
      <c r="AS3222" s="1837"/>
      <c r="AT3222" s="1837"/>
      <c r="AU3222" s="1837"/>
      <c r="AV3222" s="1837"/>
      <c r="AW3222" s="1837"/>
      <c r="AX3222" s="1837"/>
      <c r="AY3222" s="1837"/>
      <c r="AZ3222" s="1837"/>
      <c r="BA3222" s="1837"/>
      <c r="BB3222" s="1837"/>
      <c r="BC3222" s="1837"/>
      <c r="BD3222" s="1837"/>
      <c r="BE3222" s="1837"/>
      <c r="BF3222" s="1837"/>
      <c r="BG3222" s="1837"/>
      <c r="BH3222" s="1837"/>
      <c r="BI3222" s="1837"/>
      <c r="BJ3222" s="1837"/>
      <c r="BK3222" s="1837"/>
      <c r="BL3222" s="1837"/>
      <c r="BM3222" s="1837"/>
      <c r="BN3222" s="1837"/>
      <c r="BO3222" s="1837"/>
      <c r="BP3222" s="1837"/>
      <c r="BQ3222" s="1837"/>
      <c r="BR3222" s="1837"/>
      <c r="BS3222" s="1837"/>
      <c r="BT3222" s="1837"/>
      <c r="BU3222" s="1837"/>
      <c r="BV3222" s="1837"/>
      <c r="BW3222" s="1837"/>
      <c r="BX3222" s="1837"/>
      <c r="BY3222" s="1837"/>
      <c r="BZ3222" s="1837"/>
      <c r="CA3222" s="1837"/>
      <c r="CB3222" s="1837"/>
      <c r="CC3222" s="1837"/>
      <c r="CD3222" s="1837"/>
      <c r="CE3222" s="1837"/>
      <c r="CF3222" s="1837"/>
      <c r="CG3222" s="1837"/>
      <c r="CH3222" s="1837"/>
      <c r="CI3222" s="1837"/>
      <c r="CJ3222" s="1837"/>
      <c r="CK3222" s="1837"/>
    </row>
    <row r="3223" spans="1:89" s="785" customFormat="1" ht="29.25" customHeight="1" x14ac:dyDescent="0.2">
      <c r="A3223" s="977"/>
      <c r="B3223" s="780" t="s">
        <v>2067</v>
      </c>
      <c r="C3223" s="978">
        <v>1</v>
      </c>
      <c r="D3223" s="979" t="s">
        <v>16</v>
      </c>
      <c r="E3223" s="984">
        <v>500000</v>
      </c>
      <c r="F3223" s="985"/>
      <c r="G3223" s="985"/>
      <c r="H3223" s="986"/>
      <c r="I3223" s="985"/>
      <c r="J3223" s="985"/>
      <c r="K3223" s="986"/>
      <c r="L3223" s="985">
        <f>E3223*C3223</f>
        <v>500000</v>
      </c>
      <c r="M3223" s="985"/>
      <c r="N3223" s="985">
        <f t="shared" si="325"/>
        <v>500000</v>
      </c>
      <c r="O3223" s="987">
        <f>N3223+K3223+H3223</f>
        <v>500000</v>
      </c>
      <c r="P3223" s="988"/>
      <c r="Q3223" s="1837"/>
      <c r="R3223" s="1837"/>
      <c r="S3223" s="1837"/>
      <c r="T3223" s="1837"/>
      <c r="U3223" s="1837"/>
      <c r="V3223" s="1837"/>
      <c r="W3223" s="1837"/>
      <c r="X3223" s="1837"/>
      <c r="Y3223" s="1837"/>
      <c r="Z3223" s="1837"/>
      <c r="AA3223" s="1837"/>
      <c r="AB3223" s="1837"/>
      <c r="AC3223" s="1837"/>
      <c r="AD3223" s="1837"/>
      <c r="AE3223" s="1837"/>
      <c r="AF3223" s="1837"/>
      <c r="AG3223" s="1837"/>
      <c r="AH3223" s="1837"/>
      <c r="AI3223" s="1837"/>
      <c r="AJ3223" s="1837"/>
      <c r="AK3223" s="1837"/>
      <c r="AL3223" s="1837"/>
      <c r="AM3223" s="1837"/>
      <c r="AN3223" s="1837"/>
      <c r="AO3223" s="1837"/>
      <c r="AP3223" s="1837"/>
      <c r="AQ3223" s="1837"/>
      <c r="AR3223" s="1837"/>
      <c r="AS3223" s="1837"/>
      <c r="AT3223" s="1837"/>
      <c r="AU3223" s="1837"/>
      <c r="AV3223" s="1837"/>
      <c r="AW3223" s="1837"/>
      <c r="AX3223" s="1837"/>
      <c r="AY3223" s="1837"/>
      <c r="AZ3223" s="1837"/>
      <c r="BA3223" s="1837"/>
      <c r="BB3223" s="1837"/>
      <c r="BC3223" s="1837"/>
      <c r="BD3223" s="1837"/>
      <c r="BE3223" s="1837"/>
      <c r="BF3223" s="1837"/>
      <c r="BG3223" s="1837"/>
      <c r="BH3223" s="1837"/>
      <c r="BI3223" s="1837"/>
      <c r="BJ3223" s="1837"/>
      <c r="BK3223" s="1837"/>
      <c r="BL3223" s="1837"/>
      <c r="BM3223" s="1837"/>
      <c r="BN3223" s="1837"/>
      <c r="BO3223" s="1837"/>
      <c r="BP3223" s="1837"/>
      <c r="BQ3223" s="1837"/>
      <c r="BR3223" s="1837"/>
      <c r="BS3223" s="1837"/>
      <c r="BT3223" s="1837"/>
      <c r="BU3223" s="1837"/>
      <c r="BV3223" s="1837"/>
      <c r="BW3223" s="1837"/>
      <c r="BX3223" s="1837"/>
      <c r="BY3223" s="1837"/>
      <c r="BZ3223" s="1837"/>
      <c r="CA3223" s="1837"/>
      <c r="CB3223" s="1837"/>
      <c r="CC3223" s="1837"/>
      <c r="CD3223" s="1837"/>
      <c r="CE3223" s="1837"/>
      <c r="CF3223" s="1837"/>
      <c r="CG3223" s="1837"/>
      <c r="CH3223" s="1837"/>
      <c r="CI3223" s="1837"/>
      <c r="CJ3223" s="1837"/>
      <c r="CK3223" s="1837"/>
    </row>
    <row r="3224" spans="1:89" s="785" customFormat="1" ht="29.25" customHeight="1" x14ac:dyDescent="0.2">
      <c r="A3224" s="977"/>
      <c r="B3224" s="780" t="s">
        <v>2068</v>
      </c>
      <c r="C3224" s="978">
        <v>1</v>
      </c>
      <c r="D3224" s="979" t="s">
        <v>16</v>
      </c>
      <c r="E3224" s="984">
        <v>1000000</v>
      </c>
      <c r="F3224" s="985"/>
      <c r="G3224" s="985"/>
      <c r="H3224" s="986"/>
      <c r="I3224" s="985"/>
      <c r="J3224" s="985"/>
      <c r="K3224" s="986"/>
      <c r="L3224" s="985">
        <f>E3224*C3224</f>
        <v>1000000</v>
      </c>
      <c r="M3224" s="985"/>
      <c r="N3224" s="985">
        <f t="shared" si="325"/>
        <v>1000000</v>
      </c>
      <c r="O3224" s="987">
        <f>N3224+K3224+H3224</f>
        <v>1000000</v>
      </c>
      <c r="P3224" s="988"/>
      <c r="Q3224" s="1837"/>
      <c r="R3224" s="1837"/>
      <c r="S3224" s="1837"/>
      <c r="T3224" s="1837"/>
      <c r="U3224" s="1837"/>
      <c r="V3224" s="1837"/>
      <c r="W3224" s="1837"/>
      <c r="X3224" s="1837"/>
      <c r="Y3224" s="1837"/>
      <c r="Z3224" s="1837"/>
      <c r="AA3224" s="1837"/>
      <c r="AB3224" s="1837"/>
      <c r="AC3224" s="1837"/>
      <c r="AD3224" s="1837"/>
      <c r="AE3224" s="1837"/>
      <c r="AF3224" s="1837"/>
      <c r="AG3224" s="1837"/>
      <c r="AH3224" s="1837"/>
      <c r="AI3224" s="1837"/>
      <c r="AJ3224" s="1837"/>
      <c r="AK3224" s="1837"/>
      <c r="AL3224" s="1837"/>
      <c r="AM3224" s="1837"/>
      <c r="AN3224" s="1837"/>
      <c r="AO3224" s="1837"/>
      <c r="AP3224" s="1837"/>
      <c r="AQ3224" s="1837"/>
      <c r="AR3224" s="1837"/>
      <c r="AS3224" s="1837"/>
      <c r="AT3224" s="1837"/>
      <c r="AU3224" s="1837"/>
      <c r="AV3224" s="1837"/>
      <c r="AW3224" s="1837"/>
      <c r="AX3224" s="1837"/>
      <c r="AY3224" s="1837"/>
      <c r="AZ3224" s="1837"/>
      <c r="BA3224" s="1837"/>
      <c r="BB3224" s="1837"/>
      <c r="BC3224" s="1837"/>
      <c r="BD3224" s="1837"/>
      <c r="BE3224" s="1837"/>
      <c r="BF3224" s="1837"/>
      <c r="BG3224" s="1837"/>
      <c r="BH3224" s="1837"/>
      <c r="BI3224" s="1837"/>
      <c r="BJ3224" s="1837"/>
      <c r="BK3224" s="1837"/>
      <c r="BL3224" s="1837"/>
      <c r="BM3224" s="1837"/>
      <c r="BN3224" s="1837"/>
      <c r="BO3224" s="1837"/>
      <c r="BP3224" s="1837"/>
      <c r="BQ3224" s="1837"/>
      <c r="BR3224" s="1837"/>
      <c r="BS3224" s="1837"/>
      <c r="BT3224" s="1837"/>
      <c r="BU3224" s="1837"/>
      <c r="BV3224" s="1837"/>
      <c r="BW3224" s="1837"/>
      <c r="BX3224" s="1837"/>
      <c r="BY3224" s="1837"/>
      <c r="BZ3224" s="1837"/>
      <c r="CA3224" s="1837"/>
      <c r="CB3224" s="1837"/>
      <c r="CC3224" s="1837"/>
      <c r="CD3224" s="1837"/>
      <c r="CE3224" s="1837"/>
      <c r="CF3224" s="1837"/>
      <c r="CG3224" s="1837"/>
      <c r="CH3224" s="1837"/>
      <c r="CI3224" s="1837"/>
      <c r="CJ3224" s="1837"/>
      <c r="CK3224" s="1837"/>
    </row>
    <row r="3225" spans="1:89" s="673" customFormat="1" ht="29.25" customHeight="1" x14ac:dyDescent="0.2">
      <c r="A3225" s="788"/>
      <c r="B3225" s="689"/>
      <c r="C3225" s="789"/>
      <c r="D3225" s="790"/>
      <c r="E3225" s="758"/>
      <c r="F3225" s="714"/>
      <c r="G3225" s="714"/>
      <c r="H3225" s="695">
        <f>G3225+F3225</f>
        <v>0</v>
      </c>
      <c r="I3225" s="714"/>
      <c r="J3225" s="714"/>
      <c r="K3225" s="695">
        <f t="shared" si="323"/>
        <v>0</v>
      </c>
      <c r="L3225" s="714">
        <f>C3225*E3225</f>
        <v>0</v>
      </c>
      <c r="M3225" s="714"/>
      <c r="N3225" s="714">
        <f t="shared" si="325"/>
        <v>0</v>
      </c>
      <c r="O3225" s="753">
        <f t="shared" si="324"/>
        <v>0</v>
      </c>
      <c r="P3225" s="754"/>
      <c r="Q3225" s="783"/>
      <c r="R3225" s="783"/>
      <c r="S3225" s="783"/>
      <c r="T3225" s="783"/>
      <c r="U3225" s="783"/>
      <c r="V3225" s="783"/>
      <c r="W3225" s="783"/>
      <c r="X3225" s="783"/>
      <c r="Y3225" s="783"/>
      <c r="Z3225" s="783"/>
      <c r="AA3225" s="783"/>
      <c r="AB3225" s="783"/>
      <c r="AC3225" s="783"/>
      <c r="AD3225" s="783"/>
      <c r="AE3225" s="783"/>
      <c r="AF3225" s="783"/>
      <c r="AG3225" s="783"/>
      <c r="AH3225" s="783"/>
      <c r="AI3225" s="783"/>
      <c r="AJ3225" s="783"/>
      <c r="AK3225" s="783"/>
      <c r="AL3225" s="783"/>
      <c r="AM3225" s="783"/>
      <c r="AN3225" s="783"/>
      <c r="AO3225" s="783"/>
      <c r="AP3225" s="783"/>
      <c r="AQ3225" s="783"/>
      <c r="AR3225" s="783"/>
      <c r="AS3225" s="783"/>
      <c r="AT3225" s="783"/>
      <c r="AU3225" s="783"/>
      <c r="AV3225" s="783"/>
      <c r="AW3225" s="783"/>
      <c r="AX3225" s="783"/>
      <c r="AY3225" s="783"/>
      <c r="AZ3225" s="783"/>
      <c r="BA3225" s="783"/>
      <c r="BB3225" s="783"/>
      <c r="BC3225" s="783"/>
      <c r="BD3225" s="783"/>
      <c r="BE3225" s="783"/>
      <c r="BF3225" s="783"/>
      <c r="BG3225" s="783"/>
      <c r="BH3225" s="783"/>
      <c r="BI3225" s="783"/>
      <c r="BJ3225" s="783"/>
      <c r="BK3225" s="783"/>
      <c r="BL3225" s="783"/>
      <c r="BM3225" s="783"/>
      <c r="BN3225" s="783"/>
      <c r="BO3225" s="783"/>
      <c r="BP3225" s="783"/>
      <c r="BQ3225" s="783"/>
      <c r="BR3225" s="783"/>
      <c r="BS3225" s="783"/>
      <c r="BT3225" s="783"/>
      <c r="BU3225" s="783"/>
      <c r="BV3225" s="783"/>
      <c r="BW3225" s="783"/>
      <c r="BX3225" s="783"/>
      <c r="BY3225" s="783"/>
      <c r="BZ3225" s="783"/>
      <c r="CA3225" s="783"/>
      <c r="CB3225" s="783"/>
      <c r="CC3225" s="783"/>
      <c r="CD3225" s="783"/>
      <c r="CE3225" s="783"/>
      <c r="CF3225" s="783"/>
      <c r="CG3225" s="783"/>
      <c r="CH3225" s="783"/>
      <c r="CI3225" s="783"/>
      <c r="CJ3225" s="783"/>
      <c r="CK3225" s="783"/>
    </row>
    <row r="3226" spans="1:89" s="673" customFormat="1" ht="29.25" customHeight="1" x14ac:dyDescent="0.25">
      <c r="A3226" s="788"/>
      <c r="B3226" s="787" t="s">
        <v>1190</v>
      </c>
      <c r="C3226" s="789"/>
      <c r="D3226" s="790"/>
      <c r="E3226" s="758"/>
      <c r="F3226" s="714"/>
      <c r="G3226" s="714"/>
      <c r="H3226" s="695">
        <f>G3226+F3226</f>
        <v>0</v>
      </c>
      <c r="I3226" s="714"/>
      <c r="J3226" s="714"/>
      <c r="K3226" s="695">
        <f t="shared" si="323"/>
        <v>0</v>
      </c>
      <c r="L3226" s="714">
        <f>C3226*E3226</f>
        <v>0</v>
      </c>
      <c r="M3226" s="714"/>
      <c r="N3226" s="714">
        <f t="shared" si="325"/>
        <v>0</v>
      </c>
      <c r="O3226" s="753">
        <f t="shared" si="324"/>
        <v>0</v>
      </c>
      <c r="P3226" s="754"/>
      <c r="Q3226" s="783"/>
      <c r="R3226" s="783"/>
      <c r="S3226" s="783"/>
      <c r="T3226" s="783"/>
      <c r="U3226" s="783"/>
      <c r="V3226" s="783"/>
      <c r="W3226" s="783"/>
      <c r="X3226" s="783"/>
      <c r="Y3226" s="783"/>
      <c r="Z3226" s="783"/>
      <c r="AA3226" s="783"/>
      <c r="AB3226" s="783"/>
      <c r="AC3226" s="783"/>
      <c r="AD3226" s="783"/>
      <c r="AE3226" s="783"/>
      <c r="AF3226" s="783"/>
      <c r="AG3226" s="783"/>
      <c r="AH3226" s="783"/>
      <c r="AI3226" s="783"/>
      <c r="AJ3226" s="783"/>
      <c r="AK3226" s="783"/>
      <c r="AL3226" s="783"/>
      <c r="AM3226" s="783"/>
      <c r="AN3226" s="783"/>
      <c r="AO3226" s="783"/>
      <c r="AP3226" s="783"/>
      <c r="AQ3226" s="783"/>
      <c r="AR3226" s="783"/>
      <c r="AS3226" s="783"/>
      <c r="AT3226" s="783"/>
      <c r="AU3226" s="783"/>
      <c r="AV3226" s="783"/>
      <c r="AW3226" s="783"/>
      <c r="AX3226" s="783"/>
      <c r="AY3226" s="783"/>
      <c r="AZ3226" s="783"/>
      <c r="BA3226" s="783"/>
      <c r="BB3226" s="783"/>
      <c r="BC3226" s="783"/>
      <c r="BD3226" s="783"/>
      <c r="BE3226" s="783"/>
      <c r="BF3226" s="783"/>
      <c r="BG3226" s="783"/>
      <c r="BH3226" s="783"/>
      <c r="BI3226" s="783"/>
      <c r="BJ3226" s="783"/>
      <c r="BK3226" s="783"/>
      <c r="BL3226" s="783"/>
      <c r="BM3226" s="783"/>
      <c r="BN3226" s="783"/>
      <c r="BO3226" s="783"/>
      <c r="BP3226" s="783"/>
      <c r="BQ3226" s="783"/>
      <c r="BR3226" s="783"/>
      <c r="BS3226" s="783"/>
      <c r="BT3226" s="783"/>
      <c r="BU3226" s="783"/>
      <c r="BV3226" s="783"/>
      <c r="BW3226" s="783"/>
      <c r="BX3226" s="783"/>
      <c r="BY3226" s="783"/>
      <c r="BZ3226" s="783"/>
      <c r="CA3226" s="783"/>
      <c r="CB3226" s="783"/>
      <c r="CC3226" s="783"/>
      <c r="CD3226" s="783"/>
      <c r="CE3226" s="783"/>
      <c r="CF3226" s="783"/>
      <c r="CG3226" s="783"/>
      <c r="CH3226" s="783"/>
      <c r="CI3226" s="783"/>
      <c r="CJ3226" s="783"/>
      <c r="CK3226" s="783"/>
    </row>
    <row r="3227" spans="1:89" s="673" customFormat="1" ht="29.25" customHeight="1" x14ac:dyDescent="0.2">
      <c r="A3227" s="788"/>
      <c r="B3227" s="689" t="s">
        <v>1469</v>
      </c>
      <c r="C3227" s="789">
        <v>1</v>
      </c>
      <c r="D3227" s="790" t="s">
        <v>60</v>
      </c>
      <c r="E3227" s="758">
        <v>800000</v>
      </c>
      <c r="F3227" s="714"/>
      <c r="G3227" s="714"/>
      <c r="H3227" s="695">
        <f>G3227+F3227</f>
        <v>0</v>
      </c>
      <c r="I3227" s="714"/>
      <c r="J3227" s="714"/>
      <c r="K3227" s="695">
        <f t="shared" si="323"/>
        <v>0</v>
      </c>
      <c r="L3227" s="714">
        <f>C3227*E3227</f>
        <v>800000</v>
      </c>
      <c r="M3227" s="714"/>
      <c r="N3227" s="714">
        <f t="shared" si="325"/>
        <v>800000</v>
      </c>
      <c r="O3227" s="753">
        <f t="shared" si="324"/>
        <v>800000</v>
      </c>
      <c r="P3227" s="754"/>
      <c r="Q3227" s="783"/>
      <c r="R3227" s="783"/>
      <c r="S3227" s="783"/>
      <c r="T3227" s="783"/>
      <c r="U3227" s="783"/>
      <c r="V3227" s="783"/>
      <c r="W3227" s="783"/>
      <c r="X3227" s="783"/>
      <c r="Y3227" s="783"/>
      <c r="Z3227" s="783"/>
      <c r="AA3227" s="783"/>
      <c r="AB3227" s="783"/>
      <c r="AC3227" s="783"/>
      <c r="AD3227" s="783"/>
      <c r="AE3227" s="783"/>
      <c r="AF3227" s="783"/>
      <c r="AG3227" s="783"/>
      <c r="AH3227" s="783"/>
      <c r="AI3227" s="783"/>
      <c r="AJ3227" s="783"/>
      <c r="AK3227" s="783"/>
      <c r="AL3227" s="783"/>
      <c r="AM3227" s="783"/>
      <c r="AN3227" s="783"/>
      <c r="AO3227" s="783"/>
      <c r="AP3227" s="783"/>
      <c r="AQ3227" s="783"/>
      <c r="AR3227" s="783"/>
      <c r="AS3227" s="783"/>
      <c r="AT3227" s="783"/>
      <c r="AU3227" s="783"/>
      <c r="AV3227" s="783"/>
      <c r="AW3227" s="783"/>
      <c r="AX3227" s="783"/>
      <c r="AY3227" s="783"/>
      <c r="AZ3227" s="783"/>
      <c r="BA3227" s="783"/>
      <c r="BB3227" s="783"/>
      <c r="BC3227" s="783"/>
      <c r="BD3227" s="783"/>
      <c r="BE3227" s="783"/>
      <c r="BF3227" s="783"/>
      <c r="BG3227" s="783"/>
      <c r="BH3227" s="783"/>
      <c r="BI3227" s="783"/>
      <c r="BJ3227" s="783"/>
      <c r="BK3227" s="783"/>
      <c r="BL3227" s="783"/>
      <c r="BM3227" s="783"/>
      <c r="BN3227" s="783"/>
      <c r="BO3227" s="783"/>
      <c r="BP3227" s="783"/>
      <c r="BQ3227" s="783"/>
      <c r="BR3227" s="783"/>
      <c r="BS3227" s="783"/>
      <c r="BT3227" s="783"/>
      <c r="BU3227" s="783"/>
      <c r="BV3227" s="783"/>
      <c r="BW3227" s="783"/>
      <c r="BX3227" s="783"/>
      <c r="BY3227" s="783"/>
      <c r="BZ3227" s="783"/>
      <c r="CA3227" s="783"/>
      <c r="CB3227" s="783"/>
      <c r="CC3227" s="783"/>
      <c r="CD3227" s="783"/>
      <c r="CE3227" s="783"/>
      <c r="CF3227" s="783"/>
      <c r="CG3227" s="783"/>
      <c r="CH3227" s="783"/>
      <c r="CI3227" s="783"/>
      <c r="CJ3227" s="783"/>
      <c r="CK3227" s="783"/>
    </row>
    <row r="3228" spans="1:89" s="673" customFormat="1" ht="29.25" customHeight="1" x14ac:dyDescent="0.25">
      <c r="A3228" s="788"/>
      <c r="B3228" s="711" t="s">
        <v>1470</v>
      </c>
      <c r="C3228" s="789">
        <v>1</v>
      </c>
      <c r="D3228" s="790" t="s">
        <v>60</v>
      </c>
      <c r="E3228" s="758">
        <v>200000</v>
      </c>
      <c r="F3228" s="714">
        <v>0</v>
      </c>
      <c r="G3228" s="714">
        <v>0</v>
      </c>
      <c r="H3228" s="695">
        <v>0</v>
      </c>
      <c r="I3228" s="714">
        <v>0</v>
      </c>
      <c r="J3228" s="714">
        <f t="shared" ref="J3228:J3255" si="326">E3228*C3228</f>
        <v>200000</v>
      </c>
      <c r="K3228" s="695">
        <f t="shared" si="323"/>
        <v>200000</v>
      </c>
      <c r="L3228" s="714">
        <v>0</v>
      </c>
      <c r="M3228" s="714">
        <v>0</v>
      </c>
      <c r="N3228" s="714">
        <v>0</v>
      </c>
      <c r="O3228" s="753">
        <f t="shared" si="324"/>
        <v>200000</v>
      </c>
      <c r="P3228" s="754"/>
      <c r="Q3228" s="783"/>
      <c r="R3228" s="783"/>
      <c r="S3228" s="783"/>
      <c r="T3228" s="783"/>
      <c r="U3228" s="783"/>
      <c r="V3228" s="783"/>
      <c r="W3228" s="783"/>
      <c r="X3228" s="783"/>
      <c r="Y3228" s="783"/>
      <c r="Z3228" s="783"/>
      <c r="AA3228" s="783"/>
      <c r="AB3228" s="783"/>
      <c r="AC3228" s="783"/>
      <c r="AD3228" s="783"/>
      <c r="AE3228" s="783"/>
      <c r="AF3228" s="783"/>
      <c r="AG3228" s="783"/>
      <c r="AH3228" s="783"/>
      <c r="AI3228" s="783"/>
      <c r="AJ3228" s="783"/>
      <c r="AK3228" s="783"/>
      <c r="AL3228" s="783"/>
      <c r="AM3228" s="783"/>
      <c r="AN3228" s="783"/>
      <c r="AO3228" s="783"/>
      <c r="AP3228" s="783"/>
      <c r="AQ3228" s="783"/>
      <c r="AR3228" s="783"/>
      <c r="AS3228" s="783"/>
      <c r="AT3228" s="783"/>
      <c r="AU3228" s="783"/>
      <c r="AV3228" s="783"/>
      <c r="AW3228" s="783"/>
      <c r="AX3228" s="783"/>
      <c r="AY3228" s="783"/>
      <c r="AZ3228" s="783"/>
      <c r="BA3228" s="783"/>
      <c r="BB3228" s="783"/>
      <c r="BC3228" s="783"/>
      <c r="BD3228" s="783"/>
      <c r="BE3228" s="783"/>
      <c r="BF3228" s="783"/>
      <c r="BG3228" s="783"/>
      <c r="BH3228" s="783"/>
      <c r="BI3228" s="783"/>
      <c r="BJ3228" s="783"/>
      <c r="BK3228" s="783"/>
      <c r="BL3228" s="783"/>
      <c r="BM3228" s="783"/>
      <c r="BN3228" s="783"/>
      <c r="BO3228" s="783"/>
      <c r="BP3228" s="783"/>
      <c r="BQ3228" s="783"/>
      <c r="BR3228" s="783"/>
      <c r="BS3228" s="783"/>
      <c r="BT3228" s="783"/>
      <c r="BU3228" s="783"/>
      <c r="BV3228" s="783"/>
      <c r="BW3228" s="783"/>
      <c r="BX3228" s="783"/>
      <c r="BY3228" s="783"/>
      <c r="BZ3228" s="783"/>
      <c r="CA3228" s="783"/>
      <c r="CB3228" s="783"/>
      <c r="CC3228" s="783"/>
      <c r="CD3228" s="783"/>
      <c r="CE3228" s="783"/>
      <c r="CF3228" s="783"/>
      <c r="CG3228" s="783"/>
      <c r="CH3228" s="783"/>
      <c r="CI3228" s="783"/>
      <c r="CJ3228" s="783"/>
      <c r="CK3228" s="783"/>
    </row>
    <row r="3229" spans="1:89" s="673" customFormat="1" ht="29.25" customHeight="1" x14ac:dyDescent="0.2">
      <c r="A3229" s="788"/>
      <c r="B3229" s="689" t="s">
        <v>1471</v>
      </c>
      <c r="C3229" s="789">
        <v>1</v>
      </c>
      <c r="D3229" s="790" t="s">
        <v>60</v>
      </c>
      <c r="E3229" s="758">
        <v>200000</v>
      </c>
      <c r="F3229" s="714">
        <v>0</v>
      </c>
      <c r="G3229" s="714">
        <v>0</v>
      </c>
      <c r="H3229" s="695">
        <v>0</v>
      </c>
      <c r="I3229" s="714">
        <v>0</v>
      </c>
      <c r="J3229" s="714">
        <f t="shared" si="326"/>
        <v>200000</v>
      </c>
      <c r="K3229" s="695">
        <f t="shared" si="323"/>
        <v>200000</v>
      </c>
      <c r="L3229" s="714">
        <v>0</v>
      </c>
      <c r="M3229" s="714">
        <v>0</v>
      </c>
      <c r="N3229" s="714">
        <v>0</v>
      </c>
      <c r="O3229" s="753">
        <f t="shared" si="324"/>
        <v>200000</v>
      </c>
      <c r="P3229" s="754"/>
      <c r="Q3229" s="783"/>
      <c r="R3229" s="783"/>
      <c r="S3229" s="783"/>
      <c r="T3229" s="783"/>
      <c r="U3229" s="783"/>
      <c r="V3229" s="783"/>
      <c r="W3229" s="783"/>
      <c r="X3229" s="783"/>
      <c r="Y3229" s="783"/>
      <c r="Z3229" s="783"/>
      <c r="AA3229" s="783"/>
      <c r="AB3229" s="783"/>
      <c r="AC3229" s="783"/>
      <c r="AD3229" s="783"/>
      <c r="AE3229" s="783"/>
      <c r="AF3229" s="783"/>
      <c r="AG3229" s="783"/>
      <c r="AH3229" s="783"/>
      <c r="AI3229" s="783"/>
      <c r="AJ3229" s="783"/>
      <c r="AK3229" s="783"/>
      <c r="AL3229" s="783"/>
      <c r="AM3229" s="783"/>
      <c r="AN3229" s="783"/>
      <c r="AO3229" s="783"/>
      <c r="AP3229" s="783"/>
      <c r="AQ3229" s="783"/>
      <c r="AR3229" s="783"/>
      <c r="AS3229" s="783"/>
      <c r="AT3229" s="783"/>
      <c r="AU3229" s="783"/>
      <c r="AV3229" s="783"/>
      <c r="AW3229" s="783"/>
      <c r="AX3229" s="783"/>
      <c r="AY3229" s="783"/>
      <c r="AZ3229" s="783"/>
      <c r="BA3229" s="783"/>
      <c r="BB3229" s="783"/>
      <c r="BC3229" s="783"/>
      <c r="BD3229" s="783"/>
      <c r="BE3229" s="783"/>
      <c r="BF3229" s="783"/>
      <c r="BG3229" s="783"/>
      <c r="BH3229" s="783"/>
      <c r="BI3229" s="783"/>
      <c r="BJ3229" s="783"/>
      <c r="BK3229" s="783"/>
      <c r="BL3229" s="783"/>
      <c r="BM3229" s="783"/>
      <c r="BN3229" s="783"/>
      <c r="BO3229" s="783"/>
      <c r="BP3229" s="783"/>
      <c r="BQ3229" s="783"/>
      <c r="BR3229" s="783"/>
      <c r="BS3229" s="783"/>
      <c r="BT3229" s="783"/>
      <c r="BU3229" s="783"/>
      <c r="BV3229" s="783"/>
      <c r="BW3229" s="783"/>
      <c r="BX3229" s="783"/>
      <c r="BY3229" s="783"/>
      <c r="BZ3229" s="783"/>
      <c r="CA3229" s="783"/>
      <c r="CB3229" s="783"/>
      <c r="CC3229" s="783"/>
      <c r="CD3229" s="783"/>
      <c r="CE3229" s="783"/>
      <c r="CF3229" s="783"/>
      <c r="CG3229" s="783"/>
      <c r="CH3229" s="783"/>
      <c r="CI3229" s="783"/>
      <c r="CJ3229" s="783"/>
      <c r="CK3229" s="783"/>
    </row>
    <row r="3230" spans="1:89" s="673" customFormat="1" ht="29.25" customHeight="1" x14ac:dyDescent="0.2">
      <c r="A3230" s="788"/>
      <c r="B3230" s="689" t="s">
        <v>1162</v>
      </c>
      <c r="C3230" s="789">
        <v>1</v>
      </c>
      <c r="D3230" s="790" t="s">
        <v>60</v>
      </c>
      <c r="E3230" s="758">
        <v>500000</v>
      </c>
      <c r="F3230" s="714">
        <v>0</v>
      </c>
      <c r="G3230" s="714">
        <v>0</v>
      </c>
      <c r="H3230" s="695">
        <v>0</v>
      </c>
      <c r="I3230" s="714">
        <v>0</v>
      </c>
      <c r="J3230" s="714">
        <f t="shared" si="326"/>
        <v>500000</v>
      </c>
      <c r="K3230" s="695">
        <f t="shared" si="323"/>
        <v>500000</v>
      </c>
      <c r="L3230" s="714">
        <v>0</v>
      </c>
      <c r="M3230" s="714">
        <v>0</v>
      </c>
      <c r="N3230" s="714">
        <v>0</v>
      </c>
      <c r="O3230" s="753">
        <f t="shared" si="324"/>
        <v>500000</v>
      </c>
      <c r="P3230" s="754"/>
      <c r="Q3230" s="783"/>
      <c r="R3230" s="783"/>
      <c r="S3230" s="783"/>
      <c r="T3230" s="783"/>
      <c r="U3230" s="783"/>
      <c r="V3230" s="783"/>
      <c r="W3230" s="783"/>
      <c r="X3230" s="783"/>
      <c r="Y3230" s="783"/>
      <c r="Z3230" s="783"/>
      <c r="AA3230" s="783"/>
      <c r="AB3230" s="783"/>
      <c r="AC3230" s="783"/>
      <c r="AD3230" s="783"/>
      <c r="AE3230" s="783"/>
      <c r="AF3230" s="783"/>
      <c r="AG3230" s="783"/>
      <c r="AH3230" s="783"/>
      <c r="AI3230" s="783"/>
      <c r="AJ3230" s="783"/>
      <c r="AK3230" s="783"/>
      <c r="AL3230" s="783"/>
      <c r="AM3230" s="783"/>
      <c r="AN3230" s="783"/>
      <c r="AO3230" s="783"/>
      <c r="AP3230" s="783"/>
      <c r="AQ3230" s="783"/>
      <c r="AR3230" s="783"/>
      <c r="AS3230" s="783"/>
      <c r="AT3230" s="783"/>
      <c r="AU3230" s="783"/>
      <c r="AV3230" s="783"/>
      <c r="AW3230" s="783"/>
      <c r="AX3230" s="783"/>
      <c r="AY3230" s="783"/>
      <c r="AZ3230" s="783"/>
      <c r="BA3230" s="783"/>
      <c r="BB3230" s="783"/>
      <c r="BC3230" s="783"/>
      <c r="BD3230" s="783"/>
      <c r="BE3230" s="783"/>
      <c r="BF3230" s="783"/>
      <c r="BG3230" s="783"/>
      <c r="BH3230" s="783"/>
      <c r="BI3230" s="783"/>
      <c r="BJ3230" s="783"/>
      <c r="BK3230" s="783"/>
      <c r="BL3230" s="783"/>
      <c r="BM3230" s="783"/>
      <c r="BN3230" s="783"/>
      <c r="BO3230" s="783"/>
      <c r="BP3230" s="783"/>
      <c r="BQ3230" s="783"/>
      <c r="BR3230" s="783"/>
      <c r="BS3230" s="783"/>
      <c r="BT3230" s="783"/>
      <c r="BU3230" s="783"/>
      <c r="BV3230" s="783"/>
      <c r="BW3230" s="783"/>
      <c r="BX3230" s="783"/>
      <c r="BY3230" s="783"/>
      <c r="BZ3230" s="783"/>
      <c r="CA3230" s="783"/>
      <c r="CB3230" s="783"/>
      <c r="CC3230" s="783"/>
      <c r="CD3230" s="783"/>
      <c r="CE3230" s="783"/>
      <c r="CF3230" s="783"/>
      <c r="CG3230" s="783"/>
      <c r="CH3230" s="783"/>
      <c r="CI3230" s="783"/>
      <c r="CJ3230" s="783"/>
      <c r="CK3230" s="783"/>
    </row>
    <row r="3231" spans="1:89" s="673" customFormat="1" ht="29.25" customHeight="1" x14ac:dyDescent="0.25">
      <c r="A3231" s="788"/>
      <c r="B3231" s="711" t="s">
        <v>234</v>
      </c>
      <c r="C3231" s="789">
        <v>1</v>
      </c>
      <c r="D3231" s="790" t="s">
        <v>60</v>
      </c>
      <c r="E3231" s="758">
        <v>600000</v>
      </c>
      <c r="F3231" s="714">
        <v>0</v>
      </c>
      <c r="G3231" s="714">
        <v>0</v>
      </c>
      <c r="H3231" s="695">
        <v>0</v>
      </c>
      <c r="I3231" s="714">
        <v>0</v>
      </c>
      <c r="J3231" s="714">
        <f t="shared" si="326"/>
        <v>600000</v>
      </c>
      <c r="K3231" s="695">
        <f t="shared" si="323"/>
        <v>600000</v>
      </c>
      <c r="L3231" s="714">
        <v>0</v>
      </c>
      <c r="M3231" s="714">
        <v>0</v>
      </c>
      <c r="N3231" s="714">
        <v>0</v>
      </c>
      <c r="O3231" s="753">
        <f t="shared" si="324"/>
        <v>600000</v>
      </c>
      <c r="P3231" s="754"/>
      <c r="Q3231" s="783"/>
      <c r="R3231" s="783"/>
      <c r="S3231" s="783"/>
      <c r="T3231" s="783"/>
      <c r="U3231" s="783"/>
      <c r="V3231" s="783"/>
      <c r="W3231" s="783"/>
      <c r="X3231" s="783"/>
      <c r="Y3231" s="783"/>
      <c r="Z3231" s="783"/>
      <c r="AA3231" s="783"/>
      <c r="AB3231" s="783"/>
      <c r="AC3231" s="783"/>
      <c r="AD3231" s="783"/>
      <c r="AE3231" s="783"/>
      <c r="AF3231" s="783"/>
      <c r="AG3231" s="783"/>
      <c r="AH3231" s="783"/>
      <c r="AI3231" s="783"/>
      <c r="AJ3231" s="783"/>
      <c r="AK3231" s="783"/>
      <c r="AL3231" s="783"/>
      <c r="AM3231" s="783"/>
      <c r="AN3231" s="783"/>
      <c r="AO3231" s="783"/>
      <c r="AP3231" s="783"/>
      <c r="AQ3231" s="783"/>
      <c r="AR3231" s="783"/>
      <c r="AS3231" s="783"/>
      <c r="AT3231" s="783"/>
      <c r="AU3231" s="783"/>
      <c r="AV3231" s="783"/>
      <c r="AW3231" s="783"/>
      <c r="AX3231" s="783"/>
      <c r="AY3231" s="783"/>
      <c r="AZ3231" s="783"/>
      <c r="BA3231" s="783"/>
      <c r="BB3231" s="783"/>
      <c r="BC3231" s="783"/>
      <c r="BD3231" s="783"/>
      <c r="BE3231" s="783"/>
      <c r="BF3231" s="783"/>
      <c r="BG3231" s="783"/>
      <c r="BH3231" s="783"/>
      <c r="BI3231" s="783"/>
      <c r="BJ3231" s="783"/>
      <c r="BK3231" s="783"/>
      <c r="BL3231" s="783"/>
      <c r="BM3231" s="783"/>
      <c r="BN3231" s="783"/>
      <c r="BO3231" s="783"/>
      <c r="BP3231" s="783"/>
      <c r="BQ3231" s="783"/>
      <c r="BR3231" s="783"/>
      <c r="BS3231" s="783"/>
      <c r="BT3231" s="783"/>
      <c r="BU3231" s="783"/>
      <c r="BV3231" s="783"/>
      <c r="BW3231" s="783"/>
      <c r="BX3231" s="783"/>
      <c r="BY3231" s="783"/>
      <c r="BZ3231" s="783"/>
      <c r="CA3231" s="783"/>
      <c r="CB3231" s="783"/>
      <c r="CC3231" s="783"/>
      <c r="CD3231" s="783"/>
      <c r="CE3231" s="783"/>
      <c r="CF3231" s="783"/>
      <c r="CG3231" s="783"/>
      <c r="CH3231" s="783"/>
      <c r="CI3231" s="783"/>
      <c r="CJ3231" s="783"/>
      <c r="CK3231" s="783"/>
    </row>
    <row r="3232" spans="1:89" s="673" customFormat="1" ht="29.25" customHeight="1" x14ac:dyDescent="0.25">
      <c r="A3232" s="788"/>
      <c r="B3232" s="711" t="s">
        <v>1163</v>
      </c>
      <c r="C3232" s="789">
        <v>1</v>
      </c>
      <c r="D3232" s="790" t="s">
        <v>60</v>
      </c>
      <c r="E3232" s="758">
        <v>500000</v>
      </c>
      <c r="F3232" s="714">
        <v>0</v>
      </c>
      <c r="G3232" s="714">
        <v>0</v>
      </c>
      <c r="H3232" s="695">
        <v>0</v>
      </c>
      <c r="I3232" s="714">
        <v>0</v>
      </c>
      <c r="J3232" s="714">
        <f t="shared" si="326"/>
        <v>500000</v>
      </c>
      <c r="K3232" s="695">
        <f t="shared" si="323"/>
        <v>500000</v>
      </c>
      <c r="L3232" s="714">
        <v>0</v>
      </c>
      <c r="M3232" s="714">
        <v>0</v>
      </c>
      <c r="N3232" s="714">
        <v>0</v>
      </c>
      <c r="O3232" s="753">
        <f t="shared" si="324"/>
        <v>500000</v>
      </c>
      <c r="P3232" s="754"/>
      <c r="Q3232" s="783"/>
      <c r="R3232" s="783"/>
      <c r="S3232" s="783"/>
      <c r="T3232" s="783"/>
      <c r="U3232" s="783"/>
      <c r="V3232" s="783"/>
      <c r="W3232" s="783"/>
      <c r="X3232" s="783"/>
      <c r="Y3232" s="783"/>
      <c r="Z3232" s="783"/>
      <c r="AA3232" s="783"/>
      <c r="AB3232" s="783"/>
      <c r="AC3232" s="783"/>
      <c r="AD3232" s="783"/>
      <c r="AE3232" s="783"/>
      <c r="AF3232" s="783"/>
      <c r="AG3232" s="783"/>
      <c r="AH3232" s="783"/>
      <c r="AI3232" s="783"/>
      <c r="AJ3232" s="783"/>
      <c r="AK3232" s="783"/>
      <c r="AL3232" s="783"/>
      <c r="AM3232" s="783"/>
      <c r="AN3232" s="783"/>
      <c r="AO3232" s="783"/>
      <c r="AP3232" s="783"/>
      <c r="AQ3232" s="783"/>
      <c r="AR3232" s="783"/>
      <c r="AS3232" s="783"/>
      <c r="AT3232" s="783"/>
      <c r="AU3232" s="783"/>
      <c r="AV3232" s="783"/>
      <c r="AW3232" s="783"/>
      <c r="AX3232" s="783"/>
      <c r="AY3232" s="783"/>
      <c r="AZ3232" s="783"/>
      <c r="BA3232" s="783"/>
      <c r="BB3232" s="783"/>
      <c r="BC3232" s="783"/>
      <c r="BD3232" s="783"/>
      <c r="BE3232" s="783"/>
      <c r="BF3232" s="783"/>
      <c r="BG3232" s="783"/>
      <c r="BH3232" s="783"/>
      <c r="BI3232" s="783"/>
      <c r="BJ3232" s="783"/>
      <c r="BK3232" s="783"/>
      <c r="BL3232" s="783"/>
      <c r="BM3232" s="783"/>
      <c r="BN3232" s="783"/>
      <c r="BO3232" s="783"/>
      <c r="BP3232" s="783"/>
      <c r="BQ3232" s="783"/>
      <c r="BR3232" s="783"/>
      <c r="BS3232" s="783"/>
      <c r="BT3232" s="783"/>
      <c r="BU3232" s="783"/>
      <c r="BV3232" s="783"/>
      <c r="BW3232" s="783"/>
      <c r="BX3232" s="783"/>
      <c r="BY3232" s="783"/>
      <c r="BZ3232" s="783"/>
      <c r="CA3232" s="783"/>
      <c r="CB3232" s="783"/>
      <c r="CC3232" s="783"/>
      <c r="CD3232" s="783"/>
      <c r="CE3232" s="783"/>
      <c r="CF3232" s="783"/>
      <c r="CG3232" s="783"/>
      <c r="CH3232" s="783"/>
      <c r="CI3232" s="783"/>
      <c r="CJ3232" s="783"/>
      <c r="CK3232" s="783"/>
    </row>
    <row r="3233" spans="1:89" s="673" customFormat="1" ht="29.25" customHeight="1" x14ac:dyDescent="0.2">
      <c r="A3233" s="788"/>
      <c r="B3233" s="689" t="s">
        <v>1164</v>
      </c>
      <c r="C3233" s="789">
        <v>1</v>
      </c>
      <c r="D3233" s="790" t="s">
        <v>60</v>
      </c>
      <c r="E3233" s="758">
        <v>500000</v>
      </c>
      <c r="F3233" s="714">
        <v>0</v>
      </c>
      <c r="G3233" s="714">
        <v>0</v>
      </c>
      <c r="H3233" s="695">
        <v>0</v>
      </c>
      <c r="I3233" s="714">
        <v>0</v>
      </c>
      <c r="J3233" s="714">
        <f t="shared" si="326"/>
        <v>500000</v>
      </c>
      <c r="K3233" s="695">
        <f t="shared" si="323"/>
        <v>500000</v>
      </c>
      <c r="L3233" s="714">
        <v>0</v>
      </c>
      <c r="M3233" s="714">
        <v>0</v>
      </c>
      <c r="N3233" s="714">
        <v>0</v>
      </c>
      <c r="O3233" s="753">
        <f t="shared" si="324"/>
        <v>500000</v>
      </c>
      <c r="P3233" s="754"/>
      <c r="Q3233" s="783"/>
      <c r="R3233" s="783"/>
      <c r="S3233" s="783"/>
      <c r="T3233" s="783"/>
      <c r="U3233" s="783"/>
      <c r="V3233" s="783"/>
      <c r="W3233" s="783"/>
      <c r="X3233" s="783"/>
      <c r="Y3233" s="783"/>
      <c r="Z3233" s="783"/>
      <c r="AA3233" s="783"/>
      <c r="AB3233" s="783"/>
      <c r="AC3233" s="783"/>
      <c r="AD3233" s="783"/>
      <c r="AE3233" s="783"/>
      <c r="AF3233" s="783"/>
      <c r="AG3233" s="783"/>
      <c r="AH3233" s="783"/>
      <c r="AI3233" s="783"/>
      <c r="AJ3233" s="783"/>
      <c r="AK3233" s="783"/>
      <c r="AL3233" s="783"/>
      <c r="AM3233" s="783"/>
      <c r="AN3233" s="783"/>
      <c r="AO3233" s="783"/>
      <c r="AP3233" s="783"/>
      <c r="AQ3233" s="783"/>
      <c r="AR3233" s="783"/>
      <c r="AS3233" s="783"/>
      <c r="AT3233" s="783"/>
      <c r="AU3233" s="783"/>
      <c r="AV3233" s="783"/>
      <c r="AW3233" s="783"/>
      <c r="AX3233" s="783"/>
      <c r="AY3233" s="783"/>
      <c r="AZ3233" s="783"/>
      <c r="BA3233" s="783"/>
      <c r="BB3233" s="783"/>
      <c r="BC3233" s="783"/>
      <c r="BD3233" s="783"/>
      <c r="BE3233" s="783"/>
      <c r="BF3233" s="783"/>
      <c r="BG3233" s="783"/>
      <c r="BH3233" s="783"/>
      <c r="BI3233" s="783"/>
      <c r="BJ3233" s="783"/>
      <c r="BK3233" s="783"/>
      <c r="BL3233" s="783"/>
      <c r="BM3233" s="783"/>
      <c r="BN3233" s="783"/>
      <c r="BO3233" s="783"/>
      <c r="BP3233" s="783"/>
      <c r="BQ3233" s="783"/>
      <c r="BR3233" s="783"/>
      <c r="BS3233" s="783"/>
      <c r="BT3233" s="783"/>
      <c r="BU3233" s="783"/>
      <c r="BV3233" s="783"/>
      <c r="BW3233" s="783"/>
      <c r="BX3233" s="783"/>
      <c r="BY3233" s="783"/>
      <c r="BZ3233" s="783"/>
      <c r="CA3233" s="783"/>
      <c r="CB3233" s="783"/>
      <c r="CC3233" s="783"/>
      <c r="CD3233" s="783"/>
      <c r="CE3233" s="783"/>
      <c r="CF3233" s="783"/>
      <c r="CG3233" s="783"/>
      <c r="CH3233" s="783"/>
      <c r="CI3233" s="783"/>
      <c r="CJ3233" s="783"/>
      <c r="CK3233" s="783"/>
    </row>
    <row r="3234" spans="1:89" s="673" customFormat="1" ht="29.25" customHeight="1" x14ac:dyDescent="0.25">
      <c r="A3234" s="788"/>
      <c r="B3234" s="711" t="s">
        <v>235</v>
      </c>
      <c r="C3234" s="789">
        <v>1</v>
      </c>
      <c r="D3234" s="790" t="s">
        <v>60</v>
      </c>
      <c r="E3234" s="758">
        <v>600000</v>
      </c>
      <c r="F3234" s="714">
        <v>0</v>
      </c>
      <c r="G3234" s="714">
        <v>0</v>
      </c>
      <c r="H3234" s="695">
        <v>0</v>
      </c>
      <c r="I3234" s="714">
        <v>0</v>
      </c>
      <c r="J3234" s="714">
        <f t="shared" si="326"/>
        <v>600000</v>
      </c>
      <c r="K3234" s="695">
        <f t="shared" si="323"/>
        <v>600000</v>
      </c>
      <c r="L3234" s="714">
        <v>0</v>
      </c>
      <c r="M3234" s="714">
        <v>0</v>
      </c>
      <c r="N3234" s="714">
        <v>0</v>
      </c>
      <c r="O3234" s="753">
        <f t="shared" si="324"/>
        <v>600000</v>
      </c>
      <c r="P3234" s="754"/>
      <c r="Q3234" s="783"/>
      <c r="R3234" s="783"/>
      <c r="S3234" s="783"/>
      <c r="T3234" s="783"/>
      <c r="U3234" s="783"/>
      <c r="V3234" s="783"/>
      <c r="W3234" s="783"/>
      <c r="X3234" s="783"/>
      <c r="Y3234" s="783"/>
      <c r="Z3234" s="783"/>
      <c r="AA3234" s="783"/>
      <c r="AB3234" s="783"/>
      <c r="AC3234" s="783"/>
      <c r="AD3234" s="783"/>
      <c r="AE3234" s="783"/>
      <c r="AF3234" s="783"/>
      <c r="AG3234" s="783"/>
      <c r="AH3234" s="783"/>
      <c r="AI3234" s="783"/>
      <c r="AJ3234" s="783"/>
      <c r="AK3234" s="783"/>
      <c r="AL3234" s="783"/>
      <c r="AM3234" s="783"/>
      <c r="AN3234" s="783"/>
      <c r="AO3234" s="783"/>
      <c r="AP3234" s="783"/>
      <c r="AQ3234" s="783"/>
      <c r="AR3234" s="783"/>
      <c r="AS3234" s="783"/>
      <c r="AT3234" s="783"/>
      <c r="AU3234" s="783"/>
      <c r="AV3234" s="783"/>
      <c r="AW3234" s="783"/>
      <c r="AX3234" s="783"/>
      <c r="AY3234" s="783"/>
      <c r="AZ3234" s="783"/>
      <c r="BA3234" s="783"/>
      <c r="BB3234" s="783"/>
      <c r="BC3234" s="783"/>
      <c r="BD3234" s="783"/>
      <c r="BE3234" s="783"/>
      <c r="BF3234" s="783"/>
      <c r="BG3234" s="783"/>
      <c r="BH3234" s="783"/>
      <c r="BI3234" s="783"/>
      <c r="BJ3234" s="783"/>
      <c r="BK3234" s="783"/>
      <c r="BL3234" s="783"/>
      <c r="BM3234" s="783"/>
      <c r="BN3234" s="783"/>
      <c r="BO3234" s="783"/>
      <c r="BP3234" s="783"/>
      <c r="BQ3234" s="783"/>
      <c r="BR3234" s="783"/>
      <c r="BS3234" s="783"/>
      <c r="BT3234" s="783"/>
      <c r="BU3234" s="783"/>
      <c r="BV3234" s="783"/>
      <c r="BW3234" s="783"/>
      <c r="BX3234" s="783"/>
      <c r="BY3234" s="783"/>
      <c r="BZ3234" s="783"/>
      <c r="CA3234" s="783"/>
      <c r="CB3234" s="783"/>
      <c r="CC3234" s="783"/>
      <c r="CD3234" s="783"/>
      <c r="CE3234" s="783"/>
      <c r="CF3234" s="783"/>
      <c r="CG3234" s="783"/>
      <c r="CH3234" s="783"/>
      <c r="CI3234" s="783"/>
      <c r="CJ3234" s="783"/>
      <c r="CK3234" s="783"/>
    </row>
    <row r="3235" spans="1:89" s="673" customFormat="1" ht="29.25" customHeight="1" x14ac:dyDescent="0.25">
      <c r="A3235" s="788"/>
      <c r="B3235" s="711" t="s">
        <v>229</v>
      </c>
      <c r="C3235" s="789">
        <v>1</v>
      </c>
      <c r="D3235" s="790" t="s">
        <v>60</v>
      </c>
      <c r="E3235" s="758">
        <v>2000000</v>
      </c>
      <c r="F3235" s="714">
        <v>0</v>
      </c>
      <c r="G3235" s="714">
        <v>0</v>
      </c>
      <c r="H3235" s="695">
        <v>0</v>
      </c>
      <c r="I3235" s="714">
        <v>0</v>
      </c>
      <c r="J3235" s="714">
        <f t="shared" si="326"/>
        <v>2000000</v>
      </c>
      <c r="K3235" s="695">
        <f t="shared" si="323"/>
        <v>2000000</v>
      </c>
      <c r="L3235" s="714">
        <v>0</v>
      </c>
      <c r="M3235" s="714">
        <v>0</v>
      </c>
      <c r="N3235" s="714">
        <v>0</v>
      </c>
      <c r="O3235" s="753">
        <f t="shared" si="324"/>
        <v>2000000</v>
      </c>
      <c r="P3235" s="754"/>
      <c r="Q3235" s="783"/>
      <c r="R3235" s="783"/>
      <c r="S3235" s="783"/>
      <c r="T3235" s="783"/>
      <c r="U3235" s="783"/>
      <c r="V3235" s="783"/>
      <c r="W3235" s="783"/>
      <c r="X3235" s="783"/>
      <c r="Y3235" s="783"/>
      <c r="Z3235" s="783"/>
      <c r="AA3235" s="783"/>
      <c r="AB3235" s="783"/>
      <c r="AC3235" s="783"/>
      <c r="AD3235" s="783"/>
      <c r="AE3235" s="783"/>
      <c r="AF3235" s="783"/>
      <c r="AG3235" s="783"/>
      <c r="AH3235" s="783"/>
      <c r="AI3235" s="783"/>
      <c r="AJ3235" s="783"/>
      <c r="AK3235" s="783"/>
      <c r="AL3235" s="783"/>
      <c r="AM3235" s="783"/>
      <c r="AN3235" s="783"/>
      <c r="AO3235" s="783"/>
      <c r="AP3235" s="783"/>
      <c r="AQ3235" s="783"/>
      <c r="AR3235" s="783"/>
      <c r="AS3235" s="783"/>
      <c r="AT3235" s="783"/>
      <c r="AU3235" s="783"/>
      <c r="AV3235" s="783"/>
      <c r="AW3235" s="783"/>
      <c r="AX3235" s="783"/>
      <c r="AY3235" s="783"/>
      <c r="AZ3235" s="783"/>
      <c r="BA3235" s="783"/>
      <c r="BB3235" s="783"/>
      <c r="BC3235" s="783"/>
      <c r="BD3235" s="783"/>
      <c r="BE3235" s="783"/>
      <c r="BF3235" s="783"/>
      <c r="BG3235" s="783"/>
      <c r="BH3235" s="783"/>
      <c r="BI3235" s="783"/>
      <c r="BJ3235" s="783"/>
      <c r="BK3235" s="783"/>
      <c r="BL3235" s="783"/>
      <c r="BM3235" s="783"/>
      <c r="BN3235" s="783"/>
      <c r="BO3235" s="783"/>
      <c r="BP3235" s="783"/>
      <c r="BQ3235" s="783"/>
      <c r="BR3235" s="783"/>
      <c r="BS3235" s="783"/>
      <c r="BT3235" s="783"/>
      <c r="BU3235" s="783"/>
      <c r="BV3235" s="783"/>
      <c r="BW3235" s="783"/>
      <c r="BX3235" s="783"/>
      <c r="BY3235" s="783"/>
      <c r="BZ3235" s="783"/>
      <c r="CA3235" s="783"/>
      <c r="CB3235" s="783"/>
      <c r="CC3235" s="783"/>
      <c r="CD3235" s="783"/>
      <c r="CE3235" s="783"/>
      <c r="CF3235" s="783"/>
      <c r="CG3235" s="783"/>
      <c r="CH3235" s="783"/>
      <c r="CI3235" s="783"/>
      <c r="CJ3235" s="783"/>
      <c r="CK3235" s="783"/>
    </row>
    <row r="3236" spans="1:89" s="673" customFormat="1" ht="29.25" customHeight="1" x14ac:dyDescent="0.25">
      <c r="A3236" s="788"/>
      <c r="B3236" s="711" t="s">
        <v>230</v>
      </c>
      <c r="C3236" s="789">
        <v>1</v>
      </c>
      <c r="D3236" s="790" t="s">
        <v>60</v>
      </c>
      <c r="E3236" s="758">
        <v>1000000</v>
      </c>
      <c r="F3236" s="714">
        <v>0</v>
      </c>
      <c r="G3236" s="714">
        <v>0</v>
      </c>
      <c r="H3236" s="695">
        <v>0</v>
      </c>
      <c r="I3236" s="714">
        <v>0</v>
      </c>
      <c r="J3236" s="714">
        <f t="shared" si="326"/>
        <v>1000000</v>
      </c>
      <c r="K3236" s="695">
        <f t="shared" si="323"/>
        <v>1000000</v>
      </c>
      <c r="L3236" s="714">
        <v>0</v>
      </c>
      <c r="M3236" s="714">
        <v>0</v>
      </c>
      <c r="N3236" s="714">
        <v>0</v>
      </c>
      <c r="O3236" s="753">
        <f t="shared" si="324"/>
        <v>1000000</v>
      </c>
      <c r="P3236" s="754"/>
      <c r="Q3236" s="783"/>
      <c r="R3236" s="783"/>
      <c r="S3236" s="783"/>
      <c r="T3236" s="783"/>
      <c r="U3236" s="783"/>
      <c r="V3236" s="783"/>
      <c r="W3236" s="783"/>
      <c r="X3236" s="783"/>
      <c r="Y3236" s="783"/>
      <c r="Z3236" s="783"/>
      <c r="AA3236" s="783"/>
      <c r="AB3236" s="783"/>
      <c r="AC3236" s="783"/>
      <c r="AD3236" s="783"/>
      <c r="AE3236" s="783"/>
      <c r="AF3236" s="783"/>
      <c r="AG3236" s="783"/>
      <c r="AH3236" s="783"/>
      <c r="AI3236" s="783"/>
      <c r="AJ3236" s="783"/>
      <c r="AK3236" s="783"/>
      <c r="AL3236" s="783"/>
      <c r="AM3236" s="783"/>
      <c r="AN3236" s="783"/>
      <c r="AO3236" s="783"/>
      <c r="AP3236" s="783"/>
      <c r="AQ3236" s="783"/>
      <c r="AR3236" s="783"/>
      <c r="AS3236" s="783"/>
      <c r="AT3236" s="783"/>
      <c r="AU3236" s="783"/>
      <c r="AV3236" s="783"/>
      <c r="AW3236" s="783"/>
      <c r="AX3236" s="783"/>
      <c r="AY3236" s="783"/>
      <c r="AZ3236" s="783"/>
      <c r="BA3236" s="783"/>
      <c r="BB3236" s="783"/>
      <c r="BC3236" s="783"/>
      <c r="BD3236" s="783"/>
      <c r="BE3236" s="783"/>
      <c r="BF3236" s="783"/>
      <c r="BG3236" s="783"/>
      <c r="BH3236" s="783"/>
      <c r="BI3236" s="783"/>
      <c r="BJ3236" s="783"/>
      <c r="BK3236" s="783"/>
      <c r="BL3236" s="783"/>
      <c r="BM3236" s="783"/>
      <c r="BN3236" s="783"/>
      <c r="BO3236" s="783"/>
      <c r="BP3236" s="783"/>
      <c r="BQ3236" s="783"/>
      <c r="BR3236" s="783"/>
      <c r="BS3236" s="783"/>
      <c r="BT3236" s="783"/>
      <c r="BU3236" s="783"/>
      <c r="BV3236" s="783"/>
      <c r="BW3236" s="783"/>
      <c r="BX3236" s="783"/>
      <c r="BY3236" s="783"/>
      <c r="BZ3236" s="783"/>
      <c r="CA3236" s="783"/>
      <c r="CB3236" s="783"/>
      <c r="CC3236" s="783"/>
      <c r="CD3236" s="783"/>
      <c r="CE3236" s="783"/>
      <c r="CF3236" s="783"/>
      <c r="CG3236" s="783"/>
      <c r="CH3236" s="783"/>
      <c r="CI3236" s="783"/>
      <c r="CJ3236" s="783"/>
      <c r="CK3236" s="783"/>
    </row>
    <row r="3237" spans="1:89" s="673" customFormat="1" ht="29.25" customHeight="1" x14ac:dyDescent="0.25">
      <c r="A3237" s="788"/>
      <c r="B3237" s="711" t="s">
        <v>231</v>
      </c>
      <c r="C3237" s="789">
        <v>1</v>
      </c>
      <c r="D3237" s="790" t="s">
        <v>60</v>
      </c>
      <c r="E3237" s="758">
        <v>1000000</v>
      </c>
      <c r="F3237" s="714">
        <v>0</v>
      </c>
      <c r="G3237" s="714">
        <v>0</v>
      </c>
      <c r="H3237" s="695">
        <v>0</v>
      </c>
      <c r="I3237" s="714">
        <v>0</v>
      </c>
      <c r="J3237" s="714">
        <f t="shared" si="326"/>
        <v>1000000</v>
      </c>
      <c r="K3237" s="695">
        <f t="shared" si="323"/>
        <v>1000000</v>
      </c>
      <c r="L3237" s="714">
        <v>0</v>
      </c>
      <c r="M3237" s="714">
        <v>0</v>
      </c>
      <c r="N3237" s="714">
        <v>0</v>
      </c>
      <c r="O3237" s="753">
        <f t="shared" si="324"/>
        <v>1000000</v>
      </c>
      <c r="P3237" s="754"/>
      <c r="Q3237" s="783"/>
      <c r="R3237" s="783"/>
      <c r="S3237" s="783"/>
      <c r="T3237" s="783"/>
      <c r="U3237" s="783"/>
      <c r="V3237" s="783"/>
      <c r="W3237" s="783"/>
      <c r="X3237" s="783"/>
      <c r="Y3237" s="783"/>
      <c r="Z3237" s="783"/>
      <c r="AA3237" s="783"/>
      <c r="AB3237" s="783"/>
      <c r="AC3237" s="783"/>
      <c r="AD3237" s="783"/>
      <c r="AE3237" s="783"/>
      <c r="AF3237" s="783"/>
      <c r="AG3237" s="783"/>
      <c r="AH3237" s="783"/>
      <c r="AI3237" s="783"/>
      <c r="AJ3237" s="783"/>
      <c r="AK3237" s="783"/>
      <c r="AL3237" s="783"/>
      <c r="AM3237" s="783"/>
      <c r="AN3237" s="783"/>
      <c r="AO3237" s="783"/>
      <c r="AP3237" s="783"/>
      <c r="AQ3237" s="783"/>
      <c r="AR3237" s="783"/>
      <c r="AS3237" s="783"/>
      <c r="AT3237" s="783"/>
      <c r="AU3237" s="783"/>
      <c r="AV3237" s="783"/>
      <c r="AW3237" s="783"/>
      <c r="AX3237" s="783"/>
      <c r="AY3237" s="783"/>
      <c r="AZ3237" s="783"/>
      <c r="BA3237" s="783"/>
      <c r="BB3237" s="783"/>
      <c r="BC3237" s="783"/>
      <c r="BD3237" s="783"/>
      <c r="BE3237" s="783"/>
      <c r="BF3237" s="783"/>
      <c r="BG3237" s="783"/>
      <c r="BH3237" s="783"/>
      <c r="BI3237" s="783"/>
      <c r="BJ3237" s="783"/>
      <c r="BK3237" s="783"/>
      <c r="BL3237" s="783"/>
      <c r="BM3237" s="783"/>
      <c r="BN3237" s="783"/>
      <c r="BO3237" s="783"/>
      <c r="BP3237" s="783"/>
      <c r="BQ3237" s="783"/>
      <c r="BR3237" s="783"/>
      <c r="BS3237" s="783"/>
      <c r="BT3237" s="783"/>
      <c r="BU3237" s="783"/>
      <c r="BV3237" s="783"/>
      <c r="BW3237" s="783"/>
      <c r="BX3237" s="783"/>
      <c r="BY3237" s="783"/>
      <c r="BZ3237" s="783"/>
      <c r="CA3237" s="783"/>
      <c r="CB3237" s="783"/>
      <c r="CC3237" s="783"/>
      <c r="CD3237" s="783"/>
      <c r="CE3237" s="783"/>
      <c r="CF3237" s="783"/>
      <c r="CG3237" s="783"/>
      <c r="CH3237" s="783"/>
      <c r="CI3237" s="783"/>
      <c r="CJ3237" s="783"/>
      <c r="CK3237" s="783"/>
    </row>
    <row r="3238" spans="1:89" s="673" customFormat="1" ht="29.25" customHeight="1" x14ac:dyDescent="0.25">
      <c r="A3238" s="788"/>
      <c r="B3238" s="711" t="s">
        <v>1165</v>
      </c>
      <c r="C3238" s="789">
        <v>1</v>
      </c>
      <c r="D3238" s="790" t="s">
        <v>60</v>
      </c>
      <c r="E3238" s="758">
        <v>500000</v>
      </c>
      <c r="F3238" s="714">
        <v>0</v>
      </c>
      <c r="G3238" s="714">
        <v>0</v>
      </c>
      <c r="H3238" s="695">
        <v>0</v>
      </c>
      <c r="I3238" s="714">
        <v>0</v>
      </c>
      <c r="J3238" s="714">
        <f t="shared" si="326"/>
        <v>500000</v>
      </c>
      <c r="K3238" s="695">
        <f t="shared" si="323"/>
        <v>500000</v>
      </c>
      <c r="L3238" s="714">
        <v>0</v>
      </c>
      <c r="M3238" s="714">
        <v>0</v>
      </c>
      <c r="N3238" s="714">
        <v>0</v>
      </c>
      <c r="O3238" s="753">
        <f t="shared" si="324"/>
        <v>500000</v>
      </c>
      <c r="P3238" s="754"/>
      <c r="Q3238" s="783"/>
      <c r="R3238" s="783"/>
      <c r="S3238" s="783"/>
      <c r="T3238" s="783"/>
      <c r="U3238" s="783"/>
      <c r="V3238" s="783"/>
      <c r="W3238" s="783"/>
      <c r="X3238" s="783"/>
      <c r="Y3238" s="783"/>
      <c r="Z3238" s="783"/>
      <c r="AA3238" s="783"/>
      <c r="AB3238" s="783"/>
      <c r="AC3238" s="783"/>
      <c r="AD3238" s="783"/>
      <c r="AE3238" s="783"/>
      <c r="AF3238" s="783"/>
      <c r="AG3238" s="783"/>
      <c r="AH3238" s="783"/>
      <c r="AI3238" s="783"/>
      <c r="AJ3238" s="783"/>
      <c r="AK3238" s="783"/>
      <c r="AL3238" s="783"/>
      <c r="AM3238" s="783"/>
      <c r="AN3238" s="783"/>
      <c r="AO3238" s="783"/>
      <c r="AP3238" s="783"/>
      <c r="AQ3238" s="783"/>
      <c r="AR3238" s="783"/>
      <c r="AS3238" s="783"/>
      <c r="AT3238" s="783"/>
      <c r="AU3238" s="783"/>
      <c r="AV3238" s="783"/>
      <c r="AW3238" s="783"/>
      <c r="AX3238" s="783"/>
      <c r="AY3238" s="783"/>
      <c r="AZ3238" s="783"/>
      <c r="BA3238" s="783"/>
      <c r="BB3238" s="783"/>
      <c r="BC3238" s="783"/>
      <c r="BD3238" s="783"/>
      <c r="BE3238" s="783"/>
      <c r="BF3238" s="783"/>
      <c r="BG3238" s="783"/>
      <c r="BH3238" s="783"/>
      <c r="BI3238" s="783"/>
      <c r="BJ3238" s="783"/>
      <c r="BK3238" s="783"/>
      <c r="BL3238" s="783"/>
      <c r="BM3238" s="783"/>
      <c r="BN3238" s="783"/>
      <c r="BO3238" s="783"/>
      <c r="BP3238" s="783"/>
      <c r="BQ3238" s="783"/>
      <c r="BR3238" s="783"/>
      <c r="BS3238" s="783"/>
      <c r="BT3238" s="783"/>
      <c r="BU3238" s="783"/>
      <c r="BV3238" s="783"/>
      <c r="BW3238" s="783"/>
      <c r="BX3238" s="783"/>
      <c r="BY3238" s="783"/>
      <c r="BZ3238" s="783"/>
      <c r="CA3238" s="783"/>
      <c r="CB3238" s="783"/>
      <c r="CC3238" s="783"/>
      <c r="CD3238" s="783"/>
      <c r="CE3238" s="783"/>
      <c r="CF3238" s="783"/>
      <c r="CG3238" s="783"/>
      <c r="CH3238" s="783"/>
      <c r="CI3238" s="783"/>
      <c r="CJ3238" s="783"/>
      <c r="CK3238" s="783"/>
    </row>
    <row r="3239" spans="1:89" s="673" customFormat="1" ht="29.25" customHeight="1" x14ac:dyDescent="0.25">
      <c r="A3239" s="788"/>
      <c r="B3239" s="711" t="s">
        <v>1166</v>
      </c>
      <c r="C3239" s="789">
        <v>1</v>
      </c>
      <c r="D3239" s="790" t="s">
        <v>60</v>
      </c>
      <c r="E3239" s="758">
        <v>3500000</v>
      </c>
      <c r="F3239" s="714">
        <v>0</v>
      </c>
      <c r="G3239" s="714">
        <v>0</v>
      </c>
      <c r="H3239" s="695">
        <v>0</v>
      </c>
      <c r="I3239" s="714">
        <v>0</v>
      </c>
      <c r="J3239" s="714">
        <f t="shared" si="326"/>
        <v>3500000</v>
      </c>
      <c r="K3239" s="695">
        <f t="shared" si="323"/>
        <v>3500000</v>
      </c>
      <c r="L3239" s="714">
        <v>0</v>
      </c>
      <c r="M3239" s="714">
        <v>0</v>
      </c>
      <c r="N3239" s="714">
        <v>0</v>
      </c>
      <c r="O3239" s="753">
        <f t="shared" si="324"/>
        <v>3500000</v>
      </c>
      <c r="P3239" s="754"/>
      <c r="Q3239" s="783"/>
      <c r="R3239" s="783"/>
      <c r="S3239" s="783"/>
      <c r="T3239" s="783"/>
      <c r="U3239" s="783"/>
      <c r="V3239" s="783"/>
      <c r="W3239" s="783"/>
      <c r="X3239" s="783"/>
      <c r="Y3239" s="783"/>
      <c r="Z3239" s="783"/>
      <c r="AA3239" s="783"/>
      <c r="AB3239" s="783"/>
      <c r="AC3239" s="783"/>
      <c r="AD3239" s="783"/>
      <c r="AE3239" s="783"/>
      <c r="AF3239" s="783"/>
      <c r="AG3239" s="783"/>
      <c r="AH3239" s="783"/>
      <c r="AI3239" s="783"/>
      <c r="AJ3239" s="783"/>
      <c r="AK3239" s="783"/>
      <c r="AL3239" s="783"/>
      <c r="AM3239" s="783"/>
      <c r="AN3239" s="783"/>
      <c r="AO3239" s="783"/>
      <c r="AP3239" s="783"/>
      <c r="AQ3239" s="783"/>
      <c r="AR3239" s="783"/>
      <c r="AS3239" s="783"/>
      <c r="AT3239" s="783"/>
      <c r="AU3239" s="783"/>
      <c r="AV3239" s="783"/>
      <c r="AW3239" s="783"/>
      <c r="AX3239" s="783"/>
      <c r="AY3239" s="783"/>
      <c r="AZ3239" s="783"/>
      <c r="BA3239" s="783"/>
      <c r="BB3239" s="783"/>
      <c r="BC3239" s="783"/>
      <c r="BD3239" s="783"/>
      <c r="BE3239" s="783"/>
      <c r="BF3239" s="783"/>
      <c r="BG3239" s="783"/>
      <c r="BH3239" s="783"/>
      <c r="BI3239" s="783"/>
      <c r="BJ3239" s="783"/>
      <c r="BK3239" s="783"/>
      <c r="BL3239" s="783"/>
      <c r="BM3239" s="783"/>
      <c r="BN3239" s="783"/>
      <c r="BO3239" s="783"/>
      <c r="BP3239" s="783"/>
      <c r="BQ3239" s="783"/>
      <c r="BR3239" s="783"/>
      <c r="BS3239" s="783"/>
      <c r="BT3239" s="783"/>
      <c r="BU3239" s="783"/>
      <c r="BV3239" s="783"/>
      <c r="BW3239" s="783"/>
      <c r="BX3239" s="783"/>
      <c r="BY3239" s="783"/>
      <c r="BZ3239" s="783"/>
      <c r="CA3239" s="783"/>
      <c r="CB3239" s="783"/>
      <c r="CC3239" s="783"/>
      <c r="CD3239" s="783"/>
      <c r="CE3239" s="783"/>
      <c r="CF3239" s="783"/>
      <c r="CG3239" s="783"/>
      <c r="CH3239" s="783"/>
      <c r="CI3239" s="783"/>
      <c r="CJ3239" s="783"/>
      <c r="CK3239" s="783"/>
    </row>
    <row r="3240" spans="1:89" s="673" customFormat="1" ht="29.25" customHeight="1" x14ac:dyDescent="0.25">
      <c r="A3240" s="788"/>
      <c r="B3240" s="711" t="s">
        <v>2332</v>
      </c>
      <c r="C3240" s="789">
        <v>1</v>
      </c>
      <c r="D3240" s="790" t="s">
        <v>60</v>
      </c>
      <c r="E3240" s="758">
        <v>500000</v>
      </c>
      <c r="F3240" s="714">
        <v>0</v>
      </c>
      <c r="G3240" s="714">
        <v>0</v>
      </c>
      <c r="H3240" s="695">
        <v>0</v>
      </c>
      <c r="I3240" s="714">
        <v>0</v>
      </c>
      <c r="J3240" s="714">
        <f>E3240*C3240</f>
        <v>500000</v>
      </c>
      <c r="K3240" s="695">
        <f>J3240+I3240</f>
        <v>500000</v>
      </c>
      <c r="L3240" s="714">
        <v>0</v>
      </c>
      <c r="M3240" s="714">
        <v>0</v>
      </c>
      <c r="N3240" s="714">
        <v>0</v>
      </c>
      <c r="O3240" s="753">
        <f>N3240+K3240+H3240</f>
        <v>500000</v>
      </c>
      <c r="P3240" s="754"/>
      <c r="Q3240" s="783"/>
      <c r="R3240" s="783"/>
      <c r="S3240" s="783"/>
      <c r="T3240" s="783"/>
      <c r="U3240" s="783"/>
      <c r="V3240" s="783"/>
      <c r="W3240" s="783"/>
      <c r="X3240" s="783"/>
      <c r="Y3240" s="783"/>
      <c r="Z3240" s="783"/>
      <c r="AA3240" s="783"/>
      <c r="AB3240" s="783"/>
      <c r="AC3240" s="783"/>
      <c r="AD3240" s="783"/>
      <c r="AE3240" s="783"/>
      <c r="AF3240" s="783"/>
      <c r="AG3240" s="783"/>
      <c r="AH3240" s="783"/>
      <c r="AI3240" s="783"/>
      <c r="AJ3240" s="783"/>
      <c r="AK3240" s="783"/>
      <c r="AL3240" s="783"/>
      <c r="AM3240" s="783"/>
      <c r="AN3240" s="783"/>
      <c r="AO3240" s="783"/>
      <c r="AP3240" s="783"/>
      <c r="AQ3240" s="783"/>
      <c r="AR3240" s="783"/>
      <c r="AS3240" s="783"/>
      <c r="AT3240" s="783"/>
      <c r="AU3240" s="783"/>
      <c r="AV3240" s="783"/>
      <c r="AW3240" s="783"/>
      <c r="AX3240" s="783"/>
      <c r="AY3240" s="783"/>
      <c r="AZ3240" s="783"/>
      <c r="BA3240" s="783"/>
      <c r="BB3240" s="783"/>
      <c r="BC3240" s="783"/>
      <c r="BD3240" s="783"/>
      <c r="BE3240" s="783"/>
      <c r="BF3240" s="783"/>
      <c r="BG3240" s="783"/>
      <c r="BH3240" s="783"/>
      <c r="BI3240" s="783"/>
      <c r="BJ3240" s="783"/>
      <c r="BK3240" s="783"/>
      <c r="BL3240" s="783"/>
      <c r="BM3240" s="783"/>
      <c r="BN3240" s="783"/>
      <c r="BO3240" s="783"/>
      <c r="BP3240" s="783"/>
      <c r="BQ3240" s="783"/>
      <c r="BR3240" s="783"/>
      <c r="BS3240" s="783"/>
      <c r="BT3240" s="783"/>
      <c r="BU3240" s="783"/>
      <c r="BV3240" s="783"/>
      <c r="BW3240" s="783"/>
      <c r="BX3240" s="783"/>
      <c r="BY3240" s="783"/>
      <c r="BZ3240" s="783"/>
      <c r="CA3240" s="783"/>
      <c r="CB3240" s="783"/>
      <c r="CC3240" s="783"/>
      <c r="CD3240" s="783"/>
      <c r="CE3240" s="783"/>
      <c r="CF3240" s="783"/>
      <c r="CG3240" s="783"/>
      <c r="CH3240" s="783"/>
      <c r="CI3240" s="783"/>
      <c r="CJ3240" s="783"/>
      <c r="CK3240" s="783"/>
    </row>
    <row r="3241" spans="1:89" s="673" customFormat="1" ht="29.25" customHeight="1" x14ac:dyDescent="0.25">
      <c r="A3241" s="788"/>
      <c r="B3241" s="791" t="s">
        <v>1167</v>
      </c>
      <c r="C3241" s="789">
        <v>1</v>
      </c>
      <c r="D3241" s="790" t="s">
        <v>60</v>
      </c>
      <c r="E3241" s="758">
        <v>2000000</v>
      </c>
      <c r="F3241" s="768">
        <v>0</v>
      </c>
      <c r="G3241" s="768">
        <v>0</v>
      </c>
      <c r="H3241" s="792">
        <v>0</v>
      </c>
      <c r="I3241" s="768">
        <v>0</v>
      </c>
      <c r="J3241" s="768">
        <f t="shared" si="326"/>
        <v>2000000</v>
      </c>
      <c r="K3241" s="768">
        <f t="shared" si="323"/>
        <v>2000000</v>
      </c>
      <c r="L3241" s="768">
        <v>0</v>
      </c>
      <c r="M3241" s="768">
        <v>0</v>
      </c>
      <c r="N3241" s="768">
        <v>0</v>
      </c>
      <c r="O3241" s="769">
        <f t="shared" si="324"/>
        <v>2000000</v>
      </c>
      <c r="P3241" s="770"/>
      <c r="Q3241" s="783"/>
      <c r="R3241" s="783"/>
      <c r="S3241" s="783"/>
      <c r="T3241" s="783"/>
      <c r="U3241" s="783"/>
      <c r="V3241" s="783"/>
      <c r="W3241" s="783"/>
      <c r="X3241" s="783"/>
      <c r="Y3241" s="783"/>
      <c r="Z3241" s="783"/>
      <c r="AA3241" s="783"/>
      <c r="AB3241" s="783"/>
      <c r="AC3241" s="783"/>
      <c r="AD3241" s="783"/>
      <c r="AE3241" s="783"/>
      <c r="AF3241" s="783"/>
      <c r="AG3241" s="783"/>
      <c r="AH3241" s="783"/>
      <c r="AI3241" s="783"/>
      <c r="AJ3241" s="783"/>
      <c r="AK3241" s="783"/>
      <c r="AL3241" s="783"/>
      <c r="AM3241" s="783"/>
      <c r="AN3241" s="783"/>
      <c r="AO3241" s="783"/>
      <c r="AP3241" s="783"/>
      <c r="AQ3241" s="783"/>
      <c r="AR3241" s="783"/>
      <c r="AS3241" s="783"/>
      <c r="AT3241" s="783"/>
      <c r="AU3241" s="783"/>
      <c r="AV3241" s="783"/>
      <c r="AW3241" s="783"/>
      <c r="AX3241" s="783"/>
      <c r="AY3241" s="783"/>
      <c r="AZ3241" s="783"/>
      <c r="BA3241" s="783"/>
      <c r="BB3241" s="783"/>
      <c r="BC3241" s="783"/>
      <c r="BD3241" s="783"/>
      <c r="BE3241" s="783"/>
      <c r="BF3241" s="783"/>
      <c r="BG3241" s="783"/>
      <c r="BH3241" s="783"/>
      <c r="BI3241" s="783"/>
      <c r="BJ3241" s="783"/>
      <c r="BK3241" s="783"/>
      <c r="BL3241" s="783"/>
      <c r="BM3241" s="783"/>
      <c r="BN3241" s="783"/>
      <c r="BO3241" s="783"/>
      <c r="BP3241" s="783"/>
      <c r="BQ3241" s="783"/>
      <c r="BR3241" s="783"/>
      <c r="BS3241" s="783"/>
      <c r="BT3241" s="783"/>
      <c r="BU3241" s="783"/>
      <c r="BV3241" s="783"/>
      <c r="BW3241" s="783"/>
      <c r="BX3241" s="783"/>
      <c r="BY3241" s="783"/>
      <c r="BZ3241" s="783"/>
      <c r="CA3241" s="783"/>
      <c r="CB3241" s="783"/>
      <c r="CC3241" s="783"/>
      <c r="CD3241" s="783"/>
      <c r="CE3241" s="783"/>
      <c r="CF3241" s="783"/>
      <c r="CG3241" s="783"/>
      <c r="CH3241" s="783"/>
      <c r="CI3241" s="783"/>
      <c r="CJ3241" s="783"/>
      <c r="CK3241" s="783"/>
    </row>
    <row r="3242" spans="1:89" s="673" customFormat="1" ht="29.25" customHeight="1" x14ac:dyDescent="0.2">
      <c r="A3242" s="788"/>
      <c r="B3242" s="793" t="s">
        <v>233</v>
      </c>
      <c r="C3242" s="789">
        <v>1</v>
      </c>
      <c r="D3242" s="790" t="s">
        <v>60</v>
      </c>
      <c r="E3242" s="758">
        <v>1000000</v>
      </c>
      <c r="F3242" s="768">
        <v>0</v>
      </c>
      <c r="G3242" s="768">
        <v>0</v>
      </c>
      <c r="H3242" s="792">
        <v>0</v>
      </c>
      <c r="I3242" s="768">
        <v>0</v>
      </c>
      <c r="J3242" s="768">
        <f t="shared" si="326"/>
        <v>1000000</v>
      </c>
      <c r="K3242" s="768">
        <f t="shared" si="323"/>
        <v>1000000</v>
      </c>
      <c r="L3242" s="768">
        <v>0</v>
      </c>
      <c r="M3242" s="768">
        <v>0</v>
      </c>
      <c r="N3242" s="768">
        <v>0</v>
      </c>
      <c r="O3242" s="769">
        <f t="shared" si="324"/>
        <v>1000000</v>
      </c>
      <c r="P3242" s="770"/>
      <c r="Q3242" s="783"/>
      <c r="R3242" s="783"/>
      <c r="S3242" s="783"/>
      <c r="T3242" s="783"/>
      <c r="U3242" s="783"/>
      <c r="V3242" s="783"/>
      <c r="W3242" s="783"/>
      <c r="X3242" s="783"/>
      <c r="Y3242" s="783"/>
      <c r="Z3242" s="783"/>
      <c r="AA3242" s="783"/>
      <c r="AB3242" s="783"/>
      <c r="AC3242" s="783"/>
      <c r="AD3242" s="783"/>
      <c r="AE3242" s="783"/>
      <c r="AF3242" s="783"/>
      <c r="AG3242" s="783"/>
      <c r="AH3242" s="783"/>
      <c r="AI3242" s="783"/>
      <c r="AJ3242" s="783"/>
      <c r="AK3242" s="783"/>
      <c r="AL3242" s="783"/>
      <c r="AM3242" s="783"/>
      <c r="AN3242" s="783"/>
      <c r="AO3242" s="783"/>
      <c r="AP3242" s="783"/>
      <c r="AQ3242" s="783"/>
      <c r="AR3242" s="783"/>
      <c r="AS3242" s="783"/>
      <c r="AT3242" s="783"/>
      <c r="AU3242" s="783"/>
      <c r="AV3242" s="783"/>
      <c r="AW3242" s="783"/>
      <c r="AX3242" s="783"/>
      <c r="AY3242" s="783"/>
      <c r="AZ3242" s="783"/>
      <c r="BA3242" s="783"/>
      <c r="BB3242" s="783"/>
      <c r="BC3242" s="783"/>
      <c r="BD3242" s="783"/>
      <c r="BE3242" s="783"/>
      <c r="BF3242" s="783"/>
      <c r="BG3242" s="783"/>
      <c r="BH3242" s="783"/>
      <c r="BI3242" s="783"/>
      <c r="BJ3242" s="783"/>
      <c r="BK3242" s="783"/>
      <c r="BL3242" s="783"/>
      <c r="BM3242" s="783"/>
      <c r="BN3242" s="783"/>
      <c r="BO3242" s="783"/>
      <c r="BP3242" s="783"/>
      <c r="BQ3242" s="783"/>
      <c r="BR3242" s="783"/>
      <c r="BS3242" s="783"/>
      <c r="BT3242" s="783"/>
      <c r="BU3242" s="783"/>
      <c r="BV3242" s="783"/>
      <c r="BW3242" s="783"/>
      <c r="BX3242" s="783"/>
      <c r="BY3242" s="783"/>
      <c r="BZ3242" s="783"/>
      <c r="CA3242" s="783"/>
      <c r="CB3242" s="783"/>
      <c r="CC3242" s="783"/>
      <c r="CD3242" s="783"/>
      <c r="CE3242" s="783"/>
      <c r="CF3242" s="783"/>
      <c r="CG3242" s="783"/>
      <c r="CH3242" s="783"/>
      <c r="CI3242" s="783"/>
      <c r="CJ3242" s="783"/>
      <c r="CK3242" s="783"/>
    </row>
    <row r="3243" spans="1:89" s="673" customFormat="1" ht="29.25" customHeight="1" x14ac:dyDescent="0.25">
      <c r="A3243" s="788"/>
      <c r="B3243" s="724" t="s">
        <v>232</v>
      </c>
      <c r="C3243" s="789">
        <v>1</v>
      </c>
      <c r="D3243" s="790" t="s">
        <v>60</v>
      </c>
      <c r="E3243" s="758">
        <v>3500000</v>
      </c>
      <c r="F3243" s="714">
        <v>0</v>
      </c>
      <c r="G3243" s="714">
        <v>0</v>
      </c>
      <c r="H3243" s="695">
        <v>0</v>
      </c>
      <c r="I3243" s="714">
        <v>0</v>
      </c>
      <c r="J3243" s="714">
        <f t="shared" si="326"/>
        <v>3500000</v>
      </c>
      <c r="K3243" s="695">
        <f t="shared" si="323"/>
        <v>3500000</v>
      </c>
      <c r="L3243" s="714">
        <v>0</v>
      </c>
      <c r="M3243" s="714">
        <v>0</v>
      </c>
      <c r="N3243" s="714">
        <v>0</v>
      </c>
      <c r="O3243" s="753">
        <f t="shared" si="324"/>
        <v>3500000</v>
      </c>
      <c r="P3243" s="754"/>
      <c r="Q3243" s="783"/>
      <c r="R3243" s="783"/>
      <c r="S3243" s="783"/>
      <c r="T3243" s="783"/>
      <c r="U3243" s="783"/>
      <c r="V3243" s="783"/>
      <c r="W3243" s="783"/>
      <c r="X3243" s="783"/>
      <c r="Y3243" s="783"/>
      <c r="Z3243" s="783"/>
      <c r="AA3243" s="783"/>
      <c r="AB3243" s="783"/>
      <c r="AC3243" s="783"/>
      <c r="AD3243" s="783"/>
      <c r="AE3243" s="783"/>
      <c r="AF3243" s="783"/>
      <c r="AG3243" s="783"/>
      <c r="AH3243" s="783"/>
      <c r="AI3243" s="783"/>
      <c r="AJ3243" s="783"/>
      <c r="AK3243" s="783"/>
      <c r="AL3243" s="783"/>
      <c r="AM3243" s="783"/>
      <c r="AN3243" s="783"/>
      <c r="AO3243" s="783"/>
      <c r="AP3243" s="783"/>
      <c r="AQ3243" s="783"/>
      <c r="AR3243" s="783"/>
      <c r="AS3243" s="783"/>
      <c r="AT3243" s="783"/>
      <c r="AU3243" s="783"/>
      <c r="AV3243" s="783"/>
      <c r="AW3243" s="783"/>
      <c r="AX3243" s="783"/>
      <c r="AY3243" s="783"/>
      <c r="AZ3243" s="783"/>
      <c r="BA3243" s="783"/>
      <c r="BB3243" s="783"/>
      <c r="BC3243" s="783"/>
      <c r="BD3243" s="783"/>
      <c r="BE3243" s="783"/>
      <c r="BF3243" s="783"/>
      <c r="BG3243" s="783"/>
      <c r="BH3243" s="783"/>
      <c r="BI3243" s="783"/>
      <c r="BJ3243" s="783"/>
      <c r="BK3243" s="783"/>
      <c r="BL3243" s="783"/>
      <c r="BM3243" s="783"/>
      <c r="BN3243" s="783"/>
      <c r="BO3243" s="783"/>
      <c r="BP3243" s="783"/>
      <c r="BQ3243" s="783"/>
      <c r="BR3243" s="783"/>
      <c r="BS3243" s="783"/>
      <c r="BT3243" s="783"/>
      <c r="BU3243" s="783"/>
      <c r="BV3243" s="783"/>
      <c r="BW3243" s="783"/>
      <c r="BX3243" s="783"/>
      <c r="BY3243" s="783"/>
      <c r="BZ3243" s="783"/>
      <c r="CA3243" s="783"/>
      <c r="CB3243" s="783"/>
      <c r="CC3243" s="783"/>
      <c r="CD3243" s="783"/>
      <c r="CE3243" s="783"/>
      <c r="CF3243" s="783"/>
      <c r="CG3243" s="783"/>
      <c r="CH3243" s="783"/>
      <c r="CI3243" s="783"/>
      <c r="CJ3243" s="783"/>
      <c r="CK3243" s="783"/>
    </row>
    <row r="3244" spans="1:89" s="673" customFormat="1" ht="29.25" customHeight="1" x14ac:dyDescent="0.25">
      <c r="A3244" s="788"/>
      <c r="B3244" s="724" t="s">
        <v>1168</v>
      </c>
      <c r="C3244" s="789">
        <v>1</v>
      </c>
      <c r="D3244" s="790" t="s">
        <v>60</v>
      </c>
      <c r="E3244" s="758">
        <v>2000000</v>
      </c>
      <c r="F3244" s="714">
        <v>0</v>
      </c>
      <c r="G3244" s="714">
        <v>0</v>
      </c>
      <c r="H3244" s="695">
        <v>0</v>
      </c>
      <c r="I3244" s="714">
        <v>0</v>
      </c>
      <c r="J3244" s="714">
        <f t="shared" si="326"/>
        <v>2000000</v>
      </c>
      <c r="K3244" s="695">
        <f t="shared" si="323"/>
        <v>2000000</v>
      </c>
      <c r="L3244" s="714">
        <v>0</v>
      </c>
      <c r="M3244" s="714">
        <v>0</v>
      </c>
      <c r="N3244" s="714">
        <v>0</v>
      </c>
      <c r="O3244" s="753">
        <f t="shared" si="324"/>
        <v>2000000</v>
      </c>
      <c r="P3244" s="754"/>
      <c r="Q3244" s="783"/>
      <c r="R3244" s="783"/>
      <c r="S3244" s="783"/>
      <c r="T3244" s="783"/>
      <c r="U3244" s="783"/>
      <c r="V3244" s="783"/>
      <c r="W3244" s="783"/>
      <c r="X3244" s="783"/>
      <c r="Y3244" s="783"/>
      <c r="Z3244" s="783"/>
      <c r="AA3244" s="783"/>
      <c r="AB3244" s="783"/>
      <c r="AC3244" s="783"/>
      <c r="AD3244" s="783"/>
      <c r="AE3244" s="783"/>
      <c r="AF3244" s="783"/>
      <c r="AG3244" s="783"/>
      <c r="AH3244" s="783"/>
      <c r="AI3244" s="783"/>
      <c r="AJ3244" s="783"/>
      <c r="AK3244" s="783"/>
      <c r="AL3244" s="783"/>
      <c r="AM3244" s="783"/>
      <c r="AN3244" s="783"/>
      <c r="AO3244" s="783"/>
      <c r="AP3244" s="783"/>
      <c r="AQ3244" s="783"/>
      <c r="AR3244" s="783"/>
      <c r="AS3244" s="783"/>
      <c r="AT3244" s="783"/>
      <c r="AU3244" s="783"/>
      <c r="AV3244" s="783"/>
      <c r="AW3244" s="783"/>
      <c r="AX3244" s="783"/>
      <c r="AY3244" s="783"/>
      <c r="AZ3244" s="783"/>
      <c r="BA3244" s="783"/>
      <c r="BB3244" s="783"/>
      <c r="BC3244" s="783"/>
      <c r="BD3244" s="783"/>
      <c r="BE3244" s="783"/>
      <c r="BF3244" s="783"/>
      <c r="BG3244" s="783"/>
      <c r="BH3244" s="783"/>
      <c r="BI3244" s="783"/>
      <c r="BJ3244" s="783"/>
      <c r="BK3244" s="783"/>
      <c r="BL3244" s="783"/>
      <c r="BM3244" s="783"/>
      <c r="BN3244" s="783"/>
      <c r="BO3244" s="783"/>
      <c r="BP3244" s="783"/>
      <c r="BQ3244" s="783"/>
      <c r="BR3244" s="783"/>
      <c r="BS3244" s="783"/>
      <c r="BT3244" s="783"/>
      <c r="BU3244" s="783"/>
      <c r="BV3244" s="783"/>
      <c r="BW3244" s="783"/>
      <c r="BX3244" s="783"/>
      <c r="BY3244" s="783"/>
      <c r="BZ3244" s="783"/>
      <c r="CA3244" s="783"/>
      <c r="CB3244" s="783"/>
      <c r="CC3244" s="783"/>
      <c r="CD3244" s="783"/>
      <c r="CE3244" s="783"/>
      <c r="CF3244" s="783"/>
      <c r="CG3244" s="783"/>
      <c r="CH3244" s="783"/>
      <c r="CI3244" s="783"/>
      <c r="CJ3244" s="783"/>
      <c r="CK3244" s="783"/>
    </row>
    <row r="3245" spans="1:89" s="673" customFormat="1" ht="29.25" customHeight="1" x14ac:dyDescent="0.25">
      <c r="A3245" s="788"/>
      <c r="B3245" s="724" t="s">
        <v>1169</v>
      </c>
      <c r="C3245" s="789">
        <v>1</v>
      </c>
      <c r="D3245" s="790" t="s">
        <v>60</v>
      </c>
      <c r="E3245" s="758">
        <f>2000000</f>
        <v>2000000</v>
      </c>
      <c r="F3245" s="714">
        <v>0</v>
      </c>
      <c r="G3245" s="714">
        <v>0</v>
      </c>
      <c r="H3245" s="695">
        <v>0</v>
      </c>
      <c r="I3245" s="714">
        <v>0</v>
      </c>
      <c r="J3245" s="714">
        <f t="shared" si="326"/>
        <v>2000000</v>
      </c>
      <c r="K3245" s="695">
        <f t="shared" si="323"/>
        <v>2000000</v>
      </c>
      <c r="L3245" s="714">
        <v>0</v>
      </c>
      <c r="M3245" s="714">
        <v>0</v>
      </c>
      <c r="N3245" s="714">
        <v>0</v>
      </c>
      <c r="O3245" s="753">
        <f t="shared" si="324"/>
        <v>2000000</v>
      </c>
      <c r="P3245" s="754"/>
      <c r="Q3245" s="783"/>
      <c r="R3245" s="783"/>
      <c r="S3245" s="783"/>
      <c r="T3245" s="783"/>
      <c r="U3245" s="783"/>
      <c r="V3245" s="783"/>
      <c r="W3245" s="783"/>
      <c r="X3245" s="783"/>
      <c r="Y3245" s="783"/>
      <c r="Z3245" s="783"/>
      <c r="AA3245" s="783"/>
      <c r="AB3245" s="783"/>
      <c r="AC3245" s="783"/>
      <c r="AD3245" s="783"/>
      <c r="AE3245" s="783"/>
      <c r="AF3245" s="783"/>
      <c r="AG3245" s="783"/>
      <c r="AH3245" s="783"/>
      <c r="AI3245" s="783"/>
      <c r="AJ3245" s="783"/>
      <c r="AK3245" s="783"/>
      <c r="AL3245" s="783"/>
      <c r="AM3245" s="783"/>
      <c r="AN3245" s="783"/>
      <c r="AO3245" s="783"/>
      <c r="AP3245" s="783"/>
      <c r="AQ3245" s="783"/>
      <c r="AR3245" s="783"/>
      <c r="AS3245" s="783"/>
      <c r="AT3245" s="783"/>
      <c r="AU3245" s="783"/>
      <c r="AV3245" s="783"/>
      <c r="AW3245" s="783"/>
      <c r="AX3245" s="783"/>
      <c r="AY3245" s="783"/>
      <c r="AZ3245" s="783"/>
      <c r="BA3245" s="783"/>
      <c r="BB3245" s="783"/>
      <c r="BC3245" s="783"/>
      <c r="BD3245" s="783"/>
      <c r="BE3245" s="783"/>
      <c r="BF3245" s="783"/>
      <c r="BG3245" s="783"/>
      <c r="BH3245" s="783"/>
      <c r="BI3245" s="783"/>
      <c r="BJ3245" s="783"/>
      <c r="BK3245" s="783"/>
      <c r="BL3245" s="783"/>
      <c r="BM3245" s="783"/>
      <c r="BN3245" s="783"/>
      <c r="BO3245" s="783"/>
      <c r="BP3245" s="783"/>
      <c r="BQ3245" s="783"/>
      <c r="BR3245" s="783"/>
      <c r="BS3245" s="783"/>
      <c r="BT3245" s="783"/>
      <c r="BU3245" s="783"/>
      <c r="BV3245" s="783"/>
      <c r="BW3245" s="783"/>
      <c r="BX3245" s="783"/>
      <c r="BY3245" s="783"/>
      <c r="BZ3245" s="783"/>
      <c r="CA3245" s="783"/>
      <c r="CB3245" s="783"/>
      <c r="CC3245" s="783"/>
      <c r="CD3245" s="783"/>
      <c r="CE3245" s="783"/>
      <c r="CF3245" s="783"/>
      <c r="CG3245" s="783"/>
      <c r="CH3245" s="783"/>
      <c r="CI3245" s="783"/>
      <c r="CJ3245" s="783"/>
      <c r="CK3245" s="783"/>
    </row>
    <row r="3246" spans="1:89" s="673" customFormat="1" ht="29.25" customHeight="1" x14ac:dyDescent="0.25">
      <c r="A3246" s="788"/>
      <c r="B3246" s="724" t="s">
        <v>1170</v>
      </c>
      <c r="C3246" s="789">
        <v>1</v>
      </c>
      <c r="D3246" s="790" t="s">
        <v>60</v>
      </c>
      <c r="E3246" s="758">
        <v>100000</v>
      </c>
      <c r="F3246" s="714">
        <v>0</v>
      </c>
      <c r="G3246" s="714">
        <v>0</v>
      </c>
      <c r="H3246" s="695">
        <v>0</v>
      </c>
      <c r="I3246" s="714">
        <v>0</v>
      </c>
      <c r="J3246" s="714">
        <f t="shared" si="326"/>
        <v>100000</v>
      </c>
      <c r="K3246" s="695">
        <f t="shared" si="323"/>
        <v>100000</v>
      </c>
      <c r="L3246" s="714">
        <v>0</v>
      </c>
      <c r="M3246" s="714">
        <v>0</v>
      </c>
      <c r="N3246" s="714">
        <v>0</v>
      </c>
      <c r="O3246" s="753">
        <f t="shared" si="324"/>
        <v>100000</v>
      </c>
      <c r="P3246" s="754"/>
      <c r="Q3246" s="783"/>
      <c r="R3246" s="783"/>
      <c r="S3246" s="783"/>
      <c r="T3246" s="783"/>
      <c r="U3246" s="783"/>
      <c r="V3246" s="783"/>
      <c r="W3246" s="783"/>
      <c r="X3246" s="783"/>
      <c r="Y3246" s="783"/>
      <c r="Z3246" s="783"/>
      <c r="AA3246" s="783"/>
      <c r="AB3246" s="783"/>
      <c r="AC3246" s="783"/>
      <c r="AD3246" s="783"/>
      <c r="AE3246" s="783"/>
      <c r="AF3246" s="783"/>
      <c r="AG3246" s="783"/>
      <c r="AH3246" s="783"/>
      <c r="AI3246" s="783"/>
      <c r="AJ3246" s="783"/>
      <c r="AK3246" s="783"/>
      <c r="AL3246" s="783"/>
      <c r="AM3246" s="783"/>
      <c r="AN3246" s="783"/>
      <c r="AO3246" s="783"/>
      <c r="AP3246" s="783"/>
      <c r="AQ3246" s="783"/>
      <c r="AR3246" s="783"/>
      <c r="AS3246" s="783"/>
      <c r="AT3246" s="783"/>
      <c r="AU3246" s="783"/>
      <c r="AV3246" s="783"/>
      <c r="AW3246" s="783"/>
      <c r="AX3246" s="783"/>
      <c r="AY3246" s="783"/>
      <c r="AZ3246" s="783"/>
      <c r="BA3246" s="783"/>
      <c r="BB3246" s="783"/>
      <c r="BC3246" s="783"/>
      <c r="BD3246" s="783"/>
      <c r="BE3246" s="783"/>
      <c r="BF3246" s="783"/>
      <c r="BG3246" s="783"/>
      <c r="BH3246" s="783"/>
      <c r="BI3246" s="783"/>
      <c r="BJ3246" s="783"/>
      <c r="BK3246" s="783"/>
      <c r="BL3246" s="783"/>
      <c r="BM3246" s="783"/>
      <c r="BN3246" s="783"/>
      <c r="BO3246" s="783"/>
      <c r="BP3246" s="783"/>
      <c r="BQ3246" s="783"/>
      <c r="BR3246" s="783"/>
      <c r="BS3246" s="783"/>
      <c r="BT3246" s="783"/>
      <c r="BU3246" s="783"/>
      <c r="BV3246" s="783"/>
      <c r="BW3246" s="783"/>
      <c r="BX3246" s="783"/>
      <c r="BY3246" s="783"/>
      <c r="BZ3246" s="783"/>
      <c r="CA3246" s="783"/>
      <c r="CB3246" s="783"/>
      <c r="CC3246" s="783"/>
      <c r="CD3246" s="783"/>
      <c r="CE3246" s="783"/>
      <c r="CF3246" s="783"/>
      <c r="CG3246" s="783"/>
      <c r="CH3246" s="783"/>
      <c r="CI3246" s="783"/>
      <c r="CJ3246" s="783"/>
      <c r="CK3246" s="783"/>
    </row>
    <row r="3247" spans="1:89" s="673" customFormat="1" ht="29.25" customHeight="1" x14ac:dyDescent="0.25">
      <c r="A3247" s="788"/>
      <c r="B3247" s="724" t="s">
        <v>1171</v>
      </c>
      <c r="C3247" s="789">
        <v>1</v>
      </c>
      <c r="D3247" s="790" t="s">
        <v>60</v>
      </c>
      <c r="E3247" s="758">
        <v>200000</v>
      </c>
      <c r="F3247" s="714">
        <v>0</v>
      </c>
      <c r="G3247" s="714">
        <v>0</v>
      </c>
      <c r="H3247" s="695">
        <v>0</v>
      </c>
      <c r="I3247" s="714">
        <v>0</v>
      </c>
      <c r="J3247" s="714">
        <f t="shared" si="326"/>
        <v>200000</v>
      </c>
      <c r="K3247" s="695">
        <f t="shared" si="323"/>
        <v>200000</v>
      </c>
      <c r="L3247" s="714">
        <v>0</v>
      </c>
      <c r="M3247" s="714">
        <v>0</v>
      </c>
      <c r="N3247" s="714">
        <v>0</v>
      </c>
      <c r="O3247" s="753">
        <f t="shared" si="324"/>
        <v>200000</v>
      </c>
      <c r="P3247" s="754"/>
      <c r="Q3247" s="783"/>
      <c r="R3247" s="783"/>
      <c r="S3247" s="783"/>
      <c r="T3247" s="783"/>
      <c r="U3247" s="783"/>
      <c r="V3247" s="783"/>
      <c r="W3247" s="783"/>
      <c r="X3247" s="783"/>
      <c r="Y3247" s="783"/>
      <c r="Z3247" s="783"/>
      <c r="AA3247" s="783"/>
      <c r="AB3247" s="783"/>
      <c r="AC3247" s="783"/>
      <c r="AD3247" s="783"/>
      <c r="AE3247" s="783"/>
      <c r="AF3247" s="783"/>
      <c r="AG3247" s="783"/>
      <c r="AH3247" s="783"/>
      <c r="AI3247" s="783"/>
      <c r="AJ3247" s="783"/>
      <c r="AK3247" s="783"/>
      <c r="AL3247" s="783"/>
      <c r="AM3247" s="783"/>
      <c r="AN3247" s="783"/>
      <c r="AO3247" s="783"/>
      <c r="AP3247" s="783"/>
      <c r="AQ3247" s="783"/>
      <c r="AR3247" s="783"/>
      <c r="AS3247" s="783"/>
      <c r="AT3247" s="783"/>
      <c r="AU3247" s="783"/>
      <c r="AV3247" s="783"/>
      <c r="AW3247" s="783"/>
      <c r="AX3247" s="783"/>
      <c r="AY3247" s="783"/>
      <c r="AZ3247" s="783"/>
      <c r="BA3247" s="783"/>
      <c r="BB3247" s="783"/>
      <c r="BC3247" s="783"/>
      <c r="BD3247" s="783"/>
      <c r="BE3247" s="783"/>
      <c r="BF3247" s="783"/>
      <c r="BG3247" s="783"/>
      <c r="BH3247" s="783"/>
      <c r="BI3247" s="783"/>
      <c r="BJ3247" s="783"/>
      <c r="BK3247" s="783"/>
      <c r="BL3247" s="783"/>
      <c r="BM3247" s="783"/>
      <c r="BN3247" s="783"/>
      <c r="BO3247" s="783"/>
      <c r="BP3247" s="783"/>
      <c r="BQ3247" s="783"/>
      <c r="BR3247" s="783"/>
      <c r="BS3247" s="783"/>
      <c r="BT3247" s="783"/>
      <c r="BU3247" s="783"/>
      <c r="BV3247" s="783"/>
      <c r="BW3247" s="783"/>
      <c r="BX3247" s="783"/>
      <c r="BY3247" s="783"/>
      <c r="BZ3247" s="783"/>
      <c r="CA3247" s="783"/>
      <c r="CB3247" s="783"/>
      <c r="CC3247" s="783"/>
      <c r="CD3247" s="783"/>
      <c r="CE3247" s="783"/>
      <c r="CF3247" s="783"/>
      <c r="CG3247" s="783"/>
      <c r="CH3247" s="783"/>
      <c r="CI3247" s="783"/>
      <c r="CJ3247" s="783"/>
      <c r="CK3247" s="783"/>
    </row>
    <row r="3248" spans="1:89" s="673" customFormat="1" ht="29.25" customHeight="1" x14ac:dyDescent="0.25">
      <c r="A3248" s="788"/>
      <c r="B3248" s="724" t="s">
        <v>1172</v>
      </c>
      <c r="C3248" s="789">
        <v>1</v>
      </c>
      <c r="D3248" s="790" t="s">
        <v>60</v>
      </c>
      <c r="E3248" s="758">
        <v>200000</v>
      </c>
      <c r="F3248" s="714">
        <v>0</v>
      </c>
      <c r="G3248" s="714">
        <v>0</v>
      </c>
      <c r="H3248" s="695">
        <v>0</v>
      </c>
      <c r="I3248" s="714">
        <v>0</v>
      </c>
      <c r="J3248" s="714">
        <f t="shared" si="326"/>
        <v>200000</v>
      </c>
      <c r="K3248" s="695">
        <f t="shared" si="323"/>
        <v>200000</v>
      </c>
      <c r="L3248" s="714">
        <v>0</v>
      </c>
      <c r="M3248" s="714">
        <v>0</v>
      </c>
      <c r="N3248" s="714">
        <v>0</v>
      </c>
      <c r="O3248" s="753">
        <f t="shared" si="324"/>
        <v>200000</v>
      </c>
      <c r="P3248" s="754"/>
      <c r="Q3248" s="783"/>
      <c r="R3248" s="783"/>
      <c r="S3248" s="783"/>
      <c r="T3248" s="783"/>
      <c r="U3248" s="783"/>
      <c r="V3248" s="783"/>
      <c r="W3248" s="783"/>
      <c r="X3248" s="783"/>
      <c r="Y3248" s="783"/>
      <c r="Z3248" s="783"/>
      <c r="AA3248" s="783"/>
      <c r="AB3248" s="783"/>
      <c r="AC3248" s="783"/>
      <c r="AD3248" s="783"/>
      <c r="AE3248" s="783"/>
      <c r="AF3248" s="783"/>
      <c r="AG3248" s="783"/>
      <c r="AH3248" s="783"/>
      <c r="AI3248" s="783"/>
      <c r="AJ3248" s="783"/>
      <c r="AK3248" s="783"/>
      <c r="AL3248" s="783"/>
      <c r="AM3248" s="783"/>
      <c r="AN3248" s="783"/>
      <c r="AO3248" s="783"/>
      <c r="AP3248" s="783"/>
      <c r="AQ3248" s="783"/>
      <c r="AR3248" s="783"/>
      <c r="AS3248" s="783"/>
      <c r="AT3248" s="783"/>
      <c r="AU3248" s="783"/>
      <c r="AV3248" s="783"/>
      <c r="AW3248" s="783"/>
      <c r="AX3248" s="783"/>
      <c r="AY3248" s="783"/>
      <c r="AZ3248" s="783"/>
      <c r="BA3248" s="783"/>
      <c r="BB3248" s="783"/>
      <c r="BC3248" s="783"/>
      <c r="BD3248" s="783"/>
      <c r="BE3248" s="783"/>
      <c r="BF3248" s="783"/>
      <c r="BG3248" s="783"/>
      <c r="BH3248" s="783"/>
      <c r="BI3248" s="783"/>
      <c r="BJ3248" s="783"/>
      <c r="BK3248" s="783"/>
      <c r="BL3248" s="783"/>
      <c r="BM3248" s="783"/>
      <c r="BN3248" s="783"/>
      <c r="BO3248" s="783"/>
      <c r="BP3248" s="783"/>
      <c r="BQ3248" s="783"/>
      <c r="BR3248" s="783"/>
      <c r="BS3248" s="783"/>
      <c r="BT3248" s="783"/>
      <c r="BU3248" s="783"/>
      <c r="BV3248" s="783"/>
      <c r="BW3248" s="783"/>
      <c r="BX3248" s="783"/>
      <c r="BY3248" s="783"/>
      <c r="BZ3248" s="783"/>
      <c r="CA3248" s="783"/>
      <c r="CB3248" s="783"/>
      <c r="CC3248" s="783"/>
      <c r="CD3248" s="783"/>
      <c r="CE3248" s="783"/>
      <c r="CF3248" s="783"/>
      <c r="CG3248" s="783"/>
      <c r="CH3248" s="783"/>
      <c r="CI3248" s="783"/>
      <c r="CJ3248" s="783"/>
      <c r="CK3248" s="783"/>
    </row>
    <row r="3249" spans="1:89" s="673" customFormat="1" ht="29.25" customHeight="1" x14ac:dyDescent="0.25">
      <c r="A3249" s="788"/>
      <c r="B3249" s="724" t="s">
        <v>2069</v>
      </c>
      <c r="C3249" s="789">
        <v>1</v>
      </c>
      <c r="D3249" s="790" t="s">
        <v>60</v>
      </c>
      <c r="E3249" s="758">
        <v>1500000</v>
      </c>
      <c r="F3249" s="714"/>
      <c r="G3249" s="714"/>
      <c r="H3249" s="695"/>
      <c r="I3249" s="714"/>
      <c r="J3249" s="714">
        <f t="shared" si="326"/>
        <v>1500000</v>
      </c>
      <c r="K3249" s="695">
        <f t="shared" si="323"/>
        <v>1500000</v>
      </c>
      <c r="L3249" s="714"/>
      <c r="M3249" s="714"/>
      <c r="N3249" s="714"/>
      <c r="O3249" s="753">
        <f t="shared" si="324"/>
        <v>1500000</v>
      </c>
      <c r="P3249" s="754"/>
      <c r="Q3249" s="783"/>
      <c r="R3249" s="783"/>
      <c r="S3249" s="783"/>
      <c r="T3249" s="783"/>
      <c r="U3249" s="783"/>
      <c r="V3249" s="783"/>
      <c r="W3249" s="783"/>
      <c r="X3249" s="783"/>
      <c r="Y3249" s="783"/>
      <c r="Z3249" s="783"/>
      <c r="AA3249" s="783"/>
      <c r="AB3249" s="783"/>
      <c r="AC3249" s="783"/>
      <c r="AD3249" s="783"/>
      <c r="AE3249" s="783"/>
      <c r="AF3249" s="783"/>
      <c r="AG3249" s="783"/>
      <c r="AH3249" s="783"/>
      <c r="AI3249" s="783"/>
      <c r="AJ3249" s="783"/>
      <c r="AK3249" s="783"/>
      <c r="AL3249" s="783"/>
      <c r="AM3249" s="783"/>
      <c r="AN3249" s="783"/>
      <c r="AO3249" s="783"/>
      <c r="AP3249" s="783"/>
      <c r="AQ3249" s="783"/>
      <c r="AR3249" s="783"/>
      <c r="AS3249" s="783"/>
      <c r="AT3249" s="783"/>
      <c r="AU3249" s="783"/>
      <c r="AV3249" s="783"/>
      <c r="AW3249" s="783"/>
      <c r="AX3249" s="783"/>
      <c r="AY3249" s="783"/>
      <c r="AZ3249" s="783"/>
      <c r="BA3249" s="783"/>
      <c r="BB3249" s="783"/>
      <c r="BC3249" s="783"/>
      <c r="BD3249" s="783"/>
      <c r="BE3249" s="783"/>
      <c r="BF3249" s="783"/>
      <c r="BG3249" s="783"/>
      <c r="BH3249" s="783"/>
      <c r="BI3249" s="783"/>
      <c r="BJ3249" s="783"/>
      <c r="BK3249" s="783"/>
      <c r="BL3249" s="783"/>
      <c r="BM3249" s="783"/>
      <c r="BN3249" s="783"/>
      <c r="BO3249" s="783"/>
      <c r="BP3249" s="783"/>
      <c r="BQ3249" s="783"/>
      <c r="BR3249" s="783"/>
      <c r="BS3249" s="783"/>
      <c r="BT3249" s="783"/>
      <c r="BU3249" s="783"/>
      <c r="BV3249" s="783"/>
      <c r="BW3249" s="783"/>
      <c r="BX3249" s="783"/>
      <c r="BY3249" s="783"/>
      <c r="BZ3249" s="783"/>
      <c r="CA3249" s="783"/>
      <c r="CB3249" s="783"/>
      <c r="CC3249" s="783"/>
      <c r="CD3249" s="783"/>
      <c r="CE3249" s="783"/>
      <c r="CF3249" s="783"/>
      <c r="CG3249" s="783"/>
      <c r="CH3249" s="783"/>
      <c r="CI3249" s="783"/>
      <c r="CJ3249" s="783"/>
      <c r="CK3249" s="783"/>
    </row>
    <row r="3250" spans="1:89" s="673" customFormat="1" ht="29.25" customHeight="1" x14ac:dyDescent="0.25">
      <c r="A3250" s="788"/>
      <c r="B3250" s="724" t="s">
        <v>2070</v>
      </c>
      <c r="C3250" s="789">
        <v>1</v>
      </c>
      <c r="D3250" s="790" t="s">
        <v>60</v>
      </c>
      <c r="E3250" s="758">
        <v>200000</v>
      </c>
      <c r="F3250" s="714"/>
      <c r="G3250" s="714"/>
      <c r="H3250" s="695"/>
      <c r="I3250" s="714"/>
      <c r="J3250" s="714">
        <f t="shared" si="326"/>
        <v>200000</v>
      </c>
      <c r="K3250" s="695">
        <f t="shared" si="323"/>
        <v>200000</v>
      </c>
      <c r="L3250" s="714"/>
      <c r="M3250" s="714"/>
      <c r="N3250" s="714"/>
      <c r="O3250" s="753">
        <f t="shared" si="324"/>
        <v>200000</v>
      </c>
      <c r="P3250" s="754"/>
      <c r="Q3250" s="783"/>
      <c r="R3250" s="783"/>
      <c r="S3250" s="783"/>
      <c r="T3250" s="783"/>
      <c r="U3250" s="783"/>
      <c r="V3250" s="783"/>
      <c r="W3250" s="783"/>
      <c r="X3250" s="783"/>
      <c r="Y3250" s="783"/>
      <c r="Z3250" s="783"/>
      <c r="AA3250" s="783"/>
      <c r="AB3250" s="783"/>
      <c r="AC3250" s="783"/>
      <c r="AD3250" s="783"/>
      <c r="AE3250" s="783"/>
      <c r="AF3250" s="783"/>
      <c r="AG3250" s="783"/>
      <c r="AH3250" s="783"/>
      <c r="AI3250" s="783"/>
      <c r="AJ3250" s="783"/>
      <c r="AK3250" s="783"/>
      <c r="AL3250" s="783"/>
      <c r="AM3250" s="783"/>
      <c r="AN3250" s="783"/>
      <c r="AO3250" s="783"/>
      <c r="AP3250" s="783"/>
      <c r="AQ3250" s="783"/>
      <c r="AR3250" s="783"/>
      <c r="AS3250" s="783"/>
      <c r="AT3250" s="783"/>
      <c r="AU3250" s="783"/>
      <c r="AV3250" s="783"/>
      <c r="AW3250" s="783"/>
      <c r="AX3250" s="783"/>
      <c r="AY3250" s="783"/>
      <c r="AZ3250" s="783"/>
      <c r="BA3250" s="783"/>
      <c r="BB3250" s="783"/>
      <c r="BC3250" s="783"/>
      <c r="BD3250" s="783"/>
      <c r="BE3250" s="783"/>
      <c r="BF3250" s="783"/>
      <c r="BG3250" s="783"/>
      <c r="BH3250" s="783"/>
      <c r="BI3250" s="783"/>
      <c r="BJ3250" s="783"/>
      <c r="BK3250" s="783"/>
      <c r="BL3250" s="783"/>
      <c r="BM3250" s="783"/>
      <c r="BN3250" s="783"/>
      <c r="BO3250" s="783"/>
      <c r="BP3250" s="783"/>
      <c r="BQ3250" s="783"/>
      <c r="BR3250" s="783"/>
      <c r="BS3250" s="783"/>
      <c r="BT3250" s="783"/>
      <c r="BU3250" s="783"/>
      <c r="BV3250" s="783"/>
      <c r="BW3250" s="783"/>
      <c r="BX3250" s="783"/>
      <c r="BY3250" s="783"/>
      <c r="BZ3250" s="783"/>
      <c r="CA3250" s="783"/>
      <c r="CB3250" s="783"/>
      <c r="CC3250" s="783"/>
      <c r="CD3250" s="783"/>
      <c r="CE3250" s="783"/>
      <c r="CF3250" s="783"/>
      <c r="CG3250" s="783"/>
      <c r="CH3250" s="783"/>
      <c r="CI3250" s="783"/>
      <c r="CJ3250" s="783"/>
      <c r="CK3250" s="783"/>
    </row>
    <row r="3251" spans="1:89" s="673" customFormat="1" ht="29.25" customHeight="1" x14ac:dyDescent="0.25">
      <c r="A3251" s="788"/>
      <c r="B3251" s="724" t="s">
        <v>2327</v>
      </c>
      <c r="C3251" s="789">
        <v>1</v>
      </c>
      <c r="D3251" s="790" t="s">
        <v>60</v>
      </c>
      <c r="E3251" s="758">
        <v>800000</v>
      </c>
      <c r="F3251" s="714"/>
      <c r="G3251" s="714"/>
      <c r="H3251" s="695"/>
      <c r="I3251" s="714"/>
      <c r="J3251" s="714">
        <f t="shared" si="326"/>
        <v>800000</v>
      </c>
      <c r="K3251" s="695">
        <f t="shared" si="323"/>
        <v>800000</v>
      </c>
      <c r="L3251" s="714"/>
      <c r="M3251" s="714"/>
      <c r="N3251" s="714"/>
      <c r="O3251" s="753">
        <f t="shared" si="324"/>
        <v>800000</v>
      </c>
      <c r="P3251" s="754"/>
      <c r="Q3251" s="783"/>
      <c r="R3251" s="783"/>
      <c r="S3251" s="783"/>
      <c r="T3251" s="783"/>
      <c r="U3251" s="783"/>
      <c r="V3251" s="783"/>
      <c r="W3251" s="783"/>
      <c r="X3251" s="783"/>
      <c r="Y3251" s="783"/>
      <c r="Z3251" s="783"/>
      <c r="AA3251" s="783"/>
      <c r="AB3251" s="783"/>
      <c r="AC3251" s="783"/>
      <c r="AD3251" s="783"/>
      <c r="AE3251" s="783"/>
      <c r="AF3251" s="783"/>
      <c r="AG3251" s="783"/>
      <c r="AH3251" s="783"/>
      <c r="AI3251" s="783"/>
      <c r="AJ3251" s="783"/>
      <c r="AK3251" s="783"/>
      <c r="AL3251" s="783"/>
      <c r="AM3251" s="783"/>
      <c r="AN3251" s="783"/>
      <c r="AO3251" s="783"/>
      <c r="AP3251" s="783"/>
      <c r="AQ3251" s="783"/>
      <c r="AR3251" s="783"/>
      <c r="AS3251" s="783"/>
      <c r="AT3251" s="783"/>
      <c r="AU3251" s="783"/>
      <c r="AV3251" s="783"/>
      <c r="AW3251" s="783"/>
      <c r="AX3251" s="783"/>
      <c r="AY3251" s="783"/>
      <c r="AZ3251" s="783"/>
      <c r="BA3251" s="783"/>
      <c r="BB3251" s="783"/>
      <c r="BC3251" s="783"/>
      <c r="BD3251" s="783"/>
      <c r="BE3251" s="783"/>
      <c r="BF3251" s="783"/>
      <c r="BG3251" s="783"/>
      <c r="BH3251" s="783"/>
      <c r="BI3251" s="783"/>
      <c r="BJ3251" s="783"/>
      <c r="BK3251" s="783"/>
      <c r="BL3251" s="783"/>
      <c r="BM3251" s="783"/>
      <c r="BN3251" s="783"/>
      <c r="BO3251" s="783"/>
      <c r="BP3251" s="783"/>
      <c r="BQ3251" s="783"/>
      <c r="BR3251" s="783"/>
      <c r="BS3251" s="783"/>
      <c r="BT3251" s="783"/>
      <c r="BU3251" s="783"/>
      <c r="BV3251" s="783"/>
      <c r="BW3251" s="783"/>
      <c r="BX3251" s="783"/>
      <c r="BY3251" s="783"/>
      <c r="BZ3251" s="783"/>
      <c r="CA3251" s="783"/>
      <c r="CB3251" s="783"/>
      <c r="CC3251" s="783"/>
      <c r="CD3251" s="783"/>
      <c r="CE3251" s="783"/>
      <c r="CF3251" s="783"/>
      <c r="CG3251" s="783"/>
      <c r="CH3251" s="783"/>
      <c r="CI3251" s="783"/>
      <c r="CJ3251" s="783"/>
      <c r="CK3251" s="783"/>
    </row>
    <row r="3252" spans="1:89" s="673" customFormat="1" ht="29.25" customHeight="1" x14ac:dyDescent="0.25">
      <c r="A3252" s="788"/>
      <c r="B3252" s="724" t="s">
        <v>2326</v>
      </c>
      <c r="C3252" s="789">
        <v>1</v>
      </c>
      <c r="D3252" s="790" t="s">
        <v>60</v>
      </c>
      <c r="E3252" s="758">
        <v>800000</v>
      </c>
      <c r="F3252" s="714"/>
      <c r="G3252" s="714"/>
      <c r="H3252" s="695"/>
      <c r="I3252" s="714"/>
      <c r="J3252" s="714">
        <f t="shared" si="326"/>
        <v>800000</v>
      </c>
      <c r="K3252" s="695">
        <f t="shared" si="323"/>
        <v>800000</v>
      </c>
      <c r="L3252" s="714"/>
      <c r="M3252" s="714"/>
      <c r="N3252" s="714"/>
      <c r="O3252" s="753">
        <f t="shared" si="324"/>
        <v>800000</v>
      </c>
      <c r="P3252" s="754"/>
      <c r="Q3252" s="783"/>
      <c r="R3252" s="783"/>
      <c r="S3252" s="783"/>
      <c r="T3252" s="783"/>
      <c r="U3252" s="783"/>
      <c r="V3252" s="783"/>
      <c r="W3252" s="783"/>
      <c r="X3252" s="783"/>
      <c r="Y3252" s="783"/>
      <c r="Z3252" s="783"/>
      <c r="AA3252" s="783"/>
      <c r="AB3252" s="783"/>
      <c r="AC3252" s="783"/>
      <c r="AD3252" s="783"/>
      <c r="AE3252" s="783"/>
      <c r="AF3252" s="783"/>
      <c r="AG3252" s="783"/>
      <c r="AH3252" s="783"/>
      <c r="AI3252" s="783"/>
      <c r="AJ3252" s="783"/>
      <c r="AK3252" s="783"/>
      <c r="AL3252" s="783"/>
      <c r="AM3252" s="783"/>
      <c r="AN3252" s="783"/>
      <c r="AO3252" s="783"/>
      <c r="AP3252" s="783"/>
      <c r="AQ3252" s="783"/>
      <c r="AR3252" s="783"/>
      <c r="AS3252" s="783"/>
      <c r="AT3252" s="783"/>
      <c r="AU3252" s="783"/>
      <c r="AV3252" s="783"/>
      <c r="AW3252" s="783"/>
      <c r="AX3252" s="783"/>
      <c r="AY3252" s="783"/>
      <c r="AZ3252" s="783"/>
      <c r="BA3252" s="783"/>
      <c r="BB3252" s="783"/>
      <c r="BC3252" s="783"/>
      <c r="BD3252" s="783"/>
      <c r="BE3252" s="783"/>
      <c r="BF3252" s="783"/>
      <c r="BG3252" s="783"/>
      <c r="BH3252" s="783"/>
      <c r="BI3252" s="783"/>
      <c r="BJ3252" s="783"/>
      <c r="BK3252" s="783"/>
      <c r="BL3252" s="783"/>
      <c r="BM3252" s="783"/>
      <c r="BN3252" s="783"/>
      <c r="BO3252" s="783"/>
      <c r="BP3252" s="783"/>
      <c r="BQ3252" s="783"/>
      <c r="BR3252" s="783"/>
      <c r="BS3252" s="783"/>
      <c r="BT3252" s="783"/>
      <c r="BU3252" s="783"/>
      <c r="BV3252" s="783"/>
      <c r="BW3252" s="783"/>
      <c r="BX3252" s="783"/>
      <c r="BY3252" s="783"/>
      <c r="BZ3252" s="783"/>
      <c r="CA3252" s="783"/>
      <c r="CB3252" s="783"/>
      <c r="CC3252" s="783"/>
      <c r="CD3252" s="783"/>
      <c r="CE3252" s="783"/>
      <c r="CF3252" s="783"/>
      <c r="CG3252" s="783"/>
      <c r="CH3252" s="783"/>
      <c r="CI3252" s="783"/>
      <c r="CJ3252" s="783"/>
      <c r="CK3252" s="783"/>
    </row>
    <row r="3253" spans="1:89" s="673" customFormat="1" ht="29.25" customHeight="1" x14ac:dyDescent="0.25">
      <c r="A3253" s="788"/>
      <c r="B3253" s="724" t="s">
        <v>2071</v>
      </c>
      <c r="C3253" s="789">
        <v>1</v>
      </c>
      <c r="D3253" s="790" t="s">
        <v>60</v>
      </c>
      <c r="E3253" s="758">
        <v>600000</v>
      </c>
      <c r="F3253" s="714"/>
      <c r="G3253" s="714"/>
      <c r="H3253" s="695"/>
      <c r="I3253" s="714"/>
      <c r="J3253" s="714">
        <f t="shared" si="326"/>
        <v>600000</v>
      </c>
      <c r="K3253" s="695">
        <f t="shared" si="323"/>
        <v>600000</v>
      </c>
      <c r="L3253" s="714"/>
      <c r="M3253" s="714"/>
      <c r="N3253" s="714"/>
      <c r="O3253" s="753">
        <f t="shared" si="324"/>
        <v>600000</v>
      </c>
      <c r="P3253" s="754"/>
      <c r="Q3253" s="783"/>
      <c r="R3253" s="783"/>
      <c r="S3253" s="783"/>
      <c r="T3253" s="783"/>
      <c r="U3253" s="783"/>
      <c r="V3253" s="783"/>
      <c r="W3253" s="783"/>
      <c r="X3253" s="783"/>
      <c r="Y3253" s="783"/>
      <c r="Z3253" s="783"/>
      <c r="AA3253" s="783"/>
      <c r="AB3253" s="783"/>
      <c r="AC3253" s="783"/>
      <c r="AD3253" s="783"/>
      <c r="AE3253" s="783"/>
      <c r="AF3253" s="783"/>
      <c r="AG3253" s="783"/>
      <c r="AH3253" s="783"/>
      <c r="AI3253" s="783"/>
      <c r="AJ3253" s="783"/>
      <c r="AK3253" s="783"/>
      <c r="AL3253" s="783"/>
      <c r="AM3253" s="783"/>
      <c r="AN3253" s="783"/>
      <c r="AO3253" s="783"/>
      <c r="AP3253" s="783"/>
      <c r="AQ3253" s="783"/>
      <c r="AR3253" s="783"/>
      <c r="AS3253" s="783"/>
      <c r="AT3253" s="783"/>
      <c r="AU3253" s="783"/>
      <c r="AV3253" s="783"/>
      <c r="AW3253" s="783"/>
      <c r="AX3253" s="783"/>
      <c r="AY3253" s="783"/>
      <c r="AZ3253" s="783"/>
      <c r="BA3253" s="783"/>
      <c r="BB3253" s="783"/>
      <c r="BC3253" s="783"/>
      <c r="BD3253" s="783"/>
      <c r="BE3253" s="783"/>
      <c r="BF3253" s="783"/>
      <c r="BG3253" s="783"/>
      <c r="BH3253" s="783"/>
      <c r="BI3253" s="783"/>
      <c r="BJ3253" s="783"/>
      <c r="BK3253" s="783"/>
      <c r="BL3253" s="783"/>
      <c r="BM3253" s="783"/>
      <c r="BN3253" s="783"/>
      <c r="BO3253" s="783"/>
      <c r="BP3253" s="783"/>
      <c r="BQ3253" s="783"/>
      <c r="BR3253" s="783"/>
      <c r="BS3253" s="783"/>
      <c r="BT3253" s="783"/>
      <c r="BU3253" s="783"/>
      <c r="BV3253" s="783"/>
      <c r="BW3253" s="783"/>
      <c r="BX3253" s="783"/>
      <c r="BY3253" s="783"/>
      <c r="BZ3253" s="783"/>
      <c r="CA3253" s="783"/>
      <c r="CB3253" s="783"/>
      <c r="CC3253" s="783"/>
      <c r="CD3253" s="783"/>
      <c r="CE3253" s="783"/>
      <c r="CF3253" s="783"/>
      <c r="CG3253" s="783"/>
      <c r="CH3253" s="783"/>
      <c r="CI3253" s="783"/>
      <c r="CJ3253" s="783"/>
      <c r="CK3253" s="783"/>
    </row>
    <row r="3254" spans="1:89" s="673" customFormat="1" ht="29.25" customHeight="1" x14ac:dyDescent="0.25">
      <c r="A3254" s="788"/>
      <c r="B3254" s="724" t="s">
        <v>2328</v>
      </c>
      <c r="C3254" s="789">
        <v>1</v>
      </c>
      <c r="D3254" s="790" t="s">
        <v>60</v>
      </c>
      <c r="E3254" s="758">
        <v>800000</v>
      </c>
      <c r="F3254" s="714"/>
      <c r="G3254" s="714"/>
      <c r="H3254" s="695"/>
      <c r="I3254" s="714"/>
      <c r="J3254" s="714">
        <f t="shared" si="326"/>
        <v>800000</v>
      </c>
      <c r="K3254" s="695">
        <f t="shared" si="323"/>
        <v>800000</v>
      </c>
      <c r="L3254" s="714"/>
      <c r="M3254" s="714"/>
      <c r="N3254" s="714"/>
      <c r="O3254" s="753">
        <f t="shared" si="324"/>
        <v>800000</v>
      </c>
      <c r="P3254" s="754"/>
      <c r="Q3254" s="783"/>
      <c r="R3254" s="783"/>
      <c r="S3254" s="783"/>
      <c r="T3254" s="783"/>
      <c r="U3254" s="783"/>
      <c r="V3254" s="783"/>
      <c r="W3254" s="783"/>
      <c r="X3254" s="783"/>
      <c r="Y3254" s="783"/>
      <c r="Z3254" s="783"/>
      <c r="AA3254" s="783"/>
      <c r="AB3254" s="783"/>
      <c r="AC3254" s="783"/>
      <c r="AD3254" s="783"/>
      <c r="AE3254" s="783"/>
      <c r="AF3254" s="783"/>
      <c r="AG3254" s="783"/>
      <c r="AH3254" s="783"/>
      <c r="AI3254" s="783"/>
      <c r="AJ3254" s="783"/>
      <c r="AK3254" s="783"/>
      <c r="AL3254" s="783"/>
      <c r="AM3254" s="783"/>
      <c r="AN3254" s="783"/>
      <c r="AO3254" s="783"/>
      <c r="AP3254" s="783"/>
      <c r="AQ3254" s="783"/>
      <c r="AR3254" s="783"/>
      <c r="AS3254" s="783"/>
      <c r="AT3254" s="783"/>
      <c r="AU3254" s="783"/>
      <c r="AV3254" s="783"/>
      <c r="AW3254" s="783"/>
      <c r="AX3254" s="783"/>
      <c r="AY3254" s="783"/>
      <c r="AZ3254" s="783"/>
      <c r="BA3254" s="783"/>
      <c r="BB3254" s="783"/>
      <c r="BC3254" s="783"/>
      <c r="BD3254" s="783"/>
      <c r="BE3254" s="783"/>
      <c r="BF3254" s="783"/>
      <c r="BG3254" s="783"/>
      <c r="BH3254" s="783"/>
      <c r="BI3254" s="783"/>
      <c r="BJ3254" s="783"/>
      <c r="BK3254" s="783"/>
      <c r="BL3254" s="783"/>
      <c r="BM3254" s="783"/>
      <c r="BN3254" s="783"/>
      <c r="BO3254" s="783"/>
      <c r="BP3254" s="783"/>
      <c r="BQ3254" s="783"/>
      <c r="BR3254" s="783"/>
      <c r="BS3254" s="783"/>
      <c r="BT3254" s="783"/>
      <c r="BU3254" s="783"/>
      <c r="BV3254" s="783"/>
      <c r="BW3254" s="783"/>
      <c r="BX3254" s="783"/>
      <c r="BY3254" s="783"/>
      <c r="BZ3254" s="783"/>
      <c r="CA3254" s="783"/>
      <c r="CB3254" s="783"/>
      <c r="CC3254" s="783"/>
      <c r="CD3254" s="783"/>
      <c r="CE3254" s="783"/>
      <c r="CF3254" s="783"/>
      <c r="CG3254" s="783"/>
      <c r="CH3254" s="783"/>
      <c r="CI3254" s="783"/>
      <c r="CJ3254" s="783"/>
      <c r="CK3254" s="783"/>
    </row>
    <row r="3255" spans="1:89" s="673" customFormat="1" ht="29.25" customHeight="1" x14ac:dyDescent="0.25">
      <c r="A3255" s="788"/>
      <c r="B3255" s="724" t="s">
        <v>2325</v>
      </c>
      <c r="C3255" s="789">
        <v>1</v>
      </c>
      <c r="D3255" s="790" t="s">
        <v>60</v>
      </c>
      <c r="E3255" s="758">
        <v>800000</v>
      </c>
      <c r="F3255" s="714"/>
      <c r="G3255" s="714"/>
      <c r="H3255" s="695"/>
      <c r="I3255" s="714"/>
      <c r="J3255" s="714">
        <f t="shared" si="326"/>
        <v>800000</v>
      </c>
      <c r="K3255" s="695">
        <f t="shared" si="323"/>
        <v>800000</v>
      </c>
      <c r="L3255" s="714"/>
      <c r="M3255" s="714"/>
      <c r="N3255" s="714"/>
      <c r="O3255" s="753">
        <f t="shared" si="324"/>
        <v>800000</v>
      </c>
      <c r="P3255" s="754"/>
      <c r="Q3255" s="783"/>
      <c r="R3255" s="783"/>
      <c r="S3255" s="783"/>
      <c r="T3255" s="783"/>
      <c r="U3255" s="783"/>
      <c r="V3255" s="783"/>
      <c r="W3255" s="783"/>
      <c r="X3255" s="783"/>
      <c r="Y3255" s="783"/>
      <c r="Z3255" s="783"/>
      <c r="AA3255" s="783"/>
      <c r="AB3255" s="783"/>
      <c r="AC3255" s="783"/>
      <c r="AD3255" s="783"/>
      <c r="AE3255" s="783"/>
      <c r="AF3255" s="783"/>
      <c r="AG3255" s="783"/>
      <c r="AH3255" s="783"/>
      <c r="AI3255" s="783"/>
      <c r="AJ3255" s="783"/>
      <c r="AK3255" s="783"/>
      <c r="AL3255" s="783"/>
      <c r="AM3255" s="783"/>
      <c r="AN3255" s="783"/>
      <c r="AO3255" s="783"/>
      <c r="AP3255" s="783"/>
      <c r="AQ3255" s="783"/>
      <c r="AR3255" s="783"/>
      <c r="AS3255" s="783"/>
      <c r="AT3255" s="783"/>
      <c r="AU3255" s="783"/>
      <c r="AV3255" s="783"/>
      <c r="AW3255" s="783"/>
      <c r="AX3255" s="783"/>
      <c r="AY3255" s="783"/>
      <c r="AZ3255" s="783"/>
      <c r="BA3255" s="783"/>
      <c r="BB3255" s="783"/>
      <c r="BC3255" s="783"/>
      <c r="BD3255" s="783"/>
      <c r="BE3255" s="783"/>
      <c r="BF3255" s="783"/>
      <c r="BG3255" s="783"/>
      <c r="BH3255" s="783"/>
      <c r="BI3255" s="783"/>
      <c r="BJ3255" s="783"/>
      <c r="BK3255" s="783"/>
      <c r="BL3255" s="783"/>
      <c r="BM3255" s="783"/>
      <c r="BN3255" s="783"/>
      <c r="BO3255" s="783"/>
      <c r="BP3255" s="783"/>
      <c r="BQ3255" s="783"/>
      <c r="BR3255" s="783"/>
      <c r="BS3255" s="783"/>
      <c r="BT3255" s="783"/>
      <c r="BU3255" s="783"/>
      <c r="BV3255" s="783"/>
      <c r="BW3255" s="783"/>
      <c r="BX3255" s="783"/>
      <c r="BY3255" s="783"/>
      <c r="BZ3255" s="783"/>
      <c r="CA3255" s="783"/>
      <c r="CB3255" s="783"/>
      <c r="CC3255" s="783"/>
      <c r="CD3255" s="783"/>
      <c r="CE3255" s="783"/>
      <c r="CF3255" s="783"/>
      <c r="CG3255" s="783"/>
      <c r="CH3255" s="783"/>
      <c r="CI3255" s="783"/>
      <c r="CJ3255" s="783"/>
      <c r="CK3255" s="783"/>
    </row>
    <row r="3256" spans="1:89" s="673" customFormat="1" ht="29.25" customHeight="1" x14ac:dyDescent="0.25">
      <c r="A3256" s="788"/>
      <c r="B3256" s="677"/>
      <c r="C3256" s="789"/>
      <c r="D3256" s="790"/>
      <c r="E3256" s="758"/>
      <c r="F3256" s="714"/>
      <c r="G3256" s="714"/>
      <c r="H3256" s="695"/>
      <c r="I3256" s="714"/>
      <c r="J3256" s="714"/>
      <c r="K3256" s="695"/>
      <c r="L3256" s="714"/>
      <c r="M3256" s="714"/>
      <c r="N3256" s="714"/>
      <c r="O3256" s="753"/>
      <c r="P3256" s="754"/>
      <c r="Q3256" s="783"/>
      <c r="R3256" s="783"/>
      <c r="S3256" s="783"/>
      <c r="T3256" s="783"/>
      <c r="U3256" s="783"/>
      <c r="V3256" s="783"/>
      <c r="W3256" s="783"/>
      <c r="X3256" s="783"/>
      <c r="Y3256" s="783"/>
      <c r="Z3256" s="783"/>
      <c r="AA3256" s="783"/>
      <c r="AB3256" s="783"/>
      <c r="AC3256" s="783"/>
      <c r="AD3256" s="783"/>
      <c r="AE3256" s="783"/>
      <c r="AF3256" s="783"/>
      <c r="AG3256" s="783"/>
      <c r="AH3256" s="783"/>
      <c r="AI3256" s="783"/>
      <c r="AJ3256" s="783"/>
      <c r="AK3256" s="783"/>
      <c r="AL3256" s="783"/>
      <c r="AM3256" s="783"/>
      <c r="AN3256" s="783"/>
      <c r="AO3256" s="783"/>
      <c r="AP3256" s="783"/>
      <c r="AQ3256" s="783"/>
      <c r="AR3256" s="783"/>
      <c r="AS3256" s="783"/>
      <c r="AT3256" s="783"/>
      <c r="AU3256" s="783"/>
      <c r="AV3256" s="783"/>
      <c r="AW3256" s="783"/>
      <c r="AX3256" s="783"/>
      <c r="AY3256" s="783"/>
      <c r="AZ3256" s="783"/>
      <c r="BA3256" s="783"/>
      <c r="BB3256" s="783"/>
      <c r="BC3256" s="783"/>
      <c r="BD3256" s="783"/>
      <c r="BE3256" s="783"/>
      <c r="BF3256" s="783"/>
      <c r="BG3256" s="783"/>
      <c r="BH3256" s="783"/>
      <c r="BI3256" s="783"/>
      <c r="BJ3256" s="783"/>
      <c r="BK3256" s="783"/>
      <c r="BL3256" s="783"/>
      <c r="BM3256" s="783"/>
      <c r="BN3256" s="783"/>
      <c r="BO3256" s="783"/>
      <c r="BP3256" s="783"/>
      <c r="BQ3256" s="783"/>
      <c r="BR3256" s="783"/>
      <c r="BS3256" s="783"/>
      <c r="BT3256" s="783"/>
      <c r="BU3256" s="783"/>
      <c r="BV3256" s="783"/>
      <c r="BW3256" s="783"/>
      <c r="BX3256" s="783"/>
      <c r="BY3256" s="783"/>
      <c r="BZ3256" s="783"/>
      <c r="CA3256" s="783"/>
      <c r="CB3256" s="783"/>
      <c r="CC3256" s="783"/>
      <c r="CD3256" s="783"/>
      <c r="CE3256" s="783"/>
      <c r="CF3256" s="783"/>
      <c r="CG3256" s="783"/>
      <c r="CH3256" s="783"/>
      <c r="CI3256" s="783"/>
      <c r="CJ3256" s="783"/>
      <c r="CK3256" s="783"/>
    </row>
    <row r="3257" spans="1:89" s="673" customFormat="1" ht="29.25" customHeight="1" x14ac:dyDescent="0.25">
      <c r="A3257" s="788"/>
      <c r="B3257" s="794" t="s">
        <v>1188</v>
      </c>
      <c r="C3257" s="789"/>
      <c r="D3257" s="790"/>
      <c r="E3257" s="758"/>
      <c r="F3257" s="700"/>
      <c r="G3257" s="700"/>
      <c r="H3257" s="700"/>
      <c r="I3257" s="700"/>
      <c r="J3257" s="700"/>
      <c r="K3257" s="700"/>
      <c r="L3257" s="700"/>
      <c r="M3257" s="700"/>
      <c r="N3257" s="700"/>
      <c r="O3257" s="974"/>
      <c r="P3257" s="956"/>
      <c r="Q3257" s="783"/>
      <c r="R3257" s="783"/>
      <c r="S3257" s="783"/>
      <c r="T3257" s="783"/>
      <c r="U3257" s="783"/>
      <c r="V3257" s="783"/>
      <c r="W3257" s="783"/>
      <c r="X3257" s="783"/>
      <c r="Y3257" s="783"/>
      <c r="Z3257" s="783"/>
      <c r="AA3257" s="783"/>
      <c r="AB3257" s="783"/>
      <c r="AC3257" s="783"/>
      <c r="AD3257" s="783"/>
      <c r="AE3257" s="783"/>
      <c r="AF3257" s="783"/>
      <c r="AG3257" s="783"/>
      <c r="AH3257" s="783"/>
      <c r="AI3257" s="783"/>
      <c r="AJ3257" s="783"/>
      <c r="AK3257" s="783"/>
      <c r="AL3257" s="783"/>
      <c r="AM3257" s="783"/>
      <c r="AN3257" s="783"/>
      <c r="AO3257" s="783"/>
      <c r="AP3257" s="783"/>
      <c r="AQ3257" s="783"/>
      <c r="AR3257" s="783"/>
      <c r="AS3257" s="783"/>
      <c r="AT3257" s="783"/>
      <c r="AU3257" s="783"/>
      <c r="AV3257" s="783"/>
      <c r="AW3257" s="783"/>
      <c r="AX3257" s="783"/>
      <c r="AY3257" s="783"/>
      <c r="AZ3257" s="783"/>
      <c r="BA3257" s="783"/>
      <c r="BB3257" s="783"/>
      <c r="BC3257" s="783"/>
      <c r="BD3257" s="783"/>
      <c r="BE3257" s="783"/>
      <c r="BF3257" s="783"/>
      <c r="BG3257" s="783"/>
      <c r="BH3257" s="783"/>
      <c r="BI3257" s="783"/>
      <c r="BJ3257" s="783"/>
      <c r="BK3257" s="783"/>
      <c r="BL3257" s="783"/>
      <c r="BM3257" s="783"/>
      <c r="BN3257" s="783"/>
      <c r="BO3257" s="783"/>
      <c r="BP3257" s="783"/>
      <c r="BQ3257" s="783"/>
      <c r="BR3257" s="783"/>
      <c r="BS3257" s="783"/>
      <c r="BT3257" s="783"/>
      <c r="BU3257" s="783"/>
      <c r="BV3257" s="783"/>
      <c r="BW3257" s="783"/>
      <c r="BX3257" s="783"/>
      <c r="BY3257" s="783"/>
      <c r="BZ3257" s="783"/>
      <c r="CA3257" s="783"/>
      <c r="CB3257" s="783"/>
      <c r="CC3257" s="783"/>
      <c r="CD3257" s="783"/>
      <c r="CE3257" s="783"/>
      <c r="CF3257" s="783"/>
      <c r="CG3257" s="783"/>
      <c r="CH3257" s="783"/>
      <c r="CI3257" s="783"/>
      <c r="CJ3257" s="783"/>
      <c r="CK3257" s="783"/>
    </row>
    <row r="3258" spans="1:89" s="673" customFormat="1" ht="29.25" customHeight="1" x14ac:dyDescent="0.25">
      <c r="A3258" s="788"/>
      <c r="B3258" s="724" t="s">
        <v>1158</v>
      </c>
      <c r="C3258" s="789">
        <v>1</v>
      </c>
      <c r="D3258" s="790" t="s">
        <v>60</v>
      </c>
      <c r="E3258" s="758">
        <v>680000</v>
      </c>
      <c r="F3258" s="700">
        <v>0</v>
      </c>
      <c r="G3258" s="700">
        <v>0</v>
      </c>
      <c r="H3258" s="700">
        <v>0</v>
      </c>
      <c r="I3258" s="700">
        <v>0</v>
      </c>
      <c r="J3258" s="700">
        <f t="shared" ref="J3258:J3265" si="327">E3258*C3258</f>
        <v>680000</v>
      </c>
      <c r="K3258" s="700">
        <f t="shared" ref="K3258:K3270" si="328">J3258+I3258</f>
        <v>680000</v>
      </c>
      <c r="L3258" s="700">
        <v>0</v>
      </c>
      <c r="M3258" s="700">
        <v>0</v>
      </c>
      <c r="N3258" s="700">
        <v>0</v>
      </c>
      <c r="O3258" s="974">
        <f t="shared" ref="O3258:O3270" si="329">N3258+K3258+H3258</f>
        <v>680000</v>
      </c>
      <c r="P3258" s="956"/>
      <c r="Q3258" s="783"/>
      <c r="R3258" s="783"/>
      <c r="S3258" s="783"/>
      <c r="T3258" s="783"/>
      <c r="U3258" s="783"/>
      <c r="V3258" s="783"/>
      <c r="W3258" s="783"/>
      <c r="X3258" s="783"/>
      <c r="Y3258" s="783"/>
      <c r="Z3258" s="783"/>
      <c r="AA3258" s="783"/>
      <c r="AB3258" s="783"/>
      <c r="AC3258" s="783"/>
      <c r="AD3258" s="783"/>
      <c r="AE3258" s="783"/>
      <c r="AF3258" s="783"/>
      <c r="AG3258" s="783"/>
      <c r="AH3258" s="783"/>
      <c r="AI3258" s="783"/>
      <c r="AJ3258" s="783"/>
      <c r="AK3258" s="783"/>
      <c r="AL3258" s="783"/>
      <c r="AM3258" s="783"/>
      <c r="AN3258" s="783"/>
      <c r="AO3258" s="783"/>
      <c r="AP3258" s="783"/>
      <c r="AQ3258" s="783"/>
      <c r="AR3258" s="783"/>
      <c r="AS3258" s="783"/>
      <c r="AT3258" s="783"/>
      <c r="AU3258" s="783"/>
      <c r="AV3258" s="783"/>
      <c r="AW3258" s="783"/>
      <c r="AX3258" s="783"/>
      <c r="AY3258" s="783"/>
      <c r="AZ3258" s="783"/>
      <c r="BA3258" s="783"/>
      <c r="BB3258" s="783"/>
      <c r="BC3258" s="783"/>
      <c r="BD3258" s="783"/>
      <c r="BE3258" s="783"/>
      <c r="BF3258" s="783"/>
      <c r="BG3258" s="783"/>
      <c r="BH3258" s="783"/>
      <c r="BI3258" s="783"/>
      <c r="BJ3258" s="783"/>
      <c r="BK3258" s="783"/>
      <c r="BL3258" s="783"/>
      <c r="BM3258" s="783"/>
      <c r="BN3258" s="783"/>
      <c r="BO3258" s="783"/>
      <c r="BP3258" s="783"/>
      <c r="BQ3258" s="783"/>
      <c r="BR3258" s="783"/>
      <c r="BS3258" s="783"/>
      <c r="BT3258" s="783"/>
      <c r="BU3258" s="783"/>
      <c r="BV3258" s="783"/>
      <c r="BW3258" s="783"/>
      <c r="BX3258" s="783"/>
      <c r="BY3258" s="783"/>
      <c r="BZ3258" s="783"/>
      <c r="CA3258" s="783"/>
      <c r="CB3258" s="783"/>
      <c r="CC3258" s="783"/>
      <c r="CD3258" s="783"/>
      <c r="CE3258" s="783"/>
      <c r="CF3258" s="783"/>
      <c r="CG3258" s="783"/>
      <c r="CH3258" s="783"/>
      <c r="CI3258" s="783"/>
      <c r="CJ3258" s="783"/>
      <c r="CK3258" s="783"/>
    </row>
    <row r="3259" spans="1:89" s="673" customFormat="1" ht="29.25" customHeight="1" x14ac:dyDescent="0.25">
      <c r="A3259" s="788"/>
      <c r="B3259" s="724" t="s">
        <v>1159</v>
      </c>
      <c r="C3259" s="789">
        <v>1</v>
      </c>
      <c r="D3259" s="790" t="s">
        <v>60</v>
      </c>
      <c r="E3259" s="758">
        <v>680000</v>
      </c>
      <c r="F3259" s="700">
        <v>0</v>
      </c>
      <c r="G3259" s="700">
        <v>0</v>
      </c>
      <c r="H3259" s="700">
        <v>0</v>
      </c>
      <c r="I3259" s="700">
        <v>0</v>
      </c>
      <c r="J3259" s="700">
        <f t="shared" si="327"/>
        <v>680000</v>
      </c>
      <c r="K3259" s="700">
        <f t="shared" si="328"/>
        <v>680000</v>
      </c>
      <c r="L3259" s="700">
        <v>0</v>
      </c>
      <c r="M3259" s="700">
        <v>0</v>
      </c>
      <c r="N3259" s="700">
        <v>0</v>
      </c>
      <c r="O3259" s="974">
        <f t="shared" si="329"/>
        <v>680000</v>
      </c>
      <c r="P3259" s="956"/>
      <c r="Q3259" s="783"/>
      <c r="R3259" s="783"/>
      <c r="S3259" s="783"/>
      <c r="T3259" s="783"/>
      <c r="U3259" s="783"/>
      <c r="V3259" s="783"/>
      <c r="W3259" s="783"/>
      <c r="X3259" s="783"/>
      <c r="Y3259" s="783"/>
      <c r="Z3259" s="783"/>
      <c r="AA3259" s="783"/>
      <c r="AB3259" s="783"/>
      <c r="AC3259" s="783"/>
      <c r="AD3259" s="783"/>
      <c r="AE3259" s="783"/>
      <c r="AF3259" s="783"/>
      <c r="AG3259" s="783"/>
      <c r="AH3259" s="783"/>
      <c r="AI3259" s="783"/>
      <c r="AJ3259" s="783"/>
      <c r="AK3259" s="783"/>
      <c r="AL3259" s="783"/>
      <c r="AM3259" s="783"/>
      <c r="AN3259" s="783"/>
      <c r="AO3259" s="783"/>
      <c r="AP3259" s="783"/>
      <c r="AQ3259" s="783"/>
      <c r="AR3259" s="783"/>
      <c r="AS3259" s="783"/>
      <c r="AT3259" s="783"/>
      <c r="AU3259" s="783"/>
      <c r="AV3259" s="783"/>
      <c r="AW3259" s="783"/>
      <c r="AX3259" s="783"/>
      <c r="AY3259" s="783"/>
      <c r="AZ3259" s="783"/>
      <c r="BA3259" s="783"/>
      <c r="BB3259" s="783"/>
      <c r="BC3259" s="783"/>
      <c r="BD3259" s="783"/>
      <c r="BE3259" s="783"/>
      <c r="BF3259" s="783"/>
      <c r="BG3259" s="783"/>
      <c r="BH3259" s="783"/>
      <c r="BI3259" s="783"/>
      <c r="BJ3259" s="783"/>
      <c r="BK3259" s="783"/>
      <c r="BL3259" s="783"/>
      <c r="BM3259" s="783"/>
      <c r="BN3259" s="783"/>
      <c r="BO3259" s="783"/>
      <c r="BP3259" s="783"/>
      <c r="BQ3259" s="783"/>
      <c r="BR3259" s="783"/>
      <c r="BS3259" s="783"/>
      <c r="BT3259" s="783"/>
      <c r="BU3259" s="783"/>
      <c r="BV3259" s="783"/>
      <c r="BW3259" s="783"/>
      <c r="BX3259" s="783"/>
      <c r="BY3259" s="783"/>
      <c r="BZ3259" s="783"/>
      <c r="CA3259" s="783"/>
      <c r="CB3259" s="783"/>
      <c r="CC3259" s="783"/>
      <c r="CD3259" s="783"/>
      <c r="CE3259" s="783"/>
      <c r="CF3259" s="783"/>
      <c r="CG3259" s="783"/>
      <c r="CH3259" s="783"/>
      <c r="CI3259" s="783"/>
      <c r="CJ3259" s="783"/>
      <c r="CK3259" s="783"/>
    </row>
    <row r="3260" spans="1:89" s="673" customFormat="1" ht="29.25" customHeight="1" x14ac:dyDescent="0.25">
      <c r="A3260" s="788"/>
      <c r="B3260" s="724" t="s">
        <v>1160</v>
      </c>
      <c r="C3260" s="789">
        <v>1</v>
      </c>
      <c r="D3260" s="790" t="s">
        <v>60</v>
      </c>
      <c r="E3260" s="758">
        <v>680000</v>
      </c>
      <c r="F3260" s="700">
        <v>0</v>
      </c>
      <c r="G3260" s="700">
        <v>0</v>
      </c>
      <c r="H3260" s="700">
        <v>0</v>
      </c>
      <c r="I3260" s="700">
        <v>0</v>
      </c>
      <c r="J3260" s="700">
        <f t="shared" si="327"/>
        <v>680000</v>
      </c>
      <c r="K3260" s="700">
        <f t="shared" si="328"/>
        <v>680000</v>
      </c>
      <c r="L3260" s="700">
        <v>0</v>
      </c>
      <c r="M3260" s="700">
        <v>0</v>
      </c>
      <c r="N3260" s="700">
        <v>0</v>
      </c>
      <c r="O3260" s="974">
        <f t="shared" si="329"/>
        <v>680000</v>
      </c>
      <c r="P3260" s="956"/>
      <c r="Q3260" s="783"/>
      <c r="R3260" s="783"/>
      <c r="S3260" s="783"/>
      <c r="T3260" s="783"/>
      <c r="U3260" s="783"/>
      <c r="V3260" s="783"/>
      <c r="W3260" s="783"/>
      <c r="X3260" s="783"/>
      <c r="Y3260" s="783"/>
      <c r="Z3260" s="783"/>
      <c r="AA3260" s="783"/>
      <c r="AB3260" s="783"/>
      <c r="AC3260" s="783"/>
      <c r="AD3260" s="783"/>
      <c r="AE3260" s="783"/>
      <c r="AF3260" s="783"/>
      <c r="AG3260" s="783"/>
      <c r="AH3260" s="783"/>
      <c r="AI3260" s="783"/>
      <c r="AJ3260" s="783"/>
      <c r="AK3260" s="783"/>
      <c r="AL3260" s="783"/>
      <c r="AM3260" s="783"/>
      <c r="AN3260" s="783"/>
      <c r="AO3260" s="783"/>
      <c r="AP3260" s="783"/>
      <c r="AQ3260" s="783"/>
      <c r="AR3260" s="783"/>
      <c r="AS3260" s="783"/>
      <c r="AT3260" s="783"/>
      <c r="AU3260" s="783"/>
      <c r="AV3260" s="783"/>
      <c r="AW3260" s="783"/>
      <c r="AX3260" s="783"/>
      <c r="AY3260" s="783"/>
      <c r="AZ3260" s="783"/>
      <c r="BA3260" s="783"/>
      <c r="BB3260" s="783"/>
      <c r="BC3260" s="783"/>
      <c r="BD3260" s="783"/>
      <c r="BE3260" s="783"/>
      <c r="BF3260" s="783"/>
      <c r="BG3260" s="783"/>
      <c r="BH3260" s="783"/>
      <c r="BI3260" s="783"/>
      <c r="BJ3260" s="783"/>
      <c r="BK3260" s="783"/>
      <c r="BL3260" s="783"/>
      <c r="BM3260" s="783"/>
      <c r="BN3260" s="783"/>
      <c r="BO3260" s="783"/>
      <c r="BP3260" s="783"/>
      <c r="BQ3260" s="783"/>
      <c r="BR3260" s="783"/>
      <c r="BS3260" s="783"/>
      <c r="BT3260" s="783"/>
      <c r="BU3260" s="783"/>
      <c r="BV3260" s="783"/>
      <c r="BW3260" s="783"/>
      <c r="BX3260" s="783"/>
      <c r="BY3260" s="783"/>
      <c r="BZ3260" s="783"/>
      <c r="CA3260" s="783"/>
      <c r="CB3260" s="783"/>
      <c r="CC3260" s="783"/>
      <c r="CD3260" s="783"/>
      <c r="CE3260" s="783"/>
      <c r="CF3260" s="783"/>
      <c r="CG3260" s="783"/>
      <c r="CH3260" s="783"/>
      <c r="CI3260" s="783"/>
      <c r="CJ3260" s="783"/>
      <c r="CK3260" s="783"/>
    </row>
    <row r="3261" spans="1:89" s="673" customFormat="1" ht="29.25" customHeight="1" x14ac:dyDescent="0.25">
      <c r="A3261" s="788"/>
      <c r="B3261" s="724" t="s">
        <v>226</v>
      </c>
      <c r="C3261" s="789">
        <v>1</v>
      </c>
      <c r="D3261" s="790" t="s">
        <v>60</v>
      </c>
      <c r="E3261" s="758">
        <f>600000+400000</f>
        <v>1000000</v>
      </c>
      <c r="F3261" s="714">
        <v>0</v>
      </c>
      <c r="G3261" s="714">
        <v>0</v>
      </c>
      <c r="H3261" s="695">
        <v>0</v>
      </c>
      <c r="I3261" s="714">
        <v>0</v>
      </c>
      <c r="J3261" s="714">
        <f t="shared" si="327"/>
        <v>1000000</v>
      </c>
      <c r="K3261" s="695">
        <f t="shared" si="328"/>
        <v>1000000</v>
      </c>
      <c r="L3261" s="714">
        <v>0</v>
      </c>
      <c r="M3261" s="714">
        <v>0</v>
      </c>
      <c r="N3261" s="714">
        <v>0</v>
      </c>
      <c r="O3261" s="753">
        <f t="shared" si="329"/>
        <v>1000000</v>
      </c>
      <c r="P3261" s="754"/>
      <c r="Q3261" s="783"/>
      <c r="R3261" s="783"/>
      <c r="S3261" s="783"/>
      <c r="T3261" s="783"/>
      <c r="U3261" s="783"/>
      <c r="V3261" s="783"/>
      <c r="W3261" s="783"/>
      <c r="X3261" s="783"/>
      <c r="Y3261" s="783"/>
      <c r="Z3261" s="783"/>
      <c r="AA3261" s="783"/>
      <c r="AB3261" s="783"/>
      <c r="AC3261" s="783"/>
      <c r="AD3261" s="783"/>
      <c r="AE3261" s="783"/>
      <c r="AF3261" s="783"/>
      <c r="AG3261" s="783"/>
      <c r="AH3261" s="783"/>
      <c r="AI3261" s="783"/>
      <c r="AJ3261" s="783"/>
      <c r="AK3261" s="783"/>
      <c r="AL3261" s="783"/>
      <c r="AM3261" s="783"/>
      <c r="AN3261" s="783"/>
      <c r="AO3261" s="783"/>
      <c r="AP3261" s="783"/>
      <c r="AQ3261" s="783"/>
      <c r="AR3261" s="783"/>
      <c r="AS3261" s="783"/>
      <c r="AT3261" s="783"/>
      <c r="AU3261" s="783"/>
      <c r="AV3261" s="783"/>
      <c r="AW3261" s="783"/>
      <c r="AX3261" s="783"/>
      <c r="AY3261" s="783"/>
      <c r="AZ3261" s="783"/>
      <c r="BA3261" s="783"/>
      <c r="BB3261" s="783"/>
      <c r="BC3261" s="783"/>
      <c r="BD3261" s="783"/>
      <c r="BE3261" s="783"/>
      <c r="BF3261" s="783"/>
      <c r="BG3261" s="783"/>
      <c r="BH3261" s="783"/>
      <c r="BI3261" s="783"/>
      <c r="BJ3261" s="783"/>
      <c r="BK3261" s="783"/>
      <c r="BL3261" s="783"/>
      <c r="BM3261" s="783"/>
      <c r="BN3261" s="783"/>
      <c r="BO3261" s="783"/>
      <c r="BP3261" s="783"/>
      <c r="BQ3261" s="783"/>
      <c r="BR3261" s="783"/>
      <c r="BS3261" s="783"/>
      <c r="BT3261" s="783"/>
      <c r="BU3261" s="783"/>
      <c r="BV3261" s="783"/>
      <c r="BW3261" s="783"/>
      <c r="BX3261" s="783"/>
      <c r="BY3261" s="783"/>
      <c r="BZ3261" s="783"/>
      <c r="CA3261" s="783"/>
      <c r="CB3261" s="783"/>
      <c r="CC3261" s="783"/>
      <c r="CD3261" s="783"/>
      <c r="CE3261" s="783"/>
      <c r="CF3261" s="783"/>
      <c r="CG3261" s="783"/>
      <c r="CH3261" s="783"/>
      <c r="CI3261" s="783"/>
      <c r="CJ3261" s="783"/>
      <c r="CK3261" s="783"/>
    </row>
    <row r="3262" spans="1:89" s="673" customFormat="1" ht="29.25" customHeight="1" x14ac:dyDescent="0.25">
      <c r="A3262" s="788"/>
      <c r="B3262" s="674" t="s">
        <v>227</v>
      </c>
      <c r="C3262" s="789">
        <v>1</v>
      </c>
      <c r="D3262" s="790" t="s">
        <v>60</v>
      </c>
      <c r="E3262" s="758">
        <v>500000</v>
      </c>
      <c r="F3262" s="768">
        <v>0</v>
      </c>
      <c r="G3262" s="768">
        <v>0</v>
      </c>
      <c r="H3262" s="792">
        <v>0</v>
      </c>
      <c r="I3262" s="768">
        <v>0</v>
      </c>
      <c r="J3262" s="768">
        <f t="shared" si="327"/>
        <v>500000</v>
      </c>
      <c r="K3262" s="768">
        <f t="shared" si="328"/>
        <v>500000</v>
      </c>
      <c r="L3262" s="768">
        <v>0</v>
      </c>
      <c r="M3262" s="768">
        <v>0</v>
      </c>
      <c r="N3262" s="768">
        <v>0</v>
      </c>
      <c r="O3262" s="769">
        <f t="shared" si="329"/>
        <v>500000</v>
      </c>
      <c r="P3262" s="770"/>
      <c r="Q3262" s="783"/>
      <c r="R3262" s="783"/>
      <c r="S3262" s="783"/>
      <c r="T3262" s="783"/>
      <c r="U3262" s="783"/>
      <c r="V3262" s="783"/>
      <c r="W3262" s="783"/>
      <c r="X3262" s="783"/>
      <c r="Y3262" s="783"/>
      <c r="Z3262" s="783"/>
      <c r="AA3262" s="783"/>
      <c r="AB3262" s="783"/>
      <c r="AC3262" s="783"/>
      <c r="AD3262" s="783"/>
      <c r="AE3262" s="783"/>
      <c r="AF3262" s="783"/>
      <c r="AG3262" s="783"/>
      <c r="AH3262" s="783"/>
      <c r="AI3262" s="783"/>
      <c r="AJ3262" s="783"/>
      <c r="AK3262" s="783"/>
      <c r="AL3262" s="783"/>
      <c r="AM3262" s="783"/>
      <c r="AN3262" s="783"/>
      <c r="AO3262" s="783"/>
      <c r="AP3262" s="783"/>
      <c r="AQ3262" s="783"/>
      <c r="AR3262" s="783"/>
      <c r="AS3262" s="783"/>
      <c r="AT3262" s="783"/>
      <c r="AU3262" s="783"/>
      <c r="AV3262" s="783"/>
      <c r="AW3262" s="783"/>
      <c r="AX3262" s="783"/>
      <c r="AY3262" s="783"/>
      <c r="AZ3262" s="783"/>
      <c r="BA3262" s="783"/>
      <c r="BB3262" s="783"/>
      <c r="BC3262" s="783"/>
      <c r="BD3262" s="783"/>
      <c r="BE3262" s="783"/>
      <c r="BF3262" s="783"/>
      <c r="BG3262" s="783"/>
      <c r="BH3262" s="783"/>
      <c r="BI3262" s="783"/>
      <c r="BJ3262" s="783"/>
      <c r="BK3262" s="783"/>
      <c r="BL3262" s="783"/>
      <c r="BM3262" s="783"/>
      <c r="BN3262" s="783"/>
      <c r="BO3262" s="783"/>
      <c r="BP3262" s="783"/>
      <c r="BQ3262" s="783"/>
      <c r="BR3262" s="783"/>
      <c r="BS3262" s="783"/>
      <c r="BT3262" s="783"/>
      <c r="BU3262" s="783"/>
      <c r="BV3262" s="783"/>
      <c r="BW3262" s="783"/>
      <c r="BX3262" s="783"/>
      <c r="BY3262" s="783"/>
      <c r="BZ3262" s="783"/>
      <c r="CA3262" s="783"/>
      <c r="CB3262" s="783"/>
      <c r="CC3262" s="783"/>
      <c r="CD3262" s="783"/>
      <c r="CE3262" s="783"/>
      <c r="CF3262" s="783"/>
      <c r="CG3262" s="783"/>
      <c r="CH3262" s="783"/>
      <c r="CI3262" s="783"/>
      <c r="CJ3262" s="783"/>
      <c r="CK3262" s="783"/>
    </row>
    <row r="3263" spans="1:89" s="673" customFormat="1" ht="29.25" customHeight="1" x14ac:dyDescent="0.25">
      <c r="A3263" s="788"/>
      <c r="B3263" s="1706" t="s">
        <v>2072</v>
      </c>
      <c r="C3263" s="789">
        <v>1</v>
      </c>
      <c r="D3263" s="790" t="s">
        <v>60</v>
      </c>
      <c r="E3263" s="758">
        <v>600000</v>
      </c>
      <c r="F3263" s="768">
        <v>0</v>
      </c>
      <c r="G3263" s="768">
        <v>0</v>
      </c>
      <c r="H3263" s="792">
        <v>0</v>
      </c>
      <c r="I3263" s="768">
        <v>0</v>
      </c>
      <c r="J3263" s="768">
        <f t="shared" si="327"/>
        <v>600000</v>
      </c>
      <c r="K3263" s="768">
        <f t="shared" si="328"/>
        <v>600000</v>
      </c>
      <c r="L3263" s="768">
        <v>0</v>
      </c>
      <c r="M3263" s="768">
        <v>0</v>
      </c>
      <c r="N3263" s="768">
        <v>0</v>
      </c>
      <c r="O3263" s="769">
        <f t="shared" si="329"/>
        <v>600000</v>
      </c>
      <c r="P3263" s="770"/>
      <c r="Q3263" s="783"/>
      <c r="R3263" s="783"/>
      <c r="S3263" s="783"/>
      <c r="T3263" s="783"/>
      <c r="U3263" s="783"/>
      <c r="V3263" s="783"/>
      <c r="W3263" s="783"/>
      <c r="X3263" s="783"/>
      <c r="Y3263" s="783"/>
      <c r="Z3263" s="783"/>
      <c r="AA3263" s="783"/>
      <c r="AB3263" s="783"/>
      <c r="AC3263" s="783"/>
      <c r="AD3263" s="783"/>
      <c r="AE3263" s="783"/>
      <c r="AF3263" s="783"/>
      <c r="AG3263" s="783"/>
      <c r="AH3263" s="783"/>
      <c r="AI3263" s="783"/>
      <c r="AJ3263" s="783"/>
      <c r="AK3263" s="783"/>
      <c r="AL3263" s="783"/>
      <c r="AM3263" s="783"/>
      <c r="AN3263" s="783"/>
      <c r="AO3263" s="783"/>
      <c r="AP3263" s="783"/>
      <c r="AQ3263" s="783"/>
      <c r="AR3263" s="783"/>
      <c r="AS3263" s="783"/>
      <c r="AT3263" s="783"/>
      <c r="AU3263" s="783"/>
      <c r="AV3263" s="783"/>
      <c r="AW3263" s="783"/>
      <c r="AX3263" s="783"/>
      <c r="AY3263" s="783"/>
      <c r="AZ3263" s="783"/>
      <c r="BA3263" s="783"/>
      <c r="BB3263" s="783"/>
      <c r="BC3263" s="783"/>
      <c r="BD3263" s="783"/>
      <c r="BE3263" s="783"/>
      <c r="BF3263" s="783"/>
      <c r="BG3263" s="783"/>
      <c r="BH3263" s="783"/>
      <c r="BI3263" s="783"/>
      <c r="BJ3263" s="783"/>
      <c r="BK3263" s="783"/>
      <c r="BL3263" s="783"/>
      <c r="BM3263" s="783"/>
      <c r="BN3263" s="783"/>
      <c r="BO3263" s="783"/>
      <c r="BP3263" s="783"/>
      <c r="BQ3263" s="783"/>
      <c r="BR3263" s="783"/>
      <c r="BS3263" s="783"/>
      <c r="BT3263" s="783"/>
      <c r="BU3263" s="783"/>
      <c r="BV3263" s="783"/>
      <c r="BW3263" s="783"/>
      <c r="BX3263" s="783"/>
      <c r="BY3263" s="783"/>
      <c r="BZ3263" s="783"/>
      <c r="CA3263" s="783"/>
      <c r="CB3263" s="783"/>
      <c r="CC3263" s="783"/>
      <c r="CD3263" s="783"/>
      <c r="CE3263" s="783"/>
      <c r="CF3263" s="783"/>
      <c r="CG3263" s="783"/>
      <c r="CH3263" s="783"/>
      <c r="CI3263" s="783"/>
      <c r="CJ3263" s="783"/>
      <c r="CK3263" s="783"/>
    </row>
    <row r="3264" spans="1:89" s="673" customFormat="1" ht="29.25" customHeight="1" x14ac:dyDescent="0.2">
      <c r="A3264" s="989"/>
      <c r="B3264" s="689" t="s">
        <v>228</v>
      </c>
      <c r="C3264" s="789">
        <v>1</v>
      </c>
      <c r="D3264" s="790" t="s">
        <v>60</v>
      </c>
      <c r="E3264" s="758">
        <v>600000</v>
      </c>
      <c r="F3264" s="714">
        <v>0</v>
      </c>
      <c r="G3264" s="714">
        <v>0</v>
      </c>
      <c r="H3264" s="695">
        <v>0</v>
      </c>
      <c r="I3264" s="714">
        <v>0</v>
      </c>
      <c r="J3264" s="714">
        <f t="shared" si="327"/>
        <v>600000</v>
      </c>
      <c r="K3264" s="695">
        <f t="shared" si="328"/>
        <v>600000</v>
      </c>
      <c r="L3264" s="714">
        <v>0</v>
      </c>
      <c r="M3264" s="714">
        <v>0</v>
      </c>
      <c r="N3264" s="714">
        <v>0</v>
      </c>
      <c r="O3264" s="753">
        <f t="shared" si="329"/>
        <v>600000</v>
      </c>
      <c r="P3264" s="754"/>
      <c r="Q3264" s="783"/>
      <c r="R3264" s="783"/>
      <c r="S3264" s="783"/>
      <c r="T3264" s="783"/>
      <c r="U3264" s="783"/>
      <c r="V3264" s="783"/>
      <c r="W3264" s="783"/>
      <c r="X3264" s="783"/>
      <c r="Y3264" s="783"/>
      <c r="Z3264" s="783"/>
      <c r="AA3264" s="783"/>
      <c r="AB3264" s="783"/>
      <c r="AC3264" s="783"/>
      <c r="AD3264" s="783"/>
      <c r="AE3264" s="783"/>
      <c r="AF3264" s="783"/>
      <c r="AG3264" s="783"/>
      <c r="AH3264" s="783"/>
      <c r="AI3264" s="783"/>
      <c r="AJ3264" s="783"/>
      <c r="AK3264" s="783"/>
      <c r="AL3264" s="783"/>
      <c r="AM3264" s="783"/>
      <c r="AN3264" s="783"/>
      <c r="AO3264" s="783"/>
      <c r="AP3264" s="783"/>
      <c r="AQ3264" s="783"/>
      <c r="AR3264" s="783"/>
      <c r="AS3264" s="783"/>
      <c r="AT3264" s="783"/>
      <c r="AU3264" s="783"/>
      <c r="AV3264" s="783"/>
      <c r="AW3264" s="783"/>
      <c r="AX3264" s="783"/>
      <c r="AY3264" s="783"/>
      <c r="AZ3264" s="783"/>
      <c r="BA3264" s="783"/>
      <c r="BB3264" s="783"/>
      <c r="BC3264" s="783"/>
      <c r="BD3264" s="783"/>
      <c r="BE3264" s="783"/>
      <c r="BF3264" s="783"/>
      <c r="BG3264" s="783"/>
      <c r="BH3264" s="783"/>
      <c r="BI3264" s="783"/>
      <c r="BJ3264" s="783"/>
      <c r="BK3264" s="783"/>
      <c r="BL3264" s="783"/>
      <c r="BM3264" s="783"/>
      <c r="BN3264" s="783"/>
      <c r="BO3264" s="783"/>
      <c r="BP3264" s="783"/>
      <c r="BQ3264" s="783"/>
      <c r="BR3264" s="783"/>
      <c r="BS3264" s="783"/>
      <c r="BT3264" s="783"/>
      <c r="BU3264" s="783"/>
      <c r="BV3264" s="783"/>
      <c r="BW3264" s="783"/>
      <c r="BX3264" s="783"/>
      <c r="BY3264" s="783"/>
      <c r="BZ3264" s="783"/>
      <c r="CA3264" s="783"/>
      <c r="CB3264" s="783"/>
      <c r="CC3264" s="783"/>
      <c r="CD3264" s="783"/>
      <c r="CE3264" s="783"/>
      <c r="CF3264" s="783"/>
      <c r="CG3264" s="783"/>
      <c r="CH3264" s="783"/>
      <c r="CI3264" s="783"/>
      <c r="CJ3264" s="783"/>
      <c r="CK3264" s="783"/>
    </row>
    <row r="3265" spans="1:89" s="673" customFormat="1" ht="29.25" customHeight="1" x14ac:dyDescent="0.2">
      <c r="A3265" s="788"/>
      <c r="B3265" s="689" t="s">
        <v>1466</v>
      </c>
      <c r="C3265" s="789">
        <v>1</v>
      </c>
      <c r="D3265" s="790" t="s">
        <v>60</v>
      </c>
      <c r="E3265" s="758">
        <v>375000</v>
      </c>
      <c r="F3265" s="714">
        <v>0</v>
      </c>
      <c r="G3265" s="714">
        <v>0</v>
      </c>
      <c r="H3265" s="695">
        <v>0</v>
      </c>
      <c r="I3265" s="714">
        <v>0</v>
      </c>
      <c r="J3265" s="714">
        <f t="shared" si="327"/>
        <v>375000</v>
      </c>
      <c r="K3265" s="695">
        <f t="shared" si="328"/>
        <v>375000</v>
      </c>
      <c r="L3265" s="714">
        <v>0</v>
      </c>
      <c r="M3265" s="714">
        <v>0</v>
      </c>
      <c r="N3265" s="714">
        <v>0</v>
      </c>
      <c r="O3265" s="753">
        <f t="shared" si="329"/>
        <v>375000</v>
      </c>
      <c r="P3265" s="754"/>
      <c r="Q3265" s="783"/>
      <c r="R3265" s="783"/>
      <c r="S3265" s="783"/>
      <c r="T3265" s="783"/>
      <c r="U3265" s="783"/>
      <c r="V3265" s="783"/>
      <c r="W3265" s="783"/>
      <c r="X3265" s="783"/>
      <c r="Y3265" s="783"/>
      <c r="Z3265" s="783"/>
      <c r="AA3265" s="783"/>
      <c r="AB3265" s="783"/>
      <c r="AC3265" s="783"/>
      <c r="AD3265" s="783"/>
      <c r="AE3265" s="783"/>
      <c r="AF3265" s="783"/>
      <c r="AG3265" s="783"/>
      <c r="AH3265" s="783"/>
      <c r="AI3265" s="783"/>
      <c r="AJ3265" s="783"/>
      <c r="AK3265" s="783"/>
      <c r="AL3265" s="783"/>
      <c r="AM3265" s="783"/>
      <c r="AN3265" s="783"/>
      <c r="AO3265" s="783"/>
      <c r="AP3265" s="783"/>
      <c r="AQ3265" s="783"/>
      <c r="AR3265" s="783"/>
      <c r="AS3265" s="783"/>
      <c r="AT3265" s="783"/>
      <c r="AU3265" s="783"/>
      <c r="AV3265" s="783"/>
      <c r="AW3265" s="783"/>
      <c r="AX3265" s="783"/>
      <c r="AY3265" s="783"/>
      <c r="AZ3265" s="783"/>
      <c r="BA3265" s="783"/>
      <c r="BB3265" s="783"/>
      <c r="BC3265" s="783"/>
      <c r="BD3265" s="783"/>
      <c r="BE3265" s="783"/>
      <c r="BF3265" s="783"/>
      <c r="BG3265" s="783"/>
      <c r="BH3265" s="783"/>
      <c r="BI3265" s="783"/>
      <c r="BJ3265" s="783"/>
      <c r="BK3265" s="783"/>
      <c r="BL3265" s="783"/>
      <c r="BM3265" s="783"/>
      <c r="BN3265" s="783"/>
      <c r="BO3265" s="783"/>
      <c r="BP3265" s="783"/>
      <c r="BQ3265" s="783"/>
      <c r="BR3265" s="783"/>
      <c r="BS3265" s="783"/>
      <c r="BT3265" s="783"/>
      <c r="BU3265" s="783"/>
      <c r="BV3265" s="783"/>
      <c r="BW3265" s="783"/>
      <c r="BX3265" s="783"/>
      <c r="BY3265" s="783"/>
      <c r="BZ3265" s="783"/>
      <c r="CA3265" s="783"/>
      <c r="CB3265" s="783"/>
      <c r="CC3265" s="783"/>
      <c r="CD3265" s="783"/>
      <c r="CE3265" s="783"/>
      <c r="CF3265" s="783"/>
      <c r="CG3265" s="783"/>
      <c r="CH3265" s="783"/>
      <c r="CI3265" s="783"/>
      <c r="CJ3265" s="783"/>
      <c r="CK3265" s="783"/>
    </row>
    <row r="3266" spans="1:89" s="673" customFormat="1" ht="29.25" customHeight="1" x14ac:dyDescent="0.2">
      <c r="A3266" s="989"/>
      <c r="B3266" s="689" t="s">
        <v>1161</v>
      </c>
      <c r="C3266" s="789">
        <v>1</v>
      </c>
      <c r="D3266" s="790" t="s">
        <v>60</v>
      </c>
      <c r="E3266" s="758">
        <v>600000</v>
      </c>
      <c r="F3266" s="714"/>
      <c r="G3266" s="714"/>
      <c r="H3266" s="695">
        <f>G3266+F3266</f>
        <v>0</v>
      </c>
      <c r="I3266" s="714"/>
      <c r="J3266" s="714"/>
      <c r="K3266" s="695">
        <f t="shared" si="328"/>
        <v>0</v>
      </c>
      <c r="L3266" s="714">
        <f>C3266*E3266</f>
        <v>600000</v>
      </c>
      <c r="M3266" s="714"/>
      <c r="N3266" s="714">
        <f>M3266+L3266</f>
        <v>600000</v>
      </c>
      <c r="O3266" s="753">
        <f t="shared" si="329"/>
        <v>600000</v>
      </c>
      <c r="P3266" s="754"/>
      <c r="Q3266" s="783"/>
      <c r="R3266" s="783"/>
      <c r="S3266" s="783"/>
      <c r="T3266" s="783"/>
      <c r="U3266" s="783"/>
      <c r="V3266" s="783"/>
      <c r="W3266" s="783"/>
      <c r="X3266" s="783"/>
      <c r="Y3266" s="783"/>
      <c r="Z3266" s="783"/>
      <c r="AA3266" s="783"/>
      <c r="AB3266" s="783"/>
      <c r="AC3266" s="783"/>
      <c r="AD3266" s="783"/>
      <c r="AE3266" s="783"/>
      <c r="AF3266" s="783"/>
      <c r="AG3266" s="783"/>
      <c r="AH3266" s="783"/>
      <c r="AI3266" s="783"/>
      <c r="AJ3266" s="783"/>
      <c r="AK3266" s="783"/>
      <c r="AL3266" s="783"/>
      <c r="AM3266" s="783"/>
      <c r="AN3266" s="783"/>
      <c r="AO3266" s="783"/>
      <c r="AP3266" s="783"/>
      <c r="AQ3266" s="783"/>
      <c r="AR3266" s="783"/>
      <c r="AS3266" s="783"/>
      <c r="AT3266" s="783"/>
      <c r="AU3266" s="783"/>
      <c r="AV3266" s="783"/>
      <c r="AW3266" s="783"/>
      <c r="AX3266" s="783"/>
      <c r="AY3266" s="783"/>
      <c r="AZ3266" s="783"/>
      <c r="BA3266" s="783"/>
      <c r="BB3266" s="783"/>
      <c r="BC3266" s="783"/>
      <c r="BD3266" s="783"/>
      <c r="BE3266" s="783"/>
      <c r="BF3266" s="783"/>
      <c r="BG3266" s="783"/>
      <c r="BH3266" s="783"/>
      <c r="BI3266" s="783"/>
      <c r="BJ3266" s="783"/>
      <c r="BK3266" s="783"/>
      <c r="BL3266" s="783"/>
      <c r="BM3266" s="783"/>
      <c r="BN3266" s="783"/>
      <c r="BO3266" s="783"/>
      <c r="BP3266" s="783"/>
      <c r="BQ3266" s="783"/>
      <c r="BR3266" s="783"/>
      <c r="BS3266" s="783"/>
      <c r="BT3266" s="783"/>
      <c r="BU3266" s="783"/>
      <c r="BV3266" s="783"/>
      <c r="BW3266" s="783"/>
      <c r="BX3266" s="783"/>
      <c r="BY3266" s="783"/>
      <c r="BZ3266" s="783"/>
      <c r="CA3266" s="783"/>
      <c r="CB3266" s="783"/>
      <c r="CC3266" s="783"/>
      <c r="CD3266" s="783"/>
      <c r="CE3266" s="783"/>
      <c r="CF3266" s="783"/>
      <c r="CG3266" s="783"/>
      <c r="CH3266" s="783"/>
      <c r="CI3266" s="783"/>
      <c r="CJ3266" s="783"/>
      <c r="CK3266" s="783"/>
    </row>
    <row r="3267" spans="1:89" s="673" customFormat="1" ht="29.25" customHeight="1" x14ac:dyDescent="0.2">
      <c r="A3267" s="788"/>
      <c r="B3267" s="689" t="s">
        <v>1467</v>
      </c>
      <c r="C3267" s="789">
        <v>1</v>
      </c>
      <c r="D3267" s="790" t="s">
        <v>60</v>
      </c>
      <c r="E3267" s="758">
        <v>750000</v>
      </c>
      <c r="F3267" s="714"/>
      <c r="G3267" s="714"/>
      <c r="H3267" s="695">
        <f>G3267+F3267</f>
        <v>0</v>
      </c>
      <c r="I3267" s="714"/>
      <c r="J3267" s="714"/>
      <c r="K3267" s="695">
        <f t="shared" si="328"/>
        <v>0</v>
      </c>
      <c r="L3267" s="714">
        <f>C3267*E3267</f>
        <v>750000</v>
      </c>
      <c r="M3267" s="714"/>
      <c r="N3267" s="714">
        <f>M3267+L3267</f>
        <v>750000</v>
      </c>
      <c r="O3267" s="753">
        <f t="shared" si="329"/>
        <v>750000</v>
      </c>
      <c r="P3267" s="754"/>
      <c r="Q3267" s="783"/>
      <c r="R3267" s="783"/>
      <c r="S3267" s="783"/>
      <c r="T3267" s="783"/>
      <c r="U3267" s="783"/>
      <c r="V3267" s="783"/>
      <c r="W3267" s="783"/>
      <c r="X3267" s="783"/>
      <c r="Y3267" s="783"/>
      <c r="Z3267" s="783"/>
      <c r="AA3267" s="783"/>
      <c r="AB3267" s="783"/>
      <c r="AC3267" s="783"/>
      <c r="AD3267" s="783"/>
      <c r="AE3267" s="783"/>
      <c r="AF3267" s="783"/>
      <c r="AG3267" s="783"/>
      <c r="AH3267" s="783"/>
      <c r="AI3267" s="783"/>
      <c r="AJ3267" s="783"/>
      <c r="AK3267" s="783"/>
      <c r="AL3267" s="783"/>
      <c r="AM3267" s="783"/>
      <c r="AN3267" s="783"/>
      <c r="AO3267" s="783"/>
      <c r="AP3267" s="783"/>
      <c r="AQ3267" s="783"/>
      <c r="AR3267" s="783"/>
      <c r="AS3267" s="783"/>
      <c r="AT3267" s="783"/>
      <c r="AU3267" s="783"/>
      <c r="AV3267" s="783"/>
      <c r="AW3267" s="783"/>
      <c r="AX3267" s="783"/>
      <c r="AY3267" s="783"/>
      <c r="AZ3267" s="783"/>
      <c r="BA3267" s="783"/>
      <c r="BB3267" s="783"/>
      <c r="BC3267" s="783"/>
      <c r="BD3267" s="783"/>
      <c r="BE3267" s="783"/>
      <c r="BF3267" s="783"/>
      <c r="BG3267" s="783"/>
      <c r="BH3267" s="783"/>
      <c r="BI3267" s="783"/>
      <c r="BJ3267" s="783"/>
      <c r="BK3267" s="783"/>
      <c r="BL3267" s="783"/>
      <c r="BM3267" s="783"/>
      <c r="BN3267" s="783"/>
      <c r="BO3267" s="783"/>
      <c r="BP3267" s="783"/>
      <c r="BQ3267" s="783"/>
      <c r="BR3267" s="783"/>
      <c r="BS3267" s="783"/>
      <c r="BT3267" s="783"/>
      <c r="BU3267" s="783"/>
      <c r="BV3267" s="783"/>
      <c r="BW3267" s="783"/>
      <c r="BX3267" s="783"/>
      <c r="BY3267" s="783"/>
      <c r="BZ3267" s="783"/>
      <c r="CA3267" s="783"/>
      <c r="CB3267" s="783"/>
      <c r="CC3267" s="783"/>
      <c r="CD3267" s="783"/>
      <c r="CE3267" s="783"/>
      <c r="CF3267" s="783"/>
      <c r="CG3267" s="783"/>
      <c r="CH3267" s="783"/>
      <c r="CI3267" s="783"/>
      <c r="CJ3267" s="783"/>
      <c r="CK3267" s="783"/>
    </row>
    <row r="3268" spans="1:89" s="673" customFormat="1" ht="29.25" customHeight="1" x14ac:dyDescent="0.2">
      <c r="A3268" s="989"/>
      <c r="B3268" s="689" t="s">
        <v>1468</v>
      </c>
      <c r="C3268" s="789">
        <v>1</v>
      </c>
      <c r="D3268" s="790" t="s">
        <v>60</v>
      </c>
      <c r="E3268" s="758">
        <v>750000</v>
      </c>
      <c r="F3268" s="714"/>
      <c r="G3268" s="714"/>
      <c r="H3268" s="695">
        <f>G3268+F3268</f>
        <v>0</v>
      </c>
      <c r="I3268" s="714"/>
      <c r="J3268" s="714"/>
      <c r="K3268" s="695">
        <f t="shared" si="328"/>
        <v>0</v>
      </c>
      <c r="L3268" s="714">
        <f>C3268*E3268</f>
        <v>750000</v>
      </c>
      <c r="M3268" s="714"/>
      <c r="N3268" s="714">
        <f>M3268+L3268</f>
        <v>750000</v>
      </c>
      <c r="O3268" s="753">
        <f t="shared" si="329"/>
        <v>750000</v>
      </c>
      <c r="P3268" s="754"/>
      <c r="Q3268" s="783"/>
      <c r="R3268" s="783"/>
      <c r="S3268" s="783"/>
      <c r="T3268" s="783"/>
      <c r="U3268" s="783"/>
      <c r="V3268" s="783"/>
      <c r="W3268" s="783"/>
      <c r="X3268" s="783"/>
      <c r="Y3268" s="783"/>
      <c r="Z3268" s="783"/>
      <c r="AA3268" s="783"/>
      <c r="AB3268" s="783"/>
      <c r="AC3268" s="783"/>
      <c r="AD3268" s="783"/>
      <c r="AE3268" s="783"/>
      <c r="AF3268" s="783"/>
      <c r="AG3268" s="783"/>
      <c r="AH3268" s="783"/>
      <c r="AI3268" s="783"/>
      <c r="AJ3268" s="783"/>
      <c r="AK3268" s="783"/>
      <c r="AL3268" s="783"/>
      <c r="AM3268" s="783"/>
      <c r="AN3268" s="783"/>
      <c r="AO3268" s="783"/>
      <c r="AP3268" s="783"/>
      <c r="AQ3268" s="783"/>
      <c r="AR3268" s="783"/>
      <c r="AS3268" s="783"/>
      <c r="AT3268" s="783"/>
      <c r="AU3268" s="783"/>
      <c r="AV3268" s="783"/>
      <c r="AW3268" s="783"/>
      <c r="AX3268" s="783"/>
      <c r="AY3268" s="783"/>
      <c r="AZ3268" s="783"/>
      <c r="BA3268" s="783"/>
      <c r="BB3268" s="783"/>
      <c r="BC3268" s="783"/>
      <c r="BD3268" s="783"/>
      <c r="BE3268" s="783"/>
      <c r="BF3268" s="783"/>
      <c r="BG3268" s="783"/>
      <c r="BH3268" s="783"/>
      <c r="BI3268" s="783"/>
      <c r="BJ3268" s="783"/>
      <c r="BK3268" s="783"/>
      <c r="BL3268" s="783"/>
      <c r="BM3268" s="783"/>
      <c r="BN3268" s="783"/>
      <c r="BO3268" s="783"/>
      <c r="BP3268" s="783"/>
      <c r="BQ3268" s="783"/>
      <c r="BR3268" s="783"/>
      <c r="BS3268" s="783"/>
      <c r="BT3268" s="783"/>
      <c r="BU3268" s="783"/>
      <c r="BV3268" s="783"/>
      <c r="BW3268" s="783"/>
      <c r="BX3268" s="783"/>
      <c r="BY3268" s="783"/>
      <c r="BZ3268" s="783"/>
      <c r="CA3268" s="783"/>
      <c r="CB3268" s="783"/>
      <c r="CC3268" s="783"/>
      <c r="CD3268" s="783"/>
      <c r="CE3268" s="783"/>
      <c r="CF3268" s="783"/>
      <c r="CG3268" s="783"/>
      <c r="CH3268" s="783"/>
      <c r="CI3268" s="783"/>
      <c r="CJ3268" s="783"/>
      <c r="CK3268" s="783"/>
    </row>
    <row r="3269" spans="1:89" s="673" customFormat="1" ht="29.25" customHeight="1" x14ac:dyDescent="0.25">
      <c r="A3269" s="788"/>
      <c r="B3269" s="1707" t="s">
        <v>2073</v>
      </c>
      <c r="C3269" s="789">
        <v>1</v>
      </c>
      <c r="D3269" s="790" t="s">
        <v>60</v>
      </c>
      <c r="E3269" s="758">
        <v>500000</v>
      </c>
      <c r="F3269" s="714">
        <v>0</v>
      </c>
      <c r="G3269" s="714">
        <v>0</v>
      </c>
      <c r="H3269" s="695">
        <v>0</v>
      </c>
      <c r="I3269" s="714">
        <v>0</v>
      </c>
      <c r="J3269" s="714">
        <f>E3269*C3269</f>
        <v>500000</v>
      </c>
      <c r="K3269" s="695">
        <f t="shared" si="328"/>
        <v>500000</v>
      </c>
      <c r="L3269" s="714">
        <v>0</v>
      </c>
      <c r="M3269" s="714">
        <v>0</v>
      </c>
      <c r="N3269" s="714">
        <v>0</v>
      </c>
      <c r="O3269" s="753">
        <f t="shared" si="329"/>
        <v>500000</v>
      </c>
      <c r="P3269" s="754"/>
      <c r="Q3269" s="783"/>
      <c r="R3269" s="783"/>
      <c r="S3269" s="783"/>
      <c r="T3269" s="783"/>
      <c r="U3269" s="783"/>
      <c r="V3269" s="783"/>
      <c r="W3269" s="783"/>
      <c r="X3269" s="783"/>
      <c r="Y3269" s="783"/>
      <c r="Z3269" s="783"/>
      <c r="AA3269" s="783"/>
      <c r="AB3269" s="783"/>
      <c r="AC3269" s="783"/>
      <c r="AD3269" s="783"/>
      <c r="AE3269" s="783"/>
      <c r="AF3269" s="783"/>
      <c r="AG3269" s="783"/>
      <c r="AH3269" s="783"/>
      <c r="AI3269" s="783"/>
      <c r="AJ3269" s="783"/>
      <c r="AK3269" s="783"/>
      <c r="AL3269" s="783"/>
      <c r="AM3269" s="783"/>
      <c r="AN3269" s="783"/>
      <c r="AO3269" s="783"/>
      <c r="AP3269" s="783"/>
      <c r="AQ3269" s="783"/>
      <c r="AR3269" s="783"/>
      <c r="AS3269" s="783"/>
      <c r="AT3269" s="783"/>
      <c r="AU3269" s="783"/>
      <c r="AV3269" s="783"/>
      <c r="AW3269" s="783"/>
      <c r="AX3269" s="783"/>
      <c r="AY3269" s="783"/>
      <c r="AZ3269" s="783"/>
      <c r="BA3269" s="783"/>
      <c r="BB3269" s="783"/>
      <c r="BC3269" s="783"/>
      <c r="BD3269" s="783"/>
      <c r="BE3269" s="783"/>
      <c r="BF3269" s="783"/>
      <c r="BG3269" s="783"/>
      <c r="BH3269" s="783"/>
      <c r="BI3269" s="783"/>
      <c r="BJ3269" s="783"/>
      <c r="BK3269" s="783"/>
      <c r="BL3269" s="783"/>
      <c r="BM3269" s="783"/>
      <c r="BN3269" s="783"/>
      <c r="BO3269" s="783"/>
      <c r="BP3269" s="783"/>
      <c r="BQ3269" s="783"/>
      <c r="BR3269" s="783"/>
      <c r="BS3269" s="783"/>
      <c r="BT3269" s="783"/>
      <c r="BU3269" s="783"/>
      <c r="BV3269" s="783"/>
      <c r="BW3269" s="783"/>
      <c r="BX3269" s="783"/>
      <c r="BY3269" s="783"/>
      <c r="BZ3269" s="783"/>
      <c r="CA3269" s="783"/>
      <c r="CB3269" s="783"/>
      <c r="CC3269" s="783"/>
      <c r="CD3269" s="783"/>
      <c r="CE3269" s="783"/>
      <c r="CF3269" s="783"/>
      <c r="CG3269" s="783"/>
      <c r="CH3269" s="783"/>
      <c r="CI3269" s="783"/>
      <c r="CJ3269" s="783"/>
      <c r="CK3269" s="783"/>
    </row>
    <row r="3270" spans="1:89" s="673" customFormat="1" ht="29.25" customHeight="1" x14ac:dyDescent="0.25">
      <c r="A3270" s="788"/>
      <c r="B3270" s="791" t="s">
        <v>2074</v>
      </c>
      <c r="C3270" s="906"/>
      <c r="D3270" s="790"/>
      <c r="E3270" s="758"/>
      <c r="F3270" s="714"/>
      <c r="G3270" s="714"/>
      <c r="H3270" s="695"/>
      <c r="I3270" s="714"/>
      <c r="J3270" s="714">
        <f>E3270*C3270</f>
        <v>0</v>
      </c>
      <c r="K3270" s="695">
        <f t="shared" si="328"/>
        <v>0</v>
      </c>
      <c r="L3270" s="714"/>
      <c r="M3270" s="714"/>
      <c r="N3270" s="714"/>
      <c r="O3270" s="753">
        <f t="shared" si="329"/>
        <v>0</v>
      </c>
      <c r="P3270" s="754"/>
      <c r="Q3270" s="783"/>
      <c r="R3270" s="783"/>
      <c r="S3270" s="783"/>
      <c r="T3270" s="783"/>
      <c r="U3270" s="783"/>
      <c r="V3270" s="783"/>
      <c r="W3270" s="783"/>
      <c r="X3270" s="783"/>
      <c r="Y3270" s="783"/>
      <c r="Z3270" s="783"/>
      <c r="AA3270" s="783"/>
      <c r="AB3270" s="783"/>
      <c r="AC3270" s="783"/>
      <c r="AD3270" s="783"/>
      <c r="AE3270" s="783"/>
      <c r="AF3270" s="783"/>
      <c r="AG3270" s="783"/>
      <c r="AH3270" s="783"/>
      <c r="AI3270" s="783"/>
      <c r="AJ3270" s="783"/>
      <c r="AK3270" s="783"/>
      <c r="AL3270" s="783"/>
      <c r="AM3270" s="783"/>
      <c r="AN3270" s="783"/>
      <c r="AO3270" s="783"/>
      <c r="AP3270" s="783"/>
      <c r="AQ3270" s="783"/>
      <c r="AR3270" s="783"/>
      <c r="AS3270" s="783"/>
      <c r="AT3270" s="783"/>
      <c r="AU3270" s="783"/>
      <c r="AV3270" s="783"/>
      <c r="AW3270" s="783"/>
      <c r="AX3270" s="783"/>
      <c r="AY3270" s="783"/>
      <c r="AZ3270" s="783"/>
      <c r="BA3270" s="783"/>
      <c r="BB3270" s="783"/>
      <c r="BC3270" s="783"/>
      <c r="BD3270" s="783"/>
      <c r="BE3270" s="783"/>
      <c r="BF3270" s="783"/>
      <c r="BG3270" s="783"/>
      <c r="BH3270" s="783"/>
      <c r="BI3270" s="783"/>
      <c r="BJ3270" s="783"/>
      <c r="BK3270" s="783"/>
      <c r="BL3270" s="783"/>
      <c r="BM3270" s="783"/>
      <c r="BN3270" s="783"/>
      <c r="BO3270" s="783"/>
      <c r="BP3270" s="783"/>
      <c r="BQ3270" s="783"/>
      <c r="BR3270" s="783"/>
      <c r="BS3270" s="783"/>
      <c r="BT3270" s="783"/>
      <c r="BU3270" s="783"/>
      <c r="BV3270" s="783"/>
      <c r="BW3270" s="783"/>
      <c r="BX3270" s="783"/>
      <c r="BY3270" s="783"/>
      <c r="BZ3270" s="783"/>
      <c r="CA3270" s="783"/>
      <c r="CB3270" s="783"/>
      <c r="CC3270" s="783"/>
      <c r="CD3270" s="783"/>
      <c r="CE3270" s="783"/>
      <c r="CF3270" s="783"/>
      <c r="CG3270" s="783"/>
      <c r="CH3270" s="783"/>
      <c r="CI3270" s="783"/>
      <c r="CJ3270" s="783"/>
      <c r="CK3270" s="783"/>
    </row>
    <row r="3271" spans="1:89" s="673" customFormat="1" ht="29.25" customHeight="1" x14ac:dyDescent="0.25">
      <c r="A3271" s="788"/>
      <c r="B3271" s="791"/>
      <c r="C3271" s="906"/>
      <c r="D3271" s="790"/>
      <c r="E3271" s="758"/>
      <c r="F3271" s="714"/>
      <c r="G3271" s="714"/>
      <c r="H3271" s="695"/>
      <c r="I3271" s="714"/>
      <c r="J3271" s="714"/>
      <c r="K3271" s="695"/>
      <c r="L3271" s="714"/>
      <c r="M3271" s="714"/>
      <c r="N3271" s="714"/>
      <c r="O3271" s="753"/>
      <c r="P3271" s="754"/>
      <c r="Q3271" s="783"/>
      <c r="R3271" s="783"/>
      <c r="S3271" s="783"/>
      <c r="T3271" s="783"/>
      <c r="U3271" s="783"/>
      <c r="V3271" s="783"/>
      <c r="W3271" s="783"/>
      <c r="X3271" s="783"/>
      <c r="Y3271" s="783"/>
      <c r="Z3271" s="783"/>
      <c r="AA3271" s="783"/>
      <c r="AB3271" s="783"/>
      <c r="AC3271" s="783"/>
      <c r="AD3271" s="783"/>
      <c r="AE3271" s="783"/>
      <c r="AF3271" s="783"/>
      <c r="AG3271" s="783"/>
      <c r="AH3271" s="783"/>
      <c r="AI3271" s="783"/>
      <c r="AJ3271" s="783"/>
      <c r="AK3271" s="783"/>
      <c r="AL3271" s="783"/>
      <c r="AM3271" s="783"/>
      <c r="AN3271" s="783"/>
      <c r="AO3271" s="783"/>
      <c r="AP3271" s="783"/>
      <c r="AQ3271" s="783"/>
      <c r="AR3271" s="783"/>
      <c r="AS3271" s="783"/>
      <c r="AT3271" s="783"/>
      <c r="AU3271" s="783"/>
      <c r="AV3271" s="783"/>
      <c r="AW3271" s="783"/>
      <c r="AX3271" s="783"/>
      <c r="AY3271" s="783"/>
      <c r="AZ3271" s="783"/>
      <c r="BA3271" s="783"/>
      <c r="BB3271" s="783"/>
      <c r="BC3271" s="783"/>
      <c r="BD3271" s="783"/>
      <c r="BE3271" s="783"/>
      <c r="BF3271" s="783"/>
      <c r="BG3271" s="783"/>
      <c r="BH3271" s="783"/>
      <c r="BI3271" s="783"/>
      <c r="BJ3271" s="783"/>
      <c r="BK3271" s="783"/>
      <c r="BL3271" s="783"/>
      <c r="BM3271" s="783"/>
      <c r="BN3271" s="783"/>
      <c r="BO3271" s="783"/>
      <c r="BP3271" s="783"/>
      <c r="BQ3271" s="783"/>
      <c r="BR3271" s="783"/>
      <c r="BS3271" s="783"/>
      <c r="BT3271" s="783"/>
      <c r="BU3271" s="783"/>
      <c r="BV3271" s="783"/>
      <c r="BW3271" s="783"/>
      <c r="BX3271" s="783"/>
      <c r="BY3271" s="783"/>
      <c r="BZ3271" s="783"/>
      <c r="CA3271" s="783"/>
      <c r="CB3271" s="783"/>
      <c r="CC3271" s="783"/>
      <c r="CD3271" s="783"/>
      <c r="CE3271" s="783"/>
      <c r="CF3271" s="783"/>
      <c r="CG3271" s="783"/>
      <c r="CH3271" s="783"/>
      <c r="CI3271" s="783"/>
      <c r="CJ3271" s="783"/>
      <c r="CK3271" s="783"/>
    </row>
    <row r="3272" spans="1:89" s="673" customFormat="1" ht="29.25" customHeight="1" x14ac:dyDescent="0.25">
      <c r="A3272" s="788"/>
      <c r="B3272" s="990" t="s">
        <v>1192</v>
      </c>
      <c r="C3272" s="906"/>
      <c r="D3272" s="790"/>
      <c r="E3272" s="758"/>
      <c r="F3272" s="714"/>
      <c r="G3272" s="714"/>
      <c r="H3272" s="695"/>
      <c r="I3272" s="714"/>
      <c r="J3272" s="714"/>
      <c r="K3272" s="695"/>
      <c r="L3272" s="714"/>
      <c r="M3272" s="714"/>
      <c r="N3272" s="714"/>
      <c r="O3272" s="753"/>
      <c r="P3272" s="754"/>
      <c r="Q3272" s="783"/>
      <c r="R3272" s="783"/>
      <c r="S3272" s="783"/>
      <c r="T3272" s="783"/>
      <c r="U3272" s="783"/>
      <c r="V3272" s="783"/>
      <c r="W3272" s="783"/>
      <c r="X3272" s="783"/>
      <c r="Y3272" s="783"/>
      <c r="Z3272" s="783"/>
      <c r="AA3272" s="783"/>
      <c r="AB3272" s="783"/>
      <c r="AC3272" s="783"/>
      <c r="AD3272" s="783"/>
      <c r="AE3272" s="783"/>
      <c r="AF3272" s="783"/>
      <c r="AG3272" s="783"/>
      <c r="AH3272" s="783"/>
      <c r="AI3272" s="783"/>
      <c r="AJ3272" s="783"/>
      <c r="AK3272" s="783"/>
      <c r="AL3272" s="783"/>
      <c r="AM3272" s="783"/>
      <c r="AN3272" s="783"/>
      <c r="AO3272" s="783"/>
      <c r="AP3272" s="783"/>
      <c r="AQ3272" s="783"/>
      <c r="AR3272" s="783"/>
      <c r="AS3272" s="783"/>
      <c r="AT3272" s="783"/>
      <c r="AU3272" s="783"/>
      <c r="AV3272" s="783"/>
      <c r="AW3272" s="783"/>
      <c r="AX3272" s="783"/>
      <c r="AY3272" s="783"/>
      <c r="AZ3272" s="783"/>
      <c r="BA3272" s="783"/>
      <c r="BB3272" s="783"/>
      <c r="BC3272" s="783"/>
      <c r="BD3272" s="783"/>
      <c r="BE3272" s="783"/>
      <c r="BF3272" s="783"/>
      <c r="BG3272" s="783"/>
      <c r="BH3272" s="783"/>
      <c r="BI3272" s="783"/>
      <c r="BJ3272" s="783"/>
      <c r="BK3272" s="783"/>
      <c r="BL3272" s="783"/>
      <c r="BM3272" s="783"/>
      <c r="BN3272" s="783"/>
      <c r="BO3272" s="783"/>
      <c r="BP3272" s="783"/>
      <c r="BQ3272" s="783"/>
      <c r="BR3272" s="783"/>
      <c r="BS3272" s="783"/>
      <c r="BT3272" s="783"/>
      <c r="BU3272" s="783"/>
      <c r="BV3272" s="783"/>
      <c r="BW3272" s="783"/>
      <c r="BX3272" s="783"/>
      <c r="BY3272" s="783"/>
      <c r="BZ3272" s="783"/>
      <c r="CA3272" s="783"/>
      <c r="CB3272" s="783"/>
      <c r="CC3272" s="783"/>
      <c r="CD3272" s="783"/>
      <c r="CE3272" s="783"/>
      <c r="CF3272" s="783"/>
      <c r="CG3272" s="783"/>
      <c r="CH3272" s="783"/>
      <c r="CI3272" s="783"/>
      <c r="CJ3272" s="783"/>
      <c r="CK3272" s="783"/>
    </row>
    <row r="3273" spans="1:89" s="673" customFormat="1" ht="29.25" customHeight="1" x14ac:dyDescent="0.25">
      <c r="A3273" s="788"/>
      <c r="B3273" s="791" t="s">
        <v>1184</v>
      </c>
      <c r="C3273" s="906">
        <v>1</v>
      </c>
      <c r="D3273" s="790" t="s">
        <v>60</v>
      </c>
      <c r="E3273" s="758">
        <v>77154</v>
      </c>
      <c r="F3273" s="714">
        <v>0</v>
      </c>
      <c r="G3273" s="714">
        <v>0</v>
      </c>
      <c r="H3273" s="695">
        <v>0</v>
      </c>
      <c r="I3273" s="714">
        <v>0</v>
      </c>
      <c r="J3273" s="714">
        <f t="shared" ref="J3273:J3280" si="330">E3273*C3273</f>
        <v>77154</v>
      </c>
      <c r="K3273" s="695">
        <f t="shared" ref="K3273:K3280" si="331">J3273+I3273</f>
        <v>77154</v>
      </c>
      <c r="L3273" s="714">
        <v>0</v>
      </c>
      <c r="M3273" s="714">
        <v>0</v>
      </c>
      <c r="N3273" s="714">
        <v>0</v>
      </c>
      <c r="O3273" s="753">
        <f t="shared" ref="O3273:O3280" si="332">N3273+K3273+H3273</f>
        <v>77154</v>
      </c>
      <c r="P3273" s="754"/>
      <c r="Q3273" s="783"/>
      <c r="R3273" s="783"/>
      <c r="S3273" s="783"/>
      <c r="T3273" s="783"/>
      <c r="U3273" s="783"/>
      <c r="V3273" s="783"/>
      <c r="W3273" s="783"/>
      <c r="X3273" s="783"/>
      <c r="Y3273" s="783"/>
      <c r="Z3273" s="783"/>
      <c r="AA3273" s="783"/>
      <c r="AB3273" s="783"/>
      <c r="AC3273" s="783"/>
      <c r="AD3273" s="783"/>
      <c r="AE3273" s="783"/>
      <c r="AF3273" s="783"/>
      <c r="AG3273" s="783"/>
      <c r="AH3273" s="783"/>
      <c r="AI3273" s="783"/>
      <c r="AJ3273" s="783"/>
      <c r="AK3273" s="783"/>
      <c r="AL3273" s="783"/>
      <c r="AM3273" s="783"/>
      <c r="AN3273" s="783"/>
      <c r="AO3273" s="783"/>
      <c r="AP3273" s="783"/>
      <c r="AQ3273" s="783"/>
      <c r="AR3273" s="783"/>
      <c r="AS3273" s="783"/>
      <c r="AT3273" s="783"/>
      <c r="AU3273" s="783"/>
      <c r="AV3273" s="783"/>
      <c r="AW3273" s="783"/>
      <c r="AX3273" s="783"/>
      <c r="AY3273" s="783"/>
      <c r="AZ3273" s="783"/>
      <c r="BA3273" s="783"/>
      <c r="BB3273" s="783"/>
      <c r="BC3273" s="783"/>
      <c r="BD3273" s="783"/>
      <c r="BE3273" s="783"/>
      <c r="BF3273" s="783"/>
      <c r="BG3273" s="783"/>
      <c r="BH3273" s="783"/>
      <c r="BI3273" s="783"/>
      <c r="BJ3273" s="783"/>
      <c r="BK3273" s="783"/>
      <c r="BL3273" s="783"/>
      <c r="BM3273" s="783"/>
      <c r="BN3273" s="783"/>
      <c r="BO3273" s="783"/>
      <c r="BP3273" s="783"/>
      <c r="BQ3273" s="783"/>
      <c r="BR3273" s="783"/>
      <c r="BS3273" s="783"/>
      <c r="BT3273" s="783"/>
      <c r="BU3273" s="783"/>
      <c r="BV3273" s="783"/>
      <c r="BW3273" s="783"/>
      <c r="BX3273" s="783"/>
      <c r="BY3273" s="783"/>
      <c r="BZ3273" s="783"/>
      <c r="CA3273" s="783"/>
      <c r="CB3273" s="783"/>
      <c r="CC3273" s="783"/>
      <c r="CD3273" s="783"/>
      <c r="CE3273" s="783"/>
      <c r="CF3273" s="783"/>
      <c r="CG3273" s="783"/>
      <c r="CH3273" s="783"/>
      <c r="CI3273" s="783"/>
      <c r="CJ3273" s="783"/>
      <c r="CK3273" s="783"/>
    </row>
    <row r="3274" spans="1:89" s="673" customFormat="1" ht="29.25" customHeight="1" x14ac:dyDescent="0.25">
      <c r="A3274" s="788"/>
      <c r="B3274" s="791" t="s">
        <v>1185</v>
      </c>
      <c r="C3274" s="906">
        <v>1</v>
      </c>
      <c r="D3274" s="790" t="s">
        <v>60</v>
      </c>
      <c r="E3274" s="758">
        <v>500000</v>
      </c>
      <c r="F3274" s="714">
        <v>0</v>
      </c>
      <c r="G3274" s="714">
        <v>0</v>
      </c>
      <c r="H3274" s="695">
        <v>0</v>
      </c>
      <c r="I3274" s="714">
        <v>0</v>
      </c>
      <c r="J3274" s="714">
        <f t="shared" si="330"/>
        <v>500000</v>
      </c>
      <c r="K3274" s="695">
        <f t="shared" si="331"/>
        <v>500000</v>
      </c>
      <c r="L3274" s="714">
        <v>0</v>
      </c>
      <c r="M3274" s="714">
        <v>0</v>
      </c>
      <c r="N3274" s="714">
        <v>0</v>
      </c>
      <c r="O3274" s="753">
        <f t="shared" si="332"/>
        <v>500000</v>
      </c>
      <c r="P3274" s="754"/>
      <c r="Q3274" s="783"/>
      <c r="R3274" s="783"/>
      <c r="S3274" s="783"/>
      <c r="T3274" s="783"/>
      <c r="U3274" s="783"/>
      <c r="V3274" s="783"/>
      <c r="W3274" s="783"/>
      <c r="X3274" s="783"/>
      <c r="Y3274" s="783"/>
      <c r="Z3274" s="783"/>
      <c r="AA3274" s="783"/>
      <c r="AB3274" s="783"/>
      <c r="AC3274" s="783"/>
      <c r="AD3274" s="783"/>
      <c r="AE3274" s="783"/>
      <c r="AF3274" s="783"/>
      <c r="AG3274" s="783"/>
      <c r="AH3274" s="783"/>
      <c r="AI3274" s="783"/>
      <c r="AJ3274" s="783"/>
      <c r="AK3274" s="783"/>
      <c r="AL3274" s="783"/>
      <c r="AM3274" s="783"/>
      <c r="AN3274" s="783"/>
      <c r="AO3274" s="783"/>
      <c r="AP3274" s="783"/>
      <c r="AQ3274" s="783"/>
      <c r="AR3274" s="783"/>
      <c r="AS3274" s="783"/>
      <c r="AT3274" s="783"/>
      <c r="AU3274" s="783"/>
      <c r="AV3274" s="783"/>
      <c r="AW3274" s="783"/>
      <c r="AX3274" s="783"/>
      <c r="AY3274" s="783"/>
      <c r="AZ3274" s="783"/>
      <c r="BA3274" s="783"/>
      <c r="BB3274" s="783"/>
      <c r="BC3274" s="783"/>
      <c r="BD3274" s="783"/>
      <c r="BE3274" s="783"/>
      <c r="BF3274" s="783"/>
      <c r="BG3274" s="783"/>
      <c r="BH3274" s="783"/>
      <c r="BI3274" s="783"/>
      <c r="BJ3274" s="783"/>
      <c r="BK3274" s="783"/>
      <c r="BL3274" s="783"/>
      <c r="BM3274" s="783"/>
      <c r="BN3274" s="783"/>
      <c r="BO3274" s="783"/>
      <c r="BP3274" s="783"/>
      <c r="BQ3274" s="783"/>
      <c r="BR3274" s="783"/>
      <c r="BS3274" s="783"/>
      <c r="BT3274" s="783"/>
      <c r="BU3274" s="783"/>
      <c r="BV3274" s="783"/>
      <c r="BW3274" s="783"/>
      <c r="BX3274" s="783"/>
      <c r="BY3274" s="783"/>
      <c r="BZ3274" s="783"/>
      <c r="CA3274" s="783"/>
      <c r="CB3274" s="783"/>
      <c r="CC3274" s="783"/>
      <c r="CD3274" s="783"/>
      <c r="CE3274" s="783"/>
      <c r="CF3274" s="783"/>
      <c r="CG3274" s="783"/>
      <c r="CH3274" s="783"/>
      <c r="CI3274" s="783"/>
      <c r="CJ3274" s="783"/>
      <c r="CK3274" s="783"/>
    </row>
    <row r="3275" spans="1:89" s="673" customFormat="1" ht="29.25" customHeight="1" x14ac:dyDescent="0.25">
      <c r="A3275" s="788"/>
      <c r="B3275" s="791" t="s">
        <v>1186</v>
      </c>
      <c r="C3275" s="906">
        <v>1</v>
      </c>
      <c r="D3275" s="790" t="s">
        <v>60</v>
      </c>
      <c r="E3275" s="758">
        <v>200000</v>
      </c>
      <c r="F3275" s="714">
        <v>0</v>
      </c>
      <c r="G3275" s="714">
        <v>0</v>
      </c>
      <c r="H3275" s="695">
        <v>0</v>
      </c>
      <c r="I3275" s="714">
        <v>0</v>
      </c>
      <c r="J3275" s="714">
        <f t="shared" si="330"/>
        <v>200000</v>
      </c>
      <c r="K3275" s="695">
        <f t="shared" si="331"/>
        <v>200000</v>
      </c>
      <c r="L3275" s="714">
        <v>0</v>
      </c>
      <c r="M3275" s="714">
        <v>0</v>
      </c>
      <c r="N3275" s="714">
        <v>0</v>
      </c>
      <c r="O3275" s="753">
        <f t="shared" si="332"/>
        <v>200000</v>
      </c>
      <c r="P3275" s="754"/>
      <c r="Q3275" s="783"/>
      <c r="R3275" s="783"/>
      <c r="S3275" s="783"/>
      <c r="T3275" s="783"/>
      <c r="U3275" s="783"/>
      <c r="V3275" s="783"/>
      <c r="W3275" s="783"/>
      <c r="X3275" s="783"/>
      <c r="Y3275" s="783"/>
      <c r="Z3275" s="783"/>
      <c r="AA3275" s="783"/>
      <c r="AB3275" s="783"/>
      <c r="AC3275" s="783"/>
      <c r="AD3275" s="783"/>
      <c r="AE3275" s="783"/>
      <c r="AF3275" s="783"/>
      <c r="AG3275" s="783"/>
      <c r="AH3275" s="783"/>
      <c r="AI3275" s="783"/>
      <c r="AJ3275" s="783"/>
      <c r="AK3275" s="783"/>
      <c r="AL3275" s="783"/>
      <c r="AM3275" s="783"/>
      <c r="AN3275" s="783"/>
      <c r="AO3275" s="783"/>
      <c r="AP3275" s="783"/>
      <c r="AQ3275" s="783"/>
      <c r="AR3275" s="783"/>
      <c r="AS3275" s="783"/>
      <c r="AT3275" s="783"/>
      <c r="AU3275" s="783"/>
      <c r="AV3275" s="783"/>
      <c r="AW3275" s="783"/>
      <c r="AX3275" s="783"/>
      <c r="AY3275" s="783"/>
      <c r="AZ3275" s="783"/>
      <c r="BA3275" s="783"/>
      <c r="BB3275" s="783"/>
      <c r="BC3275" s="783"/>
      <c r="BD3275" s="783"/>
      <c r="BE3275" s="783"/>
      <c r="BF3275" s="783"/>
      <c r="BG3275" s="783"/>
      <c r="BH3275" s="783"/>
      <c r="BI3275" s="783"/>
      <c r="BJ3275" s="783"/>
      <c r="BK3275" s="783"/>
      <c r="BL3275" s="783"/>
      <c r="BM3275" s="783"/>
      <c r="BN3275" s="783"/>
      <c r="BO3275" s="783"/>
      <c r="BP3275" s="783"/>
      <c r="BQ3275" s="783"/>
      <c r="BR3275" s="783"/>
      <c r="BS3275" s="783"/>
      <c r="BT3275" s="783"/>
      <c r="BU3275" s="783"/>
      <c r="BV3275" s="783"/>
      <c r="BW3275" s="783"/>
      <c r="BX3275" s="783"/>
      <c r="BY3275" s="783"/>
      <c r="BZ3275" s="783"/>
      <c r="CA3275" s="783"/>
      <c r="CB3275" s="783"/>
      <c r="CC3275" s="783"/>
      <c r="CD3275" s="783"/>
      <c r="CE3275" s="783"/>
      <c r="CF3275" s="783"/>
      <c r="CG3275" s="783"/>
      <c r="CH3275" s="783"/>
      <c r="CI3275" s="783"/>
      <c r="CJ3275" s="783"/>
      <c r="CK3275" s="783"/>
    </row>
    <row r="3276" spans="1:89" s="673" customFormat="1" ht="29.25" customHeight="1" x14ac:dyDescent="0.25">
      <c r="A3276" s="788"/>
      <c r="B3276" s="791" t="s">
        <v>1472</v>
      </c>
      <c r="C3276" s="906">
        <v>1</v>
      </c>
      <c r="D3276" s="790" t="s">
        <v>60</v>
      </c>
      <c r="E3276" s="758">
        <v>300000</v>
      </c>
      <c r="F3276" s="714">
        <v>0</v>
      </c>
      <c r="G3276" s="714">
        <v>0</v>
      </c>
      <c r="H3276" s="695">
        <v>0</v>
      </c>
      <c r="I3276" s="714">
        <v>0</v>
      </c>
      <c r="J3276" s="714">
        <f t="shared" si="330"/>
        <v>300000</v>
      </c>
      <c r="K3276" s="695">
        <f t="shared" si="331"/>
        <v>300000</v>
      </c>
      <c r="L3276" s="714">
        <v>0</v>
      </c>
      <c r="M3276" s="714">
        <v>0</v>
      </c>
      <c r="N3276" s="714">
        <v>0</v>
      </c>
      <c r="O3276" s="753">
        <f t="shared" si="332"/>
        <v>300000</v>
      </c>
      <c r="P3276" s="754"/>
      <c r="Q3276" s="783"/>
      <c r="R3276" s="783"/>
      <c r="S3276" s="783"/>
      <c r="T3276" s="783"/>
      <c r="U3276" s="783"/>
      <c r="V3276" s="783"/>
      <c r="W3276" s="783"/>
      <c r="X3276" s="783"/>
      <c r="Y3276" s="783"/>
      <c r="Z3276" s="783"/>
      <c r="AA3276" s="783"/>
      <c r="AB3276" s="783"/>
      <c r="AC3276" s="783"/>
      <c r="AD3276" s="783"/>
      <c r="AE3276" s="783"/>
      <c r="AF3276" s="783"/>
      <c r="AG3276" s="783"/>
      <c r="AH3276" s="783"/>
      <c r="AI3276" s="783"/>
      <c r="AJ3276" s="783"/>
      <c r="AK3276" s="783"/>
      <c r="AL3276" s="783"/>
      <c r="AM3276" s="783"/>
      <c r="AN3276" s="783"/>
      <c r="AO3276" s="783"/>
      <c r="AP3276" s="783"/>
      <c r="AQ3276" s="783"/>
      <c r="AR3276" s="783"/>
      <c r="AS3276" s="783"/>
      <c r="AT3276" s="783"/>
      <c r="AU3276" s="783"/>
      <c r="AV3276" s="783"/>
      <c r="AW3276" s="783"/>
      <c r="AX3276" s="783"/>
      <c r="AY3276" s="783"/>
      <c r="AZ3276" s="783"/>
      <c r="BA3276" s="783"/>
      <c r="BB3276" s="783"/>
      <c r="BC3276" s="783"/>
      <c r="BD3276" s="783"/>
      <c r="BE3276" s="783"/>
      <c r="BF3276" s="783"/>
      <c r="BG3276" s="783"/>
      <c r="BH3276" s="783"/>
      <c r="BI3276" s="783"/>
      <c r="BJ3276" s="783"/>
      <c r="BK3276" s="783"/>
      <c r="BL3276" s="783"/>
      <c r="BM3276" s="783"/>
      <c r="BN3276" s="783"/>
      <c r="BO3276" s="783"/>
      <c r="BP3276" s="783"/>
      <c r="BQ3276" s="783"/>
      <c r="BR3276" s="783"/>
      <c r="BS3276" s="783"/>
      <c r="BT3276" s="783"/>
      <c r="BU3276" s="783"/>
      <c r="BV3276" s="783"/>
      <c r="BW3276" s="783"/>
      <c r="BX3276" s="783"/>
      <c r="BY3276" s="783"/>
      <c r="BZ3276" s="783"/>
      <c r="CA3276" s="783"/>
      <c r="CB3276" s="783"/>
      <c r="CC3276" s="783"/>
      <c r="CD3276" s="783"/>
      <c r="CE3276" s="783"/>
      <c r="CF3276" s="783"/>
      <c r="CG3276" s="783"/>
      <c r="CH3276" s="783"/>
      <c r="CI3276" s="783"/>
      <c r="CJ3276" s="783"/>
      <c r="CK3276" s="783"/>
    </row>
    <row r="3277" spans="1:89" s="673" customFormat="1" ht="29.25" customHeight="1" x14ac:dyDescent="0.25">
      <c r="A3277" s="788"/>
      <c r="B3277" s="791" t="s">
        <v>510</v>
      </c>
      <c r="C3277" s="906">
        <v>1</v>
      </c>
      <c r="D3277" s="790" t="s">
        <v>60</v>
      </c>
      <c r="E3277" s="758">
        <v>840000</v>
      </c>
      <c r="F3277" s="714">
        <v>0</v>
      </c>
      <c r="G3277" s="714">
        <v>0</v>
      </c>
      <c r="H3277" s="695">
        <v>0</v>
      </c>
      <c r="I3277" s="714">
        <v>0</v>
      </c>
      <c r="J3277" s="714">
        <f t="shared" si="330"/>
        <v>840000</v>
      </c>
      <c r="K3277" s="695">
        <f t="shared" si="331"/>
        <v>840000</v>
      </c>
      <c r="L3277" s="714">
        <v>0</v>
      </c>
      <c r="M3277" s="714">
        <v>0</v>
      </c>
      <c r="N3277" s="714">
        <v>0</v>
      </c>
      <c r="O3277" s="753">
        <f t="shared" si="332"/>
        <v>840000</v>
      </c>
      <c r="P3277" s="754"/>
      <c r="Q3277" s="783"/>
      <c r="R3277" s="783"/>
      <c r="S3277" s="783"/>
      <c r="T3277" s="783"/>
      <c r="U3277" s="783"/>
      <c r="V3277" s="783"/>
      <c r="W3277" s="783"/>
      <c r="X3277" s="783"/>
      <c r="Y3277" s="783"/>
      <c r="Z3277" s="783"/>
      <c r="AA3277" s="783"/>
      <c r="AB3277" s="783"/>
      <c r="AC3277" s="783"/>
      <c r="AD3277" s="783"/>
      <c r="AE3277" s="783"/>
      <c r="AF3277" s="783"/>
      <c r="AG3277" s="783"/>
      <c r="AH3277" s="783"/>
      <c r="AI3277" s="783"/>
      <c r="AJ3277" s="783"/>
      <c r="AK3277" s="783"/>
      <c r="AL3277" s="783"/>
      <c r="AM3277" s="783"/>
      <c r="AN3277" s="783"/>
      <c r="AO3277" s="783"/>
      <c r="AP3277" s="783"/>
      <c r="AQ3277" s="783"/>
      <c r="AR3277" s="783"/>
      <c r="AS3277" s="783"/>
      <c r="AT3277" s="783"/>
      <c r="AU3277" s="783"/>
      <c r="AV3277" s="783"/>
      <c r="AW3277" s="783"/>
      <c r="AX3277" s="783"/>
      <c r="AY3277" s="783"/>
      <c r="AZ3277" s="783"/>
      <c r="BA3277" s="783"/>
      <c r="BB3277" s="783"/>
      <c r="BC3277" s="783"/>
      <c r="BD3277" s="783"/>
      <c r="BE3277" s="783"/>
      <c r="BF3277" s="783"/>
      <c r="BG3277" s="783"/>
      <c r="BH3277" s="783"/>
      <c r="BI3277" s="783"/>
      <c r="BJ3277" s="783"/>
      <c r="BK3277" s="783"/>
      <c r="BL3277" s="783"/>
      <c r="BM3277" s="783"/>
      <c r="BN3277" s="783"/>
      <c r="BO3277" s="783"/>
      <c r="BP3277" s="783"/>
      <c r="BQ3277" s="783"/>
      <c r="BR3277" s="783"/>
      <c r="BS3277" s="783"/>
      <c r="BT3277" s="783"/>
      <c r="BU3277" s="783"/>
      <c r="BV3277" s="783"/>
      <c r="BW3277" s="783"/>
      <c r="BX3277" s="783"/>
      <c r="BY3277" s="783"/>
      <c r="BZ3277" s="783"/>
      <c r="CA3277" s="783"/>
      <c r="CB3277" s="783"/>
      <c r="CC3277" s="783"/>
      <c r="CD3277" s="783"/>
      <c r="CE3277" s="783"/>
      <c r="CF3277" s="783"/>
      <c r="CG3277" s="783"/>
      <c r="CH3277" s="783"/>
      <c r="CI3277" s="783"/>
      <c r="CJ3277" s="783"/>
      <c r="CK3277" s="783"/>
    </row>
    <row r="3278" spans="1:89" s="673" customFormat="1" ht="39" customHeight="1" x14ac:dyDescent="0.25">
      <c r="A3278" s="788"/>
      <c r="B3278" s="791" t="s">
        <v>1187</v>
      </c>
      <c r="C3278" s="906">
        <v>1</v>
      </c>
      <c r="D3278" s="790" t="s">
        <v>60</v>
      </c>
      <c r="E3278" s="758">
        <v>214208</v>
      </c>
      <c r="F3278" s="714">
        <v>0</v>
      </c>
      <c r="G3278" s="714">
        <v>0</v>
      </c>
      <c r="H3278" s="695">
        <v>0</v>
      </c>
      <c r="I3278" s="714">
        <v>0</v>
      </c>
      <c r="J3278" s="714">
        <f t="shared" si="330"/>
        <v>214208</v>
      </c>
      <c r="K3278" s="695">
        <f t="shared" si="331"/>
        <v>214208</v>
      </c>
      <c r="L3278" s="714">
        <v>0</v>
      </c>
      <c r="M3278" s="714">
        <v>0</v>
      </c>
      <c r="N3278" s="714">
        <v>0</v>
      </c>
      <c r="O3278" s="753">
        <f t="shared" si="332"/>
        <v>214208</v>
      </c>
      <c r="P3278" s="754"/>
      <c r="Q3278" s="783"/>
      <c r="R3278" s="783"/>
      <c r="S3278" s="783"/>
      <c r="T3278" s="783"/>
      <c r="U3278" s="783"/>
      <c r="V3278" s="783"/>
      <c r="W3278" s="783"/>
      <c r="X3278" s="783"/>
      <c r="Y3278" s="783"/>
      <c r="Z3278" s="783"/>
      <c r="AA3278" s="783"/>
      <c r="AB3278" s="783"/>
      <c r="AC3278" s="783"/>
      <c r="AD3278" s="783"/>
      <c r="AE3278" s="783"/>
      <c r="AF3278" s="783"/>
      <c r="AG3278" s="783"/>
      <c r="AH3278" s="783"/>
      <c r="AI3278" s="783"/>
      <c r="AJ3278" s="783"/>
      <c r="AK3278" s="783"/>
      <c r="AL3278" s="783"/>
      <c r="AM3278" s="783"/>
      <c r="AN3278" s="783"/>
      <c r="AO3278" s="783"/>
      <c r="AP3278" s="783"/>
      <c r="AQ3278" s="783"/>
      <c r="AR3278" s="783"/>
      <c r="AS3278" s="783"/>
      <c r="AT3278" s="783"/>
      <c r="AU3278" s="783"/>
      <c r="AV3278" s="783"/>
      <c r="AW3278" s="783"/>
      <c r="AX3278" s="783"/>
      <c r="AY3278" s="783"/>
      <c r="AZ3278" s="783"/>
      <c r="BA3278" s="783"/>
      <c r="BB3278" s="783"/>
      <c r="BC3278" s="783"/>
      <c r="BD3278" s="783"/>
      <c r="BE3278" s="783"/>
      <c r="BF3278" s="783"/>
      <c r="BG3278" s="783"/>
      <c r="BH3278" s="783"/>
      <c r="BI3278" s="783"/>
      <c r="BJ3278" s="783"/>
      <c r="BK3278" s="783"/>
      <c r="BL3278" s="783"/>
      <c r="BM3278" s="783"/>
      <c r="BN3278" s="783"/>
      <c r="BO3278" s="783"/>
      <c r="BP3278" s="783"/>
      <c r="BQ3278" s="783"/>
      <c r="BR3278" s="783"/>
      <c r="BS3278" s="783"/>
      <c r="BT3278" s="783"/>
      <c r="BU3278" s="783"/>
      <c r="BV3278" s="783"/>
      <c r="BW3278" s="783"/>
      <c r="BX3278" s="783"/>
      <c r="BY3278" s="783"/>
      <c r="BZ3278" s="783"/>
      <c r="CA3278" s="783"/>
      <c r="CB3278" s="783"/>
      <c r="CC3278" s="783"/>
      <c r="CD3278" s="783"/>
      <c r="CE3278" s="783"/>
      <c r="CF3278" s="783"/>
      <c r="CG3278" s="783"/>
      <c r="CH3278" s="783"/>
      <c r="CI3278" s="783"/>
      <c r="CJ3278" s="783"/>
      <c r="CK3278" s="783"/>
    </row>
    <row r="3279" spans="1:89" s="673" customFormat="1" ht="39" customHeight="1" x14ac:dyDescent="0.25">
      <c r="A3279" s="788"/>
      <c r="B3279" s="791" t="s">
        <v>2331</v>
      </c>
      <c r="C3279" s="906">
        <v>1</v>
      </c>
      <c r="D3279" s="790" t="s">
        <v>60</v>
      </c>
      <c r="E3279" s="758">
        <f>214208+50</f>
        <v>214258</v>
      </c>
      <c r="F3279" s="714">
        <v>0</v>
      </c>
      <c r="G3279" s="714">
        <v>0</v>
      </c>
      <c r="H3279" s="695">
        <v>0</v>
      </c>
      <c r="I3279" s="714">
        <v>0</v>
      </c>
      <c r="J3279" s="714">
        <f>E3279*C3279</f>
        <v>214258</v>
      </c>
      <c r="K3279" s="695">
        <f>J3279+I3279</f>
        <v>214258</v>
      </c>
      <c r="L3279" s="714">
        <v>0</v>
      </c>
      <c r="M3279" s="714">
        <v>0</v>
      </c>
      <c r="N3279" s="714">
        <v>0</v>
      </c>
      <c r="O3279" s="753">
        <f>N3279+K3279+H3279</f>
        <v>214258</v>
      </c>
      <c r="P3279" s="754"/>
      <c r="Q3279" s="783"/>
      <c r="R3279" s="783"/>
      <c r="S3279" s="783"/>
      <c r="T3279" s="783"/>
      <c r="U3279" s="783"/>
      <c r="V3279" s="783"/>
      <c r="W3279" s="783"/>
      <c r="X3279" s="783"/>
      <c r="Y3279" s="783"/>
      <c r="Z3279" s="783"/>
      <c r="AA3279" s="783"/>
      <c r="AB3279" s="783"/>
      <c r="AC3279" s="783"/>
      <c r="AD3279" s="783"/>
      <c r="AE3279" s="783"/>
      <c r="AF3279" s="783"/>
      <c r="AG3279" s="783"/>
      <c r="AH3279" s="783"/>
      <c r="AI3279" s="783"/>
      <c r="AJ3279" s="783"/>
      <c r="AK3279" s="783"/>
      <c r="AL3279" s="783"/>
      <c r="AM3279" s="783"/>
      <c r="AN3279" s="783"/>
      <c r="AO3279" s="783"/>
      <c r="AP3279" s="783"/>
      <c r="AQ3279" s="783"/>
      <c r="AR3279" s="783"/>
      <c r="AS3279" s="783"/>
      <c r="AT3279" s="783"/>
      <c r="AU3279" s="783"/>
      <c r="AV3279" s="783"/>
      <c r="AW3279" s="783"/>
      <c r="AX3279" s="783"/>
      <c r="AY3279" s="783"/>
      <c r="AZ3279" s="783"/>
      <c r="BA3279" s="783"/>
      <c r="BB3279" s="783"/>
      <c r="BC3279" s="783"/>
      <c r="BD3279" s="783"/>
      <c r="BE3279" s="783"/>
      <c r="BF3279" s="783"/>
      <c r="BG3279" s="783"/>
      <c r="BH3279" s="783"/>
      <c r="BI3279" s="783"/>
      <c r="BJ3279" s="783"/>
      <c r="BK3279" s="783"/>
      <c r="BL3279" s="783"/>
      <c r="BM3279" s="783"/>
      <c r="BN3279" s="783"/>
      <c r="BO3279" s="783"/>
      <c r="BP3279" s="783"/>
      <c r="BQ3279" s="783"/>
      <c r="BR3279" s="783"/>
      <c r="BS3279" s="783"/>
      <c r="BT3279" s="783"/>
      <c r="BU3279" s="783"/>
      <c r="BV3279" s="783"/>
      <c r="BW3279" s="783"/>
      <c r="BX3279" s="783"/>
      <c r="BY3279" s="783"/>
      <c r="BZ3279" s="783"/>
      <c r="CA3279" s="783"/>
      <c r="CB3279" s="783"/>
      <c r="CC3279" s="783"/>
      <c r="CD3279" s="783"/>
      <c r="CE3279" s="783"/>
      <c r="CF3279" s="783"/>
      <c r="CG3279" s="783"/>
      <c r="CH3279" s="783"/>
      <c r="CI3279" s="783"/>
      <c r="CJ3279" s="783"/>
      <c r="CK3279" s="783"/>
    </row>
    <row r="3280" spans="1:89" s="673" customFormat="1" ht="29.25" customHeight="1" x14ac:dyDescent="0.25">
      <c r="A3280" s="788"/>
      <c r="B3280" s="791" t="s">
        <v>1473</v>
      </c>
      <c r="C3280" s="906">
        <v>1</v>
      </c>
      <c r="D3280" s="790" t="s">
        <v>60</v>
      </c>
      <c r="E3280" s="758">
        <v>500000</v>
      </c>
      <c r="F3280" s="714">
        <v>0</v>
      </c>
      <c r="G3280" s="714">
        <v>0</v>
      </c>
      <c r="H3280" s="695">
        <v>0</v>
      </c>
      <c r="I3280" s="714">
        <v>0</v>
      </c>
      <c r="J3280" s="714">
        <f t="shared" si="330"/>
        <v>500000</v>
      </c>
      <c r="K3280" s="695">
        <f t="shared" si="331"/>
        <v>500000</v>
      </c>
      <c r="L3280" s="714">
        <v>0</v>
      </c>
      <c r="M3280" s="714">
        <v>0</v>
      </c>
      <c r="N3280" s="714">
        <v>0</v>
      </c>
      <c r="O3280" s="753">
        <f t="shared" si="332"/>
        <v>500000</v>
      </c>
      <c r="P3280" s="754"/>
      <c r="Q3280" s="783"/>
      <c r="R3280" s="783"/>
      <c r="S3280" s="783"/>
      <c r="T3280" s="783"/>
      <c r="U3280" s="783"/>
      <c r="V3280" s="783"/>
      <c r="W3280" s="783"/>
      <c r="X3280" s="783"/>
      <c r="Y3280" s="783"/>
      <c r="Z3280" s="783"/>
      <c r="AA3280" s="783"/>
      <c r="AB3280" s="783"/>
      <c r="AC3280" s="783"/>
      <c r="AD3280" s="783"/>
      <c r="AE3280" s="783"/>
      <c r="AF3280" s="783"/>
      <c r="AG3280" s="783"/>
      <c r="AH3280" s="783"/>
      <c r="AI3280" s="783"/>
      <c r="AJ3280" s="783"/>
      <c r="AK3280" s="783"/>
      <c r="AL3280" s="783"/>
      <c r="AM3280" s="783"/>
      <c r="AN3280" s="783"/>
      <c r="AO3280" s="783"/>
      <c r="AP3280" s="783"/>
      <c r="AQ3280" s="783"/>
      <c r="AR3280" s="783"/>
      <c r="AS3280" s="783"/>
      <c r="AT3280" s="783"/>
      <c r="AU3280" s="783"/>
      <c r="AV3280" s="783"/>
      <c r="AW3280" s="783"/>
      <c r="AX3280" s="783"/>
      <c r="AY3280" s="783"/>
      <c r="AZ3280" s="783"/>
      <c r="BA3280" s="783"/>
      <c r="BB3280" s="783"/>
      <c r="BC3280" s="783"/>
      <c r="BD3280" s="783"/>
      <c r="BE3280" s="783"/>
      <c r="BF3280" s="783"/>
      <c r="BG3280" s="783"/>
      <c r="BH3280" s="783"/>
      <c r="BI3280" s="783"/>
      <c r="BJ3280" s="783"/>
      <c r="BK3280" s="783"/>
      <c r="BL3280" s="783"/>
      <c r="BM3280" s="783"/>
      <c r="BN3280" s="783"/>
      <c r="BO3280" s="783"/>
      <c r="BP3280" s="783"/>
      <c r="BQ3280" s="783"/>
      <c r="BR3280" s="783"/>
      <c r="BS3280" s="783"/>
      <c r="BT3280" s="783"/>
      <c r="BU3280" s="783"/>
      <c r="BV3280" s="783"/>
      <c r="BW3280" s="783"/>
      <c r="BX3280" s="783"/>
      <c r="BY3280" s="783"/>
      <c r="BZ3280" s="783"/>
      <c r="CA3280" s="783"/>
      <c r="CB3280" s="783"/>
      <c r="CC3280" s="783"/>
      <c r="CD3280" s="783"/>
      <c r="CE3280" s="783"/>
      <c r="CF3280" s="783"/>
      <c r="CG3280" s="783"/>
      <c r="CH3280" s="783"/>
      <c r="CI3280" s="783"/>
      <c r="CJ3280" s="783"/>
      <c r="CK3280" s="783"/>
    </row>
    <row r="3281" spans="1:89" s="673" customFormat="1" ht="29.25" customHeight="1" thickBot="1" x14ac:dyDescent="0.3">
      <c r="A3281" s="1740"/>
      <c r="B3281" s="1741"/>
      <c r="C3281" s="1742"/>
      <c r="D3281" s="1743"/>
      <c r="E3281" s="1744"/>
      <c r="F3281" s="1745"/>
      <c r="G3281" s="1745"/>
      <c r="H3281" s="1746"/>
      <c r="I3281" s="1745"/>
      <c r="J3281" s="1745"/>
      <c r="K3281" s="1746"/>
      <c r="L3281" s="1745"/>
      <c r="M3281" s="1745"/>
      <c r="N3281" s="1745"/>
      <c r="O3281" s="1747"/>
      <c r="P3281" s="754"/>
      <c r="Q3281" s="783"/>
      <c r="R3281" s="783"/>
      <c r="S3281" s="783"/>
      <c r="T3281" s="783"/>
      <c r="U3281" s="783"/>
      <c r="V3281" s="783"/>
      <c r="W3281" s="783"/>
      <c r="X3281" s="783"/>
      <c r="Y3281" s="783"/>
      <c r="Z3281" s="783"/>
      <c r="AA3281" s="783"/>
      <c r="AB3281" s="783"/>
      <c r="AC3281" s="783"/>
      <c r="AD3281" s="783"/>
      <c r="AE3281" s="783"/>
      <c r="AF3281" s="783"/>
      <c r="AG3281" s="783"/>
      <c r="AH3281" s="783"/>
      <c r="AI3281" s="783"/>
      <c r="AJ3281" s="783"/>
      <c r="AK3281" s="783"/>
      <c r="AL3281" s="783"/>
      <c r="AM3281" s="783"/>
      <c r="AN3281" s="783"/>
      <c r="AO3281" s="783"/>
      <c r="AP3281" s="783"/>
      <c r="AQ3281" s="783"/>
      <c r="AR3281" s="783"/>
      <c r="AS3281" s="783"/>
      <c r="AT3281" s="783"/>
      <c r="AU3281" s="783"/>
      <c r="AV3281" s="783"/>
      <c r="AW3281" s="783"/>
      <c r="AX3281" s="783"/>
      <c r="AY3281" s="783"/>
      <c r="AZ3281" s="783"/>
      <c r="BA3281" s="783"/>
      <c r="BB3281" s="783"/>
      <c r="BC3281" s="783"/>
      <c r="BD3281" s="783"/>
      <c r="BE3281" s="783"/>
      <c r="BF3281" s="783"/>
      <c r="BG3281" s="783"/>
      <c r="BH3281" s="783"/>
      <c r="BI3281" s="783"/>
      <c r="BJ3281" s="783"/>
      <c r="BK3281" s="783"/>
      <c r="BL3281" s="783"/>
      <c r="BM3281" s="783"/>
      <c r="BN3281" s="783"/>
      <c r="BO3281" s="783"/>
      <c r="BP3281" s="783"/>
      <c r="BQ3281" s="783"/>
      <c r="BR3281" s="783"/>
      <c r="BS3281" s="783"/>
      <c r="BT3281" s="783"/>
      <c r="BU3281" s="783"/>
      <c r="BV3281" s="783"/>
      <c r="BW3281" s="783"/>
      <c r="BX3281" s="783"/>
      <c r="BY3281" s="783"/>
      <c r="BZ3281" s="783"/>
      <c r="CA3281" s="783"/>
      <c r="CB3281" s="783"/>
      <c r="CC3281" s="783"/>
      <c r="CD3281" s="783"/>
      <c r="CE3281" s="783"/>
      <c r="CF3281" s="783"/>
      <c r="CG3281" s="783"/>
      <c r="CH3281" s="783"/>
      <c r="CI3281" s="783"/>
      <c r="CJ3281" s="783"/>
      <c r="CK3281" s="783"/>
    </row>
    <row r="3282" spans="1:89" s="676" customFormat="1" ht="38.25" customHeight="1" thickBot="1" x14ac:dyDescent="0.3">
      <c r="A3282" s="1809">
        <v>41</v>
      </c>
      <c r="B3282" s="1810" t="s">
        <v>240</v>
      </c>
      <c r="C3282" s="1811"/>
      <c r="D3282" s="1812"/>
      <c r="E3282" s="1813"/>
      <c r="F3282" s="1814">
        <f>SUM(F3284:F4397)</f>
        <v>74401084</v>
      </c>
      <c r="G3282" s="1814">
        <f>SUM(G3284:G4397)</f>
        <v>0</v>
      </c>
      <c r="H3282" s="1814">
        <f>F3282+G3282</f>
        <v>74401084</v>
      </c>
      <c r="I3282" s="1814">
        <f>SUM(I3284:I4397)</f>
        <v>9166209</v>
      </c>
      <c r="J3282" s="1814">
        <f>SUM(J3284:J4397)</f>
        <v>38812494.46486</v>
      </c>
      <c r="K3282" s="1814">
        <f>I3282+J3282</f>
        <v>47978703.46486</v>
      </c>
      <c r="L3282" s="1814">
        <f>SUM(L3284:L4397)</f>
        <v>16136140</v>
      </c>
      <c r="M3282" s="1814">
        <f>SUM(M3284:M4397)</f>
        <v>14000000</v>
      </c>
      <c r="N3282" s="1814">
        <f>L3282+M3282</f>
        <v>30136140</v>
      </c>
      <c r="O3282" s="1815">
        <f>N3282+K3282+H3282</f>
        <v>152515927.46485999</v>
      </c>
      <c r="P3282" s="823"/>
      <c r="Q3282" s="1822"/>
      <c r="R3282" s="1822"/>
      <c r="S3282" s="1822"/>
      <c r="T3282" s="1822"/>
      <c r="U3282" s="1822"/>
      <c r="V3282" s="1822"/>
      <c r="W3282" s="1822"/>
      <c r="X3282" s="1822"/>
      <c r="Y3282" s="1822"/>
      <c r="Z3282" s="1822"/>
      <c r="AA3282" s="1822"/>
      <c r="AB3282" s="1822"/>
      <c r="AC3282" s="1822"/>
      <c r="AD3282" s="1822"/>
      <c r="AE3282" s="1822"/>
      <c r="AF3282" s="1822"/>
      <c r="AG3282" s="1822"/>
      <c r="AH3282" s="1822"/>
      <c r="AI3282" s="1822"/>
      <c r="AJ3282" s="1822"/>
      <c r="AK3282" s="1822"/>
      <c r="AL3282" s="1822"/>
      <c r="AM3282" s="1822"/>
      <c r="AN3282" s="1822"/>
      <c r="AO3282" s="1822"/>
      <c r="AP3282" s="1822"/>
      <c r="AQ3282" s="1822"/>
      <c r="AR3282" s="1822"/>
      <c r="AS3282" s="1822"/>
      <c r="AT3282" s="1822"/>
      <c r="AU3282" s="1822"/>
      <c r="AV3282" s="1822"/>
      <c r="AW3282" s="1822"/>
      <c r="AX3282" s="1822"/>
      <c r="AY3282" s="1822"/>
      <c r="AZ3282" s="1822"/>
      <c r="BA3282" s="1822"/>
      <c r="BB3282" s="1822"/>
      <c r="BC3282" s="1822"/>
      <c r="BD3282" s="1822"/>
      <c r="BE3282" s="1822"/>
      <c r="BF3282" s="1822"/>
      <c r="BG3282" s="1822"/>
      <c r="BH3282" s="1822"/>
      <c r="BI3282" s="1822"/>
      <c r="BJ3282" s="1822"/>
      <c r="BK3282" s="1822"/>
      <c r="BL3282" s="1822"/>
      <c r="BM3282" s="1822"/>
      <c r="BN3282" s="1822"/>
      <c r="BO3282" s="1822"/>
      <c r="BP3282" s="1822"/>
      <c r="BQ3282" s="1822"/>
      <c r="BR3282" s="1822"/>
      <c r="BS3282" s="1822"/>
      <c r="BT3282" s="1822"/>
      <c r="BU3282" s="1822"/>
      <c r="BV3282" s="1822"/>
      <c r="BW3282" s="1822"/>
      <c r="BX3282" s="1822"/>
      <c r="BY3282" s="1822"/>
      <c r="BZ3282" s="1822"/>
      <c r="CA3282" s="1822"/>
      <c r="CB3282" s="1822"/>
      <c r="CC3282" s="1822"/>
      <c r="CD3282" s="1822"/>
      <c r="CE3282" s="1822"/>
      <c r="CF3282" s="1822"/>
      <c r="CG3282" s="1822"/>
      <c r="CH3282" s="1822"/>
      <c r="CI3282" s="1822"/>
      <c r="CJ3282" s="1822"/>
      <c r="CK3282" s="1822"/>
    </row>
    <row r="3283" spans="1:89" s="675" customFormat="1" ht="16.5" customHeight="1" x14ac:dyDescent="0.25">
      <c r="A3283" s="936"/>
      <c r="B3283" s="991"/>
      <c r="C3283" s="992"/>
      <c r="D3283" s="993"/>
      <c r="E3283" s="994"/>
      <c r="F3283" s="940"/>
      <c r="G3283" s="940"/>
      <c r="H3283" s="940"/>
      <c r="I3283" s="940"/>
      <c r="J3283" s="940"/>
      <c r="K3283" s="940"/>
      <c r="L3283" s="940"/>
      <c r="M3283" s="940"/>
      <c r="N3283" s="940"/>
      <c r="O3283" s="941"/>
      <c r="P3283" s="708"/>
      <c r="Q3283" s="1821"/>
      <c r="R3283" s="1821"/>
      <c r="S3283" s="1821"/>
      <c r="T3283" s="1821"/>
      <c r="U3283" s="1821"/>
      <c r="V3283" s="1821"/>
      <c r="W3283" s="1821"/>
      <c r="X3283" s="1821"/>
      <c r="Y3283" s="1821"/>
      <c r="Z3283" s="1821"/>
      <c r="AA3283" s="1821"/>
      <c r="AB3283" s="1821"/>
      <c r="AC3283" s="1821"/>
      <c r="AD3283" s="1821"/>
      <c r="AE3283" s="1821"/>
      <c r="AF3283" s="1821"/>
      <c r="AG3283" s="1821"/>
      <c r="AH3283" s="1821"/>
      <c r="AI3283" s="1821"/>
      <c r="AJ3283" s="1821"/>
      <c r="AK3283" s="1821"/>
      <c r="AL3283" s="1821"/>
      <c r="AM3283" s="1821"/>
      <c r="AN3283" s="1821"/>
      <c r="AO3283" s="1821"/>
      <c r="AP3283" s="1821"/>
      <c r="AQ3283" s="1821"/>
      <c r="AR3283" s="1821"/>
      <c r="AS3283" s="1821"/>
      <c r="AT3283" s="1821"/>
      <c r="AU3283" s="1821"/>
      <c r="AV3283" s="1821"/>
      <c r="AW3283" s="1821"/>
      <c r="AX3283" s="1821"/>
      <c r="AY3283" s="1821"/>
      <c r="AZ3283" s="1821"/>
      <c r="BA3283" s="1821"/>
      <c r="BB3283" s="1821"/>
      <c r="BC3283" s="1821"/>
      <c r="BD3283" s="1821"/>
      <c r="BE3283" s="1821"/>
      <c r="BF3283" s="1821"/>
      <c r="BG3283" s="1821"/>
      <c r="BH3283" s="1821"/>
      <c r="BI3283" s="1821"/>
      <c r="BJ3283" s="1821"/>
      <c r="BK3283" s="1821"/>
      <c r="BL3283" s="1821"/>
      <c r="BM3283" s="1821"/>
      <c r="BN3283" s="1821"/>
      <c r="BO3283" s="1821"/>
      <c r="BP3283" s="1821"/>
      <c r="BQ3283" s="1821"/>
      <c r="BR3283" s="1821"/>
      <c r="BS3283" s="1821"/>
      <c r="BT3283" s="1821"/>
      <c r="BU3283" s="1821"/>
      <c r="BV3283" s="1821"/>
      <c r="BW3283" s="1821"/>
      <c r="BX3283" s="1821"/>
      <c r="BY3283" s="1821"/>
      <c r="BZ3283" s="1821"/>
      <c r="CA3283" s="1821"/>
      <c r="CB3283" s="1821"/>
      <c r="CC3283" s="1821"/>
      <c r="CD3283" s="1821"/>
      <c r="CE3283" s="1821"/>
      <c r="CF3283" s="1821"/>
      <c r="CG3283" s="1821"/>
      <c r="CH3283" s="1821"/>
      <c r="CI3283" s="1821"/>
      <c r="CJ3283" s="1821"/>
      <c r="CK3283" s="1821"/>
    </row>
    <row r="3284" spans="1:89" s="675" customFormat="1" ht="16.5" customHeight="1" x14ac:dyDescent="0.25">
      <c r="A3284" s="995"/>
      <c r="B3284" s="996"/>
      <c r="C3284" s="997"/>
      <c r="D3284" s="998"/>
      <c r="E3284" s="999"/>
      <c r="F3284" s="1000"/>
      <c r="G3284" s="1000"/>
      <c r="H3284" s="1000"/>
      <c r="I3284" s="1000"/>
      <c r="J3284" s="1000"/>
      <c r="K3284" s="1000"/>
      <c r="L3284" s="1000"/>
      <c r="M3284" s="1000"/>
      <c r="N3284" s="1000"/>
      <c r="O3284" s="707"/>
      <c r="P3284" s="708"/>
      <c r="Q3284" s="1821"/>
      <c r="R3284" s="1821"/>
      <c r="S3284" s="1821"/>
      <c r="T3284" s="1821"/>
      <c r="U3284" s="1821"/>
      <c r="V3284" s="1821"/>
      <c r="W3284" s="1821"/>
      <c r="X3284" s="1821"/>
      <c r="Y3284" s="1821"/>
      <c r="Z3284" s="1821"/>
      <c r="AA3284" s="1821"/>
      <c r="AB3284" s="1821"/>
      <c r="AC3284" s="1821"/>
      <c r="AD3284" s="1821"/>
      <c r="AE3284" s="1821"/>
      <c r="AF3284" s="1821"/>
      <c r="AG3284" s="1821"/>
      <c r="AH3284" s="1821"/>
      <c r="AI3284" s="1821"/>
      <c r="AJ3284" s="1821"/>
      <c r="AK3284" s="1821"/>
      <c r="AL3284" s="1821"/>
      <c r="AM3284" s="1821"/>
      <c r="AN3284" s="1821"/>
      <c r="AO3284" s="1821"/>
      <c r="AP3284" s="1821"/>
      <c r="AQ3284" s="1821"/>
      <c r="AR3284" s="1821"/>
      <c r="AS3284" s="1821"/>
      <c r="AT3284" s="1821"/>
      <c r="AU3284" s="1821"/>
      <c r="AV3284" s="1821"/>
      <c r="AW3284" s="1821"/>
      <c r="AX3284" s="1821"/>
      <c r="AY3284" s="1821"/>
      <c r="AZ3284" s="1821"/>
      <c r="BA3284" s="1821"/>
      <c r="BB3284" s="1821"/>
      <c r="BC3284" s="1821"/>
      <c r="BD3284" s="1821"/>
      <c r="BE3284" s="1821"/>
      <c r="BF3284" s="1821"/>
      <c r="BG3284" s="1821"/>
      <c r="BH3284" s="1821"/>
      <c r="BI3284" s="1821"/>
      <c r="BJ3284" s="1821"/>
      <c r="BK3284" s="1821"/>
      <c r="BL3284" s="1821"/>
      <c r="BM3284" s="1821"/>
      <c r="BN3284" s="1821"/>
      <c r="BO3284" s="1821"/>
      <c r="BP3284" s="1821"/>
      <c r="BQ3284" s="1821"/>
      <c r="BR3284" s="1821"/>
      <c r="BS3284" s="1821"/>
      <c r="BT3284" s="1821"/>
      <c r="BU3284" s="1821"/>
      <c r="BV3284" s="1821"/>
      <c r="BW3284" s="1821"/>
      <c r="BX3284" s="1821"/>
      <c r="BY3284" s="1821"/>
      <c r="BZ3284" s="1821"/>
      <c r="CA3284" s="1821"/>
      <c r="CB3284" s="1821"/>
      <c r="CC3284" s="1821"/>
      <c r="CD3284" s="1821"/>
      <c r="CE3284" s="1821"/>
      <c r="CF3284" s="1821"/>
      <c r="CG3284" s="1821"/>
      <c r="CH3284" s="1821"/>
      <c r="CI3284" s="1821"/>
      <c r="CJ3284" s="1821"/>
      <c r="CK3284" s="1821"/>
    </row>
    <row r="3285" spans="1:89" s="675" customFormat="1" ht="16.5" customHeight="1" x14ac:dyDescent="0.25">
      <c r="A3285" s="995">
        <v>1953.01</v>
      </c>
      <c r="B3285" s="996" t="s">
        <v>241</v>
      </c>
      <c r="C3285" s="997"/>
      <c r="D3285" s="998"/>
      <c r="E3285" s="999"/>
      <c r="F3285" s="1000"/>
      <c r="G3285" s="1000"/>
      <c r="H3285" s="1000"/>
      <c r="I3285" s="1000"/>
      <c r="J3285" s="1000"/>
      <c r="K3285" s="1000"/>
      <c r="L3285" s="1000"/>
      <c r="M3285" s="1000"/>
      <c r="N3285" s="1000"/>
      <c r="O3285" s="707"/>
      <c r="P3285" s="708"/>
      <c r="Q3285" s="1821"/>
      <c r="R3285" s="1821"/>
      <c r="S3285" s="1821"/>
      <c r="T3285" s="1821"/>
      <c r="U3285" s="1821"/>
      <c r="V3285" s="1821"/>
      <c r="W3285" s="1821"/>
      <c r="X3285" s="1821"/>
      <c r="Y3285" s="1821"/>
      <c r="Z3285" s="1821"/>
      <c r="AA3285" s="1821"/>
      <c r="AB3285" s="1821"/>
      <c r="AC3285" s="1821"/>
      <c r="AD3285" s="1821"/>
      <c r="AE3285" s="1821"/>
      <c r="AF3285" s="1821"/>
      <c r="AG3285" s="1821"/>
      <c r="AH3285" s="1821"/>
      <c r="AI3285" s="1821"/>
      <c r="AJ3285" s="1821"/>
      <c r="AK3285" s="1821"/>
      <c r="AL3285" s="1821"/>
      <c r="AM3285" s="1821"/>
      <c r="AN3285" s="1821"/>
      <c r="AO3285" s="1821"/>
      <c r="AP3285" s="1821"/>
      <c r="AQ3285" s="1821"/>
      <c r="AR3285" s="1821"/>
      <c r="AS3285" s="1821"/>
      <c r="AT3285" s="1821"/>
      <c r="AU3285" s="1821"/>
      <c r="AV3285" s="1821"/>
      <c r="AW3285" s="1821"/>
      <c r="AX3285" s="1821"/>
      <c r="AY3285" s="1821"/>
      <c r="AZ3285" s="1821"/>
      <c r="BA3285" s="1821"/>
      <c r="BB3285" s="1821"/>
      <c r="BC3285" s="1821"/>
      <c r="BD3285" s="1821"/>
      <c r="BE3285" s="1821"/>
      <c r="BF3285" s="1821"/>
      <c r="BG3285" s="1821"/>
      <c r="BH3285" s="1821"/>
      <c r="BI3285" s="1821"/>
      <c r="BJ3285" s="1821"/>
      <c r="BK3285" s="1821"/>
      <c r="BL3285" s="1821"/>
      <c r="BM3285" s="1821"/>
      <c r="BN3285" s="1821"/>
      <c r="BO3285" s="1821"/>
      <c r="BP3285" s="1821"/>
      <c r="BQ3285" s="1821"/>
      <c r="BR3285" s="1821"/>
      <c r="BS3285" s="1821"/>
      <c r="BT3285" s="1821"/>
      <c r="BU3285" s="1821"/>
      <c r="BV3285" s="1821"/>
      <c r="BW3285" s="1821"/>
      <c r="BX3285" s="1821"/>
      <c r="BY3285" s="1821"/>
      <c r="BZ3285" s="1821"/>
      <c r="CA3285" s="1821"/>
      <c r="CB3285" s="1821"/>
      <c r="CC3285" s="1821"/>
      <c r="CD3285" s="1821"/>
      <c r="CE3285" s="1821"/>
      <c r="CF3285" s="1821"/>
      <c r="CG3285" s="1821"/>
      <c r="CH3285" s="1821"/>
      <c r="CI3285" s="1821"/>
      <c r="CJ3285" s="1821"/>
      <c r="CK3285" s="1821"/>
    </row>
    <row r="3286" spans="1:89" s="675" customFormat="1" ht="16.5" customHeight="1" x14ac:dyDescent="0.25">
      <c r="A3286" s="1001"/>
      <c r="B3286" s="1002"/>
      <c r="C3286" s="997"/>
      <c r="D3286" s="998"/>
      <c r="E3286" s="999"/>
      <c r="F3286" s="1000"/>
      <c r="G3286" s="1000"/>
      <c r="H3286" s="1000"/>
      <c r="I3286" s="1000"/>
      <c r="J3286" s="1000"/>
      <c r="K3286" s="1000"/>
      <c r="L3286" s="1000"/>
      <c r="M3286" s="1000"/>
      <c r="N3286" s="1000"/>
      <c r="O3286" s="707"/>
      <c r="P3286" s="708"/>
      <c r="Q3286" s="1821"/>
      <c r="R3286" s="1821"/>
      <c r="S3286" s="1821"/>
      <c r="T3286" s="1821"/>
      <c r="U3286" s="1821"/>
      <c r="V3286" s="1821"/>
      <c r="W3286" s="1821"/>
      <c r="X3286" s="1821"/>
      <c r="Y3286" s="1821"/>
      <c r="Z3286" s="1821"/>
      <c r="AA3286" s="1821"/>
      <c r="AB3286" s="1821"/>
      <c r="AC3286" s="1821"/>
      <c r="AD3286" s="1821"/>
      <c r="AE3286" s="1821"/>
      <c r="AF3286" s="1821"/>
      <c r="AG3286" s="1821"/>
      <c r="AH3286" s="1821"/>
      <c r="AI3286" s="1821"/>
      <c r="AJ3286" s="1821"/>
      <c r="AK3286" s="1821"/>
      <c r="AL3286" s="1821"/>
      <c r="AM3286" s="1821"/>
      <c r="AN3286" s="1821"/>
      <c r="AO3286" s="1821"/>
      <c r="AP3286" s="1821"/>
      <c r="AQ3286" s="1821"/>
      <c r="AR3286" s="1821"/>
      <c r="AS3286" s="1821"/>
      <c r="AT3286" s="1821"/>
      <c r="AU3286" s="1821"/>
      <c r="AV3286" s="1821"/>
      <c r="AW3286" s="1821"/>
      <c r="AX3286" s="1821"/>
      <c r="AY3286" s="1821"/>
      <c r="AZ3286" s="1821"/>
      <c r="BA3286" s="1821"/>
      <c r="BB3286" s="1821"/>
      <c r="BC3286" s="1821"/>
      <c r="BD3286" s="1821"/>
      <c r="BE3286" s="1821"/>
      <c r="BF3286" s="1821"/>
      <c r="BG3286" s="1821"/>
      <c r="BH3286" s="1821"/>
      <c r="BI3286" s="1821"/>
      <c r="BJ3286" s="1821"/>
      <c r="BK3286" s="1821"/>
      <c r="BL3286" s="1821"/>
      <c r="BM3286" s="1821"/>
      <c r="BN3286" s="1821"/>
      <c r="BO3286" s="1821"/>
      <c r="BP3286" s="1821"/>
      <c r="BQ3286" s="1821"/>
      <c r="BR3286" s="1821"/>
      <c r="BS3286" s="1821"/>
      <c r="BT3286" s="1821"/>
      <c r="BU3286" s="1821"/>
      <c r="BV3286" s="1821"/>
      <c r="BW3286" s="1821"/>
      <c r="BX3286" s="1821"/>
      <c r="BY3286" s="1821"/>
      <c r="BZ3286" s="1821"/>
      <c r="CA3286" s="1821"/>
      <c r="CB3286" s="1821"/>
      <c r="CC3286" s="1821"/>
      <c r="CD3286" s="1821"/>
      <c r="CE3286" s="1821"/>
      <c r="CF3286" s="1821"/>
      <c r="CG3286" s="1821"/>
      <c r="CH3286" s="1821"/>
      <c r="CI3286" s="1821"/>
      <c r="CJ3286" s="1821"/>
      <c r="CK3286" s="1821"/>
    </row>
    <row r="3287" spans="1:89" s="675" customFormat="1" ht="16.5" customHeight="1" x14ac:dyDescent="0.25">
      <c r="A3287" s="1003" t="s">
        <v>242</v>
      </c>
      <c r="B3287" s="996" t="s">
        <v>243</v>
      </c>
      <c r="C3287" s="1004"/>
      <c r="D3287" s="1005"/>
      <c r="E3287" s="1006"/>
      <c r="F3287" s="700"/>
      <c r="G3287" s="700"/>
      <c r="H3287" s="700"/>
      <c r="I3287" s="700"/>
      <c r="J3287" s="700"/>
      <c r="K3287" s="700"/>
      <c r="L3287" s="700"/>
      <c r="M3287" s="700"/>
      <c r="N3287" s="700"/>
      <c r="O3287" s="974">
        <f>H3287+K3287+N3287</f>
        <v>0</v>
      </c>
      <c r="P3287" s="956"/>
      <c r="Q3287" s="1821"/>
      <c r="R3287" s="1821"/>
      <c r="S3287" s="1821"/>
      <c r="T3287" s="1821"/>
      <c r="U3287" s="1821"/>
      <c r="V3287" s="1821"/>
      <c r="W3287" s="1821"/>
      <c r="X3287" s="1821"/>
      <c r="Y3287" s="1821"/>
      <c r="Z3287" s="1821"/>
      <c r="AA3287" s="1821"/>
      <c r="AB3287" s="1821"/>
      <c r="AC3287" s="1821"/>
      <c r="AD3287" s="1821"/>
      <c r="AE3287" s="1821"/>
      <c r="AF3287" s="1821"/>
      <c r="AG3287" s="1821"/>
      <c r="AH3287" s="1821"/>
      <c r="AI3287" s="1821"/>
      <c r="AJ3287" s="1821"/>
      <c r="AK3287" s="1821"/>
      <c r="AL3287" s="1821"/>
      <c r="AM3287" s="1821"/>
      <c r="AN3287" s="1821"/>
      <c r="AO3287" s="1821"/>
      <c r="AP3287" s="1821"/>
      <c r="AQ3287" s="1821"/>
      <c r="AR3287" s="1821"/>
      <c r="AS3287" s="1821"/>
      <c r="AT3287" s="1821"/>
      <c r="AU3287" s="1821"/>
      <c r="AV3287" s="1821"/>
      <c r="AW3287" s="1821"/>
      <c r="AX3287" s="1821"/>
      <c r="AY3287" s="1821"/>
      <c r="AZ3287" s="1821"/>
      <c r="BA3287" s="1821"/>
      <c r="BB3287" s="1821"/>
      <c r="BC3287" s="1821"/>
      <c r="BD3287" s="1821"/>
      <c r="BE3287" s="1821"/>
      <c r="BF3287" s="1821"/>
      <c r="BG3287" s="1821"/>
      <c r="BH3287" s="1821"/>
      <c r="BI3287" s="1821"/>
      <c r="BJ3287" s="1821"/>
      <c r="BK3287" s="1821"/>
      <c r="BL3287" s="1821"/>
      <c r="BM3287" s="1821"/>
      <c r="BN3287" s="1821"/>
      <c r="BO3287" s="1821"/>
      <c r="BP3287" s="1821"/>
      <c r="BQ3287" s="1821"/>
      <c r="BR3287" s="1821"/>
      <c r="BS3287" s="1821"/>
      <c r="BT3287" s="1821"/>
      <c r="BU3287" s="1821"/>
      <c r="BV3287" s="1821"/>
      <c r="BW3287" s="1821"/>
      <c r="BX3287" s="1821"/>
      <c r="BY3287" s="1821"/>
      <c r="BZ3287" s="1821"/>
      <c r="CA3287" s="1821"/>
      <c r="CB3287" s="1821"/>
      <c r="CC3287" s="1821"/>
      <c r="CD3287" s="1821"/>
      <c r="CE3287" s="1821"/>
      <c r="CF3287" s="1821"/>
      <c r="CG3287" s="1821"/>
      <c r="CH3287" s="1821"/>
      <c r="CI3287" s="1821"/>
      <c r="CJ3287" s="1821"/>
      <c r="CK3287" s="1821"/>
    </row>
    <row r="3288" spans="1:89" s="675" customFormat="1" ht="16.5" customHeight="1" x14ac:dyDescent="0.25">
      <c r="A3288" s="1003" t="s">
        <v>242</v>
      </c>
      <c r="B3288" s="996" t="s">
        <v>243</v>
      </c>
      <c r="C3288" s="1007">
        <f>SUM(O3289:O3325)</f>
        <v>74401084</v>
      </c>
      <c r="D3288" s="1005"/>
      <c r="E3288" s="1006"/>
      <c r="F3288" s="700"/>
      <c r="G3288" s="700"/>
      <c r="H3288" s="700"/>
      <c r="I3288" s="700"/>
      <c r="J3288" s="700"/>
      <c r="K3288" s="700"/>
      <c r="L3288" s="700"/>
      <c r="M3288" s="700"/>
      <c r="N3288" s="700"/>
      <c r="O3288" s="974">
        <f>H3288+K3288+N3288</f>
        <v>0</v>
      </c>
      <c r="P3288" s="956"/>
      <c r="Q3288" s="1821"/>
      <c r="R3288" s="1821"/>
      <c r="S3288" s="1821"/>
      <c r="T3288" s="1821"/>
      <c r="U3288" s="1821"/>
      <c r="V3288" s="1821"/>
      <c r="W3288" s="1821"/>
      <c r="X3288" s="1821"/>
      <c r="Y3288" s="1821"/>
      <c r="Z3288" s="1821"/>
      <c r="AA3288" s="1821"/>
      <c r="AB3288" s="1821"/>
      <c r="AC3288" s="1821"/>
      <c r="AD3288" s="1821"/>
      <c r="AE3288" s="1821"/>
      <c r="AF3288" s="1821"/>
      <c r="AG3288" s="1821"/>
      <c r="AH3288" s="1821"/>
      <c r="AI3288" s="1821"/>
      <c r="AJ3288" s="1821"/>
      <c r="AK3288" s="1821"/>
      <c r="AL3288" s="1821"/>
      <c r="AM3288" s="1821"/>
      <c r="AN3288" s="1821"/>
      <c r="AO3288" s="1821"/>
      <c r="AP3288" s="1821"/>
      <c r="AQ3288" s="1821"/>
      <c r="AR3288" s="1821"/>
      <c r="AS3288" s="1821"/>
      <c r="AT3288" s="1821"/>
      <c r="AU3288" s="1821"/>
      <c r="AV3288" s="1821"/>
      <c r="AW3288" s="1821"/>
      <c r="AX3288" s="1821"/>
      <c r="AY3288" s="1821"/>
      <c r="AZ3288" s="1821"/>
      <c r="BA3288" s="1821"/>
      <c r="BB3288" s="1821"/>
      <c r="BC3288" s="1821"/>
      <c r="BD3288" s="1821"/>
      <c r="BE3288" s="1821"/>
      <c r="BF3288" s="1821"/>
      <c r="BG3288" s="1821"/>
      <c r="BH3288" s="1821"/>
      <c r="BI3288" s="1821"/>
      <c r="BJ3288" s="1821"/>
      <c r="BK3288" s="1821"/>
      <c r="BL3288" s="1821"/>
      <c r="BM3288" s="1821"/>
      <c r="BN3288" s="1821"/>
      <c r="BO3288" s="1821"/>
      <c r="BP3288" s="1821"/>
      <c r="BQ3288" s="1821"/>
      <c r="BR3288" s="1821"/>
      <c r="BS3288" s="1821"/>
      <c r="BT3288" s="1821"/>
      <c r="BU3288" s="1821"/>
      <c r="BV3288" s="1821"/>
      <c r="BW3288" s="1821"/>
      <c r="BX3288" s="1821"/>
      <c r="BY3288" s="1821"/>
      <c r="BZ3288" s="1821"/>
      <c r="CA3288" s="1821"/>
      <c r="CB3288" s="1821"/>
      <c r="CC3288" s="1821"/>
      <c r="CD3288" s="1821"/>
      <c r="CE3288" s="1821"/>
      <c r="CF3288" s="1821"/>
      <c r="CG3288" s="1821"/>
      <c r="CH3288" s="1821"/>
      <c r="CI3288" s="1821"/>
      <c r="CJ3288" s="1821"/>
      <c r="CK3288" s="1821"/>
    </row>
    <row r="3289" spans="1:89" s="675" customFormat="1" ht="16.5" customHeight="1" x14ac:dyDescent="0.25">
      <c r="A3289" s="697">
        <v>1</v>
      </c>
      <c r="B3289" s="1002" t="s">
        <v>244</v>
      </c>
      <c r="C3289" s="1007">
        <v>1</v>
      </c>
      <c r="D3289" s="1005" t="s">
        <v>25</v>
      </c>
      <c r="E3289" s="1006">
        <v>18071960</v>
      </c>
      <c r="F3289" s="700">
        <f t="shared" ref="F3289:F3325" si="333">C3289*E3289</f>
        <v>18071960</v>
      </c>
      <c r="G3289" s="700"/>
      <c r="H3289" s="700">
        <f>G3289+F3289</f>
        <v>18071960</v>
      </c>
      <c r="I3289" s="700"/>
      <c r="J3289" s="700"/>
      <c r="K3289" s="700">
        <f>J3289+I3289</f>
        <v>0</v>
      </c>
      <c r="L3289" s="700"/>
      <c r="M3289" s="700"/>
      <c r="N3289" s="700">
        <f>M3289+L3289</f>
        <v>0</v>
      </c>
      <c r="O3289" s="974">
        <f t="shared" ref="O3289:O3325" si="334">N3289+K3289+H3289</f>
        <v>18071960</v>
      </c>
      <c r="P3289" s="956"/>
      <c r="Q3289" s="1821"/>
      <c r="R3289" s="1821"/>
      <c r="S3289" s="1821"/>
      <c r="T3289" s="1821"/>
      <c r="U3289" s="1821"/>
      <c r="V3289" s="1821"/>
      <c r="W3289" s="1821"/>
      <c r="X3289" s="1821"/>
      <c r="Y3289" s="1821"/>
      <c r="Z3289" s="1821"/>
      <c r="AA3289" s="1821"/>
      <c r="AB3289" s="1821"/>
      <c r="AC3289" s="1821"/>
      <c r="AD3289" s="1821"/>
      <c r="AE3289" s="1821"/>
      <c r="AF3289" s="1821"/>
      <c r="AG3289" s="1821"/>
      <c r="AH3289" s="1821"/>
      <c r="AI3289" s="1821"/>
      <c r="AJ3289" s="1821"/>
      <c r="AK3289" s="1821"/>
      <c r="AL3289" s="1821"/>
      <c r="AM3289" s="1821"/>
      <c r="AN3289" s="1821"/>
      <c r="AO3289" s="1821"/>
      <c r="AP3289" s="1821"/>
      <c r="AQ3289" s="1821"/>
      <c r="AR3289" s="1821"/>
      <c r="AS3289" s="1821"/>
      <c r="AT3289" s="1821"/>
      <c r="AU3289" s="1821"/>
      <c r="AV3289" s="1821"/>
      <c r="AW3289" s="1821"/>
      <c r="AX3289" s="1821"/>
      <c r="AY3289" s="1821"/>
      <c r="AZ3289" s="1821"/>
      <c r="BA3289" s="1821"/>
      <c r="BB3289" s="1821"/>
      <c r="BC3289" s="1821"/>
      <c r="BD3289" s="1821"/>
      <c r="BE3289" s="1821"/>
      <c r="BF3289" s="1821"/>
      <c r="BG3289" s="1821"/>
      <c r="BH3289" s="1821"/>
      <c r="BI3289" s="1821"/>
      <c r="BJ3289" s="1821"/>
      <c r="BK3289" s="1821"/>
      <c r="BL3289" s="1821"/>
      <c r="BM3289" s="1821"/>
      <c r="BN3289" s="1821"/>
      <c r="BO3289" s="1821"/>
      <c r="BP3289" s="1821"/>
      <c r="BQ3289" s="1821"/>
      <c r="BR3289" s="1821"/>
      <c r="BS3289" s="1821"/>
      <c r="BT3289" s="1821"/>
      <c r="BU3289" s="1821"/>
      <c r="BV3289" s="1821"/>
      <c r="BW3289" s="1821"/>
      <c r="BX3289" s="1821"/>
      <c r="BY3289" s="1821"/>
      <c r="BZ3289" s="1821"/>
      <c r="CA3289" s="1821"/>
      <c r="CB3289" s="1821"/>
      <c r="CC3289" s="1821"/>
      <c r="CD3289" s="1821"/>
      <c r="CE3289" s="1821"/>
      <c r="CF3289" s="1821"/>
      <c r="CG3289" s="1821"/>
      <c r="CH3289" s="1821"/>
      <c r="CI3289" s="1821"/>
      <c r="CJ3289" s="1821"/>
      <c r="CK3289" s="1821"/>
    </row>
    <row r="3290" spans="1:89" s="675" customFormat="1" ht="16.5" customHeight="1" x14ac:dyDescent="0.25">
      <c r="A3290" s="697">
        <v>2</v>
      </c>
      <c r="B3290" s="1002" t="s">
        <v>245</v>
      </c>
      <c r="C3290" s="1007">
        <v>1</v>
      </c>
      <c r="D3290" s="1005" t="s">
        <v>45</v>
      </c>
      <c r="E3290" s="1006">
        <v>1505997</v>
      </c>
      <c r="F3290" s="700">
        <f t="shared" si="333"/>
        <v>1505997</v>
      </c>
      <c r="G3290" s="700"/>
      <c r="H3290" s="700">
        <f t="shared" ref="H3290:H3325" si="335">G3290+F3290</f>
        <v>1505997</v>
      </c>
      <c r="I3290" s="700"/>
      <c r="J3290" s="700"/>
      <c r="K3290" s="700">
        <f t="shared" ref="K3290:K3325" si="336">J3290+I3290</f>
        <v>0</v>
      </c>
      <c r="L3290" s="700"/>
      <c r="M3290" s="700"/>
      <c r="N3290" s="700">
        <f t="shared" ref="N3290:N3325" si="337">M3290+L3290</f>
        <v>0</v>
      </c>
      <c r="O3290" s="974">
        <f t="shared" si="334"/>
        <v>1505997</v>
      </c>
      <c r="P3290" s="956"/>
      <c r="Q3290" s="1821"/>
      <c r="R3290" s="1821"/>
      <c r="S3290" s="1821"/>
      <c r="T3290" s="1821"/>
      <c r="U3290" s="1821"/>
      <c r="V3290" s="1821"/>
      <c r="W3290" s="1821"/>
      <c r="X3290" s="1821"/>
      <c r="Y3290" s="1821"/>
      <c r="Z3290" s="1821"/>
      <c r="AA3290" s="1821"/>
      <c r="AB3290" s="1821"/>
      <c r="AC3290" s="1821"/>
      <c r="AD3290" s="1821"/>
      <c r="AE3290" s="1821"/>
      <c r="AF3290" s="1821"/>
      <c r="AG3290" s="1821"/>
      <c r="AH3290" s="1821"/>
      <c r="AI3290" s="1821"/>
      <c r="AJ3290" s="1821"/>
      <c r="AK3290" s="1821"/>
      <c r="AL3290" s="1821"/>
      <c r="AM3290" s="1821"/>
      <c r="AN3290" s="1821"/>
      <c r="AO3290" s="1821"/>
      <c r="AP3290" s="1821"/>
      <c r="AQ3290" s="1821"/>
      <c r="AR3290" s="1821"/>
      <c r="AS3290" s="1821"/>
      <c r="AT3290" s="1821"/>
      <c r="AU3290" s="1821"/>
      <c r="AV3290" s="1821"/>
      <c r="AW3290" s="1821"/>
      <c r="AX3290" s="1821"/>
      <c r="AY3290" s="1821"/>
      <c r="AZ3290" s="1821"/>
      <c r="BA3290" s="1821"/>
      <c r="BB3290" s="1821"/>
      <c r="BC3290" s="1821"/>
      <c r="BD3290" s="1821"/>
      <c r="BE3290" s="1821"/>
      <c r="BF3290" s="1821"/>
      <c r="BG3290" s="1821"/>
      <c r="BH3290" s="1821"/>
      <c r="BI3290" s="1821"/>
      <c r="BJ3290" s="1821"/>
      <c r="BK3290" s="1821"/>
      <c r="BL3290" s="1821"/>
      <c r="BM3290" s="1821"/>
      <c r="BN3290" s="1821"/>
      <c r="BO3290" s="1821"/>
      <c r="BP3290" s="1821"/>
      <c r="BQ3290" s="1821"/>
      <c r="BR3290" s="1821"/>
      <c r="BS3290" s="1821"/>
      <c r="BT3290" s="1821"/>
      <c r="BU3290" s="1821"/>
      <c r="BV3290" s="1821"/>
      <c r="BW3290" s="1821"/>
      <c r="BX3290" s="1821"/>
      <c r="BY3290" s="1821"/>
      <c r="BZ3290" s="1821"/>
      <c r="CA3290" s="1821"/>
      <c r="CB3290" s="1821"/>
      <c r="CC3290" s="1821"/>
      <c r="CD3290" s="1821"/>
      <c r="CE3290" s="1821"/>
      <c r="CF3290" s="1821"/>
      <c r="CG3290" s="1821"/>
      <c r="CH3290" s="1821"/>
      <c r="CI3290" s="1821"/>
      <c r="CJ3290" s="1821"/>
      <c r="CK3290" s="1821"/>
    </row>
    <row r="3291" spans="1:89" s="675" customFormat="1" ht="16.5" customHeight="1" x14ac:dyDescent="0.25">
      <c r="A3291" s="697">
        <v>3</v>
      </c>
      <c r="B3291" s="1002" t="s">
        <v>246</v>
      </c>
      <c r="C3291" s="1007">
        <v>1</v>
      </c>
      <c r="D3291" s="1005" t="s">
        <v>25</v>
      </c>
      <c r="E3291" s="1006">
        <v>1957796</v>
      </c>
      <c r="F3291" s="700">
        <f t="shared" si="333"/>
        <v>1957796</v>
      </c>
      <c r="G3291" s="700"/>
      <c r="H3291" s="700">
        <f t="shared" si="335"/>
        <v>1957796</v>
      </c>
      <c r="I3291" s="700"/>
      <c r="J3291" s="700"/>
      <c r="K3291" s="700">
        <f t="shared" si="336"/>
        <v>0</v>
      </c>
      <c r="L3291" s="700"/>
      <c r="M3291" s="700"/>
      <c r="N3291" s="700">
        <f t="shared" si="337"/>
        <v>0</v>
      </c>
      <c r="O3291" s="974">
        <f t="shared" si="334"/>
        <v>1957796</v>
      </c>
      <c r="P3291" s="956"/>
      <c r="Q3291" s="1821"/>
      <c r="R3291" s="1821"/>
      <c r="S3291" s="1821"/>
      <c r="T3291" s="1821"/>
      <c r="U3291" s="1821"/>
      <c r="V3291" s="1821"/>
      <c r="W3291" s="1821"/>
      <c r="X3291" s="1821"/>
      <c r="Y3291" s="1821"/>
      <c r="Z3291" s="1821"/>
      <c r="AA3291" s="1821"/>
      <c r="AB3291" s="1821"/>
      <c r="AC3291" s="1821"/>
      <c r="AD3291" s="1821"/>
      <c r="AE3291" s="1821"/>
      <c r="AF3291" s="1821"/>
      <c r="AG3291" s="1821"/>
      <c r="AH3291" s="1821"/>
      <c r="AI3291" s="1821"/>
      <c r="AJ3291" s="1821"/>
      <c r="AK3291" s="1821"/>
      <c r="AL3291" s="1821"/>
      <c r="AM3291" s="1821"/>
      <c r="AN3291" s="1821"/>
      <c r="AO3291" s="1821"/>
      <c r="AP3291" s="1821"/>
      <c r="AQ3291" s="1821"/>
      <c r="AR3291" s="1821"/>
      <c r="AS3291" s="1821"/>
      <c r="AT3291" s="1821"/>
      <c r="AU3291" s="1821"/>
      <c r="AV3291" s="1821"/>
      <c r="AW3291" s="1821"/>
      <c r="AX3291" s="1821"/>
      <c r="AY3291" s="1821"/>
      <c r="AZ3291" s="1821"/>
      <c r="BA3291" s="1821"/>
      <c r="BB3291" s="1821"/>
      <c r="BC3291" s="1821"/>
      <c r="BD3291" s="1821"/>
      <c r="BE3291" s="1821"/>
      <c r="BF3291" s="1821"/>
      <c r="BG3291" s="1821"/>
      <c r="BH3291" s="1821"/>
      <c r="BI3291" s="1821"/>
      <c r="BJ3291" s="1821"/>
      <c r="BK3291" s="1821"/>
      <c r="BL3291" s="1821"/>
      <c r="BM3291" s="1821"/>
      <c r="BN3291" s="1821"/>
      <c r="BO3291" s="1821"/>
      <c r="BP3291" s="1821"/>
      <c r="BQ3291" s="1821"/>
      <c r="BR3291" s="1821"/>
      <c r="BS3291" s="1821"/>
      <c r="BT3291" s="1821"/>
      <c r="BU3291" s="1821"/>
      <c r="BV3291" s="1821"/>
      <c r="BW3291" s="1821"/>
      <c r="BX3291" s="1821"/>
      <c r="BY3291" s="1821"/>
      <c r="BZ3291" s="1821"/>
      <c r="CA3291" s="1821"/>
      <c r="CB3291" s="1821"/>
      <c r="CC3291" s="1821"/>
      <c r="CD3291" s="1821"/>
      <c r="CE3291" s="1821"/>
      <c r="CF3291" s="1821"/>
      <c r="CG3291" s="1821"/>
      <c r="CH3291" s="1821"/>
      <c r="CI3291" s="1821"/>
      <c r="CJ3291" s="1821"/>
      <c r="CK3291" s="1821"/>
    </row>
    <row r="3292" spans="1:89" s="675" customFormat="1" ht="16.5" customHeight="1" x14ac:dyDescent="0.25">
      <c r="A3292" s="697">
        <v>4</v>
      </c>
      <c r="B3292" s="1002" t="s">
        <v>247</v>
      </c>
      <c r="C3292" s="1007">
        <v>1</v>
      </c>
      <c r="D3292" s="1005" t="s">
        <v>25</v>
      </c>
      <c r="E3292" s="1006">
        <v>305</v>
      </c>
      <c r="F3292" s="700">
        <f t="shared" si="333"/>
        <v>305</v>
      </c>
      <c r="G3292" s="700"/>
      <c r="H3292" s="700">
        <f t="shared" si="335"/>
        <v>305</v>
      </c>
      <c r="I3292" s="700"/>
      <c r="J3292" s="700"/>
      <c r="K3292" s="700">
        <f t="shared" si="336"/>
        <v>0</v>
      </c>
      <c r="L3292" s="700"/>
      <c r="M3292" s="700"/>
      <c r="N3292" s="700">
        <f t="shared" si="337"/>
        <v>0</v>
      </c>
      <c r="O3292" s="974">
        <f t="shared" si="334"/>
        <v>305</v>
      </c>
      <c r="P3292" s="956"/>
      <c r="Q3292" s="1821"/>
      <c r="R3292" s="1821"/>
      <c r="S3292" s="1821"/>
      <c r="T3292" s="1821"/>
      <c r="U3292" s="1821"/>
      <c r="V3292" s="1821"/>
      <c r="W3292" s="1821"/>
      <c r="X3292" s="1821"/>
      <c r="Y3292" s="1821"/>
      <c r="Z3292" s="1821"/>
      <c r="AA3292" s="1821"/>
      <c r="AB3292" s="1821"/>
      <c r="AC3292" s="1821"/>
      <c r="AD3292" s="1821"/>
      <c r="AE3292" s="1821"/>
      <c r="AF3292" s="1821"/>
      <c r="AG3292" s="1821"/>
      <c r="AH3292" s="1821"/>
      <c r="AI3292" s="1821"/>
      <c r="AJ3292" s="1821"/>
      <c r="AK3292" s="1821"/>
      <c r="AL3292" s="1821"/>
      <c r="AM3292" s="1821"/>
      <c r="AN3292" s="1821"/>
      <c r="AO3292" s="1821"/>
      <c r="AP3292" s="1821"/>
      <c r="AQ3292" s="1821"/>
      <c r="AR3292" s="1821"/>
      <c r="AS3292" s="1821"/>
      <c r="AT3292" s="1821"/>
      <c r="AU3292" s="1821"/>
      <c r="AV3292" s="1821"/>
      <c r="AW3292" s="1821"/>
      <c r="AX3292" s="1821"/>
      <c r="AY3292" s="1821"/>
      <c r="AZ3292" s="1821"/>
      <c r="BA3292" s="1821"/>
      <c r="BB3292" s="1821"/>
      <c r="BC3292" s="1821"/>
      <c r="BD3292" s="1821"/>
      <c r="BE3292" s="1821"/>
      <c r="BF3292" s="1821"/>
      <c r="BG3292" s="1821"/>
      <c r="BH3292" s="1821"/>
      <c r="BI3292" s="1821"/>
      <c r="BJ3292" s="1821"/>
      <c r="BK3292" s="1821"/>
      <c r="BL3292" s="1821"/>
      <c r="BM3292" s="1821"/>
      <c r="BN3292" s="1821"/>
      <c r="BO3292" s="1821"/>
      <c r="BP3292" s="1821"/>
      <c r="BQ3292" s="1821"/>
      <c r="BR3292" s="1821"/>
      <c r="BS3292" s="1821"/>
      <c r="BT3292" s="1821"/>
      <c r="BU3292" s="1821"/>
      <c r="BV3292" s="1821"/>
      <c r="BW3292" s="1821"/>
      <c r="BX3292" s="1821"/>
      <c r="BY3292" s="1821"/>
      <c r="BZ3292" s="1821"/>
      <c r="CA3292" s="1821"/>
      <c r="CB3292" s="1821"/>
      <c r="CC3292" s="1821"/>
      <c r="CD3292" s="1821"/>
      <c r="CE3292" s="1821"/>
      <c r="CF3292" s="1821"/>
      <c r="CG3292" s="1821"/>
      <c r="CH3292" s="1821"/>
      <c r="CI3292" s="1821"/>
      <c r="CJ3292" s="1821"/>
      <c r="CK3292" s="1821"/>
    </row>
    <row r="3293" spans="1:89" s="675" customFormat="1" ht="16.5" customHeight="1" x14ac:dyDescent="0.25">
      <c r="A3293" s="697">
        <v>5</v>
      </c>
      <c r="B3293" s="1002" t="s">
        <v>248</v>
      </c>
      <c r="C3293" s="1007">
        <v>1</v>
      </c>
      <c r="D3293" s="1005" t="s">
        <v>25</v>
      </c>
      <c r="E3293" s="1006">
        <v>25</v>
      </c>
      <c r="F3293" s="700">
        <f t="shared" si="333"/>
        <v>25</v>
      </c>
      <c r="G3293" s="700"/>
      <c r="H3293" s="700">
        <f t="shared" si="335"/>
        <v>25</v>
      </c>
      <c r="I3293" s="700"/>
      <c r="J3293" s="700"/>
      <c r="K3293" s="700">
        <f t="shared" si="336"/>
        <v>0</v>
      </c>
      <c r="L3293" s="700"/>
      <c r="M3293" s="700"/>
      <c r="N3293" s="700">
        <f t="shared" si="337"/>
        <v>0</v>
      </c>
      <c r="O3293" s="974">
        <f t="shared" si="334"/>
        <v>25</v>
      </c>
      <c r="P3293" s="956"/>
      <c r="Q3293" s="1821"/>
      <c r="R3293" s="1821"/>
      <c r="S3293" s="1821"/>
      <c r="T3293" s="1821"/>
      <c r="U3293" s="1821"/>
      <c r="V3293" s="1821"/>
      <c r="W3293" s="1821"/>
      <c r="X3293" s="1821"/>
      <c r="Y3293" s="1821"/>
      <c r="Z3293" s="1821"/>
      <c r="AA3293" s="1821"/>
      <c r="AB3293" s="1821"/>
      <c r="AC3293" s="1821"/>
      <c r="AD3293" s="1821"/>
      <c r="AE3293" s="1821"/>
      <c r="AF3293" s="1821"/>
      <c r="AG3293" s="1821"/>
      <c r="AH3293" s="1821"/>
      <c r="AI3293" s="1821"/>
      <c r="AJ3293" s="1821"/>
      <c r="AK3293" s="1821"/>
      <c r="AL3293" s="1821"/>
      <c r="AM3293" s="1821"/>
      <c r="AN3293" s="1821"/>
      <c r="AO3293" s="1821"/>
      <c r="AP3293" s="1821"/>
      <c r="AQ3293" s="1821"/>
      <c r="AR3293" s="1821"/>
      <c r="AS3293" s="1821"/>
      <c r="AT3293" s="1821"/>
      <c r="AU3293" s="1821"/>
      <c r="AV3293" s="1821"/>
      <c r="AW3293" s="1821"/>
      <c r="AX3293" s="1821"/>
      <c r="AY3293" s="1821"/>
      <c r="AZ3293" s="1821"/>
      <c r="BA3293" s="1821"/>
      <c r="BB3293" s="1821"/>
      <c r="BC3293" s="1821"/>
      <c r="BD3293" s="1821"/>
      <c r="BE3293" s="1821"/>
      <c r="BF3293" s="1821"/>
      <c r="BG3293" s="1821"/>
      <c r="BH3293" s="1821"/>
      <c r="BI3293" s="1821"/>
      <c r="BJ3293" s="1821"/>
      <c r="BK3293" s="1821"/>
      <c r="BL3293" s="1821"/>
      <c r="BM3293" s="1821"/>
      <c r="BN3293" s="1821"/>
      <c r="BO3293" s="1821"/>
      <c r="BP3293" s="1821"/>
      <c r="BQ3293" s="1821"/>
      <c r="BR3293" s="1821"/>
      <c r="BS3293" s="1821"/>
      <c r="BT3293" s="1821"/>
      <c r="BU3293" s="1821"/>
      <c r="BV3293" s="1821"/>
      <c r="BW3293" s="1821"/>
      <c r="BX3293" s="1821"/>
      <c r="BY3293" s="1821"/>
      <c r="BZ3293" s="1821"/>
      <c r="CA3293" s="1821"/>
      <c r="CB3293" s="1821"/>
      <c r="CC3293" s="1821"/>
      <c r="CD3293" s="1821"/>
      <c r="CE3293" s="1821"/>
      <c r="CF3293" s="1821"/>
      <c r="CG3293" s="1821"/>
      <c r="CH3293" s="1821"/>
      <c r="CI3293" s="1821"/>
      <c r="CJ3293" s="1821"/>
      <c r="CK3293" s="1821"/>
    </row>
    <row r="3294" spans="1:89" s="675" customFormat="1" ht="16.5" customHeight="1" x14ac:dyDescent="0.25">
      <c r="A3294" s="697">
        <v>6</v>
      </c>
      <c r="B3294" s="1002" t="s">
        <v>249</v>
      </c>
      <c r="C3294" s="1007">
        <v>1</v>
      </c>
      <c r="D3294" s="1005" t="s">
        <v>25</v>
      </c>
      <c r="E3294" s="1006">
        <v>1331646</v>
      </c>
      <c r="F3294" s="700">
        <f t="shared" si="333"/>
        <v>1331646</v>
      </c>
      <c r="G3294" s="700"/>
      <c r="H3294" s="700">
        <f t="shared" si="335"/>
        <v>1331646</v>
      </c>
      <c r="I3294" s="700"/>
      <c r="J3294" s="700"/>
      <c r="K3294" s="700">
        <f t="shared" si="336"/>
        <v>0</v>
      </c>
      <c r="L3294" s="700"/>
      <c r="M3294" s="700"/>
      <c r="N3294" s="700">
        <f t="shared" si="337"/>
        <v>0</v>
      </c>
      <c r="O3294" s="974">
        <f t="shared" si="334"/>
        <v>1331646</v>
      </c>
      <c r="P3294" s="956"/>
      <c r="Q3294" s="1821"/>
      <c r="R3294" s="1821"/>
      <c r="S3294" s="1821"/>
      <c r="T3294" s="1821"/>
      <c r="U3294" s="1821"/>
      <c r="V3294" s="1821"/>
      <c r="W3294" s="1821"/>
      <c r="X3294" s="1821"/>
      <c r="Y3294" s="1821"/>
      <c r="Z3294" s="1821"/>
      <c r="AA3294" s="1821"/>
      <c r="AB3294" s="1821"/>
      <c r="AC3294" s="1821"/>
      <c r="AD3294" s="1821"/>
      <c r="AE3294" s="1821"/>
      <c r="AF3294" s="1821"/>
      <c r="AG3294" s="1821"/>
      <c r="AH3294" s="1821"/>
      <c r="AI3294" s="1821"/>
      <c r="AJ3294" s="1821"/>
      <c r="AK3294" s="1821"/>
      <c r="AL3294" s="1821"/>
      <c r="AM3294" s="1821"/>
      <c r="AN3294" s="1821"/>
      <c r="AO3294" s="1821"/>
      <c r="AP3294" s="1821"/>
      <c r="AQ3294" s="1821"/>
      <c r="AR3294" s="1821"/>
      <c r="AS3294" s="1821"/>
      <c r="AT3294" s="1821"/>
      <c r="AU3294" s="1821"/>
      <c r="AV3294" s="1821"/>
      <c r="AW3294" s="1821"/>
      <c r="AX3294" s="1821"/>
      <c r="AY3294" s="1821"/>
      <c r="AZ3294" s="1821"/>
      <c r="BA3294" s="1821"/>
      <c r="BB3294" s="1821"/>
      <c r="BC3294" s="1821"/>
      <c r="BD3294" s="1821"/>
      <c r="BE3294" s="1821"/>
      <c r="BF3294" s="1821"/>
      <c r="BG3294" s="1821"/>
      <c r="BH3294" s="1821"/>
      <c r="BI3294" s="1821"/>
      <c r="BJ3294" s="1821"/>
      <c r="BK3294" s="1821"/>
      <c r="BL3294" s="1821"/>
      <c r="BM3294" s="1821"/>
      <c r="BN3294" s="1821"/>
      <c r="BO3294" s="1821"/>
      <c r="BP3294" s="1821"/>
      <c r="BQ3294" s="1821"/>
      <c r="BR3294" s="1821"/>
      <c r="BS3294" s="1821"/>
      <c r="BT3294" s="1821"/>
      <c r="BU3294" s="1821"/>
      <c r="BV3294" s="1821"/>
      <c r="BW3294" s="1821"/>
      <c r="BX3294" s="1821"/>
      <c r="BY3294" s="1821"/>
      <c r="BZ3294" s="1821"/>
      <c r="CA3294" s="1821"/>
      <c r="CB3294" s="1821"/>
      <c r="CC3294" s="1821"/>
      <c r="CD3294" s="1821"/>
      <c r="CE3294" s="1821"/>
      <c r="CF3294" s="1821"/>
      <c r="CG3294" s="1821"/>
      <c r="CH3294" s="1821"/>
      <c r="CI3294" s="1821"/>
      <c r="CJ3294" s="1821"/>
      <c r="CK3294" s="1821"/>
    </row>
    <row r="3295" spans="1:89" s="675" customFormat="1" ht="16.5" customHeight="1" x14ac:dyDescent="0.25">
      <c r="A3295" s="697">
        <v>7</v>
      </c>
      <c r="B3295" s="1002" t="s">
        <v>250</v>
      </c>
      <c r="C3295" s="1007">
        <v>1</v>
      </c>
      <c r="D3295" s="1005" t="s">
        <v>25</v>
      </c>
      <c r="E3295" s="1006">
        <v>110971</v>
      </c>
      <c r="F3295" s="700">
        <f t="shared" si="333"/>
        <v>110971</v>
      </c>
      <c r="G3295" s="700"/>
      <c r="H3295" s="700">
        <f t="shared" si="335"/>
        <v>110971</v>
      </c>
      <c r="I3295" s="700"/>
      <c r="J3295" s="700"/>
      <c r="K3295" s="700">
        <f t="shared" si="336"/>
        <v>0</v>
      </c>
      <c r="L3295" s="700"/>
      <c r="M3295" s="700"/>
      <c r="N3295" s="700">
        <f t="shared" si="337"/>
        <v>0</v>
      </c>
      <c r="O3295" s="974">
        <f t="shared" si="334"/>
        <v>110971</v>
      </c>
      <c r="P3295" s="956"/>
      <c r="Q3295" s="1821"/>
      <c r="R3295" s="1821"/>
      <c r="S3295" s="1821"/>
      <c r="T3295" s="1821"/>
      <c r="U3295" s="1821"/>
      <c r="V3295" s="1821"/>
      <c r="W3295" s="1821"/>
      <c r="X3295" s="1821"/>
      <c r="Y3295" s="1821"/>
      <c r="Z3295" s="1821"/>
      <c r="AA3295" s="1821"/>
      <c r="AB3295" s="1821"/>
      <c r="AC3295" s="1821"/>
      <c r="AD3295" s="1821"/>
      <c r="AE3295" s="1821"/>
      <c r="AF3295" s="1821"/>
      <c r="AG3295" s="1821"/>
      <c r="AH3295" s="1821"/>
      <c r="AI3295" s="1821"/>
      <c r="AJ3295" s="1821"/>
      <c r="AK3295" s="1821"/>
      <c r="AL3295" s="1821"/>
      <c r="AM3295" s="1821"/>
      <c r="AN3295" s="1821"/>
      <c r="AO3295" s="1821"/>
      <c r="AP3295" s="1821"/>
      <c r="AQ3295" s="1821"/>
      <c r="AR3295" s="1821"/>
      <c r="AS3295" s="1821"/>
      <c r="AT3295" s="1821"/>
      <c r="AU3295" s="1821"/>
      <c r="AV3295" s="1821"/>
      <c r="AW3295" s="1821"/>
      <c r="AX3295" s="1821"/>
      <c r="AY3295" s="1821"/>
      <c r="AZ3295" s="1821"/>
      <c r="BA3295" s="1821"/>
      <c r="BB3295" s="1821"/>
      <c r="BC3295" s="1821"/>
      <c r="BD3295" s="1821"/>
      <c r="BE3295" s="1821"/>
      <c r="BF3295" s="1821"/>
      <c r="BG3295" s="1821"/>
      <c r="BH3295" s="1821"/>
      <c r="BI3295" s="1821"/>
      <c r="BJ3295" s="1821"/>
      <c r="BK3295" s="1821"/>
      <c r="BL3295" s="1821"/>
      <c r="BM3295" s="1821"/>
      <c r="BN3295" s="1821"/>
      <c r="BO3295" s="1821"/>
      <c r="BP3295" s="1821"/>
      <c r="BQ3295" s="1821"/>
      <c r="BR3295" s="1821"/>
      <c r="BS3295" s="1821"/>
      <c r="BT3295" s="1821"/>
      <c r="BU3295" s="1821"/>
      <c r="BV3295" s="1821"/>
      <c r="BW3295" s="1821"/>
      <c r="BX3295" s="1821"/>
      <c r="BY3295" s="1821"/>
      <c r="BZ3295" s="1821"/>
      <c r="CA3295" s="1821"/>
      <c r="CB3295" s="1821"/>
      <c r="CC3295" s="1821"/>
      <c r="CD3295" s="1821"/>
      <c r="CE3295" s="1821"/>
      <c r="CF3295" s="1821"/>
      <c r="CG3295" s="1821"/>
      <c r="CH3295" s="1821"/>
      <c r="CI3295" s="1821"/>
      <c r="CJ3295" s="1821"/>
      <c r="CK3295" s="1821"/>
    </row>
    <row r="3296" spans="1:89" s="675" customFormat="1" ht="16.5" customHeight="1" x14ac:dyDescent="0.25">
      <c r="A3296" s="697">
        <v>8</v>
      </c>
      <c r="B3296" s="1002" t="s">
        <v>246</v>
      </c>
      <c r="C3296" s="1007">
        <v>1</v>
      </c>
      <c r="D3296" s="1005" t="s">
        <v>25</v>
      </c>
      <c r="E3296" s="1006">
        <v>144262</v>
      </c>
      <c r="F3296" s="700">
        <f t="shared" si="333"/>
        <v>144262</v>
      </c>
      <c r="G3296" s="700"/>
      <c r="H3296" s="700">
        <f t="shared" si="335"/>
        <v>144262</v>
      </c>
      <c r="I3296" s="700"/>
      <c r="J3296" s="700"/>
      <c r="K3296" s="700">
        <f t="shared" si="336"/>
        <v>0</v>
      </c>
      <c r="L3296" s="700"/>
      <c r="M3296" s="700"/>
      <c r="N3296" s="700">
        <f t="shared" si="337"/>
        <v>0</v>
      </c>
      <c r="O3296" s="974">
        <f t="shared" si="334"/>
        <v>144262</v>
      </c>
      <c r="P3296" s="956"/>
      <c r="Q3296" s="1821"/>
      <c r="R3296" s="1821"/>
      <c r="S3296" s="1821"/>
      <c r="T3296" s="1821"/>
      <c r="U3296" s="1821"/>
      <c r="V3296" s="1821"/>
      <c r="W3296" s="1821"/>
      <c r="X3296" s="1821"/>
      <c r="Y3296" s="1821"/>
      <c r="Z3296" s="1821"/>
      <c r="AA3296" s="1821"/>
      <c r="AB3296" s="1821"/>
      <c r="AC3296" s="1821"/>
      <c r="AD3296" s="1821"/>
      <c r="AE3296" s="1821"/>
      <c r="AF3296" s="1821"/>
      <c r="AG3296" s="1821"/>
      <c r="AH3296" s="1821"/>
      <c r="AI3296" s="1821"/>
      <c r="AJ3296" s="1821"/>
      <c r="AK3296" s="1821"/>
      <c r="AL3296" s="1821"/>
      <c r="AM3296" s="1821"/>
      <c r="AN3296" s="1821"/>
      <c r="AO3296" s="1821"/>
      <c r="AP3296" s="1821"/>
      <c r="AQ3296" s="1821"/>
      <c r="AR3296" s="1821"/>
      <c r="AS3296" s="1821"/>
      <c r="AT3296" s="1821"/>
      <c r="AU3296" s="1821"/>
      <c r="AV3296" s="1821"/>
      <c r="AW3296" s="1821"/>
      <c r="AX3296" s="1821"/>
      <c r="AY3296" s="1821"/>
      <c r="AZ3296" s="1821"/>
      <c r="BA3296" s="1821"/>
      <c r="BB3296" s="1821"/>
      <c r="BC3296" s="1821"/>
      <c r="BD3296" s="1821"/>
      <c r="BE3296" s="1821"/>
      <c r="BF3296" s="1821"/>
      <c r="BG3296" s="1821"/>
      <c r="BH3296" s="1821"/>
      <c r="BI3296" s="1821"/>
      <c r="BJ3296" s="1821"/>
      <c r="BK3296" s="1821"/>
      <c r="BL3296" s="1821"/>
      <c r="BM3296" s="1821"/>
      <c r="BN3296" s="1821"/>
      <c r="BO3296" s="1821"/>
      <c r="BP3296" s="1821"/>
      <c r="BQ3296" s="1821"/>
      <c r="BR3296" s="1821"/>
      <c r="BS3296" s="1821"/>
      <c r="BT3296" s="1821"/>
      <c r="BU3296" s="1821"/>
      <c r="BV3296" s="1821"/>
      <c r="BW3296" s="1821"/>
      <c r="BX3296" s="1821"/>
      <c r="BY3296" s="1821"/>
      <c r="BZ3296" s="1821"/>
      <c r="CA3296" s="1821"/>
      <c r="CB3296" s="1821"/>
      <c r="CC3296" s="1821"/>
      <c r="CD3296" s="1821"/>
      <c r="CE3296" s="1821"/>
      <c r="CF3296" s="1821"/>
      <c r="CG3296" s="1821"/>
      <c r="CH3296" s="1821"/>
      <c r="CI3296" s="1821"/>
      <c r="CJ3296" s="1821"/>
      <c r="CK3296" s="1821"/>
    </row>
    <row r="3297" spans="1:89" s="675" customFormat="1" ht="16.5" customHeight="1" x14ac:dyDescent="0.25">
      <c r="A3297" s="697">
        <v>9</v>
      </c>
      <c r="B3297" s="1002" t="s">
        <v>251</v>
      </c>
      <c r="C3297" s="1007">
        <v>1</v>
      </c>
      <c r="D3297" s="1005" t="s">
        <v>25</v>
      </c>
      <c r="E3297" s="1006">
        <v>361334</v>
      </c>
      <c r="F3297" s="700">
        <f t="shared" si="333"/>
        <v>361334</v>
      </c>
      <c r="G3297" s="700"/>
      <c r="H3297" s="700">
        <f t="shared" si="335"/>
        <v>361334</v>
      </c>
      <c r="I3297" s="700"/>
      <c r="J3297" s="700"/>
      <c r="K3297" s="700">
        <f t="shared" si="336"/>
        <v>0</v>
      </c>
      <c r="L3297" s="700"/>
      <c r="M3297" s="700"/>
      <c r="N3297" s="700">
        <f t="shared" si="337"/>
        <v>0</v>
      </c>
      <c r="O3297" s="974">
        <f t="shared" si="334"/>
        <v>361334</v>
      </c>
      <c r="P3297" s="956"/>
      <c r="Q3297" s="1821"/>
      <c r="R3297" s="1821"/>
      <c r="S3297" s="1821"/>
      <c r="T3297" s="1821"/>
      <c r="U3297" s="1821"/>
      <c r="V3297" s="1821"/>
      <c r="W3297" s="1821"/>
      <c r="X3297" s="1821"/>
      <c r="Y3297" s="1821"/>
      <c r="Z3297" s="1821"/>
      <c r="AA3297" s="1821"/>
      <c r="AB3297" s="1821"/>
      <c r="AC3297" s="1821"/>
      <c r="AD3297" s="1821"/>
      <c r="AE3297" s="1821"/>
      <c r="AF3297" s="1821"/>
      <c r="AG3297" s="1821"/>
      <c r="AH3297" s="1821"/>
      <c r="AI3297" s="1821"/>
      <c r="AJ3297" s="1821"/>
      <c r="AK3297" s="1821"/>
      <c r="AL3297" s="1821"/>
      <c r="AM3297" s="1821"/>
      <c r="AN3297" s="1821"/>
      <c r="AO3297" s="1821"/>
      <c r="AP3297" s="1821"/>
      <c r="AQ3297" s="1821"/>
      <c r="AR3297" s="1821"/>
      <c r="AS3297" s="1821"/>
      <c r="AT3297" s="1821"/>
      <c r="AU3297" s="1821"/>
      <c r="AV3297" s="1821"/>
      <c r="AW3297" s="1821"/>
      <c r="AX3297" s="1821"/>
      <c r="AY3297" s="1821"/>
      <c r="AZ3297" s="1821"/>
      <c r="BA3297" s="1821"/>
      <c r="BB3297" s="1821"/>
      <c r="BC3297" s="1821"/>
      <c r="BD3297" s="1821"/>
      <c r="BE3297" s="1821"/>
      <c r="BF3297" s="1821"/>
      <c r="BG3297" s="1821"/>
      <c r="BH3297" s="1821"/>
      <c r="BI3297" s="1821"/>
      <c r="BJ3297" s="1821"/>
      <c r="BK3297" s="1821"/>
      <c r="BL3297" s="1821"/>
      <c r="BM3297" s="1821"/>
      <c r="BN3297" s="1821"/>
      <c r="BO3297" s="1821"/>
      <c r="BP3297" s="1821"/>
      <c r="BQ3297" s="1821"/>
      <c r="BR3297" s="1821"/>
      <c r="BS3297" s="1821"/>
      <c r="BT3297" s="1821"/>
      <c r="BU3297" s="1821"/>
      <c r="BV3297" s="1821"/>
      <c r="BW3297" s="1821"/>
      <c r="BX3297" s="1821"/>
      <c r="BY3297" s="1821"/>
      <c r="BZ3297" s="1821"/>
      <c r="CA3297" s="1821"/>
      <c r="CB3297" s="1821"/>
      <c r="CC3297" s="1821"/>
      <c r="CD3297" s="1821"/>
      <c r="CE3297" s="1821"/>
      <c r="CF3297" s="1821"/>
      <c r="CG3297" s="1821"/>
      <c r="CH3297" s="1821"/>
      <c r="CI3297" s="1821"/>
      <c r="CJ3297" s="1821"/>
      <c r="CK3297" s="1821"/>
    </row>
    <row r="3298" spans="1:89" s="675" customFormat="1" ht="16.5" customHeight="1" x14ac:dyDescent="0.25">
      <c r="A3298" s="697">
        <v>10</v>
      </c>
      <c r="B3298" s="1002" t="s">
        <v>252</v>
      </c>
      <c r="C3298" s="1007">
        <v>1</v>
      </c>
      <c r="D3298" s="1005" t="s">
        <v>25</v>
      </c>
      <c r="E3298" s="1006">
        <v>30111</v>
      </c>
      <c r="F3298" s="700">
        <f t="shared" si="333"/>
        <v>30111</v>
      </c>
      <c r="G3298" s="700"/>
      <c r="H3298" s="700">
        <f t="shared" si="335"/>
        <v>30111</v>
      </c>
      <c r="I3298" s="700"/>
      <c r="J3298" s="700"/>
      <c r="K3298" s="700">
        <f t="shared" si="336"/>
        <v>0</v>
      </c>
      <c r="L3298" s="700"/>
      <c r="M3298" s="700"/>
      <c r="N3298" s="700">
        <f t="shared" si="337"/>
        <v>0</v>
      </c>
      <c r="O3298" s="974">
        <f t="shared" si="334"/>
        <v>30111</v>
      </c>
      <c r="P3298" s="956"/>
      <c r="Q3298" s="1821"/>
      <c r="R3298" s="1821"/>
      <c r="S3298" s="1821"/>
      <c r="T3298" s="1821"/>
      <c r="U3298" s="1821"/>
      <c r="V3298" s="1821"/>
      <c r="W3298" s="1821"/>
      <c r="X3298" s="1821"/>
      <c r="Y3298" s="1821"/>
      <c r="Z3298" s="1821"/>
      <c r="AA3298" s="1821"/>
      <c r="AB3298" s="1821"/>
      <c r="AC3298" s="1821"/>
      <c r="AD3298" s="1821"/>
      <c r="AE3298" s="1821"/>
      <c r="AF3298" s="1821"/>
      <c r="AG3298" s="1821"/>
      <c r="AH3298" s="1821"/>
      <c r="AI3298" s="1821"/>
      <c r="AJ3298" s="1821"/>
      <c r="AK3298" s="1821"/>
      <c r="AL3298" s="1821"/>
      <c r="AM3298" s="1821"/>
      <c r="AN3298" s="1821"/>
      <c r="AO3298" s="1821"/>
      <c r="AP3298" s="1821"/>
      <c r="AQ3298" s="1821"/>
      <c r="AR3298" s="1821"/>
      <c r="AS3298" s="1821"/>
      <c r="AT3298" s="1821"/>
      <c r="AU3298" s="1821"/>
      <c r="AV3298" s="1821"/>
      <c r="AW3298" s="1821"/>
      <c r="AX3298" s="1821"/>
      <c r="AY3298" s="1821"/>
      <c r="AZ3298" s="1821"/>
      <c r="BA3298" s="1821"/>
      <c r="BB3298" s="1821"/>
      <c r="BC3298" s="1821"/>
      <c r="BD3298" s="1821"/>
      <c r="BE3298" s="1821"/>
      <c r="BF3298" s="1821"/>
      <c r="BG3298" s="1821"/>
      <c r="BH3298" s="1821"/>
      <c r="BI3298" s="1821"/>
      <c r="BJ3298" s="1821"/>
      <c r="BK3298" s="1821"/>
      <c r="BL3298" s="1821"/>
      <c r="BM3298" s="1821"/>
      <c r="BN3298" s="1821"/>
      <c r="BO3298" s="1821"/>
      <c r="BP3298" s="1821"/>
      <c r="BQ3298" s="1821"/>
      <c r="BR3298" s="1821"/>
      <c r="BS3298" s="1821"/>
      <c r="BT3298" s="1821"/>
      <c r="BU3298" s="1821"/>
      <c r="BV3298" s="1821"/>
      <c r="BW3298" s="1821"/>
      <c r="BX3298" s="1821"/>
      <c r="BY3298" s="1821"/>
      <c r="BZ3298" s="1821"/>
      <c r="CA3298" s="1821"/>
      <c r="CB3298" s="1821"/>
      <c r="CC3298" s="1821"/>
      <c r="CD3298" s="1821"/>
      <c r="CE3298" s="1821"/>
      <c r="CF3298" s="1821"/>
      <c r="CG3298" s="1821"/>
      <c r="CH3298" s="1821"/>
      <c r="CI3298" s="1821"/>
      <c r="CJ3298" s="1821"/>
      <c r="CK3298" s="1821"/>
    </row>
    <row r="3299" spans="1:89" s="675" customFormat="1" ht="16.5" customHeight="1" x14ac:dyDescent="0.25">
      <c r="A3299" s="697">
        <v>11</v>
      </c>
      <c r="B3299" s="1002" t="s">
        <v>253</v>
      </c>
      <c r="C3299" s="1007">
        <v>1</v>
      </c>
      <c r="D3299" s="1005" t="s">
        <v>25</v>
      </c>
      <c r="E3299" s="1006">
        <v>39145</v>
      </c>
      <c r="F3299" s="700">
        <f t="shared" si="333"/>
        <v>39145</v>
      </c>
      <c r="G3299" s="700"/>
      <c r="H3299" s="700">
        <f t="shared" si="335"/>
        <v>39145</v>
      </c>
      <c r="I3299" s="700"/>
      <c r="J3299" s="700"/>
      <c r="K3299" s="700">
        <f t="shared" si="336"/>
        <v>0</v>
      </c>
      <c r="L3299" s="700"/>
      <c r="M3299" s="700"/>
      <c r="N3299" s="700">
        <f t="shared" si="337"/>
        <v>0</v>
      </c>
      <c r="O3299" s="974">
        <f t="shared" si="334"/>
        <v>39145</v>
      </c>
      <c r="P3299" s="956"/>
      <c r="Q3299" s="1821"/>
      <c r="R3299" s="1821"/>
      <c r="S3299" s="1821"/>
      <c r="T3299" s="1821"/>
      <c r="U3299" s="1821"/>
      <c r="V3299" s="1821"/>
      <c r="W3299" s="1821"/>
      <c r="X3299" s="1821"/>
      <c r="Y3299" s="1821"/>
      <c r="Z3299" s="1821"/>
      <c r="AA3299" s="1821"/>
      <c r="AB3299" s="1821"/>
      <c r="AC3299" s="1821"/>
      <c r="AD3299" s="1821"/>
      <c r="AE3299" s="1821"/>
      <c r="AF3299" s="1821"/>
      <c r="AG3299" s="1821"/>
      <c r="AH3299" s="1821"/>
      <c r="AI3299" s="1821"/>
      <c r="AJ3299" s="1821"/>
      <c r="AK3299" s="1821"/>
      <c r="AL3299" s="1821"/>
      <c r="AM3299" s="1821"/>
      <c r="AN3299" s="1821"/>
      <c r="AO3299" s="1821"/>
      <c r="AP3299" s="1821"/>
      <c r="AQ3299" s="1821"/>
      <c r="AR3299" s="1821"/>
      <c r="AS3299" s="1821"/>
      <c r="AT3299" s="1821"/>
      <c r="AU3299" s="1821"/>
      <c r="AV3299" s="1821"/>
      <c r="AW3299" s="1821"/>
      <c r="AX3299" s="1821"/>
      <c r="AY3299" s="1821"/>
      <c r="AZ3299" s="1821"/>
      <c r="BA3299" s="1821"/>
      <c r="BB3299" s="1821"/>
      <c r="BC3299" s="1821"/>
      <c r="BD3299" s="1821"/>
      <c r="BE3299" s="1821"/>
      <c r="BF3299" s="1821"/>
      <c r="BG3299" s="1821"/>
      <c r="BH3299" s="1821"/>
      <c r="BI3299" s="1821"/>
      <c r="BJ3299" s="1821"/>
      <c r="BK3299" s="1821"/>
      <c r="BL3299" s="1821"/>
      <c r="BM3299" s="1821"/>
      <c r="BN3299" s="1821"/>
      <c r="BO3299" s="1821"/>
      <c r="BP3299" s="1821"/>
      <c r="BQ3299" s="1821"/>
      <c r="BR3299" s="1821"/>
      <c r="BS3299" s="1821"/>
      <c r="BT3299" s="1821"/>
      <c r="BU3299" s="1821"/>
      <c r="BV3299" s="1821"/>
      <c r="BW3299" s="1821"/>
      <c r="BX3299" s="1821"/>
      <c r="BY3299" s="1821"/>
      <c r="BZ3299" s="1821"/>
      <c r="CA3299" s="1821"/>
      <c r="CB3299" s="1821"/>
      <c r="CC3299" s="1821"/>
      <c r="CD3299" s="1821"/>
      <c r="CE3299" s="1821"/>
      <c r="CF3299" s="1821"/>
      <c r="CG3299" s="1821"/>
      <c r="CH3299" s="1821"/>
      <c r="CI3299" s="1821"/>
      <c r="CJ3299" s="1821"/>
      <c r="CK3299" s="1821"/>
    </row>
    <row r="3300" spans="1:89" s="675" customFormat="1" ht="16.5" customHeight="1" x14ac:dyDescent="0.25">
      <c r="A3300" s="697">
        <v>12</v>
      </c>
      <c r="B3300" s="1002" t="s">
        <v>254</v>
      </c>
      <c r="C3300" s="1007">
        <v>1</v>
      </c>
      <c r="D3300" s="1005" t="s">
        <v>25</v>
      </c>
      <c r="E3300" s="1006">
        <v>1361490</v>
      </c>
      <c r="F3300" s="700">
        <f t="shared" si="333"/>
        <v>1361490</v>
      </c>
      <c r="G3300" s="700"/>
      <c r="H3300" s="700">
        <f t="shared" si="335"/>
        <v>1361490</v>
      </c>
      <c r="I3300" s="700"/>
      <c r="J3300" s="700"/>
      <c r="K3300" s="700">
        <f t="shared" si="336"/>
        <v>0</v>
      </c>
      <c r="L3300" s="700"/>
      <c r="M3300" s="700"/>
      <c r="N3300" s="700">
        <f t="shared" si="337"/>
        <v>0</v>
      </c>
      <c r="O3300" s="974">
        <f t="shared" si="334"/>
        <v>1361490</v>
      </c>
      <c r="P3300" s="956"/>
      <c r="Q3300" s="1821"/>
      <c r="R3300" s="1821"/>
      <c r="S3300" s="1821"/>
      <c r="T3300" s="1821"/>
      <c r="U3300" s="1821"/>
      <c r="V3300" s="1821"/>
      <c r="W3300" s="1821"/>
      <c r="X3300" s="1821"/>
      <c r="Y3300" s="1821"/>
      <c r="Z3300" s="1821"/>
      <c r="AA3300" s="1821"/>
      <c r="AB3300" s="1821"/>
      <c r="AC3300" s="1821"/>
      <c r="AD3300" s="1821"/>
      <c r="AE3300" s="1821"/>
      <c r="AF3300" s="1821"/>
      <c r="AG3300" s="1821"/>
      <c r="AH3300" s="1821"/>
      <c r="AI3300" s="1821"/>
      <c r="AJ3300" s="1821"/>
      <c r="AK3300" s="1821"/>
      <c r="AL3300" s="1821"/>
      <c r="AM3300" s="1821"/>
      <c r="AN3300" s="1821"/>
      <c r="AO3300" s="1821"/>
      <c r="AP3300" s="1821"/>
      <c r="AQ3300" s="1821"/>
      <c r="AR3300" s="1821"/>
      <c r="AS3300" s="1821"/>
      <c r="AT3300" s="1821"/>
      <c r="AU3300" s="1821"/>
      <c r="AV3300" s="1821"/>
      <c r="AW3300" s="1821"/>
      <c r="AX3300" s="1821"/>
      <c r="AY3300" s="1821"/>
      <c r="AZ3300" s="1821"/>
      <c r="BA3300" s="1821"/>
      <c r="BB3300" s="1821"/>
      <c r="BC3300" s="1821"/>
      <c r="BD3300" s="1821"/>
      <c r="BE3300" s="1821"/>
      <c r="BF3300" s="1821"/>
      <c r="BG3300" s="1821"/>
      <c r="BH3300" s="1821"/>
      <c r="BI3300" s="1821"/>
      <c r="BJ3300" s="1821"/>
      <c r="BK3300" s="1821"/>
      <c r="BL3300" s="1821"/>
      <c r="BM3300" s="1821"/>
      <c r="BN3300" s="1821"/>
      <c r="BO3300" s="1821"/>
      <c r="BP3300" s="1821"/>
      <c r="BQ3300" s="1821"/>
      <c r="BR3300" s="1821"/>
      <c r="BS3300" s="1821"/>
      <c r="BT3300" s="1821"/>
      <c r="BU3300" s="1821"/>
      <c r="BV3300" s="1821"/>
      <c r="BW3300" s="1821"/>
      <c r="BX3300" s="1821"/>
      <c r="BY3300" s="1821"/>
      <c r="BZ3300" s="1821"/>
      <c r="CA3300" s="1821"/>
      <c r="CB3300" s="1821"/>
      <c r="CC3300" s="1821"/>
      <c r="CD3300" s="1821"/>
      <c r="CE3300" s="1821"/>
      <c r="CF3300" s="1821"/>
      <c r="CG3300" s="1821"/>
      <c r="CH3300" s="1821"/>
      <c r="CI3300" s="1821"/>
      <c r="CJ3300" s="1821"/>
      <c r="CK3300" s="1821"/>
    </row>
    <row r="3301" spans="1:89" s="675" customFormat="1" ht="16.5" customHeight="1" x14ac:dyDescent="0.25">
      <c r="A3301" s="697">
        <v>13</v>
      </c>
      <c r="B3301" s="1002" t="s">
        <v>255</v>
      </c>
      <c r="C3301" s="1007">
        <v>1</v>
      </c>
      <c r="D3301" s="1005" t="s">
        <v>25</v>
      </c>
      <c r="E3301" s="1006">
        <v>104730</v>
      </c>
      <c r="F3301" s="700">
        <f t="shared" si="333"/>
        <v>104730</v>
      </c>
      <c r="G3301" s="700"/>
      <c r="H3301" s="700">
        <f t="shared" si="335"/>
        <v>104730</v>
      </c>
      <c r="I3301" s="700"/>
      <c r="J3301" s="700"/>
      <c r="K3301" s="700">
        <f t="shared" si="336"/>
        <v>0</v>
      </c>
      <c r="L3301" s="700"/>
      <c r="M3301" s="700"/>
      <c r="N3301" s="700">
        <f t="shared" si="337"/>
        <v>0</v>
      </c>
      <c r="O3301" s="974">
        <f t="shared" si="334"/>
        <v>104730</v>
      </c>
      <c r="P3301" s="956"/>
      <c r="Q3301" s="1821"/>
      <c r="R3301" s="1821"/>
      <c r="S3301" s="1821"/>
      <c r="T3301" s="1821"/>
      <c r="U3301" s="1821"/>
      <c r="V3301" s="1821"/>
      <c r="W3301" s="1821"/>
      <c r="X3301" s="1821"/>
      <c r="Y3301" s="1821"/>
      <c r="Z3301" s="1821"/>
      <c r="AA3301" s="1821"/>
      <c r="AB3301" s="1821"/>
      <c r="AC3301" s="1821"/>
      <c r="AD3301" s="1821"/>
      <c r="AE3301" s="1821"/>
      <c r="AF3301" s="1821"/>
      <c r="AG3301" s="1821"/>
      <c r="AH3301" s="1821"/>
      <c r="AI3301" s="1821"/>
      <c r="AJ3301" s="1821"/>
      <c r="AK3301" s="1821"/>
      <c r="AL3301" s="1821"/>
      <c r="AM3301" s="1821"/>
      <c r="AN3301" s="1821"/>
      <c r="AO3301" s="1821"/>
      <c r="AP3301" s="1821"/>
      <c r="AQ3301" s="1821"/>
      <c r="AR3301" s="1821"/>
      <c r="AS3301" s="1821"/>
      <c r="AT3301" s="1821"/>
      <c r="AU3301" s="1821"/>
      <c r="AV3301" s="1821"/>
      <c r="AW3301" s="1821"/>
      <c r="AX3301" s="1821"/>
      <c r="AY3301" s="1821"/>
      <c r="AZ3301" s="1821"/>
      <c r="BA3301" s="1821"/>
      <c r="BB3301" s="1821"/>
      <c r="BC3301" s="1821"/>
      <c r="BD3301" s="1821"/>
      <c r="BE3301" s="1821"/>
      <c r="BF3301" s="1821"/>
      <c r="BG3301" s="1821"/>
      <c r="BH3301" s="1821"/>
      <c r="BI3301" s="1821"/>
      <c r="BJ3301" s="1821"/>
      <c r="BK3301" s="1821"/>
      <c r="BL3301" s="1821"/>
      <c r="BM3301" s="1821"/>
      <c r="BN3301" s="1821"/>
      <c r="BO3301" s="1821"/>
      <c r="BP3301" s="1821"/>
      <c r="BQ3301" s="1821"/>
      <c r="BR3301" s="1821"/>
      <c r="BS3301" s="1821"/>
      <c r="BT3301" s="1821"/>
      <c r="BU3301" s="1821"/>
      <c r="BV3301" s="1821"/>
      <c r="BW3301" s="1821"/>
      <c r="BX3301" s="1821"/>
      <c r="BY3301" s="1821"/>
      <c r="BZ3301" s="1821"/>
      <c r="CA3301" s="1821"/>
      <c r="CB3301" s="1821"/>
      <c r="CC3301" s="1821"/>
      <c r="CD3301" s="1821"/>
      <c r="CE3301" s="1821"/>
      <c r="CF3301" s="1821"/>
      <c r="CG3301" s="1821"/>
      <c r="CH3301" s="1821"/>
      <c r="CI3301" s="1821"/>
      <c r="CJ3301" s="1821"/>
      <c r="CK3301" s="1821"/>
    </row>
    <row r="3302" spans="1:89" s="675" customFormat="1" ht="16.5" customHeight="1" x14ac:dyDescent="0.25">
      <c r="A3302" s="697">
        <v>14</v>
      </c>
      <c r="B3302" s="1002" t="s">
        <v>256</v>
      </c>
      <c r="C3302" s="1007">
        <v>1</v>
      </c>
      <c r="D3302" s="1005" t="s">
        <v>25</v>
      </c>
      <c r="E3302" s="1006">
        <v>318175</v>
      </c>
      <c r="F3302" s="700">
        <f t="shared" si="333"/>
        <v>318175</v>
      </c>
      <c r="G3302" s="700"/>
      <c r="H3302" s="700">
        <f t="shared" si="335"/>
        <v>318175</v>
      </c>
      <c r="I3302" s="700"/>
      <c r="J3302" s="700"/>
      <c r="K3302" s="700">
        <f t="shared" si="336"/>
        <v>0</v>
      </c>
      <c r="L3302" s="700"/>
      <c r="M3302" s="700"/>
      <c r="N3302" s="700">
        <f t="shared" si="337"/>
        <v>0</v>
      </c>
      <c r="O3302" s="974">
        <f t="shared" si="334"/>
        <v>318175</v>
      </c>
      <c r="P3302" s="956"/>
      <c r="Q3302" s="1821"/>
      <c r="R3302" s="1821"/>
      <c r="S3302" s="1821"/>
      <c r="T3302" s="1821"/>
      <c r="U3302" s="1821"/>
      <c r="V3302" s="1821"/>
      <c r="W3302" s="1821"/>
      <c r="X3302" s="1821"/>
      <c r="Y3302" s="1821"/>
      <c r="Z3302" s="1821"/>
      <c r="AA3302" s="1821"/>
      <c r="AB3302" s="1821"/>
      <c r="AC3302" s="1821"/>
      <c r="AD3302" s="1821"/>
      <c r="AE3302" s="1821"/>
      <c r="AF3302" s="1821"/>
      <c r="AG3302" s="1821"/>
      <c r="AH3302" s="1821"/>
      <c r="AI3302" s="1821"/>
      <c r="AJ3302" s="1821"/>
      <c r="AK3302" s="1821"/>
      <c r="AL3302" s="1821"/>
      <c r="AM3302" s="1821"/>
      <c r="AN3302" s="1821"/>
      <c r="AO3302" s="1821"/>
      <c r="AP3302" s="1821"/>
      <c r="AQ3302" s="1821"/>
      <c r="AR3302" s="1821"/>
      <c r="AS3302" s="1821"/>
      <c r="AT3302" s="1821"/>
      <c r="AU3302" s="1821"/>
      <c r="AV3302" s="1821"/>
      <c r="AW3302" s="1821"/>
      <c r="AX3302" s="1821"/>
      <c r="AY3302" s="1821"/>
      <c r="AZ3302" s="1821"/>
      <c r="BA3302" s="1821"/>
      <c r="BB3302" s="1821"/>
      <c r="BC3302" s="1821"/>
      <c r="BD3302" s="1821"/>
      <c r="BE3302" s="1821"/>
      <c r="BF3302" s="1821"/>
      <c r="BG3302" s="1821"/>
      <c r="BH3302" s="1821"/>
      <c r="BI3302" s="1821"/>
      <c r="BJ3302" s="1821"/>
      <c r="BK3302" s="1821"/>
      <c r="BL3302" s="1821"/>
      <c r="BM3302" s="1821"/>
      <c r="BN3302" s="1821"/>
      <c r="BO3302" s="1821"/>
      <c r="BP3302" s="1821"/>
      <c r="BQ3302" s="1821"/>
      <c r="BR3302" s="1821"/>
      <c r="BS3302" s="1821"/>
      <c r="BT3302" s="1821"/>
      <c r="BU3302" s="1821"/>
      <c r="BV3302" s="1821"/>
      <c r="BW3302" s="1821"/>
      <c r="BX3302" s="1821"/>
      <c r="BY3302" s="1821"/>
      <c r="BZ3302" s="1821"/>
      <c r="CA3302" s="1821"/>
      <c r="CB3302" s="1821"/>
      <c r="CC3302" s="1821"/>
      <c r="CD3302" s="1821"/>
      <c r="CE3302" s="1821"/>
      <c r="CF3302" s="1821"/>
      <c r="CG3302" s="1821"/>
      <c r="CH3302" s="1821"/>
      <c r="CI3302" s="1821"/>
      <c r="CJ3302" s="1821"/>
      <c r="CK3302" s="1821"/>
    </row>
    <row r="3303" spans="1:89" s="675" customFormat="1" ht="16.5" customHeight="1" x14ac:dyDescent="0.25">
      <c r="A3303" s="697">
        <v>15</v>
      </c>
      <c r="B3303" s="1002" t="s">
        <v>257</v>
      </c>
      <c r="C3303" s="1007">
        <v>1</v>
      </c>
      <c r="D3303" s="1005" t="s">
        <v>25</v>
      </c>
      <c r="E3303" s="1006">
        <v>24475</v>
      </c>
      <c r="F3303" s="700">
        <f t="shared" si="333"/>
        <v>24475</v>
      </c>
      <c r="G3303" s="700"/>
      <c r="H3303" s="700">
        <f t="shared" si="335"/>
        <v>24475</v>
      </c>
      <c r="I3303" s="700"/>
      <c r="J3303" s="700"/>
      <c r="K3303" s="700">
        <f t="shared" si="336"/>
        <v>0</v>
      </c>
      <c r="L3303" s="700"/>
      <c r="M3303" s="700"/>
      <c r="N3303" s="700">
        <f t="shared" si="337"/>
        <v>0</v>
      </c>
      <c r="O3303" s="974">
        <f t="shared" si="334"/>
        <v>24475</v>
      </c>
      <c r="P3303" s="956"/>
      <c r="Q3303" s="1821"/>
      <c r="R3303" s="1821"/>
      <c r="S3303" s="1821"/>
      <c r="T3303" s="1821"/>
      <c r="U3303" s="1821"/>
      <c r="V3303" s="1821"/>
      <c r="W3303" s="1821"/>
      <c r="X3303" s="1821"/>
      <c r="Y3303" s="1821"/>
      <c r="Z3303" s="1821"/>
      <c r="AA3303" s="1821"/>
      <c r="AB3303" s="1821"/>
      <c r="AC3303" s="1821"/>
      <c r="AD3303" s="1821"/>
      <c r="AE3303" s="1821"/>
      <c r="AF3303" s="1821"/>
      <c r="AG3303" s="1821"/>
      <c r="AH3303" s="1821"/>
      <c r="AI3303" s="1821"/>
      <c r="AJ3303" s="1821"/>
      <c r="AK3303" s="1821"/>
      <c r="AL3303" s="1821"/>
      <c r="AM3303" s="1821"/>
      <c r="AN3303" s="1821"/>
      <c r="AO3303" s="1821"/>
      <c r="AP3303" s="1821"/>
      <c r="AQ3303" s="1821"/>
      <c r="AR3303" s="1821"/>
      <c r="AS3303" s="1821"/>
      <c r="AT3303" s="1821"/>
      <c r="AU3303" s="1821"/>
      <c r="AV3303" s="1821"/>
      <c r="AW3303" s="1821"/>
      <c r="AX3303" s="1821"/>
      <c r="AY3303" s="1821"/>
      <c r="AZ3303" s="1821"/>
      <c r="BA3303" s="1821"/>
      <c r="BB3303" s="1821"/>
      <c r="BC3303" s="1821"/>
      <c r="BD3303" s="1821"/>
      <c r="BE3303" s="1821"/>
      <c r="BF3303" s="1821"/>
      <c r="BG3303" s="1821"/>
      <c r="BH3303" s="1821"/>
      <c r="BI3303" s="1821"/>
      <c r="BJ3303" s="1821"/>
      <c r="BK3303" s="1821"/>
      <c r="BL3303" s="1821"/>
      <c r="BM3303" s="1821"/>
      <c r="BN3303" s="1821"/>
      <c r="BO3303" s="1821"/>
      <c r="BP3303" s="1821"/>
      <c r="BQ3303" s="1821"/>
      <c r="BR3303" s="1821"/>
      <c r="BS3303" s="1821"/>
      <c r="BT3303" s="1821"/>
      <c r="BU3303" s="1821"/>
      <c r="BV3303" s="1821"/>
      <c r="BW3303" s="1821"/>
      <c r="BX3303" s="1821"/>
      <c r="BY3303" s="1821"/>
      <c r="BZ3303" s="1821"/>
      <c r="CA3303" s="1821"/>
      <c r="CB3303" s="1821"/>
      <c r="CC3303" s="1821"/>
      <c r="CD3303" s="1821"/>
      <c r="CE3303" s="1821"/>
      <c r="CF3303" s="1821"/>
      <c r="CG3303" s="1821"/>
      <c r="CH3303" s="1821"/>
      <c r="CI3303" s="1821"/>
      <c r="CJ3303" s="1821"/>
      <c r="CK3303" s="1821"/>
    </row>
    <row r="3304" spans="1:89" s="675" customFormat="1" ht="16.5" customHeight="1" x14ac:dyDescent="0.25">
      <c r="A3304" s="697">
        <v>16</v>
      </c>
      <c r="B3304" s="1002" t="s">
        <v>258</v>
      </c>
      <c r="C3304" s="1007">
        <v>1</v>
      </c>
      <c r="D3304" s="1005" t="s">
        <v>25</v>
      </c>
      <c r="E3304" s="1006">
        <v>770055</v>
      </c>
      <c r="F3304" s="700">
        <f t="shared" si="333"/>
        <v>770055</v>
      </c>
      <c r="G3304" s="700"/>
      <c r="H3304" s="700">
        <f t="shared" si="335"/>
        <v>770055</v>
      </c>
      <c r="I3304" s="700"/>
      <c r="J3304" s="700"/>
      <c r="K3304" s="700">
        <f t="shared" si="336"/>
        <v>0</v>
      </c>
      <c r="L3304" s="700"/>
      <c r="M3304" s="700"/>
      <c r="N3304" s="700">
        <f t="shared" si="337"/>
        <v>0</v>
      </c>
      <c r="O3304" s="974">
        <f t="shared" si="334"/>
        <v>770055</v>
      </c>
      <c r="P3304" s="956"/>
      <c r="Q3304" s="1821"/>
      <c r="R3304" s="1821"/>
      <c r="S3304" s="1821"/>
      <c r="T3304" s="1821"/>
      <c r="U3304" s="1821"/>
      <c r="V3304" s="1821"/>
      <c r="W3304" s="1821"/>
      <c r="X3304" s="1821"/>
      <c r="Y3304" s="1821"/>
      <c r="Z3304" s="1821"/>
      <c r="AA3304" s="1821"/>
      <c r="AB3304" s="1821"/>
      <c r="AC3304" s="1821"/>
      <c r="AD3304" s="1821"/>
      <c r="AE3304" s="1821"/>
      <c r="AF3304" s="1821"/>
      <c r="AG3304" s="1821"/>
      <c r="AH3304" s="1821"/>
      <c r="AI3304" s="1821"/>
      <c r="AJ3304" s="1821"/>
      <c r="AK3304" s="1821"/>
      <c r="AL3304" s="1821"/>
      <c r="AM3304" s="1821"/>
      <c r="AN3304" s="1821"/>
      <c r="AO3304" s="1821"/>
      <c r="AP3304" s="1821"/>
      <c r="AQ3304" s="1821"/>
      <c r="AR3304" s="1821"/>
      <c r="AS3304" s="1821"/>
      <c r="AT3304" s="1821"/>
      <c r="AU3304" s="1821"/>
      <c r="AV3304" s="1821"/>
      <c r="AW3304" s="1821"/>
      <c r="AX3304" s="1821"/>
      <c r="AY3304" s="1821"/>
      <c r="AZ3304" s="1821"/>
      <c r="BA3304" s="1821"/>
      <c r="BB3304" s="1821"/>
      <c r="BC3304" s="1821"/>
      <c r="BD3304" s="1821"/>
      <c r="BE3304" s="1821"/>
      <c r="BF3304" s="1821"/>
      <c r="BG3304" s="1821"/>
      <c r="BH3304" s="1821"/>
      <c r="BI3304" s="1821"/>
      <c r="BJ3304" s="1821"/>
      <c r="BK3304" s="1821"/>
      <c r="BL3304" s="1821"/>
      <c r="BM3304" s="1821"/>
      <c r="BN3304" s="1821"/>
      <c r="BO3304" s="1821"/>
      <c r="BP3304" s="1821"/>
      <c r="BQ3304" s="1821"/>
      <c r="BR3304" s="1821"/>
      <c r="BS3304" s="1821"/>
      <c r="BT3304" s="1821"/>
      <c r="BU3304" s="1821"/>
      <c r="BV3304" s="1821"/>
      <c r="BW3304" s="1821"/>
      <c r="BX3304" s="1821"/>
      <c r="BY3304" s="1821"/>
      <c r="BZ3304" s="1821"/>
      <c r="CA3304" s="1821"/>
      <c r="CB3304" s="1821"/>
      <c r="CC3304" s="1821"/>
      <c r="CD3304" s="1821"/>
      <c r="CE3304" s="1821"/>
      <c r="CF3304" s="1821"/>
      <c r="CG3304" s="1821"/>
      <c r="CH3304" s="1821"/>
      <c r="CI3304" s="1821"/>
      <c r="CJ3304" s="1821"/>
      <c r="CK3304" s="1821"/>
    </row>
    <row r="3305" spans="1:89" s="675" customFormat="1" ht="16.5" customHeight="1" x14ac:dyDescent="0.25">
      <c r="A3305" s="697">
        <v>17</v>
      </c>
      <c r="B3305" s="1002" t="s">
        <v>259</v>
      </c>
      <c r="C3305" s="1007">
        <v>1</v>
      </c>
      <c r="D3305" s="1005" t="s">
        <v>25</v>
      </c>
      <c r="E3305" s="1006">
        <v>59235</v>
      </c>
      <c r="F3305" s="700">
        <f t="shared" si="333"/>
        <v>59235</v>
      </c>
      <c r="G3305" s="700"/>
      <c r="H3305" s="700">
        <f t="shared" si="335"/>
        <v>59235</v>
      </c>
      <c r="I3305" s="700"/>
      <c r="J3305" s="700"/>
      <c r="K3305" s="700">
        <f t="shared" si="336"/>
        <v>0</v>
      </c>
      <c r="L3305" s="700"/>
      <c r="M3305" s="700"/>
      <c r="N3305" s="700">
        <f t="shared" si="337"/>
        <v>0</v>
      </c>
      <c r="O3305" s="974">
        <f t="shared" si="334"/>
        <v>59235</v>
      </c>
      <c r="P3305" s="956"/>
      <c r="Q3305" s="1821"/>
      <c r="R3305" s="1821"/>
      <c r="S3305" s="1821"/>
      <c r="T3305" s="1821"/>
      <c r="U3305" s="1821"/>
      <c r="V3305" s="1821"/>
      <c r="W3305" s="1821"/>
      <c r="X3305" s="1821"/>
      <c r="Y3305" s="1821"/>
      <c r="Z3305" s="1821"/>
      <c r="AA3305" s="1821"/>
      <c r="AB3305" s="1821"/>
      <c r="AC3305" s="1821"/>
      <c r="AD3305" s="1821"/>
      <c r="AE3305" s="1821"/>
      <c r="AF3305" s="1821"/>
      <c r="AG3305" s="1821"/>
      <c r="AH3305" s="1821"/>
      <c r="AI3305" s="1821"/>
      <c r="AJ3305" s="1821"/>
      <c r="AK3305" s="1821"/>
      <c r="AL3305" s="1821"/>
      <c r="AM3305" s="1821"/>
      <c r="AN3305" s="1821"/>
      <c r="AO3305" s="1821"/>
      <c r="AP3305" s="1821"/>
      <c r="AQ3305" s="1821"/>
      <c r="AR3305" s="1821"/>
      <c r="AS3305" s="1821"/>
      <c r="AT3305" s="1821"/>
      <c r="AU3305" s="1821"/>
      <c r="AV3305" s="1821"/>
      <c r="AW3305" s="1821"/>
      <c r="AX3305" s="1821"/>
      <c r="AY3305" s="1821"/>
      <c r="AZ3305" s="1821"/>
      <c r="BA3305" s="1821"/>
      <c r="BB3305" s="1821"/>
      <c r="BC3305" s="1821"/>
      <c r="BD3305" s="1821"/>
      <c r="BE3305" s="1821"/>
      <c r="BF3305" s="1821"/>
      <c r="BG3305" s="1821"/>
      <c r="BH3305" s="1821"/>
      <c r="BI3305" s="1821"/>
      <c r="BJ3305" s="1821"/>
      <c r="BK3305" s="1821"/>
      <c r="BL3305" s="1821"/>
      <c r="BM3305" s="1821"/>
      <c r="BN3305" s="1821"/>
      <c r="BO3305" s="1821"/>
      <c r="BP3305" s="1821"/>
      <c r="BQ3305" s="1821"/>
      <c r="BR3305" s="1821"/>
      <c r="BS3305" s="1821"/>
      <c r="BT3305" s="1821"/>
      <c r="BU3305" s="1821"/>
      <c r="BV3305" s="1821"/>
      <c r="BW3305" s="1821"/>
      <c r="BX3305" s="1821"/>
      <c r="BY3305" s="1821"/>
      <c r="BZ3305" s="1821"/>
      <c r="CA3305" s="1821"/>
      <c r="CB3305" s="1821"/>
      <c r="CC3305" s="1821"/>
      <c r="CD3305" s="1821"/>
      <c r="CE3305" s="1821"/>
      <c r="CF3305" s="1821"/>
      <c r="CG3305" s="1821"/>
      <c r="CH3305" s="1821"/>
      <c r="CI3305" s="1821"/>
      <c r="CJ3305" s="1821"/>
      <c r="CK3305" s="1821"/>
    </row>
    <row r="3306" spans="1:89" s="675" customFormat="1" ht="16.5" customHeight="1" x14ac:dyDescent="0.25">
      <c r="A3306" s="697">
        <v>18</v>
      </c>
      <c r="B3306" s="1002" t="s">
        <v>260</v>
      </c>
      <c r="C3306" s="1007">
        <v>1</v>
      </c>
      <c r="D3306" s="1005" t="s">
        <v>25</v>
      </c>
      <c r="E3306" s="1006">
        <v>1151820</v>
      </c>
      <c r="F3306" s="700">
        <f t="shared" si="333"/>
        <v>1151820</v>
      </c>
      <c r="G3306" s="700"/>
      <c r="H3306" s="700">
        <f t="shared" si="335"/>
        <v>1151820</v>
      </c>
      <c r="I3306" s="700"/>
      <c r="J3306" s="700"/>
      <c r="K3306" s="700">
        <f t="shared" si="336"/>
        <v>0</v>
      </c>
      <c r="L3306" s="700"/>
      <c r="M3306" s="700"/>
      <c r="N3306" s="700">
        <f t="shared" si="337"/>
        <v>0</v>
      </c>
      <c r="O3306" s="974">
        <f t="shared" si="334"/>
        <v>1151820</v>
      </c>
      <c r="P3306" s="956"/>
      <c r="Q3306" s="1821"/>
      <c r="R3306" s="1821"/>
      <c r="S3306" s="1821"/>
      <c r="T3306" s="1821"/>
      <c r="U3306" s="1821"/>
      <c r="V3306" s="1821"/>
      <c r="W3306" s="1821"/>
      <c r="X3306" s="1821"/>
      <c r="Y3306" s="1821"/>
      <c r="Z3306" s="1821"/>
      <c r="AA3306" s="1821"/>
      <c r="AB3306" s="1821"/>
      <c r="AC3306" s="1821"/>
      <c r="AD3306" s="1821"/>
      <c r="AE3306" s="1821"/>
      <c r="AF3306" s="1821"/>
      <c r="AG3306" s="1821"/>
      <c r="AH3306" s="1821"/>
      <c r="AI3306" s="1821"/>
      <c r="AJ3306" s="1821"/>
      <c r="AK3306" s="1821"/>
      <c r="AL3306" s="1821"/>
      <c r="AM3306" s="1821"/>
      <c r="AN3306" s="1821"/>
      <c r="AO3306" s="1821"/>
      <c r="AP3306" s="1821"/>
      <c r="AQ3306" s="1821"/>
      <c r="AR3306" s="1821"/>
      <c r="AS3306" s="1821"/>
      <c r="AT3306" s="1821"/>
      <c r="AU3306" s="1821"/>
      <c r="AV3306" s="1821"/>
      <c r="AW3306" s="1821"/>
      <c r="AX3306" s="1821"/>
      <c r="AY3306" s="1821"/>
      <c r="AZ3306" s="1821"/>
      <c r="BA3306" s="1821"/>
      <c r="BB3306" s="1821"/>
      <c r="BC3306" s="1821"/>
      <c r="BD3306" s="1821"/>
      <c r="BE3306" s="1821"/>
      <c r="BF3306" s="1821"/>
      <c r="BG3306" s="1821"/>
      <c r="BH3306" s="1821"/>
      <c r="BI3306" s="1821"/>
      <c r="BJ3306" s="1821"/>
      <c r="BK3306" s="1821"/>
      <c r="BL3306" s="1821"/>
      <c r="BM3306" s="1821"/>
      <c r="BN3306" s="1821"/>
      <c r="BO3306" s="1821"/>
      <c r="BP3306" s="1821"/>
      <c r="BQ3306" s="1821"/>
      <c r="BR3306" s="1821"/>
      <c r="BS3306" s="1821"/>
      <c r="BT3306" s="1821"/>
      <c r="BU3306" s="1821"/>
      <c r="BV3306" s="1821"/>
      <c r="BW3306" s="1821"/>
      <c r="BX3306" s="1821"/>
      <c r="BY3306" s="1821"/>
      <c r="BZ3306" s="1821"/>
      <c r="CA3306" s="1821"/>
      <c r="CB3306" s="1821"/>
      <c r="CC3306" s="1821"/>
      <c r="CD3306" s="1821"/>
      <c r="CE3306" s="1821"/>
      <c r="CF3306" s="1821"/>
      <c r="CG3306" s="1821"/>
      <c r="CH3306" s="1821"/>
      <c r="CI3306" s="1821"/>
      <c r="CJ3306" s="1821"/>
      <c r="CK3306" s="1821"/>
    </row>
    <row r="3307" spans="1:89" s="675" customFormat="1" ht="16.5" customHeight="1" x14ac:dyDescent="0.25">
      <c r="A3307" s="697">
        <v>19</v>
      </c>
      <c r="B3307" s="1002" t="s">
        <v>261</v>
      </c>
      <c r="C3307" s="1007">
        <v>1</v>
      </c>
      <c r="D3307" s="1005" t="s">
        <v>55</v>
      </c>
      <c r="E3307" s="1006">
        <v>6600</v>
      </c>
      <c r="F3307" s="700">
        <f t="shared" si="333"/>
        <v>6600</v>
      </c>
      <c r="G3307" s="700"/>
      <c r="H3307" s="700">
        <f t="shared" si="335"/>
        <v>6600</v>
      </c>
      <c r="I3307" s="700"/>
      <c r="J3307" s="700"/>
      <c r="K3307" s="700">
        <f t="shared" si="336"/>
        <v>0</v>
      </c>
      <c r="L3307" s="700"/>
      <c r="M3307" s="700"/>
      <c r="N3307" s="700">
        <f t="shared" si="337"/>
        <v>0</v>
      </c>
      <c r="O3307" s="974">
        <f t="shared" si="334"/>
        <v>6600</v>
      </c>
      <c r="P3307" s="956"/>
      <c r="Q3307" s="1821"/>
      <c r="R3307" s="1821"/>
      <c r="S3307" s="1821"/>
      <c r="T3307" s="1821"/>
      <c r="U3307" s="1821"/>
      <c r="V3307" s="1821"/>
      <c r="W3307" s="1821"/>
      <c r="X3307" s="1821"/>
      <c r="Y3307" s="1821"/>
      <c r="Z3307" s="1821"/>
      <c r="AA3307" s="1821"/>
      <c r="AB3307" s="1821"/>
      <c r="AC3307" s="1821"/>
      <c r="AD3307" s="1821"/>
      <c r="AE3307" s="1821"/>
      <c r="AF3307" s="1821"/>
      <c r="AG3307" s="1821"/>
      <c r="AH3307" s="1821"/>
      <c r="AI3307" s="1821"/>
      <c r="AJ3307" s="1821"/>
      <c r="AK3307" s="1821"/>
      <c r="AL3307" s="1821"/>
      <c r="AM3307" s="1821"/>
      <c r="AN3307" s="1821"/>
      <c r="AO3307" s="1821"/>
      <c r="AP3307" s="1821"/>
      <c r="AQ3307" s="1821"/>
      <c r="AR3307" s="1821"/>
      <c r="AS3307" s="1821"/>
      <c r="AT3307" s="1821"/>
      <c r="AU3307" s="1821"/>
      <c r="AV3307" s="1821"/>
      <c r="AW3307" s="1821"/>
      <c r="AX3307" s="1821"/>
      <c r="AY3307" s="1821"/>
      <c r="AZ3307" s="1821"/>
      <c r="BA3307" s="1821"/>
      <c r="BB3307" s="1821"/>
      <c r="BC3307" s="1821"/>
      <c r="BD3307" s="1821"/>
      <c r="BE3307" s="1821"/>
      <c r="BF3307" s="1821"/>
      <c r="BG3307" s="1821"/>
      <c r="BH3307" s="1821"/>
      <c r="BI3307" s="1821"/>
      <c r="BJ3307" s="1821"/>
      <c r="BK3307" s="1821"/>
      <c r="BL3307" s="1821"/>
      <c r="BM3307" s="1821"/>
      <c r="BN3307" s="1821"/>
      <c r="BO3307" s="1821"/>
      <c r="BP3307" s="1821"/>
      <c r="BQ3307" s="1821"/>
      <c r="BR3307" s="1821"/>
      <c r="BS3307" s="1821"/>
      <c r="BT3307" s="1821"/>
      <c r="BU3307" s="1821"/>
      <c r="BV3307" s="1821"/>
      <c r="BW3307" s="1821"/>
      <c r="BX3307" s="1821"/>
      <c r="BY3307" s="1821"/>
      <c r="BZ3307" s="1821"/>
      <c r="CA3307" s="1821"/>
      <c r="CB3307" s="1821"/>
      <c r="CC3307" s="1821"/>
      <c r="CD3307" s="1821"/>
      <c r="CE3307" s="1821"/>
      <c r="CF3307" s="1821"/>
      <c r="CG3307" s="1821"/>
      <c r="CH3307" s="1821"/>
      <c r="CI3307" s="1821"/>
      <c r="CJ3307" s="1821"/>
      <c r="CK3307" s="1821"/>
    </row>
    <row r="3308" spans="1:89" s="675" customFormat="1" ht="16.5" customHeight="1" x14ac:dyDescent="0.25">
      <c r="A3308" s="697">
        <v>20</v>
      </c>
      <c r="B3308" s="1002" t="s">
        <v>1194</v>
      </c>
      <c r="C3308" s="1007">
        <v>1</v>
      </c>
      <c r="D3308" s="1005" t="s">
        <v>55</v>
      </c>
      <c r="E3308" s="1006">
        <v>613800</v>
      </c>
      <c r="F3308" s="700">
        <f t="shared" si="333"/>
        <v>613800</v>
      </c>
      <c r="G3308" s="700"/>
      <c r="H3308" s="700">
        <f t="shared" si="335"/>
        <v>613800</v>
      </c>
      <c r="I3308" s="700"/>
      <c r="J3308" s="700"/>
      <c r="K3308" s="700">
        <f t="shared" si="336"/>
        <v>0</v>
      </c>
      <c r="L3308" s="700"/>
      <c r="M3308" s="700"/>
      <c r="N3308" s="700">
        <f t="shared" si="337"/>
        <v>0</v>
      </c>
      <c r="O3308" s="974">
        <f t="shared" si="334"/>
        <v>613800</v>
      </c>
      <c r="P3308" s="956"/>
      <c r="Q3308" s="1821"/>
      <c r="R3308" s="1821"/>
      <c r="S3308" s="1821"/>
      <c r="T3308" s="1821"/>
      <c r="U3308" s="1821"/>
      <c r="V3308" s="1821"/>
      <c r="W3308" s="1821"/>
      <c r="X3308" s="1821"/>
      <c r="Y3308" s="1821"/>
      <c r="Z3308" s="1821"/>
      <c r="AA3308" s="1821"/>
      <c r="AB3308" s="1821"/>
      <c r="AC3308" s="1821"/>
      <c r="AD3308" s="1821"/>
      <c r="AE3308" s="1821"/>
      <c r="AF3308" s="1821"/>
      <c r="AG3308" s="1821"/>
      <c r="AH3308" s="1821"/>
      <c r="AI3308" s="1821"/>
      <c r="AJ3308" s="1821"/>
      <c r="AK3308" s="1821"/>
      <c r="AL3308" s="1821"/>
      <c r="AM3308" s="1821"/>
      <c r="AN3308" s="1821"/>
      <c r="AO3308" s="1821"/>
      <c r="AP3308" s="1821"/>
      <c r="AQ3308" s="1821"/>
      <c r="AR3308" s="1821"/>
      <c r="AS3308" s="1821"/>
      <c r="AT3308" s="1821"/>
      <c r="AU3308" s="1821"/>
      <c r="AV3308" s="1821"/>
      <c r="AW3308" s="1821"/>
      <c r="AX3308" s="1821"/>
      <c r="AY3308" s="1821"/>
      <c r="AZ3308" s="1821"/>
      <c r="BA3308" s="1821"/>
      <c r="BB3308" s="1821"/>
      <c r="BC3308" s="1821"/>
      <c r="BD3308" s="1821"/>
      <c r="BE3308" s="1821"/>
      <c r="BF3308" s="1821"/>
      <c r="BG3308" s="1821"/>
      <c r="BH3308" s="1821"/>
      <c r="BI3308" s="1821"/>
      <c r="BJ3308" s="1821"/>
      <c r="BK3308" s="1821"/>
      <c r="BL3308" s="1821"/>
      <c r="BM3308" s="1821"/>
      <c r="BN3308" s="1821"/>
      <c r="BO3308" s="1821"/>
      <c r="BP3308" s="1821"/>
      <c r="BQ3308" s="1821"/>
      <c r="BR3308" s="1821"/>
      <c r="BS3308" s="1821"/>
      <c r="BT3308" s="1821"/>
      <c r="BU3308" s="1821"/>
      <c r="BV3308" s="1821"/>
      <c r="BW3308" s="1821"/>
      <c r="BX3308" s="1821"/>
      <c r="BY3308" s="1821"/>
      <c r="BZ3308" s="1821"/>
      <c r="CA3308" s="1821"/>
      <c r="CB3308" s="1821"/>
      <c r="CC3308" s="1821"/>
      <c r="CD3308" s="1821"/>
      <c r="CE3308" s="1821"/>
      <c r="CF3308" s="1821"/>
      <c r="CG3308" s="1821"/>
      <c r="CH3308" s="1821"/>
      <c r="CI3308" s="1821"/>
      <c r="CJ3308" s="1821"/>
      <c r="CK3308" s="1821"/>
    </row>
    <row r="3309" spans="1:89" s="675" customFormat="1" ht="16.5" customHeight="1" x14ac:dyDescent="0.25">
      <c r="A3309" s="697">
        <v>21</v>
      </c>
      <c r="B3309" s="1002" t="s">
        <v>1195</v>
      </c>
      <c r="C3309" s="1007">
        <v>1</v>
      </c>
      <c r="D3309" s="1005" t="s">
        <v>55</v>
      </c>
      <c r="E3309" s="1006">
        <v>2801304</v>
      </c>
      <c r="F3309" s="700">
        <f t="shared" si="333"/>
        <v>2801304</v>
      </c>
      <c r="G3309" s="700"/>
      <c r="H3309" s="700">
        <f t="shared" si="335"/>
        <v>2801304</v>
      </c>
      <c r="I3309" s="700"/>
      <c r="J3309" s="700"/>
      <c r="K3309" s="700">
        <f t="shared" si="336"/>
        <v>0</v>
      </c>
      <c r="L3309" s="700"/>
      <c r="M3309" s="700"/>
      <c r="N3309" s="700">
        <f t="shared" si="337"/>
        <v>0</v>
      </c>
      <c r="O3309" s="974">
        <f t="shared" si="334"/>
        <v>2801304</v>
      </c>
      <c r="P3309" s="956"/>
      <c r="Q3309" s="1821"/>
      <c r="R3309" s="1821"/>
      <c r="S3309" s="1821"/>
      <c r="T3309" s="1821"/>
      <c r="U3309" s="1821"/>
      <c r="V3309" s="1821"/>
      <c r="W3309" s="1821"/>
      <c r="X3309" s="1821"/>
      <c r="Y3309" s="1821"/>
      <c r="Z3309" s="1821"/>
      <c r="AA3309" s="1821"/>
      <c r="AB3309" s="1821"/>
      <c r="AC3309" s="1821"/>
      <c r="AD3309" s="1821"/>
      <c r="AE3309" s="1821"/>
      <c r="AF3309" s="1821"/>
      <c r="AG3309" s="1821"/>
      <c r="AH3309" s="1821"/>
      <c r="AI3309" s="1821"/>
      <c r="AJ3309" s="1821"/>
      <c r="AK3309" s="1821"/>
      <c r="AL3309" s="1821"/>
      <c r="AM3309" s="1821"/>
      <c r="AN3309" s="1821"/>
      <c r="AO3309" s="1821"/>
      <c r="AP3309" s="1821"/>
      <c r="AQ3309" s="1821"/>
      <c r="AR3309" s="1821"/>
      <c r="AS3309" s="1821"/>
      <c r="AT3309" s="1821"/>
      <c r="AU3309" s="1821"/>
      <c r="AV3309" s="1821"/>
      <c r="AW3309" s="1821"/>
      <c r="AX3309" s="1821"/>
      <c r="AY3309" s="1821"/>
      <c r="AZ3309" s="1821"/>
      <c r="BA3309" s="1821"/>
      <c r="BB3309" s="1821"/>
      <c r="BC3309" s="1821"/>
      <c r="BD3309" s="1821"/>
      <c r="BE3309" s="1821"/>
      <c r="BF3309" s="1821"/>
      <c r="BG3309" s="1821"/>
      <c r="BH3309" s="1821"/>
      <c r="BI3309" s="1821"/>
      <c r="BJ3309" s="1821"/>
      <c r="BK3309" s="1821"/>
      <c r="BL3309" s="1821"/>
      <c r="BM3309" s="1821"/>
      <c r="BN3309" s="1821"/>
      <c r="BO3309" s="1821"/>
      <c r="BP3309" s="1821"/>
      <c r="BQ3309" s="1821"/>
      <c r="BR3309" s="1821"/>
      <c r="BS3309" s="1821"/>
      <c r="BT3309" s="1821"/>
      <c r="BU3309" s="1821"/>
      <c r="BV3309" s="1821"/>
      <c r="BW3309" s="1821"/>
      <c r="BX3309" s="1821"/>
      <c r="BY3309" s="1821"/>
      <c r="BZ3309" s="1821"/>
      <c r="CA3309" s="1821"/>
      <c r="CB3309" s="1821"/>
      <c r="CC3309" s="1821"/>
      <c r="CD3309" s="1821"/>
      <c r="CE3309" s="1821"/>
      <c r="CF3309" s="1821"/>
      <c r="CG3309" s="1821"/>
      <c r="CH3309" s="1821"/>
      <c r="CI3309" s="1821"/>
      <c r="CJ3309" s="1821"/>
      <c r="CK3309" s="1821"/>
    </row>
    <row r="3310" spans="1:89" s="675" customFormat="1" ht="16.5" customHeight="1" x14ac:dyDescent="0.25">
      <c r="A3310" s="697">
        <v>22</v>
      </c>
      <c r="B3310" s="1002" t="s">
        <v>1196</v>
      </c>
      <c r="C3310" s="1007">
        <v>1</v>
      </c>
      <c r="D3310" s="1005" t="s">
        <v>55</v>
      </c>
      <c r="E3310" s="1006">
        <v>451704</v>
      </c>
      <c r="F3310" s="700">
        <f t="shared" si="333"/>
        <v>451704</v>
      </c>
      <c r="G3310" s="700"/>
      <c r="H3310" s="700">
        <f t="shared" si="335"/>
        <v>451704</v>
      </c>
      <c r="I3310" s="700"/>
      <c r="J3310" s="700"/>
      <c r="K3310" s="700">
        <f t="shared" si="336"/>
        <v>0</v>
      </c>
      <c r="L3310" s="700"/>
      <c r="M3310" s="700"/>
      <c r="N3310" s="700">
        <f t="shared" si="337"/>
        <v>0</v>
      </c>
      <c r="O3310" s="974">
        <f t="shared" si="334"/>
        <v>451704</v>
      </c>
      <c r="P3310" s="956"/>
      <c r="Q3310" s="1821"/>
      <c r="R3310" s="1821"/>
      <c r="S3310" s="1821"/>
      <c r="T3310" s="1821"/>
      <c r="U3310" s="1821"/>
      <c r="V3310" s="1821"/>
      <c r="W3310" s="1821"/>
      <c r="X3310" s="1821"/>
      <c r="Y3310" s="1821"/>
      <c r="Z3310" s="1821"/>
      <c r="AA3310" s="1821"/>
      <c r="AB3310" s="1821"/>
      <c r="AC3310" s="1821"/>
      <c r="AD3310" s="1821"/>
      <c r="AE3310" s="1821"/>
      <c r="AF3310" s="1821"/>
      <c r="AG3310" s="1821"/>
      <c r="AH3310" s="1821"/>
      <c r="AI3310" s="1821"/>
      <c r="AJ3310" s="1821"/>
      <c r="AK3310" s="1821"/>
      <c r="AL3310" s="1821"/>
      <c r="AM3310" s="1821"/>
      <c r="AN3310" s="1821"/>
      <c r="AO3310" s="1821"/>
      <c r="AP3310" s="1821"/>
      <c r="AQ3310" s="1821"/>
      <c r="AR3310" s="1821"/>
      <c r="AS3310" s="1821"/>
      <c r="AT3310" s="1821"/>
      <c r="AU3310" s="1821"/>
      <c r="AV3310" s="1821"/>
      <c r="AW3310" s="1821"/>
      <c r="AX3310" s="1821"/>
      <c r="AY3310" s="1821"/>
      <c r="AZ3310" s="1821"/>
      <c r="BA3310" s="1821"/>
      <c r="BB3310" s="1821"/>
      <c r="BC3310" s="1821"/>
      <c r="BD3310" s="1821"/>
      <c r="BE3310" s="1821"/>
      <c r="BF3310" s="1821"/>
      <c r="BG3310" s="1821"/>
      <c r="BH3310" s="1821"/>
      <c r="BI3310" s="1821"/>
      <c r="BJ3310" s="1821"/>
      <c r="BK3310" s="1821"/>
      <c r="BL3310" s="1821"/>
      <c r="BM3310" s="1821"/>
      <c r="BN3310" s="1821"/>
      <c r="BO3310" s="1821"/>
      <c r="BP3310" s="1821"/>
      <c r="BQ3310" s="1821"/>
      <c r="BR3310" s="1821"/>
      <c r="BS3310" s="1821"/>
      <c r="BT3310" s="1821"/>
      <c r="BU3310" s="1821"/>
      <c r="BV3310" s="1821"/>
      <c r="BW3310" s="1821"/>
      <c r="BX3310" s="1821"/>
      <c r="BY3310" s="1821"/>
      <c r="BZ3310" s="1821"/>
      <c r="CA3310" s="1821"/>
      <c r="CB3310" s="1821"/>
      <c r="CC3310" s="1821"/>
      <c r="CD3310" s="1821"/>
      <c r="CE3310" s="1821"/>
      <c r="CF3310" s="1821"/>
      <c r="CG3310" s="1821"/>
      <c r="CH3310" s="1821"/>
      <c r="CI3310" s="1821"/>
      <c r="CJ3310" s="1821"/>
      <c r="CK3310" s="1821"/>
    </row>
    <row r="3311" spans="1:89" s="675" customFormat="1" ht="16.5" customHeight="1" x14ac:dyDescent="0.25">
      <c r="A3311" s="697">
        <v>33</v>
      </c>
      <c r="B3311" s="1002" t="s">
        <v>262</v>
      </c>
      <c r="C3311" s="1007">
        <v>1</v>
      </c>
      <c r="D3311" s="1005" t="s">
        <v>263</v>
      </c>
      <c r="E3311" s="1006">
        <v>13256</v>
      </c>
      <c r="F3311" s="700">
        <f t="shared" si="333"/>
        <v>13256</v>
      </c>
      <c r="G3311" s="700"/>
      <c r="H3311" s="700">
        <f>G3311+F3311</f>
        <v>13256</v>
      </c>
      <c r="I3311" s="700"/>
      <c r="J3311" s="700"/>
      <c r="K3311" s="700">
        <f>J3311+I3311</f>
        <v>0</v>
      </c>
      <c r="L3311" s="700"/>
      <c r="M3311" s="700"/>
      <c r="N3311" s="700">
        <f>M3311+L3311</f>
        <v>0</v>
      </c>
      <c r="O3311" s="974">
        <f t="shared" si="334"/>
        <v>13256</v>
      </c>
      <c r="P3311" s="956"/>
      <c r="Q3311" s="1821"/>
      <c r="R3311" s="1821"/>
      <c r="S3311" s="1821"/>
      <c r="T3311" s="1821"/>
      <c r="U3311" s="1821"/>
      <c r="V3311" s="1821"/>
      <c r="W3311" s="1821"/>
      <c r="X3311" s="1821"/>
      <c r="Y3311" s="1821"/>
      <c r="Z3311" s="1821"/>
      <c r="AA3311" s="1821"/>
      <c r="AB3311" s="1821"/>
      <c r="AC3311" s="1821"/>
      <c r="AD3311" s="1821"/>
      <c r="AE3311" s="1821"/>
      <c r="AF3311" s="1821"/>
      <c r="AG3311" s="1821"/>
      <c r="AH3311" s="1821"/>
      <c r="AI3311" s="1821"/>
      <c r="AJ3311" s="1821"/>
      <c r="AK3311" s="1821"/>
      <c r="AL3311" s="1821"/>
      <c r="AM3311" s="1821"/>
      <c r="AN3311" s="1821"/>
      <c r="AO3311" s="1821"/>
      <c r="AP3311" s="1821"/>
      <c r="AQ3311" s="1821"/>
      <c r="AR3311" s="1821"/>
      <c r="AS3311" s="1821"/>
      <c r="AT3311" s="1821"/>
      <c r="AU3311" s="1821"/>
      <c r="AV3311" s="1821"/>
      <c r="AW3311" s="1821"/>
      <c r="AX3311" s="1821"/>
      <c r="AY3311" s="1821"/>
      <c r="AZ3311" s="1821"/>
      <c r="BA3311" s="1821"/>
      <c r="BB3311" s="1821"/>
      <c r="BC3311" s="1821"/>
      <c r="BD3311" s="1821"/>
      <c r="BE3311" s="1821"/>
      <c r="BF3311" s="1821"/>
      <c r="BG3311" s="1821"/>
      <c r="BH3311" s="1821"/>
      <c r="BI3311" s="1821"/>
      <c r="BJ3311" s="1821"/>
      <c r="BK3311" s="1821"/>
      <c r="BL3311" s="1821"/>
      <c r="BM3311" s="1821"/>
      <c r="BN3311" s="1821"/>
      <c r="BO3311" s="1821"/>
      <c r="BP3311" s="1821"/>
      <c r="BQ3311" s="1821"/>
      <c r="BR3311" s="1821"/>
      <c r="BS3311" s="1821"/>
      <c r="BT3311" s="1821"/>
      <c r="BU3311" s="1821"/>
      <c r="BV3311" s="1821"/>
      <c r="BW3311" s="1821"/>
      <c r="BX3311" s="1821"/>
      <c r="BY3311" s="1821"/>
      <c r="BZ3311" s="1821"/>
      <c r="CA3311" s="1821"/>
      <c r="CB3311" s="1821"/>
      <c r="CC3311" s="1821"/>
      <c r="CD3311" s="1821"/>
      <c r="CE3311" s="1821"/>
      <c r="CF3311" s="1821"/>
      <c r="CG3311" s="1821"/>
      <c r="CH3311" s="1821"/>
      <c r="CI3311" s="1821"/>
      <c r="CJ3311" s="1821"/>
      <c r="CK3311" s="1821"/>
    </row>
    <row r="3312" spans="1:89" s="675" customFormat="1" ht="16.5" customHeight="1" x14ac:dyDescent="0.25">
      <c r="A3312" s="697">
        <v>34</v>
      </c>
      <c r="B3312" s="1002" t="s">
        <v>264</v>
      </c>
      <c r="C3312" s="1007">
        <v>1</v>
      </c>
      <c r="D3312" s="1005" t="s">
        <v>263</v>
      </c>
      <c r="E3312" s="1006">
        <v>20278</v>
      </c>
      <c r="F3312" s="700">
        <f t="shared" si="333"/>
        <v>20278</v>
      </c>
      <c r="G3312" s="700"/>
      <c r="H3312" s="700">
        <f>G3312+F3312</f>
        <v>20278</v>
      </c>
      <c r="I3312" s="700"/>
      <c r="J3312" s="700"/>
      <c r="K3312" s="700">
        <f>J3312+I3312</f>
        <v>0</v>
      </c>
      <c r="L3312" s="700"/>
      <c r="M3312" s="700"/>
      <c r="N3312" s="700">
        <f>M3312+L3312</f>
        <v>0</v>
      </c>
      <c r="O3312" s="974">
        <f t="shared" si="334"/>
        <v>20278</v>
      </c>
      <c r="P3312" s="956"/>
      <c r="Q3312" s="1821"/>
      <c r="R3312" s="1821"/>
      <c r="S3312" s="1821"/>
      <c r="T3312" s="1821"/>
      <c r="U3312" s="1821"/>
      <c r="V3312" s="1821"/>
      <c r="W3312" s="1821"/>
      <c r="X3312" s="1821"/>
      <c r="Y3312" s="1821"/>
      <c r="Z3312" s="1821"/>
      <c r="AA3312" s="1821"/>
      <c r="AB3312" s="1821"/>
      <c r="AC3312" s="1821"/>
      <c r="AD3312" s="1821"/>
      <c r="AE3312" s="1821"/>
      <c r="AF3312" s="1821"/>
      <c r="AG3312" s="1821"/>
      <c r="AH3312" s="1821"/>
      <c r="AI3312" s="1821"/>
      <c r="AJ3312" s="1821"/>
      <c r="AK3312" s="1821"/>
      <c r="AL3312" s="1821"/>
      <c r="AM3312" s="1821"/>
      <c r="AN3312" s="1821"/>
      <c r="AO3312" s="1821"/>
      <c r="AP3312" s="1821"/>
      <c r="AQ3312" s="1821"/>
      <c r="AR3312" s="1821"/>
      <c r="AS3312" s="1821"/>
      <c r="AT3312" s="1821"/>
      <c r="AU3312" s="1821"/>
      <c r="AV3312" s="1821"/>
      <c r="AW3312" s="1821"/>
      <c r="AX3312" s="1821"/>
      <c r="AY3312" s="1821"/>
      <c r="AZ3312" s="1821"/>
      <c r="BA3312" s="1821"/>
      <c r="BB3312" s="1821"/>
      <c r="BC3312" s="1821"/>
      <c r="BD3312" s="1821"/>
      <c r="BE3312" s="1821"/>
      <c r="BF3312" s="1821"/>
      <c r="BG3312" s="1821"/>
      <c r="BH3312" s="1821"/>
      <c r="BI3312" s="1821"/>
      <c r="BJ3312" s="1821"/>
      <c r="BK3312" s="1821"/>
      <c r="BL3312" s="1821"/>
      <c r="BM3312" s="1821"/>
      <c r="BN3312" s="1821"/>
      <c r="BO3312" s="1821"/>
      <c r="BP3312" s="1821"/>
      <c r="BQ3312" s="1821"/>
      <c r="BR3312" s="1821"/>
      <c r="BS3312" s="1821"/>
      <c r="BT3312" s="1821"/>
      <c r="BU3312" s="1821"/>
      <c r="BV3312" s="1821"/>
      <c r="BW3312" s="1821"/>
      <c r="BX3312" s="1821"/>
      <c r="BY3312" s="1821"/>
      <c r="BZ3312" s="1821"/>
      <c r="CA3312" s="1821"/>
      <c r="CB3312" s="1821"/>
      <c r="CC3312" s="1821"/>
      <c r="CD3312" s="1821"/>
      <c r="CE3312" s="1821"/>
      <c r="CF3312" s="1821"/>
      <c r="CG3312" s="1821"/>
      <c r="CH3312" s="1821"/>
      <c r="CI3312" s="1821"/>
      <c r="CJ3312" s="1821"/>
      <c r="CK3312" s="1821"/>
    </row>
    <row r="3313" spans="1:89" s="675" customFormat="1" ht="16.5" customHeight="1" x14ac:dyDescent="0.25">
      <c r="A3313" s="697">
        <v>35</v>
      </c>
      <c r="B3313" s="1002" t="s">
        <v>265</v>
      </c>
      <c r="C3313" s="1007">
        <v>1</v>
      </c>
      <c r="D3313" s="1005" t="s">
        <v>263</v>
      </c>
      <c r="E3313" s="1006">
        <v>27626</v>
      </c>
      <c r="F3313" s="700">
        <f t="shared" si="333"/>
        <v>27626</v>
      </c>
      <c r="G3313" s="700"/>
      <c r="H3313" s="700">
        <f>G3313+F3313</f>
        <v>27626</v>
      </c>
      <c r="I3313" s="700"/>
      <c r="J3313" s="700"/>
      <c r="K3313" s="700">
        <f>J3313+I3313</f>
        <v>0</v>
      </c>
      <c r="L3313" s="700"/>
      <c r="M3313" s="700"/>
      <c r="N3313" s="700">
        <f>M3313+L3313</f>
        <v>0</v>
      </c>
      <c r="O3313" s="974">
        <f t="shared" si="334"/>
        <v>27626</v>
      </c>
      <c r="P3313" s="956"/>
      <c r="Q3313" s="1821"/>
      <c r="R3313" s="1821"/>
      <c r="S3313" s="1821"/>
      <c r="T3313" s="1821"/>
      <c r="U3313" s="1821"/>
      <c r="V3313" s="1821"/>
      <c r="W3313" s="1821"/>
      <c r="X3313" s="1821"/>
      <c r="Y3313" s="1821"/>
      <c r="Z3313" s="1821"/>
      <c r="AA3313" s="1821"/>
      <c r="AB3313" s="1821"/>
      <c r="AC3313" s="1821"/>
      <c r="AD3313" s="1821"/>
      <c r="AE3313" s="1821"/>
      <c r="AF3313" s="1821"/>
      <c r="AG3313" s="1821"/>
      <c r="AH3313" s="1821"/>
      <c r="AI3313" s="1821"/>
      <c r="AJ3313" s="1821"/>
      <c r="AK3313" s="1821"/>
      <c r="AL3313" s="1821"/>
      <c r="AM3313" s="1821"/>
      <c r="AN3313" s="1821"/>
      <c r="AO3313" s="1821"/>
      <c r="AP3313" s="1821"/>
      <c r="AQ3313" s="1821"/>
      <c r="AR3313" s="1821"/>
      <c r="AS3313" s="1821"/>
      <c r="AT3313" s="1821"/>
      <c r="AU3313" s="1821"/>
      <c r="AV3313" s="1821"/>
      <c r="AW3313" s="1821"/>
      <c r="AX3313" s="1821"/>
      <c r="AY3313" s="1821"/>
      <c r="AZ3313" s="1821"/>
      <c r="BA3313" s="1821"/>
      <c r="BB3313" s="1821"/>
      <c r="BC3313" s="1821"/>
      <c r="BD3313" s="1821"/>
      <c r="BE3313" s="1821"/>
      <c r="BF3313" s="1821"/>
      <c r="BG3313" s="1821"/>
      <c r="BH3313" s="1821"/>
      <c r="BI3313" s="1821"/>
      <c r="BJ3313" s="1821"/>
      <c r="BK3313" s="1821"/>
      <c r="BL3313" s="1821"/>
      <c r="BM3313" s="1821"/>
      <c r="BN3313" s="1821"/>
      <c r="BO3313" s="1821"/>
      <c r="BP3313" s="1821"/>
      <c r="BQ3313" s="1821"/>
      <c r="BR3313" s="1821"/>
      <c r="BS3313" s="1821"/>
      <c r="BT3313" s="1821"/>
      <c r="BU3313" s="1821"/>
      <c r="BV3313" s="1821"/>
      <c r="BW3313" s="1821"/>
      <c r="BX3313" s="1821"/>
      <c r="BY3313" s="1821"/>
      <c r="BZ3313" s="1821"/>
      <c r="CA3313" s="1821"/>
      <c r="CB3313" s="1821"/>
      <c r="CC3313" s="1821"/>
      <c r="CD3313" s="1821"/>
      <c r="CE3313" s="1821"/>
      <c r="CF3313" s="1821"/>
      <c r="CG3313" s="1821"/>
      <c r="CH3313" s="1821"/>
      <c r="CI3313" s="1821"/>
      <c r="CJ3313" s="1821"/>
      <c r="CK3313" s="1821"/>
    </row>
    <row r="3314" spans="1:89" s="675" customFormat="1" ht="16.5" customHeight="1" x14ac:dyDescent="0.25">
      <c r="A3314" s="697">
        <v>36</v>
      </c>
      <c r="B3314" s="1002" t="s">
        <v>266</v>
      </c>
      <c r="C3314" s="1007">
        <v>1</v>
      </c>
      <c r="D3314" s="1005" t="s">
        <v>263</v>
      </c>
      <c r="E3314" s="1006">
        <v>46828</v>
      </c>
      <c r="F3314" s="700">
        <f t="shared" si="333"/>
        <v>46828</v>
      </c>
      <c r="G3314" s="700"/>
      <c r="H3314" s="700">
        <f>G3314+F3314</f>
        <v>46828</v>
      </c>
      <c r="I3314" s="700"/>
      <c r="J3314" s="700"/>
      <c r="K3314" s="700">
        <f>J3314+I3314</f>
        <v>0</v>
      </c>
      <c r="L3314" s="700"/>
      <c r="M3314" s="700"/>
      <c r="N3314" s="700">
        <f>M3314+L3314</f>
        <v>0</v>
      </c>
      <c r="O3314" s="974">
        <f t="shared" si="334"/>
        <v>46828</v>
      </c>
      <c r="P3314" s="956"/>
      <c r="Q3314" s="1821"/>
      <c r="R3314" s="1821"/>
      <c r="S3314" s="1821"/>
      <c r="T3314" s="1821"/>
      <c r="U3314" s="1821"/>
      <c r="V3314" s="1821"/>
      <c r="W3314" s="1821"/>
      <c r="X3314" s="1821"/>
      <c r="Y3314" s="1821"/>
      <c r="Z3314" s="1821"/>
      <c r="AA3314" s="1821"/>
      <c r="AB3314" s="1821"/>
      <c r="AC3314" s="1821"/>
      <c r="AD3314" s="1821"/>
      <c r="AE3314" s="1821"/>
      <c r="AF3314" s="1821"/>
      <c r="AG3314" s="1821"/>
      <c r="AH3314" s="1821"/>
      <c r="AI3314" s="1821"/>
      <c r="AJ3314" s="1821"/>
      <c r="AK3314" s="1821"/>
      <c r="AL3314" s="1821"/>
      <c r="AM3314" s="1821"/>
      <c r="AN3314" s="1821"/>
      <c r="AO3314" s="1821"/>
      <c r="AP3314" s="1821"/>
      <c r="AQ3314" s="1821"/>
      <c r="AR3314" s="1821"/>
      <c r="AS3314" s="1821"/>
      <c r="AT3314" s="1821"/>
      <c r="AU3314" s="1821"/>
      <c r="AV3314" s="1821"/>
      <c r="AW3314" s="1821"/>
      <c r="AX3314" s="1821"/>
      <c r="AY3314" s="1821"/>
      <c r="AZ3314" s="1821"/>
      <c r="BA3314" s="1821"/>
      <c r="BB3314" s="1821"/>
      <c r="BC3314" s="1821"/>
      <c r="BD3314" s="1821"/>
      <c r="BE3314" s="1821"/>
      <c r="BF3314" s="1821"/>
      <c r="BG3314" s="1821"/>
      <c r="BH3314" s="1821"/>
      <c r="BI3314" s="1821"/>
      <c r="BJ3314" s="1821"/>
      <c r="BK3314" s="1821"/>
      <c r="BL3314" s="1821"/>
      <c r="BM3314" s="1821"/>
      <c r="BN3314" s="1821"/>
      <c r="BO3314" s="1821"/>
      <c r="BP3314" s="1821"/>
      <c r="BQ3314" s="1821"/>
      <c r="BR3314" s="1821"/>
      <c r="BS3314" s="1821"/>
      <c r="BT3314" s="1821"/>
      <c r="BU3314" s="1821"/>
      <c r="BV3314" s="1821"/>
      <c r="BW3314" s="1821"/>
      <c r="BX3314" s="1821"/>
      <c r="BY3314" s="1821"/>
      <c r="BZ3314" s="1821"/>
      <c r="CA3314" s="1821"/>
      <c r="CB3314" s="1821"/>
      <c r="CC3314" s="1821"/>
      <c r="CD3314" s="1821"/>
      <c r="CE3314" s="1821"/>
      <c r="CF3314" s="1821"/>
      <c r="CG3314" s="1821"/>
      <c r="CH3314" s="1821"/>
      <c r="CI3314" s="1821"/>
      <c r="CJ3314" s="1821"/>
      <c r="CK3314" s="1821"/>
    </row>
    <row r="3315" spans="1:89" s="675" customFormat="1" ht="16.5" customHeight="1" x14ac:dyDescent="0.25">
      <c r="A3315" s="697">
        <v>23</v>
      </c>
      <c r="B3315" s="1002" t="s">
        <v>267</v>
      </c>
      <c r="C3315" s="1007">
        <v>1</v>
      </c>
      <c r="D3315" s="1005" t="s">
        <v>25</v>
      </c>
      <c r="E3315" s="1006">
        <v>1003657</v>
      </c>
      <c r="F3315" s="700">
        <f t="shared" si="333"/>
        <v>1003657</v>
      </c>
      <c r="G3315" s="700"/>
      <c r="H3315" s="700">
        <f t="shared" si="335"/>
        <v>1003657</v>
      </c>
      <c r="I3315" s="700"/>
      <c r="J3315" s="700"/>
      <c r="K3315" s="700">
        <f t="shared" si="336"/>
        <v>0</v>
      </c>
      <c r="L3315" s="700"/>
      <c r="M3315" s="700"/>
      <c r="N3315" s="700">
        <f t="shared" si="337"/>
        <v>0</v>
      </c>
      <c r="O3315" s="974">
        <f t="shared" si="334"/>
        <v>1003657</v>
      </c>
      <c r="P3315" s="956"/>
      <c r="Q3315" s="1821"/>
      <c r="R3315" s="1821"/>
      <c r="S3315" s="1821"/>
      <c r="T3315" s="1821"/>
      <c r="U3315" s="1821"/>
      <c r="V3315" s="1821"/>
      <c r="W3315" s="1821"/>
      <c r="X3315" s="1821"/>
      <c r="Y3315" s="1821"/>
      <c r="Z3315" s="1821"/>
      <c r="AA3315" s="1821"/>
      <c r="AB3315" s="1821"/>
      <c r="AC3315" s="1821"/>
      <c r="AD3315" s="1821"/>
      <c r="AE3315" s="1821"/>
      <c r="AF3315" s="1821"/>
      <c r="AG3315" s="1821"/>
      <c r="AH3315" s="1821"/>
      <c r="AI3315" s="1821"/>
      <c r="AJ3315" s="1821"/>
      <c r="AK3315" s="1821"/>
      <c r="AL3315" s="1821"/>
      <c r="AM3315" s="1821"/>
      <c r="AN3315" s="1821"/>
      <c r="AO3315" s="1821"/>
      <c r="AP3315" s="1821"/>
      <c r="AQ3315" s="1821"/>
      <c r="AR3315" s="1821"/>
      <c r="AS3315" s="1821"/>
      <c r="AT3315" s="1821"/>
      <c r="AU3315" s="1821"/>
      <c r="AV3315" s="1821"/>
      <c r="AW3315" s="1821"/>
      <c r="AX3315" s="1821"/>
      <c r="AY3315" s="1821"/>
      <c r="AZ3315" s="1821"/>
      <c r="BA3315" s="1821"/>
      <c r="BB3315" s="1821"/>
      <c r="BC3315" s="1821"/>
      <c r="BD3315" s="1821"/>
      <c r="BE3315" s="1821"/>
      <c r="BF3315" s="1821"/>
      <c r="BG3315" s="1821"/>
      <c r="BH3315" s="1821"/>
      <c r="BI3315" s="1821"/>
      <c r="BJ3315" s="1821"/>
      <c r="BK3315" s="1821"/>
      <c r="BL3315" s="1821"/>
      <c r="BM3315" s="1821"/>
      <c r="BN3315" s="1821"/>
      <c r="BO3315" s="1821"/>
      <c r="BP3315" s="1821"/>
      <c r="BQ3315" s="1821"/>
      <c r="BR3315" s="1821"/>
      <c r="BS3315" s="1821"/>
      <c r="BT3315" s="1821"/>
      <c r="BU3315" s="1821"/>
      <c r="BV3315" s="1821"/>
      <c r="BW3315" s="1821"/>
      <c r="BX3315" s="1821"/>
      <c r="BY3315" s="1821"/>
      <c r="BZ3315" s="1821"/>
      <c r="CA3315" s="1821"/>
      <c r="CB3315" s="1821"/>
      <c r="CC3315" s="1821"/>
      <c r="CD3315" s="1821"/>
      <c r="CE3315" s="1821"/>
      <c r="CF3315" s="1821"/>
      <c r="CG3315" s="1821"/>
      <c r="CH3315" s="1821"/>
      <c r="CI3315" s="1821"/>
      <c r="CJ3315" s="1821"/>
      <c r="CK3315" s="1821"/>
    </row>
    <row r="3316" spans="1:89" s="675" customFormat="1" ht="16.5" customHeight="1" x14ac:dyDescent="0.25">
      <c r="A3316" s="697">
        <v>24</v>
      </c>
      <c r="B3316" s="1002" t="s">
        <v>268</v>
      </c>
      <c r="C3316" s="1007">
        <v>1</v>
      </c>
      <c r="D3316" s="1005" t="s">
        <v>25</v>
      </c>
      <c r="E3316" s="1006">
        <v>77204</v>
      </c>
      <c r="F3316" s="700">
        <f t="shared" si="333"/>
        <v>77204</v>
      </c>
      <c r="G3316" s="700"/>
      <c r="H3316" s="700">
        <f t="shared" si="335"/>
        <v>77204</v>
      </c>
      <c r="I3316" s="700"/>
      <c r="J3316" s="700"/>
      <c r="K3316" s="700">
        <f t="shared" si="336"/>
        <v>0</v>
      </c>
      <c r="L3316" s="700"/>
      <c r="M3316" s="700"/>
      <c r="N3316" s="700">
        <f t="shared" si="337"/>
        <v>0</v>
      </c>
      <c r="O3316" s="974">
        <f t="shared" si="334"/>
        <v>77204</v>
      </c>
      <c r="P3316" s="956"/>
      <c r="Q3316" s="1821"/>
      <c r="R3316" s="1821"/>
      <c r="S3316" s="1821"/>
      <c r="T3316" s="1821"/>
      <c r="U3316" s="1821"/>
      <c r="V3316" s="1821"/>
      <c r="W3316" s="1821"/>
      <c r="X3316" s="1821"/>
      <c r="Y3316" s="1821"/>
      <c r="Z3316" s="1821"/>
      <c r="AA3316" s="1821"/>
      <c r="AB3316" s="1821"/>
      <c r="AC3316" s="1821"/>
      <c r="AD3316" s="1821"/>
      <c r="AE3316" s="1821"/>
      <c r="AF3316" s="1821"/>
      <c r="AG3316" s="1821"/>
      <c r="AH3316" s="1821"/>
      <c r="AI3316" s="1821"/>
      <c r="AJ3316" s="1821"/>
      <c r="AK3316" s="1821"/>
      <c r="AL3316" s="1821"/>
      <c r="AM3316" s="1821"/>
      <c r="AN3316" s="1821"/>
      <c r="AO3316" s="1821"/>
      <c r="AP3316" s="1821"/>
      <c r="AQ3316" s="1821"/>
      <c r="AR3316" s="1821"/>
      <c r="AS3316" s="1821"/>
      <c r="AT3316" s="1821"/>
      <c r="AU3316" s="1821"/>
      <c r="AV3316" s="1821"/>
      <c r="AW3316" s="1821"/>
      <c r="AX3316" s="1821"/>
      <c r="AY3316" s="1821"/>
      <c r="AZ3316" s="1821"/>
      <c r="BA3316" s="1821"/>
      <c r="BB3316" s="1821"/>
      <c r="BC3316" s="1821"/>
      <c r="BD3316" s="1821"/>
      <c r="BE3316" s="1821"/>
      <c r="BF3316" s="1821"/>
      <c r="BG3316" s="1821"/>
      <c r="BH3316" s="1821"/>
      <c r="BI3316" s="1821"/>
      <c r="BJ3316" s="1821"/>
      <c r="BK3316" s="1821"/>
      <c r="BL3316" s="1821"/>
      <c r="BM3316" s="1821"/>
      <c r="BN3316" s="1821"/>
      <c r="BO3316" s="1821"/>
      <c r="BP3316" s="1821"/>
      <c r="BQ3316" s="1821"/>
      <c r="BR3316" s="1821"/>
      <c r="BS3316" s="1821"/>
      <c r="BT3316" s="1821"/>
      <c r="BU3316" s="1821"/>
      <c r="BV3316" s="1821"/>
      <c r="BW3316" s="1821"/>
      <c r="BX3316" s="1821"/>
      <c r="BY3316" s="1821"/>
      <c r="BZ3316" s="1821"/>
      <c r="CA3316" s="1821"/>
      <c r="CB3316" s="1821"/>
      <c r="CC3316" s="1821"/>
      <c r="CD3316" s="1821"/>
      <c r="CE3316" s="1821"/>
      <c r="CF3316" s="1821"/>
      <c r="CG3316" s="1821"/>
      <c r="CH3316" s="1821"/>
      <c r="CI3316" s="1821"/>
      <c r="CJ3316" s="1821"/>
      <c r="CK3316" s="1821"/>
    </row>
    <row r="3317" spans="1:89" s="675" customFormat="1" ht="16.5" customHeight="1" x14ac:dyDescent="0.25">
      <c r="A3317" s="697">
        <v>25</v>
      </c>
      <c r="B3317" s="1002" t="s">
        <v>1197</v>
      </c>
      <c r="C3317" s="1007">
        <v>1</v>
      </c>
      <c r="D3317" s="1005" t="s">
        <v>269</v>
      </c>
      <c r="E3317" s="1006">
        <v>3300</v>
      </c>
      <c r="F3317" s="700">
        <f t="shared" si="333"/>
        <v>3300</v>
      </c>
      <c r="G3317" s="700"/>
      <c r="H3317" s="700">
        <f t="shared" si="335"/>
        <v>3300</v>
      </c>
      <c r="I3317" s="700"/>
      <c r="J3317" s="700"/>
      <c r="K3317" s="700">
        <f t="shared" si="336"/>
        <v>0</v>
      </c>
      <c r="L3317" s="700"/>
      <c r="M3317" s="700"/>
      <c r="N3317" s="700">
        <f t="shared" si="337"/>
        <v>0</v>
      </c>
      <c r="O3317" s="974">
        <f t="shared" si="334"/>
        <v>3300</v>
      </c>
      <c r="P3317" s="956"/>
      <c r="Q3317" s="1821"/>
      <c r="R3317" s="1821"/>
      <c r="S3317" s="1821"/>
      <c r="T3317" s="1821"/>
      <c r="U3317" s="1821"/>
      <c r="V3317" s="1821"/>
      <c r="W3317" s="1821"/>
      <c r="X3317" s="1821"/>
      <c r="Y3317" s="1821"/>
      <c r="Z3317" s="1821"/>
      <c r="AA3317" s="1821"/>
      <c r="AB3317" s="1821"/>
      <c r="AC3317" s="1821"/>
      <c r="AD3317" s="1821"/>
      <c r="AE3317" s="1821"/>
      <c r="AF3317" s="1821"/>
      <c r="AG3317" s="1821"/>
      <c r="AH3317" s="1821"/>
      <c r="AI3317" s="1821"/>
      <c r="AJ3317" s="1821"/>
      <c r="AK3317" s="1821"/>
      <c r="AL3317" s="1821"/>
      <c r="AM3317" s="1821"/>
      <c r="AN3317" s="1821"/>
      <c r="AO3317" s="1821"/>
      <c r="AP3317" s="1821"/>
      <c r="AQ3317" s="1821"/>
      <c r="AR3317" s="1821"/>
      <c r="AS3317" s="1821"/>
      <c r="AT3317" s="1821"/>
      <c r="AU3317" s="1821"/>
      <c r="AV3317" s="1821"/>
      <c r="AW3317" s="1821"/>
      <c r="AX3317" s="1821"/>
      <c r="AY3317" s="1821"/>
      <c r="AZ3317" s="1821"/>
      <c r="BA3317" s="1821"/>
      <c r="BB3317" s="1821"/>
      <c r="BC3317" s="1821"/>
      <c r="BD3317" s="1821"/>
      <c r="BE3317" s="1821"/>
      <c r="BF3317" s="1821"/>
      <c r="BG3317" s="1821"/>
      <c r="BH3317" s="1821"/>
      <c r="BI3317" s="1821"/>
      <c r="BJ3317" s="1821"/>
      <c r="BK3317" s="1821"/>
      <c r="BL3317" s="1821"/>
      <c r="BM3317" s="1821"/>
      <c r="BN3317" s="1821"/>
      <c r="BO3317" s="1821"/>
      <c r="BP3317" s="1821"/>
      <c r="BQ3317" s="1821"/>
      <c r="BR3317" s="1821"/>
      <c r="BS3317" s="1821"/>
      <c r="BT3317" s="1821"/>
      <c r="BU3317" s="1821"/>
      <c r="BV3317" s="1821"/>
      <c r="BW3317" s="1821"/>
      <c r="BX3317" s="1821"/>
      <c r="BY3317" s="1821"/>
      <c r="BZ3317" s="1821"/>
      <c r="CA3317" s="1821"/>
      <c r="CB3317" s="1821"/>
      <c r="CC3317" s="1821"/>
      <c r="CD3317" s="1821"/>
      <c r="CE3317" s="1821"/>
      <c r="CF3317" s="1821"/>
      <c r="CG3317" s="1821"/>
      <c r="CH3317" s="1821"/>
      <c r="CI3317" s="1821"/>
      <c r="CJ3317" s="1821"/>
      <c r="CK3317" s="1821"/>
    </row>
    <row r="3318" spans="1:89" s="675" customFormat="1" ht="16.5" customHeight="1" x14ac:dyDescent="0.25">
      <c r="A3318" s="697">
        <v>26</v>
      </c>
      <c r="B3318" s="1002" t="s">
        <v>1198</v>
      </c>
      <c r="C3318" s="1007">
        <v>1</v>
      </c>
      <c r="D3318" s="1005" t="s">
        <v>269</v>
      </c>
      <c r="E3318" s="1006">
        <v>398970</v>
      </c>
      <c r="F3318" s="700">
        <f t="shared" si="333"/>
        <v>398970</v>
      </c>
      <c r="G3318" s="700"/>
      <c r="H3318" s="700">
        <f t="shared" si="335"/>
        <v>398970</v>
      </c>
      <c r="I3318" s="700"/>
      <c r="J3318" s="700"/>
      <c r="K3318" s="700">
        <f t="shared" si="336"/>
        <v>0</v>
      </c>
      <c r="L3318" s="700"/>
      <c r="M3318" s="700"/>
      <c r="N3318" s="700">
        <f t="shared" si="337"/>
        <v>0</v>
      </c>
      <c r="O3318" s="974">
        <f t="shared" si="334"/>
        <v>398970</v>
      </c>
      <c r="P3318" s="956"/>
      <c r="Q3318" s="1821"/>
      <c r="R3318" s="1821"/>
      <c r="S3318" s="1821"/>
      <c r="T3318" s="1821"/>
      <c r="U3318" s="1821"/>
      <c r="V3318" s="1821"/>
      <c r="W3318" s="1821"/>
      <c r="X3318" s="1821"/>
      <c r="Y3318" s="1821"/>
      <c r="Z3318" s="1821"/>
      <c r="AA3318" s="1821"/>
      <c r="AB3318" s="1821"/>
      <c r="AC3318" s="1821"/>
      <c r="AD3318" s="1821"/>
      <c r="AE3318" s="1821"/>
      <c r="AF3318" s="1821"/>
      <c r="AG3318" s="1821"/>
      <c r="AH3318" s="1821"/>
      <c r="AI3318" s="1821"/>
      <c r="AJ3318" s="1821"/>
      <c r="AK3318" s="1821"/>
      <c r="AL3318" s="1821"/>
      <c r="AM3318" s="1821"/>
      <c r="AN3318" s="1821"/>
      <c r="AO3318" s="1821"/>
      <c r="AP3318" s="1821"/>
      <c r="AQ3318" s="1821"/>
      <c r="AR3318" s="1821"/>
      <c r="AS3318" s="1821"/>
      <c r="AT3318" s="1821"/>
      <c r="AU3318" s="1821"/>
      <c r="AV3318" s="1821"/>
      <c r="AW3318" s="1821"/>
      <c r="AX3318" s="1821"/>
      <c r="AY3318" s="1821"/>
      <c r="AZ3318" s="1821"/>
      <c r="BA3318" s="1821"/>
      <c r="BB3318" s="1821"/>
      <c r="BC3318" s="1821"/>
      <c r="BD3318" s="1821"/>
      <c r="BE3318" s="1821"/>
      <c r="BF3318" s="1821"/>
      <c r="BG3318" s="1821"/>
      <c r="BH3318" s="1821"/>
      <c r="BI3318" s="1821"/>
      <c r="BJ3318" s="1821"/>
      <c r="BK3318" s="1821"/>
      <c r="BL3318" s="1821"/>
      <c r="BM3318" s="1821"/>
      <c r="BN3318" s="1821"/>
      <c r="BO3318" s="1821"/>
      <c r="BP3318" s="1821"/>
      <c r="BQ3318" s="1821"/>
      <c r="BR3318" s="1821"/>
      <c r="BS3318" s="1821"/>
      <c r="BT3318" s="1821"/>
      <c r="BU3318" s="1821"/>
      <c r="BV3318" s="1821"/>
      <c r="BW3318" s="1821"/>
      <c r="BX3318" s="1821"/>
      <c r="BY3318" s="1821"/>
      <c r="BZ3318" s="1821"/>
      <c r="CA3318" s="1821"/>
      <c r="CB3318" s="1821"/>
      <c r="CC3318" s="1821"/>
      <c r="CD3318" s="1821"/>
      <c r="CE3318" s="1821"/>
      <c r="CF3318" s="1821"/>
      <c r="CG3318" s="1821"/>
      <c r="CH3318" s="1821"/>
      <c r="CI3318" s="1821"/>
      <c r="CJ3318" s="1821"/>
      <c r="CK3318" s="1821"/>
    </row>
    <row r="3319" spans="1:89" s="675" customFormat="1" ht="16.5" customHeight="1" x14ac:dyDescent="0.25">
      <c r="A3319" s="697">
        <v>27</v>
      </c>
      <c r="B3319" s="1002" t="s">
        <v>1199</v>
      </c>
      <c r="C3319" s="1007">
        <v>1</v>
      </c>
      <c r="D3319" s="1005" t="s">
        <v>269</v>
      </c>
      <c r="E3319" s="1006">
        <v>2204730</v>
      </c>
      <c r="F3319" s="700">
        <f t="shared" si="333"/>
        <v>2204730</v>
      </c>
      <c r="G3319" s="700"/>
      <c r="H3319" s="700">
        <f t="shared" si="335"/>
        <v>2204730</v>
      </c>
      <c r="I3319" s="700"/>
      <c r="J3319" s="700"/>
      <c r="K3319" s="700">
        <f t="shared" si="336"/>
        <v>0</v>
      </c>
      <c r="L3319" s="700"/>
      <c r="M3319" s="700"/>
      <c r="N3319" s="700">
        <f t="shared" si="337"/>
        <v>0</v>
      </c>
      <c r="O3319" s="974">
        <f t="shared" si="334"/>
        <v>2204730</v>
      </c>
      <c r="P3319" s="956"/>
      <c r="Q3319" s="1821"/>
      <c r="R3319" s="1821"/>
      <c r="S3319" s="1821"/>
      <c r="T3319" s="1821"/>
      <c r="U3319" s="1821"/>
      <c r="V3319" s="1821"/>
      <c r="W3319" s="1821"/>
      <c r="X3319" s="1821"/>
      <c r="Y3319" s="1821"/>
      <c r="Z3319" s="1821"/>
      <c r="AA3319" s="1821"/>
      <c r="AB3319" s="1821"/>
      <c r="AC3319" s="1821"/>
      <c r="AD3319" s="1821"/>
      <c r="AE3319" s="1821"/>
      <c r="AF3319" s="1821"/>
      <c r="AG3319" s="1821"/>
      <c r="AH3319" s="1821"/>
      <c r="AI3319" s="1821"/>
      <c r="AJ3319" s="1821"/>
      <c r="AK3319" s="1821"/>
      <c r="AL3319" s="1821"/>
      <c r="AM3319" s="1821"/>
      <c r="AN3319" s="1821"/>
      <c r="AO3319" s="1821"/>
      <c r="AP3319" s="1821"/>
      <c r="AQ3319" s="1821"/>
      <c r="AR3319" s="1821"/>
      <c r="AS3319" s="1821"/>
      <c r="AT3319" s="1821"/>
      <c r="AU3319" s="1821"/>
      <c r="AV3319" s="1821"/>
      <c r="AW3319" s="1821"/>
      <c r="AX3319" s="1821"/>
      <c r="AY3319" s="1821"/>
      <c r="AZ3319" s="1821"/>
      <c r="BA3319" s="1821"/>
      <c r="BB3319" s="1821"/>
      <c r="BC3319" s="1821"/>
      <c r="BD3319" s="1821"/>
      <c r="BE3319" s="1821"/>
      <c r="BF3319" s="1821"/>
      <c r="BG3319" s="1821"/>
      <c r="BH3319" s="1821"/>
      <c r="BI3319" s="1821"/>
      <c r="BJ3319" s="1821"/>
      <c r="BK3319" s="1821"/>
      <c r="BL3319" s="1821"/>
      <c r="BM3319" s="1821"/>
      <c r="BN3319" s="1821"/>
      <c r="BO3319" s="1821"/>
      <c r="BP3319" s="1821"/>
      <c r="BQ3319" s="1821"/>
      <c r="BR3319" s="1821"/>
      <c r="BS3319" s="1821"/>
      <c r="BT3319" s="1821"/>
      <c r="BU3319" s="1821"/>
      <c r="BV3319" s="1821"/>
      <c r="BW3319" s="1821"/>
      <c r="BX3319" s="1821"/>
      <c r="BY3319" s="1821"/>
      <c r="BZ3319" s="1821"/>
      <c r="CA3319" s="1821"/>
      <c r="CB3319" s="1821"/>
      <c r="CC3319" s="1821"/>
      <c r="CD3319" s="1821"/>
      <c r="CE3319" s="1821"/>
      <c r="CF3319" s="1821"/>
      <c r="CG3319" s="1821"/>
      <c r="CH3319" s="1821"/>
      <c r="CI3319" s="1821"/>
      <c r="CJ3319" s="1821"/>
      <c r="CK3319" s="1821"/>
    </row>
    <row r="3320" spans="1:89" s="675" customFormat="1" ht="16.5" customHeight="1" x14ac:dyDescent="0.25">
      <c r="A3320" s="697">
        <v>28</v>
      </c>
      <c r="B3320" s="1002" t="s">
        <v>1200</v>
      </c>
      <c r="C3320" s="1007">
        <v>1</v>
      </c>
      <c r="D3320" s="1005" t="s">
        <v>269</v>
      </c>
      <c r="E3320" s="1006">
        <v>389400</v>
      </c>
      <c r="F3320" s="700">
        <f t="shared" si="333"/>
        <v>389400</v>
      </c>
      <c r="G3320" s="700"/>
      <c r="H3320" s="700">
        <f t="shared" si="335"/>
        <v>389400</v>
      </c>
      <c r="I3320" s="700"/>
      <c r="J3320" s="700"/>
      <c r="K3320" s="700">
        <f t="shared" si="336"/>
        <v>0</v>
      </c>
      <c r="L3320" s="700"/>
      <c r="M3320" s="700"/>
      <c r="N3320" s="700">
        <f t="shared" si="337"/>
        <v>0</v>
      </c>
      <c r="O3320" s="974">
        <f t="shared" si="334"/>
        <v>389400</v>
      </c>
      <c r="P3320" s="956"/>
      <c r="Q3320" s="1821"/>
      <c r="R3320" s="1821"/>
      <c r="S3320" s="1821"/>
      <c r="T3320" s="1821"/>
      <c r="U3320" s="1821"/>
      <c r="V3320" s="1821"/>
      <c r="W3320" s="1821"/>
      <c r="X3320" s="1821"/>
      <c r="Y3320" s="1821"/>
      <c r="Z3320" s="1821"/>
      <c r="AA3320" s="1821"/>
      <c r="AB3320" s="1821"/>
      <c r="AC3320" s="1821"/>
      <c r="AD3320" s="1821"/>
      <c r="AE3320" s="1821"/>
      <c r="AF3320" s="1821"/>
      <c r="AG3320" s="1821"/>
      <c r="AH3320" s="1821"/>
      <c r="AI3320" s="1821"/>
      <c r="AJ3320" s="1821"/>
      <c r="AK3320" s="1821"/>
      <c r="AL3320" s="1821"/>
      <c r="AM3320" s="1821"/>
      <c r="AN3320" s="1821"/>
      <c r="AO3320" s="1821"/>
      <c r="AP3320" s="1821"/>
      <c r="AQ3320" s="1821"/>
      <c r="AR3320" s="1821"/>
      <c r="AS3320" s="1821"/>
      <c r="AT3320" s="1821"/>
      <c r="AU3320" s="1821"/>
      <c r="AV3320" s="1821"/>
      <c r="AW3320" s="1821"/>
      <c r="AX3320" s="1821"/>
      <c r="AY3320" s="1821"/>
      <c r="AZ3320" s="1821"/>
      <c r="BA3320" s="1821"/>
      <c r="BB3320" s="1821"/>
      <c r="BC3320" s="1821"/>
      <c r="BD3320" s="1821"/>
      <c r="BE3320" s="1821"/>
      <c r="BF3320" s="1821"/>
      <c r="BG3320" s="1821"/>
      <c r="BH3320" s="1821"/>
      <c r="BI3320" s="1821"/>
      <c r="BJ3320" s="1821"/>
      <c r="BK3320" s="1821"/>
      <c r="BL3320" s="1821"/>
      <c r="BM3320" s="1821"/>
      <c r="BN3320" s="1821"/>
      <c r="BO3320" s="1821"/>
      <c r="BP3320" s="1821"/>
      <c r="BQ3320" s="1821"/>
      <c r="BR3320" s="1821"/>
      <c r="BS3320" s="1821"/>
      <c r="BT3320" s="1821"/>
      <c r="BU3320" s="1821"/>
      <c r="BV3320" s="1821"/>
      <c r="BW3320" s="1821"/>
      <c r="BX3320" s="1821"/>
      <c r="BY3320" s="1821"/>
      <c r="BZ3320" s="1821"/>
      <c r="CA3320" s="1821"/>
      <c r="CB3320" s="1821"/>
      <c r="CC3320" s="1821"/>
      <c r="CD3320" s="1821"/>
      <c r="CE3320" s="1821"/>
      <c r="CF3320" s="1821"/>
      <c r="CG3320" s="1821"/>
      <c r="CH3320" s="1821"/>
      <c r="CI3320" s="1821"/>
      <c r="CJ3320" s="1821"/>
      <c r="CK3320" s="1821"/>
    </row>
    <row r="3321" spans="1:89" s="675" customFormat="1" ht="16.5" customHeight="1" x14ac:dyDescent="0.25">
      <c r="A3321" s="697">
        <v>29</v>
      </c>
      <c r="B3321" s="1002" t="s">
        <v>1201</v>
      </c>
      <c r="C3321" s="1007">
        <v>1</v>
      </c>
      <c r="D3321" s="1005" t="s">
        <v>131</v>
      </c>
      <c r="E3321" s="1006">
        <v>2750</v>
      </c>
      <c r="F3321" s="700">
        <f t="shared" si="333"/>
        <v>2750</v>
      </c>
      <c r="G3321" s="700"/>
      <c r="H3321" s="700">
        <f t="shared" si="335"/>
        <v>2750</v>
      </c>
      <c r="I3321" s="700"/>
      <c r="J3321" s="700"/>
      <c r="K3321" s="700">
        <f t="shared" si="336"/>
        <v>0</v>
      </c>
      <c r="L3321" s="700"/>
      <c r="M3321" s="700"/>
      <c r="N3321" s="700">
        <f t="shared" si="337"/>
        <v>0</v>
      </c>
      <c r="O3321" s="974">
        <f t="shared" si="334"/>
        <v>2750</v>
      </c>
      <c r="P3321" s="956"/>
      <c r="Q3321" s="1821"/>
      <c r="R3321" s="1821"/>
      <c r="S3321" s="1821"/>
      <c r="T3321" s="1821"/>
      <c r="U3321" s="1821"/>
      <c r="V3321" s="1821"/>
      <c r="W3321" s="1821"/>
      <c r="X3321" s="1821"/>
      <c r="Y3321" s="1821"/>
      <c r="Z3321" s="1821"/>
      <c r="AA3321" s="1821"/>
      <c r="AB3321" s="1821"/>
      <c r="AC3321" s="1821"/>
      <c r="AD3321" s="1821"/>
      <c r="AE3321" s="1821"/>
      <c r="AF3321" s="1821"/>
      <c r="AG3321" s="1821"/>
      <c r="AH3321" s="1821"/>
      <c r="AI3321" s="1821"/>
      <c r="AJ3321" s="1821"/>
      <c r="AK3321" s="1821"/>
      <c r="AL3321" s="1821"/>
      <c r="AM3321" s="1821"/>
      <c r="AN3321" s="1821"/>
      <c r="AO3321" s="1821"/>
      <c r="AP3321" s="1821"/>
      <c r="AQ3321" s="1821"/>
      <c r="AR3321" s="1821"/>
      <c r="AS3321" s="1821"/>
      <c r="AT3321" s="1821"/>
      <c r="AU3321" s="1821"/>
      <c r="AV3321" s="1821"/>
      <c r="AW3321" s="1821"/>
      <c r="AX3321" s="1821"/>
      <c r="AY3321" s="1821"/>
      <c r="AZ3321" s="1821"/>
      <c r="BA3321" s="1821"/>
      <c r="BB3321" s="1821"/>
      <c r="BC3321" s="1821"/>
      <c r="BD3321" s="1821"/>
      <c r="BE3321" s="1821"/>
      <c r="BF3321" s="1821"/>
      <c r="BG3321" s="1821"/>
      <c r="BH3321" s="1821"/>
      <c r="BI3321" s="1821"/>
      <c r="BJ3321" s="1821"/>
      <c r="BK3321" s="1821"/>
      <c r="BL3321" s="1821"/>
      <c r="BM3321" s="1821"/>
      <c r="BN3321" s="1821"/>
      <c r="BO3321" s="1821"/>
      <c r="BP3321" s="1821"/>
      <c r="BQ3321" s="1821"/>
      <c r="BR3321" s="1821"/>
      <c r="BS3321" s="1821"/>
      <c r="BT3321" s="1821"/>
      <c r="BU3321" s="1821"/>
      <c r="BV3321" s="1821"/>
      <c r="BW3321" s="1821"/>
      <c r="BX3321" s="1821"/>
      <c r="BY3321" s="1821"/>
      <c r="BZ3321" s="1821"/>
      <c r="CA3321" s="1821"/>
      <c r="CB3321" s="1821"/>
      <c r="CC3321" s="1821"/>
      <c r="CD3321" s="1821"/>
      <c r="CE3321" s="1821"/>
      <c r="CF3321" s="1821"/>
      <c r="CG3321" s="1821"/>
      <c r="CH3321" s="1821"/>
      <c r="CI3321" s="1821"/>
      <c r="CJ3321" s="1821"/>
      <c r="CK3321" s="1821"/>
    </row>
    <row r="3322" spans="1:89" s="675" customFormat="1" ht="16.5" customHeight="1" x14ac:dyDescent="0.25">
      <c r="A3322" s="697">
        <v>30</v>
      </c>
      <c r="B3322" s="1002" t="s">
        <v>1202</v>
      </c>
      <c r="C3322" s="1007">
        <v>1</v>
      </c>
      <c r="D3322" s="1005" t="s">
        <v>131</v>
      </c>
      <c r="E3322" s="1006">
        <v>255750</v>
      </c>
      <c r="F3322" s="700">
        <f t="shared" si="333"/>
        <v>255750</v>
      </c>
      <c r="G3322" s="700"/>
      <c r="H3322" s="700">
        <f t="shared" si="335"/>
        <v>255750</v>
      </c>
      <c r="I3322" s="700"/>
      <c r="J3322" s="700"/>
      <c r="K3322" s="700">
        <f t="shared" si="336"/>
        <v>0</v>
      </c>
      <c r="L3322" s="700"/>
      <c r="M3322" s="700"/>
      <c r="N3322" s="700">
        <f t="shared" si="337"/>
        <v>0</v>
      </c>
      <c r="O3322" s="974">
        <f t="shared" si="334"/>
        <v>255750</v>
      </c>
      <c r="P3322" s="956"/>
      <c r="Q3322" s="1821"/>
      <c r="R3322" s="1821"/>
      <c r="S3322" s="1821"/>
      <c r="T3322" s="1821"/>
      <c r="U3322" s="1821"/>
      <c r="V3322" s="1821"/>
      <c r="W3322" s="1821"/>
      <c r="X3322" s="1821"/>
      <c r="Y3322" s="1821"/>
      <c r="Z3322" s="1821"/>
      <c r="AA3322" s="1821"/>
      <c r="AB3322" s="1821"/>
      <c r="AC3322" s="1821"/>
      <c r="AD3322" s="1821"/>
      <c r="AE3322" s="1821"/>
      <c r="AF3322" s="1821"/>
      <c r="AG3322" s="1821"/>
      <c r="AH3322" s="1821"/>
      <c r="AI3322" s="1821"/>
      <c r="AJ3322" s="1821"/>
      <c r="AK3322" s="1821"/>
      <c r="AL3322" s="1821"/>
      <c r="AM3322" s="1821"/>
      <c r="AN3322" s="1821"/>
      <c r="AO3322" s="1821"/>
      <c r="AP3322" s="1821"/>
      <c r="AQ3322" s="1821"/>
      <c r="AR3322" s="1821"/>
      <c r="AS3322" s="1821"/>
      <c r="AT3322" s="1821"/>
      <c r="AU3322" s="1821"/>
      <c r="AV3322" s="1821"/>
      <c r="AW3322" s="1821"/>
      <c r="AX3322" s="1821"/>
      <c r="AY3322" s="1821"/>
      <c r="AZ3322" s="1821"/>
      <c r="BA3322" s="1821"/>
      <c r="BB3322" s="1821"/>
      <c r="BC3322" s="1821"/>
      <c r="BD3322" s="1821"/>
      <c r="BE3322" s="1821"/>
      <c r="BF3322" s="1821"/>
      <c r="BG3322" s="1821"/>
      <c r="BH3322" s="1821"/>
      <c r="BI3322" s="1821"/>
      <c r="BJ3322" s="1821"/>
      <c r="BK3322" s="1821"/>
      <c r="BL3322" s="1821"/>
      <c r="BM3322" s="1821"/>
      <c r="BN3322" s="1821"/>
      <c r="BO3322" s="1821"/>
      <c r="BP3322" s="1821"/>
      <c r="BQ3322" s="1821"/>
      <c r="BR3322" s="1821"/>
      <c r="BS3322" s="1821"/>
      <c r="BT3322" s="1821"/>
      <c r="BU3322" s="1821"/>
      <c r="BV3322" s="1821"/>
      <c r="BW3322" s="1821"/>
      <c r="BX3322" s="1821"/>
      <c r="BY3322" s="1821"/>
      <c r="BZ3322" s="1821"/>
      <c r="CA3322" s="1821"/>
      <c r="CB3322" s="1821"/>
      <c r="CC3322" s="1821"/>
      <c r="CD3322" s="1821"/>
      <c r="CE3322" s="1821"/>
      <c r="CF3322" s="1821"/>
      <c r="CG3322" s="1821"/>
      <c r="CH3322" s="1821"/>
      <c r="CI3322" s="1821"/>
      <c r="CJ3322" s="1821"/>
      <c r="CK3322" s="1821"/>
    </row>
    <row r="3323" spans="1:89" s="675" customFormat="1" ht="16.5" customHeight="1" x14ac:dyDescent="0.25">
      <c r="A3323" s="697">
        <v>31</v>
      </c>
      <c r="B3323" s="1002" t="s">
        <v>1203</v>
      </c>
      <c r="C3323" s="1007">
        <v>1</v>
      </c>
      <c r="D3323" s="1005" t="s">
        <v>55</v>
      </c>
      <c r="E3323" s="1006">
        <v>1155330</v>
      </c>
      <c r="F3323" s="700">
        <f t="shared" si="333"/>
        <v>1155330</v>
      </c>
      <c r="G3323" s="700"/>
      <c r="H3323" s="700">
        <f t="shared" si="335"/>
        <v>1155330</v>
      </c>
      <c r="I3323" s="700"/>
      <c r="J3323" s="700"/>
      <c r="K3323" s="700">
        <f t="shared" si="336"/>
        <v>0</v>
      </c>
      <c r="L3323" s="700"/>
      <c r="M3323" s="700"/>
      <c r="N3323" s="700">
        <f t="shared" si="337"/>
        <v>0</v>
      </c>
      <c r="O3323" s="974">
        <f t="shared" si="334"/>
        <v>1155330</v>
      </c>
      <c r="P3323" s="956"/>
      <c r="Q3323" s="1821"/>
      <c r="R3323" s="1821"/>
      <c r="S3323" s="1821"/>
      <c r="T3323" s="1821"/>
      <c r="U3323" s="1821"/>
      <c r="V3323" s="1821"/>
      <c r="W3323" s="1821"/>
      <c r="X3323" s="1821"/>
      <c r="Y3323" s="1821"/>
      <c r="Z3323" s="1821"/>
      <c r="AA3323" s="1821"/>
      <c r="AB3323" s="1821"/>
      <c r="AC3323" s="1821"/>
      <c r="AD3323" s="1821"/>
      <c r="AE3323" s="1821"/>
      <c r="AF3323" s="1821"/>
      <c r="AG3323" s="1821"/>
      <c r="AH3323" s="1821"/>
      <c r="AI3323" s="1821"/>
      <c r="AJ3323" s="1821"/>
      <c r="AK3323" s="1821"/>
      <c r="AL3323" s="1821"/>
      <c r="AM3323" s="1821"/>
      <c r="AN3323" s="1821"/>
      <c r="AO3323" s="1821"/>
      <c r="AP3323" s="1821"/>
      <c r="AQ3323" s="1821"/>
      <c r="AR3323" s="1821"/>
      <c r="AS3323" s="1821"/>
      <c r="AT3323" s="1821"/>
      <c r="AU3323" s="1821"/>
      <c r="AV3323" s="1821"/>
      <c r="AW3323" s="1821"/>
      <c r="AX3323" s="1821"/>
      <c r="AY3323" s="1821"/>
      <c r="AZ3323" s="1821"/>
      <c r="BA3323" s="1821"/>
      <c r="BB3323" s="1821"/>
      <c r="BC3323" s="1821"/>
      <c r="BD3323" s="1821"/>
      <c r="BE3323" s="1821"/>
      <c r="BF3323" s="1821"/>
      <c r="BG3323" s="1821"/>
      <c r="BH3323" s="1821"/>
      <c r="BI3323" s="1821"/>
      <c r="BJ3323" s="1821"/>
      <c r="BK3323" s="1821"/>
      <c r="BL3323" s="1821"/>
      <c r="BM3323" s="1821"/>
      <c r="BN3323" s="1821"/>
      <c r="BO3323" s="1821"/>
      <c r="BP3323" s="1821"/>
      <c r="BQ3323" s="1821"/>
      <c r="BR3323" s="1821"/>
      <c r="BS3323" s="1821"/>
      <c r="BT3323" s="1821"/>
      <c r="BU3323" s="1821"/>
      <c r="BV3323" s="1821"/>
      <c r="BW3323" s="1821"/>
      <c r="BX3323" s="1821"/>
      <c r="BY3323" s="1821"/>
      <c r="BZ3323" s="1821"/>
      <c r="CA3323" s="1821"/>
      <c r="CB3323" s="1821"/>
      <c r="CC3323" s="1821"/>
      <c r="CD3323" s="1821"/>
      <c r="CE3323" s="1821"/>
      <c r="CF3323" s="1821"/>
      <c r="CG3323" s="1821"/>
      <c r="CH3323" s="1821"/>
      <c r="CI3323" s="1821"/>
      <c r="CJ3323" s="1821"/>
      <c r="CK3323" s="1821"/>
    </row>
    <row r="3324" spans="1:89" s="675" customFormat="1" ht="16.5" customHeight="1" x14ac:dyDescent="0.25">
      <c r="A3324" s="697">
        <v>32</v>
      </c>
      <c r="B3324" s="1002" t="s">
        <v>1204</v>
      </c>
      <c r="C3324" s="1007">
        <v>1</v>
      </c>
      <c r="D3324" s="1005" t="s">
        <v>55</v>
      </c>
      <c r="E3324" s="1006">
        <v>175450</v>
      </c>
      <c r="F3324" s="700">
        <f t="shared" si="333"/>
        <v>175450</v>
      </c>
      <c r="G3324" s="700"/>
      <c r="H3324" s="700">
        <f t="shared" si="335"/>
        <v>175450</v>
      </c>
      <c r="I3324" s="700"/>
      <c r="J3324" s="700"/>
      <c r="K3324" s="700">
        <f t="shared" si="336"/>
        <v>0</v>
      </c>
      <c r="L3324" s="700"/>
      <c r="M3324" s="700"/>
      <c r="N3324" s="700">
        <f t="shared" si="337"/>
        <v>0</v>
      </c>
      <c r="O3324" s="974">
        <f t="shared" si="334"/>
        <v>175450</v>
      </c>
      <c r="P3324" s="956"/>
      <c r="Q3324" s="1821"/>
      <c r="R3324" s="1821"/>
      <c r="S3324" s="1821"/>
      <c r="T3324" s="1821"/>
      <c r="U3324" s="1821"/>
      <c r="V3324" s="1821"/>
      <c r="W3324" s="1821"/>
      <c r="X3324" s="1821"/>
      <c r="Y3324" s="1821"/>
      <c r="Z3324" s="1821"/>
      <c r="AA3324" s="1821"/>
      <c r="AB3324" s="1821"/>
      <c r="AC3324" s="1821"/>
      <c r="AD3324" s="1821"/>
      <c r="AE3324" s="1821"/>
      <c r="AF3324" s="1821"/>
      <c r="AG3324" s="1821"/>
      <c r="AH3324" s="1821"/>
      <c r="AI3324" s="1821"/>
      <c r="AJ3324" s="1821"/>
      <c r="AK3324" s="1821"/>
      <c r="AL3324" s="1821"/>
      <c r="AM3324" s="1821"/>
      <c r="AN3324" s="1821"/>
      <c r="AO3324" s="1821"/>
      <c r="AP3324" s="1821"/>
      <c r="AQ3324" s="1821"/>
      <c r="AR3324" s="1821"/>
      <c r="AS3324" s="1821"/>
      <c r="AT3324" s="1821"/>
      <c r="AU3324" s="1821"/>
      <c r="AV3324" s="1821"/>
      <c r="AW3324" s="1821"/>
      <c r="AX3324" s="1821"/>
      <c r="AY3324" s="1821"/>
      <c r="AZ3324" s="1821"/>
      <c r="BA3324" s="1821"/>
      <c r="BB3324" s="1821"/>
      <c r="BC3324" s="1821"/>
      <c r="BD3324" s="1821"/>
      <c r="BE3324" s="1821"/>
      <c r="BF3324" s="1821"/>
      <c r="BG3324" s="1821"/>
      <c r="BH3324" s="1821"/>
      <c r="BI3324" s="1821"/>
      <c r="BJ3324" s="1821"/>
      <c r="BK3324" s="1821"/>
      <c r="BL3324" s="1821"/>
      <c r="BM3324" s="1821"/>
      <c r="BN3324" s="1821"/>
      <c r="BO3324" s="1821"/>
      <c r="BP3324" s="1821"/>
      <c r="BQ3324" s="1821"/>
      <c r="BR3324" s="1821"/>
      <c r="BS3324" s="1821"/>
      <c r="BT3324" s="1821"/>
      <c r="BU3324" s="1821"/>
      <c r="BV3324" s="1821"/>
      <c r="BW3324" s="1821"/>
      <c r="BX3324" s="1821"/>
      <c r="BY3324" s="1821"/>
      <c r="BZ3324" s="1821"/>
      <c r="CA3324" s="1821"/>
      <c r="CB3324" s="1821"/>
      <c r="CC3324" s="1821"/>
      <c r="CD3324" s="1821"/>
      <c r="CE3324" s="1821"/>
      <c r="CF3324" s="1821"/>
      <c r="CG3324" s="1821"/>
      <c r="CH3324" s="1821"/>
      <c r="CI3324" s="1821"/>
      <c r="CJ3324" s="1821"/>
      <c r="CK3324" s="1821"/>
    </row>
    <row r="3325" spans="1:89" s="675" customFormat="1" ht="16.5" customHeight="1" x14ac:dyDescent="0.25">
      <c r="A3325" s="697">
        <v>37</v>
      </c>
      <c r="B3325" s="1002" t="s">
        <v>1205</v>
      </c>
      <c r="C3325" s="1007">
        <v>1</v>
      </c>
      <c r="D3325" s="1005" t="s">
        <v>25</v>
      </c>
      <c r="E3325" s="1006">
        <f>37373386+36229</f>
        <v>37409615</v>
      </c>
      <c r="F3325" s="700">
        <f t="shared" si="333"/>
        <v>37409615</v>
      </c>
      <c r="G3325" s="700"/>
      <c r="H3325" s="700">
        <f t="shared" si="335"/>
        <v>37409615</v>
      </c>
      <c r="I3325" s="700"/>
      <c r="J3325" s="700"/>
      <c r="K3325" s="700">
        <f t="shared" si="336"/>
        <v>0</v>
      </c>
      <c r="L3325" s="700"/>
      <c r="M3325" s="700"/>
      <c r="N3325" s="700">
        <f t="shared" si="337"/>
        <v>0</v>
      </c>
      <c r="O3325" s="974">
        <f t="shared" si="334"/>
        <v>37409615</v>
      </c>
      <c r="P3325" s="956"/>
      <c r="Q3325" s="1821"/>
      <c r="R3325" s="1821"/>
      <c r="S3325" s="1821"/>
      <c r="T3325" s="1821"/>
      <c r="U3325" s="1821"/>
      <c r="V3325" s="1821"/>
      <c r="W3325" s="1821"/>
      <c r="X3325" s="1821"/>
      <c r="Y3325" s="1821"/>
      <c r="Z3325" s="1821"/>
      <c r="AA3325" s="1821"/>
      <c r="AB3325" s="1821"/>
      <c r="AC3325" s="1821"/>
      <c r="AD3325" s="1821"/>
      <c r="AE3325" s="1821"/>
      <c r="AF3325" s="1821"/>
      <c r="AG3325" s="1821"/>
      <c r="AH3325" s="1821"/>
      <c r="AI3325" s="1821"/>
      <c r="AJ3325" s="1821"/>
      <c r="AK3325" s="1821"/>
      <c r="AL3325" s="1821"/>
      <c r="AM3325" s="1821"/>
      <c r="AN3325" s="1821"/>
      <c r="AO3325" s="1821"/>
      <c r="AP3325" s="1821"/>
      <c r="AQ3325" s="1821"/>
      <c r="AR3325" s="1821"/>
      <c r="AS3325" s="1821"/>
      <c r="AT3325" s="1821"/>
      <c r="AU3325" s="1821"/>
      <c r="AV3325" s="1821"/>
      <c r="AW3325" s="1821"/>
      <c r="AX3325" s="1821"/>
      <c r="AY3325" s="1821"/>
      <c r="AZ3325" s="1821"/>
      <c r="BA3325" s="1821"/>
      <c r="BB3325" s="1821"/>
      <c r="BC3325" s="1821"/>
      <c r="BD3325" s="1821"/>
      <c r="BE3325" s="1821"/>
      <c r="BF3325" s="1821"/>
      <c r="BG3325" s="1821"/>
      <c r="BH3325" s="1821"/>
      <c r="BI3325" s="1821"/>
      <c r="BJ3325" s="1821"/>
      <c r="BK3325" s="1821"/>
      <c r="BL3325" s="1821"/>
      <c r="BM3325" s="1821"/>
      <c r="BN3325" s="1821"/>
      <c r="BO3325" s="1821"/>
      <c r="BP3325" s="1821"/>
      <c r="BQ3325" s="1821"/>
      <c r="BR3325" s="1821"/>
      <c r="BS3325" s="1821"/>
      <c r="BT3325" s="1821"/>
      <c r="BU3325" s="1821"/>
      <c r="BV3325" s="1821"/>
      <c r="BW3325" s="1821"/>
      <c r="BX3325" s="1821"/>
      <c r="BY3325" s="1821"/>
      <c r="BZ3325" s="1821"/>
      <c r="CA3325" s="1821"/>
      <c r="CB3325" s="1821"/>
      <c r="CC3325" s="1821"/>
      <c r="CD3325" s="1821"/>
      <c r="CE3325" s="1821"/>
      <c r="CF3325" s="1821"/>
      <c r="CG3325" s="1821"/>
      <c r="CH3325" s="1821"/>
      <c r="CI3325" s="1821"/>
      <c r="CJ3325" s="1821"/>
      <c r="CK3325" s="1821"/>
    </row>
    <row r="3326" spans="1:89" s="675" customFormat="1" ht="16.5" customHeight="1" x14ac:dyDescent="0.25">
      <c r="A3326" s="697"/>
      <c r="B3326" s="1002"/>
      <c r="C3326" s="1007"/>
      <c r="D3326" s="1005"/>
      <c r="E3326" s="1006"/>
      <c r="F3326" s="700"/>
      <c r="G3326" s="700"/>
      <c r="H3326" s="700"/>
      <c r="I3326" s="700"/>
      <c r="J3326" s="700"/>
      <c r="K3326" s="700"/>
      <c r="L3326" s="700"/>
      <c r="M3326" s="700"/>
      <c r="N3326" s="700"/>
      <c r="O3326" s="974"/>
      <c r="P3326" s="956"/>
      <c r="Q3326" s="1821"/>
      <c r="R3326" s="1821"/>
      <c r="S3326" s="1821"/>
      <c r="T3326" s="1821"/>
      <c r="U3326" s="1821"/>
      <c r="V3326" s="1821"/>
      <c r="W3326" s="1821"/>
      <c r="X3326" s="1821"/>
      <c r="Y3326" s="1821"/>
      <c r="Z3326" s="1821"/>
      <c r="AA3326" s="1821"/>
      <c r="AB3326" s="1821"/>
      <c r="AC3326" s="1821"/>
      <c r="AD3326" s="1821"/>
      <c r="AE3326" s="1821"/>
      <c r="AF3326" s="1821"/>
      <c r="AG3326" s="1821"/>
      <c r="AH3326" s="1821"/>
      <c r="AI3326" s="1821"/>
      <c r="AJ3326" s="1821"/>
      <c r="AK3326" s="1821"/>
      <c r="AL3326" s="1821"/>
      <c r="AM3326" s="1821"/>
      <c r="AN3326" s="1821"/>
      <c r="AO3326" s="1821"/>
      <c r="AP3326" s="1821"/>
      <c r="AQ3326" s="1821"/>
      <c r="AR3326" s="1821"/>
      <c r="AS3326" s="1821"/>
      <c r="AT3326" s="1821"/>
      <c r="AU3326" s="1821"/>
      <c r="AV3326" s="1821"/>
      <c r="AW3326" s="1821"/>
      <c r="AX3326" s="1821"/>
      <c r="AY3326" s="1821"/>
      <c r="AZ3326" s="1821"/>
      <c r="BA3326" s="1821"/>
      <c r="BB3326" s="1821"/>
      <c r="BC3326" s="1821"/>
      <c r="BD3326" s="1821"/>
      <c r="BE3326" s="1821"/>
      <c r="BF3326" s="1821"/>
      <c r="BG3326" s="1821"/>
      <c r="BH3326" s="1821"/>
      <c r="BI3326" s="1821"/>
      <c r="BJ3326" s="1821"/>
      <c r="BK3326" s="1821"/>
      <c r="BL3326" s="1821"/>
      <c r="BM3326" s="1821"/>
      <c r="BN3326" s="1821"/>
      <c r="BO3326" s="1821"/>
      <c r="BP3326" s="1821"/>
      <c r="BQ3326" s="1821"/>
      <c r="BR3326" s="1821"/>
      <c r="BS3326" s="1821"/>
      <c r="BT3326" s="1821"/>
      <c r="BU3326" s="1821"/>
      <c r="BV3326" s="1821"/>
      <c r="BW3326" s="1821"/>
      <c r="BX3326" s="1821"/>
      <c r="BY3326" s="1821"/>
      <c r="BZ3326" s="1821"/>
      <c r="CA3326" s="1821"/>
      <c r="CB3326" s="1821"/>
      <c r="CC3326" s="1821"/>
      <c r="CD3326" s="1821"/>
      <c r="CE3326" s="1821"/>
      <c r="CF3326" s="1821"/>
      <c r="CG3326" s="1821"/>
      <c r="CH3326" s="1821"/>
      <c r="CI3326" s="1821"/>
      <c r="CJ3326" s="1821"/>
      <c r="CK3326" s="1821"/>
    </row>
    <row r="3327" spans="1:89" s="675" customFormat="1" ht="16.5" customHeight="1" x14ac:dyDescent="0.25">
      <c r="A3327" s="697"/>
      <c r="B3327" s="1002" t="s">
        <v>309</v>
      </c>
      <c r="C3327" s="1007">
        <v>1</v>
      </c>
      <c r="D3327" s="1005" t="s">
        <v>294</v>
      </c>
      <c r="E3327" s="1006">
        <v>360000</v>
      </c>
      <c r="F3327" s="700"/>
      <c r="G3327" s="700"/>
      <c r="H3327" s="700">
        <f t="shared" ref="H3327:H3341" si="338">G3327+F3327</f>
        <v>0</v>
      </c>
      <c r="I3327" s="700">
        <f>C3327*E3327</f>
        <v>360000</v>
      </c>
      <c r="J3327" s="700"/>
      <c r="K3327" s="700">
        <f t="shared" ref="K3327:K3388" si="339">J3327+I3327</f>
        <v>360000</v>
      </c>
      <c r="L3327" s="700"/>
      <c r="M3327" s="700"/>
      <c r="N3327" s="700">
        <f t="shared" ref="N3327:N3386" si="340">M3327+L3327</f>
        <v>0</v>
      </c>
      <c r="O3327" s="974">
        <f t="shared" ref="O3327:O3388" si="341">N3327+K3327+H3327</f>
        <v>360000</v>
      </c>
      <c r="P3327" s="956"/>
      <c r="Q3327" s="1821"/>
      <c r="R3327" s="1821"/>
      <c r="S3327" s="1821"/>
      <c r="T3327" s="1821"/>
      <c r="U3327" s="1821"/>
      <c r="V3327" s="1821"/>
      <c r="W3327" s="1821"/>
      <c r="X3327" s="1821"/>
      <c r="Y3327" s="1821"/>
      <c r="Z3327" s="1821"/>
      <c r="AA3327" s="1821"/>
      <c r="AB3327" s="1821"/>
      <c r="AC3327" s="1821"/>
      <c r="AD3327" s="1821"/>
      <c r="AE3327" s="1821"/>
      <c r="AF3327" s="1821"/>
      <c r="AG3327" s="1821"/>
      <c r="AH3327" s="1821"/>
      <c r="AI3327" s="1821"/>
      <c r="AJ3327" s="1821"/>
      <c r="AK3327" s="1821"/>
      <c r="AL3327" s="1821"/>
      <c r="AM3327" s="1821"/>
      <c r="AN3327" s="1821"/>
      <c r="AO3327" s="1821"/>
      <c r="AP3327" s="1821"/>
      <c r="AQ3327" s="1821"/>
      <c r="AR3327" s="1821"/>
      <c r="AS3327" s="1821"/>
      <c r="AT3327" s="1821"/>
      <c r="AU3327" s="1821"/>
      <c r="AV3327" s="1821"/>
      <c r="AW3327" s="1821"/>
      <c r="AX3327" s="1821"/>
      <c r="AY3327" s="1821"/>
      <c r="AZ3327" s="1821"/>
      <c r="BA3327" s="1821"/>
      <c r="BB3327" s="1821"/>
      <c r="BC3327" s="1821"/>
      <c r="BD3327" s="1821"/>
      <c r="BE3327" s="1821"/>
      <c r="BF3327" s="1821"/>
      <c r="BG3327" s="1821"/>
      <c r="BH3327" s="1821"/>
      <c r="BI3327" s="1821"/>
      <c r="BJ3327" s="1821"/>
      <c r="BK3327" s="1821"/>
      <c r="BL3327" s="1821"/>
      <c r="BM3327" s="1821"/>
      <c r="BN3327" s="1821"/>
      <c r="BO3327" s="1821"/>
      <c r="BP3327" s="1821"/>
      <c r="BQ3327" s="1821"/>
      <c r="BR3327" s="1821"/>
      <c r="BS3327" s="1821"/>
      <c r="BT3327" s="1821"/>
      <c r="BU3327" s="1821"/>
      <c r="BV3327" s="1821"/>
      <c r="BW3327" s="1821"/>
      <c r="BX3327" s="1821"/>
      <c r="BY3327" s="1821"/>
      <c r="BZ3327" s="1821"/>
      <c r="CA3327" s="1821"/>
      <c r="CB3327" s="1821"/>
      <c r="CC3327" s="1821"/>
      <c r="CD3327" s="1821"/>
      <c r="CE3327" s="1821"/>
      <c r="CF3327" s="1821"/>
      <c r="CG3327" s="1821"/>
      <c r="CH3327" s="1821"/>
      <c r="CI3327" s="1821"/>
      <c r="CJ3327" s="1821"/>
      <c r="CK3327" s="1821"/>
    </row>
    <row r="3328" spans="1:89" s="675" customFormat="1" ht="16.5" customHeight="1" x14ac:dyDescent="0.25">
      <c r="A3328" s="697"/>
      <c r="B3328" s="1002" t="s">
        <v>1206</v>
      </c>
      <c r="C3328" s="1007">
        <v>12</v>
      </c>
      <c r="D3328" s="1005" t="s">
        <v>45</v>
      </c>
      <c r="E3328" s="1006">
        <v>10000</v>
      </c>
      <c r="F3328" s="700"/>
      <c r="G3328" s="700"/>
      <c r="H3328" s="700">
        <f t="shared" si="338"/>
        <v>0</v>
      </c>
      <c r="I3328" s="700">
        <f>C3328*E3328</f>
        <v>120000</v>
      </c>
      <c r="J3328" s="700"/>
      <c r="K3328" s="700">
        <f t="shared" si="339"/>
        <v>120000</v>
      </c>
      <c r="L3328" s="700"/>
      <c r="M3328" s="700"/>
      <c r="N3328" s="700">
        <f t="shared" si="340"/>
        <v>0</v>
      </c>
      <c r="O3328" s="974">
        <f t="shared" si="341"/>
        <v>120000</v>
      </c>
      <c r="P3328" s="956"/>
      <c r="Q3328" s="1821"/>
      <c r="R3328" s="1821"/>
      <c r="S3328" s="1821"/>
      <c r="T3328" s="1821"/>
      <c r="U3328" s="1821"/>
      <c r="V3328" s="1821"/>
      <c r="W3328" s="1821"/>
      <c r="X3328" s="1821"/>
      <c r="Y3328" s="1821"/>
      <c r="Z3328" s="1821"/>
      <c r="AA3328" s="1821"/>
      <c r="AB3328" s="1821"/>
      <c r="AC3328" s="1821"/>
      <c r="AD3328" s="1821"/>
      <c r="AE3328" s="1821"/>
      <c r="AF3328" s="1821"/>
      <c r="AG3328" s="1821"/>
      <c r="AH3328" s="1821"/>
      <c r="AI3328" s="1821"/>
      <c r="AJ3328" s="1821"/>
      <c r="AK3328" s="1821"/>
      <c r="AL3328" s="1821"/>
      <c r="AM3328" s="1821"/>
      <c r="AN3328" s="1821"/>
      <c r="AO3328" s="1821"/>
      <c r="AP3328" s="1821"/>
      <c r="AQ3328" s="1821"/>
      <c r="AR3328" s="1821"/>
      <c r="AS3328" s="1821"/>
      <c r="AT3328" s="1821"/>
      <c r="AU3328" s="1821"/>
      <c r="AV3328" s="1821"/>
      <c r="AW3328" s="1821"/>
      <c r="AX3328" s="1821"/>
      <c r="AY3328" s="1821"/>
      <c r="AZ3328" s="1821"/>
      <c r="BA3328" s="1821"/>
      <c r="BB3328" s="1821"/>
      <c r="BC3328" s="1821"/>
      <c r="BD3328" s="1821"/>
      <c r="BE3328" s="1821"/>
      <c r="BF3328" s="1821"/>
      <c r="BG3328" s="1821"/>
      <c r="BH3328" s="1821"/>
      <c r="BI3328" s="1821"/>
      <c r="BJ3328" s="1821"/>
      <c r="BK3328" s="1821"/>
      <c r="BL3328" s="1821"/>
      <c r="BM3328" s="1821"/>
      <c r="BN3328" s="1821"/>
      <c r="BO3328" s="1821"/>
      <c r="BP3328" s="1821"/>
      <c r="BQ3328" s="1821"/>
      <c r="BR3328" s="1821"/>
      <c r="BS3328" s="1821"/>
      <c r="BT3328" s="1821"/>
      <c r="BU3328" s="1821"/>
      <c r="BV3328" s="1821"/>
      <c r="BW3328" s="1821"/>
      <c r="BX3328" s="1821"/>
      <c r="BY3328" s="1821"/>
      <c r="BZ3328" s="1821"/>
      <c r="CA3328" s="1821"/>
      <c r="CB3328" s="1821"/>
      <c r="CC3328" s="1821"/>
      <c r="CD3328" s="1821"/>
      <c r="CE3328" s="1821"/>
      <c r="CF3328" s="1821"/>
      <c r="CG3328" s="1821"/>
      <c r="CH3328" s="1821"/>
      <c r="CI3328" s="1821"/>
      <c r="CJ3328" s="1821"/>
      <c r="CK3328" s="1821"/>
    </row>
    <row r="3329" spans="1:89" s="675" customFormat="1" ht="16.5" customHeight="1" x14ac:dyDescent="0.25">
      <c r="A3329" s="697"/>
      <c r="B3329" s="1002" t="s">
        <v>1207</v>
      </c>
      <c r="C3329" s="1007">
        <v>12</v>
      </c>
      <c r="D3329" s="1005" t="s">
        <v>45</v>
      </c>
      <c r="E3329" s="1006">
        <v>50000</v>
      </c>
      <c r="F3329" s="700"/>
      <c r="G3329" s="700"/>
      <c r="H3329" s="700">
        <f t="shared" si="338"/>
        <v>0</v>
      </c>
      <c r="I3329" s="700">
        <f>C3329*E3329</f>
        <v>600000</v>
      </c>
      <c r="J3329" s="700"/>
      <c r="K3329" s="700">
        <f t="shared" si="339"/>
        <v>600000</v>
      </c>
      <c r="L3329" s="700"/>
      <c r="M3329" s="700"/>
      <c r="N3329" s="700">
        <f t="shared" si="340"/>
        <v>0</v>
      </c>
      <c r="O3329" s="974">
        <f t="shared" si="341"/>
        <v>600000</v>
      </c>
      <c r="P3329" s="956"/>
      <c r="Q3329" s="1821"/>
      <c r="R3329" s="1821"/>
      <c r="S3329" s="1821"/>
      <c r="T3329" s="1821"/>
      <c r="U3329" s="1821"/>
      <c r="V3329" s="1821"/>
      <c r="W3329" s="1821"/>
      <c r="X3329" s="1821"/>
      <c r="Y3329" s="1821"/>
      <c r="Z3329" s="1821"/>
      <c r="AA3329" s="1821"/>
      <c r="AB3329" s="1821"/>
      <c r="AC3329" s="1821"/>
      <c r="AD3329" s="1821"/>
      <c r="AE3329" s="1821"/>
      <c r="AF3329" s="1821"/>
      <c r="AG3329" s="1821"/>
      <c r="AH3329" s="1821"/>
      <c r="AI3329" s="1821"/>
      <c r="AJ3329" s="1821"/>
      <c r="AK3329" s="1821"/>
      <c r="AL3329" s="1821"/>
      <c r="AM3329" s="1821"/>
      <c r="AN3329" s="1821"/>
      <c r="AO3329" s="1821"/>
      <c r="AP3329" s="1821"/>
      <c r="AQ3329" s="1821"/>
      <c r="AR3329" s="1821"/>
      <c r="AS3329" s="1821"/>
      <c r="AT3329" s="1821"/>
      <c r="AU3329" s="1821"/>
      <c r="AV3329" s="1821"/>
      <c r="AW3329" s="1821"/>
      <c r="AX3329" s="1821"/>
      <c r="AY3329" s="1821"/>
      <c r="AZ3329" s="1821"/>
      <c r="BA3329" s="1821"/>
      <c r="BB3329" s="1821"/>
      <c r="BC3329" s="1821"/>
      <c r="BD3329" s="1821"/>
      <c r="BE3329" s="1821"/>
      <c r="BF3329" s="1821"/>
      <c r="BG3329" s="1821"/>
      <c r="BH3329" s="1821"/>
      <c r="BI3329" s="1821"/>
      <c r="BJ3329" s="1821"/>
      <c r="BK3329" s="1821"/>
      <c r="BL3329" s="1821"/>
      <c r="BM3329" s="1821"/>
      <c r="BN3329" s="1821"/>
      <c r="BO3329" s="1821"/>
      <c r="BP3329" s="1821"/>
      <c r="BQ3329" s="1821"/>
      <c r="BR3329" s="1821"/>
      <c r="BS3329" s="1821"/>
      <c r="BT3329" s="1821"/>
      <c r="BU3329" s="1821"/>
      <c r="BV3329" s="1821"/>
      <c r="BW3329" s="1821"/>
      <c r="BX3329" s="1821"/>
      <c r="BY3329" s="1821"/>
      <c r="BZ3329" s="1821"/>
      <c r="CA3329" s="1821"/>
      <c r="CB3329" s="1821"/>
      <c r="CC3329" s="1821"/>
      <c r="CD3329" s="1821"/>
      <c r="CE3329" s="1821"/>
      <c r="CF3329" s="1821"/>
      <c r="CG3329" s="1821"/>
      <c r="CH3329" s="1821"/>
      <c r="CI3329" s="1821"/>
      <c r="CJ3329" s="1821"/>
      <c r="CK3329" s="1821"/>
    </row>
    <row r="3330" spans="1:89" s="675" customFormat="1" ht="16.5" customHeight="1" x14ac:dyDescent="0.25">
      <c r="A3330" s="697"/>
      <c r="B3330" s="1008" t="s">
        <v>1463</v>
      </c>
      <c r="C3330" s="1007">
        <v>1</v>
      </c>
      <c r="D3330" s="1005" t="s">
        <v>294</v>
      </c>
      <c r="E3330" s="1006">
        <v>200000</v>
      </c>
      <c r="F3330" s="700"/>
      <c r="G3330" s="700"/>
      <c r="H3330" s="700">
        <f t="shared" si="338"/>
        <v>0</v>
      </c>
      <c r="I3330" s="700">
        <f>C3330*E3330</f>
        <v>200000</v>
      </c>
      <c r="J3330" s="700"/>
      <c r="K3330" s="700">
        <f t="shared" si="339"/>
        <v>200000</v>
      </c>
      <c r="L3330" s="700"/>
      <c r="M3330" s="700"/>
      <c r="N3330" s="700">
        <f t="shared" si="340"/>
        <v>0</v>
      </c>
      <c r="O3330" s="974">
        <f t="shared" si="341"/>
        <v>200000</v>
      </c>
      <c r="P3330" s="956"/>
      <c r="Q3330" s="1821"/>
      <c r="R3330" s="1821"/>
      <c r="S3330" s="1821"/>
      <c r="T3330" s="1821"/>
      <c r="U3330" s="1821"/>
      <c r="V3330" s="1821"/>
      <c r="W3330" s="1821"/>
      <c r="X3330" s="1821"/>
      <c r="Y3330" s="1821"/>
      <c r="Z3330" s="1821"/>
      <c r="AA3330" s="1821"/>
      <c r="AB3330" s="1821"/>
      <c r="AC3330" s="1821"/>
      <c r="AD3330" s="1821"/>
      <c r="AE3330" s="1821"/>
      <c r="AF3330" s="1821"/>
      <c r="AG3330" s="1821"/>
      <c r="AH3330" s="1821"/>
      <c r="AI3330" s="1821"/>
      <c r="AJ3330" s="1821"/>
      <c r="AK3330" s="1821"/>
      <c r="AL3330" s="1821"/>
      <c r="AM3330" s="1821"/>
      <c r="AN3330" s="1821"/>
      <c r="AO3330" s="1821"/>
      <c r="AP3330" s="1821"/>
      <c r="AQ3330" s="1821"/>
      <c r="AR3330" s="1821"/>
      <c r="AS3330" s="1821"/>
      <c r="AT3330" s="1821"/>
      <c r="AU3330" s="1821"/>
      <c r="AV3330" s="1821"/>
      <c r="AW3330" s="1821"/>
      <c r="AX3330" s="1821"/>
      <c r="AY3330" s="1821"/>
      <c r="AZ3330" s="1821"/>
      <c r="BA3330" s="1821"/>
      <c r="BB3330" s="1821"/>
      <c r="BC3330" s="1821"/>
      <c r="BD3330" s="1821"/>
      <c r="BE3330" s="1821"/>
      <c r="BF3330" s="1821"/>
      <c r="BG3330" s="1821"/>
      <c r="BH3330" s="1821"/>
      <c r="BI3330" s="1821"/>
      <c r="BJ3330" s="1821"/>
      <c r="BK3330" s="1821"/>
      <c r="BL3330" s="1821"/>
      <c r="BM3330" s="1821"/>
      <c r="BN3330" s="1821"/>
      <c r="BO3330" s="1821"/>
      <c r="BP3330" s="1821"/>
      <c r="BQ3330" s="1821"/>
      <c r="BR3330" s="1821"/>
      <c r="BS3330" s="1821"/>
      <c r="BT3330" s="1821"/>
      <c r="BU3330" s="1821"/>
      <c r="BV3330" s="1821"/>
      <c r="BW3330" s="1821"/>
      <c r="BX3330" s="1821"/>
      <c r="BY3330" s="1821"/>
      <c r="BZ3330" s="1821"/>
      <c r="CA3330" s="1821"/>
      <c r="CB3330" s="1821"/>
      <c r="CC3330" s="1821"/>
      <c r="CD3330" s="1821"/>
      <c r="CE3330" s="1821"/>
      <c r="CF3330" s="1821"/>
      <c r="CG3330" s="1821"/>
      <c r="CH3330" s="1821"/>
      <c r="CI3330" s="1821"/>
      <c r="CJ3330" s="1821"/>
      <c r="CK3330" s="1821"/>
    </row>
    <row r="3331" spans="1:89" s="675" customFormat="1" ht="16.5" customHeight="1" x14ac:dyDescent="0.25">
      <c r="A3331" s="697"/>
      <c r="B3331" s="1002" t="s">
        <v>310</v>
      </c>
      <c r="C3331" s="1007">
        <v>1</v>
      </c>
      <c r="D3331" s="1005" t="s">
        <v>294</v>
      </c>
      <c r="E3331" s="1006">
        <v>600000</v>
      </c>
      <c r="F3331" s="700"/>
      <c r="G3331" s="700"/>
      <c r="H3331" s="700">
        <f t="shared" si="338"/>
        <v>0</v>
      </c>
      <c r="I3331" s="700">
        <f>C3331*E3331</f>
        <v>600000</v>
      </c>
      <c r="J3331" s="700"/>
      <c r="K3331" s="700">
        <f t="shared" si="339"/>
        <v>600000</v>
      </c>
      <c r="L3331" s="700"/>
      <c r="M3331" s="700"/>
      <c r="N3331" s="700">
        <f t="shared" si="340"/>
        <v>0</v>
      </c>
      <c r="O3331" s="974">
        <f t="shared" si="341"/>
        <v>600000</v>
      </c>
      <c r="P3331" s="956"/>
      <c r="Q3331" s="1821"/>
      <c r="R3331" s="1821"/>
      <c r="S3331" s="1821"/>
      <c r="T3331" s="1821"/>
      <c r="U3331" s="1821"/>
      <c r="V3331" s="1821"/>
      <c r="W3331" s="1821"/>
      <c r="X3331" s="1821"/>
      <c r="Y3331" s="1821"/>
      <c r="Z3331" s="1821"/>
      <c r="AA3331" s="1821"/>
      <c r="AB3331" s="1821"/>
      <c r="AC3331" s="1821"/>
      <c r="AD3331" s="1821"/>
      <c r="AE3331" s="1821"/>
      <c r="AF3331" s="1821"/>
      <c r="AG3331" s="1821"/>
      <c r="AH3331" s="1821"/>
      <c r="AI3331" s="1821"/>
      <c r="AJ3331" s="1821"/>
      <c r="AK3331" s="1821"/>
      <c r="AL3331" s="1821"/>
      <c r="AM3331" s="1821"/>
      <c r="AN3331" s="1821"/>
      <c r="AO3331" s="1821"/>
      <c r="AP3331" s="1821"/>
      <c r="AQ3331" s="1821"/>
      <c r="AR3331" s="1821"/>
      <c r="AS3331" s="1821"/>
      <c r="AT3331" s="1821"/>
      <c r="AU3331" s="1821"/>
      <c r="AV3331" s="1821"/>
      <c r="AW3331" s="1821"/>
      <c r="AX3331" s="1821"/>
      <c r="AY3331" s="1821"/>
      <c r="AZ3331" s="1821"/>
      <c r="BA3331" s="1821"/>
      <c r="BB3331" s="1821"/>
      <c r="BC3331" s="1821"/>
      <c r="BD3331" s="1821"/>
      <c r="BE3331" s="1821"/>
      <c r="BF3331" s="1821"/>
      <c r="BG3331" s="1821"/>
      <c r="BH3331" s="1821"/>
      <c r="BI3331" s="1821"/>
      <c r="BJ3331" s="1821"/>
      <c r="BK3331" s="1821"/>
      <c r="BL3331" s="1821"/>
      <c r="BM3331" s="1821"/>
      <c r="BN3331" s="1821"/>
      <c r="BO3331" s="1821"/>
      <c r="BP3331" s="1821"/>
      <c r="BQ3331" s="1821"/>
      <c r="BR3331" s="1821"/>
      <c r="BS3331" s="1821"/>
      <c r="BT3331" s="1821"/>
      <c r="BU3331" s="1821"/>
      <c r="BV3331" s="1821"/>
      <c r="BW3331" s="1821"/>
      <c r="BX3331" s="1821"/>
      <c r="BY3331" s="1821"/>
      <c r="BZ3331" s="1821"/>
      <c r="CA3331" s="1821"/>
      <c r="CB3331" s="1821"/>
      <c r="CC3331" s="1821"/>
      <c r="CD3331" s="1821"/>
      <c r="CE3331" s="1821"/>
      <c r="CF3331" s="1821"/>
      <c r="CG3331" s="1821"/>
      <c r="CH3331" s="1821"/>
      <c r="CI3331" s="1821"/>
      <c r="CJ3331" s="1821"/>
      <c r="CK3331" s="1821"/>
    </row>
    <row r="3332" spans="1:89" s="675" customFormat="1" ht="16.5" customHeight="1" x14ac:dyDescent="0.25">
      <c r="A3332" s="697"/>
      <c r="B3332" s="1002"/>
      <c r="C3332" s="1007"/>
      <c r="D3332" s="1005"/>
      <c r="E3332" s="1006"/>
      <c r="F3332" s="700"/>
      <c r="G3332" s="700"/>
      <c r="H3332" s="700">
        <f t="shared" si="338"/>
        <v>0</v>
      </c>
      <c r="I3332" s="700">
        <f t="shared" ref="I3332:I3338" si="342">C3332*E3332</f>
        <v>0</v>
      </c>
      <c r="J3332" s="700"/>
      <c r="K3332" s="700">
        <f t="shared" si="339"/>
        <v>0</v>
      </c>
      <c r="L3332" s="700"/>
      <c r="M3332" s="700"/>
      <c r="N3332" s="700">
        <f t="shared" si="340"/>
        <v>0</v>
      </c>
      <c r="O3332" s="974">
        <f t="shared" si="341"/>
        <v>0</v>
      </c>
      <c r="P3332" s="956"/>
      <c r="Q3332" s="1821"/>
      <c r="R3332" s="1821"/>
      <c r="S3332" s="1821"/>
      <c r="T3332" s="1821"/>
      <c r="U3332" s="1821"/>
      <c r="V3332" s="1821"/>
      <c r="W3332" s="1821"/>
      <c r="X3332" s="1821"/>
      <c r="Y3332" s="1821"/>
      <c r="Z3332" s="1821"/>
      <c r="AA3332" s="1821"/>
      <c r="AB3332" s="1821"/>
      <c r="AC3332" s="1821"/>
      <c r="AD3332" s="1821"/>
      <c r="AE3332" s="1821"/>
      <c r="AF3332" s="1821"/>
      <c r="AG3332" s="1821"/>
      <c r="AH3332" s="1821"/>
      <c r="AI3332" s="1821"/>
      <c r="AJ3332" s="1821"/>
      <c r="AK3332" s="1821"/>
      <c r="AL3332" s="1821"/>
      <c r="AM3332" s="1821"/>
      <c r="AN3332" s="1821"/>
      <c r="AO3332" s="1821"/>
      <c r="AP3332" s="1821"/>
      <c r="AQ3332" s="1821"/>
      <c r="AR3332" s="1821"/>
      <c r="AS3332" s="1821"/>
      <c r="AT3332" s="1821"/>
      <c r="AU3332" s="1821"/>
      <c r="AV3332" s="1821"/>
      <c r="AW3332" s="1821"/>
      <c r="AX3332" s="1821"/>
      <c r="AY3332" s="1821"/>
      <c r="AZ3332" s="1821"/>
      <c r="BA3332" s="1821"/>
      <c r="BB3332" s="1821"/>
      <c r="BC3332" s="1821"/>
      <c r="BD3332" s="1821"/>
      <c r="BE3332" s="1821"/>
      <c r="BF3332" s="1821"/>
      <c r="BG3332" s="1821"/>
      <c r="BH3332" s="1821"/>
      <c r="BI3332" s="1821"/>
      <c r="BJ3332" s="1821"/>
      <c r="BK3332" s="1821"/>
      <c r="BL3332" s="1821"/>
      <c r="BM3332" s="1821"/>
      <c r="BN3332" s="1821"/>
      <c r="BO3332" s="1821"/>
      <c r="BP3332" s="1821"/>
      <c r="BQ3332" s="1821"/>
      <c r="BR3332" s="1821"/>
      <c r="BS3332" s="1821"/>
      <c r="BT3332" s="1821"/>
      <c r="BU3332" s="1821"/>
      <c r="BV3332" s="1821"/>
      <c r="BW3332" s="1821"/>
      <c r="BX3332" s="1821"/>
      <c r="BY3332" s="1821"/>
      <c r="BZ3332" s="1821"/>
      <c r="CA3332" s="1821"/>
      <c r="CB3332" s="1821"/>
      <c r="CC3332" s="1821"/>
      <c r="CD3332" s="1821"/>
      <c r="CE3332" s="1821"/>
      <c r="CF3332" s="1821"/>
      <c r="CG3332" s="1821"/>
      <c r="CH3332" s="1821"/>
      <c r="CI3332" s="1821"/>
      <c r="CJ3332" s="1821"/>
      <c r="CK3332" s="1821"/>
    </row>
    <row r="3333" spans="1:89" s="675" customFormat="1" ht="16.5" customHeight="1" x14ac:dyDescent="0.25">
      <c r="A3333" s="697" t="s">
        <v>319</v>
      </c>
      <c r="B3333" s="1002" t="s">
        <v>320</v>
      </c>
      <c r="C3333" s="1007"/>
      <c r="D3333" s="1005"/>
      <c r="E3333" s="1006"/>
      <c r="F3333" s="700"/>
      <c r="G3333" s="700"/>
      <c r="H3333" s="700">
        <f t="shared" si="338"/>
        <v>0</v>
      </c>
      <c r="I3333" s="700">
        <f t="shared" si="342"/>
        <v>0</v>
      </c>
      <c r="J3333" s="700"/>
      <c r="K3333" s="700">
        <f t="shared" si="339"/>
        <v>0</v>
      </c>
      <c r="L3333" s="700"/>
      <c r="M3333" s="700"/>
      <c r="N3333" s="700">
        <f t="shared" si="340"/>
        <v>0</v>
      </c>
      <c r="O3333" s="974">
        <f t="shared" si="341"/>
        <v>0</v>
      </c>
      <c r="P3333" s="956"/>
      <c r="Q3333" s="1821"/>
      <c r="R3333" s="1821"/>
      <c r="S3333" s="1821"/>
      <c r="T3333" s="1821"/>
      <c r="U3333" s="1821"/>
      <c r="V3333" s="1821"/>
      <c r="W3333" s="1821"/>
      <c r="X3333" s="1821"/>
      <c r="Y3333" s="1821"/>
      <c r="Z3333" s="1821"/>
      <c r="AA3333" s="1821"/>
      <c r="AB3333" s="1821"/>
      <c r="AC3333" s="1821"/>
      <c r="AD3333" s="1821"/>
      <c r="AE3333" s="1821"/>
      <c r="AF3333" s="1821"/>
      <c r="AG3333" s="1821"/>
      <c r="AH3333" s="1821"/>
      <c r="AI3333" s="1821"/>
      <c r="AJ3333" s="1821"/>
      <c r="AK3333" s="1821"/>
      <c r="AL3333" s="1821"/>
      <c r="AM3333" s="1821"/>
      <c r="AN3333" s="1821"/>
      <c r="AO3333" s="1821"/>
      <c r="AP3333" s="1821"/>
      <c r="AQ3333" s="1821"/>
      <c r="AR3333" s="1821"/>
      <c r="AS3333" s="1821"/>
      <c r="AT3333" s="1821"/>
      <c r="AU3333" s="1821"/>
      <c r="AV3333" s="1821"/>
      <c r="AW3333" s="1821"/>
      <c r="AX3333" s="1821"/>
      <c r="AY3333" s="1821"/>
      <c r="AZ3333" s="1821"/>
      <c r="BA3333" s="1821"/>
      <c r="BB3333" s="1821"/>
      <c r="BC3333" s="1821"/>
      <c r="BD3333" s="1821"/>
      <c r="BE3333" s="1821"/>
      <c r="BF3333" s="1821"/>
      <c r="BG3333" s="1821"/>
      <c r="BH3333" s="1821"/>
      <c r="BI3333" s="1821"/>
      <c r="BJ3333" s="1821"/>
      <c r="BK3333" s="1821"/>
      <c r="BL3333" s="1821"/>
      <c r="BM3333" s="1821"/>
      <c r="BN3333" s="1821"/>
      <c r="BO3333" s="1821"/>
      <c r="BP3333" s="1821"/>
      <c r="BQ3333" s="1821"/>
      <c r="BR3333" s="1821"/>
      <c r="BS3333" s="1821"/>
      <c r="BT3333" s="1821"/>
      <c r="BU3333" s="1821"/>
      <c r="BV3333" s="1821"/>
      <c r="BW3333" s="1821"/>
      <c r="BX3333" s="1821"/>
      <c r="BY3333" s="1821"/>
      <c r="BZ3333" s="1821"/>
      <c r="CA3333" s="1821"/>
      <c r="CB3333" s="1821"/>
      <c r="CC3333" s="1821"/>
      <c r="CD3333" s="1821"/>
      <c r="CE3333" s="1821"/>
      <c r="CF3333" s="1821"/>
      <c r="CG3333" s="1821"/>
      <c r="CH3333" s="1821"/>
      <c r="CI3333" s="1821"/>
      <c r="CJ3333" s="1821"/>
      <c r="CK3333" s="1821"/>
    </row>
    <row r="3334" spans="1:89" s="675" customFormat="1" ht="16.5" customHeight="1" x14ac:dyDescent="0.25">
      <c r="A3334" s="697"/>
      <c r="B3334" s="1002" t="s">
        <v>40</v>
      </c>
      <c r="C3334" s="1007"/>
      <c r="D3334" s="1005"/>
      <c r="E3334" s="1006"/>
      <c r="F3334" s="700"/>
      <c r="G3334" s="700"/>
      <c r="H3334" s="700">
        <f t="shared" si="338"/>
        <v>0</v>
      </c>
      <c r="I3334" s="700">
        <f t="shared" si="342"/>
        <v>0</v>
      </c>
      <c r="J3334" s="700"/>
      <c r="K3334" s="700">
        <f t="shared" si="339"/>
        <v>0</v>
      </c>
      <c r="L3334" s="700"/>
      <c r="M3334" s="700"/>
      <c r="N3334" s="700">
        <f t="shared" si="340"/>
        <v>0</v>
      </c>
      <c r="O3334" s="974">
        <f t="shared" si="341"/>
        <v>0</v>
      </c>
      <c r="P3334" s="956"/>
      <c r="Q3334" s="1821"/>
      <c r="R3334" s="1821"/>
      <c r="S3334" s="1821"/>
      <c r="T3334" s="1821"/>
      <c r="U3334" s="1821"/>
      <c r="V3334" s="1821"/>
      <c r="W3334" s="1821"/>
      <c r="X3334" s="1821"/>
      <c r="Y3334" s="1821"/>
      <c r="Z3334" s="1821"/>
      <c r="AA3334" s="1821"/>
      <c r="AB3334" s="1821"/>
      <c r="AC3334" s="1821"/>
      <c r="AD3334" s="1821"/>
      <c r="AE3334" s="1821"/>
      <c r="AF3334" s="1821"/>
      <c r="AG3334" s="1821"/>
      <c r="AH3334" s="1821"/>
      <c r="AI3334" s="1821"/>
      <c r="AJ3334" s="1821"/>
      <c r="AK3334" s="1821"/>
      <c r="AL3334" s="1821"/>
      <c r="AM3334" s="1821"/>
      <c r="AN3334" s="1821"/>
      <c r="AO3334" s="1821"/>
      <c r="AP3334" s="1821"/>
      <c r="AQ3334" s="1821"/>
      <c r="AR3334" s="1821"/>
      <c r="AS3334" s="1821"/>
      <c r="AT3334" s="1821"/>
      <c r="AU3334" s="1821"/>
      <c r="AV3334" s="1821"/>
      <c r="AW3334" s="1821"/>
      <c r="AX3334" s="1821"/>
      <c r="AY3334" s="1821"/>
      <c r="AZ3334" s="1821"/>
      <c r="BA3334" s="1821"/>
      <c r="BB3334" s="1821"/>
      <c r="BC3334" s="1821"/>
      <c r="BD3334" s="1821"/>
      <c r="BE3334" s="1821"/>
      <c r="BF3334" s="1821"/>
      <c r="BG3334" s="1821"/>
      <c r="BH3334" s="1821"/>
      <c r="BI3334" s="1821"/>
      <c r="BJ3334" s="1821"/>
      <c r="BK3334" s="1821"/>
      <c r="BL3334" s="1821"/>
      <c r="BM3334" s="1821"/>
      <c r="BN3334" s="1821"/>
      <c r="BO3334" s="1821"/>
      <c r="BP3334" s="1821"/>
      <c r="BQ3334" s="1821"/>
      <c r="BR3334" s="1821"/>
      <c r="BS3334" s="1821"/>
      <c r="BT3334" s="1821"/>
      <c r="BU3334" s="1821"/>
      <c r="BV3334" s="1821"/>
      <c r="BW3334" s="1821"/>
      <c r="BX3334" s="1821"/>
      <c r="BY3334" s="1821"/>
      <c r="BZ3334" s="1821"/>
      <c r="CA3334" s="1821"/>
      <c r="CB3334" s="1821"/>
      <c r="CC3334" s="1821"/>
      <c r="CD3334" s="1821"/>
      <c r="CE3334" s="1821"/>
      <c r="CF3334" s="1821"/>
      <c r="CG3334" s="1821"/>
      <c r="CH3334" s="1821"/>
      <c r="CI3334" s="1821"/>
      <c r="CJ3334" s="1821"/>
      <c r="CK3334" s="1821"/>
    </row>
    <row r="3335" spans="1:89" s="675" customFormat="1" ht="16.5" customHeight="1" x14ac:dyDescent="0.25">
      <c r="A3335" s="697"/>
      <c r="B3335" s="1002" t="s">
        <v>321</v>
      </c>
      <c r="C3335" s="1007">
        <v>1</v>
      </c>
      <c r="D3335" s="1005" t="s">
        <v>25</v>
      </c>
      <c r="E3335" s="1006">
        <v>150000</v>
      </c>
      <c r="F3335" s="700"/>
      <c r="G3335" s="700"/>
      <c r="H3335" s="700">
        <f t="shared" si="338"/>
        <v>0</v>
      </c>
      <c r="I3335" s="700">
        <f>C3335*E3335</f>
        <v>150000</v>
      </c>
      <c r="J3335" s="700"/>
      <c r="K3335" s="700">
        <f t="shared" si="339"/>
        <v>150000</v>
      </c>
      <c r="L3335" s="700"/>
      <c r="M3335" s="700"/>
      <c r="N3335" s="700">
        <f t="shared" si="340"/>
        <v>0</v>
      </c>
      <c r="O3335" s="974">
        <f t="shared" si="341"/>
        <v>150000</v>
      </c>
      <c r="P3335" s="956"/>
      <c r="Q3335" s="1821"/>
      <c r="R3335" s="1821"/>
      <c r="S3335" s="1821"/>
      <c r="T3335" s="1821"/>
      <c r="U3335" s="1821"/>
      <c r="V3335" s="1821"/>
      <c r="W3335" s="1821"/>
      <c r="X3335" s="1821"/>
      <c r="Y3335" s="1821"/>
      <c r="Z3335" s="1821"/>
      <c r="AA3335" s="1821"/>
      <c r="AB3335" s="1821"/>
      <c r="AC3335" s="1821"/>
      <c r="AD3335" s="1821"/>
      <c r="AE3335" s="1821"/>
      <c r="AF3335" s="1821"/>
      <c r="AG3335" s="1821"/>
      <c r="AH3335" s="1821"/>
      <c r="AI3335" s="1821"/>
      <c r="AJ3335" s="1821"/>
      <c r="AK3335" s="1821"/>
      <c r="AL3335" s="1821"/>
      <c r="AM3335" s="1821"/>
      <c r="AN3335" s="1821"/>
      <c r="AO3335" s="1821"/>
      <c r="AP3335" s="1821"/>
      <c r="AQ3335" s="1821"/>
      <c r="AR3335" s="1821"/>
      <c r="AS3335" s="1821"/>
      <c r="AT3335" s="1821"/>
      <c r="AU3335" s="1821"/>
      <c r="AV3335" s="1821"/>
      <c r="AW3335" s="1821"/>
      <c r="AX3335" s="1821"/>
      <c r="AY3335" s="1821"/>
      <c r="AZ3335" s="1821"/>
      <c r="BA3335" s="1821"/>
      <c r="BB3335" s="1821"/>
      <c r="BC3335" s="1821"/>
      <c r="BD3335" s="1821"/>
      <c r="BE3335" s="1821"/>
      <c r="BF3335" s="1821"/>
      <c r="BG3335" s="1821"/>
      <c r="BH3335" s="1821"/>
      <c r="BI3335" s="1821"/>
      <c r="BJ3335" s="1821"/>
      <c r="BK3335" s="1821"/>
      <c r="BL3335" s="1821"/>
      <c r="BM3335" s="1821"/>
      <c r="BN3335" s="1821"/>
      <c r="BO3335" s="1821"/>
      <c r="BP3335" s="1821"/>
      <c r="BQ3335" s="1821"/>
      <c r="BR3335" s="1821"/>
      <c r="BS3335" s="1821"/>
      <c r="BT3335" s="1821"/>
      <c r="BU3335" s="1821"/>
      <c r="BV3335" s="1821"/>
      <c r="BW3335" s="1821"/>
      <c r="BX3335" s="1821"/>
      <c r="BY3335" s="1821"/>
      <c r="BZ3335" s="1821"/>
      <c r="CA3335" s="1821"/>
      <c r="CB3335" s="1821"/>
      <c r="CC3335" s="1821"/>
      <c r="CD3335" s="1821"/>
      <c r="CE3335" s="1821"/>
      <c r="CF3335" s="1821"/>
      <c r="CG3335" s="1821"/>
      <c r="CH3335" s="1821"/>
      <c r="CI3335" s="1821"/>
      <c r="CJ3335" s="1821"/>
      <c r="CK3335" s="1821"/>
    </row>
    <row r="3336" spans="1:89" s="675" customFormat="1" ht="16.5" customHeight="1" x14ac:dyDescent="0.25">
      <c r="A3336" s="697"/>
      <c r="B3336" s="1002"/>
      <c r="C3336" s="1007"/>
      <c r="D3336" s="1005"/>
      <c r="E3336" s="1006"/>
      <c r="F3336" s="700"/>
      <c r="G3336" s="700"/>
      <c r="H3336" s="700">
        <f t="shared" si="338"/>
        <v>0</v>
      </c>
      <c r="I3336" s="700">
        <f t="shared" si="342"/>
        <v>0</v>
      </c>
      <c r="J3336" s="700"/>
      <c r="K3336" s="700">
        <f t="shared" si="339"/>
        <v>0</v>
      </c>
      <c r="L3336" s="700"/>
      <c r="M3336" s="700"/>
      <c r="N3336" s="700">
        <f t="shared" si="340"/>
        <v>0</v>
      </c>
      <c r="O3336" s="974">
        <f t="shared" si="341"/>
        <v>0</v>
      </c>
      <c r="P3336" s="956"/>
      <c r="Q3336" s="1821"/>
      <c r="R3336" s="1821"/>
      <c r="S3336" s="1821"/>
      <c r="T3336" s="1821"/>
      <c r="U3336" s="1821"/>
      <c r="V3336" s="1821"/>
      <c r="W3336" s="1821"/>
      <c r="X3336" s="1821"/>
      <c r="Y3336" s="1821"/>
      <c r="Z3336" s="1821"/>
      <c r="AA3336" s="1821"/>
      <c r="AB3336" s="1821"/>
      <c r="AC3336" s="1821"/>
      <c r="AD3336" s="1821"/>
      <c r="AE3336" s="1821"/>
      <c r="AF3336" s="1821"/>
      <c r="AG3336" s="1821"/>
      <c r="AH3336" s="1821"/>
      <c r="AI3336" s="1821"/>
      <c r="AJ3336" s="1821"/>
      <c r="AK3336" s="1821"/>
      <c r="AL3336" s="1821"/>
      <c r="AM3336" s="1821"/>
      <c r="AN3336" s="1821"/>
      <c r="AO3336" s="1821"/>
      <c r="AP3336" s="1821"/>
      <c r="AQ3336" s="1821"/>
      <c r="AR3336" s="1821"/>
      <c r="AS3336" s="1821"/>
      <c r="AT3336" s="1821"/>
      <c r="AU3336" s="1821"/>
      <c r="AV3336" s="1821"/>
      <c r="AW3336" s="1821"/>
      <c r="AX3336" s="1821"/>
      <c r="AY3336" s="1821"/>
      <c r="AZ3336" s="1821"/>
      <c r="BA3336" s="1821"/>
      <c r="BB3336" s="1821"/>
      <c r="BC3336" s="1821"/>
      <c r="BD3336" s="1821"/>
      <c r="BE3336" s="1821"/>
      <c r="BF3336" s="1821"/>
      <c r="BG3336" s="1821"/>
      <c r="BH3336" s="1821"/>
      <c r="BI3336" s="1821"/>
      <c r="BJ3336" s="1821"/>
      <c r="BK3336" s="1821"/>
      <c r="BL3336" s="1821"/>
      <c r="BM3336" s="1821"/>
      <c r="BN3336" s="1821"/>
      <c r="BO3336" s="1821"/>
      <c r="BP3336" s="1821"/>
      <c r="BQ3336" s="1821"/>
      <c r="BR3336" s="1821"/>
      <c r="BS3336" s="1821"/>
      <c r="BT3336" s="1821"/>
      <c r="BU3336" s="1821"/>
      <c r="BV3336" s="1821"/>
      <c r="BW3336" s="1821"/>
      <c r="BX3336" s="1821"/>
      <c r="BY3336" s="1821"/>
      <c r="BZ3336" s="1821"/>
      <c r="CA3336" s="1821"/>
      <c r="CB3336" s="1821"/>
      <c r="CC3336" s="1821"/>
      <c r="CD3336" s="1821"/>
      <c r="CE3336" s="1821"/>
      <c r="CF3336" s="1821"/>
      <c r="CG3336" s="1821"/>
      <c r="CH3336" s="1821"/>
      <c r="CI3336" s="1821"/>
      <c r="CJ3336" s="1821"/>
      <c r="CK3336" s="1821"/>
    </row>
    <row r="3337" spans="1:89" s="675" customFormat="1" ht="16.5" customHeight="1" x14ac:dyDescent="0.25">
      <c r="A3337" s="697" t="s">
        <v>322</v>
      </c>
      <c r="B3337" s="1002" t="s">
        <v>323</v>
      </c>
      <c r="C3337" s="1007"/>
      <c r="D3337" s="1005"/>
      <c r="E3337" s="1006"/>
      <c r="F3337" s="700"/>
      <c r="G3337" s="700"/>
      <c r="H3337" s="700">
        <f t="shared" si="338"/>
        <v>0</v>
      </c>
      <c r="I3337" s="700">
        <f t="shared" si="342"/>
        <v>0</v>
      </c>
      <c r="J3337" s="700"/>
      <c r="K3337" s="700">
        <f t="shared" si="339"/>
        <v>0</v>
      </c>
      <c r="L3337" s="700"/>
      <c r="M3337" s="700"/>
      <c r="N3337" s="700">
        <f t="shared" si="340"/>
        <v>0</v>
      </c>
      <c r="O3337" s="974">
        <f t="shared" si="341"/>
        <v>0</v>
      </c>
      <c r="P3337" s="956"/>
      <c r="Q3337" s="1821"/>
      <c r="R3337" s="1821"/>
      <c r="S3337" s="1821"/>
      <c r="T3337" s="1821"/>
      <c r="U3337" s="1821"/>
      <c r="V3337" s="1821"/>
      <c r="W3337" s="1821"/>
      <c r="X3337" s="1821"/>
      <c r="Y3337" s="1821"/>
      <c r="Z3337" s="1821"/>
      <c r="AA3337" s="1821"/>
      <c r="AB3337" s="1821"/>
      <c r="AC3337" s="1821"/>
      <c r="AD3337" s="1821"/>
      <c r="AE3337" s="1821"/>
      <c r="AF3337" s="1821"/>
      <c r="AG3337" s="1821"/>
      <c r="AH3337" s="1821"/>
      <c r="AI3337" s="1821"/>
      <c r="AJ3337" s="1821"/>
      <c r="AK3337" s="1821"/>
      <c r="AL3337" s="1821"/>
      <c r="AM3337" s="1821"/>
      <c r="AN3337" s="1821"/>
      <c r="AO3337" s="1821"/>
      <c r="AP3337" s="1821"/>
      <c r="AQ3337" s="1821"/>
      <c r="AR3337" s="1821"/>
      <c r="AS3337" s="1821"/>
      <c r="AT3337" s="1821"/>
      <c r="AU3337" s="1821"/>
      <c r="AV3337" s="1821"/>
      <c r="AW3337" s="1821"/>
      <c r="AX3337" s="1821"/>
      <c r="AY3337" s="1821"/>
      <c r="AZ3337" s="1821"/>
      <c r="BA3337" s="1821"/>
      <c r="BB3337" s="1821"/>
      <c r="BC3337" s="1821"/>
      <c r="BD3337" s="1821"/>
      <c r="BE3337" s="1821"/>
      <c r="BF3337" s="1821"/>
      <c r="BG3337" s="1821"/>
      <c r="BH3337" s="1821"/>
      <c r="BI3337" s="1821"/>
      <c r="BJ3337" s="1821"/>
      <c r="BK3337" s="1821"/>
      <c r="BL3337" s="1821"/>
      <c r="BM3337" s="1821"/>
      <c r="BN3337" s="1821"/>
      <c r="BO3337" s="1821"/>
      <c r="BP3337" s="1821"/>
      <c r="BQ3337" s="1821"/>
      <c r="BR3337" s="1821"/>
      <c r="BS3337" s="1821"/>
      <c r="BT3337" s="1821"/>
      <c r="BU3337" s="1821"/>
      <c r="BV3337" s="1821"/>
      <c r="BW3337" s="1821"/>
      <c r="BX3337" s="1821"/>
      <c r="BY3337" s="1821"/>
      <c r="BZ3337" s="1821"/>
      <c r="CA3337" s="1821"/>
      <c r="CB3337" s="1821"/>
      <c r="CC3337" s="1821"/>
      <c r="CD3337" s="1821"/>
      <c r="CE3337" s="1821"/>
      <c r="CF3337" s="1821"/>
      <c r="CG3337" s="1821"/>
      <c r="CH3337" s="1821"/>
      <c r="CI3337" s="1821"/>
      <c r="CJ3337" s="1821"/>
      <c r="CK3337" s="1821"/>
    </row>
    <row r="3338" spans="1:89" s="675" customFormat="1" ht="16.5" customHeight="1" x14ac:dyDescent="0.25">
      <c r="A3338" s="697"/>
      <c r="B3338" s="1002" t="s">
        <v>40</v>
      </c>
      <c r="C3338" s="1007"/>
      <c r="D3338" s="1005"/>
      <c r="E3338" s="1006"/>
      <c r="F3338" s="700"/>
      <c r="G3338" s="700"/>
      <c r="H3338" s="700">
        <f t="shared" si="338"/>
        <v>0</v>
      </c>
      <c r="I3338" s="700">
        <f t="shared" si="342"/>
        <v>0</v>
      </c>
      <c r="J3338" s="700"/>
      <c r="K3338" s="700">
        <f t="shared" si="339"/>
        <v>0</v>
      </c>
      <c r="L3338" s="700"/>
      <c r="M3338" s="700"/>
      <c r="N3338" s="700">
        <f t="shared" si="340"/>
        <v>0</v>
      </c>
      <c r="O3338" s="974">
        <f t="shared" si="341"/>
        <v>0</v>
      </c>
      <c r="P3338" s="956"/>
      <c r="Q3338" s="1821"/>
      <c r="R3338" s="1821"/>
      <c r="S3338" s="1821"/>
      <c r="T3338" s="1821"/>
      <c r="U3338" s="1821"/>
      <c r="V3338" s="1821"/>
      <c r="W3338" s="1821"/>
      <c r="X3338" s="1821"/>
      <c r="Y3338" s="1821"/>
      <c r="Z3338" s="1821"/>
      <c r="AA3338" s="1821"/>
      <c r="AB3338" s="1821"/>
      <c r="AC3338" s="1821"/>
      <c r="AD3338" s="1821"/>
      <c r="AE3338" s="1821"/>
      <c r="AF3338" s="1821"/>
      <c r="AG3338" s="1821"/>
      <c r="AH3338" s="1821"/>
      <c r="AI3338" s="1821"/>
      <c r="AJ3338" s="1821"/>
      <c r="AK3338" s="1821"/>
      <c r="AL3338" s="1821"/>
      <c r="AM3338" s="1821"/>
      <c r="AN3338" s="1821"/>
      <c r="AO3338" s="1821"/>
      <c r="AP3338" s="1821"/>
      <c r="AQ3338" s="1821"/>
      <c r="AR3338" s="1821"/>
      <c r="AS3338" s="1821"/>
      <c r="AT3338" s="1821"/>
      <c r="AU3338" s="1821"/>
      <c r="AV3338" s="1821"/>
      <c r="AW3338" s="1821"/>
      <c r="AX3338" s="1821"/>
      <c r="AY3338" s="1821"/>
      <c r="AZ3338" s="1821"/>
      <c r="BA3338" s="1821"/>
      <c r="BB3338" s="1821"/>
      <c r="BC3338" s="1821"/>
      <c r="BD3338" s="1821"/>
      <c r="BE3338" s="1821"/>
      <c r="BF3338" s="1821"/>
      <c r="BG3338" s="1821"/>
      <c r="BH3338" s="1821"/>
      <c r="BI3338" s="1821"/>
      <c r="BJ3338" s="1821"/>
      <c r="BK3338" s="1821"/>
      <c r="BL3338" s="1821"/>
      <c r="BM3338" s="1821"/>
      <c r="BN3338" s="1821"/>
      <c r="BO3338" s="1821"/>
      <c r="BP3338" s="1821"/>
      <c r="BQ3338" s="1821"/>
      <c r="BR3338" s="1821"/>
      <c r="BS3338" s="1821"/>
      <c r="BT3338" s="1821"/>
      <c r="BU3338" s="1821"/>
      <c r="BV3338" s="1821"/>
      <c r="BW3338" s="1821"/>
      <c r="BX3338" s="1821"/>
      <c r="BY3338" s="1821"/>
      <c r="BZ3338" s="1821"/>
      <c r="CA3338" s="1821"/>
      <c r="CB3338" s="1821"/>
      <c r="CC3338" s="1821"/>
      <c r="CD3338" s="1821"/>
      <c r="CE3338" s="1821"/>
      <c r="CF3338" s="1821"/>
      <c r="CG3338" s="1821"/>
      <c r="CH3338" s="1821"/>
      <c r="CI3338" s="1821"/>
      <c r="CJ3338" s="1821"/>
      <c r="CK3338" s="1821"/>
    </row>
    <row r="3339" spans="1:89" s="675" customFormat="1" ht="16.5" customHeight="1" x14ac:dyDescent="0.25">
      <c r="A3339" s="697"/>
      <c r="B3339" s="1002" t="s">
        <v>324</v>
      </c>
      <c r="C3339" s="1007">
        <v>1</v>
      </c>
      <c r="D3339" s="1005" t="s">
        <v>25</v>
      </c>
      <c r="E3339" s="1006">
        <v>1146060</v>
      </c>
      <c r="F3339" s="700"/>
      <c r="G3339" s="700"/>
      <c r="H3339" s="700">
        <f t="shared" si="338"/>
        <v>0</v>
      </c>
      <c r="I3339" s="700">
        <f>C3339*E3339</f>
        <v>1146060</v>
      </c>
      <c r="J3339" s="700"/>
      <c r="K3339" s="700">
        <f t="shared" si="339"/>
        <v>1146060</v>
      </c>
      <c r="L3339" s="700"/>
      <c r="M3339" s="700"/>
      <c r="N3339" s="700">
        <f t="shared" si="340"/>
        <v>0</v>
      </c>
      <c r="O3339" s="974">
        <f t="shared" si="341"/>
        <v>1146060</v>
      </c>
      <c r="P3339" s="956"/>
      <c r="Q3339" s="1821"/>
      <c r="R3339" s="1821"/>
      <c r="S3339" s="1821"/>
      <c r="T3339" s="1821"/>
      <c r="U3339" s="1821"/>
      <c r="V3339" s="1821"/>
      <c r="W3339" s="1821"/>
      <c r="X3339" s="1821"/>
      <c r="Y3339" s="1821"/>
      <c r="Z3339" s="1821"/>
      <c r="AA3339" s="1821"/>
      <c r="AB3339" s="1821"/>
      <c r="AC3339" s="1821"/>
      <c r="AD3339" s="1821"/>
      <c r="AE3339" s="1821"/>
      <c r="AF3339" s="1821"/>
      <c r="AG3339" s="1821"/>
      <c r="AH3339" s="1821"/>
      <c r="AI3339" s="1821"/>
      <c r="AJ3339" s="1821"/>
      <c r="AK3339" s="1821"/>
      <c r="AL3339" s="1821"/>
      <c r="AM3339" s="1821"/>
      <c r="AN3339" s="1821"/>
      <c r="AO3339" s="1821"/>
      <c r="AP3339" s="1821"/>
      <c r="AQ3339" s="1821"/>
      <c r="AR3339" s="1821"/>
      <c r="AS3339" s="1821"/>
      <c r="AT3339" s="1821"/>
      <c r="AU3339" s="1821"/>
      <c r="AV3339" s="1821"/>
      <c r="AW3339" s="1821"/>
      <c r="AX3339" s="1821"/>
      <c r="AY3339" s="1821"/>
      <c r="AZ3339" s="1821"/>
      <c r="BA3339" s="1821"/>
      <c r="BB3339" s="1821"/>
      <c r="BC3339" s="1821"/>
      <c r="BD3339" s="1821"/>
      <c r="BE3339" s="1821"/>
      <c r="BF3339" s="1821"/>
      <c r="BG3339" s="1821"/>
      <c r="BH3339" s="1821"/>
      <c r="BI3339" s="1821"/>
      <c r="BJ3339" s="1821"/>
      <c r="BK3339" s="1821"/>
      <c r="BL3339" s="1821"/>
      <c r="BM3339" s="1821"/>
      <c r="BN3339" s="1821"/>
      <c r="BO3339" s="1821"/>
      <c r="BP3339" s="1821"/>
      <c r="BQ3339" s="1821"/>
      <c r="BR3339" s="1821"/>
      <c r="BS3339" s="1821"/>
      <c r="BT3339" s="1821"/>
      <c r="BU3339" s="1821"/>
      <c r="BV3339" s="1821"/>
      <c r="BW3339" s="1821"/>
      <c r="BX3339" s="1821"/>
      <c r="BY3339" s="1821"/>
      <c r="BZ3339" s="1821"/>
      <c r="CA3339" s="1821"/>
      <c r="CB3339" s="1821"/>
      <c r="CC3339" s="1821"/>
      <c r="CD3339" s="1821"/>
      <c r="CE3339" s="1821"/>
      <c r="CF3339" s="1821"/>
      <c r="CG3339" s="1821"/>
      <c r="CH3339" s="1821"/>
      <c r="CI3339" s="1821"/>
      <c r="CJ3339" s="1821"/>
      <c r="CK3339" s="1821"/>
    </row>
    <row r="3340" spans="1:89" s="675" customFormat="1" ht="16.5" customHeight="1" x14ac:dyDescent="0.25">
      <c r="A3340" s="697"/>
      <c r="B3340" s="1002"/>
      <c r="C3340" s="1007"/>
      <c r="D3340" s="1005"/>
      <c r="E3340" s="1006"/>
      <c r="F3340" s="700"/>
      <c r="G3340" s="700"/>
      <c r="H3340" s="700">
        <f t="shared" si="338"/>
        <v>0</v>
      </c>
      <c r="I3340" s="700">
        <f>C3340*E3340</f>
        <v>0</v>
      </c>
      <c r="J3340" s="700"/>
      <c r="K3340" s="700">
        <f t="shared" si="339"/>
        <v>0</v>
      </c>
      <c r="L3340" s="700"/>
      <c r="M3340" s="700"/>
      <c r="N3340" s="700">
        <f t="shared" si="340"/>
        <v>0</v>
      </c>
      <c r="O3340" s="974">
        <f t="shared" si="341"/>
        <v>0</v>
      </c>
      <c r="P3340" s="956"/>
      <c r="Q3340" s="1821"/>
      <c r="R3340" s="1821"/>
      <c r="S3340" s="1821"/>
      <c r="T3340" s="1821"/>
      <c r="U3340" s="1821"/>
      <c r="V3340" s="1821"/>
      <c r="W3340" s="1821"/>
      <c r="X3340" s="1821"/>
      <c r="Y3340" s="1821"/>
      <c r="Z3340" s="1821"/>
      <c r="AA3340" s="1821"/>
      <c r="AB3340" s="1821"/>
      <c r="AC3340" s="1821"/>
      <c r="AD3340" s="1821"/>
      <c r="AE3340" s="1821"/>
      <c r="AF3340" s="1821"/>
      <c r="AG3340" s="1821"/>
      <c r="AH3340" s="1821"/>
      <c r="AI3340" s="1821"/>
      <c r="AJ3340" s="1821"/>
      <c r="AK3340" s="1821"/>
      <c r="AL3340" s="1821"/>
      <c r="AM3340" s="1821"/>
      <c r="AN3340" s="1821"/>
      <c r="AO3340" s="1821"/>
      <c r="AP3340" s="1821"/>
      <c r="AQ3340" s="1821"/>
      <c r="AR3340" s="1821"/>
      <c r="AS3340" s="1821"/>
      <c r="AT3340" s="1821"/>
      <c r="AU3340" s="1821"/>
      <c r="AV3340" s="1821"/>
      <c r="AW3340" s="1821"/>
      <c r="AX3340" s="1821"/>
      <c r="AY3340" s="1821"/>
      <c r="AZ3340" s="1821"/>
      <c r="BA3340" s="1821"/>
      <c r="BB3340" s="1821"/>
      <c r="BC3340" s="1821"/>
      <c r="BD3340" s="1821"/>
      <c r="BE3340" s="1821"/>
      <c r="BF3340" s="1821"/>
      <c r="BG3340" s="1821"/>
      <c r="BH3340" s="1821"/>
      <c r="BI3340" s="1821"/>
      <c r="BJ3340" s="1821"/>
      <c r="BK3340" s="1821"/>
      <c r="BL3340" s="1821"/>
      <c r="BM3340" s="1821"/>
      <c r="BN3340" s="1821"/>
      <c r="BO3340" s="1821"/>
      <c r="BP3340" s="1821"/>
      <c r="BQ3340" s="1821"/>
      <c r="BR3340" s="1821"/>
      <c r="BS3340" s="1821"/>
      <c r="BT3340" s="1821"/>
      <c r="BU3340" s="1821"/>
      <c r="BV3340" s="1821"/>
      <c r="BW3340" s="1821"/>
      <c r="BX3340" s="1821"/>
      <c r="BY3340" s="1821"/>
      <c r="BZ3340" s="1821"/>
      <c r="CA3340" s="1821"/>
      <c r="CB3340" s="1821"/>
      <c r="CC3340" s="1821"/>
      <c r="CD3340" s="1821"/>
      <c r="CE3340" s="1821"/>
      <c r="CF3340" s="1821"/>
      <c r="CG3340" s="1821"/>
      <c r="CH3340" s="1821"/>
      <c r="CI3340" s="1821"/>
      <c r="CJ3340" s="1821"/>
      <c r="CK3340" s="1821"/>
    </row>
    <row r="3341" spans="1:89" s="675" customFormat="1" ht="16.5" customHeight="1" x14ac:dyDescent="0.25">
      <c r="A3341" s="697" t="s">
        <v>325</v>
      </c>
      <c r="B3341" s="1002" t="s">
        <v>337</v>
      </c>
      <c r="C3341" s="1007"/>
      <c r="D3341" s="1005"/>
      <c r="E3341" s="1006"/>
      <c r="F3341" s="700"/>
      <c r="G3341" s="700"/>
      <c r="H3341" s="700">
        <f t="shared" si="338"/>
        <v>0</v>
      </c>
      <c r="I3341" s="700">
        <f>C3341*E3341</f>
        <v>0</v>
      </c>
      <c r="J3341" s="700"/>
      <c r="K3341" s="700">
        <f t="shared" si="339"/>
        <v>0</v>
      </c>
      <c r="L3341" s="700"/>
      <c r="M3341" s="700"/>
      <c r="N3341" s="700">
        <f t="shared" si="340"/>
        <v>0</v>
      </c>
      <c r="O3341" s="974">
        <f t="shared" si="341"/>
        <v>0</v>
      </c>
      <c r="P3341" s="956"/>
      <c r="Q3341" s="1821"/>
      <c r="R3341" s="1821"/>
      <c r="S3341" s="1821"/>
      <c r="T3341" s="1821"/>
      <c r="U3341" s="1821"/>
      <c r="V3341" s="1821"/>
      <c r="W3341" s="1821"/>
      <c r="X3341" s="1821"/>
      <c r="Y3341" s="1821"/>
      <c r="Z3341" s="1821"/>
      <c r="AA3341" s="1821"/>
      <c r="AB3341" s="1821"/>
      <c r="AC3341" s="1821"/>
      <c r="AD3341" s="1821"/>
      <c r="AE3341" s="1821"/>
      <c r="AF3341" s="1821"/>
      <c r="AG3341" s="1821"/>
      <c r="AH3341" s="1821"/>
      <c r="AI3341" s="1821"/>
      <c r="AJ3341" s="1821"/>
      <c r="AK3341" s="1821"/>
      <c r="AL3341" s="1821"/>
      <c r="AM3341" s="1821"/>
      <c r="AN3341" s="1821"/>
      <c r="AO3341" s="1821"/>
      <c r="AP3341" s="1821"/>
      <c r="AQ3341" s="1821"/>
      <c r="AR3341" s="1821"/>
      <c r="AS3341" s="1821"/>
      <c r="AT3341" s="1821"/>
      <c r="AU3341" s="1821"/>
      <c r="AV3341" s="1821"/>
      <c r="AW3341" s="1821"/>
      <c r="AX3341" s="1821"/>
      <c r="AY3341" s="1821"/>
      <c r="AZ3341" s="1821"/>
      <c r="BA3341" s="1821"/>
      <c r="BB3341" s="1821"/>
      <c r="BC3341" s="1821"/>
      <c r="BD3341" s="1821"/>
      <c r="BE3341" s="1821"/>
      <c r="BF3341" s="1821"/>
      <c r="BG3341" s="1821"/>
      <c r="BH3341" s="1821"/>
      <c r="BI3341" s="1821"/>
      <c r="BJ3341" s="1821"/>
      <c r="BK3341" s="1821"/>
      <c r="BL3341" s="1821"/>
      <c r="BM3341" s="1821"/>
      <c r="BN3341" s="1821"/>
      <c r="BO3341" s="1821"/>
      <c r="BP3341" s="1821"/>
      <c r="BQ3341" s="1821"/>
      <c r="BR3341" s="1821"/>
      <c r="BS3341" s="1821"/>
      <c r="BT3341" s="1821"/>
      <c r="BU3341" s="1821"/>
      <c r="BV3341" s="1821"/>
      <c r="BW3341" s="1821"/>
      <c r="BX3341" s="1821"/>
      <c r="BY3341" s="1821"/>
      <c r="BZ3341" s="1821"/>
      <c r="CA3341" s="1821"/>
      <c r="CB3341" s="1821"/>
      <c r="CC3341" s="1821"/>
      <c r="CD3341" s="1821"/>
      <c r="CE3341" s="1821"/>
      <c r="CF3341" s="1821"/>
      <c r="CG3341" s="1821"/>
      <c r="CH3341" s="1821"/>
      <c r="CI3341" s="1821"/>
      <c r="CJ3341" s="1821"/>
      <c r="CK3341" s="1821"/>
    </row>
    <row r="3342" spans="1:89" s="675" customFormat="1" ht="16.5" customHeight="1" x14ac:dyDescent="0.25">
      <c r="A3342" s="697"/>
      <c r="B3342" s="1002" t="s">
        <v>340</v>
      </c>
      <c r="C3342" s="1007">
        <f>SUM(O3343:O3362)</f>
        <v>1112700</v>
      </c>
      <c r="D3342" s="1005"/>
      <c r="E3342" s="1006"/>
      <c r="F3342" s="700"/>
      <c r="G3342" s="700"/>
      <c r="H3342" s="700"/>
      <c r="I3342" s="700">
        <f>C3342*E3342</f>
        <v>0</v>
      </c>
      <c r="J3342" s="700"/>
      <c r="K3342" s="700">
        <f t="shared" si="339"/>
        <v>0</v>
      </c>
      <c r="L3342" s="700"/>
      <c r="M3342" s="700"/>
      <c r="N3342" s="700"/>
      <c r="O3342" s="974">
        <f t="shared" si="341"/>
        <v>0</v>
      </c>
      <c r="P3342" s="956"/>
      <c r="Q3342" s="1821"/>
      <c r="R3342" s="1821"/>
      <c r="S3342" s="1821"/>
      <c r="T3342" s="1821"/>
      <c r="U3342" s="1821"/>
      <c r="V3342" s="1821"/>
      <c r="W3342" s="1821"/>
      <c r="X3342" s="1821"/>
      <c r="Y3342" s="1821"/>
      <c r="Z3342" s="1821"/>
      <c r="AA3342" s="1821"/>
      <c r="AB3342" s="1821"/>
      <c r="AC3342" s="1821"/>
      <c r="AD3342" s="1821"/>
      <c r="AE3342" s="1821"/>
      <c r="AF3342" s="1821"/>
      <c r="AG3342" s="1821"/>
      <c r="AH3342" s="1821"/>
      <c r="AI3342" s="1821"/>
      <c r="AJ3342" s="1821"/>
      <c r="AK3342" s="1821"/>
      <c r="AL3342" s="1821"/>
      <c r="AM3342" s="1821"/>
      <c r="AN3342" s="1821"/>
      <c r="AO3342" s="1821"/>
      <c r="AP3342" s="1821"/>
      <c r="AQ3342" s="1821"/>
      <c r="AR3342" s="1821"/>
      <c r="AS3342" s="1821"/>
      <c r="AT3342" s="1821"/>
      <c r="AU3342" s="1821"/>
      <c r="AV3342" s="1821"/>
      <c r="AW3342" s="1821"/>
      <c r="AX3342" s="1821"/>
      <c r="AY3342" s="1821"/>
      <c r="AZ3342" s="1821"/>
      <c r="BA3342" s="1821"/>
      <c r="BB3342" s="1821"/>
      <c r="BC3342" s="1821"/>
      <c r="BD3342" s="1821"/>
      <c r="BE3342" s="1821"/>
      <c r="BF3342" s="1821"/>
      <c r="BG3342" s="1821"/>
      <c r="BH3342" s="1821"/>
      <c r="BI3342" s="1821"/>
      <c r="BJ3342" s="1821"/>
      <c r="BK3342" s="1821"/>
      <c r="BL3342" s="1821"/>
      <c r="BM3342" s="1821"/>
      <c r="BN3342" s="1821"/>
      <c r="BO3342" s="1821"/>
      <c r="BP3342" s="1821"/>
      <c r="BQ3342" s="1821"/>
      <c r="BR3342" s="1821"/>
      <c r="BS3342" s="1821"/>
      <c r="BT3342" s="1821"/>
      <c r="BU3342" s="1821"/>
      <c r="BV3342" s="1821"/>
      <c r="BW3342" s="1821"/>
      <c r="BX3342" s="1821"/>
      <c r="BY3342" s="1821"/>
      <c r="BZ3342" s="1821"/>
      <c r="CA3342" s="1821"/>
      <c r="CB3342" s="1821"/>
      <c r="CC3342" s="1821"/>
      <c r="CD3342" s="1821"/>
      <c r="CE3342" s="1821"/>
      <c r="CF3342" s="1821"/>
      <c r="CG3342" s="1821"/>
      <c r="CH3342" s="1821"/>
      <c r="CI3342" s="1821"/>
      <c r="CJ3342" s="1821"/>
      <c r="CK3342" s="1821"/>
    </row>
    <row r="3343" spans="1:89" s="675" customFormat="1" ht="16.5" customHeight="1" x14ac:dyDescent="0.25">
      <c r="A3343" s="697"/>
      <c r="B3343" s="1002" t="s">
        <v>1208</v>
      </c>
      <c r="C3343" s="1007">
        <v>1</v>
      </c>
      <c r="D3343" s="1005" t="s">
        <v>294</v>
      </c>
      <c r="E3343" s="1006">
        <v>175000</v>
      </c>
      <c r="F3343" s="700"/>
      <c r="G3343" s="700"/>
      <c r="H3343" s="700"/>
      <c r="I3343" s="700">
        <f>C3343*E3343</f>
        <v>175000</v>
      </c>
      <c r="J3343" s="700"/>
      <c r="K3343" s="700">
        <f t="shared" si="339"/>
        <v>175000</v>
      </c>
      <c r="L3343" s="700"/>
      <c r="M3343" s="700"/>
      <c r="N3343" s="700"/>
      <c r="O3343" s="974">
        <f t="shared" si="341"/>
        <v>175000</v>
      </c>
      <c r="P3343" s="956"/>
      <c r="Q3343" s="1821"/>
      <c r="R3343" s="1821"/>
      <c r="S3343" s="1821"/>
      <c r="T3343" s="1821"/>
      <c r="U3343" s="1821"/>
      <c r="V3343" s="1821"/>
      <c r="W3343" s="1821"/>
      <c r="X3343" s="1821"/>
      <c r="Y3343" s="1821"/>
      <c r="Z3343" s="1821"/>
      <c r="AA3343" s="1821"/>
      <c r="AB3343" s="1821"/>
      <c r="AC3343" s="1821"/>
      <c r="AD3343" s="1821"/>
      <c r="AE3343" s="1821"/>
      <c r="AF3343" s="1821"/>
      <c r="AG3343" s="1821"/>
      <c r="AH3343" s="1821"/>
      <c r="AI3343" s="1821"/>
      <c r="AJ3343" s="1821"/>
      <c r="AK3343" s="1821"/>
      <c r="AL3343" s="1821"/>
      <c r="AM3343" s="1821"/>
      <c r="AN3343" s="1821"/>
      <c r="AO3343" s="1821"/>
      <c r="AP3343" s="1821"/>
      <c r="AQ3343" s="1821"/>
      <c r="AR3343" s="1821"/>
      <c r="AS3343" s="1821"/>
      <c r="AT3343" s="1821"/>
      <c r="AU3343" s="1821"/>
      <c r="AV3343" s="1821"/>
      <c r="AW3343" s="1821"/>
      <c r="AX3343" s="1821"/>
      <c r="AY3343" s="1821"/>
      <c r="AZ3343" s="1821"/>
      <c r="BA3343" s="1821"/>
      <c r="BB3343" s="1821"/>
      <c r="BC3343" s="1821"/>
      <c r="BD3343" s="1821"/>
      <c r="BE3343" s="1821"/>
      <c r="BF3343" s="1821"/>
      <c r="BG3343" s="1821"/>
      <c r="BH3343" s="1821"/>
      <c r="BI3343" s="1821"/>
      <c r="BJ3343" s="1821"/>
      <c r="BK3343" s="1821"/>
      <c r="BL3343" s="1821"/>
      <c r="BM3343" s="1821"/>
      <c r="BN3343" s="1821"/>
      <c r="BO3343" s="1821"/>
      <c r="BP3343" s="1821"/>
      <c r="BQ3343" s="1821"/>
      <c r="BR3343" s="1821"/>
      <c r="BS3343" s="1821"/>
      <c r="BT3343" s="1821"/>
      <c r="BU3343" s="1821"/>
      <c r="BV3343" s="1821"/>
      <c r="BW3343" s="1821"/>
      <c r="BX3343" s="1821"/>
      <c r="BY3343" s="1821"/>
      <c r="BZ3343" s="1821"/>
      <c r="CA3343" s="1821"/>
      <c r="CB3343" s="1821"/>
      <c r="CC3343" s="1821"/>
      <c r="CD3343" s="1821"/>
      <c r="CE3343" s="1821"/>
      <c r="CF3343" s="1821"/>
      <c r="CG3343" s="1821"/>
      <c r="CH3343" s="1821"/>
      <c r="CI3343" s="1821"/>
      <c r="CJ3343" s="1821"/>
      <c r="CK3343" s="1821"/>
    </row>
    <row r="3344" spans="1:89" s="675" customFormat="1" ht="16.5" customHeight="1" x14ac:dyDescent="0.25">
      <c r="A3344" s="697"/>
      <c r="B3344" s="1002" t="s">
        <v>57</v>
      </c>
      <c r="C3344" s="1007"/>
      <c r="D3344" s="1005"/>
      <c r="E3344" s="1006"/>
      <c r="F3344" s="700"/>
      <c r="G3344" s="700"/>
      <c r="H3344" s="700">
        <f>G3344+F3344</f>
        <v>0</v>
      </c>
      <c r="I3344" s="700"/>
      <c r="J3344" s="700"/>
      <c r="K3344" s="700">
        <f t="shared" si="339"/>
        <v>0</v>
      </c>
      <c r="L3344" s="700"/>
      <c r="M3344" s="700"/>
      <c r="N3344" s="700">
        <f t="shared" si="340"/>
        <v>0</v>
      </c>
      <c r="O3344" s="974">
        <f t="shared" si="341"/>
        <v>0</v>
      </c>
      <c r="P3344" s="956"/>
      <c r="Q3344" s="1821"/>
      <c r="R3344" s="1821"/>
      <c r="S3344" s="1821"/>
      <c r="T3344" s="1821"/>
      <c r="U3344" s="1821"/>
      <c r="V3344" s="1821"/>
      <c r="W3344" s="1821"/>
      <c r="X3344" s="1821"/>
      <c r="Y3344" s="1821"/>
      <c r="Z3344" s="1821"/>
      <c r="AA3344" s="1821"/>
      <c r="AB3344" s="1821"/>
      <c r="AC3344" s="1821"/>
      <c r="AD3344" s="1821"/>
      <c r="AE3344" s="1821"/>
      <c r="AF3344" s="1821"/>
      <c r="AG3344" s="1821"/>
      <c r="AH3344" s="1821"/>
      <c r="AI3344" s="1821"/>
      <c r="AJ3344" s="1821"/>
      <c r="AK3344" s="1821"/>
      <c r="AL3344" s="1821"/>
      <c r="AM3344" s="1821"/>
      <c r="AN3344" s="1821"/>
      <c r="AO3344" s="1821"/>
      <c r="AP3344" s="1821"/>
      <c r="AQ3344" s="1821"/>
      <c r="AR3344" s="1821"/>
      <c r="AS3344" s="1821"/>
      <c r="AT3344" s="1821"/>
      <c r="AU3344" s="1821"/>
      <c r="AV3344" s="1821"/>
      <c r="AW3344" s="1821"/>
      <c r="AX3344" s="1821"/>
      <c r="AY3344" s="1821"/>
      <c r="AZ3344" s="1821"/>
      <c r="BA3344" s="1821"/>
      <c r="BB3344" s="1821"/>
      <c r="BC3344" s="1821"/>
      <c r="BD3344" s="1821"/>
      <c r="BE3344" s="1821"/>
      <c r="BF3344" s="1821"/>
      <c r="BG3344" s="1821"/>
      <c r="BH3344" s="1821"/>
      <c r="BI3344" s="1821"/>
      <c r="BJ3344" s="1821"/>
      <c r="BK3344" s="1821"/>
      <c r="BL3344" s="1821"/>
      <c r="BM3344" s="1821"/>
      <c r="BN3344" s="1821"/>
      <c r="BO3344" s="1821"/>
      <c r="BP3344" s="1821"/>
      <c r="BQ3344" s="1821"/>
      <c r="BR3344" s="1821"/>
      <c r="BS3344" s="1821"/>
      <c r="BT3344" s="1821"/>
      <c r="BU3344" s="1821"/>
      <c r="BV3344" s="1821"/>
      <c r="BW3344" s="1821"/>
      <c r="BX3344" s="1821"/>
      <c r="BY3344" s="1821"/>
      <c r="BZ3344" s="1821"/>
      <c r="CA3344" s="1821"/>
      <c r="CB3344" s="1821"/>
      <c r="CC3344" s="1821"/>
      <c r="CD3344" s="1821"/>
      <c r="CE3344" s="1821"/>
      <c r="CF3344" s="1821"/>
      <c r="CG3344" s="1821"/>
      <c r="CH3344" s="1821"/>
      <c r="CI3344" s="1821"/>
      <c r="CJ3344" s="1821"/>
      <c r="CK3344" s="1821"/>
    </row>
    <row r="3345" spans="1:89" s="675" customFormat="1" ht="16.5" customHeight="1" x14ac:dyDescent="0.25">
      <c r="A3345" s="697">
        <v>1</v>
      </c>
      <c r="B3345" s="1002" t="s">
        <v>1209</v>
      </c>
      <c r="C3345" s="1007">
        <v>20</v>
      </c>
      <c r="D3345" s="1005" t="s">
        <v>76</v>
      </c>
      <c r="E3345" s="1006">
        <v>910</v>
      </c>
      <c r="F3345" s="700"/>
      <c r="G3345" s="700"/>
      <c r="H3345" s="700">
        <f>G3345+F3345</f>
        <v>0</v>
      </c>
      <c r="I3345" s="700"/>
      <c r="J3345" s="700"/>
      <c r="K3345" s="700">
        <f t="shared" si="339"/>
        <v>0</v>
      </c>
      <c r="L3345" s="700">
        <f>C3345*E3345</f>
        <v>18200</v>
      </c>
      <c r="M3345" s="700"/>
      <c r="N3345" s="700">
        <f t="shared" si="340"/>
        <v>18200</v>
      </c>
      <c r="O3345" s="974">
        <f t="shared" si="341"/>
        <v>18200</v>
      </c>
      <c r="P3345" s="956"/>
      <c r="Q3345" s="1821"/>
      <c r="R3345" s="1821"/>
      <c r="S3345" s="1821"/>
      <c r="T3345" s="1821"/>
      <c r="U3345" s="1821"/>
      <c r="V3345" s="1821"/>
      <c r="W3345" s="1821"/>
      <c r="X3345" s="1821"/>
      <c r="Y3345" s="1821"/>
      <c r="Z3345" s="1821"/>
      <c r="AA3345" s="1821"/>
      <c r="AB3345" s="1821"/>
      <c r="AC3345" s="1821"/>
      <c r="AD3345" s="1821"/>
      <c r="AE3345" s="1821"/>
      <c r="AF3345" s="1821"/>
      <c r="AG3345" s="1821"/>
      <c r="AH3345" s="1821"/>
      <c r="AI3345" s="1821"/>
      <c r="AJ3345" s="1821"/>
      <c r="AK3345" s="1821"/>
      <c r="AL3345" s="1821"/>
      <c r="AM3345" s="1821"/>
      <c r="AN3345" s="1821"/>
      <c r="AO3345" s="1821"/>
      <c r="AP3345" s="1821"/>
      <c r="AQ3345" s="1821"/>
      <c r="AR3345" s="1821"/>
      <c r="AS3345" s="1821"/>
      <c r="AT3345" s="1821"/>
      <c r="AU3345" s="1821"/>
      <c r="AV3345" s="1821"/>
      <c r="AW3345" s="1821"/>
      <c r="AX3345" s="1821"/>
      <c r="AY3345" s="1821"/>
      <c r="AZ3345" s="1821"/>
      <c r="BA3345" s="1821"/>
      <c r="BB3345" s="1821"/>
      <c r="BC3345" s="1821"/>
      <c r="BD3345" s="1821"/>
      <c r="BE3345" s="1821"/>
      <c r="BF3345" s="1821"/>
      <c r="BG3345" s="1821"/>
      <c r="BH3345" s="1821"/>
      <c r="BI3345" s="1821"/>
      <c r="BJ3345" s="1821"/>
      <c r="BK3345" s="1821"/>
      <c r="BL3345" s="1821"/>
      <c r="BM3345" s="1821"/>
      <c r="BN3345" s="1821"/>
      <c r="BO3345" s="1821"/>
      <c r="BP3345" s="1821"/>
      <c r="BQ3345" s="1821"/>
      <c r="BR3345" s="1821"/>
      <c r="BS3345" s="1821"/>
      <c r="BT3345" s="1821"/>
      <c r="BU3345" s="1821"/>
      <c r="BV3345" s="1821"/>
      <c r="BW3345" s="1821"/>
      <c r="BX3345" s="1821"/>
      <c r="BY3345" s="1821"/>
      <c r="BZ3345" s="1821"/>
      <c r="CA3345" s="1821"/>
      <c r="CB3345" s="1821"/>
      <c r="CC3345" s="1821"/>
      <c r="CD3345" s="1821"/>
      <c r="CE3345" s="1821"/>
      <c r="CF3345" s="1821"/>
      <c r="CG3345" s="1821"/>
      <c r="CH3345" s="1821"/>
      <c r="CI3345" s="1821"/>
      <c r="CJ3345" s="1821"/>
      <c r="CK3345" s="1821"/>
    </row>
    <row r="3346" spans="1:89" s="675" customFormat="1" ht="16.5" customHeight="1" x14ac:dyDescent="0.25">
      <c r="A3346" s="697">
        <v>2</v>
      </c>
      <c r="B3346" s="1002" t="s">
        <v>1210</v>
      </c>
      <c r="C3346" s="1007">
        <v>3</v>
      </c>
      <c r="D3346" s="1005" t="s">
        <v>76</v>
      </c>
      <c r="E3346" s="1006">
        <v>15000</v>
      </c>
      <c r="F3346" s="700"/>
      <c r="G3346" s="700"/>
      <c r="H3346" s="700"/>
      <c r="I3346" s="700"/>
      <c r="J3346" s="700"/>
      <c r="K3346" s="700"/>
      <c r="L3346" s="700">
        <f t="shared" ref="L3346:L3360" si="343">C3346*E3346</f>
        <v>45000</v>
      </c>
      <c r="M3346" s="700"/>
      <c r="N3346" s="700">
        <f t="shared" si="340"/>
        <v>45000</v>
      </c>
      <c r="O3346" s="974">
        <f t="shared" si="341"/>
        <v>45000</v>
      </c>
      <c r="P3346" s="956"/>
      <c r="Q3346" s="1821"/>
      <c r="R3346" s="1821"/>
      <c r="S3346" s="1821"/>
      <c r="T3346" s="1821"/>
      <c r="U3346" s="1821"/>
      <c r="V3346" s="1821"/>
      <c r="W3346" s="1821"/>
      <c r="X3346" s="1821"/>
      <c r="Y3346" s="1821"/>
      <c r="Z3346" s="1821"/>
      <c r="AA3346" s="1821"/>
      <c r="AB3346" s="1821"/>
      <c r="AC3346" s="1821"/>
      <c r="AD3346" s="1821"/>
      <c r="AE3346" s="1821"/>
      <c r="AF3346" s="1821"/>
      <c r="AG3346" s="1821"/>
      <c r="AH3346" s="1821"/>
      <c r="AI3346" s="1821"/>
      <c r="AJ3346" s="1821"/>
      <c r="AK3346" s="1821"/>
      <c r="AL3346" s="1821"/>
      <c r="AM3346" s="1821"/>
      <c r="AN3346" s="1821"/>
      <c r="AO3346" s="1821"/>
      <c r="AP3346" s="1821"/>
      <c r="AQ3346" s="1821"/>
      <c r="AR3346" s="1821"/>
      <c r="AS3346" s="1821"/>
      <c r="AT3346" s="1821"/>
      <c r="AU3346" s="1821"/>
      <c r="AV3346" s="1821"/>
      <c r="AW3346" s="1821"/>
      <c r="AX3346" s="1821"/>
      <c r="AY3346" s="1821"/>
      <c r="AZ3346" s="1821"/>
      <c r="BA3346" s="1821"/>
      <c r="BB3346" s="1821"/>
      <c r="BC3346" s="1821"/>
      <c r="BD3346" s="1821"/>
      <c r="BE3346" s="1821"/>
      <c r="BF3346" s="1821"/>
      <c r="BG3346" s="1821"/>
      <c r="BH3346" s="1821"/>
      <c r="BI3346" s="1821"/>
      <c r="BJ3346" s="1821"/>
      <c r="BK3346" s="1821"/>
      <c r="BL3346" s="1821"/>
      <c r="BM3346" s="1821"/>
      <c r="BN3346" s="1821"/>
      <c r="BO3346" s="1821"/>
      <c r="BP3346" s="1821"/>
      <c r="BQ3346" s="1821"/>
      <c r="BR3346" s="1821"/>
      <c r="BS3346" s="1821"/>
      <c r="BT3346" s="1821"/>
      <c r="BU3346" s="1821"/>
      <c r="BV3346" s="1821"/>
      <c r="BW3346" s="1821"/>
      <c r="BX3346" s="1821"/>
      <c r="BY3346" s="1821"/>
      <c r="BZ3346" s="1821"/>
      <c r="CA3346" s="1821"/>
      <c r="CB3346" s="1821"/>
      <c r="CC3346" s="1821"/>
      <c r="CD3346" s="1821"/>
      <c r="CE3346" s="1821"/>
      <c r="CF3346" s="1821"/>
      <c r="CG3346" s="1821"/>
      <c r="CH3346" s="1821"/>
      <c r="CI3346" s="1821"/>
      <c r="CJ3346" s="1821"/>
      <c r="CK3346" s="1821"/>
    </row>
    <row r="3347" spans="1:89" s="675" customFormat="1" ht="16.5" customHeight="1" x14ac:dyDescent="0.25">
      <c r="A3347" s="697">
        <v>3</v>
      </c>
      <c r="B3347" s="1002" t="s">
        <v>1211</v>
      </c>
      <c r="C3347" s="1007">
        <v>3</v>
      </c>
      <c r="D3347" s="1005" t="s">
        <v>76</v>
      </c>
      <c r="E3347" s="1006">
        <v>3000</v>
      </c>
      <c r="F3347" s="700"/>
      <c r="G3347" s="700"/>
      <c r="H3347" s="700"/>
      <c r="I3347" s="700"/>
      <c r="J3347" s="700"/>
      <c r="K3347" s="700"/>
      <c r="L3347" s="700">
        <f t="shared" si="343"/>
        <v>9000</v>
      </c>
      <c r="M3347" s="700"/>
      <c r="N3347" s="700">
        <f t="shared" si="340"/>
        <v>9000</v>
      </c>
      <c r="O3347" s="974">
        <f t="shared" si="341"/>
        <v>9000</v>
      </c>
      <c r="P3347" s="956"/>
      <c r="Q3347" s="1821"/>
      <c r="R3347" s="1821"/>
      <c r="S3347" s="1821"/>
      <c r="T3347" s="1821"/>
      <c r="U3347" s="1821"/>
      <c r="V3347" s="1821"/>
      <c r="W3347" s="1821"/>
      <c r="X3347" s="1821"/>
      <c r="Y3347" s="1821"/>
      <c r="Z3347" s="1821"/>
      <c r="AA3347" s="1821"/>
      <c r="AB3347" s="1821"/>
      <c r="AC3347" s="1821"/>
      <c r="AD3347" s="1821"/>
      <c r="AE3347" s="1821"/>
      <c r="AF3347" s="1821"/>
      <c r="AG3347" s="1821"/>
      <c r="AH3347" s="1821"/>
      <c r="AI3347" s="1821"/>
      <c r="AJ3347" s="1821"/>
      <c r="AK3347" s="1821"/>
      <c r="AL3347" s="1821"/>
      <c r="AM3347" s="1821"/>
      <c r="AN3347" s="1821"/>
      <c r="AO3347" s="1821"/>
      <c r="AP3347" s="1821"/>
      <c r="AQ3347" s="1821"/>
      <c r="AR3347" s="1821"/>
      <c r="AS3347" s="1821"/>
      <c r="AT3347" s="1821"/>
      <c r="AU3347" s="1821"/>
      <c r="AV3347" s="1821"/>
      <c r="AW3347" s="1821"/>
      <c r="AX3347" s="1821"/>
      <c r="AY3347" s="1821"/>
      <c r="AZ3347" s="1821"/>
      <c r="BA3347" s="1821"/>
      <c r="BB3347" s="1821"/>
      <c r="BC3347" s="1821"/>
      <c r="BD3347" s="1821"/>
      <c r="BE3347" s="1821"/>
      <c r="BF3347" s="1821"/>
      <c r="BG3347" s="1821"/>
      <c r="BH3347" s="1821"/>
      <c r="BI3347" s="1821"/>
      <c r="BJ3347" s="1821"/>
      <c r="BK3347" s="1821"/>
      <c r="BL3347" s="1821"/>
      <c r="BM3347" s="1821"/>
      <c r="BN3347" s="1821"/>
      <c r="BO3347" s="1821"/>
      <c r="BP3347" s="1821"/>
      <c r="BQ3347" s="1821"/>
      <c r="BR3347" s="1821"/>
      <c r="BS3347" s="1821"/>
      <c r="BT3347" s="1821"/>
      <c r="BU3347" s="1821"/>
      <c r="BV3347" s="1821"/>
      <c r="BW3347" s="1821"/>
      <c r="BX3347" s="1821"/>
      <c r="BY3347" s="1821"/>
      <c r="BZ3347" s="1821"/>
      <c r="CA3347" s="1821"/>
      <c r="CB3347" s="1821"/>
      <c r="CC3347" s="1821"/>
      <c r="CD3347" s="1821"/>
      <c r="CE3347" s="1821"/>
      <c r="CF3347" s="1821"/>
      <c r="CG3347" s="1821"/>
      <c r="CH3347" s="1821"/>
      <c r="CI3347" s="1821"/>
      <c r="CJ3347" s="1821"/>
      <c r="CK3347" s="1821"/>
    </row>
    <row r="3348" spans="1:89" s="675" customFormat="1" ht="16.5" customHeight="1" x14ac:dyDescent="0.25">
      <c r="A3348" s="697">
        <v>4</v>
      </c>
      <c r="B3348" s="1002" t="s">
        <v>1212</v>
      </c>
      <c r="C3348" s="1007">
        <v>3</v>
      </c>
      <c r="D3348" s="1005" t="s">
        <v>76</v>
      </c>
      <c r="E3348" s="1006">
        <v>15000</v>
      </c>
      <c r="F3348" s="700"/>
      <c r="G3348" s="700"/>
      <c r="H3348" s="700"/>
      <c r="I3348" s="700"/>
      <c r="J3348" s="700"/>
      <c r="K3348" s="700"/>
      <c r="L3348" s="700">
        <f t="shared" si="343"/>
        <v>45000</v>
      </c>
      <c r="M3348" s="700"/>
      <c r="N3348" s="700">
        <f t="shared" si="340"/>
        <v>45000</v>
      </c>
      <c r="O3348" s="974">
        <f t="shared" si="341"/>
        <v>45000</v>
      </c>
      <c r="P3348" s="956"/>
      <c r="Q3348" s="1821"/>
      <c r="R3348" s="1821"/>
      <c r="S3348" s="1821"/>
      <c r="T3348" s="1821"/>
      <c r="U3348" s="1821"/>
      <c r="V3348" s="1821"/>
      <c r="W3348" s="1821"/>
      <c r="X3348" s="1821"/>
      <c r="Y3348" s="1821"/>
      <c r="Z3348" s="1821"/>
      <c r="AA3348" s="1821"/>
      <c r="AB3348" s="1821"/>
      <c r="AC3348" s="1821"/>
      <c r="AD3348" s="1821"/>
      <c r="AE3348" s="1821"/>
      <c r="AF3348" s="1821"/>
      <c r="AG3348" s="1821"/>
      <c r="AH3348" s="1821"/>
      <c r="AI3348" s="1821"/>
      <c r="AJ3348" s="1821"/>
      <c r="AK3348" s="1821"/>
      <c r="AL3348" s="1821"/>
      <c r="AM3348" s="1821"/>
      <c r="AN3348" s="1821"/>
      <c r="AO3348" s="1821"/>
      <c r="AP3348" s="1821"/>
      <c r="AQ3348" s="1821"/>
      <c r="AR3348" s="1821"/>
      <c r="AS3348" s="1821"/>
      <c r="AT3348" s="1821"/>
      <c r="AU3348" s="1821"/>
      <c r="AV3348" s="1821"/>
      <c r="AW3348" s="1821"/>
      <c r="AX3348" s="1821"/>
      <c r="AY3348" s="1821"/>
      <c r="AZ3348" s="1821"/>
      <c r="BA3348" s="1821"/>
      <c r="BB3348" s="1821"/>
      <c r="BC3348" s="1821"/>
      <c r="BD3348" s="1821"/>
      <c r="BE3348" s="1821"/>
      <c r="BF3348" s="1821"/>
      <c r="BG3348" s="1821"/>
      <c r="BH3348" s="1821"/>
      <c r="BI3348" s="1821"/>
      <c r="BJ3348" s="1821"/>
      <c r="BK3348" s="1821"/>
      <c r="BL3348" s="1821"/>
      <c r="BM3348" s="1821"/>
      <c r="BN3348" s="1821"/>
      <c r="BO3348" s="1821"/>
      <c r="BP3348" s="1821"/>
      <c r="BQ3348" s="1821"/>
      <c r="BR3348" s="1821"/>
      <c r="BS3348" s="1821"/>
      <c r="BT3348" s="1821"/>
      <c r="BU3348" s="1821"/>
      <c r="BV3348" s="1821"/>
      <c r="BW3348" s="1821"/>
      <c r="BX3348" s="1821"/>
      <c r="BY3348" s="1821"/>
      <c r="BZ3348" s="1821"/>
      <c r="CA3348" s="1821"/>
      <c r="CB3348" s="1821"/>
      <c r="CC3348" s="1821"/>
      <c r="CD3348" s="1821"/>
      <c r="CE3348" s="1821"/>
      <c r="CF3348" s="1821"/>
      <c r="CG3348" s="1821"/>
      <c r="CH3348" s="1821"/>
      <c r="CI3348" s="1821"/>
      <c r="CJ3348" s="1821"/>
      <c r="CK3348" s="1821"/>
    </row>
    <row r="3349" spans="1:89" s="675" customFormat="1" ht="16.5" customHeight="1" x14ac:dyDescent="0.25">
      <c r="A3349" s="697">
        <v>5</v>
      </c>
      <c r="B3349" s="1002" t="s">
        <v>1213</v>
      </c>
      <c r="C3349" s="1007">
        <v>3</v>
      </c>
      <c r="D3349" s="1005" t="s">
        <v>76</v>
      </c>
      <c r="E3349" s="1006">
        <v>5000</v>
      </c>
      <c r="F3349" s="700"/>
      <c r="G3349" s="700"/>
      <c r="H3349" s="700"/>
      <c r="I3349" s="700"/>
      <c r="J3349" s="700"/>
      <c r="K3349" s="700"/>
      <c r="L3349" s="700">
        <f t="shared" si="343"/>
        <v>15000</v>
      </c>
      <c r="M3349" s="700"/>
      <c r="N3349" s="700">
        <f t="shared" si="340"/>
        <v>15000</v>
      </c>
      <c r="O3349" s="974">
        <f t="shared" si="341"/>
        <v>15000</v>
      </c>
      <c r="P3349" s="956"/>
      <c r="Q3349" s="1821"/>
      <c r="R3349" s="1821"/>
      <c r="S3349" s="1821"/>
      <c r="T3349" s="1821"/>
      <c r="U3349" s="1821"/>
      <c r="V3349" s="1821"/>
      <c r="W3349" s="1821"/>
      <c r="X3349" s="1821"/>
      <c r="Y3349" s="1821"/>
      <c r="Z3349" s="1821"/>
      <c r="AA3349" s="1821"/>
      <c r="AB3349" s="1821"/>
      <c r="AC3349" s="1821"/>
      <c r="AD3349" s="1821"/>
      <c r="AE3349" s="1821"/>
      <c r="AF3349" s="1821"/>
      <c r="AG3349" s="1821"/>
      <c r="AH3349" s="1821"/>
      <c r="AI3349" s="1821"/>
      <c r="AJ3349" s="1821"/>
      <c r="AK3349" s="1821"/>
      <c r="AL3349" s="1821"/>
      <c r="AM3349" s="1821"/>
      <c r="AN3349" s="1821"/>
      <c r="AO3349" s="1821"/>
      <c r="AP3349" s="1821"/>
      <c r="AQ3349" s="1821"/>
      <c r="AR3349" s="1821"/>
      <c r="AS3349" s="1821"/>
      <c r="AT3349" s="1821"/>
      <c r="AU3349" s="1821"/>
      <c r="AV3349" s="1821"/>
      <c r="AW3349" s="1821"/>
      <c r="AX3349" s="1821"/>
      <c r="AY3349" s="1821"/>
      <c r="AZ3349" s="1821"/>
      <c r="BA3349" s="1821"/>
      <c r="BB3349" s="1821"/>
      <c r="BC3349" s="1821"/>
      <c r="BD3349" s="1821"/>
      <c r="BE3349" s="1821"/>
      <c r="BF3349" s="1821"/>
      <c r="BG3349" s="1821"/>
      <c r="BH3349" s="1821"/>
      <c r="BI3349" s="1821"/>
      <c r="BJ3349" s="1821"/>
      <c r="BK3349" s="1821"/>
      <c r="BL3349" s="1821"/>
      <c r="BM3349" s="1821"/>
      <c r="BN3349" s="1821"/>
      <c r="BO3349" s="1821"/>
      <c r="BP3349" s="1821"/>
      <c r="BQ3349" s="1821"/>
      <c r="BR3349" s="1821"/>
      <c r="BS3349" s="1821"/>
      <c r="BT3349" s="1821"/>
      <c r="BU3349" s="1821"/>
      <c r="BV3349" s="1821"/>
      <c r="BW3349" s="1821"/>
      <c r="BX3349" s="1821"/>
      <c r="BY3349" s="1821"/>
      <c r="BZ3349" s="1821"/>
      <c r="CA3349" s="1821"/>
      <c r="CB3349" s="1821"/>
      <c r="CC3349" s="1821"/>
      <c r="CD3349" s="1821"/>
      <c r="CE3349" s="1821"/>
      <c r="CF3349" s="1821"/>
      <c r="CG3349" s="1821"/>
      <c r="CH3349" s="1821"/>
      <c r="CI3349" s="1821"/>
      <c r="CJ3349" s="1821"/>
      <c r="CK3349" s="1821"/>
    </row>
    <row r="3350" spans="1:89" s="675" customFormat="1" ht="16.5" customHeight="1" x14ac:dyDescent="0.25">
      <c r="A3350" s="697">
        <v>6</v>
      </c>
      <c r="B3350" s="1002" t="s">
        <v>1214</v>
      </c>
      <c r="C3350" s="1007">
        <v>6</v>
      </c>
      <c r="D3350" s="1005" t="s">
        <v>76</v>
      </c>
      <c r="E3350" s="1006">
        <v>3000</v>
      </c>
      <c r="F3350" s="700"/>
      <c r="G3350" s="700"/>
      <c r="H3350" s="700"/>
      <c r="I3350" s="700"/>
      <c r="J3350" s="700"/>
      <c r="K3350" s="700"/>
      <c r="L3350" s="700">
        <f t="shared" si="343"/>
        <v>18000</v>
      </c>
      <c r="M3350" s="700"/>
      <c r="N3350" s="700">
        <f t="shared" si="340"/>
        <v>18000</v>
      </c>
      <c r="O3350" s="974">
        <f t="shared" si="341"/>
        <v>18000</v>
      </c>
      <c r="P3350" s="956"/>
      <c r="Q3350" s="1821"/>
      <c r="R3350" s="1821"/>
      <c r="S3350" s="1821"/>
      <c r="T3350" s="1821"/>
      <c r="U3350" s="1821"/>
      <c r="V3350" s="1821"/>
      <c r="W3350" s="1821"/>
      <c r="X3350" s="1821"/>
      <c r="Y3350" s="1821"/>
      <c r="Z3350" s="1821"/>
      <c r="AA3350" s="1821"/>
      <c r="AB3350" s="1821"/>
      <c r="AC3350" s="1821"/>
      <c r="AD3350" s="1821"/>
      <c r="AE3350" s="1821"/>
      <c r="AF3350" s="1821"/>
      <c r="AG3350" s="1821"/>
      <c r="AH3350" s="1821"/>
      <c r="AI3350" s="1821"/>
      <c r="AJ3350" s="1821"/>
      <c r="AK3350" s="1821"/>
      <c r="AL3350" s="1821"/>
      <c r="AM3350" s="1821"/>
      <c r="AN3350" s="1821"/>
      <c r="AO3350" s="1821"/>
      <c r="AP3350" s="1821"/>
      <c r="AQ3350" s="1821"/>
      <c r="AR3350" s="1821"/>
      <c r="AS3350" s="1821"/>
      <c r="AT3350" s="1821"/>
      <c r="AU3350" s="1821"/>
      <c r="AV3350" s="1821"/>
      <c r="AW3350" s="1821"/>
      <c r="AX3350" s="1821"/>
      <c r="AY3350" s="1821"/>
      <c r="AZ3350" s="1821"/>
      <c r="BA3350" s="1821"/>
      <c r="BB3350" s="1821"/>
      <c r="BC3350" s="1821"/>
      <c r="BD3350" s="1821"/>
      <c r="BE3350" s="1821"/>
      <c r="BF3350" s="1821"/>
      <c r="BG3350" s="1821"/>
      <c r="BH3350" s="1821"/>
      <c r="BI3350" s="1821"/>
      <c r="BJ3350" s="1821"/>
      <c r="BK3350" s="1821"/>
      <c r="BL3350" s="1821"/>
      <c r="BM3350" s="1821"/>
      <c r="BN3350" s="1821"/>
      <c r="BO3350" s="1821"/>
      <c r="BP3350" s="1821"/>
      <c r="BQ3350" s="1821"/>
      <c r="BR3350" s="1821"/>
      <c r="BS3350" s="1821"/>
      <c r="BT3350" s="1821"/>
      <c r="BU3350" s="1821"/>
      <c r="BV3350" s="1821"/>
      <c r="BW3350" s="1821"/>
      <c r="BX3350" s="1821"/>
      <c r="BY3350" s="1821"/>
      <c r="BZ3350" s="1821"/>
      <c r="CA3350" s="1821"/>
      <c r="CB3350" s="1821"/>
      <c r="CC3350" s="1821"/>
      <c r="CD3350" s="1821"/>
      <c r="CE3350" s="1821"/>
      <c r="CF3350" s="1821"/>
      <c r="CG3350" s="1821"/>
      <c r="CH3350" s="1821"/>
      <c r="CI3350" s="1821"/>
      <c r="CJ3350" s="1821"/>
      <c r="CK3350" s="1821"/>
    </row>
    <row r="3351" spans="1:89" s="675" customFormat="1" ht="16.5" customHeight="1" x14ac:dyDescent="0.25">
      <c r="A3351" s="697">
        <v>7</v>
      </c>
      <c r="B3351" s="1002" t="s">
        <v>1215</v>
      </c>
      <c r="C3351" s="1007">
        <v>50</v>
      </c>
      <c r="D3351" s="1005" t="s">
        <v>1216</v>
      </c>
      <c r="E3351" s="1006">
        <v>3000</v>
      </c>
      <c r="F3351" s="700"/>
      <c r="G3351" s="700"/>
      <c r="H3351" s="700"/>
      <c r="I3351" s="700"/>
      <c r="J3351" s="700"/>
      <c r="K3351" s="700"/>
      <c r="L3351" s="700">
        <f t="shared" si="343"/>
        <v>150000</v>
      </c>
      <c r="M3351" s="700"/>
      <c r="N3351" s="700">
        <f t="shared" si="340"/>
        <v>150000</v>
      </c>
      <c r="O3351" s="974">
        <f t="shared" si="341"/>
        <v>150000</v>
      </c>
      <c r="P3351" s="956"/>
      <c r="Q3351" s="1821"/>
      <c r="R3351" s="1821"/>
      <c r="S3351" s="1821"/>
      <c r="T3351" s="1821"/>
      <c r="U3351" s="1821"/>
      <c r="V3351" s="1821"/>
      <c r="W3351" s="1821"/>
      <c r="X3351" s="1821"/>
      <c r="Y3351" s="1821"/>
      <c r="Z3351" s="1821"/>
      <c r="AA3351" s="1821"/>
      <c r="AB3351" s="1821"/>
      <c r="AC3351" s="1821"/>
      <c r="AD3351" s="1821"/>
      <c r="AE3351" s="1821"/>
      <c r="AF3351" s="1821"/>
      <c r="AG3351" s="1821"/>
      <c r="AH3351" s="1821"/>
      <c r="AI3351" s="1821"/>
      <c r="AJ3351" s="1821"/>
      <c r="AK3351" s="1821"/>
      <c r="AL3351" s="1821"/>
      <c r="AM3351" s="1821"/>
      <c r="AN3351" s="1821"/>
      <c r="AO3351" s="1821"/>
      <c r="AP3351" s="1821"/>
      <c r="AQ3351" s="1821"/>
      <c r="AR3351" s="1821"/>
      <c r="AS3351" s="1821"/>
      <c r="AT3351" s="1821"/>
      <c r="AU3351" s="1821"/>
      <c r="AV3351" s="1821"/>
      <c r="AW3351" s="1821"/>
      <c r="AX3351" s="1821"/>
      <c r="AY3351" s="1821"/>
      <c r="AZ3351" s="1821"/>
      <c r="BA3351" s="1821"/>
      <c r="BB3351" s="1821"/>
      <c r="BC3351" s="1821"/>
      <c r="BD3351" s="1821"/>
      <c r="BE3351" s="1821"/>
      <c r="BF3351" s="1821"/>
      <c r="BG3351" s="1821"/>
      <c r="BH3351" s="1821"/>
      <c r="BI3351" s="1821"/>
      <c r="BJ3351" s="1821"/>
      <c r="BK3351" s="1821"/>
      <c r="BL3351" s="1821"/>
      <c r="BM3351" s="1821"/>
      <c r="BN3351" s="1821"/>
      <c r="BO3351" s="1821"/>
      <c r="BP3351" s="1821"/>
      <c r="BQ3351" s="1821"/>
      <c r="BR3351" s="1821"/>
      <c r="BS3351" s="1821"/>
      <c r="BT3351" s="1821"/>
      <c r="BU3351" s="1821"/>
      <c r="BV3351" s="1821"/>
      <c r="BW3351" s="1821"/>
      <c r="BX3351" s="1821"/>
      <c r="BY3351" s="1821"/>
      <c r="BZ3351" s="1821"/>
      <c r="CA3351" s="1821"/>
      <c r="CB3351" s="1821"/>
      <c r="CC3351" s="1821"/>
      <c r="CD3351" s="1821"/>
      <c r="CE3351" s="1821"/>
      <c r="CF3351" s="1821"/>
      <c r="CG3351" s="1821"/>
      <c r="CH3351" s="1821"/>
      <c r="CI3351" s="1821"/>
      <c r="CJ3351" s="1821"/>
      <c r="CK3351" s="1821"/>
    </row>
    <row r="3352" spans="1:89" s="675" customFormat="1" ht="16.5" customHeight="1" x14ac:dyDescent="0.25">
      <c r="A3352" s="697">
        <v>8</v>
      </c>
      <c r="B3352" s="1002" t="s">
        <v>1217</v>
      </c>
      <c r="C3352" s="1007">
        <v>5</v>
      </c>
      <c r="D3352" s="1005" t="s">
        <v>76</v>
      </c>
      <c r="E3352" s="1006">
        <v>12000</v>
      </c>
      <c r="F3352" s="700"/>
      <c r="G3352" s="700"/>
      <c r="H3352" s="700">
        <f>G3352+F3352</f>
        <v>0</v>
      </c>
      <c r="I3352" s="700"/>
      <c r="J3352" s="700"/>
      <c r="K3352" s="700">
        <f t="shared" si="339"/>
        <v>0</v>
      </c>
      <c r="L3352" s="700">
        <f t="shared" si="343"/>
        <v>60000</v>
      </c>
      <c r="M3352" s="700"/>
      <c r="N3352" s="700">
        <f t="shared" si="340"/>
        <v>60000</v>
      </c>
      <c r="O3352" s="974">
        <f t="shared" si="341"/>
        <v>60000</v>
      </c>
      <c r="P3352" s="956"/>
      <c r="Q3352" s="1821"/>
      <c r="R3352" s="1821"/>
      <c r="S3352" s="1821"/>
      <c r="T3352" s="1821"/>
      <c r="U3352" s="1821"/>
      <c r="V3352" s="1821"/>
      <c r="W3352" s="1821"/>
      <c r="X3352" s="1821"/>
      <c r="Y3352" s="1821"/>
      <c r="Z3352" s="1821"/>
      <c r="AA3352" s="1821"/>
      <c r="AB3352" s="1821"/>
      <c r="AC3352" s="1821"/>
      <c r="AD3352" s="1821"/>
      <c r="AE3352" s="1821"/>
      <c r="AF3352" s="1821"/>
      <c r="AG3352" s="1821"/>
      <c r="AH3352" s="1821"/>
      <c r="AI3352" s="1821"/>
      <c r="AJ3352" s="1821"/>
      <c r="AK3352" s="1821"/>
      <c r="AL3352" s="1821"/>
      <c r="AM3352" s="1821"/>
      <c r="AN3352" s="1821"/>
      <c r="AO3352" s="1821"/>
      <c r="AP3352" s="1821"/>
      <c r="AQ3352" s="1821"/>
      <c r="AR3352" s="1821"/>
      <c r="AS3352" s="1821"/>
      <c r="AT3352" s="1821"/>
      <c r="AU3352" s="1821"/>
      <c r="AV3352" s="1821"/>
      <c r="AW3352" s="1821"/>
      <c r="AX3352" s="1821"/>
      <c r="AY3352" s="1821"/>
      <c r="AZ3352" s="1821"/>
      <c r="BA3352" s="1821"/>
      <c r="BB3352" s="1821"/>
      <c r="BC3352" s="1821"/>
      <c r="BD3352" s="1821"/>
      <c r="BE3352" s="1821"/>
      <c r="BF3352" s="1821"/>
      <c r="BG3352" s="1821"/>
      <c r="BH3352" s="1821"/>
      <c r="BI3352" s="1821"/>
      <c r="BJ3352" s="1821"/>
      <c r="BK3352" s="1821"/>
      <c r="BL3352" s="1821"/>
      <c r="BM3352" s="1821"/>
      <c r="BN3352" s="1821"/>
      <c r="BO3352" s="1821"/>
      <c r="BP3352" s="1821"/>
      <c r="BQ3352" s="1821"/>
      <c r="BR3352" s="1821"/>
      <c r="BS3352" s="1821"/>
      <c r="BT3352" s="1821"/>
      <c r="BU3352" s="1821"/>
      <c r="BV3352" s="1821"/>
      <c r="BW3352" s="1821"/>
      <c r="BX3352" s="1821"/>
      <c r="BY3352" s="1821"/>
      <c r="BZ3352" s="1821"/>
      <c r="CA3352" s="1821"/>
      <c r="CB3352" s="1821"/>
      <c r="CC3352" s="1821"/>
      <c r="CD3352" s="1821"/>
      <c r="CE3352" s="1821"/>
      <c r="CF3352" s="1821"/>
      <c r="CG3352" s="1821"/>
      <c r="CH3352" s="1821"/>
      <c r="CI3352" s="1821"/>
      <c r="CJ3352" s="1821"/>
      <c r="CK3352" s="1821"/>
    </row>
    <row r="3353" spans="1:89" s="675" customFormat="1" ht="16.5" customHeight="1" x14ac:dyDescent="0.25">
      <c r="A3353" s="697">
        <v>9</v>
      </c>
      <c r="B3353" s="1002" t="s">
        <v>1218</v>
      </c>
      <c r="C3353" s="1007">
        <v>2</v>
      </c>
      <c r="D3353" s="1005" t="s">
        <v>76</v>
      </c>
      <c r="E3353" s="1006">
        <v>15000</v>
      </c>
      <c r="F3353" s="700"/>
      <c r="G3353" s="700"/>
      <c r="H3353" s="700"/>
      <c r="I3353" s="700"/>
      <c r="J3353" s="700"/>
      <c r="K3353" s="700"/>
      <c r="L3353" s="700">
        <f t="shared" si="343"/>
        <v>30000</v>
      </c>
      <c r="M3353" s="700"/>
      <c r="N3353" s="700">
        <f t="shared" si="340"/>
        <v>30000</v>
      </c>
      <c r="O3353" s="974">
        <f t="shared" si="341"/>
        <v>30000</v>
      </c>
      <c r="P3353" s="956"/>
      <c r="Q3353" s="1821"/>
      <c r="R3353" s="1821"/>
      <c r="S3353" s="1821"/>
      <c r="T3353" s="1821"/>
      <c r="U3353" s="1821"/>
      <c r="V3353" s="1821"/>
      <c r="W3353" s="1821"/>
      <c r="X3353" s="1821"/>
      <c r="Y3353" s="1821"/>
      <c r="Z3353" s="1821"/>
      <c r="AA3353" s="1821"/>
      <c r="AB3353" s="1821"/>
      <c r="AC3353" s="1821"/>
      <c r="AD3353" s="1821"/>
      <c r="AE3353" s="1821"/>
      <c r="AF3353" s="1821"/>
      <c r="AG3353" s="1821"/>
      <c r="AH3353" s="1821"/>
      <c r="AI3353" s="1821"/>
      <c r="AJ3353" s="1821"/>
      <c r="AK3353" s="1821"/>
      <c r="AL3353" s="1821"/>
      <c r="AM3353" s="1821"/>
      <c r="AN3353" s="1821"/>
      <c r="AO3353" s="1821"/>
      <c r="AP3353" s="1821"/>
      <c r="AQ3353" s="1821"/>
      <c r="AR3353" s="1821"/>
      <c r="AS3353" s="1821"/>
      <c r="AT3353" s="1821"/>
      <c r="AU3353" s="1821"/>
      <c r="AV3353" s="1821"/>
      <c r="AW3353" s="1821"/>
      <c r="AX3353" s="1821"/>
      <c r="AY3353" s="1821"/>
      <c r="AZ3353" s="1821"/>
      <c r="BA3353" s="1821"/>
      <c r="BB3353" s="1821"/>
      <c r="BC3353" s="1821"/>
      <c r="BD3353" s="1821"/>
      <c r="BE3353" s="1821"/>
      <c r="BF3353" s="1821"/>
      <c r="BG3353" s="1821"/>
      <c r="BH3353" s="1821"/>
      <c r="BI3353" s="1821"/>
      <c r="BJ3353" s="1821"/>
      <c r="BK3353" s="1821"/>
      <c r="BL3353" s="1821"/>
      <c r="BM3353" s="1821"/>
      <c r="BN3353" s="1821"/>
      <c r="BO3353" s="1821"/>
      <c r="BP3353" s="1821"/>
      <c r="BQ3353" s="1821"/>
      <c r="BR3353" s="1821"/>
      <c r="BS3353" s="1821"/>
      <c r="BT3353" s="1821"/>
      <c r="BU3353" s="1821"/>
      <c r="BV3353" s="1821"/>
      <c r="BW3353" s="1821"/>
      <c r="BX3353" s="1821"/>
      <c r="BY3353" s="1821"/>
      <c r="BZ3353" s="1821"/>
      <c r="CA3353" s="1821"/>
      <c r="CB3353" s="1821"/>
      <c r="CC3353" s="1821"/>
      <c r="CD3353" s="1821"/>
      <c r="CE3353" s="1821"/>
      <c r="CF3353" s="1821"/>
      <c r="CG3353" s="1821"/>
      <c r="CH3353" s="1821"/>
      <c r="CI3353" s="1821"/>
      <c r="CJ3353" s="1821"/>
      <c r="CK3353" s="1821"/>
    </row>
    <row r="3354" spans="1:89" s="675" customFormat="1" ht="16.5" customHeight="1" x14ac:dyDescent="0.25">
      <c r="A3354" s="697">
        <v>10</v>
      </c>
      <c r="B3354" s="1002" t="s">
        <v>1219</v>
      </c>
      <c r="C3354" s="1007">
        <v>1</v>
      </c>
      <c r="D3354" s="1005" t="s">
        <v>76</v>
      </c>
      <c r="E3354" s="1006">
        <v>35000</v>
      </c>
      <c r="F3354" s="700"/>
      <c r="G3354" s="700"/>
      <c r="H3354" s="700">
        <f>G3354+F3354</f>
        <v>0</v>
      </c>
      <c r="I3354" s="700"/>
      <c r="J3354" s="700"/>
      <c r="K3354" s="700">
        <f t="shared" si="339"/>
        <v>0</v>
      </c>
      <c r="L3354" s="700">
        <f t="shared" si="343"/>
        <v>35000</v>
      </c>
      <c r="M3354" s="700"/>
      <c r="N3354" s="700">
        <f t="shared" si="340"/>
        <v>35000</v>
      </c>
      <c r="O3354" s="974">
        <f t="shared" si="341"/>
        <v>35000</v>
      </c>
      <c r="P3354" s="956"/>
      <c r="Q3354" s="1821"/>
      <c r="R3354" s="1821"/>
      <c r="S3354" s="1821"/>
      <c r="T3354" s="1821"/>
      <c r="U3354" s="1821"/>
      <c r="V3354" s="1821"/>
      <c r="W3354" s="1821"/>
      <c r="X3354" s="1821"/>
      <c r="Y3354" s="1821"/>
      <c r="Z3354" s="1821"/>
      <c r="AA3354" s="1821"/>
      <c r="AB3354" s="1821"/>
      <c r="AC3354" s="1821"/>
      <c r="AD3354" s="1821"/>
      <c r="AE3354" s="1821"/>
      <c r="AF3354" s="1821"/>
      <c r="AG3354" s="1821"/>
      <c r="AH3354" s="1821"/>
      <c r="AI3354" s="1821"/>
      <c r="AJ3354" s="1821"/>
      <c r="AK3354" s="1821"/>
      <c r="AL3354" s="1821"/>
      <c r="AM3354" s="1821"/>
      <c r="AN3354" s="1821"/>
      <c r="AO3354" s="1821"/>
      <c r="AP3354" s="1821"/>
      <c r="AQ3354" s="1821"/>
      <c r="AR3354" s="1821"/>
      <c r="AS3354" s="1821"/>
      <c r="AT3354" s="1821"/>
      <c r="AU3354" s="1821"/>
      <c r="AV3354" s="1821"/>
      <c r="AW3354" s="1821"/>
      <c r="AX3354" s="1821"/>
      <c r="AY3354" s="1821"/>
      <c r="AZ3354" s="1821"/>
      <c r="BA3354" s="1821"/>
      <c r="BB3354" s="1821"/>
      <c r="BC3354" s="1821"/>
      <c r="BD3354" s="1821"/>
      <c r="BE3354" s="1821"/>
      <c r="BF3354" s="1821"/>
      <c r="BG3354" s="1821"/>
      <c r="BH3354" s="1821"/>
      <c r="BI3354" s="1821"/>
      <c r="BJ3354" s="1821"/>
      <c r="BK3354" s="1821"/>
      <c r="BL3354" s="1821"/>
      <c r="BM3354" s="1821"/>
      <c r="BN3354" s="1821"/>
      <c r="BO3354" s="1821"/>
      <c r="BP3354" s="1821"/>
      <c r="BQ3354" s="1821"/>
      <c r="BR3354" s="1821"/>
      <c r="BS3354" s="1821"/>
      <c r="BT3354" s="1821"/>
      <c r="BU3354" s="1821"/>
      <c r="BV3354" s="1821"/>
      <c r="BW3354" s="1821"/>
      <c r="BX3354" s="1821"/>
      <c r="BY3354" s="1821"/>
      <c r="BZ3354" s="1821"/>
      <c r="CA3354" s="1821"/>
      <c r="CB3354" s="1821"/>
      <c r="CC3354" s="1821"/>
      <c r="CD3354" s="1821"/>
      <c r="CE3354" s="1821"/>
      <c r="CF3354" s="1821"/>
      <c r="CG3354" s="1821"/>
      <c r="CH3354" s="1821"/>
      <c r="CI3354" s="1821"/>
      <c r="CJ3354" s="1821"/>
      <c r="CK3354" s="1821"/>
    </row>
    <row r="3355" spans="1:89" s="675" customFormat="1" ht="16.5" customHeight="1" x14ac:dyDescent="0.25">
      <c r="A3355" s="697">
        <v>11</v>
      </c>
      <c r="B3355" s="1002" t="s">
        <v>1220</v>
      </c>
      <c r="C3355" s="1007">
        <v>5</v>
      </c>
      <c r="D3355" s="1005" t="s">
        <v>76</v>
      </c>
      <c r="E3355" s="1006">
        <v>5000</v>
      </c>
      <c r="F3355" s="700"/>
      <c r="G3355" s="700"/>
      <c r="H3355" s="700">
        <f>G3355+F3355</f>
        <v>0</v>
      </c>
      <c r="I3355" s="700"/>
      <c r="J3355" s="700"/>
      <c r="K3355" s="700">
        <f>J3355+I3355</f>
        <v>0</v>
      </c>
      <c r="L3355" s="700">
        <f t="shared" si="343"/>
        <v>25000</v>
      </c>
      <c r="M3355" s="700"/>
      <c r="N3355" s="700">
        <f t="shared" si="340"/>
        <v>25000</v>
      </c>
      <c r="O3355" s="974">
        <f t="shared" si="341"/>
        <v>25000</v>
      </c>
      <c r="P3355" s="956"/>
      <c r="Q3355" s="1821"/>
      <c r="R3355" s="1821"/>
      <c r="S3355" s="1821"/>
      <c r="T3355" s="1821"/>
      <c r="U3355" s="1821"/>
      <c r="V3355" s="1821"/>
      <c r="W3355" s="1821"/>
      <c r="X3355" s="1821"/>
      <c r="Y3355" s="1821"/>
      <c r="Z3355" s="1821"/>
      <c r="AA3355" s="1821"/>
      <c r="AB3355" s="1821"/>
      <c r="AC3355" s="1821"/>
      <c r="AD3355" s="1821"/>
      <c r="AE3355" s="1821"/>
      <c r="AF3355" s="1821"/>
      <c r="AG3355" s="1821"/>
      <c r="AH3355" s="1821"/>
      <c r="AI3355" s="1821"/>
      <c r="AJ3355" s="1821"/>
      <c r="AK3355" s="1821"/>
      <c r="AL3355" s="1821"/>
      <c r="AM3355" s="1821"/>
      <c r="AN3355" s="1821"/>
      <c r="AO3355" s="1821"/>
      <c r="AP3355" s="1821"/>
      <c r="AQ3355" s="1821"/>
      <c r="AR3355" s="1821"/>
      <c r="AS3355" s="1821"/>
      <c r="AT3355" s="1821"/>
      <c r="AU3355" s="1821"/>
      <c r="AV3355" s="1821"/>
      <c r="AW3355" s="1821"/>
      <c r="AX3355" s="1821"/>
      <c r="AY3355" s="1821"/>
      <c r="AZ3355" s="1821"/>
      <c r="BA3355" s="1821"/>
      <c r="BB3355" s="1821"/>
      <c r="BC3355" s="1821"/>
      <c r="BD3355" s="1821"/>
      <c r="BE3355" s="1821"/>
      <c r="BF3355" s="1821"/>
      <c r="BG3355" s="1821"/>
      <c r="BH3355" s="1821"/>
      <c r="BI3355" s="1821"/>
      <c r="BJ3355" s="1821"/>
      <c r="BK3355" s="1821"/>
      <c r="BL3355" s="1821"/>
      <c r="BM3355" s="1821"/>
      <c r="BN3355" s="1821"/>
      <c r="BO3355" s="1821"/>
      <c r="BP3355" s="1821"/>
      <c r="BQ3355" s="1821"/>
      <c r="BR3355" s="1821"/>
      <c r="BS3355" s="1821"/>
      <c r="BT3355" s="1821"/>
      <c r="BU3355" s="1821"/>
      <c r="BV3355" s="1821"/>
      <c r="BW3355" s="1821"/>
      <c r="BX3355" s="1821"/>
      <c r="BY3355" s="1821"/>
      <c r="BZ3355" s="1821"/>
      <c r="CA3355" s="1821"/>
      <c r="CB3355" s="1821"/>
      <c r="CC3355" s="1821"/>
      <c r="CD3355" s="1821"/>
      <c r="CE3355" s="1821"/>
      <c r="CF3355" s="1821"/>
      <c r="CG3355" s="1821"/>
      <c r="CH3355" s="1821"/>
      <c r="CI3355" s="1821"/>
      <c r="CJ3355" s="1821"/>
      <c r="CK3355" s="1821"/>
    </row>
    <row r="3356" spans="1:89" s="675" customFormat="1" ht="16.5" customHeight="1" x14ac:dyDescent="0.25">
      <c r="A3356" s="697">
        <v>12</v>
      </c>
      <c r="B3356" s="1002" t="s">
        <v>1221</v>
      </c>
      <c r="C3356" s="1007">
        <v>6</v>
      </c>
      <c r="D3356" s="1005" t="s">
        <v>76</v>
      </c>
      <c r="E3356" s="1006">
        <v>10000</v>
      </c>
      <c r="F3356" s="700"/>
      <c r="G3356" s="700"/>
      <c r="H3356" s="700"/>
      <c r="I3356" s="700"/>
      <c r="J3356" s="700"/>
      <c r="K3356" s="700"/>
      <c r="L3356" s="700">
        <f t="shared" si="343"/>
        <v>60000</v>
      </c>
      <c r="M3356" s="700"/>
      <c r="N3356" s="700">
        <f t="shared" si="340"/>
        <v>60000</v>
      </c>
      <c r="O3356" s="974">
        <f t="shared" si="341"/>
        <v>60000</v>
      </c>
      <c r="P3356" s="956"/>
      <c r="Q3356" s="1821"/>
      <c r="R3356" s="1821"/>
      <c r="S3356" s="1821"/>
      <c r="T3356" s="1821"/>
      <c r="U3356" s="1821"/>
      <c r="V3356" s="1821"/>
      <c r="W3356" s="1821"/>
      <c r="X3356" s="1821"/>
      <c r="Y3356" s="1821"/>
      <c r="Z3356" s="1821"/>
      <c r="AA3356" s="1821"/>
      <c r="AB3356" s="1821"/>
      <c r="AC3356" s="1821"/>
      <c r="AD3356" s="1821"/>
      <c r="AE3356" s="1821"/>
      <c r="AF3356" s="1821"/>
      <c r="AG3356" s="1821"/>
      <c r="AH3356" s="1821"/>
      <c r="AI3356" s="1821"/>
      <c r="AJ3356" s="1821"/>
      <c r="AK3356" s="1821"/>
      <c r="AL3356" s="1821"/>
      <c r="AM3356" s="1821"/>
      <c r="AN3356" s="1821"/>
      <c r="AO3356" s="1821"/>
      <c r="AP3356" s="1821"/>
      <c r="AQ3356" s="1821"/>
      <c r="AR3356" s="1821"/>
      <c r="AS3356" s="1821"/>
      <c r="AT3356" s="1821"/>
      <c r="AU3356" s="1821"/>
      <c r="AV3356" s="1821"/>
      <c r="AW3356" s="1821"/>
      <c r="AX3356" s="1821"/>
      <c r="AY3356" s="1821"/>
      <c r="AZ3356" s="1821"/>
      <c r="BA3356" s="1821"/>
      <c r="BB3356" s="1821"/>
      <c r="BC3356" s="1821"/>
      <c r="BD3356" s="1821"/>
      <c r="BE3356" s="1821"/>
      <c r="BF3356" s="1821"/>
      <c r="BG3356" s="1821"/>
      <c r="BH3356" s="1821"/>
      <c r="BI3356" s="1821"/>
      <c r="BJ3356" s="1821"/>
      <c r="BK3356" s="1821"/>
      <c r="BL3356" s="1821"/>
      <c r="BM3356" s="1821"/>
      <c r="BN3356" s="1821"/>
      <c r="BO3356" s="1821"/>
      <c r="BP3356" s="1821"/>
      <c r="BQ3356" s="1821"/>
      <c r="BR3356" s="1821"/>
      <c r="BS3356" s="1821"/>
      <c r="BT3356" s="1821"/>
      <c r="BU3356" s="1821"/>
      <c r="BV3356" s="1821"/>
      <c r="BW3356" s="1821"/>
      <c r="BX3356" s="1821"/>
      <c r="BY3356" s="1821"/>
      <c r="BZ3356" s="1821"/>
      <c r="CA3356" s="1821"/>
      <c r="CB3356" s="1821"/>
      <c r="CC3356" s="1821"/>
      <c r="CD3356" s="1821"/>
      <c r="CE3356" s="1821"/>
      <c r="CF3356" s="1821"/>
      <c r="CG3356" s="1821"/>
      <c r="CH3356" s="1821"/>
      <c r="CI3356" s="1821"/>
      <c r="CJ3356" s="1821"/>
      <c r="CK3356" s="1821"/>
    </row>
    <row r="3357" spans="1:89" s="675" customFormat="1" ht="16.5" customHeight="1" x14ac:dyDescent="0.25">
      <c r="A3357" s="697">
        <v>13</v>
      </c>
      <c r="B3357" s="1002" t="s">
        <v>1222</v>
      </c>
      <c r="C3357" s="1007">
        <v>5</v>
      </c>
      <c r="D3357" s="1005" t="s">
        <v>76</v>
      </c>
      <c r="E3357" s="1006">
        <v>3500</v>
      </c>
      <c r="F3357" s="700"/>
      <c r="G3357" s="700"/>
      <c r="H3357" s="700"/>
      <c r="I3357" s="700"/>
      <c r="J3357" s="700"/>
      <c r="K3357" s="700"/>
      <c r="L3357" s="700">
        <f t="shared" si="343"/>
        <v>17500</v>
      </c>
      <c r="M3357" s="700"/>
      <c r="N3357" s="700">
        <f t="shared" si="340"/>
        <v>17500</v>
      </c>
      <c r="O3357" s="974">
        <f t="shared" si="341"/>
        <v>17500</v>
      </c>
      <c r="P3357" s="956"/>
      <c r="Q3357" s="1821"/>
      <c r="R3357" s="1821"/>
      <c r="S3357" s="1821"/>
      <c r="T3357" s="1821"/>
      <c r="U3357" s="1821"/>
      <c r="V3357" s="1821"/>
      <c r="W3357" s="1821"/>
      <c r="X3357" s="1821"/>
      <c r="Y3357" s="1821"/>
      <c r="Z3357" s="1821"/>
      <c r="AA3357" s="1821"/>
      <c r="AB3357" s="1821"/>
      <c r="AC3357" s="1821"/>
      <c r="AD3357" s="1821"/>
      <c r="AE3357" s="1821"/>
      <c r="AF3357" s="1821"/>
      <c r="AG3357" s="1821"/>
      <c r="AH3357" s="1821"/>
      <c r="AI3357" s="1821"/>
      <c r="AJ3357" s="1821"/>
      <c r="AK3357" s="1821"/>
      <c r="AL3357" s="1821"/>
      <c r="AM3357" s="1821"/>
      <c r="AN3357" s="1821"/>
      <c r="AO3357" s="1821"/>
      <c r="AP3357" s="1821"/>
      <c r="AQ3357" s="1821"/>
      <c r="AR3357" s="1821"/>
      <c r="AS3357" s="1821"/>
      <c r="AT3357" s="1821"/>
      <c r="AU3357" s="1821"/>
      <c r="AV3357" s="1821"/>
      <c r="AW3357" s="1821"/>
      <c r="AX3357" s="1821"/>
      <c r="AY3357" s="1821"/>
      <c r="AZ3357" s="1821"/>
      <c r="BA3357" s="1821"/>
      <c r="BB3357" s="1821"/>
      <c r="BC3357" s="1821"/>
      <c r="BD3357" s="1821"/>
      <c r="BE3357" s="1821"/>
      <c r="BF3357" s="1821"/>
      <c r="BG3357" s="1821"/>
      <c r="BH3357" s="1821"/>
      <c r="BI3357" s="1821"/>
      <c r="BJ3357" s="1821"/>
      <c r="BK3357" s="1821"/>
      <c r="BL3357" s="1821"/>
      <c r="BM3357" s="1821"/>
      <c r="BN3357" s="1821"/>
      <c r="BO3357" s="1821"/>
      <c r="BP3357" s="1821"/>
      <c r="BQ3357" s="1821"/>
      <c r="BR3357" s="1821"/>
      <c r="BS3357" s="1821"/>
      <c r="BT3357" s="1821"/>
      <c r="BU3357" s="1821"/>
      <c r="BV3357" s="1821"/>
      <c r="BW3357" s="1821"/>
      <c r="BX3357" s="1821"/>
      <c r="BY3357" s="1821"/>
      <c r="BZ3357" s="1821"/>
      <c r="CA3357" s="1821"/>
      <c r="CB3357" s="1821"/>
      <c r="CC3357" s="1821"/>
      <c r="CD3357" s="1821"/>
      <c r="CE3357" s="1821"/>
      <c r="CF3357" s="1821"/>
      <c r="CG3357" s="1821"/>
      <c r="CH3357" s="1821"/>
      <c r="CI3357" s="1821"/>
      <c r="CJ3357" s="1821"/>
      <c r="CK3357" s="1821"/>
    </row>
    <row r="3358" spans="1:89" s="675" customFormat="1" ht="16.5" customHeight="1" x14ac:dyDescent="0.25">
      <c r="A3358" s="697">
        <v>14</v>
      </c>
      <c r="B3358" s="1002" t="s">
        <v>1223</v>
      </c>
      <c r="C3358" s="1007">
        <v>2</v>
      </c>
      <c r="D3358" s="1005" t="s">
        <v>76</v>
      </c>
      <c r="E3358" s="1006">
        <v>12500</v>
      </c>
      <c r="F3358" s="700"/>
      <c r="G3358" s="700"/>
      <c r="H3358" s="700"/>
      <c r="I3358" s="700"/>
      <c r="J3358" s="700"/>
      <c r="K3358" s="700"/>
      <c r="L3358" s="700">
        <f t="shared" si="343"/>
        <v>25000</v>
      </c>
      <c r="M3358" s="700"/>
      <c r="N3358" s="700">
        <f t="shared" si="340"/>
        <v>25000</v>
      </c>
      <c r="O3358" s="974">
        <f t="shared" si="341"/>
        <v>25000</v>
      </c>
      <c r="P3358" s="956"/>
      <c r="Q3358" s="1821"/>
      <c r="R3358" s="1821"/>
      <c r="S3358" s="1821"/>
      <c r="T3358" s="1821"/>
      <c r="U3358" s="1821"/>
      <c r="V3358" s="1821"/>
      <c r="W3358" s="1821"/>
      <c r="X3358" s="1821"/>
      <c r="Y3358" s="1821"/>
      <c r="Z3358" s="1821"/>
      <c r="AA3358" s="1821"/>
      <c r="AB3358" s="1821"/>
      <c r="AC3358" s="1821"/>
      <c r="AD3358" s="1821"/>
      <c r="AE3358" s="1821"/>
      <c r="AF3358" s="1821"/>
      <c r="AG3358" s="1821"/>
      <c r="AH3358" s="1821"/>
      <c r="AI3358" s="1821"/>
      <c r="AJ3358" s="1821"/>
      <c r="AK3358" s="1821"/>
      <c r="AL3358" s="1821"/>
      <c r="AM3358" s="1821"/>
      <c r="AN3358" s="1821"/>
      <c r="AO3358" s="1821"/>
      <c r="AP3358" s="1821"/>
      <c r="AQ3358" s="1821"/>
      <c r="AR3358" s="1821"/>
      <c r="AS3358" s="1821"/>
      <c r="AT3358" s="1821"/>
      <c r="AU3358" s="1821"/>
      <c r="AV3358" s="1821"/>
      <c r="AW3358" s="1821"/>
      <c r="AX3358" s="1821"/>
      <c r="AY3358" s="1821"/>
      <c r="AZ3358" s="1821"/>
      <c r="BA3358" s="1821"/>
      <c r="BB3358" s="1821"/>
      <c r="BC3358" s="1821"/>
      <c r="BD3358" s="1821"/>
      <c r="BE3358" s="1821"/>
      <c r="BF3358" s="1821"/>
      <c r="BG3358" s="1821"/>
      <c r="BH3358" s="1821"/>
      <c r="BI3358" s="1821"/>
      <c r="BJ3358" s="1821"/>
      <c r="BK3358" s="1821"/>
      <c r="BL3358" s="1821"/>
      <c r="BM3358" s="1821"/>
      <c r="BN3358" s="1821"/>
      <c r="BO3358" s="1821"/>
      <c r="BP3358" s="1821"/>
      <c r="BQ3358" s="1821"/>
      <c r="BR3358" s="1821"/>
      <c r="BS3358" s="1821"/>
      <c r="BT3358" s="1821"/>
      <c r="BU3358" s="1821"/>
      <c r="BV3358" s="1821"/>
      <c r="BW3358" s="1821"/>
      <c r="BX3358" s="1821"/>
      <c r="BY3358" s="1821"/>
      <c r="BZ3358" s="1821"/>
      <c r="CA3358" s="1821"/>
      <c r="CB3358" s="1821"/>
      <c r="CC3358" s="1821"/>
      <c r="CD3358" s="1821"/>
      <c r="CE3358" s="1821"/>
      <c r="CF3358" s="1821"/>
      <c r="CG3358" s="1821"/>
      <c r="CH3358" s="1821"/>
      <c r="CI3358" s="1821"/>
      <c r="CJ3358" s="1821"/>
      <c r="CK3358" s="1821"/>
    </row>
    <row r="3359" spans="1:89" s="675" customFormat="1" ht="16.5" customHeight="1" x14ac:dyDescent="0.25">
      <c r="A3359" s="697">
        <v>15</v>
      </c>
      <c r="B3359" s="1002" t="s">
        <v>1224</v>
      </c>
      <c r="C3359" s="1007">
        <v>2</v>
      </c>
      <c r="D3359" s="1005" t="s">
        <v>76</v>
      </c>
      <c r="E3359" s="1006">
        <v>5000</v>
      </c>
      <c r="F3359" s="700"/>
      <c r="G3359" s="700"/>
      <c r="H3359" s="700"/>
      <c r="I3359" s="700"/>
      <c r="J3359" s="700"/>
      <c r="K3359" s="700"/>
      <c r="L3359" s="700">
        <f t="shared" si="343"/>
        <v>10000</v>
      </c>
      <c r="M3359" s="700"/>
      <c r="N3359" s="700">
        <f t="shared" si="340"/>
        <v>10000</v>
      </c>
      <c r="O3359" s="974">
        <f t="shared" si="341"/>
        <v>10000</v>
      </c>
      <c r="P3359" s="956"/>
      <c r="Q3359" s="1821"/>
      <c r="R3359" s="1821"/>
      <c r="S3359" s="1821"/>
      <c r="T3359" s="1821"/>
      <c r="U3359" s="1821"/>
      <c r="V3359" s="1821"/>
      <c r="W3359" s="1821"/>
      <c r="X3359" s="1821"/>
      <c r="Y3359" s="1821"/>
      <c r="Z3359" s="1821"/>
      <c r="AA3359" s="1821"/>
      <c r="AB3359" s="1821"/>
      <c r="AC3359" s="1821"/>
      <c r="AD3359" s="1821"/>
      <c r="AE3359" s="1821"/>
      <c r="AF3359" s="1821"/>
      <c r="AG3359" s="1821"/>
      <c r="AH3359" s="1821"/>
      <c r="AI3359" s="1821"/>
      <c r="AJ3359" s="1821"/>
      <c r="AK3359" s="1821"/>
      <c r="AL3359" s="1821"/>
      <c r="AM3359" s="1821"/>
      <c r="AN3359" s="1821"/>
      <c r="AO3359" s="1821"/>
      <c r="AP3359" s="1821"/>
      <c r="AQ3359" s="1821"/>
      <c r="AR3359" s="1821"/>
      <c r="AS3359" s="1821"/>
      <c r="AT3359" s="1821"/>
      <c r="AU3359" s="1821"/>
      <c r="AV3359" s="1821"/>
      <c r="AW3359" s="1821"/>
      <c r="AX3359" s="1821"/>
      <c r="AY3359" s="1821"/>
      <c r="AZ3359" s="1821"/>
      <c r="BA3359" s="1821"/>
      <c r="BB3359" s="1821"/>
      <c r="BC3359" s="1821"/>
      <c r="BD3359" s="1821"/>
      <c r="BE3359" s="1821"/>
      <c r="BF3359" s="1821"/>
      <c r="BG3359" s="1821"/>
      <c r="BH3359" s="1821"/>
      <c r="BI3359" s="1821"/>
      <c r="BJ3359" s="1821"/>
      <c r="BK3359" s="1821"/>
      <c r="BL3359" s="1821"/>
      <c r="BM3359" s="1821"/>
      <c r="BN3359" s="1821"/>
      <c r="BO3359" s="1821"/>
      <c r="BP3359" s="1821"/>
      <c r="BQ3359" s="1821"/>
      <c r="BR3359" s="1821"/>
      <c r="BS3359" s="1821"/>
      <c r="BT3359" s="1821"/>
      <c r="BU3359" s="1821"/>
      <c r="BV3359" s="1821"/>
      <c r="BW3359" s="1821"/>
      <c r="BX3359" s="1821"/>
      <c r="BY3359" s="1821"/>
      <c r="BZ3359" s="1821"/>
      <c r="CA3359" s="1821"/>
      <c r="CB3359" s="1821"/>
      <c r="CC3359" s="1821"/>
      <c r="CD3359" s="1821"/>
      <c r="CE3359" s="1821"/>
      <c r="CF3359" s="1821"/>
      <c r="CG3359" s="1821"/>
      <c r="CH3359" s="1821"/>
      <c r="CI3359" s="1821"/>
      <c r="CJ3359" s="1821"/>
      <c r="CK3359" s="1821"/>
    </row>
    <row r="3360" spans="1:89" s="675" customFormat="1" ht="16.5" customHeight="1" x14ac:dyDescent="0.25">
      <c r="A3360" s="697">
        <v>16</v>
      </c>
      <c r="B3360" s="1002" t="s">
        <v>1225</v>
      </c>
      <c r="C3360" s="1007">
        <v>1</v>
      </c>
      <c r="D3360" s="1005" t="s">
        <v>16</v>
      </c>
      <c r="E3360" s="1006">
        <v>200000</v>
      </c>
      <c r="F3360" s="700"/>
      <c r="G3360" s="700"/>
      <c r="H3360" s="700"/>
      <c r="I3360" s="700"/>
      <c r="J3360" s="700"/>
      <c r="K3360" s="700"/>
      <c r="L3360" s="700">
        <f t="shared" si="343"/>
        <v>200000</v>
      </c>
      <c r="M3360" s="700"/>
      <c r="N3360" s="700">
        <f t="shared" si="340"/>
        <v>200000</v>
      </c>
      <c r="O3360" s="974">
        <f t="shared" si="341"/>
        <v>200000</v>
      </c>
      <c r="P3360" s="956"/>
      <c r="Q3360" s="1821"/>
      <c r="R3360" s="1821"/>
      <c r="S3360" s="1821"/>
      <c r="T3360" s="1821"/>
      <c r="U3360" s="1821"/>
      <c r="V3360" s="1821"/>
      <c r="W3360" s="1821"/>
      <c r="X3360" s="1821"/>
      <c r="Y3360" s="1821"/>
      <c r="Z3360" s="1821"/>
      <c r="AA3360" s="1821"/>
      <c r="AB3360" s="1821"/>
      <c r="AC3360" s="1821"/>
      <c r="AD3360" s="1821"/>
      <c r="AE3360" s="1821"/>
      <c r="AF3360" s="1821"/>
      <c r="AG3360" s="1821"/>
      <c r="AH3360" s="1821"/>
      <c r="AI3360" s="1821"/>
      <c r="AJ3360" s="1821"/>
      <c r="AK3360" s="1821"/>
      <c r="AL3360" s="1821"/>
      <c r="AM3360" s="1821"/>
      <c r="AN3360" s="1821"/>
      <c r="AO3360" s="1821"/>
      <c r="AP3360" s="1821"/>
      <c r="AQ3360" s="1821"/>
      <c r="AR3360" s="1821"/>
      <c r="AS3360" s="1821"/>
      <c r="AT3360" s="1821"/>
      <c r="AU3360" s="1821"/>
      <c r="AV3360" s="1821"/>
      <c r="AW3360" s="1821"/>
      <c r="AX3360" s="1821"/>
      <c r="AY3360" s="1821"/>
      <c r="AZ3360" s="1821"/>
      <c r="BA3360" s="1821"/>
      <c r="BB3360" s="1821"/>
      <c r="BC3360" s="1821"/>
      <c r="BD3360" s="1821"/>
      <c r="BE3360" s="1821"/>
      <c r="BF3360" s="1821"/>
      <c r="BG3360" s="1821"/>
      <c r="BH3360" s="1821"/>
      <c r="BI3360" s="1821"/>
      <c r="BJ3360" s="1821"/>
      <c r="BK3360" s="1821"/>
      <c r="BL3360" s="1821"/>
      <c r="BM3360" s="1821"/>
      <c r="BN3360" s="1821"/>
      <c r="BO3360" s="1821"/>
      <c r="BP3360" s="1821"/>
      <c r="BQ3360" s="1821"/>
      <c r="BR3360" s="1821"/>
      <c r="BS3360" s="1821"/>
      <c r="BT3360" s="1821"/>
      <c r="BU3360" s="1821"/>
      <c r="BV3360" s="1821"/>
      <c r="BW3360" s="1821"/>
      <c r="BX3360" s="1821"/>
      <c r="BY3360" s="1821"/>
      <c r="BZ3360" s="1821"/>
      <c r="CA3360" s="1821"/>
      <c r="CB3360" s="1821"/>
      <c r="CC3360" s="1821"/>
      <c r="CD3360" s="1821"/>
      <c r="CE3360" s="1821"/>
      <c r="CF3360" s="1821"/>
      <c r="CG3360" s="1821"/>
      <c r="CH3360" s="1821"/>
      <c r="CI3360" s="1821"/>
      <c r="CJ3360" s="1821"/>
      <c r="CK3360" s="1821"/>
    </row>
    <row r="3361" spans="1:89" s="675" customFormat="1" ht="16.5" customHeight="1" x14ac:dyDescent="0.25">
      <c r="A3361" s="697"/>
      <c r="B3361" s="1002" t="s">
        <v>314</v>
      </c>
      <c r="C3361" s="1007"/>
      <c r="D3361" s="1005"/>
      <c r="E3361" s="1006"/>
      <c r="F3361" s="700"/>
      <c r="G3361" s="700"/>
      <c r="H3361" s="700"/>
      <c r="I3361" s="700"/>
      <c r="J3361" s="700"/>
      <c r="K3361" s="700"/>
      <c r="L3361" s="700"/>
      <c r="M3361" s="700"/>
      <c r="N3361" s="700"/>
      <c r="O3361" s="974">
        <f t="shared" si="341"/>
        <v>0</v>
      </c>
      <c r="P3361" s="956"/>
      <c r="Q3361" s="1821"/>
      <c r="R3361" s="1821"/>
      <c r="S3361" s="1821"/>
      <c r="T3361" s="1821"/>
      <c r="U3361" s="1821"/>
      <c r="V3361" s="1821"/>
      <c r="W3361" s="1821"/>
      <c r="X3361" s="1821"/>
      <c r="Y3361" s="1821"/>
      <c r="Z3361" s="1821"/>
      <c r="AA3361" s="1821"/>
      <c r="AB3361" s="1821"/>
      <c r="AC3361" s="1821"/>
      <c r="AD3361" s="1821"/>
      <c r="AE3361" s="1821"/>
      <c r="AF3361" s="1821"/>
      <c r="AG3361" s="1821"/>
      <c r="AH3361" s="1821"/>
      <c r="AI3361" s="1821"/>
      <c r="AJ3361" s="1821"/>
      <c r="AK3361" s="1821"/>
      <c r="AL3361" s="1821"/>
      <c r="AM3361" s="1821"/>
      <c r="AN3361" s="1821"/>
      <c r="AO3361" s="1821"/>
      <c r="AP3361" s="1821"/>
      <c r="AQ3361" s="1821"/>
      <c r="AR3361" s="1821"/>
      <c r="AS3361" s="1821"/>
      <c r="AT3361" s="1821"/>
      <c r="AU3361" s="1821"/>
      <c r="AV3361" s="1821"/>
      <c r="AW3361" s="1821"/>
      <c r="AX3361" s="1821"/>
      <c r="AY3361" s="1821"/>
      <c r="AZ3361" s="1821"/>
      <c r="BA3361" s="1821"/>
      <c r="BB3361" s="1821"/>
      <c r="BC3361" s="1821"/>
      <c r="BD3361" s="1821"/>
      <c r="BE3361" s="1821"/>
      <c r="BF3361" s="1821"/>
      <c r="BG3361" s="1821"/>
      <c r="BH3361" s="1821"/>
      <c r="BI3361" s="1821"/>
      <c r="BJ3361" s="1821"/>
      <c r="BK3361" s="1821"/>
      <c r="BL3361" s="1821"/>
      <c r="BM3361" s="1821"/>
      <c r="BN3361" s="1821"/>
      <c r="BO3361" s="1821"/>
      <c r="BP3361" s="1821"/>
      <c r="BQ3361" s="1821"/>
      <c r="BR3361" s="1821"/>
      <c r="BS3361" s="1821"/>
      <c r="BT3361" s="1821"/>
      <c r="BU3361" s="1821"/>
      <c r="BV3361" s="1821"/>
      <c r="BW3361" s="1821"/>
      <c r="BX3361" s="1821"/>
      <c r="BY3361" s="1821"/>
      <c r="BZ3361" s="1821"/>
      <c r="CA3361" s="1821"/>
      <c r="CB3361" s="1821"/>
      <c r="CC3361" s="1821"/>
      <c r="CD3361" s="1821"/>
      <c r="CE3361" s="1821"/>
      <c r="CF3361" s="1821"/>
      <c r="CG3361" s="1821"/>
      <c r="CH3361" s="1821"/>
      <c r="CI3361" s="1821"/>
      <c r="CJ3361" s="1821"/>
      <c r="CK3361" s="1821"/>
    </row>
    <row r="3362" spans="1:89" s="675" customFormat="1" ht="16.5" customHeight="1" x14ac:dyDescent="0.25">
      <c r="A3362" s="697"/>
      <c r="B3362" s="1002" t="s">
        <v>1226</v>
      </c>
      <c r="C3362" s="1007">
        <v>1</v>
      </c>
      <c r="D3362" s="1005" t="s">
        <v>294</v>
      </c>
      <c r="E3362" s="1006">
        <v>175000</v>
      </c>
      <c r="F3362" s="700"/>
      <c r="G3362" s="700"/>
      <c r="H3362" s="700"/>
      <c r="I3362" s="700">
        <f>C3362*E3362</f>
        <v>175000</v>
      </c>
      <c r="J3362" s="700"/>
      <c r="K3362" s="700">
        <f>I3362+J3362</f>
        <v>175000</v>
      </c>
      <c r="L3362" s="700"/>
      <c r="M3362" s="700"/>
      <c r="N3362" s="700"/>
      <c r="O3362" s="974">
        <f t="shared" si="341"/>
        <v>175000</v>
      </c>
      <c r="P3362" s="956"/>
      <c r="Q3362" s="1821"/>
      <c r="R3362" s="1821"/>
      <c r="S3362" s="1821"/>
      <c r="T3362" s="1821"/>
      <c r="U3362" s="1821"/>
      <c r="V3362" s="1821"/>
      <c r="W3362" s="1821"/>
      <c r="X3362" s="1821"/>
      <c r="Y3362" s="1821"/>
      <c r="Z3362" s="1821"/>
      <c r="AA3362" s="1821"/>
      <c r="AB3362" s="1821"/>
      <c r="AC3362" s="1821"/>
      <c r="AD3362" s="1821"/>
      <c r="AE3362" s="1821"/>
      <c r="AF3362" s="1821"/>
      <c r="AG3362" s="1821"/>
      <c r="AH3362" s="1821"/>
      <c r="AI3362" s="1821"/>
      <c r="AJ3362" s="1821"/>
      <c r="AK3362" s="1821"/>
      <c r="AL3362" s="1821"/>
      <c r="AM3362" s="1821"/>
      <c r="AN3362" s="1821"/>
      <c r="AO3362" s="1821"/>
      <c r="AP3362" s="1821"/>
      <c r="AQ3362" s="1821"/>
      <c r="AR3362" s="1821"/>
      <c r="AS3362" s="1821"/>
      <c r="AT3362" s="1821"/>
      <c r="AU3362" s="1821"/>
      <c r="AV3362" s="1821"/>
      <c r="AW3362" s="1821"/>
      <c r="AX3362" s="1821"/>
      <c r="AY3362" s="1821"/>
      <c r="AZ3362" s="1821"/>
      <c r="BA3362" s="1821"/>
      <c r="BB3362" s="1821"/>
      <c r="BC3362" s="1821"/>
      <c r="BD3362" s="1821"/>
      <c r="BE3362" s="1821"/>
      <c r="BF3362" s="1821"/>
      <c r="BG3362" s="1821"/>
      <c r="BH3362" s="1821"/>
      <c r="BI3362" s="1821"/>
      <c r="BJ3362" s="1821"/>
      <c r="BK3362" s="1821"/>
      <c r="BL3362" s="1821"/>
      <c r="BM3362" s="1821"/>
      <c r="BN3362" s="1821"/>
      <c r="BO3362" s="1821"/>
      <c r="BP3362" s="1821"/>
      <c r="BQ3362" s="1821"/>
      <c r="BR3362" s="1821"/>
      <c r="BS3362" s="1821"/>
      <c r="BT3362" s="1821"/>
      <c r="BU3362" s="1821"/>
      <c r="BV3362" s="1821"/>
      <c r="BW3362" s="1821"/>
      <c r="BX3362" s="1821"/>
      <c r="BY3362" s="1821"/>
      <c r="BZ3362" s="1821"/>
      <c r="CA3362" s="1821"/>
      <c r="CB3362" s="1821"/>
      <c r="CC3362" s="1821"/>
      <c r="CD3362" s="1821"/>
      <c r="CE3362" s="1821"/>
      <c r="CF3362" s="1821"/>
      <c r="CG3362" s="1821"/>
      <c r="CH3362" s="1821"/>
      <c r="CI3362" s="1821"/>
      <c r="CJ3362" s="1821"/>
      <c r="CK3362" s="1821"/>
    </row>
    <row r="3363" spans="1:89" s="675" customFormat="1" ht="16.5" customHeight="1" x14ac:dyDescent="0.25">
      <c r="A3363" s="697"/>
      <c r="B3363" s="1002"/>
      <c r="C3363" s="1007"/>
      <c r="D3363" s="1005"/>
      <c r="E3363" s="1006"/>
      <c r="F3363" s="700"/>
      <c r="G3363" s="700"/>
      <c r="H3363" s="700"/>
      <c r="I3363" s="700"/>
      <c r="J3363" s="700"/>
      <c r="K3363" s="700"/>
      <c r="L3363" s="700"/>
      <c r="M3363" s="700"/>
      <c r="N3363" s="700"/>
      <c r="O3363" s="974"/>
      <c r="P3363" s="956"/>
      <c r="Q3363" s="1821"/>
      <c r="R3363" s="1821"/>
      <c r="S3363" s="1821"/>
      <c r="T3363" s="1821"/>
      <c r="U3363" s="1821"/>
      <c r="V3363" s="1821"/>
      <c r="W3363" s="1821"/>
      <c r="X3363" s="1821"/>
      <c r="Y3363" s="1821"/>
      <c r="Z3363" s="1821"/>
      <c r="AA3363" s="1821"/>
      <c r="AB3363" s="1821"/>
      <c r="AC3363" s="1821"/>
      <c r="AD3363" s="1821"/>
      <c r="AE3363" s="1821"/>
      <c r="AF3363" s="1821"/>
      <c r="AG3363" s="1821"/>
      <c r="AH3363" s="1821"/>
      <c r="AI3363" s="1821"/>
      <c r="AJ3363" s="1821"/>
      <c r="AK3363" s="1821"/>
      <c r="AL3363" s="1821"/>
      <c r="AM3363" s="1821"/>
      <c r="AN3363" s="1821"/>
      <c r="AO3363" s="1821"/>
      <c r="AP3363" s="1821"/>
      <c r="AQ3363" s="1821"/>
      <c r="AR3363" s="1821"/>
      <c r="AS3363" s="1821"/>
      <c r="AT3363" s="1821"/>
      <c r="AU3363" s="1821"/>
      <c r="AV3363" s="1821"/>
      <c r="AW3363" s="1821"/>
      <c r="AX3363" s="1821"/>
      <c r="AY3363" s="1821"/>
      <c r="AZ3363" s="1821"/>
      <c r="BA3363" s="1821"/>
      <c r="BB3363" s="1821"/>
      <c r="BC3363" s="1821"/>
      <c r="BD3363" s="1821"/>
      <c r="BE3363" s="1821"/>
      <c r="BF3363" s="1821"/>
      <c r="BG3363" s="1821"/>
      <c r="BH3363" s="1821"/>
      <c r="BI3363" s="1821"/>
      <c r="BJ3363" s="1821"/>
      <c r="BK3363" s="1821"/>
      <c r="BL3363" s="1821"/>
      <c r="BM3363" s="1821"/>
      <c r="BN3363" s="1821"/>
      <c r="BO3363" s="1821"/>
      <c r="BP3363" s="1821"/>
      <c r="BQ3363" s="1821"/>
      <c r="BR3363" s="1821"/>
      <c r="BS3363" s="1821"/>
      <c r="BT3363" s="1821"/>
      <c r="BU3363" s="1821"/>
      <c r="BV3363" s="1821"/>
      <c r="BW3363" s="1821"/>
      <c r="BX3363" s="1821"/>
      <c r="BY3363" s="1821"/>
      <c r="BZ3363" s="1821"/>
      <c r="CA3363" s="1821"/>
      <c r="CB3363" s="1821"/>
      <c r="CC3363" s="1821"/>
      <c r="CD3363" s="1821"/>
      <c r="CE3363" s="1821"/>
      <c r="CF3363" s="1821"/>
      <c r="CG3363" s="1821"/>
      <c r="CH3363" s="1821"/>
      <c r="CI3363" s="1821"/>
      <c r="CJ3363" s="1821"/>
      <c r="CK3363" s="1821"/>
    </row>
    <row r="3364" spans="1:89" s="675" customFormat="1" ht="16.5" customHeight="1" x14ac:dyDescent="0.25">
      <c r="A3364" s="697"/>
      <c r="B3364" s="1002" t="s">
        <v>1227</v>
      </c>
      <c r="C3364" s="1007"/>
      <c r="D3364" s="1005"/>
      <c r="E3364" s="1006"/>
      <c r="F3364" s="700"/>
      <c r="G3364" s="700"/>
      <c r="H3364" s="700"/>
      <c r="I3364" s="700"/>
      <c r="J3364" s="700"/>
      <c r="K3364" s="700"/>
      <c r="L3364" s="700"/>
      <c r="M3364" s="700"/>
      <c r="N3364" s="700"/>
      <c r="O3364" s="974"/>
      <c r="P3364" s="956"/>
      <c r="Q3364" s="1821"/>
      <c r="R3364" s="1821"/>
      <c r="S3364" s="1821"/>
      <c r="T3364" s="1821"/>
      <c r="U3364" s="1821"/>
      <c r="V3364" s="1821"/>
      <c r="W3364" s="1821"/>
      <c r="X3364" s="1821"/>
      <c r="Y3364" s="1821"/>
      <c r="Z3364" s="1821"/>
      <c r="AA3364" s="1821"/>
      <c r="AB3364" s="1821"/>
      <c r="AC3364" s="1821"/>
      <c r="AD3364" s="1821"/>
      <c r="AE3364" s="1821"/>
      <c r="AF3364" s="1821"/>
      <c r="AG3364" s="1821"/>
      <c r="AH3364" s="1821"/>
      <c r="AI3364" s="1821"/>
      <c r="AJ3364" s="1821"/>
      <c r="AK3364" s="1821"/>
      <c r="AL3364" s="1821"/>
      <c r="AM3364" s="1821"/>
      <c r="AN3364" s="1821"/>
      <c r="AO3364" s="1821"/>
      <c r="AP3364" s="1821"/>
      <c r="AQ3364" s="1821"/>
      <c r="AR3364" s="1821"/>
      <c r="AS3364" s="1821"/>
      <c r="AT3364" s="1821"/>
      <c r="AU3364" s="1821"/>
      <c r="AV3364" s="1821"/>
      <c r="AW3364" s="1821"/>
      <c r="AX3364" s="1821"/>
      <c r="AY3364" s="1821"/>
      <c r="AZ3364" s="1821"/>
      <c r="BA3364" s="1821"/>
      <c r="BB3364" s="1821"/>
      <c r="BC3364" s="1821"/>
      <c r="BD3364" s="1821"/>
      <c r="BE3364" s="1821"/>
      <c r="BF3364" s="1821"/>
      <c r="BG3364" s="1821"/>
      <c r="BH3364" s="1821"/>
      <c r="BI3364" s="1821"/>
      <c r="BJ3364" s="1821"/>
      <c r="BK3364" s="1821"/>
      <c r="BL3364" s="1821"/>
      <c r="BM3364" s="1821"/>
      <c r="BN3364" s="1821"/>
      <c r="BO3364" s="1821"/>
      <c r="BP3364" s="1821"/>
      <c r="BQ3364" s="1821"/>
      <c r="BR3364" s="1821"/>
      <c r="BS3364" s="1821"/>
      <c r="BT3364" s="1821"/>
      <c r="BU3364" s="1821"/>
      <c r="BV3364" s="1821"/>
      <c r="BW3364" s="1821"/>
      <c r="BX3364" s="1821"/>
      <c r="BY3364" s="1821"/>
      <c r="BZ3364" s="1821"/>
      <c r="CA3364" s="1821"/>
      <c r="CB3364" s="1821"/>
      <c r="CC3364" s="1821"/>
      <c r="CD3364" s="1821"/>
      <c r="CE3364" s="1821"/>
      <c r="CF3364" s="1821"/>
      <c r="CG3364" s="1821"/>
      <c r="CH3364" s="1821"/>
      <c r="CI3364" s="1821"/>
      <c r="CJ3364" s="1821"/>
      <c r="CK3364" s="1821"/>
    </row>
    <row r="3365" spans="1:89" s="1203" customFormat="1" ht="16.5" customHeight="1" x14ac:dyDescent="0.25">
      <c r="A3365" s="697"/>
      <c r="B3365" s="1002" t="s">
        <v>1228</v>
      </c>
      <c r="C3365" s="1007">
        <v>1</v>
      </c>
      <c r="D3365" s="1005" t="s">
        <v>294</v>
      </c>
      <c r="E3365" s="1006">
        <f>400000-200000</f>
        <v>200000</v>
      </c>
      <c r="F3365" s="700"/>
      <c r="G3365" s="700"/>
      <c r="H3365" s="700"/>
      <c r="I3365" s="700"/>
      <c r="J3365" s="700">
        <f>E3365*C3365</f>
        <v>200000</v>
      </c>
      <c r="K3365" s="700">
        <f>I3365+J3365</f>
        <v>200000</v>
      </c>
      <c r="L3365" s="700"/>
      <c r="M3365" s="700"/>
      <c r="N3365" s="700"/>
      <c r="O3365" s="974">
        <f t="shared" si="341"/>
        <v>200000</v>
      </c>
      <c r="P3365" s="1202"/>
      <c r="Q3365" s="1838"/>
      <c r="R3365" s="1838"/>
      <c r="S3365" s="1838"/>
      <c r="T3365" s="1838"/>
      <c r="U3365" s="1838"/>
      <c r="V3365" s="1838"/>
      <c r="W3365" s="1838"/>
      <c r="X3365" s="1838"/>
      <c r="Y3365" s="1838"/>
      <c r="Z3365" s="1838"/>
      <c r="AA3365" s="1838"/>
      <c r="AB3365" s="1838"/>
      <c r="AC3365" s="1838"/>
      <c r="AD3365" s="1838"/>
      <c r="AE3365" s="1838"/>
      <c r="AF3365" s="1838"/>
      <c r="AG3365" s="1838"/>
      <c r="AH3365" s="1838"/>
      <c r="AI3365" s="1838"/>
      <c r="AJ3365" s="1838"/>
      <c r="AK3365" s="1838"/>
      <c r="AL3365" s="1838"/>
      <c r="AM3365" s="1838"/>
      <c r="AN3365" s="1838"/>
      <c r="AO3365" s="1838"/>
      <c r="AP3365" s="1838"/>
      <c r="AQ3365" s="1838"/>
      <c r="AR3365" s="1838"/>
      <c r="AS3365" s="1838"/>
      <c r="AT3365" s="1838"/>
      <c r="AU3365" s="1838"/>
      <c r="AV3365" s="1838"/>
      <c r="AW3365" s="1838"/>
      <c r="AX3365" s="1838"/>
      <c r="AY3365" s="1838"/>
      <c r="AZ3365" s="1838"/>
      <c r="BA3365" s="1838"/>
      <c r="BB3365" s="1838"/>
      <c r="BC3365" s="1838"/>
      <c r="BD3365" s="1838"/>
      <c r="BE3365" s="1838"/>
      <c r="BF3365" s="1838"/>
      <c r="BG3365" s="1838"/>
      <c r="BH3365" s="1838"/>
      <c r="BI3365" s="1838"/>
      <c r="BJ3365" s="1838"/>
      <c r="BK3365" s="1838"/>
      <c r="BL3365" s="1838"/>
      <c r="BM3365" s="1838"/>
      <c r="BN3365" s="1838"/>
      <c r="BO3365" s="1838"/>
      <c r="BP3365" s="1838"/>
      <c r="BQ3365" s="1838"/>
      <c r="BR3365" s="1838"/>
      <c r="BS3365" s="1838"/>
      <c r="BT3365" s="1838"/>
      <c r="BU3365" s="1838"/>
      <c r="BV3365" s="1838"/>
      <c r="BW3365" s="1838"/>
      <c r="BX3365" s="1838"/>
      <c r="BY3365" s="1838"/>
      <c r="BZ3365" s="1838"/>
      <c r="CA3365" s="1838"/>
      <c r="CB3365" s="1838"/>
      <c r="CC3365" s="1838"/>
      <c r="CD3365" s="1838"/>
      <c r="CE3365" s="1838"/>
      <c r="CF3365" s="1838"/>
      <c r="CG3365" s="1838"/>
      <c r="CH3365" s="1838"/>
      <c r="CI3365" s="1838"/>
      <c r="CJ3365" s="1838"/>
      <c r="CK3365" s="1838"/>
    </row>
    <row r="3366" spans="1:89" s="675" customFormat="1" ht="16.5" customHeight="1" x14ac:dyDescent="0.25">
      <c r="A3366" s="697"/>
      <c r="B3366" s="1002" t="s">
        <v>1229</v>
      </c>
      <c r="C3366" s="1007">
        <v>1</v>
      </c>
      <c r="D3366" s="1005" t="s">
        <v>294</v>
      </c>
      <c r="E3366" s="1006">
        <v>200000</v>
      </c>
      <c r="F3366" s="700"/>
      <c r="G3366" s="700"/>
      <c r="H3366" s="700"/>
      <c r="I3366" s="700"/>
      <c r="J3366" s="700">
        <v>200000</v>
      </c>
      <c r="K3366" s="700">
        <f>I3366+J3366</f>
        <v>200000</v>
      </c>
      <c r="L3366" s="700"/>
      <c r="M3366" s="700"/>
      <c r="N3366" s="700"/>
      <c r="O3366" s="974">
        <f t="shared" si="341"/>
        <v>200000</v>
      </c>
      <c r="P3366" s="956"/>
      <c r="Q3366" s="1821"/>
      <c r="R3366" s="1821"/>
      <c r="S3366" s="1821"/>
      <c r="T3366" s="1821"/>
      <c r="U3366" s="1821"/>
      <c r="V3366" s="1821"/>
      <c r="W3366" s="1821"/>
      <c r="X3366" s="1821"/>
      <c r="Y3366" s="1821"/>
      <c r="Z3366" s="1821"/>
      <c r="AA3366" s="1821"/>
      <c r="AB3366" s="1821"/>
      <c r="AC3366" s="1821"/>
      <c r="AD3366" s="1821"/>
      <c r="AE3366" s="1821"/>
      <c r="AF3366" s="1821"/>
      <c r="AG3366" s="1821"/>
      <c r="AH3366" s="1821"/>
      <c r="AI3366" s="1821"/>
      <c r="AJ3366" s="1821"/>
      <c r="AK3366" s="1821"/>
      <c r="AL3366" s="1821"/>
      <c r="AM3366" s="1821"/>
      <c r="AN3366" s="1821"/>
      <c r="AO3366" s="1821"/>
      <c r="AP3366" s="1821"/>
      <c r="AQ3366" s="1821"/>
      <c r="AR3366" s="1821"/>
      <c r="AS3366" s="1821"/>
      <c r="AT3366" s="1821"/>
      <c r="AU3366" s="1821"/>
      <c r="AV3366" s="1821"/>
      <c r="AW3366" s="1821"/>
      <c r="AX3366" s="1821"/>
      <c r="AY3366" s="1821"/>
      <c r="AZ3366" s="1821"/>
      <c r="BA3366" s="1821"/>
      <c r="BB3366" s="1821"/>
      <c r="BC3366" s="1821"/>
      <c r="BD3366" s="1821"/>
      <c r="BE3366" s="1821"/>
      <c r="BF3366" s="1821"/>
      <c r="BG3366" s="1821"/>
      <c r="BH3366" s="1821"/>
      <c r="BI3366" s="1821"/>
      <c r="BJ3366" s="1821"/>
      <c r="BK3366" s="1821"/>
      <c r="BL3366" s="1821"/>
      <c r="BM3366" s="1821"/>
      <c r="BN3366" s="1821"/>
      <c r="BO3366" s="1821"/>
      <c r="BP3366" s="1821"/>
      <c r="BQ3366" s="1821"/>
      <c r="BR3366" s="1821"/>
      <c r="BS3366" s="1821"/>
      <c r="BT3366" s="1821"/>
      <c r="BU3366" s="1821"/>
      <c r="BV3366" s="1821"/>
      <c r="BW3366" s="1821"/>
      <c r="BX3366" s="1821"/>
      <c r="BY3366" s="1821"/>
      <c r="BZ3366" s="1821"/>
      <c r="CA3366" s="1821"/>
      <c r="CB3366" s="1821"/>
      <c r="CC3366" s="1821"/>
      <c r="CD3366" s="1821"/>
      <c r="CE3366" s="1821"/>
      <c r="CF3366" s="1821"/>
      <c r="CG3366" s="1821"/>
      <c r="CH3366" s="1821"/>
      <c r="CI3366" s="1821"/>
      <c r="CJ3366" s="1821"/>
      <c r="CK3366" s="1821"/>
    </row>
    <row r="3367" spans="1:89" s="675" customFormat="1" ht="16.5" customHeight="1" x14ac:dyDescent="0.25">
      <c r="A3367" s="697"/>
      <c r="B3367" s="1002" t="s">
        <v>1230</v>
      </c>
      <c r="C3367" s="1007">
        <v>1</v>
      </c>
      <c r="D3367" s="1005" t="s">
        <v>294</v>
      </c>
      <c r="E3367" s="1006">
        <v>200000</v>
      </c>
      <c r="F3367" s="700"/>
      <c r="G3367" s="700"/>
      <c r="H3367" s="700"/>
      <c r="I3367" s="700"/>
      <c r="J3367" s="700">
        <v>200000</v>
      </c>
      <c r="K3367" s="700">
        <f>I3367+J3367</f>
        <v>200000</v>
      </c>
      <c r="L3367" s="700"/>
      <c r="M3367" s="700"/>
      <c r="N3367" s="700"/>
      <c r="O3367" s="974">
        <f t="shared" si="341"/>
        <v>200000</v>
      </c>
      <c r="P3367" s="956"/>
      <c r="Q3367" s="1821"/>
      <c r="R3367" s="1821"/>
      <c r="S3367" s="1821"/>
      <c r="T3367" s="1821"/>
      <c r="U3367" s="1821"/>
      <c r="V3367" s="1821"/>
      <c r="W3367" s="1821"/>
      <c r="X3367" s="1821"/>
      <c r="Y3367" s="1821"/>
      <c r="Z3367" s="1821"/>
      <c r="AA3367" s="1821"/>
      <c r="AB3367" s="1821"/>
      <c r="AC3367" s="1821"/>
      <c r="AD3367" s="1821"/>
      <c r="AE3367" s="1821"/>
      <c r="AF3367" s="1821"/>
      <c r="AG3367" s="1821"/>
      <c r="AH3367" s="1821"/>
      <c r="AI3367" s="1821"/>
      <c r="AJ3367" s="1821"/>
      <c r="AK3367" s="1821"/>
      <c r="AL3367" s="1821"/>
      <c r="AM3367" s="1821"/>
      <c r="AN3367" s="1821"/>
      <c r="AO3367" s="1821"/>
      <c r="AP3367" s="1821"/>
      <c r="AQ3367" s="1821"/>
      <c r="AR3367" s="1821"/>
      <c r="AS3367" s="1821"/>
      <c r="AT3367" s="1821"/>
      <c r="AU3367" s="1821"/>
      <c r="AV3367" s="1821"/>
      <c r="AW3367" s="1821"/>
      <c r="AX3367" s="1821"/>
      <c r="AY3367" s="1821"/>
      <c r="AZ3367" s="1821"/>
      <c r="BA3367" s="1821"/>
      <c r="BB3367" s="1821"/>
      <c r="BC3367" s="1821"/>
      <c r="BD3367" s="1821"/>
      <c r="BE3367" s="1821"/>
      <c r="BF3367" s="1821"/>
      <c r="BG3367" s="1821"/>
      <c r="BH3367" s="1821"/>
      <c r="BI3367" s="1821"/>
      <c r="BJ3367" s="1821"/>
      <c r="BK3367" s="1821"/>
      <c r="BL3367" s="1821"/>
      <c r="BM3367" s="1821"/>
      <c r="BN3367" s="1821"/>
      <c r="BO3367" s="1821"/>
      <c r="BP3367" s="1821"/>
      <c r="BQ3367" s="1821"/>
      <c r="BR3367" s="1821"/>
      <c r="BS3367" s="1821"/>
      <c r="BT3367" s="1821"/>
      <c r="BU3367" s="1821"/>
      <c r="BV3367" s="1821"/>
      <c r="BW3367" s="1821"/>
      <c r="BX3367" s="1821"/>
      <c r="BY3367" s="1821"/>
      <c r="BZ3367" s="1821"/>
      <c r="CA3367" s="1821"/>
      <c r="CB3367" s="1821"/>
      <c r="CC3367" s="1821"/>
      <c r="CD3367" s="1821"/>
      <c r="CE3367" s="1821"/>
      <c r="CF3367" s="1821"/>
      <c r="CG3367" s="1821"/>
      <c r="CH3367" s="1821"/>
      <c r="CI3367" s="1821"/>
      <c r="CJ3367" s="1821"/>
      <c r="CK3367" s="1821"/>
    </row>
    <row r="3368" spans="1:89" s="675" customFormat="1" ht="16.5" customHeight="1" x14ac:dyDescent="0.25">
      <c r="A3368" s="697"/>
      <c r="B3368" s="1002" t="s">
        <v>1231</v>
      </c>
      <c r="C3368" s="1007">
        <v>1</v>
      </c>
      <c r="D3368" s="1005" t="s">
        <v>294</v>
      </c>
      <c r="E3368" s="1006">
        <v>200000</v>
      </c>
      <c r="F3368" s="700"/>
      <c r="G3368" s="700"/>
      <c r="H3368" s="700"/>
      <c r="I3368" s="700"/>
      <c r="J3368" s="700">
        <v>200000</v>
      </c>
      <c r="K3368" s="700">
        <f>I3368+J3368</f>
        <v>200000</v>
      </c>
      <c r="L3368" s="700"/>
      <c r="M3368" s="700"/>
      <c r="N3368" s="700"/>
      <c r="O3368" s="974">
        <f t="shared" si="341"/>
        <v>200000</v>
      </c>
      <c r="P3368" s="956"/>
      <c r="Q3368" s="1821"/>
      <c r="R3368" s="1821"/>
      <c r="S3368" s="1821"/>
      <c r="T3368" s="1821"/>
      <c r="U3368" s="1821"/>
      <c r="V3368" s="1821"/>
      <c r="W3368" s="1821"/>
      <c r="X3368" s="1821"/>
      <c r="Y3368" s="1821"/>
      <c r="Z3368" s="1821"/>
      <c r="AA3368" s="1821"/>
      <c r="AB3368" s="1821"/>
      <c r="AC3368" s="1821"/>
      <c r="AD3368" s="1821"/>
      <c r="AE3368" s="1821"/>
      <c r="AF3368" s="1821"/>
      <c r="AG3368" s="1821"/>
      <c r="AH3368" s="1821"/>
      <c r="AI3368" s="1821"/>
      <c r="AJ3368" s="1821"/>
      <c r="AK3368" s="1821"/>
      <c r="AL3368" s="1821"/>
      <c r="AM3368" s="1821"/>
      <c r="AN3368" s="1821"/>
      <c r="AO3368" s="1821"/>
      <c r="AP3368" s="1821"/>
      <c r="AQ3368" s="1821"/>
      <c r="AR3368" s="1821"/>
      <c r="AS3368" s="1821"/>
      <c r="AT3368" s="1821"/>
      <c r="AU3368" s="1821"/>
      <c r="AV3368" s="1821"/>
      <c r="AW3368" s="1821"/>
      <c r="AX3368" s="1821"/>
      <c r="AY3368" s="1821"/>
      <c r="AZ3368" s="1821"/>
      <c r="BA3368" s="1821"/>
      <c r="BB3368" s="1821"/>
      <c r="BC3368" s="1821"/>
      <c r="BD3368" s="1821"/>
      <c r="BE3368" s="1821"/>
      <c r="BF3368" s="1821"/>
      <c r="BG3368" s="1821"/>
      <c r="BH3368" s="1821"/>
      <c r="BI3368" s="1821"/>
      <c r="BJ3368" s="1821"/>
      <c r="BK3368" s="1821"/>
      <c r="BL3368" s="1821"/>
      <c r="BM3368" s="1821"/>
      <c r="BN3368" s="1821"/>
      <c r="BO3368" s="1821"/>
      <c r="BP3368" s="1821"/>
      <c r="BQ3368" s="1821"/>
      <c r="BR3368" s="1821"/>
      <c r="BS3368" s="1821"/>
      <c r="BT3368" s="1821"/>
      <c r="BU3368" s="1821"/>
      <c r="BV3368" s="1821"/>
      <c r="BW3368" s="1821"/>
      <c r="BX3368" s="1821"/>
      <c r="BY3368" s="1821"/>
      <c r="BZ3368" s="1821"/>
      <c r="CA3368" s="1821"/>
      <c r="CB3368" s="1821"/>
      <c r="CC3368" s="1821"/>
      <c r="CD3368" s="1821"/>
      <c r="CE3368" s="1821"/>
      <c r="CF3368" s="1821"/>
      <c r="CG3368" s="1821"/>
      <c r="CH3368" s="1821"/>
      <c r="CI3368" s="1821"/>
      <c r="CJ3368" s="1821"/>
      <c r="CK3368" s="1821"/>
    </row>
    <row r="3369" spans="1:89" s="675" customFormat="1" ht="16.5" customHeight="1" x14ac:dyDescent="0.25">
      <c r="A3369" s="697"/>
      <c r="B3369" s="1002" t="s">
        <v>1232</v>
      </c>
      <c r="C3369" s="1007">
        <v>1</v>
      </c>
      <c r="D3369" s="1005" t="s">
        <v>294</v>
      </c>
      <c r="E3369" s="1006">
        <v>200000</v>
      </c>
      <c r="F3369" s="700"/>
      <c r="G3369" s="700"/>
      <c r="H3369" s="700"/>
      <c r="I3369" s="700"/>
      <c r="J3369" s="700">
        <v>200000</v>
      </c>
      <c r="K3369" s="700">
        <f>I3369+J3369</f>
        <v>200000</v>
      </c>
      <c r="L3369" s="700"/>
      <c r="M3369" s="700"/>
      <c r="N3369" s="700"/>
      <c r="O3369" s="974">
        <f t="shared" si="341"/>
        <v>200000</v>
      </c>
      <c r="P3369" s="956"/>
      <c r="Q3369" s="1821"/>
      <c r="R3369" s="1821"/>
      <c r="S3369" s="1821"/>
      <c r="T3369" s="1821"/>
      <c r="U3369" s="1821"/>
      <c r="V3369" s="1821"/>
      <c r="W3369" s="1821"/>
      <c r="X3369" s="1821"/>
      <c r="Y3369" s="1821"/>
      <c r="Z3369" s="1821"/>
      <c r="AA3369" s="1821"/>
      <c r="AB3369" s="1821"/>
      <c r="AC3369" s="1821"/>
      <c r="AD3369" s="1821"/>
      <c r="AE3369" s="1821"/>
      <c r="AF3369" s="1821"/>
      <c r="AG3369" s="1821"/>
      <c r="AH3369" s="1821"/>
      <c r="AI3369" s="1821"/>
      <c r="AJ3369" s="1821"/>
      <c r="AK3369" s="1821"/>
      <c r="AL3369" s="1821"/>
      <c r="AM3369" s="1821"/>
      <c r="AN3369" s="1821"/>
      <c r="AO3369" s="1821"/>
      <c r="AP3369" s="1821"/>
      <c r="AQ3369" s="1821"/>
      <c r="AR3369" s="1821"/>
      <c r="AS3369" s="1821"/>
      <c r="AT3369" s="1821"/>
      <c r="AU3369" s="1821"/>
      <c r="AV3369" s="1821"/>
      <c r="AW3369" s="1821"/>
      <c r="AX3369" s="1821"/>
      <c r="AY3369" s="1821"/>
      <c r="AZ3369" s="1821"/>
      <c r="BA3369" s="1821"/>
      <c r="BB3369" s="1821"/>
      <c r="BC3369" s="1821"/>
      <c r="BD3369" s="1821"/>
      <c r="BE3369" s="1821"/>
      <c r="BF3369" s="1821"/>
      <c r="BG3369" s="1821"/>
      <c r="BH3369" s="1821"/>
      <c r="BI3369" s="1821"/>
      <c r="BJ3369" s="1821"/>
      <c r="BK3369" s="1821"/>
      <c r="BL3369" s="1821"/>
      <c r="BM3369" s="1821"/>
      <c r="BN3369" s="1821"/>
      <c r="BO3369" s="1821"/>
      <c r="BP3369" s="1821"/>
      <c r="BQ3369" s="1821"/>
      <c r="BR3369" s="1821"/>
      <c r="BS3369" s="1821"/>
      <c r="BT3369" s="1821"/>
      <c r="BU3369" s="1821"/>
      <c r="BV3369" s="1821"/>
      <c r="BW3369" s="1821"/>
      <c r="BX3369" s="1821"/>
      <c r="BY3369" s="1821"/>
      <c r="BZ3369" s="1821"/>
      <c r="CA3369" s="1821"/>
      <c r="CB3369" s="1821"/>
      <c r="CC3369" s="1821"/>
      <c r="CD3369" s="1821"/>
      <c r="CE3369" s="1821"/>
      <c r="CF3369" s="1821"/>
      <c r="CG3369" s="1821"/>
      <c r="CH3369" s="1821"/>
      <c r="CI3369" s="1821"/>
      <c r="CJ3369" s="1821"/>
      <c r="CK3369" s="1821"/>
    </row>
    <row r="3370" spans="1:89" s="675" customFormat="1" ht="16.5" customHeight="1" x14ac:dyDescent="0.25">
      <c r="A3370" s="697"/>
      <c r="B3370" s="1002"/>
      <c r="C3370" s="1007"/>
      <c r="D3370" s="1005"/>
      <c r="E3370" s="1006"/>
      <c r="F3370" s="700"/>
      <c r="G3370" s="700"/>
      <c r="H3370" s="700"/>
      <c r="I3370" s="700"/>
      <c r="J3370" s="700"/>
      <c r="K3370" s="700"/>
      <c r="L3370" s="700"/>
      <c r="M3370" s="700"/>
      <c r="N3370" s="700"/>
      <c r="O3370" s="974"/>
      <c r="P3370" s="956"/>
      <c r="Q3370" s="1821"/>
      <c r="R3370" s="1821"/>
      <c r="S3370" s="1821"/>
      <c r="T3370" s="1821"/>
      <c r="U3370" s="1821"/>
      <c r="V3370" s="1821"/>
      <c r="W3370" s="1821"/>
      <c r="X3370" s="1821"/>
      <c r="Y3370" s="1821"/>
      <c r="Z3370" s="1821"/>
      <c r="AA3370" s="1821"/>
      <c r="AB3370" s="1821"/>
      <c r="AC3370" s="1821"/>
      <c r="AD3370" s="1821"/>
      <c r="AE3370" s="1821"/>
      <c r="AF3370" s="1821"/>
      <c r="AG3370" s="1821"/>
      <c r="AH3370" s="1821"/>
      <c r="AI3370" s="1821"/>
      <c r="AJ3370" s="1821"/>
      <c r="AK3370" s="1821"/>
      <c r="AL3370" s="1821"/>
      <c r="AM3370" s="1821"/>
      <c r="AN3370" s="1821"/>
      <c r="AO3370" s="1821"/>
      <c r="AP3370" s="1821"/>
      <c r="AQ3370" s="1821"/>
      <c r="AR3370" s="1821"/>
      <c r="AS3370" s="1821"/>
      <c r="AT3370" s="1821"/>
      <c r="AU3370" s="1821"/>
      <c r="AV3370" s="1821"/>
      <c r="AW3370" s="1821"/>
      <c r="AX3370" s="1821"/>
      <c r="AY3370" s="1821"/>
      <c r="AZ3370" s="1821"/>
      <c r="BA3370" s="1821"/>
      <c r="BB3370" s="1821"/>
      <c r="BC3370" s="1821"/>
      <c r="BD3370" s="1821"/>
      <c r="BE3370" s="1821"/>
      <c r="BF3370" s="1821"/>
      <c r="BG3370" s="1821"/>
      <c r="BH3370" s="1821"/>
      <c r="BI3370" s="1821"/>
      <c r="BJ3370" s="1821"/>
      <c r="BK3370" s="1821"/>
      <c r="BL3370" s="1821"/>
      <c r="BM3370" s="1821"/>
      <c r="BN3370" s="1821"/>
      <c r="BO3370" s="1821"/>
      <c r="BP3370" s="1821"/>
      <c r="BQ3370" s="1821"/>
      <c r="BR3370" s="1821"/>
      <c r="BS3370" s="1821"/>
      <c r="BT3370" s="1821"/>
      <c r="BU3370" s="1821"/>
      <c r="BV3370" s="1821"/>
      <c r="BW3370" s="1821"/>
      <c r="BX3370" s="1821"/>
      <c r="BY3370" s="1821"/>
      <c r="BZ3370" s="1821"/>
      <c r="CA3370" s="1821"/>
      <c r="CB3370" s="1821"/>
      <c r="CC3370" s="1821"/>
      <c r="CD3370" s="1821"/>
      <c r="CE3370" s="1821"/>
      <c r="CF3370" s="1821"/>
      <c r="CG3370" s="1821"/>
      <c r="CH3370" s="1821"/>
      <c r="CI3370" s="1821"/>
      <c r="CJ3370" s="1821"/>
      <c r="CK3370" s="1821"/>
    </row>
    <row r="3371" spans="1:89" s="675" customFormat="1" ht="16.5" customHeight="1" x14ac:dyDescent="0.25">
      <c r="A3371" s="697" t="s">
        <v>345</v>
      </c>
      <c r="B3371" s="1002" t="s">
        <v>339</v>
      </c>
      <c r="C3371" s="1007">
        <f>SUM(O3374:O3378)</f>
        <v>191792</v>
      </c>
      <c r="D3371" s="1005"/>
      <c r="E3371" s="1006"/>
      <c r="F3371" s="700"/>
      <c r="G3371" s="700"/>
      <c r="H3371" s="700"/>
      <c r="I3371" s="700"/>
      <c r="J3371" s="700"/>
      <c r="K3371" s="700"/>
      <c r="L3371" s="700"/>
      <c r="M3371" s="700"/>
      <c r="N3371" s="700"/>
      <c r="O3371" s="974"/>
      <c r="P3371" s="956"/>
      <c r="Q3371" s="1821"/>
      <c r="R3371" s="1821"/>
      <c r="S3371" s="1821"/>
      <c r="T3371" s="1821"/>
      <c r="U3371" s="1821"/>
      <c r="V3371" s="1821"/>
      <c r="W3371" s="1821"/>
      <c r="X3371" s="1821"/>
      <c r="Y3371" s="1821"/>
      <c r="Z3371" s="1821"/>
      <c r="AA3371" s="1821"/>
      <c r="AB3371" s="1821"/>
      <c r="AC3371" s="1821"/>
      <c r="AD3371" s="1821"/>
      <c r="AE3371" s="1821"/>
      <c r="AF3371" s="1821"/>
      <c r="AG3371" s="1821"/>
      <c r="AH3371" s="1821"/>
      <c r="AI3371" s="1821"/>
      <c r="AJ3371" s="1821"/>
      <c r="AK3371" s="1821"/>
      <c r="AL3371" s="1821"/>
      <c r="AM3371" s="1821"/>
      <c r="AN3371" s="1821"/>
      <c r="AO3371" s="1821"/>
      <c r="AP3371" s="1821"/>
      <c r="AQ3371" s="1821"/>
      <c r="AR3371" s="1821"/>
      <c r="AS3371" s="1821"/>
      <c r="AT3371" s="1821"/>
      <c r="AU3371" s="1821"/>
      <c r="AV3371" s="1821"/>
      <c r="AW3371" s="1821"/>
      <c r="AX3371" s="1821"/>
      <c r="AY3371" s="1821"/>
      <c r="AZ3371" s="1821"/>
      <c r="BA3371" s="1821"/>
      <c r="BB3371" s="1821"/>
      <c r="BC3371" s="1821"/>
      <c r="BD3371" s="1821"/>
      <c r="BE3371" s="1821"/>
      <c r="BF3371" s="1821"/>
      <c r="BG3371" s="1821"/>
      <c r="BH3371" s="1821"/>
      <c r="BI3371" s="1821"/>
      <c r="BJ3371" s="1821"/>
      <c r="BK3371" s="1821"/>
      <c r="BL3371" s="1821"/>
      <c r="BM3371" s="1821"/>
      <c r="BN3371" s="1821"/>
      <c r="BO3371" s="1821"/>
      <c r="BP3371" s="1821"/>
      <c r="BQ3371" s="1821"/>
      <c r="BR3371" s="1821"/>
      <c r="BS3371" s="1821"/>
      <c r="BT3371" s="1821"/>
      <c r="BU3371" s="1821"/>
      <c r="BV3371" s="1821"/>
      <c r="BW3371" s="1821"/>
      <c r="BX3371" s="1821"/>
      <c r="BY3371" s="1821"/>
      <c r="BZ3371" s="1821"/>
      <c r="CA3371" s="1821"/>
      <c r="CB3371" s="1821"/>
      <c r="CC3371" s="1821"/>
      <c r="CD3371" s="1821"/>
      <c r="CE3371" s="1821"/>
      <c r="CF3371" s="1821"/>
      <c r="CG3371" s="1821"/>
      <c r="CH3371" s="1821"/>
      <c r="CI3371" s="1821"/>
      <c r="CJ3371" s="1821"/>
      <c r="CK3371" s="1821"/>
    </row>
    <row r="3372" spans="1:89" s="675" customFormat="1" ht="16.5" customHeight="1" x14ac:dyDescent="0.25">
      <c r="A3372" s="697">
        <v>11</v>
      </c>
      <c r="B3372" s="1002" t="s">
        <v>346</v>
      </c>
      <c r="C3372" s="1007"/>
      <c r="D3372" s="1005"/>
      <c r="E3372" s="1006"/>
      <c r="F3372" s="700"/>
      <c r="G3372" s="700"/>
      <c r="H3372" s="700"/>
      <c r="I3372" s="700"/>
      <c r="J3372" s="700"/>
      <c r="K3372" s="700"/>
      <c r="L3372" s="700"/>
      <c r="M3372" s="700"/>
      <c r="N3372" s="700"/>
      <c r="O3372" s="974"/>
      <c r="P3372" s="956"/>
      <c r="Q3372" s="1821"/>
      <c r="R3372" s="1821"/>
      <c r="S3372" s="1821"/>
      <c r="T3372" s="1821"/>
      <c r="U3372" s="1821"/>
      <c r="V3372" s="1821"/>
      <c r="W3372" s="1821"/>
      <c r="X3372" s="1821"/>
      <c r="Y3372" s="1821"/>
      <c r="Z3372" s="1821"/>
      <c r="AA3372" s="1821"/>
      <c r="AB3372" s="1821"/>
      <c r="AC3372" s="1821"/>
      <c r="AD3372" s="1821"/>
      <c r="AE3372" s="1821"/>
      <c r="AF3372" s="1821"/>
      <c r="AG3372" s="1821"/>
      <c r="AH3372" s="1821"/>
      <c r="AI3372" s="1821"/>
      <c r="AJ3372" s="1821"/>
      <c r="AK3372" s="1821"/>
      <c r="AL3372" s="1821"/>
      <c r="AM3372" s="1821"/>
      <c r="AN3372" s="1821"/>
      <c r="AO3372" s="1821"/>
      <c r="AP3372" s="1821"/>
      <c r="AQ3372" s="1821"/>
      <c r="AR3372" s="1821"/>
      <c r="AS3372" s="1821"/>
      <c r="AT3372" s="1821"/>
      <c r="AU3372" s="1821"/>
      <c r="AV3372" s="1821"/>
      <c r="AW3372" s="1821"/>
      <c r="AX3372" s="1821"/>
      <c r="AY3372" s="1821"/>
      <c r="AZ3372" s="1821"/>
      <c r="BA3372" s="1821"/>
      <c r="BB3372" s="1821"/>
      <c r="BC3372" s="1821"/>
      <c r="BD3372" s="1821"/>
      <c r="BE3372" s="1821"/>
      <c r="BF3372" s="1821"/>
      <c r="BG3372" s="1821"/>
      <c r="BH3372" s="1821"/>
      <c r="BI3372" s="1821"/>
      <c r="BJ3372" s="1821"/>
      <c r="BK3372" s="1821"/>
      <c r="BL3372" s="1821"/>
      <c r="BM3372" s="1821"/>
      <c r="BN3372" s="1821"/>
      <c r="BO3372" s="1821"/>
      <c r="BP3372" s="1821"/>
      <c r="BQ3372" s="1821"/>
      <c r="BR3372" s="1821"/>
      <c r="BS3372" s="1821"/>
      <c r="BT3372" s="1821"/>
      <c r="BU3372" s="1821"/>
      <c r="BV3372" s="1821"/>
      <c r="BW3372" s="1821"/>
      <c r="BX3372" s="1821"/>
      <c r="BY3372" s="1821"/>
      <c r="BZ3372" s="1821"/>
      <c r="CA3372" s="1821"/>
      <c r="CB3372" s="1821"/>
      <c r="CC3372" s="1821"/>
      <c r="CD3372" s="1821"/>
      <c r="CE3372" s="1821"/>
      <c r="CF3372" s="1821"/>
      <c r="CG3372" s="1821"/>
      <c r="CH3372" s="1821"/>
      <c r="CI3372" s="1821"/>
      <c r="CJ3372" s="1821"/>
      <c r="CK3372" s="1821"/>
    </row>
    <row r="3373" spans="1:89" s="675" customFormat="1" ht="16.5" customHeight="1" x14ac:dyDescent="0.25">
      <c r="A3373" s="697"/>
      <c r="B3373" s="1002" t="s">
        <v>340</v>
      </c>
      <c r="C3373" s="1007"/>
      <c r="D3373" s="1005"/>
      <c r="E3373" s="1006"/>
      <c r="F3373" s="700"/>
      <c r="G3373" s="700"/>
      <c r="H3373" s="700"/>
      <c r="I3373" s="700"/>
      <c r="J3373" s="700"/>
      <c r="K3373" s="700"/>
      <c r="L3373" s="700"/>
      <c r="M3373" s="700"/>
      <c r="N3373" s="700"/>
      <c r="O3373" s="974"/>
      <c r="P3373" s="956"/>
      <c r="Q3373" s="1821"/>
      <c r="R3373" s="1821"/>
      <c r="S3373" s="1821"/>
      <c r="T3373" s="1821"/>
      <c r="U3373" s="1821"/>
      <c r="V3373" s="1821"/>
      <c r="W3373" s="1821"/>
      <c r="X3373" s="1821"/>
      <c r="Y3373" s="1821"/>
      <c r="Z3373" s="1821"/>
      <c r="AA3373" s="1821"/>
      <c r="AB3373" s="1821"/>
      <c r="AC3373" s="1821"/>
      <c r="AD3373" s="1821"/>
      <c r="AE3373" s="1821"/>
      <c r="AF3373" s="1821"/>
      <c r="AG3373" s="1821"/>
      <c r="AH3373" s="1821"/>
      <c r="AI3373" s="1821"/>
      <c r="AJ3373" s="1821"/>
      <c r="AK3373" s="1821"/>
      <c r="AL3373" s="1821"/>
      <c r="AM3373" s="1821"/>
      <c r="AN3373" s="1821"/>
      <c r="AO3373" s="1821"/>
      <c r="AP3373" s="1821"/>
      <c r="AQ3373" s="1821"/>
      <c r="AR3373" s="1821"/>
      <c r="AS3373" s="1821"/>
      <c r="AT3373" s="1821"/>
      <c r="AU3373" s="1821"/>
      <c r="AV3373" s="1821"/>
      <c r="AW3373" s="1821"/>
      <c r="AX3373" s="1821"/>
      <c r="AY3373" s="1821"/>
      <c r="AZ3373" s="1821"/>
      <c r="BA3373" s="1821"/>
      <c r="BB3373" s="1821"/>
      <c r="BC3373" s="1821"/>
      <c r="BD3373" s="1821"/>
      <c r="BE3373" s="1821"/>
      <c r="BF3373" s="1821"/>
      <c r="BG3373" s="1821"/>
      <c r="BH3373" s="1821"/>
      <c r="BI3373" s="1821"/>
      <c r="BJ3373" s="1821"/>
      <c r="BK3373" s="1821"/>
      <c r="BL3373" s="1821"/>
      <c r="BM3373" s="1821"/>
      <c r="BN3373" s="1821"/>
      <c r="BO3373" s="1821"/>
      <c r="BP3373" s="1821"/>
      <c r="BQ3373" s="1821"/>
      <c r="BR3373" s="1821"/>
      <c r="BS3373" s="1821"/>
      <c r="BT3373" s="1821"/>
      <c r="BU3373" s="1821"/>
      <c r="BV3373" s="1821"/>
      <c r="BW3373" s="1821"/>
      <c r="BX3373" s="1821"/>
      <c r="BY3373" s="1821"/>
      <c r="BZ3373" s="1821"/>
      <c r="CA3373" s="1821"/>
      <c r="CB3373" s="1821"/>
      <c r="CC3373" s="1821"/>
      <c r="CD3373" s="1821"/>
      <c r="CE3373" s="1821"/>
      <c r="CF3373" s="1821"/>
      <c r="CG3373" s="1821"/>
      <c r="CH3373" s="1821"/>
      <c r="CI3373" s="1821"/>
      <c r="CJ3373" s="1821"/>
      <c r="CK3373" s="1821"/>
    </row>
    <row r="3374" spans="1:89" s="675" customFormat="1" ht="16.5" customHeight="1" x14ac:dyDescent="0.25">
      <c r="A3374" s="697"/>
      <c r="B3374" s="1002" t="s">
        <v>215</v>
      </c>
      <c r="C3374" s="1007">
        <v>1</v>
      </c>
      <c r="D3374" s="1005" t="s">
        <v>294</v>
      </c>
      <c r="E3374" s="700">
        <v>36000</v>
      </c>
      <c r="F3374" s="700"/>
      <c r="G3374" s="700"/>
      <c r="H3374" s="700">
        <f>G3374+F3374</f>
        <v>0</v>
      </c>
      <c r="I3374" s="700">
        <f>C3374*E3374</f>
        <v>36000</v>
      </c>
      <c r="J3374" s="700"/>
      <c r="K3374" s="700">
        <f t="shared" si="339"/>
        <v>36000</v>
      </c>
      <c r="L3374" s="700"/>
      <c r="M3374" s="700"/>
      <c r="N3374" s="700">
        <f t="shared" si="340"/>
        <v>0</v>
      </c>
      <c r="O3374" s="974">
        <f>N3374+K3374+H3374</f>
        <v>36000</v>
      </c>
      <c r="P3374" s="956"/>
      <c r="Q3374" s="1821"/>
      <c r="R3374" s="1821"/>
      <c r="S3374" s="1821"/>
      <c r="T3374" s="1821"/>
      <c r="U3374" s="1821"/>
      <c r="V3374" s="1821"/>
      <c r="W3374" s="1821"/>
      <c r="X3374" s="1821"/>
      <c r="Y3374" s="1821"/>
      <c r="Z3374" s="1821"/>
      <c r="AA3374" s="1821"/>
      <c r="AB3374" s="1821"/>
      <c r="AC3374" s="1821"/>
      <c r="AD3374" s="1821"/>
      <c r="AE3374" s="1821"/>
      <c r="AF3374" s="1821"/>
      <c r="AG3374" s="1821"/>
      <c r="AH3374" s="1821"/>
      <c r="AI3374" s="1821"/>
      <c r="AJ3374" s="1821"/>
      <c r="AK3374" s="1821"/>
      <c r="AL3374" s="1821"/>
      <c r="AM3374" s="1821"/>
      <c r="AN3374" s="1821"/>
      <c r="AO3374" s="1821"/>
      <c r="AP3374" s="1821"/>
      <c r="AQ3374" s="1821"/>
      <c r="AR3374" s="1821"/>
      <c r="AS3374" s="1821"/>
      <c r="AT3374" s="1821"/>
      <c r="AU3374" s="1821"/>
      <c r="AV3374" s="1821"/>
      <c r="AW3374" s="1821"/>
      <c r="AX3374" s="1821"/>
      <c r="AY3374" s="1821"/>
      <c r="AZ3374" s="1821"/>
      <c r="BA3374" s="1821"/>
      <c r="BB3374" s="1821"/>
      <c r="BC3374" s="1821"/>
      <c r="BD3374" s="1821"/>
      <c r="BE3374" s="1821"/>
      <c r="BF3374" s="1821"/>
      <c r="BG3374" s="1821"/>
      <c r="BH3374" s="1821"/>
      <c r="BI3374" s="1821"/>
      <c r="BJ3374" s="1821"/>
      <c r="BK3374" s="1821"/>
      <c r="BL3374" s="1821"/>
      <c r="BM3374" s="1821"/>
      <c r="BN3374" s="1821"/>
      <c r="BO3374" s="1821"/>
      <c r="BP3374" s="1821"/>
      <c r="BQ3374" s="1821"/>
      <c r="BR3374" s="1821"/>
      <c r="BS3374" s="1821"/>
      <c r="BT3374" s="1821"/>
      <c r="BU3374" s="1821"/>
      <c r="BV3374" s="1821"/>
      <c r="BW3374" s="1821"/>
      <c r="BX3374" s="1821"/>
      <c r="BY3374" s="1821"/>
      <c r="BZ3374" s="1821"/>
      <c r="CA3374" s="1821"/>
      <c r="CB3374" s="1821"/>
      <c r="CC3374" s="1821"/>
      <c r="CD3374" s="1821"/>
      <c r="CE3374" s="1821"/>
      <c r="CF3374" s="1821"/>
      <c r="CG3374" s="1821"/>
      <c r="CH3374" s="1821"/>
      <c r="CI3374" s="1821"/>
      <c r="CJ3374" s="1821"/>
      <c r="CK3374" s="1821"/>
    </row>
    <row r="3375" spans="1:89" s="675" customFormat="1" ht="16.5" customHeight="1" x14ac:dyDescent="0.25">
      <c r="A3375" s="697"/>
      <c r="B3375" s="1002" t="s">
        <v>358</v>
      </c>
      <c r="C3375" s="1007"/>
      <c r="D3375" s="1005"/>
      <c r="E3375" s="1006"/>
      <c r="F3375" s="700"/>
      <c r="G3375" s="700"/>
      <c r="H3375" s="700"/>
      <c r="I3375" s="700"/>
      <c r="J3375" s="700"/>
      <c r="K3375" s="700">
        <f t="shared" si="339"/>
        <v>0</v>
      </c>
      <c r="L3375" s="700"/>
      <c r="M3375" s="700"/>
      <c r="N3375" s="700"/>
      <c r="O3375" s="974">
        <f t="shared" si="341"/>
        <v>0</v>
      </c>
      <c r="P3375" s="956"/>
      <c r="Q3375" s="1821"/>
      <c r="R3375" s="1821"/>
      <c r="S3375" s="1821"/>
      <c r="T3375" s="1821"/>
      <c r="U3375" s="1821"/>
      <c r="V3375" s="1821"/>
      <c r="W3375" s="1821"/>
      <c r="X3375" s="1821"/>
      <c r="Y3375" s="1821"/>
      <c r="Z3375" s="1821"/>
      <c r="AA3375" s="1821"/>
      <c r="AB3375" s="1821"/>
      <c r="AC3375" s="1821"/>
      <c r="AD3375" s="1821"/>
      <c r="AE3375" s="1821"/>
      <c r="AF3375" s="1821"/>
      <c r="AG3375" s="1821"/>
      <c r="AH3375" s="1821"/>
      <c r="AI3375" s="1821"/>
      <c r="AJ3375" s="1821"/>
      <c r="AK3375" s="1821"/>
      <c r="AL3375" s="1821"/>
      <c r="AM3375" s="1821"/>
      <c r="AN3375" s="1821"/>
      <c r="AO3375" s="1821"/>
      <c r="AP3375" s="1821"/>
      <c r="AQ3375" s="1821"/>
      <c r="AR3375" s="1821"/>
      <c r="AS3375" s="1821"/>
      <c r="AT3375" s="1821"/>
      <c r="AU3375" s="1821"/>
      <c r="AV3375" s="1821"/>
      <c r="AW3375" s="1821"/>
      <c r="AX3375" s="1821"/>
      <c r="AY3375" s="1821"/>
      <c r="AZ3375" s="1821"/>
      <c r="BA3375" s="1821"/>
      <c r="BB3375" s="1821"/>
      <c r="BC3375" s="1821"/>
      <c r="BD3375" s="1821"/>
      <c r="BE3375" s="1821"/>
      <c r="BF3375" s="1821"/>
      <c r="BG3375" s="1821"/>
      <c r="BH3375" s="1821"/>
      <c r="BI3375" s="1821"/>
      <c r="BJ3375" s="1821"/>
      <c r="BK3375" s="1821"/>
      <c r="BL3375" s="1821"/>
      <c r="BM3375" s="1821"/>
      <c r="BN3375" s="1821"/>
      <c r="BO3375" s="1821"/>
      <c r="BP3375" s="1821"/>
      <c r="BQ3375" s="1821"/>
      <c r="BR3375" s="1821"/>
      <c r="BS3375" s="1821"/>
      <c r="BT3375" s="1821"/>
      <c r="BU3375" s="1821"/>
      <c r="BV3375" s="1821"/>
      <c r="BW3375" s="1821"/>
      <c r="BX3375" s="1821"/>
      <c r="BY3375" s="1821"/>
      <c r="BZ3375" s="1821"/>
      <c r="CA3375" s="1821"/>
      <c r="CB3375" s="1821"/>
      <c r="CC3375" s="1821"/>
      <c r="CD3375" s="1821"/>
      <c r="CE3375" s="1821"/>
      <c r="CF3375" s="1821"/>
      <c r="CG3375" s="1821"/>
      <c r="CH3375" s="1821"/>
      <c r="CI3375" s="1821"/>
      <c r="CJ3375" s="1821"/>
      <c r="CK3375" s="1821"/>
    </row>
    <row r="3376" spans="1:89" s="675" customFormat="1" ht="16.5" customHeight="1" x14ac:dyDescent="0.25">
      <c r="A3376" s="697"/>
      <c r="B3376" s="1002" t="s">
        <v>359</v>
      </c>
      <c r="C3376" s="1007">
        <v>52</v>
      </c>
      <c r="D3376" s="1005" t="s">
        <v>51</v>
      </c>
      <c r="E3376" s="1006">
        <v>816.69230769230774</v>
      </c>
      <c r="F3376" s="700"/>
      <c r="G3376" s="700"/>
      <c r="H3376" s="700"/>
      <c r="I3376" s="700"/>
      <c r="J3376" s="700">
        <f>42468-12000</f>
        <v>30468</v>
      </c>
      <c r="K3376" s="700">
        <f t="shared" si="339"/>
        <v>30468</v>
      </c>
      <c r="L3376" s="700"/>
      <c r="M3376" s="700"/>
      <c r="N3376" s="700"/>
      <c r="O3376" s="974">
        <f t="shared" si="341"/>
        <v>30468</v>
      </c>
      <c r="P3376" s="956"/>
      <c r="Q3376" s="1821"/>
      <c r="R3376" s="1821"/>
      <c r="S3376" s="1821"/>
      <c r="T3376" s="1821"/>
      <c r="U3376" s="1821"/>
      <c r="V3376" s="1821"/>
      <c r="W3376" s="1821"/>
      <c r="X3376" s="1821"/>
      <c r="Y3376" s="1821"/>
      <c r="Z3376" s="1821"/>
      <c r="AA3376" s="1821"/>
      <c r="AB3376" s="1821"/>
      <c r="AC3376" s="1821"/>
      <c r="AD3376" s="1821"/>
      <c r="AE3376" s="1821"/>
      <c r="AF3376" s="1821"/>
      <c r="AG3376" s="1821"/>
      <c r="AH3376" s="1821"/>
      <c r="AI3376" s="1821"/>
      <c r="AJ3376" s="1821"/>
      <c r="AK3376" s="1821"/>
      <c r="AL3376" s="1821"/>
      <c r="AM3376" s="1821"/>
      <c r="AN3376" s="1821"/>
      <c r="AO3376" s="1821"/>
      <c r="AP3376" s="1821"/>
      <c r="AQ3376" s="1821"/>
      <c r="AR3376" s="1821"/>
      <c r="AS3376" s="1821"/>
      <c r="AT3376" s="1821"/>
      <c r="AU3376" s="1821"/>
      <c r="AV3376" s="1821"/>
      <c r="AW3376" s="1821"/>
      <c r="AX3376" s="1821"/>
      <c r="AY3376" s="1821"/>
      <c r="AZ3376" s="1821"/>
      <c r="BA3376" s="1821"/>
      <c r="BB3376" s="1821"/>
      <c r="BC3376" s="1821"/>
      <c r="BD3376" s="1821"/>
      <c r="BE3376" s="1821"/>
      <c r="BF3376" s="1821"/>
      <c r="BG3376" s="1821"/>
      <c r="BH3376" s="1821"/>
      <c r="BI3376" s="1821"/>
      <c r="BJ3376" s="1821"/>
      <c r="BK3376" s="1821"/>
      <c r="BL3376" s="1821"/>
      <c r="BM3376" s="1821"/>
      <c r="BN3376" s="1821"/>
      <c r="BO3376" s="1821"/>
      <c r="BP3376" s="1821"/>
      <c r="BQ3376" s="1821"/>
      <c r="BR3376" s="1821"/>
      <c r="BS3376" s="1821"/>
      <c r="BT3376" s="1821"/>
      <c r="BU3376" s="1821"/>
      <c r="BV3376" s="1821"/>
      <c r="BW3376" s="1821"/>
      <c r="BX3376" s="1821"/>
      <c r="BY3376" s="1821"/>
      <c r="BZ3376" s="1821"/>
      <c r="CA3376" s="1821"/>
      <c r="CB3376" s="1821"/>
      <c r="CC3376" s="1821"/>
      <c r="CD3376" s="1821"/>
      <c r="CE3376" s="1821"/>
      <c r="CF3376" s="1821"/>
      <c r="CG3376" s="1821"/>
      <c r="CH3376" s="1821"/>
      <c r="CI3376" s="1821"/>
      <c r="CJ3376" s="1821"/>
      <c r="CK3376" s="1821"/>
    </row>
    <row r="3377" spans="1:89" s="675" customFormat="1" ht="16.5" customHeight="1" x14ac:dyDescent="0.25">
      <c r="A3377" s="697"/>
      <c r="B3377" s="1002" t="s">
        <v>54</v>
      </c>
      <c r="C3377" s="1007">
        <v>208</v>
      </c>
      <c r="D3377" s="1005" t="s">
        <v>55</v>
      </c>
      <c r="E3377" s="1006">
        <v>433.46153846153845</v>
      </c>
      <c r="F3377" s="700"/>
      <c r="G3377" s="700"/>
      <c r="H3377" s="700"/>
      <c r="I3377" s="700"/>
      <c r="J3377" s="700">
        <f>90160-20000</f>
        <v>70160</v>
      </c>
      <c r="K3377" s="700">
        <f t="shared" si="339"/>
        <v>70160</v>
      </c>
      <c r="L3377" s="700"/>
      <c r="M3377" s="700"/>
      <c r="N3377" s="700"/>
      <c r="O3377" s="974">
        <f t="shared" si="341"/>
        <v>70160</v>
      </c>
      <c r="P3377" s="956"/>
      <c r="Q3377" s="1821"/>
      <c r="R3377" s="1821"/>
      <c r="S3377" s="1821"/>
      <c r="T3377" s="1821"/>
      <c r="U3377" s="1821"/>
      <c r="V3377" s="1821"/>
      <c r="W3377" s="1821"/>
      <c r="X3377" s="1821"/>
      <c r="Y3377" s="1821"/>
      <c r="Z3377" s="1821"/>
      <c r="AA3377" s="1821"/>
      <c r="AB3377" s="1821"/>
      <c r="AC3377" s="1821"/>
      <c r="AD3377" s="1821"/>
      <c r="AE3377" s="1821"/>
      <c r="AF3377" s="1821"/>
      <c r="AG3377" s="1821"/>
      <c r="AH3377" s="1821"/>
      <c r="AI3377" s="1821"/>
      <c r="AJ3377" s="1821"/>
      <c r="AK3377" s="1821"/>
      <c r="AL3377" s="1821"/>
      <c r="AM3377" s="1821"/>
      <c r="AN3377" s="1821"/>
      <c r="AO3377" s="1821"/>
      <c r="AP3377" s="1821"/>
      <c r="AQ3377" s="1821"/>
      <c r="AR3377" s="1821"/>
      <c r="AS3377" s="1821"/>
      <c r="AT3377" s="1821"/>
      <c r="AU3377" s="1821"/>
      <c r="AV3377" s="1821"/>
      <c r="AW3377" s="1821"/>
      <c r="AX3377" s="1821"/>
      <c r="AY3377" s="1821"/>
      <c r="AZ3377" s="1821"/>
      <c r="BA3377" s="1821"/>
      <c r="BB3377" s="1821"/>
      <c r="BC3377" s="1821"/>
      <c r="BD3377" s="1821"/>
      <c r="BE3377" s="1821"/>
      <c r="BF3377" s="1821"/>
      <c r="BG3377" s="1821"/>
      <c r="BH3377" s="1821"/>
      <c r="BI3377" s="1821"/>
      <c r="BJ3377" s="1821"/>
      <c r="BK3377" s="1821"/>
      <c r="BL3377" s="1821"/>
      <c r="BM3377" s="1821"/>
      <c r="BN3377" s="1821"/>
      <c r="BO3377" s="1821"/>
      <c r="BP3377" s="1821"/>
      <c r="BQ3377" s="1821"/>
      <c r="BR3377" s="1821"/>
      <c r="BS3377" s="1821"/>
      <c r="BT3377" s="1821"/>
      <c r="BU3377" s="1821"/>
      <c r="BV3377" s="1821"/>
      <c r="BW3377" s="1821"/>
      <c r="BX3377" s="1821"/>
      <c r="BY3377" s="1821"/>
      <c r="BZ3377" s="1821"/>
      <c r="CA3377" s="1821"/>
      <c r="CB3377" s="1821"/>
      <c r="CC3377" s="1821"/>
      <c r="CD3377" s="1821"/>
      <c r="CE3377" s="1821"/>
      <c r="CF3377" s="1821"/>
      <c r="CG3377" s="1821"/>
      <c r="CH3377" s="1821"/>
      <c r="CI3377" s="1821"/>
      <c r="CJ3377" s="1821"/>
      <c r="CK3377" s="1821"/>
    </row>
    <row r="3378" spans="1:89" s="675" customFormat="1" ht="16.5" customHeight="1" x14ac:dyDescent="0.25">
      <c r="A3378" s="697"/>
      <c r="B3378" s="1002" t="s">
        <v>52</v>
      </c>
      <c r="C3378" s="1007">
        <v>156</v>
      </c>
      <c r="D3378" s="1005" t="s">
        <v>55</v>
      </c>
      <c r="E3378" s="1006">
        <v>546</v>
      </c>
      <c r="F3378" s="700"/>
      <c r="G3378" s="700"/>
      <c r="H3378" s="700"/>
      <c r="I3378" s="700"/>
      <c r="J3378" s="700">
        <f>85164-30000</f>
        <v>55164</v>
      </c>
      <c r="K3378" s="700">
        <f t="shared" si="339"/>
        <v>55164</v>
      </c>
      <c r="L3378" s="700"/>
      <c r="M3378" s="700"/>
      <c r="N3378" s="700"/>
      <c r="O3378" s="974">
        <f t="shared" si="341"/>
        <v>55164</v>
      </c>
      <c r="P3378" s="956"/>
      <c r="Q3378" s="1821"/>
      <c r="R3378" s="1821"/>
      <c r="S3378" s="1821"/>
      <c r="T3378" s="1821"/>
      <c r="U3378" s="1821"/>
      <c r="V3378" s="1821"/>
      <c r="W3378" s="1821"/>
      <c r="X3378" s="1821"/>
      <c r="Y3378" s="1821"/>
      <c r="Z3378" s="1821"/>
      <c r="AA3378" s="1821"/>
      <c r="AB3378" s="1821"/>
      <c r="AC3378" s="1821"/>
      <c r="AD3378" s="1821"/>
      <c r="AE3378" s="1821"/>
      <c r="AF3378" s="1821"/>
      <c r="AG3378" s="1821"/>
      <c r="AH3378" s="1821"/>
      <c r="AI3378" s="1821"/>
      <c r="AJ3378" s="1821"/>
      <c r="AK3378" s="1821"/>
      <c r="AL3378" s="1821"/>
      <c r="AM3378" s="1821"/>
      <c r="AN3378" s="1821"/>
      <c r="AO3378" s="1821"/>
      <c r="AP3378" s="1821"/>
      <c r="AQ3378" s="1821"/>
      <c r="AR3378" s="1821"/>
      <c r="AS3378" s="1821"/>
      <c r="AT3378" s="1821"/>
      <c r="AU3378" s="1821"/>
      <c r="AV3378" s="1821"/>
      <c r="AW3378" s="1821"/>
      <c r="AX3378" s="1821"/>
      <c r="AY3378" s="1821"/>
      <c r="AZ3378" s="1821"/>
      <c r="BA3378" s="1821"/>
      <c r="BB3378" s="1821"/>
      <c r="BC3378" s="1821"/>
      <c r="BD3378" s="1821"/>
      <c r="BE3378" s="1821"/>
      <c r="BF3378" s="1821"/>
      <c r="BG3378" s="1821"/>
      <c r="BH3378" s="1821"/>
      <c r="BI3378" s="1821"/>
      <c r="BJ3378" s="1821"/>
      <c r="BK3378" s="1821"/>
      <c r="BL3378" s="1821"/>
      <c r="BM3378" s="1821"/>
      <c r="BN3378" s="1821"/>
      <c r="BO3378" s="1821"/>
      <c r="BP3378" s="1821"/>
      <c r="BQ3378" s="1821"/>
      <c r="BR3378" s="1821"/>
      <c r="BS3378" s="1821"/>
      <c r="BT3378" s="1821"/>
      <c r="BU3378" s="1821"/>
      <c r="BV3378" s="1821"/>
      <c r="BW3378" s="1821"/>
      <c r="BX3378" s="1821"/>
      <c r="BY3378" s="1821"/>
      <c r="BZ3378" s="1821"/>
      <c r="CA3378" s="1821"/>
      <c r="CB3378" s="1821"/>
      <c r="CC3378" s="1821"/>
      <c r="CD3378" s="1821"/>
      <c r="CE3378" s="1821"/>
      <c r="CF3378" s="1821"/>
      <c r="CG3378" s="1821"/>
      <c r="CH3378" s="1821"/>
      <c r="CI3378" s="1821"/>
      <c r="CJ3378" s="1821"/>
      <c r="CK3378" s="1821"/>
    </row>
    <row r="3379" spans="1:89" s="675" customFormat="1" ht="16.5" customHeight="1" x14ac:dyDescent="0.25">
      <c r="A3379" s="697"/>
      <c r="B3379" s="1002"/>
      <c r="C3379" s="1007"/>
      <c r="D3379" s="1005"/>
      <c r="E3379" s="1006"/>
      <c r="F3379" s="700"/>
      <c r="G3379" s="700"/>
      <c r="H3379" s="700">
        <f t="shared" ref="H3379:H3388" si="344">G3379+F3379</f>
        <v>0</v>
      </c>
      <c r="I3379" s="700"/>
      <c r="J3379" s="700"/>
      <c r="K3379" s="700">
        <f t="shared" si="339"/>
        <v>0</v>
      </c>
      <c r="L3379" s="700"/>
      <c r="M3379" s="700"/>
      <c r="N3379" s="700">
        <f t="shared" si="340"/>
        <v>0</v>
      </c>
      <c r="O3379" s="974">
        <f t="shared" si="341"/>
        <v>0</v>
      </c>
      <c r="P3379" s="956"/>
      <c r="Q3379" s="1821"/>
      <c r="R3379" s="1821"/>
      <c r="S3379" s="1821"/>
      <c r="T3379" s="1821"/>
      <c r="U3379" s="1821"/>
      <c r="V3379" s="1821"/>
      <c r="W3379" s="1821"/>
      <c r="X3379" s="1821"/>
      <c r="Y3379" s="1821"/>
      <c r="Z3379" s="1821"/>
      <c r="AA3379" s="1821"/>
      <c r="AB3379" s="1821"/>
      <c r="AC3379" s="1821"/>
      <c r="AD3379" s="1821"/>
      <c r="AE3379" s="1821"/>
      <c r="AF3379" s="1821"/>
      <c r="AG3379" s="1821"/>
      <c r="AH3379" s="1821"/>
      <c r="AI3379" s="1821"/>
      <c r="AJ3379" s="1821"/>
      <c r="AK3379" s="1821"/>
      <c r="AL3379" s="1821"/>
      <c r="AM3379" s="1821"/>
      <c r="AN3379" s="1821"/>
      <c r="AO3379" s="1821"/>
      <c r="AP3379" s="1821"/>
      <c r="AQ3379" s="1821"/>
      <c r="AR3379" s="1821"/>
      <c r="AS3379" s="1821"/>
      <c r="AT3379" s="1821"/>
      <c r="AU3379" s="1821"/>
      <c r="AV3379" s="1821"/>
      <c r="AW3379" s="1821"/>
      <c r="AX3379" s="1821"/>
      <c r="AY3379" s="1821"/>
      <c r="AZ3379" s="1821"/>
      <c r="BA3379" s="1821"/>
      <c r="BB3379" s="1821"/>
      <c r="BC3379" s="1821"/>
      <c r="BD3379" s="1821"/>
      <c r="BE3379" s="1821"/>
      <c r="BF3379" s="1821"/>
      <c r="BG3379" s="1821"/>
      <c r="BH3379" s="1821"/>
      <c r="BI3379" s="1821"/>
      <c r="BJ3379" s="1821"/>
      <c r="BK3379" s="1821"/>
      <c r="BL3379" s="1821"/>
      <c r="BM3379" s="1821"/>
      <c r="BN3379" s="1821"/>
      <c r="BO3379" s="1821"/>
      <c r="BP3379" s="1821"/>
      <c r="BQ3379" s="1821"/>
      <c r="BR3379" s="1821"/>
      <c r="BS3379" s="1821"/>
      <c r="BT3379" s="1821"/>
      <c r="BU3379" s="1821"/>
      <c r="BV3379" s="1821"/>
      <c r="BW3379" s="1821"/>
      <c r="BX3379" s="1821"/>
      <c r="BY3379" s="1821"/>
      <c r="BZ3379" s="1821"/>
      <c r="CA3379" s="1821"/>
      <c r="CB3379" s="1821"/>
      <c r="CC3379" s="1821"/>
      <c r="CD3379" s="1821"/>
      <c r="CE3379" s="1821"/>
      <c r="CF3379" s="1821"/>
      <c r="CG3379" s="1821"/>
      <c r="CH3379" s="1821"/>
      <c r="CI3379" s="1821"/>
      <c r="CJ3379" s="1821"/>
      <c r="CK3379" s="1821"/>
    </row>
    <row r="3380" spans="1:89" s="675" customFormat="1" ht="16.5" customHeight="1" x14ac:dyDescent="0.25">
      <c r="A3380" s="697">
        <v>12</v>
      </c>
      <c r="B3380" s="1002" t="s">
        <v>347</v>
      </c>
      <c r="C3380" s="1007">
        <f>SUM(O3382:O3388)</f>
        <v>127580</v>
      </c>
      <c r="D3380" s="1005"/>
      <c r="E3380" s="1006"/>
      <c r="F3380" s="700"/>
      <c r="G3380" s="700"/>
      <c r="H3380" s="700">
        <f t="shared" si="344"/>
        <v>0</v>
      </c>
      <c r="I3380" s="700"/>
      <c r="J3380" s="700"/>
      <c r="K3380" s="700">
        <f t="shared" si="339"/>
        <v>0</v>
      </c>
      <c r="L3380" s="700"/>
      <c r="M3380" s="700"/>
      <c r="N3380" s="700">
        <f t="shared" si="340"/>
        <v>0</v>
      </c>
      <c r="O3380" s="974">
        <f t="shared" si="341"/>
        <v>0</v>
      </c>
      <c r="P3380" s="956"/>
      <c r="Q3380" s="1821"/>
      <c r="R3380" s="1821"/>
      <c r="S3380" s="1821"/>
      <c r="T3380" s="1821"/>
      <c r="U3380" s="1821"/>
      <c r="V3380" s="1821"/>
      <c r="W3380" s="1821"/>
      <c r="X3380" s="1821"/>
      <c r="Y3380" s="1821"/>
      <c r="Z3380" s="1821"/>
      <c r="AA3380" s="1821"/>
      <c r="AB3380" s="1821"/>
      <c r="AC3380" s="1821"/>
      <c r="AD3380" s="1821"/>
      <c r="AE3380" s="1821"/>
      <c r="AF3380" s="1821"/>
      <c r="AG3380" s="1821"/>
      <c r="AH3380" s="1821"/>
      <c r="AI3380" s="1821"/>
      <c r="AJ3380" s="1821"/>
      <c r="AK3380" s="1821"/>
      <c r="AL3380" s="1821"/>
      <c r="AM3380" s="1821"/>
      <c r="AN3380" s="1821"/>
      <c r="AO3380" s="1821"/>
      <c r="AP3380" s="1821"/>
      <c r="AQ3380" s="1821"/>
      <c r="AR3380" s="1821"/>
      <c r="AS3380" s="1821"/>
      <c r="AT3380" s="1821"/>
      <c r="AU3380" s="1821"/>
      <c r="AV3380" s="1821"/>
      <c r="AW3380" s="1821"/>
      <c r="AX3380" s="1821"/>
      <c r="AY3380" s="1821"/>
      <c r="AZ3380" s="1821"/>
      <c r="BA3380" s="1821"/>
      <c r="BB3380" s="1821"/>
      <c r="BC3380" s="1821"/>
      <c r="BD3380" s="1821"/>
      <c r="BE3380" s="1821"/>
      <c r="BF3380" s="1821"/>
      <c r="BG3380" s="1821"/>
      <c r="BH3380" s="1821"/>
      <c r="BI3380" s="1821"/>
      <c r="BJ3380" s="1821"/>
      <c r="BK3380" s="1821"/>
      <c r="BL3380" s="1821"/>
      <c r="BM3380" s="1821"/>
      <c r="BN3380" s="1821"/>
      <c r="BO3380" s="1821"/>
      <c r="BP3380" s="1821"/>
      <c r="BQ3380" s="1821"/>
      <c r="BR3380" s="1821"/>
      <c r="BS3380" s="1821"/>
      <c r="BT3380" s="1821"/>
      <c r="BU3380" s="1821"/>
      <c r="BV3380" s="1821"/>
      <c r="BW3380" s="1821"/>
      <c r="BX3380" s="1821"/>
      <c r="BY3380" s="1821"/>
      <c r="BZ3380" s="1821"/>
      <c r="CA3380" s="1821"/>
      <c r="CB3380" s="1821"/>
      <c r="CC3380" s="1821"/>
      <c r="CD3380" s="1821"/>
      <c r="CE3380" s="1821"/>
      <c r="CF3380" s="1821"/>
      <c r="CG3380" s="1821"/>
      <c r="CH3380" s="1821"/>
      <c r="CI3380" s="1821"/>
      <c r="CJ3380" s="1821"/>
      <c r="CK3380" s="1821"/>
    </row>
    <row r="3381" spans="1:89" s="675" customFormat="1" ht="16.5" customHeight="1" x14ac:dyDescent="0.25">
      <c r="A3381" s="697"/>
      <c r="B3381" s="1002" t="s">
        <v>340</v>
      </c>
      <c r="C3381" s="1007"/>
      <c r="D3381" s="1005"/>
      <c r="E3381" s="1006"/>
      <c r="F3381" s="700"/>
      <c r="G3381" s="700"/>
      <c r="H3381" s="700">
        <f t="shared" si="344"/>
        <v>0</v>
      </c>
      <c r="I3381" s="700"/>
      <c r="J3381" s="700"/>
      <c r="K3381" s="700">
        <f t="shared" si="339"/>
        <v>0</v>
      </c>
      <c r="L3381" s="700"/>
      <c r="M3381" s="700"/>
      <c r="N3381" s="700">
        <f t="shared" si="340"/>
        <v>0</v>
      </c>
      <c r="O3381" s="974">
        <f t="shared" si="341"/>
        <v>0</v>
      </c>
      <c r="P3381" s="956"/>
      <c r="Q3381" s="1821"/>
      <c r="R3381" s="1821"/>
      <c r="S3381" s="1821"/>
      <c r="T3381" s="1821"/>
      <c r="U3381" s="1821"/>
      <c r="V3381" s="1821"/>
      <c r="W3381" s="1821"/>
      <c r="X3381" s="1821"/>
      <c r="Y3381" s="1821"/>
      <c r="Z3381" s="1821"/>
      <c r="AA3381" s="1821"/>
      <c r="AB3381" s="1821"/>
      <c r="AC3381" s="1821"/>
      <c r="AD3381" s="1821"/>
      <c r="AE3381" s="1821"/>
      <c r="AF3381" s="1821"/>
      <c r="AG3381" s="1821"/>
      <c r="AH3381" s="1821"/>
      <c r="AI3381" s="1821"/>
      <c r="AJ3381" s="1821"/>
      <c r="AK3381" s="1821"/>
      <c r="AL3381" s="1821"/>
      <c r="AM3381" s="1821"/>
      <c r="AN3381" s="1821"/>
      <c r="AO3381" s="1821"/>
      <c r="AP3381" s="1821"/>
      <c r="AQ3381" s="1821"/>
      <c r="AR3381" s="1821"/>
      <c r="AS3381" s="1821"/>
      <c r="AT3381" s="1821"/>
      <c r="AU3381" s="1821"/>
      <c r="AV3381" s="1821"/>
      <c r="AW3381" s="1821"/>
      <c r="AX3381" s="1821"/>
      <c r="AY3381" s="1821"/>
      <c r="AZ3381" s="1821"/>
      <c r="BA3381" s="1821"/>
      <c r="BB3381" s="1821"/>
      <c r="BC3381" s="1821"/>
      <c r="BD3381" s="1821"/>
      <c r="BE3381" s="1821"/>
      <c r="BF3381" s="1821"/>
      <c r="BG3381" s="1821"/>
      <c r="BH3381" s="1821"/>
      <c r="BI3381" s="1821"/>
      <c r="BJ3381" s="1821"/>
      <c r="BK3381" s="1821"/>
      <c r="BL3381" s="1821"/>
      <c r="BM3381" s="1821"/>
      <c r="BN3381" s="1821"/>
      <c r="BO3381" s="1821"/>
      <c r="BP3381" s="1821"/>
      <c r="BQ3381" s="1821"/>
      <c r="BR3381" s="1821"/>
      <c r="BS3381" s="1821"/>
      <c r="BT3381" s="1821"/>
      <c r="BU3381" s="1821"/>
      <c r="BV3381" s="1821"/>
      <c r="BW3381" s="1821"/>
      <c r="BX3381" s="1821"/>
      <c r="BY3381" s="1821"/>
      <c r="BZ3381" s="1821"/>
      <c r="CA3381" s="1821"/>
      <c r="CB3381" s="1821"/>
      <c r="CC3381" s="1821"/>
      <c r="CD3381" s="1821"/>
      <c r="CE3381" s="1821"/>
      <c r="CF3381" s="1821"/>
      <c r="CG3381" s="1821"/>
      <c r="CH3381" s="1821"/>
      <c r="CI3381" s="1821"/>
      <c r="CJ3381" s="1821"/>
      <c r="CK3381" s="1821"/>
    </row>
    <row r="3382" spans="1:89" s="675" customFormat="1" ht="16.5" customHeight="1" x14ac:dyDescent="0.25">
      <c r="A3382" s="697"/>
      <c r="B3382" s="1002" t="s">
        <v>215</v>
      </c>
      <c r="C3382" s="1007">
        <v>1</v>
      </c>
      <c r="D3382" s="1005" t="s">
        <v>294</v>
      </c>
      <c r="E3382" s="1006">
        <v>60000</v>
      </c>
      <c r="F3382" s="700"/>
      <c r="G3382" s="700"/>
      <c r="H3382" s="700">
        <f t="shared" si="344"/>
        <v>0</v>
      </c>
      <c r="I3382" s="700">
        <f>C3382*E3382</f>
        <v>60000</v>
      </c>
      <c r="J3382" s="700"/>
      <c r="K3382" s="700">
        <f t="shared" si="339"/>
        <v>60000</v>
      </c>
      <c r="L3382" s="700"/>
      <c r="M3382" s="700"/>
      <c r="N3382" s="700">
        <f t="shared" si="340"/>
        <v>0</v>
      </c>
      <c r="O3382" s="974">
        <f t="shared" si="341"/>
        <v>60000</v>
      </c>
      <c r="P3382" s="956"/>
      <c r="Q3382" s="1821"/>
      <c r="R3382" s="1821"/>
      <c r="S3382" s="1821"/>
      <c r="T3382" s="1821"/>
      <c r="U3382" s="1821"/>
      <c r="V3382" s="1821"/>
      <c r="W3382" s="1821"/>
      <c r="X3382" s="1821"/>
      <c r="Y3382" s="1821"/>
      <c r="Z3382" s="1821"/>
      <c r="AA3382" s="1821"/>
      <c r="AB3382" s="1821"/>
      <c r="AC3382" s="1821"/>
      <c r="AD3382" s="1821"/>
      <c r="AE3382" s="1821"/>
      <c r="AF3382" s="1821"/>
      <c r="AG3382" s="1821"/>
      <c r="AH3382" s="1821"/>
      <c r="AI3382" s="1821"/>
      <c r="AJ3382" s="1821"/>
      <c r="AK3382" s="1821"/>
      <c r="AL3382" s="1821"/>
      <c r="AM3382" s="1821"/>
      <c r="AN3382" s="1821"/>
      <c r="AO3382" s="1821"/>
      <c r="AP3382" s="1821"/>
      <c r="AQ3382" s="1821"/>
      <c r="AR3382" s="1821"/>
      <c r="AS3382" s="1821"/>
      <c r="AT3382" s="1821"/>
      <c r="AU3382" s="1821"/>
      <c r="AV3382" s="1821"/>
      <c r="AW3382" s="1821"/>
      <c r="AX3382" s="1821"/>
      <c r="AY3382" s="1821"/>
      <c r="AZ3382" s="1821"/>
      <c r="BA3382" s="1821"/>
      <c r="BB3382" s="1821"/>
      <c r="BC3382" s="1821"/>
      <c r="BD3382" s="1821"/>
      <c r="BE3382" s="1821"/>
      <c r="BF3382" s="1821"/>
      <c r="BG3382" s="1821"/>
      <c r="BH3382" s="1821"/>
      <c r="BI3382" s="1821"/>
      <c r="BJ3382" s="1821"/>
      <c r="BK3382" s="1821"/>
      <c r="BL3382" s="1821"/>
      <c r="BM3382" s="1821"/>
      <c r="BN3382" s="1821"/>
      <c r="BO3382" s="1821"/>
      <c r="BP3382" s="1821"/>
      <c r="BQ3382" s="1821"/>
      <c r="BR3382" s="1821"/>
      <c r="BS3382" s="1821"/>
      <c r="BT3382" s="1821"/>
      <c r="BU3382" s="1821"/>
      <c r="BV3382" s="1821"/>
      <c r="BW3382" s="1821"/>
      <c r="BX3382" s="1821"/>
      <c r="BY3382" s="1821"/>
      <c r="BZ3382" s="1821"/>
      <c r="CA3382" s="1821"/>
      <c r="CB3382" s="1821"/>
      <c r="CC3382" s="1821"/>
      <c r="CD3382" s="1821"/>
      <c r="CE3382" s="1821"/>
      <c r="CF3382" s="1821"/>
      <c r="CG3382" s="1821"/>
      <c r="CH3382" s="1821"/>
      <c r="CI3382" s="1821"/>
      <c r="CJ3382" s="1821"/>
      <c r="CK3382" s="1821"/>
    </row>
    <row r="3383" spans="1:89" s="675" customFormat="1" ht="16.5" customHeight="1" x14ac:dyDescent="0.25">
      <c r="A3383" s="697"/>
      <c r="B3383" s="1002" t="s">
        <v>57</v>
      </c>
      <c r="C3383" s="1007"/>
      <c r="D3383" s="1005"/>
      <c r="E3383" s="1006"/>
      <c r="F3383" s="700"/>
      <c r="G3383" s="700"/>
      <c r="H3383" s="700">
        <f t="shared" si="344"/>
        <v>0</v>
      </c>
      <c r="I3383" s="700"/>
      <c r="J3383" s="700">
        <f t="shared" ref="J3383:J3388" si="345">C3383*E3383</f>
        <v>0</v>
      </c>
      <c r="K3383" s="700">
        <f t="shared" si="339"/>
        <v>0</v>
      </c>
      <c r="L3383" s="700"/>
      <c r="M3383" s="700"/>
      <c r="N3383" s="700">
        <f t="shared" si="340"/>
        <v>0</v>
      </c>
      <c r="O3383" s="974">
        <f t="shared" si="341"/>
        <v>0</v>
      </c>
      <c r="P3383" s="956"/>
      <c r="Q3383" s="1821"/>
      <c r="R3383" s="1821"/>
      <c r="S3383" s="1821"/>
      <c r="T3383" s="1821"/>
      <c r="U3383" s="1821"/>
      <c r="V3383" s="1821"/>
      <c r="W3383" s="1821"/>
      <c r="X3383" s="1821"/>
      <c r="Y3383" s="1821"/>
      <c r="Z3383" s="1821"/>
      <c r="AA3383" s="1821"/>
      <c r="AB3383" s="1821"/>
      <c r="AC3383" s="1821"/>
      <c r="AD3383" s="1821"/>
      <c r="AE3383" s="1821"/>
      <c r="AF3383" s="1821"/>
      <c r="AG3383" s="1821"/>
      <c r="AH3383" s="1821"/>
      <c r="AI3383" s="1821"/>
      <c r="AJ3383" s="1821"/>
      <c r="AK3383" s="1821"/>
      <c r="AL3383" s="1821"/>
      <c r="AM3383" s="1821"/>
      <c r="AN3383" s="1821"/>
      <c r="AO3383" s="1821"/>
      <c r="AP3383" s="1821"/>
      <c r="AQ3383" s="1821"/>
      <c r="AR3383" s="1821"/>
      <c r="AS3383" s="1821"/>
      <c r="AT3383" s="1821"/>
      <c r="AU3383" s="1821"/>
      <c r="AV3383" s="1821"/>
      <c r="AW3383" s="1821"/>
      <c r="AX3383" s="1821"/>
      <c r="AY3383" s="1821"/>
      <c r="AZ3383" s="1821"/>
      <c r="BA3383" s="1821"/>
      <c r="BB3383" s="1821"/>
      <c r="BC3383" s="1821"/>
      <c r="BD3383" s="1821"/>
      <c r="BE3383" s="1821"/>
      <c r="BF3383" s="1821"/>
      <c r="BG3383" s="1821"/>
      <c r="BH3383" s="1821"/>
      <c r="BI3383" s="1821"/>
      <c r="BJ3383" s="1821"/>
      <c r="BK3383" s="1821"/>
      <c r="BL3383" s="1821"/>
      <c r="BM3383" s="1821"/>
      <c r="BN3383" s="1821"/>
      <c r="BO3383" s="1821"/>
      <c r="BP3383" s="1821"/>
      <c r="BQ3383" s="1821"/>
      <c r="BR3383" s="1821"/>
      <c r="BS3383" s="1821"/>
      <c r="BT3383" s="1821"/>
      <c r="BU3383" s="1821"/>
      <c r="BV3383" s="1821"/>
      <c r="BW3383" s="1821"/>
      <c r="BX3383" s="1821"/>
      <c r="BY3383" s="1821"/>
      <c r="BZ3383" s="1821"/>
      <c r="CA3383" s="1821"/>
      <c r="CB3383" s="1821"/>
      <c r="CC3383" s="1821"/>
      <c r="CD3383" s="1821"/>
      <c r="CE3383" s="1821"/>
      <c r="CF3383" s="1821"/>
      <c r="CG3383" s="1821"/>
      <c r="CH3383" s="1821"/>
      <c r="CI3383" s="1821"/>
      <c r="CJ3383" s="1821"/>
      <c r="CK3383" s="1821"/>
    </row>
    <row r="3384" spans="1:89" s="675" customFormat="1" ht="16.5" customHeight="1" x14ac:dyDescent="0.25">
      <c r="A3384" s="697"/>
      <c r="B3384" s="1002" t="s">
        <v>1233</v>
      </c>
      <c r="C3384" s="1007">
        <v>1</v>
      </c>
      <c r="D3384" s="1005" t="s">
        <v>294</v>
      </c>
      <c r="E3384" s="1006">
        <v>25000</v>
      </c>
      <c r="F3384" s="700"/>
      <c r="G3384" s="700"/>
      <c r="H3384" s="700">
        <f t="shared" si="344"/>
        <v>0</v>
      </c>
      <c r="I3384" s="700"/>
      <c r="J3384" s="700"/>
      <c r="K3384" s="700"/>
      <c r="L3384" s="700">
        <f>E3384*C3384</f>
        <v>25000</v>
      </c>
      <c r="M3384" s="700"/>
      <c r="N3384" s="700">
        <f t="shared" si="340"/>
        <v>25000</v>
      </c>
      <c r="O3384" s="974">
        <f t="shared" si="341"/>
        <v>25000</v>
      </c>
      <c r="P3384" s="956"/>
      <c r="Q3384" s="1821"/>
      <c r="R3384" s="1821"/>
      <c r="S3384" s="1821"/>
      <c r="T3384" s="1821"/>
      <c r="U3384" s="1821"/>
      <c r="V3384" s="1821"/>
      <c r="W3384" s="1821"/>
      <c r="X3384" s="1821"/>
      <c r="Y3384" s="1821"/>
      <c r="Z3384" s="1821"/>
      <c r="AA3384" s="1821"/>
      <c r="AB3384" s="1821"/>
      <c r="AC3384" s="1821"/>
      <c r="AD3384" s="1821"/>
      <c r="AE3384" s="1821"/>
      <c r="AF3384" s="1821"/>
      <c r="AG3384" s="1821"/>
      <c r="AH3384" s="1821"/>
      <c r="AI3384" s="1821"/>
      <c r="AJ3384" s="1821"/>
      <c r="AK3384" s="1821"/>
      <c r="AL3384" s="1821"/>
      <c r="AM3384" s="1821"/>
      <c r="AN3384" s="1821"/>
      <c r="AO3384" s="1821"/>
      <c r="AP3384" s="1821"/>
      <c r="AQ3384" s="1821"/>
      <c r="AR3384" s="1821"/>
      <c r="AS3384" s="1821"/>
      <c r="AT3384" s="1821"/>
      <c r="AU3384" s="1821"/>
      <c r="AV3384" s="1821"/>
      <c r="AW3384" s="1821"/>
      <c r="AX3384" s="1821"/>
      <c r="AY3384" s="1821"/>
      <c r="AZ3384" s="1821"/>
      <c r="BA3384" s="1821"/>
      <c r="BB3384" s="1821"/>
      <c r="BC3384" s="1821"/>
      <c r="BD3384" s="1821"/>
      <c r="BE3384" s="1821"/>
      <c r="BF3384" s="1821"/>
      <c r="BG3384" s="1821"/>
      <c r="BH3384" s="1821"/>
      <c r="BI3384" s="1821"/>
      <c r="BJ3384" s="1821"/>
      <c r="BK3384" s="1821"/>
      <c r="BL3384" s="1821"/>
      <c r="BM3384" s="1821"/>
      <c r="BN3384" s="1821"/>
      <c r="BO3384" s="1821"/>
      <c r="BP3384" s="1821"/>
      <c r="BQ3384" s="1821"/>
      <c r="BR3384" s="1821"/>
      <c r="BS3384" s="1821"/>
      <c r="BT3384" s="1821"/>
      <c r="BU3384" s="1821"/>
      <c r="BV3384" s="1821"/>
      <c r="BW3384" s="1821"/>
      <c r="BX3384" s="1821"/>
      <c r="BY3384" s="1821"/>
      <c r="BZ3384" s="1821"/>
      <c r="CA3384" s="1821"/>
      <c r="CB3384" s="1821"/>
      <c r="CC3384" s="1821"/>
      <c r="CD3384" s="1821"/>
      <c r="CE3384" s="1821"/>
      <c r="CF3384" s="1821"/>
      <c r="CG3384" s="1821"/>
      <c r="CH3384" s="1821"/>
      <c r="CI3384" s="1821"/>
      <c r="CJ3384" s="1821"/>
      <c r="CK3384" s="1821"/>
    </row>
    <row r="3385" spans="1:89" s="675" customFormat="1" ht="16.5" customHeight="1" x14ac:dyDescent="0.25">
      <c r="A3385" s="697"/>
      <c r="B3385" s="1002" t="s">
        <v>358</v>
      </c>
      <c r="C3385" s="1007"/>
      <c r="D3385" s="1005"/>
      <c r="E3385" s="1006"/>
      <c r="F3385" s="700"/>
      <c r="G3385" s="700"/>
      <c r="H3385" s="700">
        <f t="shared" si="344"/>
        <v>0</v>
      </c>
      <c r="I3385" s="700"/>
      <c r="J3385" s="700">
        <f t="shared" si="345"/>
        <v>0</v>
      </c>
      <c r="K3385" s="700">
        <f t="shared" si="339"/>
        <v>0</v>
      </c>
      <c r="L3385" s="700"/>
      <c r="M3385" s="700"/>
      <c r="N3385" s="700">
        <f t="shared" si="340"/>
        <v>0</v>
      </c>
      <c r="O3385" s="974">
        <f t="shared" si="341"/>
        <v>0</v>
      </c>
      <c r="P3385" s="956"/>
      <c r="Q3385" s="1821"/>
      <c r="R3385" s="1821"/>
      <c r="S3385" s="1821"/>
      <c r="T3385" s="1821"/>
      <c r="U3385" s="1821"/>
      <c r="V3385" s="1821"/>
      <c r="W3385" s="1821"/>
      <c r="X3385" s="1821"/>
      <c r="Y3385" s="1821"/>
      <c r="Z3385" s="1821"/>
      <c r="AA3385" s="1821"/>
      <c r="AB3385" s="1821"/>
      <c r="AC3385" s="1821"/>
      <c r="AD3385" s="1821"/>
      <c r="AE3385" s="1821"/>
      <c r="AF3385" s="1821"/>
      <c r="AG3385" s="1821"/>
      <c r="AH3385" s="1821"/>
      <c r="AI3385" s="1821"/>
      <c r="AJ3385" s="1821"/>
      <c r="AK3385" s="1821"/>
      <c r="AL3385" s="1821"/>
      <c r="AM3385" s="1821"/>
      <c r="AN3385" s="1821"/>
      <c r="AO3385" s="1821"/>
      <c r="AP3385" s="1821"/>
      <c r="AQ3385" s="1821"/>
      <c r="AR3385" s="1821"/>
      <c r="AS3385" s="1821"/>
      <c r="AT3385" s="1821"/>
      <c r="AU3385" s="1821"/>
      <c r="AV3385" s="1821"/>
      <c r="AW3385" s="1821"/>
      <c r="AX3385" s="1821"/>
      <c r="AY3385" s="1821"/>
      <c r="AZ3385" s="1821"/>
      <c r="BA3385" s="1821"/>
      <c r="BB3385" s="1821"/>
      <c r="BC3385" s="1821"/>
      <c r="BD3385" s="1821"/>
      <c r="BE3385" s="1821"/>
      <c r="BF3385" s="1821"/>
      <c r="BG3385" s="1821"/>
      <c r="BH3385" s="1821"/>
      <c r="BI3385" s="1821"/>
      <c r="BJ3385" s="1821"/>
      <c r="BK3385" s="1821"/>
      <c r="BL3385" s="1821"/>
      <c r="BM3385" s="1821"/>
      <c r="BN3385" s="1821"/>
      <c r="BO3385" s="1821"/>
      <c r="BP3385" s="1821"/>
      <c r="BQ3385" s="1821"/>
      <c r="BR3385" s="1821"/>
      <c r="BS3385" s="1821"/>
      <c r="BT3385" s="1821"/>
      <c r="BU3385" s="1821"/>
      <c r="BV3385" s="1821"/>
      <c r="BW3385" s="1821"/>
      <c r="BX3385" s="1821"/>
      <c r="BY3385" s="1821"/>
      <c r="BZ3385" s="1821"/>
      <c r="CA3385" s="1821"/>
      <c r="CB3385" s="1821"/>
      <c r="CC3385" s="1821"/>
      <c r="CD3385" s="1821"/>
      <c r="CE3385" s="1821"/>
      <c r="CF3385" s="1821"/>
      <c r="CG3385" s="1821"/>
      <c r="CH3385" s="1821"/>
      <c r="CI3385" s="1821"/>
      <c r="CJ3385" s="1821"/>
      <c r="CK3385" s="1821"/>
    </row>
    <row r="3386" spans="1:89" s="675" customFormat="1" ht="16.5" customHeight="1" x14ac:dyDescent="0.25">
      <c r="A3386" s="697"/>
      <c r="B3386" s="1002" t="s">
        <v>359</v>
      </c>
      <c r="C3386" s="1007">
        <v>10</v>
      </c>
      <c r="D3386" s="1005" t="s">
        <v>51</v>
      </c>
      <c r="E3386" s="1006">
        <v>120</v>
      </c>
      <c r="F3386" s="700"/>
      <c r="G3386" s="700"/>
      <c r="H3386" s="700">
        <f t="shared" si="344"/>
        <v>0</v>
      </c>
      <c r="I3386" s="700"/>
      <c r="J3386" s="700">
        <f t="shared" si="345"/>
        <v>1200</v>
      </c>
      <c r="K3386" s="700">
        <f t="shared" si="339"/>
        <v>1200</v>
      </c>
      <c r="L3386" s="700"/>
      <c r="M3386" s="700"/>
      <c r="N3386" s="700">
        <f t="shared" si="340"/>
        <v>0</v>
      </c>
      <c r="O3386" s="974">
        <f t="shared" si="341"/>
        <v>1200</v>
      </c>
      <c r="P3386" s="956"/>
      <c r="Q3386" s="1821"/>
      <c r="R3386" s="1821"/>
      <c r="S3386" s="1821"/>
      <c r="T3386" s="1821"/>
      <c r="U3386" s="1821"/>
      <c r="V3386" s="1821"/>
      <c r="W3386" s="1821"/>
      <c r="X3386" s="1821"/>
      <c r="Y3386" s="1821"/>
      <c r="Z3386" s="1821"/>
      <c r="AA3386" s="1821"/>
      <c r="AB3386" s="1821"/>
      <c r="AC3386" s="1821"/>
      <c r="AD3386" s="1821"/>
      <c r="AE3386" s="1821"/>
      <c r="AF3386" s="1821"/>
      <c r="AG3386" s="1821"/>
      <c r="AH3386" s="1821"/>
      <c r="AI3386" s="1821"/>
      <c r="AJ3386" s="1821"/>
      <c r="AK3386" s="1821"/>
      <c r="AL3386" s="1821"/>
      <c r="AM3386" s="1821"/>
      <c r="AN3386" s="1821"/>
      <c r="AO3386" s="1821"/>
      <c r="AP3386" s="1821"/>
      <c r="AQ3386" s="1821"/>
      <c r="AR3386" s="1821"/>
      <c r="AS3386" s="1821"/>
      <c r="AT3386" s="1821"/>
      <c r="AU3386" s="1821"/>
      <c r="AV3386" s="1821"/>
      <c r="AW3386" s="1821"/>
      <c r="AX3386" s="1821"/>
      <c r="AY3386" s="1821"/>
      <c r="AZ3386" s="1821"/>
      <c r="BA3386" s="1821"/>
      <c r="BB3386" s="1821"/>
      <c r="BC3386" s="1821"/>
      <c r="BD3386" s="1821"/>
      <c r="BE3386" s="1821"/>
      <c r="BF3386" s="1821"/>
      <c r="BG3386" s="1821"/>
      <c r="BH3386" s="1821"/>
      <c r="BI3386" s="1821"/>
      <c r="BJ3386" s="1821"/>
      <c r="BK3386" s="1821"/>
      <c r="BL3386" s="1821"/>
      <c r="BM3386" s="1821"/>
      <c r="BN3386" s="1821"/>
      <c r="BO3386" s="1821"/>
      <c r="BP3386" s="1821"/>
      <c r="BQ3386" s="1821"/>
      <c r="BR3386" s="1821"/>
      <c r="BS3386" s="1821"/>
      <c r="BT3386" s="1821"/>
      <c r="BU3386" s="1821"/>
      <c r="BV3386" s="1821"/>
      <c r="BW3386" s="1821"/>
      <c r="BX3386" s="1821"/>
      <c r="BY3386" s="1821"/>
      <c r="BZ3386" s="1821"/>
      <c r="CA3386" s="1821"/>
      <c r="CB3386" s="1821"/>
      <c r="CC3386" s="1821"/>
      <c r="CD3386" s="1821"/>
      <c r="CE3386" s="1821"/>
      <c r="CF3386" s="1821"/>
      <c r="CG3386" s="1821"/>
      <c r="CH3386" s="1821"/>
      <c r="CI3386" s="1821"/>
      <c r="CJ3386" s="1821"/>
      <c r="CK3386" s="1821"/>
    </row>
    <row r="3387" spans="1:89" s="675" customFormat="1" ht="16.5" customHeight="1" x14ac:dyDescent="0.25">
      <c r="A3387" s="697"/>
      <c r="B3387" s="1002" t="s">
        <v>54</v>
      </c>
      <c r="C3387" s="1007">
        <v>50</v>
      </c>
      <c r="D3387" s="1005" t="s">
        <v>55</v>
      </c>
      <c r="E3387" s="1006">
        <v>430</v>
      </c>
      <c r="F3387" s="700"/>
      <c r="G3387" s="700"/>
      <c r="H3387" s="700">
        <f t="shared" si="344"/>
        <v>0</v>
      </c>
      <c r="I3387" s="700"/>
      <c r="J3387" s="700">
        <f t="shared" si="345"/>
        <v>21500</v>
      </c>
      <c r="K3387" s="700">
        <f t="shared" si="339"/>
        <v>21500</v>
      </c>
      <c r="L3387" s="700"/>
      <c r="M3387" s="700"/>
      <c r="N3387" s="700"/>
      <c r="O3387" s="974">
        <f t="shared" si="341"/>
        <v>21500</v>
      </c>
      <c r="P3387" s="956"/>
      <c r="Q3387" s="1821"/>
      <c r="R3387" s="1821"/>
      <c r="S3387" s="1821"/>
      <c r="T3387" s="1821"/>
      <c r="U3387" s="1821"/>
      <c r="V3387" s="1821"/>
      <c r="W3387" s="1821"/>
      <c r="X3387" s="1821"/>
      <c r="Y3387" s="1821"/>
      <c r="Z3387" s="1821"/>
      <c r="AA3387" s="1821"/>
      <c r="AB3387" s="1821"/>
      <c r="AC3387" s="1821"/>
      <c r="AD3387" s="1821"/>
      <c r="AE3387" s="1821"/>
      <c r="AF3387" s="1821"/>
      <c r="AG3387" s="1821"/>
      <c r="AH3387" s="1821"/>
      <c r="AI3387" s="1821"/>
      <c r="AJ3387" s="1821"/>
      <c r="AK3387" s="1821"/>
      <c r="AL3387" s="1821"/>
      <c r="AM3387" s="1821"/>
      <c r="AN3387" s="1821"/>
      <c r="AO3387" s="1821"/>
      <c r="AP3387" s="1821"/>
      <c r="AQ3387" s="1821"/>
      <c r="AR3387" s="1821"/>
      <c r="AS3387" s="1821"/>
      <c r="AT3387" s="1821"/>
      <c r="AU3387" s="1821"/>
      <c r="AV3387" s="1821"/>
      <c r="AW3387" s="1821"/>
      <c r="AX3387" s="1821"/>
      <c r="AY3387" s="1821"/>
      <c r="AZ3387" s="1821"/>
      <c r="BA3387" s="1821"/>
      <c r="BB3387" s="1821"/>
      <c r="BC3387" s="1821"/>
      <c r="BD3387" s="1821"/>
      <c r="BE3387" s="1821"/>
      <c r="BF3387" s="1821"/>
      <c r="BG3387" s="1821"/>
      <c r="BH3387" s="1821"/>
      <c r="BI3387" s="1821"/>
      <c r="BJ3387" s="1821"/>
      <c r="BK3387" s="1821"/>
      <c r="BL3387" s="1821"/>
      <c r="BM3387" s="1821"/>
      <c r="BN3387" s="1821"/>
      <c r="BO3387" s="1821"/>
      <c r="BP3387" s="1821"/>
      <c r="BQ3387" s="1821"/>
      <c r="BR3387" s="1821"/>
      <c r="BS3387" s="1821"/>
      <c r="BT3387" s="1821"/>
      <c r="BU3387" s="1821"/>
      <c r="BV3387" s="1821"/>
      <c r="BW3387" s="1821"/>
      <c r="BX3387" s="1821"/>
      <c r="BY3387" s="1821"/>
      <c r="BZ3387" s="1821"/>
      <c r="CA3387" s="1821"/>
      <c r="CB3387" s="1821"/>
      <c r="CC3387" s="1821"/>
      <c r="CD3387" s="1821"/>
      <c r="CE3387" s="1821"/>
      <c r="CF3387" s="1821"/>
      <c r="CG3387" s="1821"/>
      <c r="CH3387" s="1821"/>
      <c r="CI3387" s="1821"/>
      <c r="CJ3387" s="1821"/>
      <c r="CK3387" s="1821"/>
    </row>
    <row r="3388" spans="1:89" s="675" customFormat="1" ht="16.5" customHeight="1" x14ac:dyDescent="0.25">
      <c r="A3388" s="697"/>
      <c r="B3388" s="1002" t="s">
        <v>52</v>
      </c>
      <c r="C3388" s="1007">
        <v>40</v>
      </c>
      <c r="D3388" s="1005" t="s">
        <v>55</v>
      </c>
      <c r="E3388" s="1006">
        <v>497</v>
      </c>
      <c r="F3388" s="700"/>
      <c r="G3388" s="700"/>
      <c r="H3388" s="700">
        <f t="shared" si="344"/>
        <v>0</v>
      </c>
      <c r="I3388" s="700"/>
      <c r="J3388" s="700">
        <f t="shared" si="345"/>
        <v>19880</v>
      </c>
      <c r="K3388" s="700">
        <f t="shared" si="339"/>
        <v>19880</v>
      </c>
      <c r="L3388" s="700"/>
      <c r="M3388" s="700"/>
      <c r="N3388" s="700"/>
      <c r="O3388" s="974">
        <f t="shared" si="341"/>
        <v>19880</v>
      </c>
      <c r="P3388" s="956"/>
      <c r="Q3388" s="1821"/>
      <c r="R3388" s="1821"/>
      <c r="S3388" s="1821"/>
      <c r="T3388" s="1821"/>
      <c r="U3388" s="1821"/>
      <c r="V3388" s="1821"/>
      <c r="W3388" s="1821"/>
      <c r="X3388" s="1821"/>
      <c r="Y3388" s="1821"/>
      <c r="Z3388" s="1821"/>
      <c r="AA3388" s="1821"/>
      <c r="AB3388" s="1821"/>
      <c r="AC3388" s="1821"/>
      <c r="AD3388" s="1821"/>
      <c r="AE3388" s="1821"/>
      <c r="AF3388" s="1821"/>
      <c r="AG3388" s="1821"/>
      <c r="AH3388" s="1821"/>
      <c r="AI3388" s="1821"/>
      <c r="AJ3388" s="1821"/>
      <c r="AK3388" s="1821"/>
      <c r="AL3388" s="1821"/>
      <c r="AM3388" s="1821"/>
      <c r="AN3388" s="1821"/>
      <c r="AO3388" s="1821"/>
      <c r="AP3388" s="1821"/>
      <c r="AQ3388" s="1821"/>
      <c r="AR3388" s="1821"/>
      <c r="AS3388" s="1821"/>
      <c r="AT3388" s="1821"/>
      <c r="AU3388" s="1821"/>
      <c r="AV3388" s="1821"/>
      <c r="AW3388" s="1821"/>
      <c r="AX3388" s="1821"/>
      <c r="AY3388" s="1821"/>
      <c r="AZ3388" s="1821"/>
      <c r="BA3388" s="1821"/>
      <c r="BB3388" s="1821"/>
      <c r="BC3388" s="1821"/>
      <c r="BD3388" s="1821"/>
      <c r="BE3388" s="1821"/>
      <c r="BF3388" s="1821"/>
      <c r="BG3388" s="1821"/>
      <c r="BH3388" s="1821"/>
      <c r="BI3388" s="1821"/>
      <c r="BJ3388" s="1821"/>
      <c r="BK3388" s="1821"/>
      <c r="BL3388" s="1821"/>
      <c r="BM3388" s="1821"/>
      <c r="BN3388" s="1821"/>
      <c r="BO3388" s="1821"/>
      <c r="BP3388" s="1821"/>
      <c r="BQ3388" s="1821"/>
      <c r="BR3388" s="1821"/>
      <c r="BS3388" s="1821"/>
      <c r="BT3388" s="1821"/>
      <c r="BU3388" s="1821"/>
      <c r="BV3388" s="1821"/>
      <c r="BW3388" s="1821"/>
      <c r="BX3388" s="1821"/>
      <c r="BY3388" s="1821"/>
      <c r="BZ3388" s="1821"/>
      <c r="CA3388" s="1821"/>
      <c r="CB3388" s="1821"/>
      <c r="CC3388" s="1821"/>
      <c r="CD3388" s="1821"/>
      <c r="CE3388" s="1821"/>
      <c r="CF3388" s="1821"/>
      <c r="CG3388" s="1821"/>
      <c r="CH3388" s="1821"/>
      <c r="CI3388" s="1821"/>
      <c r="CJ3388" s="1821"/>
      <c r="CK3388" s="1821"/>
    </row>
    <row r="3389" spans="1:89" s="675" customFormat="1" ht="16.5" customHeight="1" x14ac:dyDescent="0.25">
      <c r="A3389" s="697"/>
      <c r="B3389" s="1002"/>
      <c r="C3389" s="1007"/>
      <c r="D3389" s="1005"/>
      <c r="E3389" s="1006"/>
      <c r="F3389" s="700"/>
      <c r="G3389" s="700"/>
      <c r="H3389" s="700"/>
      <c r="I3389" s="700"/>
      <c r="J3389" s="700"/>
      <c r="K3389" s="700"/>
      <c r="L3389" s="700"/>
      <c r="M3389" s="700"/>
      <c r="N3389" s="700"/>
      <c r="O3389" s="974"/>
      <c r="P3389" s="956"/>
      <c r="Q3389" s="1821"/>
      <c r="R3389" s="1821"/>
      <c r="S3389" s="1821"/>
      <c r="T3389" s="1821"/>
      <c r="U3389" s="1821"/>
      <c r="V3389" s="1821"/>
      <c r="W3389" s="1821"/>
      <c r="X3389" s="1821"/>
      <c r="Y3389" s="1821"/>
      <c r="Z3389" s="1821"/>
      <c r="AA3389" s="1821"/>
      <c r="AB3389" s="1821"/>
      <c r="AC3389" s="1821"/>
      <c r="AD3389" s="1821"/>
      <c r="AE3389" s="1821"/>
      <c r="AF3389" s="1821"/>
      <c r="AG3389" s="1821"/>
      <c r="AH3389" s="1821"/>
      <c r="AI3389" s="1821"/>
      <c r="AJ3389" s="1821"/>
      <c r="AK3389" s="1821"/>
      <c r="AL3389" s="1821"/>
      <c r="AM3389" s="1821"/>
      <c r="AN3389" s="1821"/>
      <c r="AO3389" s="1821"/>
      <c r="AP3389" s="1821"/>
      <c r="AQ3389" s="1821"/>
      <c r="AR3389" s="1821"/>
      <c r="AS3389" s="1821"/>
      <c r="AT3389" s="1821"/>
      <c r="AU3389" s="1821"/>
      <c r="AV3389" s="1821"/>
      <c r="AW3389" s="1821"/>
      <c r="AX3389" s="1821"/>
      <c r="AY3389" s="1821"/>
      <c r="AZ3389" s="1821"/>
      <c r="BA3389" s="1821"/>
      <c r="BB3389" s="1821"/>
      <c r="BC3389" s="1821"/>
      <c r="BD3389" s="1821"/>
      <c r="BE3389" s="1821"/>
      <c r="BF3389" s="1821"/>
      <c r="BG3389" s="1821"/>
      <c r="BH3389" s="1821"/>
      <c r="BI3389" s="1821"/>
      <c r="BJ3389" s="1821"/>
      <c r="BK3389" s="1821"/>
      <c r="BL3389" s="1821"/>
      <c r="BM3389" s="1821"/>
      <c r="BN3389" s="1821"/>
      <c r="BO3389" s="1821"/>
      <c r="BP3389" s="1821"/>
      <c r="BQ3389" s="1821"/>
      <c r="BR3389" s="1821"/>
      <c r="BS3389" s="1821"/>
      <c r="BT3389" s="1821"/>
      <c r="BU3389" s="1821"/>
      <c r="BV3389" s="1821"/>
      <c r="BW3389" s="1821"/>
      <c r="BX3389" s="1821"/>
      <c r="BY3389" s="1821"/>
      <c r="BZ3389" s="1821"/>
      <c r="CA3389" s="1821"/>
      <c r="CB3389" s="1821"/>
      <c r="CC3389" s="1821"/>
      <c r="CD3389" s="1821"/>
      <c r="CE3389" s="1821"/>
      <c r="CF3389" s="1821"/>
      <c r="CG3389" s="1821"/>
      <c r="CH3389" s="1821"/>
      <c r="CI3389" s="1821"/>
      <c r="CJ3389" s="1821"/>
      <c r="CK3389" s="1821"/>
    </row>
    <row r="3390" spans="1:89" s="675" customFormat="1" ht="16.5" customHeight="1" x14ac:dyDescent="0.25">
      <c r="A3390" s="697" t="s">
        <v>375</v>
      </c>
      <c r="B3390" s="1002" t="s">
        <v>376</v>
      </c>
      <c r="C3390" s="1007"/>
      <c r="D3390" s="1005"/>
      <c r="E3390" s="1006"/>
      <c r="F3390" s="700"/>
      <c r="G3390" s="700"/>
      <c r="H3390" s="700">
        <f t="shared" ref="H3390:H3439" si="346">G3390+F3390</f>
        <v>0</v>
      </c>
      <c r="I3390" s="700"/>
      <c r="J3390" s="700">
        <f t="shared" ref="J3390:J3408" si="347">C3390*E3390</f>
        <v>0</v>
      </c>
      <c r="K3390" s="700">
        <f t="shared" ref="K3390:K3439" si="348">J3390+I3390</f>
        <v>0</v>
      </c>
      <c r="L3390" s="700"/>
      <c r="M3390" s="700"/>
      <c r="N3390" s="700">
        <f t="shared" ref="N3390:N3439" si="349">M3390+L3390</f>
        <v>0</v>
      </c>
      <c r="O3390" s="974"/>
      <c r="P3390" s="956"/>
      <c r="Q3390" s="1821"/>
      <c r="R3390" s="1821"/>
      <c r="S3390" s="1821"/>
      <c r="T3390" s="1821"/>
      <c r="U3390" s="1821"/>
      <c r="V3390" s="1821"/>
      <c r="W3390" s="1821"/>
      <c r="X3390" s="1821"/>
      <c r="Y3390" s="1821"/>
      <c r="Z3390" s="1821"/>
      <c r="AA3390" s="1821"/>
      <c r="AB3390" s="1821"/>
      <c r="AC3390" s="1821"/>
      <c r="AD3390" s="1821"/>
      <c r="AE3390" s="1821"/>
      <c r="AF3390" s="1821"/>
      <c r="AG3390" s="1821"/>
      <c r="AH3390" s="1821"/>
      <c r="AI3390" s="1821"/>
      <c r="AJ3390" s="1821"/>
      <c r="AK3390" s="1821"/>
      <c r="AL3390" s="1821"/>
      <c r="AM3390" s="1821"/>
      <c r="AN3390" s="1821"/>
      <c r="AO3390" s="1821"/>
      <c r="AP3390" s="1821"/>
      <c r="AQ3390" s="1821"/>
      <c r="AR3390" s="1821"/>
      <c r="AS3390" s="1821"/>
      <c r="AT3390" s="1821"/>
      <c r="AU3390" s="1821"/>
      <c r="AV3390" s="1821"/>
      <c r="AW3390" s="1821"/>
      <c r="AX3390" s="1821"/>
      <c r="AY3390" s="1821"/>
      <c r="AZ3390" s="1821"/>
      <c r="BA3390" s="1821"/>
      <c r="BB3390" s="1821"/>
      <c r="BC3390" s="1821"/>
      <c r="BD3390" s="1821"/>
      <c r="BE3390" s="1821"/>
      <c r="BF3390" s="1821"/>
      <c r="BG3390" s="1821"/>
      <c r="BH3390" s="1821"/>
      <c r="BI3390" s="1821"/>
      <c r="BJ3390" s="1821"/>
      <c r="BK3390" s="1821"/>
      <c r="BL3390" s="1821"/>
      <c r="BM3390" s="1821"/>
      <c r="BN3390" s="1821"/>
      <c r="BO3390" s="1821"/>
      <c r="BP3390" s="1821"/>
      <c r="BQ3390" s="1821"/>
      <c r="BR3390" s="1821"/>
      <c r="BS3390" s="1821"/>
      <c r="BT3390" s="1821"/>
      <c r="BU3390" s="1821"/>
      <c r="BV3390" s="1821"/>
      <c r="BW3390" s="1821"/>
      <c r="BX3390" s="1821"/>
      <c r="BY3390" s="1821"/>
      <c r="BZ3390" s="1821"/>
      <c r="CA3390" s="1821"/>
      <c r="CB3390" s="1821"/>
      <c r="CC3390" s="1821"/>
      <c r="CD3390" s="1821"/>
      <c r="CE3390" s="1821"/>
      <c r="CF3390" s="1821"/>
      <c r="CG3390" s="1821"/>
      <c r="CH3390" s="1821"/>
      <c r="CI3390" s="1821"/>
      <c r="CJ3390" s="1821"/>
      <c r="CK3390" s="1821"/>
    </row>
    <row r="3391" spans="1:89" s="675" customFormat="1" ht="16.5" customHeight="1" x14ac:dyDescent="0.25">
      <c r="A3391" s="697">
        <v>11</v>
      </c>
      <c r="B3391" s="1002" t="s">
        <v>377</v>
      </c>
      <c r="C3391" s="1007">
        <f>SUM(O3393:O3408)</f>
        <v>306745</v>
      </c>
      <c r="D3391" s="1005"/>
      <c r="E3391" s="1006"/>
      <c r="F3391" s="700"/>
      <c r="G3391" s="700"/>
      <c r="H3391" s="700">
        <f t="shared" si="346"/>
        <v>0</v>
      </c>
      <c r="I3391" s="700"/>
      <c r="J3391" s="700">
        <f t="shared" si="347"/>
        <v>0</v>
      </c>
      <c r="K3391" s="700">
        <f t="shared" si="348"/>
        <v>0</v>
      </c>
      <c r="L3391" s="700"/>
      <c r="M3391" s="700"/>
      <c r="N3391" s="700">
        <f t="shared" si="349"/>
        <v>0</v>
      </c>
      <c r="O3391" s="974"/>
      <c r="P3391" s="956"/>
      <c r="Q3391" s="1821"/>
      <c r="R3391" s="1821"/>
      <c r="S3391" s="1821"/>
      <c r="T3391" s="1821"/>
      <c r="U3391" s="1821"/>
      <c r="V3391" s="1821"/>
      <c r="W3391" s="1821"/>
      <c r="X3391" s="1821"/>
      <c r="Y3391" s="1821"/>
      <c r="Z3391" s="1821"/>
      <c r="AA3391" s="1821"/>
      <c r="AB3391" s="1821"/>
      <c r="AC3391" s="1821"/>
      <c r="AD3391" s="1821"/>
      <c r="AE3391" s="1821"/>
      <c r="AF3391" s="1821"/>
      <c r="AG3391" s="1821"/>
      <c r="AH3391" s="1821"/>
      <c r="AI3391" s="1821"/>
      <c r="AJ3391" s="1821"/>
      <c r="AK3391" s="1821"/>
      <c r="AL3391" s="1821"/>
      <c r="AM3391" s="1821"/>
      <c r="AN3391" s="1821"/>
      <c r="AO3391" s="1821"/>
      <c r="AP3391" s="1821"/>
      <c r="AQ3391" s="1821"/>
      <c r="AR3391" s="1821"/>
      <c r="AS3391" s="1821"/>
      <c r="AT3391" s="1821"/>
      <c r="AU3391" s="1821"/>
      <c r="AV3391" s="1821"/>
      <c r="AW3391" s="1821"/>
      <c r="AX3391" s="1821"/>
      <c r="AY3391" s="1821"/>
      <c r="AZ3391" s="1821"/>
      <c r="BA3391" s="1821"/>
      <c r="BB3391" s="1821"/>
      <c r="BC3391" s="1821"/>
      <c r="BD3391" s="1821"/>
      <c r="BE3391" s="1821"/>
      <c r="BF3391" s="1821"/>
      <c r="BG3391" s="1821"/>
      <c r="BH3391" s="1821"/>
      <c r="BI3391" s="1821"/>
      <c r="BJ3391" s="1821"/>
      <c r="BK3391" s="1821"/>
      <c r="BL3391" s="1821"/>
      <c r="BM3391" s="1821"/>
      <c r="BN3391" s="1821"/>
      <c r="BO3391" s="1821"/>
      <c r="BP3391" s="1821"/>
      <c r="BQ3391" s="1821"/>
      <c r="BR3391" s="1821"/>
      <c r="BS3391" s="1821"/>
      <c r="BT3391" s="1821"/>
      <c r="BU3391" s="1821"/>
      <c r="BV3391" s="1821"/>
      <c r="BW3391" s="1821"/>
      <c r="BX3391" s="1821"/>
      <c r="BY3391" s="1821"/>
      <c r="BZ3391" s="1821"/>
      <c r="CA3391" s="1821"/>
      <c r="CB3391" s="1821"/>
      <c r="CC3391" s="1821"/>
      <c r="CD3391" s="1821"/>
      <c r="CE3391" s="1821"/>
      <c r="CF3391" s="1821"/>
      <c r="CG3391" s="1821"/>
      <c r="CH3391" s="1821"/>
      <c r="CI3391" s="1821"/>
      <c r="CJ3391" s="1821"/>
      <c r="CK3391" s="1821"/>
    </row>
    <row r="3392" spans="1:89" s="675" customFormat="1" ht="16.5" customHeight="1" x14ac:dyDescent="0.25">
      <c r="A3392" s="697"/>
      <c r="B3392" s="1002" t="s">
        <v>40</v>
      </c>
      <c r="C3392" s="1007"/>
      <c r="D3392" s="1005"/>
      <c r="E3392" s="1006"/>
      <c r="F3392" s="700"/>
      <c r="G3392" s="700"/>
      <c r="H3392" s="700">
        <f t="shared" si="346"/>
        <v>0</v>
      </c>
      <c r="I3392" s="700"/>
      <c r="J3392" s="700">
        <f t="shared" si="347"/>
        <v>0</v>
      </c>
      <c r="K3392" s="700">
        <f t="shared" si="348"/>
        <v>0</v>
      </c>
      <c r="L3392" s="700"/>
      <c r="M3392" s="700"/>
      <c r="N3392" s="700">
        <f t="shared" si="349"/>
        <v>0</v>
      </c>
      <c r="O3392" s="974"/>
      <c r="P3392" s="956"/>
      <c r="Q3392" s="1821"/>
      <c r="R3392" s="1821"/>
      <c r="S3392" s="1821"/>
      <c r="T3392" s="1821"/>
      <c r="U3392" s="1821"/>
      <c r="V3392" s="1821"/>
      <c r="W3392" s="1821"/>
      <c r="X3392" s="1821"/>
      <c r="Y3392" s="1821"/>
      <c r="Z3392" s="1821"/>
      <c r="AA3392" s="1821"/>
      <c r="AB3392" s="1821"/>
      <c r="AC3392" s="1821"/>
      <c r="AD3392" s="1821"/>
      <c r="AE3392" s="1821"/>
      <c r="AF3392" s="1821"/>
      <c r="AG3392" s="1821"/>
      <c r="AH3392" s="1821"/>
      <c r="AI3392" s="1821"/>
      <c r="AJ3392" s="1821"/>
      <c r="AK3392" s="1821"/>
      <c r="AL3392" s="1821"/>
      <c r="AM3392" s="1821"/>
      <c r="AN3392" s="1821"/>
      <c r="AO3392" s="1821"/>
      <c r="AP3392" s="1821"/>
      <c r="AQ3392" s="1821"/>
      <c r="AR3392" s="1821"/>
      <c r="AS3392" s="1821"/>
      <c r="AT3392" s="1821"/>
      <c r="AU3392" s="1821"/>
      <c r="AV3392" s="1821"/>
      <c r="AW3392" s="1821"/>
      <c r="AX3392" s="1821"/>
      <c r="AY3392" s="1821"/>
      <c r="AZ3392" s="1821"/>
      <c r="BA3392" s="1821"/>
      <c r="BB3392" s="1821"/>
      <c r="BC3392" s="1821"/>
      <c r="BD3392" s="1821"/>
      <c r="BE3392" s="1821"/>
      <c r="BF3392" s="1821"/>
      <c r="BG3392" s="1821"/>
      <c r="BH3392" s="1821"/>
      <c r="BI3392" s="1821"/>
      <c r="BJ3392" s="1821"/>
      <c r="BK3392" s="1821"/>
      <c r="BL3392" s="1821"/>
      <c r="BM3392" s="1821"/>
      <c r="BN3392" s="1821"/>
      <c r="BO3392" s="1821"/>
      <c r="BP3392" s="1821"/>
      <c r="BQ3392" s="1821"/>
      <c r="BR3392" s="1821"/>
      <c r="BS3392" s="1821"/>
      <c r="BT3392" s="1821"/>
      <c r="BU3392" s="1821"/>
      <c r="BV3392" s="1821"/>
      <c r="BW3392" s="1821"/>
      <c r="BX3392" s="1821"/>
      <c r="BY3392" s="1821"/>
      <c r="BZ3392" s="1821"/>
      <c r="CA3392" s="1821"/>
      <c r="CB3392" s="1821"/>
      <c r="CC3392" s="1821"/>
      <c r="CD3392" s="1821"/>
      <c r="CE3392" s="1821"/>
      <c r="CF3392" s="1821"/>
      <c r="CG3392" s="1821"/>
      <c r="CH3392" s="1821"/>
      <c r="CI3392" s="1821"/>
      <c r="CJ3392" s="1821"/>
      <c r="CK3392" s="1821"/>
    </row>
    <row r="3393" spans="1:89" s="675" customFormat="1" ht="16.5" customHeight="1" x14ac:dyDescent="0.25">
      <c r="A3393" s="697"/>
      <c r="B3393" s="1002" t="s">
        <v>1234</v>
      </c>
      <c r="C3393" s="1007">
        <v>1</v>
      </c>
      <c r="D3393" s="1005" t="s">
        <v>294</v>
      </c>
      <c r="E3393" s="1006">
        <v>25000</v>
      </c>
      <c r="F3393" s="700"/>
      <c r="G3393" s="700"/>
      <c r="H3393" s="700">
        <f t="shared" si="346"/>
        <v>0</v>
      </c>
      <c r="I3393" s="700">
        <f>C3393*E3393</f>
        <v>25000</v>
      </c>
      <c r="J3393" s="700"/>
      <c r="K3393" s="700">
        <f>J3393+I3393</f>
        <v>25000</v>
      </c>
      <c r="L3393" s="700"/>
      <c r="M3393" s="700"/>
      <c r="N3393" s="700">
        <f t="shared" si="349"/>
        <v>0</v>
      </c>
      <c r="O3393" s="974">
        <f t="shared" ref="O3393:O3439" si="350">N3393+K3393+H3393</f>
        <v>25000</v>
      </c>
      <c r="P3393" s="956"/>
      <c r="Q3393" s="1821"/>
      <c r="R3393" s="1821"/>
      <c r="S3393" s="1821"/>
      <c r="T3393" s="1821"/>
      <c r="U3393" s="1821"/>
      <c r="V3393" s="1821"/>
      <c r="W3393" s="1821"/>
      <c r="X3393" s="1821"/>
      <c r="Y3393" s="1821"/>
      <c r="Z3393" s="1821"/>
      <c r="AA3393" s="1821"/>
      <c r="AB3393" s="1821"/>
      <c r="AC3393" s="1821"/>
      <c r="AD3393" s="1821"/>
      <c r="AE3393" s="1821"/>
      <c r="AF3393" s="1821"/>
      <c r="AG3393" s="1821"/>
      <c r="AH3393" s="1821"/>
      <c r="AI3393" s="1821"/>
      <c r="AJ3393" s="1821"/>
      <c r="AK3393" s="1821"/>
      <c r="AL3393" s="1821"/>
      <c r="AM3393" s="1821"/>
      <c r="AN3393" s="1821"/>
      <c r="AO3393" s="1821"/>
      <c r="AP3393" s="1821"/>
      <c r="AQ3393" s="1821"/>
      <c r="AR3393" s="1821"/>
      <c r="AS3393" s="1821"/>
      <c r="AT3393" s="1821"/>
      <c r="AU3393" s="1821"/>
      <c r="AV3393" s="1821"/>
      <c r="AW3393" s="1821"/>
      <c r="AX3393" s="1821"/>
      <c r="AY3393" s="1821"/>
      <c r="AZ3393" s="1821"/>
      <c r="BA3393" s="1821"/>
      <c r="BB3393" s="1821"/>
      <c r="BC3393" s="1821"/>
      <c r="BD3393" s="1821"/>
      <c r="BE3393" s="1821"/>
      <c r="BF3393" s="1821"/>
      <c r="BG3393" s="1821"/>
      <c r="BH3393" s="1821"/>
      <c r="BI3393" s="1821"/>
      <c r="BJ3393" s="1821"/>
      <c r="BK3393" s="1821"/>
      <c r="BL3393" s="1821"/>
      <c r="BM3393" s="1821"/>
      <c r="BN3393" s="1821"/>
      <c r="BO3393" s="1821"/>
      <c r="BP3393" s="1821"/>
      <c r="BQ3393" s="1821"/>
      <c r="BR3393" s="1821"/>
      <c r="BS3393" s="1821"/>
      <c r="BT3393" s="1821"/>
      <c r="BU3393" s="1821"/>
      <c r="BV3393" s="1821"/>
      <c r="BW3393" s="1821"/>
      <c r="BX3393" s="1821"/>
      <c r="BY3393" s="1821"/>
      <c r="BZ3393" s="1821"/>
      <c r="CA3393" s="1821"/>
      <c r="CB3393" s="1821"/>
      <c r="CC3393" s="1821"/>
      <c r="CD3393" s="1821"/>
      <c r="CE3393" s="1821"/>
      <c r="CF3393" s="1821"/>
      <c r="CG3393" s="1821"/>
      <c r="CH3393" s="1821"/>
      <c r="CI3393" s="1821"/>
      <c r="CJ3393" s="1821"/>
      <c r="CK3393" s="1821"/>
    </row>
    <row r="3394" spans="1:89" s="675" customFormat="1" ht="16.5" customHeight="1" x14ac:dyDescent="0.25">
      <c r="A3394" s="697"/>
      <c r="B3394" s="1002" t="s">
        <v>1235</v>
      </c>
      <c r="C3394" s="1007">
        <v>1</v>
      </c>
      <c r="D3394" s="1005" t="s">
        <v>222</v>
      </c>
      <c r="E3394" s="1006">
        <v>5000</v>
      </c>
      <c r="F3394" s="700"/>
      <c r="G3394" s="700"/>
      <c r="H3394" s="700">
        <f t="shared" si="346"/>
        <v>0</v>
      </c>
      <c r="I3394" s="700"/>
      <c r="J3394" s="700">
        <f t="shared" si="347"/>
        <v>5000</v>
      </c>
      <c r="K3394" s="700">
        <f t="shared" si="348"/>
        <v>5000</v>
      </c>
      <c r="L3394" s="700"/>
      <c r="M3394" s="700"/>
      <c r="N3394" s="700">
        <f t="shared" si="349"/>
        <v>0</v>
      </c>
      <c r="O3394" s="974">
        <f t="shared" si="350"/>
        <v>5000</v>
      </c>
      <c r="P3394" s="956"/>
      <c r="Q3394" s="1821"/>
      <c r="R3394" s="1821"/>
      <c r="S3394" s="1821"/>
      <c r="T3394" s="1821"/>
      <c r="U3394" s="1821"/>
      <c r="V3394" s="1821"/>
      <c r="W3394" s="1821"/>
      <c r="X3394" s="1821"/>
      <c r="Y3394" s="1821"/>
      <c r="Z3394" s="1821"/>
      <c r="AA3394" s="1821"/>
      <c r="AB3394" s="1821"/>
      <c r="AC3394" s="1821"/>
      <c r="AD3394" s="1821"/>
      <c r="AE3394" s="1821"/>
      <c r="AF3394" s="1821"/>
      <c r="AG3394" s="1821"/>
      <c r="AH3394" s="1821"/>
      <c r="AI3394" s="1821"/>
      <c r="AJ3394" s="1821"/>
      <c r="AK3394" s="1821"/>
      <c r="AL3394" s="1821"/>
      <c r="AM3394" s="1821"/>
      <c r="AN3394" s="1821"/>
      <c r="AO3394" s="1821"/>
      <c r="AP3394" s="1821"/>
      <c r="AQ3394" s="1821"/>
      <c r="AR3394" s="1821"/>
      <c r="AS3394" s="1821"/>
      <c r="AT3394" s="1821"/>
      <c r="AU3394" s="1821"/>
      <c r="AV3394" s="1821"/>
      <c r="AW3394" s="1821"/>
      <c r="AX3394" s="1821"/>
      <c r="AY3394" s="1821"/>
      <c r="AZ3394" s="1821"/>
      <c r="BA3394" s="1821"/>
      <c r="BB3394" s="1821"/>
      <c r="BC3394" s="1821"/>
      <c r="BD3394" s="1821"/>
      <c r="BE3394" s="1821"/>
      <c r="BF3394" s="1821"/>
      <c r="BG3394" s="1821"/>
      <c r="BH3394" s="1821"/>
      <c r="BI3394" s="1821"/>
      <c r="BJ3394" s="1821"/>
      <c r="BK3394" s="1821"/>
      <c r="BL3394" s="1821"/>
      <c r="BM3394" s="1821"/>
      <c r="BN3394" s="1821"/>
      <c r="BO3394" s="1821"/>
      <c r="BP3394" s="1821"/>
      <c r="BQ3394" s="1821"/>
      <c r="BR3394" s="1821"/>
      <c r="BS3394" s="1821"/>
      <c r="BT3394" s="1821"/>
      <c r="BU3394" s="1821"/>
      <c r="BV3394" s="1821"/>
      <c r="BW3394" s="1821"/>
      <c r="BX3394" s="1821"/>
      <c r="BY3394" s="1821"/>
      <c r="BZ3394" s="1821"/>
      <c r="CA3394" s="1821"/>
      <c r="CB3394" s="1821"/>
      <c r="CC3394" s="1821"/>
      <c r="CD3394" s="1821"/>
      <c r="CE3394" s="1821"/>
      <c r="CF3394" s="1821"/>
      <c r="CG3394" s="1821"/>
      <c r="CH3394" s="1821"/>
      <c r="CI3394" s="1821"/>
      <c r="CJ3394" s="1821"/>
      <c r="CK3394" s="1821"/>
    </row>
    <row r="3395" spans="1:89" s="675" customFormat="1" ht="16.5" customHeight="1" x14ac:dyDescent="0.25">
      <c r="A3395" s="697"/>
      <c r="B3395" s="1002" t="s">
        <v>1236</v>
      </c>
      <c r="C3395" s="1007">
        <v>1</v>
      </c>
      <c r="D3395" s="1005" t="s">
        <v>114</v>
      </c>
      <c r="E3395" s="1006">
        <v>500</v>
      </c>
      <c r="F3395" s="700"/>
      <c r="G3395" s="700"/>
      <c r="H3395" s="700">
        <f t="shared" si="346"/>
        <v>0</v>
      </c>
      <c r="I3395" s="700"/>
      <c r="J3395" s="700">
        <f t="shared" si="347"/>
        <v>500</v>
      </c>
      <c r="K3395" s="700">
        <f t="shared" si="348"/>
        <v>500</v>
      </c>
      <c r="L3395" s="700"/>
      <c r="M3395" s="700"/>
      <c r="N3395" s="700">
        <f t="shared" si="349"/>
        <v>0</v>
      </c>
      <c r="O3395" s="974">
        <f t="shared" si="350"/>
        <v>500</v>
      </c>
      <c r="P3395" s="956"/>
      <c r="Q3395" s="1821"/>
      <c r="R3395" s="1821"/>
      <c r="S3395" s="1821"/>
      <c r="T3395" s="1821"/>
      <c r="U3395" s="1821"/>
      <c r="V3395" s="1821"/>
      <c r="W3395" s="1821"/>
      <c r="X3395" s="1821"/>
      <c r="Y3395" s="1821"/>
      <c r="Z3395" s="1821"/>
      <c r="AA3395" s="1821"/>
      <c r="AB3395" s="1821"/>
      <c r="AC3395" s="1821"/>
      <c r="AD3395" s="1821"/>
      <c r="AE3395" s="1821"/>
      <c r="AF3395" s="1821"/>
      <c r="AG3395" s="1821"/>
      <c r="AH3395" s="1821"/>
      <c r="AI3395" s="1821"/>
      <c r="AJ3395" s="1821"/>
      <c r="AK3395" s="1821"/>
      <c r="AL3395" s="1821"/>
      <c r="AM3395" s="1821"/>
      <c r="AN3395" s="1821"/>
      <c r="AO3395" s="1821"/>
      <c r="AP3395" s="1821"/>
      <c r="AQ3395" s="1821"/>
      <c r="AR3395" s="1821"/>
      <c r="AS3395" s="1821"/>
      <c r="AT3395" s="1821"/>
      <c r="AU3395" s="1821"/>
      <c r="AV3395" s="1821"/>
      <c r="AW3395" s="1821"/>
      <c r="AX3395" s="1821"/>
      <c r="AY3395" s="1821"/>
      <c r="AZ3395" s="1821"/>
      <c r="BA3395" s="1821"/>
      <c r="BB3395" s="1821"/>
      <c r="BC3395" s="1821"/>
      <c r="BD3395" s="1821"/>
      <c r="BE3395" s="1821"/>
      <c r="BF3395" s="1821"/>
      <c r="BG3395" s="1821"/>
      <c r="BH3395" s="1821"/>
      <c r="BI3395" s="1821"/>
      <c r="BJ3395" s="1821"/>
      <c r="BK3395" s="1821"/>
      <c r="BL3395" s="1821"/>
      <c r="BM3395" s="1821"/>
      <c r="BN3395" s="1821"/>
      <c r="BO3395" s="1821"/>
      <c r="BP3395" s="1821"/>
      <c r="BQ3395" s="1821"/>
      <c r="BR3395" s="1821"/>
      <c r="BS3395" s="1821"/>
      <c r="BT3395" s="1821"/>
      <c r="BU3395" s="1821"/>
      <c r="BV3395" s="1821"/>
      <c r="BW3395" s="1821"/>
      <c r="BX3395" s="1821"/>
      <c r="BY3395" s="1821"/>
      <c r="BZ3395" s="1821"/>
      <c r="CA3395" s="1821"/>
      <c r="CB3395" s="1821"/>
      <c r="CC3395" s="1821"/>
      <c r="CD3395" s="1821"/>
      <c r="CE3395" s="1821"/>
      <c r="CF3395" s="1821"/>
      <c r="CG3395" s="1821"/>
      <c r="CH3395" s="1821"/>
      <c r="CI3395" s="1821"/>
      <c r="CJ3395" s="1821"/>
      <c r="CK3395" s="1821"/>
    </row>
    <row r="3396" spans="1:89" s="675" customFormat="1" ht="16.5" customHeight="1" x14ac:dyDescent="0.25">
      <c r="A3396" s="697"/>
      <c r="B3396" s="1002" t="s">
        <v>1237</v>
      </c>
      <c r="C3396" s="1007">
        <v>1</v>
      </c>
      <c r="D3396" s="1005" t="s">
        <v>294</v>
      </c>
      <c r="E3396" s="1006">
        <v>32625</v>
      </c>
      <c r="F3396" s="700"/>
      <c r="G3396" s="700"/>
      <c r="H3396" s="700">
        <f t="shared" si="346"/>
        <v>0</v>
      </c>
      <c r="I3396" s="700">
        <f>E3396*C3396</f>
        <v>32625</v>
      </c>
      <c r="J3396" s="700"/>
      <c r="K3396" s="700">
        <f t="shared" si="348"/>
        <v>32625</v>
      </c>
      <c r="L3396" s="700"/>
      <c r="M3396" s="700"/>
      <c r="N3396" s="700">
        <f t="shared" si="349"/>
        <v>0</v>
      </c>
      <c r="O3396" s="974">
        <f t="shared" si="350"/>
        <v>32625</v>
      </c>
      <c r="P3396" s="956"/>
      <c r="Q3396" s="1821"/>
      <c r="R3396" s="1821"/>
      <c r="S3396" s="1821"/>
      <c r="T3396" s="1821"/>
      <c r="U3396" s="1821"/>
      <c r="V3396" s="1821"/>
      <c r="W3396" s="1821"/>
      <c r="X3396" s="1821"/>
      <c r="Y3396" s="1821"/>
      <c r="Z3396" s="1821"/>
      <c r="AA3396" s="1821"/>
      <c r="AB3396" s="1821"/>
      <c r="AC3396" s="1821"/>
      <c r="AD3396" s="1821"/>
      <c r="AE3396" s="1821"/>
      <c r="AF3396" s="1821"/>
      <c r="AG3396" s="1821"/>
      <c r="AH3396" s="1821"/>
      <c r="AI3396" s="1821"/>
      <c r="AJ3396" s="1821"/>
      <c r="AK3396" s="1821"/>
      <c r="AL3396" s="1821"/>
      <c r="AM3396" s="1821"/>
      <c r="AN3396" s="1821"/>
      <c r="AO3396" s="1821"/>
      <c r="AP3396" s="1821"/>
      <c r="AQ3396" s="1821"/>
      <c r="AR3396" s="1821"/>
      <c r="AS3396" s="1821"/>
      <c r="AT3396" s="1821"/>
      <c r="AU3396" s="1821"/>
      <c r="AV3396" s="1821"/>
      <c r="AW3396" s="1821"/>
      <c r="AX3396" s="1821"/>
      <c r="AY3396" s="1821"/>
      <c r="AZ3396" s="1821"/>
      <c r="BA3396" s="1821"/>
      <c r="BB3396" s="1821"/>
      <c r="BC3396" s="1821"/>
      <c r="BD3396" s="1821"/>
      <c r="BE3396" s="1821"/>
      <c r="BF3396" s="1821"/>
      <c r="BG3396" s="1821"/>
      <c r="BH3396" s="1821"/>
      <c r="BI3396" s="1821"/>
      <c r="BJ3396" s="1821"/>
      <c r="BK3396" s="1821"/>
      <c r="BL3396" s="1821"/>
      <c r="BM3396" s="1821"/>
      <c r="BN3396" s="1821"/>
      <c r="BO3396" s="1821"/>
      <c r="BP3396" s="1821"/>
      <c r="BQ3396" s="1821"/>
      <c r="BR3396" s="1821"/>
      <c r="BS3396" s="1821"/>
      <c r="BT3396" s="1821"/>
      <c r="BU3396" s="1821"/>
      <c r="BV3396" s="1821"/>
      <c r="BW3396" s="1821"/>
      <c r="BX3396" s="1821"/>
      <c r="BY3396" s="1821"/>
      <c r="BZ3396" s="1821"/>
      <c r="CA3396" s="1821"/>
      <c r="CB3396" s="1821"/>
      <c r="CC3396" s="1821"/>
      <c r="CD3396" s="1821"/>
      <c r="CE3396" s="1821"/>
      <c r="CF3396" s="1821"/>
      <c r="CG3396" s="1821"/>
      <c r="CH3396" s="1821"/>
      <c r="CI3396" s="1821"/>
      <c r="CJ3396" s="1821"/>
      <c r="CK3396" s="1821"/>
    </row>
    <row r="3397" spans="1:89" s="675" customFormat="1" ht="16.5" customHeight="1" x14ac:dyDescent="0.25">
      <c r="A3397" s="697"/>
      <c r="B3397" s="1002" t="s">
        <v>1238</v>
      </c>
      <c r="C3397" s="1007"/>
      <c r="D3397" s="1005"/>
      <c r="E3397" s="1006"/>
      <c r="F3397" s="700"/>
      <c r="G3397" s="700"/>
      <c r="H3397" s="700"/>
      <c r="I3397" s="700"/>
      <c r="J3397" s="700"/>
      <c r="K3397" s="700"/>
      <c r="L3397" s="700"/>
      <c r="M3397" s="700"/>
      <c r="N3397" s="700"/>
      <c r="O3397" s="974"/>
      <c r="P3397" s="956"/>
      <c r="Q3397" s="1821"/>
      <c r="R3397" s="1821"/>
      <c r="S3397" s="1821"/>
      <c r="T3397" s="1821"/>
      <c r="U3397" s="1821"/>
      <c r="V3397" s="1821"/>
      <c r="W3397" s="1821"/>
      <c r="X3397" s="1821"/>
      <c r="Y3397" s="1821"/>
      <c r="Z3397" s="1821"/>
      <c r="AA3397" s="1821"/>
      <c r="AB3397" s="1821"/>
      <c r="AC3397" s="1821"/>
      <c r="AD3397" s="1821"/>
      <c r="AE3397" s="1821"/>
      <c r="AF3397" s="1821"/>
      <c r="AG3397" s="1821"/>
      <c r="AH3397" s="1821"/>
      <c r="AI3397" s="1821"/>
      <c r="AJ3397" s="1821"/>
      <c r="AK3397" s="1821"/>
      <c r="AL3397" s="1821"/>
      <c r="AM3397" s="1821"/>
      <c r="AN3397" s="1821"/>
      <c r="AO3397" s="1821"/>
      <c r="AP3397" s="1821"/>
      <c r="AQ3397" s="1821"/>
      <c r="AR3397" s="1821"/>
      <c r="AS3397" s="1821"/>
      <c r="AT3397" s="1821"/>
      <c r="AU3397" s="1821"/>
      <c r="AV3397" s="1821"/>
      <c r="AW3397" s="1821"/>
      <c r="AX3397" s="1821"/>
      <c r="AY3397" s="1821"/>
      <c r="AZ3397" s="1821"/>
      <c r="BA3397" s="1821"/>
      <c r="BB3397" s="1821"/>
      <c r="BC3397" s="1821"/>
      <c r="BD3397" s="1821"/>
      <c r="BE3397" s="1821"/>
      <c r="BF3397" s="1821"/>
      <c r="BG3397" s="1821"/>
      <c r="BH3397" s="1821"/>
      <c r="BI3397" s="1821"/>
      <c r="BJ3397" s="1821"/>
      <c r="BK3397" s="1821"/>
      <c r="BL3397" s="1821"/>
      <c r="BM3397" s="1821"/>
      <c r="BN3397" s="1821"/>
      <c r="BO3397" s="1821"/>
      <c r="BP3397" s="1821"/>
      <c r="BQ3397" s="1821"/>
      <c r="BR3397" s="1821"/>
      <c r="BS3397" s="1821"/>
      <c r="BT3397" s="1821"/>
      <c r="BU3397" s="1821"/>
      <c r="BV3397" s="1821"/>
      <c r="BW3397" s="1821"/>
      <c r="BX3397" s="1821"/>
      <c r="BY3397" s="1821"/>
      <c r="BZ3397" s="1821"/>
      <c r="CA3397" s="1821"/>
      <c r="CB3397" s="1821"/>
      <c r="CC3397" s="1821"/>
      <c r="CD3397" s="1821"/>
      <c r="CE3397" s="1821"/>
      <c r="CF3397" s="1821"/>
      <c r="CG3397" s="1821"/>
      <c r="CH3397" s="1821"/>
      <c r="CI3397" s="1821"/>
      <c r="CJ3397" s="1821"/>
      <c r="CK3397" s="1821"/>
    </row>
    <row r="3398" spans="1:89" s="675" customFormat="1" ht="16.5" customHeight="1" x14ac:dyDescent="0.25">
      <c r="A3398" s="697"/>
      <c r="B3398" s="1002" t="s">
        <v>1239</v>
      </c>
      <c r="C3398" s="1007">
        <v>150</v>
      </c>
      <c r="D3398" s="1005" t="s">
        <v>207</v>
      </c>
      <c r="E3398" s="1006">
        <v>703</v>
      </c>
      <c r="F3398" s="700"/>
      <c r="G3398" s="700"/>
      <c r="H3398" s="700">
        <f t="shared" si="346"/>
        <v>0</v>
      </c>
      <c r="I3398" s="700"/>
      <c r="J3398" s="700">
        <f t="shared" si="347"/>
        <v>105450</v>
      </c>
      <c r="K3398" s="700">
        <f t="shared" si="348"/>
        <v>105450</v>
      </c>
      <c r="L3398" s="700"/>
      <c r="M3398" s="700"/>
      <c r="N3398" s="700">
        <f t="shared" si="349"/>
        <v>0</v>
      </c>
      <c r="O3398" s="974">
        <f t="shared" si="350"/>
        <v>105450</v>
      </c>
      <c r="P3398" s="956"/>
      <c r="Q3398" s="1821"/>
      <c r="R3398" s="1821"/>
      <c r="S3398" s="1821"/>
      <c r="T3398" s="1821"/>
      <c r="U3398" s="1821"/>
      <c r="V3398" s="1821"/>
      <c r="W3398" s="1821"/>
      <c r="X3398" s="1821"/>
      <c r="Y3398" s="1821"/>
      <c r="Z3398" s="1821"/>
      <c r="AA3398" s="1821"/>
      <c r="AB3398" s="1821"/>
      <c r="AC3398" s="1821"/>
      <c r="AD3398" s="1821"/>
      <c r="AE3398" s="1821"/>
      <c r="AF3398" s="1821"/>
      <c r="AG3398" s="1821"/>
      <c r="AH3398" s="1821"/>
      <c r="AI3398" s="1821"/>
      <c r="AJ3398" s="1821"/>
      <c r="AK3398" s="1821"/>
      <c r="AL3398" s="1821"/>
      <c r="AM3398" s="1821"/>
      <c r="AN3398" s="1821"/>
      <c r="AO3398" s="1821"/>
      <c r="AP3398" s="1821"/>
      <c r="AQ3398" s="1821"/>
      <c r="AR3398" s="1821"/>
      <c r="AS3398" s="1821"/>
      <c r="AT3398" s="1821"/>
      <c r="AU3398" s="1821"/>
      <c r="AV3398" s="1821"/>
      <c r="AW3398" s="1821"/>
      <c r="AX3398" s="1821"/>
      <c r="AY3398" s="1821"/>
      <c r="AZ3398" s="1821"/>
      <c r="BA3398" s="1821"/>
      <c r="BB3398" s="1821"/>
      <c r="BC3398" s="1821"/>
      <c r="BD3398" s="1821"/>
      <c r="BE3398" s="1821"/>
      <c r="BF3398" s="1821"/>
      <c r="BG3398" s="1821"/>
      <c r="BH3398" s="1821"/>
      <c r="BI3398" s="1821"/>
      <c r="BJ3398" s="1821"/>
      <c r="BK3398" s="1821"/>
      <c r="BL3398" s="1821"/>
      <c r="BM3398" s="1821"/>
      <c r="BN3398" s="1821"/>
      <c r="BO3398" s="1821"/>
      <c r="BP3398" s="1821"/>
      <c r="BQ3398" s="1821"/>
      <c r="BR3398" s="1821"/>
      <c r="BS3398" s="1821"/>
      <c r="BT3398" s="1821"/>
      <c r="BU3398" s="1821"/>
      <c r="BV3398" s="1821"/>
      <c r="BW3398" s="1821"/>
      <c r="BX3398" s="1821"/>
      <c r="BY3398" s="1821"/>
      <c r="BZ3398" s="1821"/>
      <c r="CA3398" s="1821"/>
      <c r="CB3398" s="1821"/>
      <c r="CC3398" s="1821"/>
      <c r="CD3398" s="1821"/>
      <c r="CE3398" s="1821"/>
      <c r="CF3398" s="1821"/>
      <c r="CG3398" s="1821"/>
      <c r="CH3398" s="1821"/>
      <c r="CI3398" s="1821"/>
      <c r="CJ3398" s="1821"/>
      <c r="CK3398" s="1821"/>
    </row>
    <row r="3399" spans="1:89" s="675" customFormat="1" ht="16.5" customHeight="1" x14ac:dyDescent="0.25">
      <c r="A3399" s="697"/>
      <c r="B3399" s="1002" t="s">
        <v>1240</v>
      </c>
      <c r="C3399" s="1007">
        <v>150</v>
      </c>
      <c r="D3399" s="1005" t="s">
        <v>207</v>
      </c>
      <c r="E3399" s="1006">
        <v>150</v>
      </c>
      <c r="F3399" s="700"/>
      <c r="G3399" s="700"/>
      <c r="H3399" s="700">
        <f t="shared" si="346"/>
        <v>0</v>
      </c>
      <c r="I3399" s="700"/>
      <c r="J3399" s="700">
        <f t="shared" si="347"/>
        <v>22500</v>
      </c>
      <c r="K3399" s="700">
        <f t="shared" si="348"/>
        <v>22500</v>
      </c>
      <c r="L3399" s="700"/>
      <c r="M3399" s="700"/>
      <c r="N3399" s="700">
        <f t="shared" si="349"/>
        <v>0</v>
      </c>
      <c r="O3399" s="974">
        <f t="shared" si="350"/>
        <v>22500</v>
      </c>
      <c r="P3399" s="956"/>
      <c r="Q3399" s="1821"/>
      <c r="R3399" s="1821"/>
      <c r="S3399" s="1821"/>
      <c r="T3399" s="1821"/>
      <c r="U3399" s="1821"/>
      <c r="V3399" s="1821"/>
      <c r="W3399" s="1821"/>
      <c r="X3399" s="1821"/>
      <c r="Y3399" s="1821"/>
      <c r="Z3399" s="1821"/>
      <c r="AA3399" s="1821"/>
      <c r="AB3399" s="1821"/>
      <c r="AC3399" s="1821"/>
      <c r="AD3399" s="1821"/>
      <c r="AE3399" s="1821"/>
      <c r="AF3399" s="1821"/>
      <c r="AG3399" s="1821"/>
      <c r="AH3399" s="1821"/>
      <c r="AI3399" s="1821"/>
      <c r="AJ3399" s="1821"/>
      <c r="AK3399" s="1821"/>
      <c r="AL3399" s="1821"/>
      <c r="AM3399" s="1821"/>
      <c r="AN3399" s="1821"/>
      <c r="AO3399" s="1821"/>
      <c r="AP3399" s="1821"/>
      <c r="AQ3399" s="1821"/>
      <c r="AR3399" s="1821"/>
      <c r="AS3399" s="1821"/>
      <c r="AT3399" s="1821"/>
      <c r="AU3399" s="1821"/>
      <c r="AV3399" s="1821"/>
      <c r="AW3399" s="1821"/>
      <c r="AX3399" s="1821"/>
      <c r="AY3399" s="1821"/>
      <c r="AZ3399" s="1821"/>
      <c r="BA3399" s="1821"/>
      <c r="BB3399" s="1821"/>
      <c r="BC3399" s="1821"/>
      <c r="BD3399" s="1821"/>
      <c r="BE3399" s="1821"/>
      <c r="BF3399" s="1821"/>
      <c r="BG3399" s="1821"/>
      <c r="BH3399" s="1821"/>
      <c r="BI3399" s="1821"/>
      <c r="BJ3399" s="1821"/>
      <c r="BK3399" s="1821"/>
      <c r="BL3399" s="1821"/>
      <c r="BM3399" s="1821"/>
      <c r="BN3399" s="1821"/>
      <c r="BO3399" s="1821"/>
      <c r="BP3399" s="1821"/>
      <c r="BQ3399" s="1821"/>
      <c r="BR3399" s="1821"/>
      <c r="BS3399" s="1821"/>
      <c r="BT3399" s="1821"/>
      <c r="BU3399" s="1821"/>
      <c r="BV3399" s="1821"/>
      <c r="BW3399" s="1821"/>
      <c r="BX3399" s="1821"/>
      <c r="BY3399" s="1821"/>
      <c r="BZ3399" s="1821"/>
      <c r="CA3399" s="1821"/>
      <c r="CB3399" s="1821"/>
      <c r="CC3399" s="1821"/>
      <c r="CD3399" s="1821"/>
      <c r="CE3399" s="1821"/>
      <c r="CF3399" s="1821"/>
      <c r="CG3399" s="1821"/>
      <c r="CH3399" s="1821"/>
      <c r="CI3399" s="1821"/>
      <c r="CJ3399" s="1821"/>
      <c r="CK3399" s="1821"/>
    </row>
    <row r="3400" spans="1:89" s="675" customFormat="1" ht="16.5" customHeight="1" x14ac:dyDescent="0.25">
      <c r="A3400" s="697"/>
      <c r="B3400" s="1002" t="s">
        <v>206</v>
      </c>
      <c r="C3400" s="1007"/>
      <c r="D3400" s="1005"/>
      <c r="E3400" s="1006"/>
      <c r="F3400" s="700"/>
      <c r="G3400" s="700"/>
      <c r="H3400" s="700">
        <f>G3400+F3400</f>
        <v>0</v>
      </c>
      <c r="I3400" s="700"/>
      <c r="J3400" s="700">
        <f>C3400*E3400</f>
        <v>0</v>
      </c>
      <c r="K3400" s="700">
        <f>J3400+I3400</f>
        <v>0</v>
      </c>
      <c r="L3400" s="700"/>
      <c r="M3400" s="700"/>
      <c r="N3400" s="700">
        <f>M3400+L3400</f>
        <v>0</v>
      </c>
      <c r="O3400" s="974">
        <f>N3400+K3400+H3400</f>
        <v>0</v>
      </c>
      <c r="P3400" s="956"/>
      <c r="Q3400" s="1821"/>
      <c r="R3400" s="1821"/>
      <c r="S3400" s="1821"/>
      <c r="T3400" s="1821"/>
      <c r="U3400" s="1821"/>
      <c r="V3400" s="1821"/>
      <c r="W3400" s="1821"/>
      <c r="X3400" s="1821"/>
      <c r="Y3400" s="1821"/>
      <c r="Z3400" s="1821"/>
      <c r="AA3400" s="1821"/>
      <c r="AB3400" s="1821"/>
      <c r="AC3400" s="1821"/>
      <c r="AD3400" s="1821"/>
      <c r="AE3400" s="1821"/>
      <c r="AF3400" s="1821"/>
      <c r="AG3400" s="1821"/>
      <c r="AH3400" s="1821"/>
      <c r="AI3400" s="1821"/>
      <c r="AJ3400" s="1821"/>
      <c r="AK3400" s="1821"/>
      <c r="AL3400" s="1821"/>
      <c r="AM3400" s="1821"/>
      <c r="AN3400" s="1821"/>
      <c r="AO3400" s="1821"/>
      <c r="AP3400" s="1821"/>
      <c r="AQ3400" s="1821"/>
      <c r="AR3400" s="1821"/>
      <c r="AS3400" s="1821"/>
      <c r="AT3400" s="1821"/>
      <c r="AU3400" s="1821"/>
      <c r="AV3400" s="1821"/>
      <c r="AW3400" s="1821"/>
      <c r="AX3400" s="1821"/>
      <c r="AY3400" s="1821"/>
      <c r="AZ3400" s="1821"/>
      <c r="BA3400" s="1821"/>
      <c r="BB3400" s="1821"/>
      <c r="BC3400" s="1821"/>
      <c r="BD3400" s="1821"/>
      <c r="BE3400" s="1821"/>
      <c r="BF3400" s="1821"/>
      <c r="BG3400" s="1821"/>
      <c r="BH3400" s="1821"/>
      <c r="BI3400" s="1821"/>
      <c r="BJ3400" s="1821"/>
      <c r="BK3400" s="1821"/>
      <c r="BL3400" s="1821"/>
      <c r="BM3400" s="1821"/>
      <c r="BN3400" s="1821"/>
      <c r="BO3400" s="1821"/>
      <c r="BP3400" s="1821"/>
      <c r="BQ3400" s="1821"/>
      <c r="BR3400" s="1821"/>
      <c r="BS3400" s="1821"/>
      <c r="BT3400" s="1821"/>
      <c r="BU3400" s="1821"/>
      <c r="BV3400" s="1821"/>
      <c r="BW3400" s="1821"/>
      <c r="BX3400" s="1821"/>
      <c r="BY3400" s="1821"/>
      <c r="BZ3400" s="1821"/>
      <c r="CA3400" s="1821"/>
      <c r="CB3400" s="1821"/>
      <c r="CC3400" s="1821"/>
      <c r="CD3400" s="1821"/>
      <c r="CE3400" s="1821"/>
      <c r="CF3400" s="1821"/>
      <c r="CG3400" s="1821"/>
      <c r="CH3400" s="1821"/>
      <c r="CI3400" s="1821"/>
      <c r="CJ3400" s="1821"/>
      <c r="CK3400" s="1821"/>
    </row>
    <row r="3401" spans="1:89" s="675" customFormat="1" ht="16.5" customHeight="1" x14ac:dyDescent="0.25">
      <c r="A3401" s="697"/>
      <c r="B3401" s="1002" t="s">
        <v>1241</v>
      </c>
      <c r="C3401" s="1007">
        <v>1</v>
      </c>
      <c r="D3401" s="1005" t="s">
        <v>188</v>
      </c>
      <c r="E3401" s="1006">
        <v>5750</v>
      </c>
      <c r="F3401" s="700"/>
      <c r="G3401" s="700"/>
      <c r="H3401" s="700">
        <f>G3401+F3401</f>
        <v>0</v>
      </c>
      <c r="I3401" s="700"/>
      <c r="J3401" s="700">
        <f>C3401*E3401</f>
        <v>5750</v>
      </c>
      <c r="K3401" s="700">
        <f>J3401+I3401</f>
        <v>5750</v>
      </c>
      <c r="L3401" s="700"/>
      <c r="M3401" s="700"/>
      <c r="N3401" s="700">
        <f>M3401+L3401</f>
        <v>0</v>
      </c>
      <c r="O3401" s="974">
        <f>N3401+K3401+H3401</f>
        <v>5750</v>
      </c>
      <c r="P3401" s="956"/>
      <c r="Q3401" s="1821"/>
      <c r="R3401" s="1821"/>
      <c r="S3401" s="1821"/>
      <c r="T3401" s="1821"/>
      <c r="U3401" s="1821"/>
      <c r="V3401" s="1821"/>
      <c r="W3401" s="1821"/>
      <c r="X3401" s="1821"/>
      <c r="Y3401" s="1821"/>
      <c r="Z3401" s="1821"/>
      <c r="AA3401" s="1821"/>
      <c r="AB3401" s="1821"/>
      <c r="AC3401" s="1821"/>
      <c r="AD3401" s="1821"/>
      <c r="AE3401" s="1821"/>
      <c r="AF3401" s="1821"/>
      <c r="AG3401" s="1821"/>
      <c r="AH3401" s="1821"/>
      <c r="AI3401" s="1821"/>
      <c r="AJ3401" s="1821"/>
      <c r="AK3401" s="1821"/>
      <c r="AL3401" s="1821"/>
      <c r="AM3401" s="1821"/>
      <c r="AN3401" s="1821"/>
      <c r="AO3401" s="1821"/>
      <c r="AP3401" s="1821"/>
      <c r="AQ3401" s="1821"/>
      <c r="AR3401" s="1821"/>
      <c r="AS3401" s="1821"/>
      <c r="AT3401" s="1821"/>
      <c r="AU3401" s="1821"/>
      <c r="AV3401" s="1821"/>
      <c r="AW3401" s="1821"/>
      <c r="AX3401" s="1821"/>
      <c r="AY3401" s="1821"/>
      <c r="AZ3401" s="1821"/>
      <c r="BA3401" s="1821"/>
      <c r="BB3401" s="1821"/>
      <c r="BC3401" s="1821"/>
      <c r="BD3401" s="1821"/>
      <c r="BE3401" s="1821"/>
      <c r="BF3401" s="1821"/>
      <c r="BG3401" s="1821"/>
      <c r="BH3401" s="1821"/>
      <c r="BI3401" s="1821"/>
      <c r="BJ3401" s="1821"/>
      <c r="BK3401" s="1821"/>
      <c r="BL3401" s="1821"/>
      <c r="BM3401" s="1821"/>
      <c r="BN3401" s="1821"/>
      <c r="BO3401" s="1821"/>
      <c r="BP3401" s="1821"/>
      <c r="BQ3401" s="1821"/>
      <c r="BR3401" s="1821"/>
      <c r="BS3401" s="1821"/>
      <c r="BT3401" s="1821"/>
      <c r="BU3401" s="1821"/>
      <c r="BV3401" s="1821"/>
      <c r="BW3401" s="1821"/>
      <c r="BX3401" s="1821"/>
      <c r="BY3401" s="1821"/>
      <c r="BZ3401" s="1821"/>
      <c r="CA3401" s="1821"/>
      <c r="CB3401" s="1821"/>
      <c r="CC3401" s="1821"/>
      <c r="CD3401" s="1821"/>
      <c r="CE3401" s="1821"/>
      <c r="CF3401" s="1821"/>
      <c r="CG3401" s="1821"/>
      <c r="CH3401" s="1821"/>
      <c r="CI3401" s="1821"/>
      <c r="CJ3401" s="1821"/>
      <c r="CK3401" s="1821"/>
    </row>
    <row r="3402" spans="1:89" s="675" customFormat="1" ht="16.5" customHeight="1" x14ac:dyDescent="0.25">
      <c r="A3402" s="697"/>
      <c r="B3402" s="1002" t="s">
        <v>349</v>
      </c>
      <c r="C3402" s="1007"/>
      <c r="D3402" s="1005"/>
      <c r="E3402" s="1006"/>
      <c r="F3402" s="700"/>
      <c r="G3402" s="700"/>
      <c r="H3402" s="700">
        <f t="shared" si="346"/>
        <v>0</v>
      </c>
      <c r="I3402" s="700"/>
      <c r="J3402" s="700">
        <f t="shared" si="347"/>
        <v>0</v>
      </c>
      <c r="K3402" s="700">
        <f t="shared" si="348"/>
        <v>0</v>
      </c>
      <c r="L3402" s="700"/>
      <c r="M3402" s="700"/>
      <c r="N3402" s="700">
        <f t="shared" si="349"/>
        <v>0</v>
      </c>
      <c r="O3402" s="974">
        <f t="shared" si="350"/>
        <v>0</v>
      </c>
      <c r="P3402" s="956"/>
      <c r="Q3402" s="1821"/>
      <c r="R3402" s="1821"/>
      <c r="S3402" s="1821"/>
      <c r="T3402" s="1821"/>
      <c r="U3402" s="1821"/>
      <c r="V3402" s="1821"/>
      <c r="W3402" s="1821"/>
      <c r="X3402" s="1821"/>
      <c r="Y3402" s="1821"/>
      <c r="Z3402" s="1821"/>
      <c r="AA3402" s="1821"/>
      <c r="AB3402" s="1821"/>
      <c r="AC3402" s="1821"/>
      <c r="AD3402" s="1821"/>
      <c r="AE3402" s="1821"/>
      <c r="AF3402" s="1821"/>
      <c r="AG3402" s="1821"/>
      <c r="AH3402" s="1821"/>
      <c r="AI3402" s="1821"/>
      <c r="AJ3402" s="1821"/>
      <c r="AK3402" s="1821"/>
      <c r="AL3402" s="1821"/>
      <c r="AM3402" s="1821"/>
      <c r="AN3402" s="1821"/>
      <c r="AO3402" s="1821"/>
      <c r="AP3402" s="1821"/>
      <c r="AQ3402" s="1821"/>
      <c r="AR3402" s="1821"/>
      <c r="AS3402" s="1821"/>
      <c r="AT3402" s="1821"/>
      <c r="AU3402" s="1821"/>
      <c r="AV3402" s="1821"/>
      <c r="AW3402" s="1821"/>
      <c r="AX3402" s="1821"/>
      <c r="AY3402" s="1821"/>
      <c r="AZ3402" s="1821"/>
      <c r="BA3402" s="1821"/>
      <c r="BB3402" s="1821"/>
      <c r="BC3402" s="1821"/>
      <c r="BD3402" s="1821"/>
      <c r="BE3402" s="1821"/>
      <c r="BF3402" s="1821"/>
      <c r="BG3402" s="1821"/>
      <c r="BH3402" s="1821"/>
      <c r="BI3402" s="1821"/>
      <c r="BJ3402" s="1821"/>
      <c r="BK3402" s="1821"/>
      <c r="BL3402" s="1821"/>
      <c r="BM3402" s="1821"/>
      <c r="BN3402" s="1821"/>
      <c r="BO3402" s="1821"/>
      <c r="BP3402" s="1821"/>
      <c r="BQ3402" s="1821"/>
      <c r="BR3402" s="1821"/>
      <c r="BS3402" s="1821"/>
      <c r="BT3402" s="1821"/>
      <c r="BU3402" s="1821"/>
      <c r="BV3402" s="1821"/>
      <c r="BW3402" s="1821"/>
      <c r="BX3402" s="1821"/>
      <c r="BY3402" s="1821"/>
      <c r="BZ3402" s="1821"/>
      <c r="CA3402" s="1821"/>
      <c r="CB3402" s="1821"/>
      <c r="CC3402" s="1821"/>
      <c r="CD3402" s="1821"/>
      <c r="CE3402" s="1821"/>
      <c r="CF3402" s="1821"/>
      <c r="CG3402" s="1821"/>
      <c r="CH3402" s="1821"/>
      <c r="CI3402" s="1821"/>
      <c r="CJ3402" s="1821"/>
      <c r="CK3402" s="1821"/>
    </row>
    <row r="3403" spans="1:89" s="675" customFormat="1" ht="16.5" customHeight="1" x14ac:dyDescent="0.25">
      <c r="A3403" s="697"/>
      <c r="B3403" s="1002" t="s">
        <v>344</v>
      </c>
      <c r="C3403" s="1007">
        <v>30</v>
      </c>
      <c r="D3403" s="1005" t="s">
        <v>51</v>
      </c>
      <c r="E3403" s="1006">
        <v>120</v>
      </c>
      <c r="F3403" s="700"/>
      <c r="G3403" s="700"/>
      <c r="H3403" s="700">
        <f t="shared" si="346"/>
        <v>0</v>
      </c>
      <c r="I3403" s="700"/>
      <c r="J3403" s="700">
        <f t="shared" si="347"/>
        <v>3600</v>
      </c>
      <c r="K3403" s="700">
        <f t="shared" si="348"/>
        <v>3600</v>
      </c>
      <c r="L3403" s="700"/>
      <c r="M3403" s="700"/>
      <c r="N3403" s="700">
        <f t="shared" si="349"/>
        <v>0</v>
      </c>
      <c r="O3403" s="974">
        <f t="shared" si="350"/>
        <v>3600</v>
      </c>
      <c r="P3403" s="956"/>
      <c r="Q3403" s="1821"/>
      <c r="R3403" s="1821"/>
      <c r="S3403" s="1821"/>
      <c r="T3403" s="1821"/>
      <c r="U3403" s="1821"/>
      <c r="V3403" s="1821"/>
      <c r="W3403" s="1821"/>
      <c r="X3403" s="1821"/>
      <c r="Y3403" s="1821"/>
      <c r="Z3403" s="1821"/>
      <c r="AA3403" s="1821"/>
      <c r="AB3403" s="1821"/>
      <c r="AC3403" s="1821"/>
      <c r="AD3403" s="1821"/>
      <c r="AE3403" s="1821"/>
      <c r="AF3403" s="1821"/>
      <c r="AG3403" s="1821"/>
      <c r="AH3403" s="1821"/>
      <c r="AI3403" s="1821"/>
      <c r="AJ3403" s="1821"/>
      <c r="AK3403" s="1821"/>
      <c r="AL3403" s="1821"/>
      <c r="AM3403" s="1821"/>
      <c r="AN3403" s="1821"/>
      <c r="AO3403" s="1821"/>
      <c r="AP3403" s="1821"/>
      <c r="AQ3403" s="1821"/>
      <c r="AR3403" s="1821"/>
      <c r="AS3403" s="1821"/>
      <c r="AT3403" s="1821"/>
      <c r="AU3403" s="1821"/>
      <c r="AV3403" s="1821"/>
      <c r="AW3403" s="1821"/>
      <c r="AX3403" s="1821"/>
      <c r="AY3403" s="1821"/>
      <c r="AZ3403" s="1821"/>
      <c r="BA3403" s="1821"/>
      <c r="BB3403" s="1821"/>
      <c r="BC3403" s="1821"/>
      <c r="BD3403" s="1821"/>
      <c r="BE3403" s="1821"/>
      <c r="BF3403" s="1821"/>
      <c r="BG3403" s="1821"/>
      <c r="BH3403" s="1821"/>
      <c r="BI3403" s="1821"/>
      <c r="BJ3403" s="1821"/>
      <c r="BK3403" s="1821"/>
      <c r="BL3403" s="1821"/>
      <c r="BM3403" s="1821"/>
      <c r="BN3403" s="1821"/>
      <c r="BO3403" s="1821"/>
      <c r="BP3403" s="1821"/>
      <c r="BQ3403" s="1821"/>
      <c r="BR3403" s="1821"/>
      <c r="BS3403" s="1821"/>
      <c r="BT3403" s="1821"/>
      <c r="BU3403" s="1821"/>
      <c r="BV3403" s="1821"/>
      <c r="BW3403" s="1821"/>
      <c r="BX3403" s="1821"/>
      <c r="BY3403" s="1821"/>
      <c r="BZ3403" s="1821"/>
      <c r="CA3403" s="1821"/>
      <c r="CB3403" s="1821"/>
      <c r="CC3403" s="1821"/>
      <c r="CD3403" s="1821"/>
      <c r="CE3403" s="1821"/>
      <c r="CF3403" s="1821"/>
      <c r="CG3403" s="1821"/>
      <c r="CH3403" s="1821"/>
      <c r="CI3403" s="1821"/>
      <c r="CJ3403" s="1821"/>
      <c r="CK3403" s="1821"/>
    </row>
    <row r="3404" spans="1:89" s="675" customFormat="1" ht="16.5" customHeight="1" x14ac:dyDescent="0.25">
      <c r="A3404" s="697"/>
      <c r="B3404" s="1002" t="s">
        <v>54</v>
      </c>
      <c r="C3404" s="1007">
        <v>90</v>
      </c>
      <c r="D3404" s="1005" t="s">
        <v>55</v>
      </c>
      <c r="E3404" s="1006">
        <v>430</v>
      </c>
      <c r="F3404" s="700"/>
      <c r="G3404" s="700"/>
      <c r="H3404" s="700">
        <f t="shared" si="346"/>
        <v>0</v>
      </c>
      <c r="I3404" s="700"/>
      <c r="J3404" s="700">
        <f t="shared" si="347"/>
        <v>38700</v>
      </c>
      <c r="K3404" s="700">
        <f t="shared" si="348"/>
        <v>38700</v>
      </c>
      <c r="L3404" s="700"/>
      <c r="M3404" s="700"/>
      <c r="N3404" s="700">
        <f t="shared" si="349"/>
        <v>0</v>
      </c>
      <c r="O3404" s="974">
        <f t="shared" si="350"/>
        <v>38700</v>
      </c>
      <c r="P3404" s="956"/>
      <c r="Q3404" s="1821"/>
      <c r="R3404" s="1821"/>
      <c r="S3404" s="1821"/>
      <c r="T3404" s="1821"/>
      <c r="U3404" s="1821"/>
      <c r="V3404" s="1821"/>
      <c r="W3404" s="1821"/>
      <c r="X3404" s="1821"/>
      <c r="Y3404" s="1821"/>
      <c r="Z3404" s="1821"/>
      <c r="AA3404" s="1821"/>
      <c r="AB3404" s="1821"/>
      <c r="AC3404" s="1821"/>
      <c r="AD3404" s="1821"/>
      <c r="AE3404" s="1821"/>
      <c r="AF3404" s="1821"/>
      <c r="AG3404" s="1821"/>
      <c r="AH3404" s="1821"/>
      <c r="AI3404" s="1821"/>
      <c r="AJ3404" s="1821"/>
      <c r="AK3404" s="1821"/>
      <c r="AL3404" s="1821"/>
      <c r="AM3404" s="1821"/>
      <c r="AN3404" s="1821"/>
      <c r="AO3404" s="1821"/>
      <c r="AP3404" s="1821"/>
      <c r="AQ3404" s="1821"/>
      <c r="AR3404" s="1821"/>
      <c r="AS3404" s="1821"/>
      <c r="AT3404" s="1821"/>
      <c r="AU3404" s="1821"/>
      <c r="AV3404" s="1821"/>
      <c r="AW3404" s="1821"/>
      <c r="AX3404" s="1821"/>
      <c r="AY3404" s="1821"/>
      <c r="AZ3404" s="1821"/>
      <c r="BA3404" s="1821"/>
      <c r="BB3404" s="1821"/>
      <c r="BC3404" s="1821"/>
      <c r="BD3404" s="1821"/>
      <c r="BE3404" s="1821"/>
      <c r="BF3404" s="1821"/>
      <c r="BG3404" s="1821"/>
      <c r="BH3404" s="1821"/>
      <c r="BI3404" s="1821"/>
      <c r="BJ3404" s="1821"/>
      <c r="BK3404" s="1821"/>
      <c r="BL3404" s="1821"/>
      <c r="BM3404" s="1821"/>
      <c r="BN3404" s="1821"/>
      <c r="BO3404" s="1821"/>
      <c r="BP3404" s="1821"/>
      <c r="BQ3404" s="1821"/>
      <c r="BR3404" s="1821"/>
      <c r="BS3404" s="1821"/>
      <c r="BT3404" s="1821"/>
      <c r="BU3404" s="1821"/>
      <c r="BV3404" s="1821"/>
      <c r="BW3404" s="1821"/>
      <c r="BX3404" s="1821"/>
      <c r="BY3404" s="1821"/>
      <c r="BZ3404" s="1821"/>
      <c r="CA3404" s="1821"/>
      <c r="CB3404" s="1821"/>
      <c r="CC3404" s="1821"/>
      <c r="CD3404" s="1821"/>
      <c r="CE3404" s="1821"/>
      <c r="CF3404" s="1821"/>
      <c r="CG3404" s="1821"/>
      <c r="CH3404" s="1821"/>
      <c r="CI3404" s="1821"/>
      <c r="CJ3404" s="1821"/>
      <c r="CK3404" s="1821"/>
    </row>
    <row r="3405" spans="1:89" s="675" customFormat="1" ht="16.5" customHeight="1" x14ac:dyDescent="0.25">
      <c r="A3405" s="697"/>
      <c r="B3405" s="1002" t="s">
        <v>52</v>
      </c>
      <c r="C3405" s="1007">
        <v>60</v>
      </c>
      <c r="D3405" s="1005" t="s">
        <v>55</v>
      </c>
      <c r="E3405" s="1006">
        <v>497</v>
      </c>
      <c r="F3405" s="700"/>
      <c r="G3405" s="700"/>
      <c r="H3405" s="700">
        <f t="shared" si="346"/>
        <v>0</v>
      </c>
      <c r="I3405" s="700"/>
      <c r="J3405" s="700">
        <f t="shared" si="347"/>
        <v>29820</v>
      </c>
      <c r="K3405" s="700">
        <f t="shared" si="348"/>
        <v>29820</v>
      </c>
      <c r="L3405" s="700"/>
      <c r="M3405" s="700"/>
      <c r="N3405" s="700">
        <f t="shared" si="349"/>
        <v>0</v>
      </c>
      <c r="O3405" s="974">
        <f t="shared" si="350"/>
        <v>29820</v>
      </c>
      <c r="P3405" s="956"/>
      <c r="Q3405" s="1821"/>
      <c r="R3405" s="1821"/>
      <c r="S3405" s="1821"/>
      <c r="T3405" s="1821"/>
      <c r="U3405" s="1821"/>
      <c r="V3405" s="1821"/>
      <c r="W3405" s="1821"/>
      <c r="X3405" s="1821"/>
      <c r="Y3405" s="1821"/>
      <c r="Z3405" s="1821"/>
      <c r="AA3405" s="1821"/>
      <c r="AB3405" s="1821"/>
      <c r="AC3405" s="1821"/>
      <c r="AD3405" s="1821"/>
      <c r="AE3405" s="1821"/>
      <c r="AF3405" s="1821"/>
      <c r="AG3405" s="1821"/>
      <c r="AH3405" s="1821"/>
      <c r="AI3405" s="1821"/>
      <c r="AJ3405" s="1821"/>
      <c r="AK3405" s="1821"/>
      <c r="AL3405" s="1821"/>
      <c r="AM3405" s="1821"/>
      <c r="AN3405" s="1821"/>
      <c r="AO3405" s="1821"/>
      <c r="AP3405" s="1821"/>
      <c r="AQ3405" s="1821"/>
      <c r="AR3405" s="1821"/>
      <c r="AS3405" s="1821"/>
      <c r="AT3405" s="1821"/>
      <c r="AU3405" s="1821"/>
      <c r="AV3405" s="1821"/>
      <c r="AW3405" s="1821"/>
      <c r="AX3405" s="1821"/>
      <c r="AY3405" s="1821"/>
      <c r="AZ3405" s="1821"/>
      <c r="BA3405" s="1821"/>
      <c r="BB3405" s="1821"/>
      <c r="BC3405" s="1821"/>
      <c r="BD3405" s="1821"/>
      <c r="BE3405" s="1821"/>
      <c r="BF3405" s="1821"/>
      <c r="BG3405" s="1821"/>
      <c r="BH3405" s="1821"/>
      <c r="BI3405" s="1821"/>
      <c r="BJ3405" s="1821"/>
      <c r="BK3405" s="1821"/>
      <c r="BL3405" s="1821"/>
      <c r="BM3405" s="1821"/>
      <c r="BN3405" s="1821"/>
      <c r="BO3405" s="1821"/>
      <c r="BP3405" s="1821"/>
      <c r="BQ3405" s="1821"/>
      <c r="BR3405" s="1821"/>
      <c r="BS3405" s="1821"/>
      <c r="BT3405" s="1821"/>
      <c r="BU3405" s="1821"/>
      <c r="BV3405" s="1821"/>
      <c r="BW3405" s="1821"/>
      <c r="BX3405" s="1821"/>
      <c r="BY3405" s="1821"/>
      <c r="BZ3405" s="1821"/>
      <c r="CA3405" s="1821"/>
      <c r="CB3405" s="1821"/>
      <c r="CC3405" s="1821"/>
      <c r="CD3405" s="1821"/>
      <c r="CE3405" s="1821"/>
      <c r="CF3405" s="1821"/>
      <c r="CG3405" s="1821"/>
      <c r="CH3405" s="1821"/>
      <c r="CI3405" s="1821"/>
      <c r="CJ3405" s="1821"/>
      <c r="CK3405" s="1821"/>
    </row>
    <row r="3406" spans="1:89" s="675" customFormat="1" ht="16.5" customHeight="1" x14ac:dyDescent="0.25">
      <c r="A3406" s="697"/>
      <c r="B3406" s="1002" t="s">
        <v>224</v>
      </c>
      <c r="C3406" s="1007"/>
      <c r="D3406" s="1005"/>
      <c r="E3406" s="1006"/>
      <c r="F3406" s="700"/>
      <c r="G3406" s="700"/>
      <c r="H3406" s="700">
        <f t="shared" si="346"/>
        <v>0</v>
      </c>
      <c r="I3406" s="700"/>
      <c r="J3406" s="700">
        <f t="shared" si="347"/>
        <v>0</v>
      </c>
      <c r="K3406" s="700">
        <f t="shared" si="348"/>
        <v>0</v>
      </c>
      <c r="L3406" s="700"/>
      <c r="M3406" s="700"/>
      <c r="N3406" s="700">
        <f t="shared" si="349"/>
        <v>0</v>
      </c>
      <c r="O3406" s="974">
        <f t="shared" si="350"/>
        <v>0</v>
      </c>
      <c r="P3406" s="956"/>
      <c r="Q3406" s="1821"/>
      <c r="R3406" s="1821"/>
      <c r="S3406" s="1821"/>
      <c r="T3406" s="1821"/>
      <c r="U3406" s="1821"/>
      <c r="V3406" s="1821"/>
      <c r="W3406" s="1821"/>
      <c r="X3406" s="1821"/>
      <c r="Y3406" s="1821"/>
      <c r="Z3406" s="1821"/>
      <c r="AA3406" s="1821"/>
      <c r="AB3406" s="1821"/>
      <c r="AC3406" s="1821"/>
      <c r="AD3406" s="1821"/>
      <c r="AE3406" s="1821"/>
      <c r="AF3406" s="1821"/>
      <c r="AG3406" s="1821"/>
      <c r="AH3406" s="1821"/>
      <c r="AI3406" s="1821"/>
      <c r="AJ3406" s="1821"/>
      <c r="AK3406" s="1821"/>
      <c r="AL3406" s="1821"/>
      <c r="AM3406" s="1821"/>
      <c r="AN3406" s="1821"/>
      <c r="AO3406" s="1821"/>
      <c r="AP3406" s="1821"/>
      <c r="AQ3406" s="1821"/>
      <c r="AR3406" s="1821"/>
      <c r="AS3406" s="1821"/>
      <c r="AT3406" s="1821"/>
      <c r="AU3406" s="1821"/>
      <c r="AV3406" s="1821"/>
      <c r="AW3406" s="1821"/>
      <c r="AX3406" s="1821"/>
      <c r="AY3406" s="1821"/>
      <c r="AZ3406" s="1821"/>
      <c r="BA3406" s="1821"/>
      <c r="BB3406" s="1821"/>
      <c r="BC3406" s="1821"/>
      <c r="BD3406" s="1821"/>
      <c r="BE3406" s="1821"/>
      <c r="BF3406" s="1821"/>
      <c r="BG3406" s="1821"/>
      <c r="BH3406" s="1821"/>
      <c r="BI3406" s="1821"/>
      <c r="BJ3406" s="1821"/>
      <c r="BK3406" s="1821"/>
      <c r="BL3406" s="1821"/>
      <c r="BM3406" s="1821"/>
      <c r="BN3406" s="1821"/>
      <c r="BO3406" s="1821"/>
      <c r="BP3406" s="1821"/>
      <c r="BQ3406" s="1821"/>
      <c r="BR3406" s="1821"/>
      <c r="BS3406" s="1821"/>
      <c r="BT3406" s="1821"/>
      <c r="BU3406" s="1821"/>
      <c r="BV3406" s="1821"/>
      <c r="BW3406" s="1821"/>
      <c r="BX3406" s="1821"/>
      <c r="BY3406" s="1821"/>
      <c r="BZ3406" s="1821"/>
      <c r="CA3406" s="1821"/>
      <c r="CB3406" s="1821"/>
      <c r="CC3406" s="1821"/>
      <c r="CD3406" s="1821"/>
      <c r="CE3406" s="1821"/>
      <c r="CF3406" s="1821"/>
      <c r="CG3406" s="1821"/>
      <c r="CH3406" s="1821"/>
      <c r="CI3406" s="1821"/>
      <c r="CJ3406" s="1821"/>
      <c r="CK3406" s="1821"/>
    </row>
    <row r="3407" spans="1:89" s="675" customFormat="1" ht="16.5" customHeight="1" x14ac:dyDescent="0.25">
      <c r="A3407" s="697"/>
      <c r="B3407" s="1002" t="s">
        <v>367</v>
      </c>
      <c r="C3407" s="1007">
        <v>18</v>
      </c>
      <c r="D3407" s="1005" t="s">
        <v>210</v>
      </c>
      <c r="E3407" s="1006">
        <v>1400</v>
      </c>
      <c r="F3407" s="700"/>
      <c r="G3407" s="700"/>
      <c r="H3407" s="700">
        <f t="shared" si="346"/>
        <v>0</v>
      </c>
      <c r="I3407" s="700"/>
      <c r="J3407" s="700">
        <f t="shared" si="347"/>
        <v>25200</v>
      </c>
      <c r="K3407" s="700">
        <f t="shared" si="348"/>
        <v>25200</v>
      </c>
      <c r="L3407" s="700"/>
      <c r="M3407" s="700"/>
      <c r="N3407" s="700"/>
      <c r="O3407" s="974">
        <f t="shared" si="350"/>
        <v>25200</v>
      </c>
      <c r="P3407" s="956"/>
      <c r="Q3407" s="1821"/>
      <c r="R3407" s="1821"/>
      <c r="S3407" s="1821"/>
      <c r="T3407" s="1821"/>
      <c r="U3407" s="1821"/>
      <c r="V3407" s="1821"/>
      <c r="W3407" s="1821"/>
      <c r="X3407" s="1821"/>
      <c r="Y3407" s="1821"/>
      <c r="Z3407" s="1821"/>
      <c r="AA3407" s="1821"/>
      <c r="AB3407" s="1821"/>
      <c r="AC3407" s="1821"/>
      <c r="AD3407" s="1821"/>
      <c r="AE3407" s="1821"/>
      <c r="AF3407" s="1821"/>
      <c r="AG3407" s="1821"/>
      <c r="AH3407" s="1821"/>
      <c r="AI3407" s="1821"/>
      <c r="AJ3407" s="1821"/>
      <c r="AK3407" s="1821"/>
      <c r="AL3407" s="1821"/>
      <c r="AM3407" s="1821"/>
      <c r="AN3407" s="1821"/>
      <c r="AO3407" s="1821"/>
      <c r="AP3407" s="1821"/>
      <c r="AQ3407" s="1821"/>
      <c r="AR3407" s="1821"/>
      <c r="AS3407" s="1821"/>
      <c r="AT3407" s="1821"/>
      <c r="AU3407" s="1821"/>
      <c r="AV3407" s="1821"/>
      <c r="AW3407" s="1821"/>
      <c r="AX3407" s="1821"/>
      <c r="AY3407" s="1821"/>
      <c r="AZ3407" s="1821"/>
      <c r="BA3407" s="1821"/>
      <c r="BB3407" s="1821"/>
      <c r="BC3407" s="1821"/>
      <c r="BD3407" s="1821"/>
      <c r="BE3407" s="1821"/>
      <c r="BF3407" s="1821"/>
      <c r="BG3407" s="1821"/>
      <c r="BH3407" s="1821"/>
      <c r="BI3407" s="1821"/>
      <c r="BJ3407" s="1821"/>
      <c r="BK3407" s="1821"/>
      <c r="BL3407" s="1821"/>
      <c r="BM3407" s="1821"/>
      <c r="BN3407" s="1821"/>
      <c r="BO3407" s="1821"/>
      <c r="BP3407" s="1821"/>
      <c r="BQ3407" s="1821"/>
      <c r="BR3407" s="1821"/>
      <c r="BS3407" s="1821"/>
      <c r="BT3407" s="1821"/>
      <c r="BU3407" s="1821"/>
      <c r="BV3407" s="1821"/>
      <c r="BW3407" s="1821"/>
      <c r="BX3407" s="1821"/>
      <c r="BY3407" s="1821"/>
      <c r="BZ3407" s="1821"/>
      <c r="CA3407" s="1821"/>
      <c r="CB3407" s="1821"/>
      <c r="CC3407" s="1821"/>
      <c r="CD3407" s="1821"/>
      <c r="CE3407" s="1821"/>
      <c r="CF3407" s="1821"/>
      <c r="CG3407" s="1821"/>
      <c r="CH3407" s="1821"/>
      <c r="CI3407" s="1821"/>
      <c r="CJ3407" s="1821"/>
      <c r="CK3407" s="1821"/>
    </row>
    <row r="3408" spans="1:89" s="675" customFormat="1" ht="16.5" customHeight="1" x14ac:dyDescent="0.25">
      <c r="A3408" s="697"/>
      <c r="B3408" s="1002" t="s">
        <v>1242</v>
      </c>
      <c r="C3408" s="1007">
        <v>18</v>
      </c>
      <c r="D3408" s="1005" t="s">
        <v>210</v>
      </c>
      <c r="E3408" s="1006">
        <v>700</v>
      </c>
      <c r="F3408" s="700"/>
      <c r="G3408" s="700"/>
      <c r="H3408" s="700">
        <f t="shared" si="346"/>
        <v>0</v>
      </c>
      <c r="I3408" s="700"/>
      <c r="J3408" s="700">
        <f t="shared" si="347"/>
        <v>12600</v>
      </c>
      <c r="K3408" s="700">
        <f t="shared" si="348"/>
        <v>12600</v>
      </c>
      <c r="L3408" s="700"/>
      <c r="M3408" s="700"/>
      <c r="N3408" s="700">
        <f t="shared" si="349"/>
        <v>0</v>
      </c>
      <c r="O3408" s="974">
        <f t="shared" si="350"/>
        <v>12600</v>
      </c>
      <c r="P3408" s="956"/>
      <c r="Q3408" s="1821"/>
      <c r="R3408" s="1821"/>
      <c r="S3408" s="1821"/>
      <c r="T3408" s="1821"/>
      <c r="U3408" s="1821"/>
      <c r="V3408" s="1821"/>
      <c r="W3408" s="1821"/>
      <c r="X3408" s="1821"/>
      <c r="Y3408" s="1821"/>
      <c r="Z3408" s="1821"/>
      <c r="AA3408" s="1821"/>
      <c r="AB3408" s="1821"/>
      <c r="AC3408" s="1821"/>
      <c r="AD3408" s="1821"/>
      <c r="AE3408" s="1821"/>
      <c r="AF3408" s="1821"/>
      <c r="AG3408" s="1821"/>
      <c r="AH3408" s="1821"/>
      <c r="AI3408" s="1821"/>
      <c r="AJ3408" s="1821"/>
      <c r="AK3408" s="1821"/>
      <c r="AL3408" s="1821"/>
      <c r="AM3408" s="1821"/>
      <c r="AN3408" s="1821"/>
      <c r="AO3408" s="1821"/>
      <c r="AP3408" s="1821"/>
      <c r="AQ3408" s="1821"/>
      <c r="AR3408" s="1821"/>
      <c r="AS3408" s="1821"/>
      <c r="AT3408" s="1821"/>
      <c r="AU3408" s="1821"/>
      <c r="AV3408" s="1821"/>
      <c r="AW3408" s="1821"/>
      <c r="AX3408" s="1821"/>
      <c r="AY3408" s="1821"/>
      <c r="AZ3408" s="1821"/>
      <c r="BA3408" s="1821"/>
      <c r="BB3408" s="1821"/>
      <c r="BC3408" s="1821"/>
      <c r="BD3408" s="1821"/>
      <c r="BE3408" s="1821"/>
      <c r="BF3408" s="1821"/>
      <c r="BG3408" s="1821"/>
      <c r="BH3408" s="1821"/>
      <c r="BI3408" s="1821"/>
      <c r="BJ3408" s="1821"/>
      <c r="BK3408" s="1821"/>
      <c r="BL3408" s="1821"/>
      <c r="BM3408" s="1821"/>
      <c r="BN3408" s="1821"/>
      <c r="BO3408" s="1821"/>
      <c r="BP3408" s="1821"/>
      <c r="BQ3408" s="1821"/>
      <c r="BR3408" s="1821"/>
      <c r="BS3408" s="1821"/>
      <c r="BT3408" s="1821"/>
      <c r="BU3408" s="1821"/>
      <c r="BV3408" s="1821"/>
      <c r="BW3408" s="1821"/>
      <c r="BX3408" s="1821"/>
      <c r="BY3408" s="1821"/>
      <c r="BZ3408" s="1821"/>
      <c r="CA3408" s="1821"/>
      <c r="CB3408" s="1821"/>
      <c r="CC3408" s="1821"/>
      <c r="CD3408" s="1821"/>
      <c r="CE3408" s="1821"/>
      <c r="CF3408" s="1821"/>
      <c r="CG3408" s="1821"/>
      <c r="CH3408" s="1821"/>
      <c r="CI3408" s="1821"/>
      <c r="CJ3408" s="1821"/>
      <c r="CK3408" s="1821"/>
    </row>
    <row r="3409" spans="1:89" s="675" customFormat="1" ht="16.5" customHeight="1" x14ac:dyDescent="0.25">
      <c r="A3409" s="697"/>
      <c r="B3409" s="1002"/>
      <c r="C3409" s="1007"/>
      <c r="D3409" s="1005"/>
      <c r="E3409" s="1006"/>
      <c r="F3409" s="700"/>
      <c r="G3409" s="700"/>
      <c r="H3409" s="700">
        <f t="shared" si="346"/>
        <v>0</v>
      </c>
      <c r="I3409" s="700"/>
      <c r="J3409" s="700"/>
      <c r="K3409" s="700">
        <f t="shared" si="348"/>
        <v>0</v>
      </c>
      <c r="L3409" s="700"/>
      <c r="M3409" s="700"/>
      <c r="N3409" s="700">
        <f t="shared" si="349"/>
        <v>0</v>
      </c>
      <c r="O3409" s="974">
        <f t="shared" si="350"/>
        <v>0</v>
      </c>
      <c r="P3409" s="956"/>
      <c r="Q3409" s="1821"/>
      <c r="R3409" s="1821"/>
      <c r="S3409" s="1821"/>
      <c r="T3409" s="1821"/>
      <c r="U3409" s="1821"/>
      <c r="V3409" s="1821"/>
      <c r="W3409" s="1821"/>
      <c r="X3409" s="1821"/>
      <c r="Y3409" s="1821"/>
      <c r="Z3409" s="1821"/>
      <c r="AA3409" s="1821"/>
      <c r="AB3409" s="1821"/>
      <c r="AC3409" s="1821"/>
      <c r="AD3409" s="1821"/>
      <c r="AE3409" s="1821"/>
      <c r="AF3409" s="1821"/>
      <c r="AG3409" s="1821"/>
      <c r="AH3409" s="1821"/>
      <c r="AI3409" s="1821"/>
      <c r="AJ3409" s="1821"/>
      <c r="AK3409" s="1821"/>
      <c r="AL3409" s="1821"/>
      <c r="AM3409" s="1821"/>
      <c r="AN3409" s="1821"/>
      <c r="AO3409" s="1821"/>
      <c r="AP3409" s="1821"/>
      <c r="AQ3409" s="1821"/>
      <c r="AR3409" s="1821"/>
      <c r="AS3409" s="1821"/>
      <c r="AT3409" s="1821"/>
      <c r="AU3409" s="1821"/>
      <c r="AV3409" s="1821"/>
      <c r="AW3409" s="1821"/>
      <c r="AX3409" s="1821"/>
      <c r="AY3409" s="1821"/>
      <c r="AZ3409" s="1821"/>
      <c r="BA3409" s="1821"/>
      <c r="BB3409" s="1821"/>
      <c r="BC3409" s="1821"/>
      <c r="BD3409" s="1821"/>
      <c r="BE3409" s="1821"/>
      <c r="BF3409" s="1821"/>
      <c r="BG3409" s="1821"/>
      <c r="BH3409" s="1821"/>
      <c r="BI3409" s="1821"/>
      <c r="BJ3409" s="1821"/>
      <c r="BK3409" s="1821"/>
      <c r="BL3409" s="1821"/>
      <c r="BM3409" s="1821"/>
      <c r="BN3409" s="1821"/>
      <c r="BO3409" s="1821"/>
      <c r="BP3409" s="1821"/>
      <c r="BQ3409" s="1821"/>
      <c r="BR3409" s="1821"/>
      <c r="BS3409" s="1821"/>
      <c r="BT3409" s="1821"/>
      <c r="BU3409" s="1821"/>
      <c r="BV3409" s="1821"/>
      <c r="BW3409" s="1821"/>
      <c r="BX3409" s="1821"/>
      <c r="BY3409" s="1821"/>
      <c r="BZ3409" s="1821"/>
      <c r="CA3409" s="1821"/>
      <c r="CB3409" s="1821"/>
      <c r="CC3409" s="1821"/>
      <c r="CD3409" s="1821"/>
      <c r="CE3409" s="1821"/>
      <c r="CF3409" s="1821"/>
      <c r="CG3409" s="1821"/>
      <c r="CH3409" s="1821"/>
      <c r="CI3409" s="1821"/>
      <c r="CJ3409" s="1821"/>
      <c r="CK3409" s="1821"/>
    </row>
    <row r="3410" spans="1:89" s="675" customFormat="1" ht="16.5" customHeight="1" x14ac:dyDescent="0.25">
      <c r="A3410" s="697">
        <v>12</v>
      </c>
      <c r="B3410" s="1002" t="s">
        <v>378</v>
      </c>
      <c r="C3410" s="1007">
        <f>SUM(O3411:O3416)</f>
        <v>133200</v>
      </c>
      <c r="D3410" s="1005"/>
      <c r="E3410" s="1006"/>
      <c r="F3410" s="700"/>
      <c r="G3410" s="700"/>
      <c r="H3410" s="700">
        <f t="shared" si="346"/>
        <v>0</v>
      </c>
      <c r="I3410" s="700"/>
      <c r="J3410" s="700">
        <f t="shared" ref="J3410:J3426" si="351">C3410*E3410</f>
        <v>0</v>
      </c>
      <c r="K3410" s="700">
        <f t="shared" si="348"/>
        <v>0</v>
      </c>
      <c r="L3410" s="700"/>
      <c r="M3410" s="700"/>
      <c r="N3410" s="700">
        <f t="shared" si="349"/>
        <v>0</v>
      </c>
      <c r="O3410" s="974">
        <f t="shared" si="350"/>
        <v>0</v>
      </c>
      <c r="P3410" s="956"/>
      <c r="Q3410" s="1821"/>
      <c r="R3410" s="1821"/>
      <c r="S3410" s="1821"/>
      <c r="T3410" s="1821"/>
      <c r="U3410" s="1821"/>
      <c r="V3410" s="1821"/>
      <c r="W3410" s="1821"/>
      <c r="X3410" s="1821"/>
      <c r="Y3410" s="1821"/>
      <c r="Z3410" s="1821"/>
      <c r="AA3410" s="1821"/>
      <c r="AB3410" s="1821"/>
      <c r="AC3410" s="1821"/>
      <c r="AD3410" s="1821"/>
      <c r="AE3410" s="1821"/>
      <c r="AF3410" s="1821"/>
      <c r="AG3410" s="1821"/>
      <c r="AH3410" s="1821"/>
      <c r="AI3410" s="1821"/>
      <c r="AJ3410" s="1821"/>
      <c r="AK3410" s="1821"/>
      <c r="AL3410" s="1821"/>
      <c r="AM3410" s="1821"/>
      <c r="AN3410" s="1821"/>
      <c r="AO3410" s="1821"/>
      <c r="AP3410" s="1821"/>
      <c r="AQ3410" s="1821"/>
      <c r="AR3410" s="1821"/>
      <c r="AS3410" s="1821"/>
      <c r="AT3410" s="1821"/>
      <c r="AU3410" s="1821"/>
      <c r="AV3410" s="1821"/>
      <c r="AW3410" s="1821"/>
      <c r="AX3410" s="1821"/>
      <c r="AY3410" s="1821"/>
      <c r="AZ3410" s="1821"/>
      <c r="BA3410" s="1821"/>
      <c r="BB3410" s="1821"/>
      <c r="BC3410" s="1821"/>
      <c r="BD3410" s="1821"/>
      <c r="BE3410" s="1821"/>
      <c r="BF3410" s="1821"/>
      <c r="BG3410" s="1821"/>
      <c r="BH3410" s="1821"/>
      <c r="BI3410" s="1821"/>
      <c r="BJ3410" s="1821"/>
      <c r="BK3410" s="1821"/>
      <c r="BL3410" s="1821"/>
      <c r="BM3410" s="1821"/>
      <c r="BN3410" s="1821"/>
      <c r="BO3410" s="1821"/>
      <c r="BP3410" s="1821"/>
      <c r="BQ3410" s="1821"/>
      <c r="BR3410" s="1821"/>
      <c r="BS3410" s="1821"/>
      <c r="BT3410" s="1821"/>
      <c r="BU3410" s="1821"/>
      <c r="BV3410" s="1821"/>
      <c r="BW3410" s="1821"/>
      <c r="BX3410" s="1821"/>
      <c r="BY3410" s="1821"/>
      <c r="BZ3410" s="1821"/>
      <c r="CA3410" s="1821"/>
      <c r="CB3410" s="1821"/>
      <c r="CC3410" s="1821"/>
      <c r="CD3410" s="1821"/>
      <c r="CE3410" s="1821"/>
      <c r="CF3410" s="1821"/>
      <c r="CG3410" s="1821"/>
      <c r="CH3410" s="1821"/>
      <c r="CI3410" s="1821"/>
      <c r="CJ3410" s="1821"/>
      <c r="CK3410" s="1821"/>
    </row>
    <row r="3411" spans="1:89" s="675" customFormat="1" ht="16.5" customHeight="1" x14ac:dyDescent="0.25">
      <c r="A3411" s="697"/>
      <c r="B3411" s="1002" t="s">
        <v>21</v>
      </c>
      <c r="C3411" s="1007"/>
      <c r="D3411" s="1005"/>
      <c r="E3411" s="1006"/>
      <c r="F3411" s="700"/>
      <c r="G3411" s="700"/>
      <c r="H3411" s="700">
        <f t="shared" si="346"/>
        <v>0</v>
      </c>
      <c r="I3411" s="700"/>
      <c r="J3411" s="700">
        <f t="shared" si="351"/>
        <v>0</v>
      </c>
      <c r="K3411" s="700">
        <f t="shared" si="348"/>
        <v>0</v>
      </c>
      <c r="L3411" s="700"/>
      <c r="M3411" s="700"/>
      <c r="N3411" s="700">
        <f t="shared" si="349"/>
        <v>0</v>
      </c>
      <c r="O3411" s="974">
        <f t="shared" si="350"/>
        <v>0</v>
      </c>
      <c r="P3411" s="956"/>
      <c r="Q3411" s="1821"/>
      <c r="R3411" s="1821"/>
      <c r="S3411" s="1821"/>
      <c r="T3411" s="1821"/>
      <c r="U3411" s="1821"/>
      <c r="V3411" s="1821"/>
      <c r="W3411" s="1821"/>
      <c r="X3411" s="1821"/>
      <c r="Y3411" s="1821"/>
      <c r="Z3411" s="1821"/>
      <c r="AA3411" s="1821"/>
      <c r="AB3411" s="1821"/>
      <c r="AC3411" s="1821"/>
      <c r="AD3411" s="1821"/>
      <c r="AE3411" s="1821"/>
      <c r="AF3411" s="1821"/>
      <c r="AG3411" s="1821"/>
      <c r="AH3411" s="1821"/>
      <c r="AI3411" s="1821"/>
      <c r="AJ3411" s="1821"/>
      <c r="AK3411" s="1821"/>
      <c r="AL3411" s="1821"/>
      <c r="AM3411" s="1821"/>
      <c r="AN3411" s="1821"/>
      <c r="AO3411" s="1821"/>
      <c r="AP3411" s="1821"/>
      <c r="AQ3411" s="1821"/>
      <c r="AR3411" s="1821"/>
      <c r="AS3411" s="1821"/>
      <c r="AT3411" s="1821"/>
      <c r="AU3411" s="1821"/>
      <c r="AV3411" s="1821"/>
      <c r="AW3411" s="1821"/>
      <c r="AX3411" s="1821"/>
      <c r="AY3411" s="1821"/>
      <c r="AZ3411" s="1821"/>
      <c r="BA3411" s="1821"/>
      <c r="BB3411" s="1821"/>
      <c r="BC3411" s="1821"/>
      <c r="BD3411" s="1821"/>
      <c r="BE3411" s="1821"/>
      <c r="BF3411" s="1821"/>
      <c r="BG3411" s="1821"/>
      <c r="BH3411" s="1821"/>
      <c r="BI3411" s="1821"/>
      <c r="BJ3411" s="1821"/>
      <c r="BK3411" s="1821"/>
      <c r="BL3411" s="1821"/>
      <c r="BM3411" s="1821"/>
      <c r="BN3411" s="1821"/>
      <c r="BO3411" s="1821"/>
      <c r="BP3411" s="1821"/>
      <c r="BQ3411" s="1821"/>
      <c r="BR3411" s="1821"/>
      <c r="BS3411" s="1821"/>
      <c r="BT3411" s="1821"/>
      <c r="BU3411" s="1821"/>
      <c r="BV3411" s="1821"/>
      <c r="BW3411" s="1821"/>
      <c r="BX3411" s="1821"/>
      <c r="BY3411" s="1821"/>
      <c r="BZ3411" s="1821"/>
      <c r="CA3411" s="1821"/>
      <c r="CB3411" s="1821"/>
      <c r="CC3411" s="1821"/>
      <c r="CD3411" s="1821"/>
      <c r="CE3411" s="1821"/>
      <c r="CF3411" s="1821"/>
      <c r="CG3411" s="1821"/>
      <c r="CH3411" s="1821"/>
      <c r="CI3411" s="1821"/>
      <c r="CJ3411" s="1821"/>
      <c r="CK3411" s="1821"/>
    </row>
    <row r="3412" spans="1:89" s="675" customFormat="1" ht="16.5" customHeight="1" x14ac:dyDescent="0.25">
      <c r="A3412" s="697"/>
      <c r="B3412" s="1002" t="s">
        <v>215</v>
      </c>
      <c r="C3412" s="1007">
        <v>1</v>
      </c>
      <c r="D3412" s="1005" t="s">
        <v>294</v>
      </c>
      <c r="E3412" s="1006">
        <v>36000</v>
      </c>
      <c r="F3412" s="700"/>
      <c r="G3412" s="700"/>
      <c r="H3412" s="700">
        <f t="shared" si="346"/>
        <v>0</v>
      </c>
      <c r="I3412" s="700">
        <f>C3412*E3412</f>
        <v>36000</v>
      </c>
      <c r="J3412" s="700"/>
      <c r="K3412" s="700">
        <f t="shared" si="348"/>
        <v>36000</v>
      </c>
      <c r="L3412" s="700"/>
      <c r="M3412" s="700"/>
      <c r="N3412" s="700">
        <f t="shared" si="349"/>
        <v>0</v>
      </c>
      <c r="O3412" s="974">
        <f t="shared" si="350"/>
        <v>36000</v>
      </c>
      <c r="P3412" s="956"/>
      <c r="Q3412" s="1821"/>
      <c r="R3412" s="1821"/>
      <c r="S3412" s="1821"/>
      <c r="T3412" s="1821"/>
      <c r="U3412" s="1821"/>
      <c r="V3412" s="1821"/>
      <c r="W3412" s="1821"/>
      <c r="X3412" s="1821"/>
      <c r="Y3412" s="1821"/>
      <c r="Z3412" s="1821"/>
      <c r="AA3412" s="1821"/>
      <c r="AB3412" s="1821"/>
      <c r="AC3412" s="1821"/>
      <c r="AD3412" s="1821"/>
      <c r="AE3412" s="1821"/>
      <c r="AF3412" s="1821"/>
      <c r="AG3412" s="1821"/>
      <c r="AH3412" s="1821"/>
      <c r="AI3412" s="1821"/>
      <c r="AJ3412" s="1821"/>
      <c r="AK3412" s="1821"/>
      <c r="AL3412" s="1821"/>
      <c r="AM3412" s="1821"/>
      <c r="AN3412" s="1821"/>
      <c r="AO3412" s="1821"/>
      <c r="AP3412" s="1821"/>
      <c r="AQ3412" s="1821"/>
      <c r="AR3412" s="1821"/>
      <c r="AS3412" s="1821"/>
      <c r="AT3412" s="1821"/>
      <c r="AU3412" s="1821"/>
      <c r="AV3412" s="1821"/>
      <c r="AW3412" s="1821"/>
      <c r="AX3412" s="1821"/>
      <c r="AY3412" s="1821"/>
      <c r="AZ3412" s="1821"/>
      <c r="BA3412" s="1821"/>
      <c r="BB3412" s="1821"/>
      <c r="BC3412" s="1821"/>
      <c r="BD3412" s="1821"/>
      <c r="BE3412" s="1821"/>
      <c r="BF3412" s="1821"/>
      <c r="BG3412" s="1821"/>
      <c r="BH3412" s="1821"/>
      <c r="BI3412" s="1821"/>
      <c r="BJ3412" s="1821"/>
      <c r="BK3412" s="1821"/>
      <c r="BL3412" s="1821"/>
      <c r="BM3412" s="1821"/>
      <c r="BN3412" s="1821"/>
      <c r="BO3412" s="1821"/>
      <c r="BP3412" s="1821"/>
      <c r="BQ3412" s="1821"/>
      <c r="BR3412" s="1821"/>
      <c r="BS3412" s="1821"/>
      <c r="BT3412" s="1821"/>
      <c r="BU3412" s="1821"/>
      <c r="BV3412" s="1821"/>
      <c r="BW3412" s="1821"/>
      <c r="BX3412" s="1821"/>
      <c r="BY3412" s="1821"/>
      <c r="BZ3412" s="1821"/>
      <c r="CA3412" s="1821"/>
      <c r="CB3412" s="1821"/>
      <c r="CC3412" s="1821"/>
      <c r="CD3412" s="1821"/>
      <c r="CE3412" s="1821"/>
      <c r="CF3412" s="1821"/>
      <c r="CG3412" s="1821"/>
      <c r="CH3412" s="1821"/>
      <c r="CI3412" s="1821"/>
      <c r="CJ3412" s="1821"/>
      <c r="CK3412" s="1821"/>
    </row>
    <row r="3413" spans="1:89" s="675" customFormat="1" ht="16.5" customHeight="1" x14ac:dyDescent="0.25">
      <c r="A3413" s="697"/>
      <c r="B3413" s="1002" t="s">
        <v>40</v>
      </c>
      <c r="C3413" s="1007"/>
      <c r="D3413" s="1005"/>
      <c r="E3413" s="1006"/>
      <c r="F3413" s="700"/>
      <c r="G3413" s="700"/>
      <c r="H3413" s="700">
        <f t="shared" si="346"/>
        <v>0</v>
      </c>
      <c r="I3413" s="700"/>
      <c r="J3413" s="700">
        <f t="shared" si="351"/>
        <v>0</v>
      </c>
      <c r="K3413" s="700">
        <f t="shared" si="348"/>
        <v>0</v>
      </c>
      <c r="L3413" s="700"/>
      <c r="M3413" s="700"/>
      <c r="N3413" s="700">
        <f t="shared" si="349"/>
        <v>0</v>
      </c>
      <c r="O3413" s="974">
        <f t="shared" si="350"/>
        <v>0</v>
      </c>
      <c r="P3413" s="956"/>
      <c r="Q3413" s="1821"/>
      <c r="R3413" s="1821"/>
      <c r="S3413" s="1821"/>
      <c r="T3413" s="1821"/>
      <c r="U3413" s="1821"/>
      <c r="V3413" s="1821"/>
      <c r="W3413" s="1821"/>
      <c r="X3413" s="1821"/>
      <c r="Y3413" s="1821"/>
      <c r="Z3413" s="1821"/>
      <c r="AA3413" s="1821"/>
      <c r="AB3413" s="1821"/>
      <c r="AC3413" s="1821"/>
      <c r="AD3413" s="1821"/>
      <c r="AE3413" s="1821"/>
      <c r="AF3413" s="1821"/>
      <c r="AG3413" s="1821"/>
      <c r="AH3413" s="1821"/>
      <c r="AI3413" s="1821"/>
      <c r="AJ3413" s="1821"/>
      <c r="AK3413" s="1821"/>
      <c r="AL3413" s="1821"/>
      <c r="AM3413" s="1821"/>
      <c r="AN3413" s="1821"/>
      <c r="AO3413" s="1821"/>
      <c r="AP3413" s="1821"/>
      <c r="AQ3413" s="1821"/>
      <c r="AR3413" s="1821"/>
      <c r="AS3413" s="1821"/>
      <c r="AT3413" s="1821"/>
      <c r="AU3413" s="1821"/>
      <c r="AV3413" s="1821"/>
      <c r="AW3413" s="1821"/>
      <c r="AX3413" s="1821"/>
      <c r="AY3413" s="1821"/>
      <c r="AZ3413" s="1821"/>
      <c r="BA3413" s="1821"/>
      <c r="BB3413" s="1821"/>
      <c r="BC3413" s="1821"/>
      <c r="BD3413" s="1821"/>
      <c r="BE3413" s="1821"/>
      <c r="BF3413" s="1821"/>
      <c r="BG3413" s="1821"/>
      <c r="BH3413" s="1821"/>
      <c r="BI3413" s="1821"/>
      <c r="BJ3413" s="1821"/>
      <c r="BK3413" s="1821"/>
      <c r="BL3413" s="1821"/>
      <c r="BM3413" s="1821"/>
      <c r="BN3413" s="1821"/>
      <c r="BO3413" s="1821"/>
      <c r="BP3413" s="1821"/>
      <c r="BQ3413" s="1821"/>
      <c r="BR3413" s="1821"/>
      <c r="BS3413" s="1821"/>
      <c r="BT3413" s="1821"/>
      <c r="BU3413" s="1821"/>
      <c r="BV3413" s="1821"/>
      <c r="BW3413" s="1821"/>
      <c r="BX3413" s="1821"/>
      <c r="BY3413" s="1821"/>
      <c r="BZ3413" s="1821"/>
      <c r="CA3413" s="1821"/>
      <c r="CB3413" s="1821"/>
      <c r="CC3413" s="1821"/>
      <c r="CD3413" s="1821"/>
      <c r="CE3413" s="1821"/>
      <c r="CF3413" s="1821"/>
      <c r="CG3413" s="1821"/>
      <c r="CH3413" s="1821"/>
      <c r="CI3413" s="1821"/>
      <c r="CJ3413" s="1821"/>
      <c r="CK3413" s="1821"/>
    </row>
    <row r="3414" spans="1:89" s="675" customFormat="1" ht="16.5" customHeight="1" x14ac:dyDescent="0.25">
      <c r="A3414" s="697"/>
      <c r="B3414" s="1002" t="s">
        <v>1243</v>
      </c>
      <c r="C3414" s="1007">
        <v>60000</v>
      </c>
      <c r="D3414" s="1005" t="s">
        <v>1244</v>
      </c>
      <c r="E3414" s="1006">
        <v>1.25</v>
      </c>
      <c r="F3414" s="700"/>
      <c r="G3414" s="700"/>
      <c r="H3414" s="700">
        <f t="shared" si="346"/>
        <v>0</v>
      </c>
      <c r="I3414" s="700"/>
      <c r="J3414" s="700">
        <f t="shared" si="351"/>
        <v>75000</v>
      </c>
      <c r="K3414" s="700">
        <f t="shared" si="348"/>
        <v>75000</v>
      </c>
      <c r="L3414" s="700"/>
      <c r="M3414" s="700"/>
      <c r="N3414" s="700">
        <f t="shared" si="349"/>
        <v>0</v>
      </c>
      <c r="O3414" s="974">
        <f t="shared" si="350"/>
        <v>75000</v>
      </c>
      <c r="P3414" s="956"/>
      <c r="Q3414" s="1821"/>
      <c r="R3414" s="1821"/>
      <c r="S3414" s="1821"/>
      <c r="T3414" s="1821"/>
      <c r="U3414" s="1821"/>
      <c r="V3414" s="1821"/>
      <c r="W3414" s="1821"/>
      <c r="X3414" s="1821"/>
      <c r="Y3414" s="1821"/>
      <c r="Z3414" s="1821"/>
      <c r="AA3414" s="1821"/>
      <c r="AB3414" s="1821"/>
      <c r="AC3414" s="1821"/>
      <c r="AD3414" s="1821"/>
      <c r="AE3414" s="1821"/>
      <c r="AF3414" s="1821"/>
      <c r="AG3414" s="1821"/>
      <c r="AH3414" s="1821"/>
      <c r="AI3414" s="1821"/>
      <c r="AJ3414" s="1821"/>
      <c r="AK3414" s="1821"/>
      <c r="AL3414" s="1821"/>
      <c r="AM3414" s="1821"/>
      <c r="AN3414" s="1821"/>
      <c r="AO3414" s="1821"/>
      <c r="AP3414" s="1821"/>
      <c r="AQ3414" s="1821"/>
      <c r="AR3414" s="1821"/>
      <c r="AS3414" s="1821"/>
      <c r="AT3414" s="1821"/>
      <c r="AU3414" s="1821"/>
      <c r="AV3414" s="1821"/>
      <c r="AW3414" s="1821"/>
      <c r="AX3414" s="1821"/>
      <c r="AY3414" s="1821"/>
      <c r="AZ3414" s="1821"/>
      <c r="BA3414" s="1821"/>
      <c r="BB3414" s="1821"/>
      <c r="BC3414" s="1821"/>
      <c r="BD3414" s="1821"/>
      <c r="BE3414" s="1821"/>
      <c r="BF3414" s="1821"/>
      <c r="BG3414" s="1821"/>
      <c r="BH3414" s="1821"/>
      <c r="BI3414" s="1821"/>
      <c r="BJ3414" s="1821"/>
      <c r="BK3414" s="1821"/>
      <c r="BL3414" s="1821"/>
      <c r="BM3414" s="1821"/>
      <c r="BN3414" s="1821"/>
      <c r="BO3414" s="1821"/>
      <c r="BP3414" s="1821"/>
      <c r="BQ3414" s="1821"/>
      <c r="BR3414" s="1821"/>
      <c r="BS3414" s="1821"/>
      <c r="BT3414" s="1821"/>
      <c r="BU3414" s="1821"/>
      <c r="BV3414" s="1821"/>
      <c r="BW3414" s="1821"/>
      <c r="BX3414" s="1821"/>
      <c r="BY3414" s="1821"/>
      <c r="BZ3414" s="1821"/>
      <c r="CA3414" s="1821"/>
      <c r="CB3414" s="1821"/>
      <c r="CC3414" s="1821"/>
      <c r="CD3414" s="1821"/>
      <c r="CE3414" s="1821"/>
      <c r="CF3414" s="1821"/>
      <c r="CG3414" s="1821"/>
      <c r="CH3414" s="1821"/>
      <c r="CI3414" s="1821"/>
      <c r="CJ3414" s="1821"/>
      <c r="CK3414" s="1821"/>
    </row>
    <row r="3415" spans="1:89" s="675" customFormat="1" ht="16.5" customHeight="1" x14ac:dyDescent="0.25">
      <c r="A3415" s="697"/>
      <c r="B3415" s="1002" t="s">
        <v>1245</v>
      </c>
      <c r="C3415" s="1007">
        <v>1</v>
      </c>
      <c r="D3415" s="1005" t="s">
        <v>294</v>
      </c>
      <c r="E3415" s="1006">
        <v>22200</v>
      </c>
      <c r="F3415" s="700"/>
      <c r="G3415" s="700"/>
      <c r="H3415" s="700">
        <f t="shared" si="346"/>
        <v>0</v>
      </c>
      <c r="I3415" s="700"/>
      <c r="J3415" s="700">
        <f t="shared" si="351"/>
        <v>22200</v>
      </c>
      <c r="K3415" s="700">
        <f t="shared" si="348"/>
        <v>22200</v>
      </c>
      <c r="L3415" s="700"/>
      <c r="M3415" s="700"/>
      <c r="N3415" s="700">
        <f t="shared" si="349"/>
        <v>0</v>
      </c>
      <c r="O3415" s="974">
        <f t="shared" si="350"/>
        <v>22200</v>
      </c>
      <c r="P3415" s="956"/>
      <c r="Q3415" s="1821"/>
      <c r="R3415" s="1821"/>
      <c r="S3415" s="1821"/>
      <c r="T3415" s="1821"/>
      <c r="U3415" s="1821"/>
      <c r="V3415" s="1821"/>
      <c r="W3415" s="1821"/>
      <c r="X3415" s="1821"/>
      <c r="Y3415" s="1821"/>
      <c r="Z3415" s="1821"/>
      <c r="AA3415" s="1821"/>
      <c r="AB3415" s="1821"/>
      <c r="AC3415" s="1821"/>
      <c r="AD3415" s="1821"/>
      <c r="AE3415" s="1821"/>
      <c r="AF3415" s="1821"/>
      <c r="AG3415" s="1821"/>
      <c r="AH3415" s="1821"/>
      <c r="AI3415" s="1821"/>
      <c r="AJ3415" s="1821"/>
      <c r="AK3415" s="1821"/>
      <c r="AL3415" s="1821"/>
      <c r="AM3415" s="1821"/>
      <c r="AN3415" s="1821"/>
      <c r="AO3415" s="1821"/>
      <c r="AP3415" s="1821"/>
      <c r="AQ3415" s="1821"/>
      <c r="AR3415" s="1821"/>
      <c r="AS3415" s="1821"/>
      <c r="AT3415" s="1821"/>
      <c r="AU3415" s="1821"/>
      <c r="AV3415" s="1821"/>
      <c r="AW3415" s="1821"/>
      <c r="AX3415" s="1821"/>
      <c r="AY3415" s="1821"/>
      <c r="AZ3415" s="1821"/>
      <c r="BA3415" s="1821"/>
      <c r="BB3415" s="1821"/>
      <c r="BC3415" s="1821"/>
      <c r="BD3415" s="1821"/>
      <c r="BE3415" s="1821"/>
      <c r="BF3415" s="1821"/>
      <c r="BG3415" s="1821"/>
      <c r="BH3415" s="1821"/>
      <c r="BI3415" s="1821"/>
      <c r="BJ3415" s="1821"/>
      <c r="BK3415" s="1821"/>
      <c r="BL3415" s="1821"/>
      <c r="BM3415" s="1821"/>
      <c r="BN3415" s="1821"/>
      <c r="BO3415" s="1821"/>
      <c r="BP3415" s="1821"/>
      <c r="BQ3415" s="1821"/>
      <c r="BR3415" s="1821"/>
      <c r="BS3415" s="1821"/>
      <c r="BT3415" s="1821"/>
      <c r="BU3415" s="1821"/>
      <c r="BV3415" s="1821"/>
      <c r="BW3415" s="1821"/>
      <c r="BX3415" s="1821"/>
      <c r="BY3415" s="1821"/>
      <c r="BZ3415" s="1821"/>
      <c r="CA3415" s="1821"/>
      <c r="CB3415" s="1821"/>
      <c r="CC3415" s="1821"/>
      <c r="CD3415" s="1821"/>
      <c r="CE3415" s="1821"/>
      <c r="CF3415" s="1821"/>
      <c r="CG3415" s="1821"/>
      <c r="CH3415" s="1821"/>
      <c r="CI3415" s="1821"/>
      <c r="CJ3415" s="1821"/>
      <c r="CK3415" s="1821"/>
    </row>
    <row r="3416" spans="1:89" s="675" customFormat="1" ht="16.5" customHeight="1" x14ac:dyDescent="0.25">
      <c r="A3416" s="697"/>
      <c r="B3416" s="1002"/>
      <c r="C3416" s="1007"/>
      <c r="D3416" s="1005"/>
      <c r="E3416" s="1006"/>
      <c r="F3416" s="700"/>
      <c r="G3416" s="700"/>
      <c r="H3416" s="700"/>
      <c r="I3416" s="700"/>
      <c r="J3416" s="700"/>
      <c r="K3416" s="700"/>
      <c r="L3416" s="700"/>
      <c r="M3416" s="700"/>
      <c r="N3416" s="700"/>
      <c r="O3416" s="974">
        <f t="shared" si="350"/>
        <v>0</v>
      </c>
      <c r="P3416" s="956"/>
      <c r="Q3416" s="1821"/>
      <c r="R3416" s="1821"/>
      <c r="S3416" s="1821"/>
      <c r="T3416" s="1821"/>
      <c r="U3416" s="1821"/>
      <c r="V3416" s="1821"/>
      <c r="W3416" s="1821"/>
      <c r="X3416" s="1821"/>
      <c r="Y3416" s="1821"/>
      <c r="Z3416" s="1821"/>
      <c r="AA3416" s="1821"/>
      <c r="AB3416" s="1821"/>
      <c r="AC3416" s="1821"/>
      <c r="AD3416" s="1821"/>
      <c r="AE3416" s="1821"/>
      <c r="AF3416" s="1821"/>
      <c r="AG3416" s="1821"/>
      <c r="AH3416" s="1821"/>
      <c r="AI3416" s="1821"/>
      <c r="AJ3416" s="1821"/>
      <c r="AK3416" s="1821"/>
      <c r="AL3416" s="1821"/>
      <c r="AM3416" s="1821"/>
      <c r="AN3416" s="1821"/>
      <c r="AO3416" s="1821"/>
      <c r="AP3416" s="1821"/>
      <c r="AQ3416" s="1821"/>
      <c r="AR3416" s="1821"/>
      <c r="AS3416" s="1821"/>
      <c r="AT3416" s="1821"/>
      <c r="AU3416" s="1821"/>
      <c r="AV3416" s="1821"/>
      <c r="AW3416" s="1821"/>
      <c r="AX3416" s="1821"/>
      <c r="AY3416" s="1821"/>
      <c r="AZ3416" s="1821"/>
      <c r="BA3416" s="1821"/>
      <c r="BB3416" s="1821"/>
      <c r="BC3416" s="1821"/>
      <c r="BD3416" s="1821"/>
      <c r="BE3416" s="1821"/>
      <c r="BF3416" s="1821"/>
      <c r="BG3416" s="1821"/>
      <c r="BH3416" s="1821"/>
      <c r="BI3416" s="1821"/>
      <c r="BJ3416" s="1821"/>
      <c r="BK3416" s="1821"/>
      <c r="BL3416" s="1821"/>
      <c r="BM3416" s="1821"/>
      <c r="BN3416" s="1821"/>
      <c r="BO3416" s="1821"/>
      <c r="BP3416" s="1821"/>
      <c r="BQ3416" s="1821"/>
      <c r="BR3416" s="1821"/>
      <c r="BS3416" s="1821"/>
      <c r="BT3416" s="1821"/>
      <c r="BU3416" s="1821"/>
      <c r="BV3416" s="1821"/>
      <c r="BW3416" s="1821"/>
      <c r="BX3416" s="1821"/>
      <c r="BY3416" s="1821"/>
      <c r="BZ3416" s="1821"/>
      <c r="CA3416" s="1821"/>
      <c r="CB3416" s="1821"/>
      <c r="CC3416" s="1821"/>
      <c r="CD3416" s="1821"/>
      <c r="CE3416" s="1821"/>
      <c r="CF3416" s="1821"/>
      <c r="CG3416" s="1821"/>
      <c r="CH3416" s="1821"/>
      <c r="CI3416" s="1821"/>
      <c r="CJ3416" s="1821"/>
      <c r="CK3416" s="1821"/>
    </row>
    <row r="3417" spans="1:89" s="675" customFormat="1" ht="16.5" customHeight="1" x14ac:dyDescent="0.25">
      <c r="A3417" s="697"/>
      <c r="B3417" s="1002"/>
      <c r="C3417" s="1007"/>
      <c r="D3417" s="1005"/>
      <c r="E3417" s="1006"/>
      <c r="F3417" s="700"/>
      <c r="G3417" s="700"/>
      <c r="H3417" s="700">
        <f t="shared" si="346"/>
        <v>0</v>
      </c>
      <c r="I3417" s="700"/>
      <c r="J3417" s="700">
        <f t="shared" si="351"/>
        <v>0</v>
      </c>
      <c r="K3417" s="700">
        <f t="shared" si="348"/>
        <v>0</v>
      </c>
      <c r="L3417" s="700"/>
      <c r="M3417" s="700"/>
      <c r="N3417" s="700">
        <f t="shared" si="349"/>
        <v>0</v>
      </c>
      <c r="O3417" s="974">
        <f t="shared" si="350"/>
        <v>0</v>
      </c>
      <c r="P3417" s="956"/>
      <c r="Q3417" s="1821"/>
      <c r="R3417" s="1821"/>
      <c r="S3417" s="1821"/>
      <c r="T3417" s="1821"/>
      <c r="U3417" s="1821"/>
      <c r="V3417" s="1821"/>
      <c r="W3417" s="1821"/>
      <c r="X3417" s="1821"/>
      <c r="Y3417" s="1821"/>
      <c r="Z3417" s="1821"/>
      <c r="AA3417" s="1821"/>
      <c r="AB3417" s="1821"/>
      <c r="AC3417" s="1821"/>
      <c r="AD3417" s="1821"/>
      <c r="AE3417" s="1821"/>
      <c r="AF3417" s="1821"/>
      <c r="AG3417" s="1821"/>
      <c r="AH3417" s="1821"/>
      <c r="AI3417" s="1821"/>
      <c r="AJ3417" s="1821"/>
      <c r="AK3417" s="1821"/>
      <c r="AL3417" s="1821"/>
      <c r="AM3417" s="1821"/>
      <c r="AN3417" s="1821"/>
      <c r="AO3417" s="1821"/>
      <c r="AP3417" s="1821"/>
      <c r="AQ3417" s="1821"/>
      <c r="AR3417" s="1821"/>
      <c r="AS3417" s="1821"/>
      <c r="AT3417" s="1821"/>
      <c r="AU3417" s="1821"/>
      <c r="AV3417" s="1821"/>
      <c r="AW3417" s="1821"/>
      <c r="AX3417" s="1821"/>
      <c r="AY3417" s="1821"/>
      <c r="AZ3417" s="1821"/>
      <c r="BA3417" s="1821"/>
      <c r="BB3417" s="1821"/>
      <c r="BC3417" s="1821"/>
      <c r="BD3417" s="1821"/>
      <c r="BE3417" s="1821"/>
      <c r="BF3417" s="1821"/>
      <c r="BG3417" s="1821"/>
      <c r="BH3417" s="1821"/>
      <c r="BI3417" s="1821"/>
      <c r="BJ3417" s="1821"/>
      <c r="BK3417" s="1821"/>
      <c r="BL3417" s="1821"/>
      <c r="BM3417" s="1821"/>
      <c r="BN3417" s="1821"/>
      <c r="BO3417" s="1821"/>
      <c r="BP3417" s="1821"/>
      <c r="BQ3417" s="1821"/>
      <c r="BR3417" s="1821"/>
      <c r="BS3417" s="1821"/>
      <c r="BT3417" s="1821"/>
      <c r="BU3417" s="1821"/>
      <c r="BV3417" s="1821"/>
      <c r="BW3417" s="1821"/>
      <c r="BX3417" s="1821"/>
      <c r="BY3417" s="1821"/>
      <c r="BZ3417" s="1821"/>
      <c r="CA3417" s="1821"/>
      <c r="CB3417" s="1821"/>
      <c r="CC3417" s="1821"/>
      <c r="CD3417" s="1821"/>
      <c r="CE3417" s="1821"/>
      <c r="CF3417" s="1821"/>
      <c r="CG3417" s="1821"/>
      <c r="CH3417" s="1821"/>
      <c r="CI3417" s="1821"/>
      <c r="CJ3417" s="1821"/>
      <c r="CK3417" s="1821"/>
    </row>
    <row r="3418" spans="1:89" s="675" customFormat="1" ht="16.5" customHeight="1" x14ac:dyDescent="0.25">
      <c r="A3418" s="697">
        <v>13</v>
      </c>
      <c r="B3418" s="1002" t="s">
        <v>379</v>
      </c>
      <c r="C3418" s="1007">
        <f>SUM(O3420:O3427)</f>
        <v>259690</v>
      </c>
      <c r="D3418" s="1005"/>
      <c r="E3418" s="1006"/>
      <c r="F3418" s="700"/>
      <c r="G3418" s="700"/>
      <c r="H3418" s="700">
        <f t="shared" si="346"/>
        <v>0</v>
      </c>
      <c r="I3418" s="700"/>
      <c r="J3418" s="700">
        <f t="shared" si="351"/>
        <v>0</v>
      </c>
      <c r="K3418" s="700">
        <f t="shared" si="348"/>
        <v>0</v>
      </c>
      <c r="L3418" s="700"/>
      <c r="M3418" s="700"/>
      <c r="N3418" s="700">
        <f t="shared" si="349"/>
        <v>0</v>
      </c>
      <c r="O3418" s="974">
        <f t="shared" si="350"/>
        <v>0</v>
      </c>
      <c r="P3418" s="956"/>
      <c r="Q3418" s="1821"/>
      <c r="R3418" s="1821"/>
      <c r="S3418" s="1821"/>
      <c r="T3418" s="1821"/>
      <c r="U3418" s="1821"/>
      <c r="V3418" s="1821"/>
      <c r="W3418" s="1821"/>
      <c r="X3418" s="1821"/>
      <c r="Y3418" s="1821"/>
      <c r="Z3418" s="1821"/>
      <c r="AA3418" s="1821"/>
      <c r="AB3418" s="1821"/>
      <c r="AC3418" s="1821"/>
      <c r="AD3418" s="1821"/>
      <c r="AE3418" s="1821"/>
      <c r="AF3418" s="1821"/>
      <c r="AG3418" s="1821"/>
      <c r="AH3418" s="1821"/>
      <c r="AI3418" s="1821"/>
      <c r="AJ3418" s="1821"/>
      <c r="AK3418" s="1821"/>
      <c r="AL3418" s="1821"/>
      <c r="AM3418" s="1821"/>
      <c r="AN3418" s="1821"/>
      <c r="AO3418" s="1821"/>
      <c r="AP3418" s="1821"/>
      <c r="AQ3418" s="1821"/>
      <c r="AR3418" s="1821"/>
      <c r="AS3418" s="1821"/>
      <c r="AT3418" s="1821"/>
      <c r="AU3418" s="1821"/>
      <c r="AV3418" s="1821"/>
      <c r="AW3418" s="1821"/>
      <c r="AX3418" s="1821"/>
      <c r="AY3418" s="1821"/>
      <c r="AZ3418" s="1821"/>
      <c r="BA3418" s="1821"/>
      <c r="BB3418" s="1821"/>
      <c r="BC3418" s="1821"/>
      <c r="BD3418" s="1821"/>
      <c r="BE3418" s="1821"/>
      <c r="BF3418" s="1821"/>
      <c r="BG3418" s="1821"/>
      <c r="BH3418" s="1821"/>
      <c r="BI3418" s="1821"/>
      <c r="BJ3418" s="1821"/>
      <c r="BK3418" s="1821"/>
      <c r="BL3418" s="1821"/>
      <c r="BM3418" s="1821"/>
      <c r="BN3418" s="1821"/>
      <c r="BO3418" s="1821"/>
      <c r="BP3418" s="1821"/>
      <c r="BQ3418" s="1821"/>
      <c r="BR3418" s="1821"/>
      <c r="BS3418" s="1821"/>
      <c r="BT3418" s="1821"/>
      <c r="BU3418" s="1821"/>
      <c r="BV3418" s="1821"/>
      <c r="BW3418" s="1821"/>
      <c r="BX3418" s="1821"/>
      <c r="BY3418" s="1821"/>
      <c r="BZ3418" s="1821"/>
      <c r="CA3418" s="1821"/>
      <c r="CB3418" s="1821"/>
      <c r="CC3418" s="1821"/>
      <c r="CD3418" s="1821"/>
      <c r="CE3418" s="1821"/>
      <c r="CF3418" s="1821"/>
      <c r="CG3418" s="1821"/>
      <c r="CH3418" s="1821"/>
      <c r="CI3418" s="1821"/>
      <c r="CJ3418" s="1821"/>
      <c r="CK3418" s="1821"/>
    </row>
    <row r="3419" spans="1:89" s="675" customFormat="1" ht="16.5" customHeight="1" x14ac:dyDescent="0.25">
      <c r="A3419" s="697"/>
      <c r="B3419" s="1002" t="s">
        <v>21</v>
      </c>
      <c r="C3419" s="1007"/>
      <c r="D3419" s="1005"/>
      <c r="E3419" s="1006"/>
      <c r="F3419" s="700"/>
      <c r="G3419" s="700"/>
      <c r="H3419" s="700">
        <f t="shared" si="346"/>
        <v>0</v>
      </c>
      <c r="I3419" s="700"/>
      <c r="J3419" s="700">
        <f t="shared" si="351"/>
        <v>0</v>
      </c>
      <c r="K3419" s="700">
        <f t="shared" si="348"/>
        <v>0</v>
      </c>
      <c r="L3419" s="700"/>
      <c r="M3419" s="700"/>
      <c r="N3419" s="700">
        <f t="shared" si="349"/>
        <v>0</v>
      </c>
      <c r="O3419" s="974">
        <f t="shared" si="350"/>
        <v>0</v>
      </c>
      <c r="P3419" s="956"/>
      <c r="Q3419" s="1821"/>
      <c r="R3419" s="1821"/>
      <c r="S3419" s="1821"/>
      <c r="T3419" s="1821"/>
      <c r="U3419" s="1821"/>
      <c r="V3419" s="1821"/>
      <c r="W3419" s="1821"/>
      <c r="X3419" s="1821"/>
      <c r="Y3419" s="1821"/>
      <c r="Z3419" s="1821"/>
      <c r="AA3419" s="1821"/>
      <c r="AB3419" s="1821"/>
      <c r="AC3419" s="1821"/>
      <c r="AD3419" s="1821"/>
      <c r="AE3419" s="1821"/>
      <c r="AF3419" s="1821"/>
      <c r="AG3419" s="1821"/>
      <c r="AH3419" s="1821"/>
      <c r="AI3419" s="1821"/>
      <c r="AJ3419" s="1821"/>
      <c r="AK3419" s="1821"/>
      <c r="AL3419" s="1821"/>
      <c r="AM3419" s="1821"/>
      <c r="AN3419" s="1821"/>
      <c r="AO3419" s="1821"/>
      <c r="AP3419" s="1821"/>
      <c r="AQ3419" s="1821"/>
      <c r="AR3419" s="1821"/>
      <c r="AS3419" s="1821"/>
      <c r="AT3419" s="1821"/>
      <c r="AU3419" s="1821"/>
      <c r="AV3419" s="1821"/>
      <c r="AW3419" s="1821"/>
      <c r="AX3419" s="1821"/>
      <c r="AY3419" s="1821"/>
      <c r="AZ3419" s="1821"/>
      <c r="BA3419" s="1821"/>
      <c r="BB3419" s="1821"/>
      <c r="BC3419" s="1821"/>
      <c r="BD3419" s="1821"/>
      <c r="BE3419" s="1821"/>
      <c r="BF3419" s="1821"/>
      <c r="BG3419" s="1821"/>
      <c r="BH3419" s="1821"/>
      <c r="BI3419" s="1821"/>
      <c r="BJ3419" s="1821"/>
      <c r="BK3419" s="1821"/>
      <c r="BL3419" s="1821"/>
      <c r="BM3419" s="1821"/>
      <c r="BN3419" s="1821"/>
      <c r="BO3419" s="1821"/>
      <c r="BP3419" s="1821"/>
      <c r="BQ3419" s="1821"/>
      <c r="BR3419" s="1821"/>
      <c r="BS3419" s="1821"/>
      <c r="BT3419" s="1821"/>
      <c r="BU3419" s="1821"/>
      <c r="BV3419" s="1821"/>
      <c r="BW3419" s="1821"/>
      <c r="BX3419" s="1821"/>
      <c r="BY3419" s="1821"/>
      <c r="BZ3419" s="1821"/>
      <c r="CA3419" s="1821"/>
      <c r="CB3419" s="1821"/>
      <c r="CC3419" s="1821"/>
      <c r="CD3419" s="1821"/>
      <c r="CE3419" s="1821"/>
      <c r="CF3419" s="1821"/>
      <c r="CG3419" s="1821"/>
      <c r="CH3419" s="1821"/>
      <c r="CI3419" s="1821"/>
      <c r="CJ3419" s="1821"/>
      <c r="CK3419" s="1821"/>
    </row>
    <row r="3420" spans="1:89" s="675" customFormat="1" ht="16.5" customHeight="1" x14ac:dyDescent="0.25">
      <c r="A3420" s="697"/>
      <c r="B3420" s="1002" t="s">
        <v>365</v>
      </c>
      <c r="C3420" s="1007">
        <v>1</v>
      </c>
      <c r="D3420" s="1005" t="s">
        <v>294</v>
      </c>
      <c r="E3420" s="1006">
        <v>36000</v>
      </c>
      <c r="F3420" s="700"/>
      <c r="G3420" s="700"/>
      <c r="H3420" s="700">
        <f t="shared" si="346"/>
        <v>0</v>
      </c>
      <c r="I3420" s="700">
        <f>C3420*E3420</f>
        <v>36000</v>
      </c>
      <c r="J3420" s="700"/>
      <c r="K3420" s="700">
        <f t="shared" si="348"/>
        <v>36000</v>
      </c>
      <c r="L3420" s="700"/>
      <c r="M3420" s="700"/>
      <c r="N3420" s="700">
        <f t="shared" si="349"/>
        <v>0</v>
      </c>
      <c r="O3420" s="974">
        <f t="shared" si="350"/>
        <v>36000</v>
      </c>
      <c r="P3420" s="956"/>
      <c r="Q3420" s="1821"/>
      <c r="R3420" s="1821"/>
      <c r="S3420" s="1821"/>
      <c r="T3420" s="1821"/>
      <c r="U3420" s="1821"/>
      <c r="V3420" s="1821"/>
      <c r="W3420" s="1821"/>
      <c r="X3420" s="1821"/>
      <c r="Y3420" s="1821"/>
      <c r="Z3420" s="1821"/>
      <c r="AA3420" s="1821"/>
      <c r="AB3420" s="1821"/>
      <c r="AC3420" s="1821"/>
      <c r="AD3420" s="1821"/>
      <c r="AE3420" s="1821"/>
      <c r="AF3420" s="1821"/>
      <c r="AG3420" s="1821"/>
      <c r="AH3420" s="1821"/>
      <c r="AI3420" s="1821"/>
      <c r="AJ3420" s="1821"/>
      <c r="AK3420" s="1821"/>
      <c r="AL3420" s="1821"/>
      <c r="AM3420" s="1821"/>
      <c r="AN3420" s="1821"/>
      <c r="AO3420" s="1821"/>
      <c r="AP3420" s="1821"/>
      <c r="AQ3420" s="1821"/>
      <c r="AR3420" s="1821"/>
      <c r="AS3420" s="1821"/>
      <c r="AT3420" s="1821"/>
      <c r="AU3420" s="1821"/>
      <c r="AV3420" s="1821"/>
      <c r="AW3420" s="1821"/>
      <c r="AX3420" s="1821"/>
      <c r="AY3420" s="1821"/>
      <c r="AZ3420" s="1821"/>
      <c r="BA3420" s="1821"/>
      <c r="BB3420" s="1821"/>
      <c r="BC3420" s="1821"/>
      <c r="BD3420" s="1821"/>
      <c r="BE3420" s="1821"/>
      <c r="BF3420" s="1821"/>
      <c r="BG3420" s="1821"/>
      <c r="BH3420" s="1821"/>
      <c r="BI3420" s="1821"/>
      <c r="BJ3420" s="1821"/>
      <c r="BK3420" s="1821"/>
      <c r="BL3420" s="1821"/>
      <c r="BM3420" s="1821"/>
      <c r="BN3420" s="1821"/>
      <c r="BO3420" s="1821"/>
      <c r="BP3420" s="1821"/>
      <c r="BQ3420" s="1821"/>
      <c r="BR3420" s="1821"/>
      <c r="BS3420" s="1821"/>
      <c r="BT3420" s="1821"/>
      <c r="BU3420" s="1821"/>
      <c r="BV3420" s="1821"/>
      <c r="BW3420" s="1821"/>
      <c r="BX3420" s="1821"/>
      <c r="BY3420" s="1821"/>
      <c r="BZ3420" s="1821"/>
      <c r="CA3420" s="1821"/>
      <c r="CB3420" s="1821"/>
      <c r="CC3420" s="1821"/>
      <c r="CD3420" s="1821"/>
      <c r="CE3420" s="1821"/>
      <c r="CF3420" s="1821"/>
      <c r="CG3420" s="1821"/>
      <c r="CH3420" s="1821"/>
      <c r="CI3420" s="1821"/>
      <c r="CJ3420" s="1821"/>
      <c r="CK3420" s="1821"/>
    </row>
    <row r="3421" spans="1:89" s="675" customFormat="1" ht="16.5" customHeight="1" x14ac:dyDescent="0.25">
      <c r="A3421" s="697"/>
      <c r="B3421" s="1002" t="s">
        <v>40</v>
      </c>
      <c r="C3421" s="1007"/>
      <c r="D3421" s="1005"/>
      <c r="E3421" s="1006"/>
      <c r="F3421" s="700"/>
      <c r="G3421" s="700"/>
      <c r="H3421" s="700">
        <f t="shared" si="346"/>
        <v>0</v>
      </c>
      <c r="I3421" s="700"/>
      <c r="J3421" s="700">
        <f t="shared" si="351"/>
        <v>0</v>
      </c>
      <c r="K3421" s="700">
        <f t="shared" si="348"/>
        <v>0</v>
      </c>
      <c r="L3421" s="700"/>
      <c r="M3421" s="700"/>
      <c r="N3421" s="700">
        <f t="shared" si="349"/>
        <v>0</v>
      </c>
      <c r="O3421" s="974">
        <f t="shared" si="350"/>
        <v>0</v>
      </c>
      <c r="P3421" s="956"/>
      <c r="Q3421" s="1821"/>
      <c r="R3421" s="1821"/>
      <c r="S3421" s="1821"/>
      <c r="T3421" s="1821"/>
      <c r="U3421" s="1821"/>
      <c r="V3421" s="1821"/>
      <c r="W3421" s="1821"/>
      <c r="X3421" s="1821"/>
      <c r="Y3421" s="1821"/>
      <c r="Z3421" s="1821"/>
      <c r="AA3421" s="1821"/>
      <c r="AB3421" s="1821"/>
      <c r="AC3421" s="1821"/>
      <c r="AD3421" s="1821"/>
      <c r="AE3421" s="1821"/>
      <c r="AF3421" s="1821"/>
      <c r="AG3421" s="1821"/>
      <c r="AH3421" s="1821"/>
      <c r="AI3421" s="1821"/>
      <c r="AJ3421" s="1821"/>
      <c r="AK3421" s="1821"/>
      <c r="AL3421" s="1821"/>
      <c r="AM3421" s="1821"/>
      <c r="AN3421" s="1821"/>
      <c r="AO3421" s="1821"/>
      <c r="AP3421" s="1821"/>
      <c r="AQ3421" s="1821"/>
      <c r="AR3421" s="1821"/>
      <c r="AS3421" s="1821"/>
      <c r="AT3421" s="1821"/>
      <c r="AU3421" s="1821"/>
      <c r="AV3421" s="1821"/>
      <c r="AW3421" s="1821"/>
      <c r="AX3421" s="1821"/>
      <c r="AY3421" s="1821"/>
      <c r="AZ3421" s="1821"/>
      <c r="BA3421" s="1821"/>
      <c r="BB3421" s="1821"/>
      <c r="BC3421" s="1821"/>
      <c r="BD3421" s="1821"/>
      <c r="BE3421" s="1821"/>
      <c r="BF3421" s="1821"/>
      <c r="BG3421" s="1821"/>
      <c r="BH3421" s="1821"/>
      <c r="BI3421" s="1821"/>
      <c r="BJ3421" s="1821"/>
      <c r="BK3421" s="1821"/>
      <c r="BL3421" s="1821"/>
      <c r="BM3421" s="1821"/>
      <c r="BN3421" s="1821"/>
      <c r="BO3421" s="1821"/>
      <c r="BP3421" s="1821"/>
      <c r="BQ3421" s="1821"/>
      <c r="BR3421" s="1821"/>
      <c r="BS3421" s="1821"/>
      <c r="BT3421" s="1821"/>
      <c r="BU3421" s="1821"/>
      <c r="BV3421" s="1821"/>
      <c r="BW3421" s="1821"/>
      <c r="BX3421" s="1821"/>
      <c r="BY3421" s="1821"/>
      <c r="BZ3421" s="1821"/>
      <c r="CA3421" s="1821"/>
      <c r="CB3421" s="1821"/>
      <c r="CC3421" s="1821"/>
      <c r="CD3421" s="1821"/>
      <c r="CE3421" s="1821"/>
      <c r="CF3421" s="1821"/>
      <c r="CG3421" s="1821"/>
      <c r="CH3421" s="1821"/>
      <c r="CI3421" s="1821"/>
      <c r="CJ3421" s="1821"/>
      <c r="CK3421" s="1821"/>
    </row>
    <row r="3422" spans="1:89" s="675" customFormat="1" ht="16.5" customHeight="1" x14ac:dyDescent="0.25">
      <c r="A3422" s="697"/>
      <c r="B3422" s="1002" t="s">
        <v>1246</v>
      </c>
      <c r="C3422" s="1007">
        <v>1</v>
      </c>
      <c r="D3422" s="1005" t="s">
        <v>294</v>
      </c>
      <c r="E3422" s="1006">
        <v>79450</v>
      </c>
      <c r="F3422" s="700"/>
      <c r="G3422" s="700"/>
      <c r="H3422" s="700">
        <f t="shared" si="346"/>
        <v>0</v>
      </c>
      <c r="I3422" s="700"/>
      <c r="J3422" s="700">
        <f t="shared" si="351"/>
        <v>79450</v>
      </c>
      <c r="K3422" s="700">
        <f t="shared" si="348"/>
        <v>79450</v>
      </c>
      <c r="L3422" s="700"/>
      <c r="M3422" s="700"/>
      <c r="N3422" s="700">
        <f t="shared" si="349"/>
        <v>0</v>
      </c>
      <c r="O3422" s="974">
        <f t="shared" si="350"/>
        <v>79450</v>
      </c>
      <c r="P3422" s="956"/>
      <c r="Q3422" s="1821"/>
      <c r="R3422" s="1821"/>
      <c r="S3422" s="1821"/>
      <c r="T3422" s="1821"/>
      <c r="U3422" s="1821"/>
      <c r="V3422" s="1821"/>
      <c r="W3422" s="1821"/>
      <c r="X3422" s="1821"/>
      <c r="Y3422" s="1821"/>
      <c r="Z3422" s="1821"/>
      <c r="AA3422" s="1821"/>
      <c r="AB3422" s="1821"/>
      <c r="AC3422" s="1821"/>
      <c r="AD3422" s="1821"/>
      <c r="AE3422" s="1821"/>
      <c r="AF3422" s="1821"/>
      <c r="AG3422" s="1821"/>
      <c r="AH3422" s="1821"/>
      <c r="AI3422" s="1821"/>
      <c r="AJ3422" s="1821"/>
      <c r="AK3422" s="1821"/>
      <c r="AL3422" s="1821"/>
      <c r="AM3422" s="1821"/>
      <c r="AN3422" s="1821"/>
      <c r="AO3422" s="1821"/>
      <c r="AP3422" s="1821"/>
      <c r="AQ3422" s="1821"/>
      <c r="AR3422" s="1821"/>
      <c r="AS3422" s="1821"/>
      <c r="AT3422" s="1821"/>
      <c r="AU3422" s="1821"/>
      <c r="AV3422" s="1821"/>
      <c r="AW3422" s="1821"/>
      <c r="AX3422" s="1821"/>
      <c r="AY3422" s="1821"/>
      <c r="AZ3422" s="1821"/>
      <c r="BA3422" s="1821"/>
      <c r="BB3422" s="1821"/>
      <c r="BC3422" s="1821"/>
      <c r="BD3422" s="1821"/>
      <c r="BE3422" s="1821"/>
      <c r="BF3422" s="1821"/>
      <c r="BG3422" s="1821"/>
      <c r="BH3422" s="1821"/>
      <c r="BI3422" s="1821"/>
      <c r="BJ3422" s="1821"/>
      <c r="BK3422" s="1821"/>
      <c r="BL3422" s="1821"/>
      <c r="BM3422" s="1821"/>
      <c r="BN3422" s="1821"/>
      <c r="BO3422" s="1821"/>
      <c r="BP3422" s="1821"/>
      <c r="BQ3422" s="1821"/>
      <c r="BR3422" s="1821"/>
      <c r="BS3422" s="1821"/>
      <c r="BT3422" s="1821"/>
      <c r="BU3422" s="1821"/>
      <c r="BV3422" s="1821"/>
      <c r="BW3422" s="1821"/>
      <c r="BX3422" s="1821"/>
      <c r="BY3422" s="1821"/>
      <c r="BZ3422" s="1821"/>
      <c r="CA3422" s="1821"/>
      <c r="CB3422" s="1821"/>
      <c r="CC3422" s="1821"/>
      <c r="CD3422" s="1821"/>
      <c r="CE3422" s="1821"/>
      <c r="CF3422" s="1821"/>
      <c r="CG3422" s="1821"/>
      <c r="CH3422" s="1821"/>
      <c r="CI3422" s="1821"/>
      <c r="CJ3422" s="1821"/>
      <c r="CK3422" s="1821"/>
    </row>
    <row r="3423" spans="1:89" s="675" customFormat="1" ht="16.5" customHeight="1" x14ac:dyDescent="0.25">
      <c r="A3423" s="697"/>
      <c r="B3423" s="1002" t="s">
        <v>349</v>
      </c>
      <c r="C3423" s="1007"/>
      <c r="D3423" s="1005"/>
      <c r="E3423" s="1006"/>
      <c r="F3423" s="700"/>
      <c r="G3423" s="700"/>
      <c r="H3423" s="700">
        <f t="shared" si="346"/>
        <v>0</v>
      </c>
      <c r="I3423" s="700"/>
      <c r="J3423" s="700">
        <f t="shared" si="351"/>
        <v>0</v>
      </c>
      <c r="K3423" s="700">
        <f t="shared" si="348"/>
        <v>0</v>
      </c>
      <c r="L3423" s="700"/>
      <c r="M3423" s="700"/>
      <c r="N3423" s="700">
        <f t="shared" si="349"/>
        <v>0</v>
      </c>
      <c r="O3423" s="974">
        <f t="shared" si="350"/>
        <v>0</v>
      </c>
      <c r="P3423" s="956"/>
      <c r="Q3423" s="1821"/>
      <c r="R3423" s="1821"/>
      <c r="S3423" s="1821"/>
      <c r="T3423" s="1821"/>
      <c r="U3423" s="1821"/>
      <c r="V3423" s="1821"/>
      <c r="W3423" s="1821"/>
      <c r="X3423" s="1821"/>
      <c r="Y3423" s="1821"/>
      <c r="Z3423" s="1821"/>
      <c r="AA3423" s="1821"/>
      <c r="AB3423" s="1821"/>
      <c r="AC3423" s="1821"/>
      <c r="AD3423" s="1821"/>
      <c r="AE3423" s="1821"/>
      <c r="AF3423" s="1821"/>
      <c r="AG3423" s="1821"/>
      <c r="AH3423" s="1821"/>
      <c r="AI3423" s="1821"/>
      <c r="AJ3423" s="1821"/>
      <c r="AK3423" s="1821"/>
      <c r="AL3423" s="1821"/>
      <c r="AM3423" s="1821"/>
      <c r="AN3423" s="1821"/>
      <c r="AO3423" s="1821"/>
      <c r="AP3423" s="1821"/>
      <c r="AQ3423" s="1821"/>
      <c r="AR3423" s="1821"/>
      <c r="AS3423" s="1821"/>
      <c r="AT3423" s="1821"/>
      <c r="AU3423" s="1821"/>
      <c r="AV3423" s="1821"/>
      <c r="AW3423" s="1821"/>
      <c r="AX3423" s="1821"/>
      <c r="AY3423" s="1821"/>
      <c r="AZ3423" s="1821"/>
      <c r="BA3423" s="1821"/>
      <c r="BB3423" s="1821"/>
      <c r="BC3423" s="1821"/>
      <c r="BD3423" s="1821"/>
      <c r="BE3423" s="1821"/>
      <c r="BF3423" s="1821"/>
      <c r="BG3423" s="1821"/>
      <c r="BH3423" s="1821"/>
      <c r="BI3423" s="1821"/>
      <c r="BJ3423" s="1821"/>
      <c r="BK3423" s="1821"/>
      <c r="BL3423" s="1821"/>
      <c r="BM3423" s="1821"/>
      <c r="BN3423" s="1821"/>
      <c r="BO3423" s="1821"/>
      <c r="BP3423" s="1821"/>
      <c r="BQ3423" s="1821"/>
      <c r="BR3423" s="1821"/>
      <c r="BS3423" s="1821"/>
      <c r="BT3423" s="1821"/>
      <c r="BU3423" s="1821"/>
      <c r="BV3423" s="1821"/>
      <c r="BW3423" s="1821"/>
      <c r="BX3423" s="1821"/>
      <c r="BY3423" s="1821"/>
      <c r="BZ3423" s="1821"/>
      <c r="CA3423" s="1821"/>
      <c r="CB3423" s="1821"/>
      <c r="CC3423" s="1821"/>
      <c r="CD3423" s="1821"/>
      <c r="CE3423" s="1821"/>
      <c r="CF3423" s="1821"/>
      <c r="CG3423" s="1821"/>
      <c r="CH3423" s="1821"/>
      <c r="CI3423" s="1821"/>
      <c r="CJ3423" s="1821"/>
      <c r="CK3423" s="1821"/>
    </row>
    <row r="3424" spans="1:89" s="675" customFormat="1" ht="16.5" customHeight="1" x14ac:dyDescent="0.25">
      <c r="A3424" s="697"/>
      <c r="B3424" s="1002" t="s">
        <v>1247</v>
      </c>
      <c r="C3424" s="1007">
        <v>60</v>
      </c>
      <c r="D3424" s="1005" t="s">
        <v>51</v>
      </c>
      <c r="E3424" s="1006">
        <v>120</v>
      </c>
      <c r="F3424" s="700"/>
      <c r="G3424" s="700"/>
      <c r="H3424" s="700">
        <f t="shared" si="346"/>
        <v>0</v>
      </c>
      <c r="I3424" s="700"/>
      <c r="J3424" s="700">
        <f t="shared" si="351"/>
        <v>7200</v>
      </c>
      <c r="K3424" s="700">
        <f t="shared" si="348"/>
        <v>7200</v>
      </c>
      <c r="L3424" s="700"/>
      <c r="M3424" s="700"/>
      <c r="N3424" s="700">
        <f t="shared" si="349"/>
        <v>0</v>
      </c>
      <c r="O3424" s="974">
        <f t="shared" si="350"/>
        <v>7200</v>
      </c>
      <c r="P3424" s="956"/>
      <c r="Q3424" s="1821"/>
      <c r="R3424" s="1821"/>
      <c r="S3424" s="1821"/>
      <c r="T3424" s="1821"/>
      <c r="U3424" s="1821"/>
      <c r="V3424" s="1821"/>
      <c r="W3424" s="1821"/>
      <c r="X3424" s="1821"/>
      <c r="Y3424" s="1821"/>
      <c r="Z3424" s="1821"/>
      <c r="AA3424" s="1821"/>
      <c r="AB3424" s="1821"/>
      <c r="AC3424" s="1821"/>
      <c r="AD3424" s="1821"/>
      <c r="AE3424" s="1821"/>
      <c r="AF3424" s="1821"/>
      <c r="AG3424" s="1821"/>
      <c r="AH3424" s="1821"/>
      <c r="AI3424" s="1821"/>
      <c r="AJ3424" s="1821"/>
      <c r="AK3424" s="1821"/>
      <c r="AL3424" s="1821"/>
      <c r="AM3424" s="1821"/>
      <c r="AN3424" s="1821"/>
      <c r="AO3424" s="1821"/>
      <c r="AP3424" s="1821"/>
      <c r="AQ3424" s="1821"/>
      <c r="AR3424" s="1821"/>
      <c r="AS3424" s="1821"/>
      <c r="AT3424" s="1821"/>
      <c r="AU3424" s="1821"/>
      <c r="AV3424" s="1821"/>
      <c r="AW3424" s="1821"/>
      <c r="AX3424" s="1821"/>
      <c r="AY3424" s="1821"/>
      <c r="AZ3424" s="1821"/>
      <c r="BA3424" s="1821"/>
      <c r="BB3424" s="1821"/>
      <c r="BC3424" s="1821"/>
      <c r="BD3424" s="1821"/>
      <c r="BE3424" s="1821"/>
      <c r="BF3424" s="1821"/>
      <c r="BG3424" s="1821"/>
      <c r="BH3424" s="1821"/>
      <c r="BI3424" s="1821"/>
      <c r="BJ3424" s="1821"/>
      <c r="BK3424" s="1821"/>
      <c r="BL3424" s="1821"/>
      <c r="BM3424" s="1821"/>
      <c r="BN3424" s="1821"/>
      <c r="BO3424" s="1821"/>
      <c r="BP3424" s="1821"/>
      <c r="BQ3424" s="1821"/>
      <c r="BR3424" s="1821"/>
      <c r="BS3424" s="1821"/>
      <c r="BT3424" s="1821"/>
      <c r="BU3424" s="1821"/>
      <c r="BV3424" s="1821"/>
      <c r="BW3424" s="1821"/>
      <c r="BX3424" s="1821"/>
      <c r="BY3424" s="1821"/>
      <c r="BZ3424" s="1821"/>
      <c r="CA3424" s="1821"/>
      <c r="CB3424" s="1821"/>
      <c r="CC3424" s="1821"/>
      <c r="CD3424" s="1821"/>
      <c r="CE3424" s="1821"/>
      <c r="CF3424" s="1821"/>
      <c r="CG3424" s="1821"/>
      <c r="CH3424" s="1821"/>
      <c r="CI3424" s="1821"/>
      <c r="CJ3424" s="1821"/>
      <c r="CK3424" s="1821"/>
    </row>
    <row r="3425" spans="1:89" s="675" customFormat="1" ht="16.5" customHeight="1" x14ac:dyDescent="0.25">
      <c r="A3425" s="697"/>
      <c r="B3425" s="1002" t="s">
        <v>1248</v>
      </c>
      <c r="C3425" s="1007">
        <v>180</v>
      </c>
      <c r="D3425" s="1005" t="s">
        <v>55</v>
      </c>
      <c r="E3425" s="1006">
        <v>430</v>
      </c>
      <c r="F3425" s="700"/>
      <c r="G3425" s="700"/>
      <c r="H3425" s="700">
        <f t="shared" si="346"/>
        <v>0</v>
      </c>
      <c r="I3425" s="700"/>
      <c r="J3425" s="700">
        <f t="shared" si="351"/>
        <v>77400</v>
      </c>
      <c r="K3425" s="700">
        <f t="shared" si="348"/>
        <v>77400</v>
      </c>
      <c r="L3425" s="700"/>
      <c r="M3425" s="700"/>
      <c r="N3425" s="700">
        <f t="shared" si="349"/>
        <v>0</v>
      </c>
      <c r="O3425" s="974">
        <f t="shared" si="350"/>
        <v>77400</v>
      </c>
      <c r="P3425" s="956"/>
      <c r="Q3425" s="1821"/>
      <c r="R3425" s="1821"/>
      <c r="S3425" s="1821"/>
      <c r="T3425" s="1821"/>
      <c r="U3425" s="1821"/>
      <c r="V3425" s="1821"/>
      <c r="W3425" s="1821"/>
      <c r="X3425" s="1821"/>
      <c r="Y3425" s="1821"/>
      <c r="Z3425" s="1821"/>
      <c r="AA3425" s="1821"/>
      <c r="AB3425" s="1821"/>
      <c r="AC3425" s="1821"/>
      <c r="AD3425" s="1821"/>
      <c r="AE3425" s="1821"/>
      <c r="AF3425" s="1821"/>
      <c r="AG3425" s="1821"/>
      <c r="AH3425" s="1821"/>
      <c r="AI3425" s="1821"/>
      <c r="AJ3425" s="1821"/>
      <c r="AK3425" s="1821"/>
      <c r="AL3425" s="1821"/>
      <c r="AM3425" s="1821"/>
      <c r="AN3425" s="1821"/>
      <c r="AO3425" s="1821"/>
      <c r="AP3425" s="1821"/>
      <c r="AQ3425" s="1821"/>
      <c r="AR3425" s="1821"/>
      <c r="AS3425" s="1821"/>
      <c r="AT3425" s="1821"/>
      <c r="AU3425" s="1821"/>
      <c r="AV3425" s="1821"/>
      <c r="AW3425" s="1821"/>
      <c r="AX3425" s="1821"/>
      <c r="AY3425" s="1821"/>
      <c r="AZ3425" s="1821"/>
      <c r="BA3425" s="1821"/>
      <c r="BB3425" s="1821"/>
      <c r="BC3425" s="1821"/>
      <c r="BD3425" s="1821"/>
      <c r="BE3425" s="1821"/>
      <c r="BF3425" s="1821"/>
      <c r="BG3425" s="1821"/>
      <c r="BH3425" s="1821"/>
      <c r="BI3425" s="1821"/>
      <c r="BJ3425" s="1821"/>
      <c r="BK3425" s="1821"/>
      <c r="BL3425" s="1821"/>
      <c r="BM3425" s="1821"/>
      <c r="BN3425" s="1821"/>
      <c r="BO3425" s="1821"/>
      <c r="BP3425" s="1821"/>
      <c r="BQ3425" s="1821"/>
      <c r="BR3425" s="1821"/>
      <c r="BS3425" s="1821"/>
      <c r="BT3425" s="1821"/>
      <c r="BU3425" s="1821"/>
      <c r="BV3425" s="1821"/>
      <c r="BW3425" s="1821"/>
      <c r="BX3425" s="1821"/>
      <c r="BY3425" s="1821"/>
      <c r="BZ3425" s="1821"/>
      <c r="CA3425" s="1821"/>
      <c r="CB3425" s="1821"/>
      <c r="CC3425" s="1821"/>
      <c r="CD3425" s="1821"/>
      <c r="CE3425" s="1821"/>
      <c r="CF3425" s="1821"/>
      <c r="CG3425" s="1821"/>
      <c r="CH3425" s="1821"/>
      <c r="CI3425" s="1821"/>
      <c r="CJ3425" s="1821"/>
      <c r="CK3425" s="1821"/>
    </row>
    <row r="3426" spans="1:89" s="675" customFormat="1" ht="16.5" customHeight="1" x14ac:dyDescent="0.25">
      <c r="A3426" s="697"/>
      <c r="B3426" s="1002" t="s">
        <v>1249</v>
      </c>
      <c r="C3426" s="1007">
        <v>120</v>
      </c>
      <c r="D3426" s="1005" t="s">
        <v>55</v>
      </c>
      <c r="E3426" s="1006">
        <v>497</v>
      </c>
      <c r="F3426" s="700"/>
      <c r="G3426" s="700"/>
      <c r="H3426" s="700">
        <f t="shared" si="346"/>
        <v>0</v>
      </c>
      <c r="I3426" s="700"/>
      <c r="J3426" s="700">
        <f t="shared" si="351"/>
        <v>59640</v>
      </c>
      <c r="K3426" s="700">
        <f t="shared" si="348"/>
        <v>59640</v>
      </c>
      <c r="L3426" s="700"/>
      <c r="M3426" s="700"/>
      <c r="N3426" s="700">
        <f t="shared" si="349"/>
        <v>0</v>
      </c>
      <c r="O3426" s="974">
        <f t="shared" si="350"/>
        <v>59640</v>
      </c>
      <c r="P3426" s="956"/>
      <c r="Q3426" s="1821"/>
      <c r="R3426" s="1821"/>
      <c r="S3426" s="1821"/>
      <c r="T3426" s="1821"/>
      <c r="U3426" s="1821"/>
      <c r="V3426" s="1821"/>
      <c r="W3426" s="1821"/>
      <c r="X3426" s="1821"/>
      <c r="Y3426" s="1821"/>
      <c r="Z3426" s="1821"/>
      <c r="AA3426" s="1821"/>
      <c r="AB3426" s="1821"/>
      <c r="AC3426" s="1821"/>
      <c r="AD3426" s="1821"/>
      <c r="AE3426" s="1821"/>
      <c r="AF3426" s="1821"/>
      <c r="AG3426" s="1821"/>
      <c r="AH3426" s="1821"/>
      <c r="AI3426" s="1821"/>
      <c r="AJ3426" s="1821"/>
      <c r="AK3426" s="1821"/>
      <c r="AL3426" s="1821"/>
      <c r="AM3426" s="1821"/>
      <c r="AN3426" s="1821"/>
      <c r="AO3426" s="1821"/>
      <c r="AP3426" s="1821"/>
      <c r="AQ3426" s="1821"/>
      <c r="AR3426" s="1821"/>
      <c r="AS3426" s="1821"/>
      <c r="AT3426" s="1821"/>
      <c r="AU3426" s="1821"/>
      <c r="AV3426" s="1821"/>
      <c r="AW3426" s="1821"/>
      <c r="AX3426" s="1821"/>
      <c r="AY3426" s="1821"/>
      <c r="AZ3426" s="1821"/>
      <c r="BA3426" s="1821"/>
      <c r="BB3426" s="1821"/>
      <c r="BC3426" s="1821"/>
      <c r="BD3426" s="1821"/>
      <c r="BE3426" s="1821"/>
      <c r="BF3426" s="1821"/>
      <c r="BG3426" s="1821"/>
      <c r="BH3426" s="1821"/>
      <c r="BI3426" s="1821"/>
      <c r="BJ3426" s="1821"/>
      <c r="BK3426" s="1821"/>
      <c r="BL3426" s="1821"/>
      <c r="BM3426" s="1821"/>
      <c r="BN3426" s="1821"/>
      <c r="BO3426" s="1821"/>
      <c r="BP3426" s="1821"/>
      <c r="BQ3426" s="1821"/>
      <c r="BR3426" s="1821"/>
      <c r="BS3426" s="1821"/>
      <c r="BT3426" s="1821"/>
      <c r="BU3426" s="1821"/>
      <c r="BV3426" s="1821"/>
      <c r="BW3426" s="1821"/>
      <c r="BX3426" s="1821"/>
      <c r="BY3426" s="1821"/>
      <c r="BZ3426" s="1821"/>
      <c r="CA3426" s="1821"/>
      <c r="CB3426" s="1821"/>
      <c r="CC3426" s="1821"/>
      <c r="CD3426" s="1821"/>
      <c r="CE3426" s="1821"/>
      <c r="CF3426" s="1821"/>
      <c r="CG3426" s="1821"/>
      <c r="CH3426" s="1821"/>
      <c r="CI3426" s="1821"/>
      <c r="CJ3426" s="1821"/>
      <c r="CK3426" s="1821"/>
    </row>
    <row r="3427" spans="1:89" s="675" customFormat="1" ht="16.5" customHeight="1" x14ac:dyDescent="0.25">
      <c r="A3427" s="697"/>
      <c r="B3427" s="1002"/>
      <c r="C3427" s="1007"/>
      <c r="D3427" s="1005"/>
      <c r="E3427" s="1006"/>
      <c r="F3427" s="700"/>
      <c r="G3427" s="700"/>
      <c r="H3427" s="700">
        <f t="shared" si="346"/>
        <v>0</v>
      </c>
      <c r="I3427" s="700"/>
      <c r="J3427" s="700"/>
      <c r="K3427" s="700">
        <f t="shared" si="348"/>
        <v>0</v>
      </c>
      <c r="L3427" s="700"/>
      <c r="M3427" s="700"/>
      <c r="N3427" s="700">
        <f t="shared" si="349"/>
        <v>0</v>
      </c>
      <c r="O3427" s="974">
        <f t="shared" si="350"/>
        <v>0</v>
      </c>
      <c r="P3427" s="956"/>
      <c r="Q3427" s="1821"/>
      <c r="R3427" s="1821"/>
      <c r="S3427" s="1821"/>
      <c r="T3427" s="1821"/>
      <c r="U3427" s="1821"/>
      <c r="V3427" s="1821"/>
      <c r="W3427" s="1821"/>
      <c r="X3427" s="1821"/>
      <c r="Y3427" s="1821"/>
      <c r="Z3427" s="1821"/>
      <c r="AA3427" s="1821"/>
      <c r="AB3427" s="1821"/>
      <c r="AC3427" s="1821"/>
      <c r="AD3427" s="1821"/>
      <c r="AE3427" s="1821"/>
      <c r="AF3427" s="1821"/>
      <c r="AG3427" s="1821"/>
      <c r="AH3427" s="1821"/>
      <c r="AI3427" s="1821"/>
      <c r="AJ3427" s="1821"/>
      <c r="AK3427" s="1821"/>
      <c r="AL3427" s="1821"/>
      <c r="AM3427" s="1821"/>
      <c r="AN3427" s="1821"/>
      <c r="AO3427" s="1821"/>
      <c r="AP3427" s="1821"/>
      <c r="AQ3427" s="1821"/>
      <c r="AR3427" s="1821"/>
      <c r="AS3427" s="1821"/>
      <c r="AT3427" s="1821"/>
      <c r="AU3427" s="1821"/>
      <c r="AV3427" s="1821"/>
      <c r="AW3427" s="1821"/>
      <c r="AX3427" s="1821"/>
      <c r="AY3427" s="1821"/>
      <c r="AZ3427" s="1821"/>
      <c r="BA3427" s="1821"/>
      <c r="BB3427" s="1821"/>
      <c r="BC3427" s="1821"/>
      <c r="BD3427" s="1821"/>
      <c r="BE3427" s="1821"/>
      <c r="BF3427" s="1821"/>
      <c r="BG3427" s="1821"/>
      <c r="BH3427" s="1821"/>
      <c r="BI3427" s="1821"/>
      <c r="BJ3427" s="1821"/>
      <c r="BK3427" s="1821"/>
      <c r="BL3427" s="1821"/>
      <c r="BM3427" s="1821"/>
      <c r="BN3427" s="1821"/>
      <c r="BO3427" s="1821"/>
      <c r="BP3427" s="1821"/>
      <c r="BQ3427" s="1821"/>
      <c r="BR3427" s="1821"/>
      <c r="BS3427" s="1821"/>
      <c r="BT3427" s="1821"/>
      <c r="BU3427" s="1821"/>
      <c r="BV3427" s="1821"/>
      <c r="BW3427" s="1821"/>
      <c r="BX3427" s="1821"/>
      <c r="BY3427" s="1821"/>
      <c r="BZ3427" s="1821"/>
      <c r="CA3427" s="1821"/>
      <c r="CB3427" s="1821"/>
      <c r="CC3427" s="1821"/>
      <c r="CD3427" s="1821"/>
      <c r="CE3427" s="1821"/>
      <c r="CF3427" s="1821"/>
      <c r="CG3427" s="1821"/>
      <c r="CH3427" s="1821"/>
      <c r="CI3427" s="1821"/>
      <c r="CJ3427" s="1821"/>
      <c r="CK3427" s="1821"/>
    </row>
    <row r="3428" spans="1:89" s="675" customFormat="1" ht="16.5" customHeight="1" x14ac:dyDescent="0.25">
      <c r="A3428" s="697">
        <v>14</v>
      </c>
      <c r="B3428" s="1002" t="s">
        <v>380</v>
      </c>
      <c r="C3428" s="1007">
        <f>SUM(O3430:O3439)</f>
        <v>410980</v>
      </c>
      <c r="D3428" s="1005"/>
      <c r="E3428" s="1006"/>
      <c r="F3428" s="700"/>
      <c r="G3428" s="700"/>
      <c r="H3428" s="700"/>
      <c r="I3428" s="700"/>
      <c r="J3428" s="700"/>
      <c r="K3428" s="700"/>
      <c r="L3428" s="700"/>
      <c r="M3428" s="700"/>
      <c r="N3428" s="700"/>
      <c r="O3428" s="974"/>
      <c r="P3428" s="956"/>
      <c r="Q3428" s="1821"/>
      <c r="R3428" s="1821"/>
      <c r="S3428" s="1821"/>
      <c r="T3428" s="1821"/>
      <c r="U3428" s="1821"/>
      <c r="V3428" s="1821"/>
      <c r="W3428" s="1821"/>
      <c r="X3428" s="1821"/>
      <c r="Y3428" s="1821"/>
      <c r="Z3428" s="1821"/>
      <c r="AA3428" s="1821"/>
      <c r="AB3428" s="1821"/>
      <c r="AC3428" s="1821"/>
      <c r="AD3428" s="1821"/>
      <c r="AE3428" s="1821"/>
      <c r="AF3428" s="1821"/>
      <c r="AG3428" s="1821"/>
      <c r="AH3428" s="1821"/>
      <c r="AI3428" s="1821"/>
      <c r="AJ3428" s="1821"/>
      <c r="AK3428" s="1821"/>
      <c r="AL3428" s="1821"/>
      <c r="AM3428" s="1821"/>
      <c r="AN3428" s="1821"/>
      <c r="AO3428" s="1821"/>
      <c r="AP3428" s="1821"/>
      <c r="AQ3428" s="1821"/>
      <c r="AR3428" s="1821"/>
      <c r="AS3428" s="1821"/>
      <c r="AT3428" s="1821"/>
      <c r="AU3428" s="1821"/>
      <c r="AV3428" s="1821"/>
      <c r="AW3428" s="1821"/>
      <c r="AX3428" s="1821"/>
      <c r="AY3428" s="1821"/>
      <c r="AZ3428" s="1821"/>
      <c r="BA3428" s="1821"/>
      <c r="BB3428" s="1821"/>
      <c r="BC3428" s="1821"/>
      <c r="BD3428" s="1821"/>
      <c r="BE3428" s="1821"/>
      <c r="BF3428" s="1821"/>
      <c r="BG3428" s="1821"/>
      <c r="BH3428" s="1821"/>
      <c r="BI3428" s="1821"/>
      <c r="BJ3428" s="1821"/>
      <c r="BK3428" s="1821"/>
      <c r="BL3428" s="1821"/>
      <c r="BM3428" s="1821"/>
      <c r="BN3428" s="1821"/>
      <c r="BO3428" s="1821"/>
      <c r="BP3428" s="1821"/>
      <c r="BQ3428" s="1821"/>
      <c r="BR3428" s="1821"/>
      <c r="BS3428" s="1821"/>
      <c r="BT3428" s="1821"/>
      <c r="BU3428" s="1821"/>
      <c r="BV3428" s="1821"/>
      <c r="BW3428" s="1821"/>
      <c r="BX3428" s="1821"/>
      <c r="BY3428" s="1821"/>
      <c r="BZ3428" s="1821"/>
      <c r="CA3428" s="1821"/>
      <c r="CB3428" s="1821"/>
      <c r="CC3428" s="1821"/>
      <c r="CD3428" s="1821"/>
      <c r="CE3428" s="1821"/>
      <c r="CF3428" s="1821"/>
      <c r="CG3428" s="1821"/>
      <c r="CH3428" s="1821"/>
      <c r="CI3428" s="1821"/>
      <c r="CJ3428" s="1821"/>
      <c r="CK3428" s="1821"/>
    </row>
    <row r="3429" spans="1:89" s="675" customFormat="1" ht="16.5" customHeight="1" x14ac:dyDescent="0.25">
      <c r="A3429" s="697"/>
      <c r="B3429" s="1002" t="s">
        <v>21</v>
      </c>
      <c r="C3429" s="1007"/>
      <c r="D3429" s="1005"/>
      <c r="E3429" s="1006"/>
      <c r="F3429" s="700"/>
      <c r="G3429" s="700"/>
      <c r="H3429" s="700"/>
      <c r="I3429" s="700"/>
      <c r="J3429" s="700"/>
      <c r="K3429" s="700"/>
      <c r="L3429" s="700"/>
      <c r="M3429" s="700"/>
      <c r="N3429" s="700"/>
      <c r="O3429" s="974"/>
      <c r="P3429" s="956"/>
      <c r="Q3429" s="1821"/>
      <c r="R3429" s="1821"/>
      <c r="S3429" s="1821"/>
      <c r="T3429" s="1821"/>
      <c r="U3429" s="1821"/>
      <c r="V3429" s="1821"/>
      <c r="W3429" s="1821"/>
      <c r="X3429" s="1821"/>
      <c r="Y3429" s="1821"/>
      <c r="Z3429" s="1821"/>
      <c r="AA3429" s="1821"/>
      <c r="AB3429" s="1821"/>
      <c r="AC3429" s="1821"/>
      <c r="AD3429" s="1821"/>
      <c r="AE3429" s="1821"/>
      <c r="AF3429" s="1821"/>
      <c r="AG3429" s="1821"/>
      <c r="AH3429" s="1821"/>
      <c r="AI3429" s="1821"/>
      <c r="AJ3429" s="1821"/>
      <c r="AK3429" s="1821"/>
      <c r="AL3429" s="1821"/>
      <c r="AM3429" s="1821"/>
      <c r="AN3429" s="1821"/>
      <c r="AO3429" s="1821"/>
      <c r="AP3429" s="1821"/>
      <c r="AQ3429" s="1821"/>
      <c r="AR3429" s="1821"/>
      <c r="AS3429" s="1821"/>
      <c r="AT3429" s="1821"/>
      <c r="AU3429" s="1821"/>
      <c r="AV3429" s="1821"/>
      <c r="AW3429" s="1821"/>
      <c r="AX3429" s="1821"/>
      <c r="AY3429" s="1821"/>
      <c r="AZ3429" s="1821"/>
      <c r="BA3429" s="1821"/>
      <c r="BB3429" s="1821"/>
      <c r="BC3429" s="1821"/>
      <c r="BD3429" s="1821"/>
      <c r="BE3429" s="1821"/>
      <c r="BF3429" s="1821"/>
      <c r="BG3429" s="1821"/>
      <c r="BH3429" s="1821"/>
      <c r="BI3429" s="1821"/>
      <c r="BJ3429" s="1821"/>
      <c r="BK3429" s="1821"/>
      <c r="BL3429" s="1821"/>
      <c r="BM3429" s="1821"/>
      <c r="BN3429" s="1821"/>
      <c r="BO3429" s="1821"/>
      <c r="BP3429" s="1821"/>
      <c r="BQ3429" s="1821"/>
      <c r="BR3429" s="1821"/>
      <c r="BS3429" s="1821"/>
      <c r="BT3429" s="1821"/>
      <c r="BU3429" s="1821"/>
      <c r="BV3429" s="1821"/>
      <c r="BW3429" s="1821"/>
      <c r="BX3429" s="1821"/>
      <c r="BY3429" s="1821"/>
      <c r="BZ3429" s="1821"/>
      <c r="CA3429" s="1821"/>
      <c r="CB3429" s="1821"/>
      <c r="CC3429" s="1821"/>
      <c r="CD3429" s="1821"/>
      <c r="CE3429" s="1821"/>
      <c r="CF3429" s="1821"/>
      <c r="CG3429" s="1821"/>
      <c r="CH3429" s="1821"/>
      <c r="CI3429" s="1821"/>
      <c r="CJ3429" s="1821"/>
      <c r="CK3429" s="1821"/>
    </row>
    <row r="3430" spans="1:89" s="675" customFormat="1" ht="16.5" customHeight="1" x14ac:dyDescent="0.25">
      <c r="A3430" s="697"/>
      <c r="B3430" s="1002" t="s">
        <v>365</v>
      </c>
      <c r="C3430" s="1007">
        <v>1</v>
      </c>
      <c r="D3430" s="1005" t="s">
        <v>294</v>
      </c>
      <c r="E3430" s="1006">
        <v>36000</v>
      </c>
      <c r="F3430" s="700"/>
      <c r="G3430" s="700"/>
      <c r="H3430" s="700">
        <f t="shared" si="346"/>
        <v>0</v>
      </c>
      <c r="I3430" s="700">
        <f>C3430*E3430</f>
        <v>36000</v>
      </c>
      <c r="J3430" s="700"/>
      <c r="K3430" s="700">
        <f t="shared" si="348"/>
        <v>36000</v>
      </c>
      <c r="L3430" s="700"/>
      <c r="M3430" s="700"/>
      <c r="N3430" s="700">
        <f t="shared" si="349"/>
        <v>0</v>
      </c>
      <c r="O3430" s="974">
        <f t="shared" si="350"/>
        <v>36000</v>
      </c>
      <c r="P3430" s="956"/>
      <c r="Q3430" s="1821"/>
      <c r="R3430" s="1821"/>
      <c r="S3430" s="1821"/>
      <c r="T3430" s="1821"/>
      <c r="U3430" s="1821"/>
      <c r="V3430" s="1821"/>
      <c r="W3430" s="1821"/>
      <c r="X3430" s="1821"/>
      <c r="Y3430" s="1821"/>
      <c r="Z3430" s="1821"/>
      <c r="AA3430" s="1821"/>
      <c r="AB3430" s="1821"/>
      <c r="AC3430" s="1821"/>
      <c r="AD3430" s="1821"/>
      <c r="AE3430" s="1821"/>
      <c r="AF3430" s="1821"/>
      <c r="AG3430" s="1821"/>
      <c r="AH3430" s="1821"/>
      <c r="AI3430" s="1821"/>
      <c r="AJ3430" s="1821"/>
      <c r="AK3430" s="1821"/>
      <c r="AL3430" s="1821"/>
      <c r="AM3430" s="1821"/>
      <c r="AN3430" s="1821"/>
      <c r="AO3430" s="1821"/>
      <c r="AP3430" s="1821"/>
      <c r="AQ3430" s="1821"/>
      <c r="AR3430" s="1821"/>
      <c r="AS3430" s="1821"/>
      <c r="AT3430" s="1821"/>
      <c r="AU3430" s="1821"/>
      <c r="AV3430" s="1821"/>
      <c r="AW3430" s="1821"/>
      <c r="AX3430" s="1821"/>
      <c r="AY3430" s="1821"/>
      <c r="AZ3430" s="1821"/>
      <c r="BA3430" s="1821"/>
      <c r="BB3430" s="1821"/>
      <c r="BC3430" s="1821"/>
      <c r="BD3430" s="1821"/>
      <c r="BE3430" s="1821"/>
      <c r="BF3430" s="1821"/>
      <c r="BG3430" s="1821"/>
      <c r="BH3430" s="1821"/>
      <c r="BI3430" s="1821"/>
      <c r="BJ3430" s="1821"/>
      <c r="BK3430" s="1821"/>
      <c r="BL3430" s="1821"/>
      <c r="BM3430" s="1821"/>
      <c r="BN3430" s="1821"/>
      <c r="BO3430" s="1821"/>
      <c r="BP3430" s="1821"/>
      <c r="BQ3430" s="1821"/>
      <c r="BR3430" s="1821"/>
      <c r="BS3430" s="1821"/>
      <c r="BT3430" s="1821"/>
      <c r="BU3430" s="1821"/>
      <c r="BV3430" s="1821"/>
      <c r="BW3430" s="1821"/>
      <c r="BX3430" s="1821"/>
      <c r="BY3430" s="1821"/>
      <c r="BZ3430" s="1821"/>
      <c r="CA3430" s="1821"/>
      <c r="CB3430" s="1821"/>
      <c r="CC3430" s="1821"/>
      <c r="CD3430" s="1821"/>
      <c r="CE3430" s="1821"/>
      <c r="CF3430" s="1821"/>
      <c r="CG3430" s="1821"/>
      <c r="CH3430" s="1821"/>
      <c r="CI3430" s="1821"/>
      <c r="CJ3430" s="1821"/>
      <c r="CK3430" s="1821"/>
    </row>
    <row r="3431" spans="1:89" s="675" customFormat="1" ht="16.5" customHeight="1" x14ac:dyDescent="0.25">
      <c r="A3431" s="697"/>
      <c r="B3431" s="1002" t="s">
        <v>40</v>
      </c>
      <c r="C3431" s="1007"/>
      <c r="D3431" s="1005"/>
      <c r="E3431" s="1006"/>
      <c r="F3431" s="700"/>
      <c r="G3431" s="700"/>
      <c r="H3431" s="700">
        <f t="shared" si="346"/>
        <v>0</v>
      </c>
      <c r="I3431" s="700"/>
      <c r="J3431" s="700">
        <f t="shared" ref="J3431:J3438" si="352">C3431*E3431</f>
        <v>0</v>
      </c>
      <c r="K3431" s="700">
        <f t="shared" si="348"/>
        <v>0</v>
      </c>
      <c r="L3431" s="700"/>
      <c r="M3431" s="700"/>
      <c r="N3431" s="700">
        <f t="shared" si="349"/>
        <v>0</v>
      </c>
      <c r="O3431" s="974">
        <f t="shared" si="350"/>
        <v>0</v>
      </c>
      <c r="P3431" s="956"/>
      <c r="Q3431" s="1821"/>
      <c r="R3431" s="1821"/>
      <c r="S3431" s="1821"/>
      <c r="T3431" s="1821"/>
      <c r="U3431" s="1821"/>
      <c r="V3431" s="1821"/>
      <c r="W3431" s="1821"/>
      <c r="X3431" s="1821"/>
      <c r="Y3431" s="1821"/>
      <c r="Z3431" s="1821"/>
      <c r="AA3431" s="1821"/>
      <c r="AB3431" s="1821"/>
      <c r="AC3431" s="1821"/>
      <c r="AD3431" s="1821"/>
      <c r="AE3431" s="1821"/>
      <c r="AF3431" s="1821"/>
      <c r="AG3431" s="1821"/>
      <c r="AH3431" s="1821"/>
      <c r="AI3431" s="1821"/>
      <c r="AJ3431" s="1821"/>
      <c r="AK3431" s="1821"/>
      <c r="AL3431" s="1821"/>
      <c r="AM3431" s="1821"/>
      <c r="AN3431" s="1821"/>
      <c r="AO3431" s="1821"/>
      <c r="AP3431" s="1821"/>
      <c r="AQ3431" s="1821"/>
      <c r="AR3431" s="1821"/>
      <c r="AS3431" s="1821"/>
      <c r="AT3431" s="1821"/>
      <c r="AU3431" s="1821"/>
      <c r="AV3431" s="1821"/>
      <c r="AW3431" s="1821"/>
      <c r="AX3431" s="1821"/>
      <c r="AY3431" s="1821"/>
      <c r="AZ3431" s="1821"/>
      <c r="BA3431" s="1821"/>
      <c r="BB3431" s="1821"/>
      <c r="BC3431" s="1821"/>
      <c r="BD3431" s="1821"/>
      <c r="BE3431" s="1821"/>
      <c r="BF3431" s="1821"/>
      <c r="BG3431" s="1821"/>
      <c r="BH3431" s="1821"/>
      <c r="BI3431" s="1821"/>
      <c r="BJ3431" s="1821"/>
      <c r="BK3431" s="1821"/>
      <c r="BL3431" s="1821"/>
      <c r="BM3431" s="1821"/>
      <c r="BN3431" s="1821"/>
      <c r="BO3431" s="1821"/>
      <c r="BP3431" s="1821"/>
      <c r="BQ3431" s="1821"/>
      <c r="BR3431" s="1821"/>
      <c r="BS3431" s="1821"/>
      <c r="BT3431" s="1821"/>
      <c r="BU3431" s="1821"/>
      <c r="BV3431" s="1821"/>
      <c r="BW3431" s="1821"/>
      <c r="BX3431" s="1821"/>
      <c r="BY3431" s="1821"/>
      <c r="BZ3431" s="1821"/>
      <c r="CA3431" s="1821"/>
      <c r="CB3431" s="1821"/>
      <c r="CC3431" s="1821"/>
      <c r="CD3431" s="1821"/>
      <c r="CE3431" s="1821"/>
      <c r="CF3431" s="1821"/>
      <c r="CG3431" s="1821"/>
      <c r="CH3431" s="1821"/>
      <c r="CI3431" s="1821"/>
      <c r="CJ3431" s="1821"/>
      <c r="CK3431" s="1821"/>
    </row>
    <row r="3432" spans="1:89" s="675" customFormat="1" ht="16.5" customHeight="1" x14ac:dyDescent="0.25">
      <c r="A3432" s="697"/>
      <c r="B3432" s="1002" t="s">
        <v>1246</v>
      </c>
      <c r="C3432" s="1007">
        <v>1</v>
      </c>
      <c r="D3432" s="1005" t="s">
        <v>294</v>
      </c>
      <c r="E3432" s="1006">
        <v>80750</v>
      </c>
      <c r="F3432" s="700"/>
      <c r="G3432" s="700"/>
      <c r="H3432" s="700">
        <f t="shared" si="346"/>
        <v>0</v>
      </c>
      <c r="I3432" s="700"/>
      <c r="J3432" s="700">
        <f t="shared" si="352"/>
        <v>80750</v>
      </c>
      <c r="K3432" s="700">
        <f t="shared" si="348"/>
        <v>80750</v>
      </c>
      <c r="L3432" s="700"/>
      <c r="M3432" s="700"/>
      <c r="N3432" s="700">
        <f t="shared" si="349"/>
        <v>0</v>
      </c>
      <c r="O3432" s="974">
        <f t="shared" si="350"/>
        <v>80750</v>
      </c>
      <c r="P3432" s="956"/>
      <c r="Q3432" s="1821"/>
      <c r="R3432" s="1821"/>
      <c r="S3432" s="1821"/>
      <c r="T3432" s="1821"/>
      <c r="U3432" s="1821"/>
      <c r="V3432" s="1821"/>
      <c r="W3432" s="1821"/>
      <c r="X3432" s="1821"/>
      <c r="Y3432" s="1821"/>
      <c r="Z3432" s="1821"/>
      <c r="AA3432" s="1821"/>
      <c r="AB3432" s="1821"/>
      <c r="AC3432" s="1821"/>
      <c r="AD3432" s="1821"/>
      <c r="AE3432" s="1821"/>
      <c r="AF3432" s="1821"/>
      <c r="AG3432" s="1821"/>
      <c r="AH3432" s="1821"/>
      <c r="AI3432" s="1821"/>
      <c r="AJ3432" s="1821"/>
      <c r="AK3432" s="1821"/>
      <c r="AL3432" s="1821"/>
      <c r="AM3432" s="1821"/>
      <c r="AN3432" s="1821"/>
      <c r="AO3432" s="1821"/>
      <c r="AP3432" s="1821"/>
      <c r="AQ3432" s="1821"/>
      <c r="AR3432" s="1821"/>
      <c r="AS3432" s="1821"/>
      <c r="AT3432" s="1821"/>
      <c r="AU3432" s="1821"/>
      <c r="AV3432" s="1821"/>
      <c r="AW3432" s="1821"/>
      <c r="AX3432" s="1821"/>
      <c r="AY3432" s="1821"/>
      <c r="AZ3432" s="1821"/>
      <c r="BA3432" s="1821"/>
      <c r="BB3432" s="1821"/>
      <c r="BC3432" s="1821"/>
      <c r="BD3432" s="1821"/>
      <c r="BE3432" s="1821"/>
      <c r="BF3432" s="1821"/>
      <c r="BG3432" s="1821"/>
      <c r="BH3432" s="1821"/>
      <c r="BI3432" s="1821"/>
      <c r="BJ3432" s="1821"/>
      <c r="BK3432" s="1821"/>
      <c r="BL3432" s="1821"/>
      <c r="BM3432" s="1821"/>
      <c r="BN3432" s="1821"/>
      <c r="BO3432" s="1821"/>
      <c r="BP3432" s="1821"/>
      <c r="BQ3432" s="1821"/>
      <c r="BR3432" s="1821"/>
      <c r="BS3432" s="1821"/>
      <c r="BT3432" s="1821"/>
      <c r="BU3432" s="1821"/>
      <c r="BV3432" s="1821"/>
      <c r="BW3432" s="1821"/>
      <c r="BX3432" s="1821"/>
      <c r="BY3432" s="1821"/>
      <c r="BZ3432" s="1821"/>
      <c r="CA3432" s="1821"/>
      <c r="CB3432" s="1821"/>
      <c r="CC3432" s="1821"/>
      <c r="CD3432" s="1821"/>
      <c r="CE3432" s="1821"/>
      <c r="CF3432" s="1821"/>
      <c r="CG3432" s="1821"/>
      <c r="CH3432" s="1821"/>
      <c r="CI3432" s="1821"/>
      <c r="CJ3432" s="1821"/>
      <c r="CK3432" s="1821"/>
    </row>
    <row r="3433" spans="1:89" s="675" customFormat="1" ht="16.5" customHeight="1" x14ac:dyDescent="0.25">
      <c r="A3433" s="697"/>
      <c r="B3433" s="1002" t="s">
        <v>206</v>
      </c>
      <c r="C3433" s="1007"/>
      <c r="D3433" s="1005"/>
      <c r="E3433" s="1006"/>
      <c r="F3433" s="700"/>
      <c r="G3433" s="700"/>
      <c r="H3433" s="700"/>
      <c r="I3433" s="700"/>
      <c r="J3433" s="700"/>
      <c r="K3433" s="700">
        <f t="shared" si="348"/>
        <v>0</v>
      </c>
      <c r="L3433" s="700"/>
      <c r="M3433" s="700"/>
      <c r="N3433" s="700"/>
      <c r="O3433" s="974">
        <f t="shared" si="350"/>
        <v>0</v>
      </c>
      <c r="P3433" s="956"/>
      <c r="Q3433" s="1821"/>
      <c r="R3433" s="1821"/>
      <c r="S3433" s="1821"/>
      <c r="T3433" s="1821"/>
      <c r="U3433" s="1821"/>
      <c r="V3433" s="1821"/>
      <c r="W3433" s="1821"/>
      <c r="X3433" s="1821"/>
      <c r="Y3433" s="1821"/>
      <c r="Z3433" s="1821"/>
      <c r="AA3433" s="1821"/>
      <c r="AB3433" s="1821"/>
      <c r="AC3433" s="1821"/>
      <c r="AD3433" s="1821"/>
      <c r="AE3433" s="1821"/>
      <c r="AF3433" s="1821"/>
      <c r="AG3433" s="1821"/>
      <c r="AH3433" s="1821"/>
      <c r="AI3433" s="1821"/>
      <c r="AJ3433" s="1821"/>
      <c r="AK3433" s="1821"/>
      <c r="AL3433" s="1821"/>
      <c r="AM3433" s="1821"/>
      <c r="AN3433" s="1821"/>
      <c r="AO3433" s="1821"/>
      <c r="AP3433" s="1821"/>
      <c r="AQ3433" s="1821"/>
      <c r="AR3433" s="1821"/>
      <c r="AS3433" s="1821"/>
      <c r="AT3433" s="1821"/>
      <c r="AU3433" s="1821"/>
      <c r="AV3433" s="1821"/>
      <c r="AW3433" s="1821"/>
      <c r="AX3433" s="1821"/>
      <c r="AY3433" s="1821"/>
      <c r="AZ3433" s="1821"/>
      <c r="BA3433" s="1821"/>
      <c r="BB3433" s="1821"/>
      <c r="BC3433" s="1821"/>
      <c r="BD3433" s="1821"/>
      <c r="BE3433" s="1821"/>
      <c r="BF3433" s="1821"/>
      <c r="BG3433" s="1821"/>
      <c r="BH3433" s="1821"/>
      <c r="BI3433" s="1821"/>
      <c r="BJ3433" s="1821"/>
      <c r="BK3433" s="1821"/>
      <c r="BL3433" s="1821"/>
      <c r="BM3433" s="1821"/>
      <c r="BN3433" s="1821"/>
      <c r="BO3433" s="1821"/>
      <c r="BP3433" s="1821"/>
      <c r="BQ3433" s="1821"/>
      <c r="BR3433" s="1821"/>
      <c r="BS3433" s="1821"/>
      <c r="BT3433" s="1821"/>
      <c r="BU3433" s="1821"/>
      <c r="BV3433" s="1821"/>
      <c r="BW3433" s="1821"/>
      <c r="BX3433" s="1821"/>
      <c r="BY3433" s="1821"/>
      <c r="BZ3433" s="1821"/>
      <c r="CA3433" s="1821"/>
      <c r="CB3433" s="1821"/>
      <c r="CC3433" s="1821"/>
      <c r="CD3433" s="1821"/>
      <c r="CE3433" s="1821"/>
      <c r="CF3433" s="1821"/>
      <c r="CG3433" s="1821"/>
      <c r="CH3433" s="1821"/>
      <c r="CI3433" s="1821"/>
      <c r="CJ3433" s="1821"/>
      <c r="CK3433" s="1821"/>
    </row>
    <row r="3434" spans="1:89" s="675" customFormat="1" ht="16.5" customHeight="1" x14ac:dyDescent="0.25">
      <c r="A3434" s="697"/>
      <c r="B3434" s="1002" t="s">
        <v>1241</v>
      </c>
      <c r="C3434" s="1007">
        <v>18</v>
      </c>
      <c r="D3434" s="1005" t="s">
        <v>207</v>
      </c>
      <c r="E3434" s="1006">
        <f>J3434/C3434</f>
        <v>319.44444444444446</v>
      </c>
      <c r="F3434" s="700"/>
      <c r="G3434" s="700"/>
      <c r="H3434" s="700"/>
      <c r="I3434" s="700"/>
      <c r="J3434" s="700">
        <v>5750</v>
      </c>
      <c r="K3434" s="700">
        <f t="shared" si="348"/>
        <v>5750</v>
      </c>
      <c r="L3434" s="700"/>
      <c r="M3434" s="700"/>
      <c r="N3434" s="700"/>
      <c r="O3434" s="974">
        <f t="shared" si="350"/>
        <v>5750</v>
      </c>
      <c r="P3434" s="956"/>
      <c r="Q3434" s="1821"/>
      <c r="R3434" s="1821"/>
      <c r="S3434" s="1821"/>
      <c r="T3434" s="1821"/>
      <c r="U3434" s="1821"/>
      <c r="V3434" s="1821"/>
      <c r="W3434" s="1821"/>
      <c r="X3434" s="1821"/>
      <c r="Y3434" s="1821"/>
      <c r="Z3434" s="1821"/>
      <c r="AA3434" s="1821"/>
      <c r="AB3434" s="1821"/>
      <c r="AC3434" s="1821"/>
      <c r="AD3434" s="1821"/>
      <c r="AE3434" s="1821"/>
      <c r="AF3434" s="1821"/>
      <c r="AG3434" s="1821"/>
      <c r="AH3434" s="1821"/>
      <c r="AI3434" s="1821"/>
      <c r="AJ3434" s="1821"/>
      <c r="AK3434" s="1821"/>
      <c r="AL3434" s="1821"/>
      <c r="AM3434" s="1821"/>
      <c r="AN3434" s="1821"/>
      <c r="AO3434" s="1821"/>
      <c r="AP3434" s="1821"/>
      <c r="AQ3434" s="1821"/>
      <c r="AR3434" s="1821"/>
      <c r="AS3434" s="1821"/>
      <c r="AT3434" s="1821"/>
      <c r="AU3434" s="1821"/>
      <c r="AV3434" s="1821"/>
      <c r="AW3434" s="1821"/>
      <c r="AX3434" s="1821"/>
      <c r="AY3434" s="1821"/>
      <c r="AZ3434" s="1821"/>
      <c r="BA3434" s="1821"/>
      <c r="BB3434" s="1821"/>
      <c r="BC3434" s="1821"/>
      <c r="BD3434" s="1821"/>
      <c r="BE3434" s="1821"/>
      <c r="BF3434" s="1821"/>
      <c r="BG3434" s="1821"/>
      <c r="BH3434" s="1821"/>
      <c r="BI3434" s="1821"/>
      <c r="BJ3434" s="1821"/>
      <c r="BK3434" s="1821"/>
      <c r="BL3434" s="1821"/>
      <c r="BM3434" s="1821"/>
      <c r="BN3434" s="1821"/>
      <c r="BO3434" s="1821"/>
      <c r="BP3434" s="1821"/>
      <c r="BQ3434" s="1821"/>
      <c r="BR3434" s="1821"/>
      <c r="BS3434" s="1821"/>
      <c r="BT3434" s="1821"/>
      <c r="BU3434" s="1821"/>
      <c r="BV3434" s="1821"/>
      <c r="BW3434" s="1821"/>
      <c r="BX3434" s="1821"/>
      <c r="BY3434" s="1821"/>
      <c r="BZ3434" s="1821"/>
      <c r="CA3434" s="1821"/>
      <c r="CB3434" s="1821"/>
      <c r="CC3434" s="1821"/>
      <c r="CD3434" s="1821"/>
      <c r="CE3434" s="1821"/>
      <c r="CF3434" s="1821"/>
      <c r="CG3434" s="1821"/>
      <c r="CH3434" s="1821"/>
      <c r="CI3434" s="1821"/>
      <c r="CJ3434" s="1821"/>
      <c r="CK3434" s="1821"/>
    </row>
    <row r="3435" spans="1:89" s="675" customFormat="1" ht="16.5" customHeight="1" x14ac:dyDescent="0.25">
      <c r="A3435" s="697"/>
      <c r="B3435" s="1002" t="s">
        <v>349</v>
      </c>
      <c r="C3435" s="1007"/>
      <c r="D3435" s="1005"/>
      <c r="E3435" s="1006"/>
      <c r="F3435" s="700"/>
      <c r="G3435" s="700"/>
      <c r="H3435" s="700">
        <f t="shared" si="346"/>
        <v>0</v>
      </c>
      <c r="I3435" s="700"/>
      <c r="J3435" s="700">
        <f t="shared" si="352"/>
        <v>0</v>
      </c>
      <c r="K3435" s="700">
        <f t="shared" si="348"/>
        <v>0</v>
      </c>
      <c r="L3435" s="700"/>
      <c r="M3435" s="700"/>
      <c r="N3435" s="700">
        <f t="shared" si="349"/>
        <v>0</v>
      </c>
      <c r="O3435" s="974">
        <f t="shared" si="350"/>
        <v>0</v>
      </c>
      <c r="P3435" s="956"/>
      <c r="Q3435" s="1821"/>
      <c r="R3435" s="1821"/>
      <c r="S3435" s="1821"/>
      <c r="T3435" s="1821"/>
      <c r="U3435" s="1821"/>
      <c r="V3435" s="1821"/>
      <c r="W3435" s="1821"/>
      <c r="X3435" s="1821"/>
      <c r="Y3435" s="1821"/>
      <c r="Z3435" s="1821"/>
      <c r="AA3435" s="1821"/>
      <c r="AB3435" s="1821"/>
      <c r="AC3435" s="1821"/>
      <c r="AD3435" s="1821"/>
      <c r="AE3435" s="1821"/>
      <c r="AF3435" s="1821"/>
      <c r="AG3435" s="1821"/>
      <c r="AH3435" s="1821"/>
      <c r="AI3435" s="1821"/>
      <c r="AJ3435" s="1821"/>
      <c r="AK3435" s="1821"/>
      <c r="AL3435" s="1821"/>
      <c r="AM3435" s="1821"/>
      <c r="AN3435" s="1821"/>
      <c r="AO3435" s="1821"/>
      <c r="AP3435" s="1821"/>
      <c r="AQ3435" s="1821"/>
      <c r="AR3435" s="1821"/>
      <c r="AS3435" s="1821"/>
      <c r="AT3435" s="1821"/>
      <c r="AU3435" s="1821"/>
      <c r="AV3435" s="1821"/>
      <c r="AW3435" s="1821"/>
      <c r="AX3435" s="1821"/>
      <c r="AY3435" s="1821"/>
      <c r="AZ3435" s="1821"/>
      <c r="BA3435" s="1821"/>
      <c r="BB3435" s="1821"/>
      <c r="BC3435" s="1821"/>
      <c r="BD3435" s="1821"/>
      <c r="BE3435" s="1821"/>
      <c r="BF3435" s="1821"/>
      <c r="BG3435" s="1821"/>
      <c r="BH3435" s="1821"/>
      <c r="BI3435" s="1821"/>
      <c r="BJ3435" s="1821"/>
      <c r="BK3435" s="1821"/>
      <c r="BL3435" s="1821"/>
      <c r="BM3435" s="1821"/>
      <c r="BN3435" s="1821"/>
      <c r="BO3435" s="1821"/>
      <c r="BP3435" s="1821"/>
      <c r="BQ3435" s="1821"/>
      <c r="BR3435" s="1821"/>
      <c r="BS3435" s="1821"/>
      <c r="BT3435" s="1821"/>
      <c r="BU3435" s="1821"/>
      <c r="BV3435" s="1821"/>
      <c r="BW3435" s="1821"/>
      <c r="BX3435" s="1821"/>
      <c r="BY3435" s="1821"/>
      <c r="BZ3435" s="1821"/>
      <c r="CA3435" s="1821"/>
      <c r="CB3435" s="1821"/>
      <c r="CC3435" s="1821"/>
      <c r="CD3435" s="1821"/>
      <c r="CE3435" s="1821"/>
      <c r="CF3435" s="1821"/>
      <c r="CG3435" s="1821"/>
      <c r="CH3435" s="1821"/>
      <c r="CI3435" s="1821"/>
      <c r="CJ3435" s="1821"/>
      <c r="CK3435" s="1821"/>
    </row>
    <row r="3436" spans="1:89" s="675" customFormat="1" ht="16.5" customHeight="1" x14ac:dyDescent="0.25">
      <c r="A3436" s="697"/>
      <c r="B3436" s="1002" t="s">
        <v>344</v>
      </c>
      <c r="C3436" s="1007">
        <v>120</v>
      </c>
      <c r="D3436" s="1005" t="s">
        <v>51</v>
      </c>
      <c r="E3436" s="1006">
        <v>120</v>
      </c>
      <c r="F3436" s="700"/>
      <c r="G3436" s="700"/>
      <c r="H3436" s="700">
        <f t="shared" si="346"/>
        <v>0</v>
      </c>
      <c r="I3436" s="700"/>
      <c r="J3436" s="700">
        <f t="shared" si="352"/>
        <v>14400</v>
      </c>
      <c r="K3436" s="700">
        <f t="shared" si="348"/>
        <v>14400</v>
      </c>
      <c r="L3436" s="700"/>
      <c r="M3436" s="700"/>
      <c r="N3436" s="700">
        <f t="shared" si="349"/>
        <v>0</v>
      </c>
      <c r="O3436" s="974">
        <f t="shared" si="350"/>
        <v>14400</v>
      </c>
      <c r="P3436" s="956"/>
      <c r="Q3436" s="1821"/>
      <c r="R3436" s="1821"/>
      <c r="S3436" s="1821"/>
      <c r="T3436" s="1821"/>
      <c r="U3436" s="1821"/>
      <c r="V3436" s="1821"/>
      <c r="W3436" s="1821"/>
      <c r="X3436" s="1821"/>
      <c r="Y3436" s="1821"/>
      <c r="Z3436" s="1821"/>
      <c r="AA3436" s="1821"/>
      <c r="AB3436" s="1821"/>
      <c r="AC3436" s="1821"/>
      <c r="AD3436" s="1821"/>
      <c r="AE3436" s="1821"/>
      <c r="AF3436" s="1821"/>
      <c r="AG3436" s="1821"/>
      <c r="AH3436" s="1821"/>
      <c r="AI3436" s="1821"/>
      <c r="AJ3436" s="1821"/>
      <c r="AK3436" s="1821"/>
      <c r="AL3436" s="1821"/>
      <c r="AM3436" s="1821"/>
      <c r="AN3436" s="1821"/>
      <c r="AO3436" s="1821"/>
      <c r="AP3436" s="1821"/>
      <c r="AQ3436" s="1821"/>
      <c r="AR3436" s="1821"/>
      <c r="AS3436" s="1821"/>
      <c r="AT3436" s="1821"/>
      <c r="AU3436" s="1821"/>
      <c r="AV3436" s="1821"/>
      <c r="AW3436" s="1821"/>
      <c r="AX3436" s="1821"/>
      <c r="AY3436" s="1821"/>
      <c r="AZ3436" s="1821"/>
      <c r="BA3436" s="1821"/>
      <c r="BB3436" s="1821"/>
      <c r="BC3436" s="1821"/>
      <c r="BD3436" s="1821"/>
      <c r="BE3436" s="1821"/>
      <c r="BF3436" s="1821"/>
      <c r="BG3436" s="1821"/>
      <c r="BH3436" s="1821"/>
      <c r="BI3436" s="1821"/>
      <c r="BJ3436" s="1821"/>
      <c r="BK3436" s="1821"/>
      <c r="BL3436" s="1821"/>
      <c r="BM3436" s="1821"/>
      <c r="BN3436" s="1821"/>
      <c r="BO3436" s="1821"/>
      <c r="BP3436" s="1821"/>
      <c r="BQ3436" s="1821"/>
      <c r="BR3436" s="1821"/>
      <c r="BS3436" s="1821"/>
      <c r="BT3436" s="1821"/>
      <c r="BU3436" s="1821"/>
      <c r="BV3436" s="1821"/>
      <c r="BW3436" s="1821"/>
      <c r="BX3436" s="1821"/>
      <c r="BY3436" s="1821"/>
      <c r="BZ3436" s="1821"/>
      <c r="CA3436" s="1821"/>
      <c r="CB3436" s="1821"/>
      <c r="CC3436" s="1821"/>
      <c r="CD3436" s="1821"/>
      <c r="CE3436" s="1821"/>
      <c r="CF3436" s="1821"/>
      <c r="CG3436" s="1821"/>
      <c r="CH3436" s="1821"/>
      <c r="CI3436" s="1821"/>
      <c r="CJ3436" s="1821"/>
      <c r="CK3436" s="1821"/>
    </row>
    <row r="3437" spans="1:89" s="675" customFormat="1" ht="16.5" customHeight="1" x14ac:dyDescent="0.25">
      <c r="A3437" s="697"/>
      <c r="B3437" s="1002" t="s">
        <v>54</v>
      </c>
      <c r="C3437" s="1007">
        <v>360</v>
      </c>
      <c r="D3437" s="1005" t="s">
        <v>55</v>
      </c>
      <c r="E3437" s="1006">
        <v>430</v>
      </c>
      <c r="F3437" s="700"/>
      <c r="G3437" s="700"/>
      <c r="H3437" s="700">
        <f t="shared" si="346"/>
        <v>0</v>
      </c>
      <c r="I3437" s="700"/>
      <c r="J3437" s="700">
        <f t="shared" si="352"/>
        <v>154800</v>
      </c>
      <c r="K3437" s="700">
        <f t="shared" si="348"/>
        <v>154800</v>
      </c>
      <c r="L3437" s="700"/>
      <c r="M3437" s="700"/>
      <c r="N3437" s="700">
        <f t="shared" si="349"/>
        <v>0</v>
      </c>
      <c r="O3437" s="974">
        <f t="shared" si="350"/>
        <v>154800</v>
      </c>
      <c r="P3437" s="956"/>
      <c r="Q3437" s="1821"/>
      <c r="R3437" s="1821"/>
      <c r="S3437" s="1821"/>
      <c r="T3437" s="1821"/>
      <c r="U3437" s="1821"/>
      <c r="V3437" s="1821"/>
      <c r="W3437" s="1821"/>
      <c r="X3437" s="1821"/>
      <c r="Y3437" s="1821"/>
      <c r="Z3437" s="1821"/>
      <c r="AA3437" s="1821"/>
      <c r="AB3437" s="1821"/>
      <c r="AC3437" s="1821"/>
      <c r="AD3437" s="1821"/>
      <c r="AE3437" s="1821"/>
      <c r="AF3437" s="1821"/>
      <c r="AG3437" s="1821"/>
      <c r="AH3437" s="1821"/>
      <c r="AI3437" s="1821"/>
      <c r="AJ3437" s="1821"/>
      <c r="AK3437" s="1821"/>
      <c r="AL3437" s="1821"/>
      <c r="AM3437" s="1821"/>
      <c r="AN3437" s="1821"/>
      <c r="AO3437" s="1821"/>
      <c r="AP3437" s="1821"/>
      <c r="AQ3437" s="1821"/>
      <c r="AR3437" s="1821"/>
      <c r="AS3437" s="1821"/>
      <c r="AT3437" s="1821"/>
      <c r="AU3437" s="1821"/>
      <c r="AV3437" s="1821"/>
      <c r="AW3437" s="1821"/>
      <c r="AX3437" s="1821"/>
      <c r="AY3437" s="1821"/>
      <c r="AZ3437" s="1821"/>
      <c r="BA3437" s="1821"/>
      <c r="BB3437" s="1821"/>
      <c r="BC3437" s="1821"/>
      <c r="BD3437" s="1821"/>
      <c r="BE3437" s="1821"/>
      <c r="BF3437" s="1821"/>
      <c r="BG3437" s="1821"/>
      <c r="BH3437" s="1821"/>
      <c r="BI3437" s="1821"/>
      <c r="BJ3437" s="1821"/>
      <c r="BK3437" s="1821"/>
      <c r="BL3437" s="1821"/>
      <c r="BM3437" s="1821"/>
      <c r="BN3437" s="1821"/>
      <c r="BO3437" s="1821"/>
      <c r="BP3437" s="1821"/>
      <c r="BQ3437" s="1821"/>
      <c r="BR3437" s="1821"/>
      <c r="BS3437" s="1821"/>
      <c r="BT3437" s="1821"/>
      <c r="BU3437" s="1821"/>
      <c r="BV3437" s="1821"/>
      <c r="BW3437" s="1821"/>
      <c r="BX3437" s="1821"/>
      <c r="BY3437" s="1821"/>
      <c r="BZ3437" s="1821"/>
      <c r="CA3437" s="1821"/>
      <c r="CB3437" s="1821"/>
      <c r="CC3437" s="1821"/>
      <c r="CD3437" s="1821"/>
      <c r="CE3437" s="1821"/>
      <c r="CF3437" s="1821"/>
      <c r="CG3437" s="1821"/>
      <c r="CH3437" s="1821"/>
      <c r="CI3437" s="1821"/>
      <c r="CJ3437" s="1821"/>
      <c r="CK3437" s="1821"/>
    </row>
    <row r="3438" spans="1:89" s="675" customFormat="1" ht="16.5" customHeight="1" x14ac:dyDescent="0.25">
      <c r="A3438" s="697"/>
      <c r="B3438" s="1002" t="s">
        <v>52</v>
      </c>
      <c r="C3438" s="1007">
        <v>240</v>
      </c>
      <c r="D3438" s="1005" t="s">
        <v>55</v>
      </c>
      <c r="E3438" s="1006">
        <v>497</v>
      </c>
      <c r="F3438" s="700"/>
      <c r="G3438" s="700"/>
      <c r="H3438" s="700">
        <f t="shared" si="346"/>
        <v>0</v>
      </c>
      <c r="I3438" s="700"/>
      <c r="J3438" s="700">
        <f t="shared" si="352"/>
        <v>119280</v>
      </c>
      <c r="K3438" s="700">
        <f t="shared" si="348"/>
        <v>119280</v>
      </c>
      <c r="L3438" s="700"/>
      <c r="M3438" s="700"/>
      <c r="N3438" s="700">
        <f t="shared" si="349"/>
        <v>0</v>
      </c>
      <c r="O3438" s="974">
        <f t="shared" si="350"/>
        <v>119280</v>
      </c>
      <c r="P3438" s="956"/>
      <c r="Q3438" s="1821"/>
      <c r="R3438" s="1821"/>
      <c r="S3438" s="1821"/>
      <c r="T3438" s="1821"/>
      <c r="U3438" s="1821"/>
      <c r="V3438" s="1821"/>
      <c r="W3438" s="1821"/>
      <c r="X3438" s="1821"/>
      <c r="Y3438" s="1821"/>
      <c r="Z3438" s="1821"/>
      <c r="AA3438" s="1821"/>
      <c r="AB3438" s="1821"/>
      <c r="AC3438" s="1821"/>
      <c r="AD3438" s="1821"/>
      <c r="AE3438" s="1821"/>
      <c r="AF3438" s="1821"/>
      <c r="AG3438" s="1821"/>
      <c r="AH3438" s="1821"/>
      <c r="AI3438" s="1821"/>
      <c r="AJ3438" s="1821"/>
      <c r="AK3438" s="1821"/>
      <c r="AL3438" s="1821"/>
      <c r="AM3438" s="1821"/>
      <c r="AN3438" s="1821"/>
      <c r="AO3438" s="1821"/>
      <c r="AP3438" s="1821"/>
      <c r="AQ3438" s="1821"/>
      <c r="AR3438" s="1821"/>
      <c r="AS3438" s="1821"/>
      <c r="AT3438" s="1821"/>
      <c r="AU3438" s="1821"/>
      <c r="AV3438" s="1821"/>
      <c r="AW3438" s="1821"/>
      <c r="AX3438" s="1821"/>
      <c r="AY3438" s="1821"/>
      <c r="AZ3438" s="1821"/>
      <c r="BA3438" s="1821"/>
      <c r="BB3438" s="1821"/>
      <c r="BC3438" s="1821"/>
      <c r="BD3438" s="1821"/>
      <c r="BE3438" s="1821"/>
      <c r="BF3438" s="1821"/>
      <c r="BG3438" s="1821"/>
      <c r="BH3438" s="1821"/>
      <c r="BI3438" s="1821"/>
      <c r="BJ3438" s="1821"/>
      <c r="BK3438" s="1821"/>
      <c r="BL3438" s="1821"/>
      <c r="BM3438" s="1821"/>
      <c r="BN3438" s="1821"/>
      <c r="BO3438" s="1821"/>
      <c r="BP3438" s="1821"/>
      <c r="BQ3438" s="1821"/>
      <c r="BR3438" s="1821"/>
      <c r="BS3438" s="1821"/>
      <c r="BT3438" s="1821"/>
      <c r="BU3438" s="1821"/>
      <c r="BV3438" s="1821"/>
      <c r="BW3438" s="1821"/>
      <c r="BX3438" s="1821"/>
      <c r="BY3438" s="1821"/>
      <c r="BZ3438" s="1821"/>
      <c r="CA3438" s="1821"/>
      <c r="CB3438" s="1821"/>
      <c r="CC3438" s="1821"/>
      <c r="CD3438" s="1821"/>
      <c r="CE3438" s="1821"/>
      <c r="CF3438" s="1821"/>
      <c r="CG3438" s="1821"/>
      <c r="CH3438" s="1821"/>
      <c r="CI3438" s="1821"/>
      <c r="CJ3438" s="1821"/>
      <c r="CK3438" s="1821"/>
    </row>
    <row r="3439" spans="1:89" s="675" customFormat="1" ht="16.5" customHeight="1" x14ac:dyDescent="0.25">
      <c r="A3439" s="697"/>
      <c r="B3439" s="1002"/>
      <c r="C3439" s="1007"/>
      <c r="D3439" s="1005"/>
      <c r="E3439" s="1006"/>
      <c r="F3439" s="700"/>
      <c r="G3439" s="700"/>
      <c r="H3439" s="700">
        <f t="shared" si="346"/>
        <v>0</v>
      </c>
      <c r="I3439" s="700"/>
      <c r="J3439" s="700"/>
      <c r="K3439" s="700">
        <f t="shared" si="348"/>
        <v>0</v>
      </c>
      <c r="L3439" s="700"/>
      <c r="M3439" s="700"/>
      <c r="N3439" s="700">
        <f t="shared" si="349"/>
        <v>0</v>
      </c>
      <c r="O3439" s="974">
        <f t="shared" si="350"/>
        <v>0</v>
      </c>
      <c r="P3439" s="956"/>
      <c r="Q3439" s="1821"/>
      <c r="R3439" s="1821"/>
      <c r="S3439" s="1821"/>
      <c r="T3439" s="1821"/>
      <c r="U3439" s="1821"/>
      <c r="V3439" s="1821"/>
      <c r="W3439" s="1821"/>
      <c r="X3439" s="1821"/>
      <c r="Y3439" s="1821"/>
      <c r="Z3439" s="1821"/>
      <c r="AA3439" s="1821"/>
      <c r="AB3439" s="1821"/>
      <c r="AC3439" s="1821"/>
      <c r="AD3439" s="1821"/>
      <c r="AE3439" s="1821"/>
      <c r="AF3439" s="1821"/>
      <c r="AG3439" s="1821"/>
      <c r="AH3439" s="1821"/>
      <c r="AI3439" s="1821"/>
      <c r="AJ3439" s="1821"/>
      <c r="AK3439" s="1821"/>
      <c r="AL3439" s="1821"/>
      <c r="AM3439" s="1821"/>
      <c r="AN3439" s="1821"/>
      <c r="AO3439" s="1821"/>
      <c r="AP3439" s="1821"/>
      <c r="AQ3439" s="1821"/>
      <c r="AR3439" s="1821"/>
      <c r="AS3439" s="1821"/>
      <c r="AT3439" s="1821"/>
      <c r="AU3439" s="1821"/>
      <c r="AV3439" s="1821"/>
      <c r="AW3439" s="1821"/>
      <c r="AX3439" s="1821"/>
      <c r="AY3439" s="1821"/>
      <c r="AZ3439" s="1821"/>
      <c r="BA3439" s="1821"/>
      <c r="BB3439" s="1821"/>
      <c r="BC3439" s="1821"/>
      <c r="BD3439" s="1821"/>
      <c r="BE3439" s="1821"/>
      <c r="BF3439" s="1821"/>
      <c r="BG3439" s="1821"/>
      <c r="BH3439" s="1821"/>
      <c r="BI3439" s="1821"/>
      <c r="BJ3439" s="1821"/>
      <c r="BK3439" s="1821"/>
      <c r="BL3439" s="1821"/>
      <c r="BM3439" s="1821"/>
      <c r="BN3439" s="1821"/>
      <c r="BO3439" s="1821"/>
      <c r="BP3439" s="1821"/>
      <c r="BQ3439" s="1821"/>
      <c r="BR3439" s="1821"/>
      <c r="BS3439" s="1821"/>
      <c r="BT3439" s="1821"/>
      <c r="BU3439" s="1821"/>
      <c r="BV3439" s="1821"/>
      <c r="BW3439" s="1821"/>
      <c r="BX3439" s="1821"/>
      <c r="BY3439" s="1821"/>
      <c r="BZ3439" s="1821"/>
      <c r="CA3439" s="1821"/>
      <c r="CB3439" s="1821"/>
      <c r="CC3439" s="1821"/>
      <c r="CD3439" s="1821"/>
      <c r="CE3439" s="1821"/>
      <c r="CF3439" s="1821"/>
      <c r="CG3439" s="1821"/>
      <c r="CH3439" s="1821"/>
      <c r="CI3439" s="1821"/>
      <c r="CJ3439" s="1821"/>
      <c r="CK3439" s="1821"/>
    </row>
    <row r="3440" spans="1:89" s="675" customFormat="1" ht="16.5" customHeight="1" x14ac:dyDescent="0.25">
      <c r="A3440" s="697"/>
      <c r="B3440" s="1002"/>
      <c r="C3440" s="1007"/>
      <c r="D3440" s="1005"/>
      <c r="E3440" s="1006"/>
      <c r="F3440" s="700"/>
      <c r="G3440" s="700"/>
      <c r="H3440" s="700"/>
      <c r="I3440" s="700"/>
      <c r="J3440" s="700"/>
      <c r="K3440" s="700"/>
      <c r="L3440" s="700"/>
      <c r="M3440" s="700"/>
      <c r="N3440" s="700"/>
      <c r="O3440" s="974"/>
      <c r="P3440" s="956"/>
      <c r="Q3440" s="1821"/>
      <c r="R3440" s="1821"/>
      <c r="S3440" s="1821"/>
      <c r="T3440" s="1821"/>
      <c r="U3440" s="1821"/>
      <c r="V3440" s="1821"/>
      <c r="W3440" s="1821"/>
      <c r="X3440" s="1821"/>
      <c r="Y3440" s="1821"/>
      <c r="Z3440" s="1821"/>
      <c r="AA3440" s="1821"/>
      <c r="AB3440" s="1821"/>
      <c r="AC3440" s="1821"/>
      <c r="AD3440" s="1821"/>
      <c r="AE3440" s="1821"/>
      <c r="AF3440" s="1821"/>
      <c r="AG3440" s="1821"/>
      <c r="AH3440" s="1821"/>
      <c r="AI3440" s="1821"/>
      <c r="AJ3440" s="1821"/>
      <c r="AK3440" s="1821"/>
      <c r="AL3440" s="1821"/>
      <c r="AM3440" s="1821"/>
      <c r="AN3440" s="1821"/>
      <c r="AO3440" s="1821"/>
      <c r="AP3440" s="1821"/>
      <c r="AQ3440" s="1821"/>
      <c r="AR3440" s="1821"/>
      <c r="AS3440" s="1821"/>
      <c r="AT3440" s="1821"/>
      <c r="AU3440" s="1821"/>
      <c r="AV3440" s="1821"/>
      <c r="AW3440" s="1821"/>
      <c r="AX3440" s="1821"/>
      <c r="AY3440" s="1821"/>
      <c r="AZ3440" s="1821"/>
      <c r="BA3440" s="1821"/>
      <c r="BB3440" s="1821"/>
      <c r="BC3440" s="1821"/>
      <c r="BD3440" s="1821"/>
      <c r="BE3440" s="1821"/>
      <c r="BF3440" s="1821"/>
      <c r="BG3440" s="1821"/>
      <c r="BH3440" s="1821"/>
      <c r="BI3440" s="1821"/>
      <c r="BJ3440" s="1821"/>
      <c r="BK3440" s="1821"/>
      <c r="BL3440" s="1821"/>
      <c r="BM3440" s="1821"/>
      <c r="BN3440" s="1821"/>
      <c r="BO3440" s="1821"/>
      <c r="BP3440" s="1821"/>
      <c r="BQ3440" s="1821"/>
      <c r="BR3440" s="1821"/>
      <c r="BS3440" s="1821"/>
      <c r="BT3440" s="1821"/>
      <c r="BU3440" s="1821"/>
      <c r="BV3440" s="1821"/>
      <c r="BW3440" s="1821"/>
      <c r="BX3440" s="1821"/>
      <c r="BY3440" s="1821"/>
      <c r="BZ3440" s="1821"/>
      <c r="CA3440" s="1821"/>
      <c r="CB3440" s="1821"/>
      <c r="CC3440" s="1821"/>
      <c r="CD3440" s="1821"/>
      <c r="CE3440" s="1821"/>
      <c r="CF3440" s="1821"/>
      <c r="CG3440" s="1821"/>
      <c r="CH3440" s="1821"/>
      <c r="CI3440" s="1821"/>
      <c r="CJ3440" s="1821"/>
      <c r="CK3440" s="1821"/>
    </row>
    <row r="3441" spans="1:89" s="675" customFormat="1" ht="16.5" customHeight="1" x14ac:dyDescent="0.25">
      <c r="A3441" s="697">
        <v>20</v>
      </c>
      <c r="B3441" s="1002" t="s">
        <v>1083</v>
      </c>
      <c r="C3441" s="1007">
        <f>SUM(O3443:O3449)</f>
        <v>205895</v>
      </c>
      <c r="D3441" s="1005"/>
      <c r="E3441" s="1006"/>
      <c r="F3441" s="700"/>
      <c r="G3441" s="700"/>
      <c r="H3441" s="700">
        <f t="shared" ref="H3441:H3449" si="353">G3441+F3441</f>
        <v>0</v>
      </c>
      <c r="I3441" s="700"/>
      <c r="J3441" s="700">
        <f>C3441*E3441</f>
        <v>0</v>
      </c>
      <c r="K3441" s="700">
        <f t="shared" ref="K3441:K3449" si="354">J3441+I3441</f>
        <v>0</v>
      </c>
      <c r="L3441" s="700"/>
      <c r="M3441" s="700"/>
      <c r="N3441" s="700">
        <f t="shared" ref="N3441:N3449" si="355">M3441+L3441</f>
        <v>0</v>
      </c>
      <c r="O3441" s="974">
        <f>N3441+K3441+H3441</f>
        <v>0</v>
      </c>
      <c r="P3441" s="956"/>
      <c r="Q3441" s="1821"/>
      <c r="R3441" s="1821"/>
      <c r="S3441" s="1821"/>
      <c r="T3441" s="1821"/>
      <c r="U3441" s="1821"/>
      <c r="V3441" s="1821"/>
      <c r="W3441" s="1821"/>
      <c r="X3441" s="1821"/>
      <c r="Y3441" s="1821"/>
      <c r="Z3441" s="1821"/>
      <c r="AA3441" s="1821"/>
      <c r="AB3441" s="1821"/>
      <c r="AC3441" s="1821"/>
      <c r="AD3441" s="1821"/>
      <c r="AE3441" s="1821"/>
      <c r="AF3441" s="1821"/>
      <c r="AG3441" s="1821"/>
      <c r="AH3441" s="1821"/>
      <c r="AI3441" s="1821"/>
      <c r="AJ3441" s="1821"/>
      <c r="AK3441" s="1821"/>
      <c r="AL3441" s="1821"/>
      <c r="AM3441" s="1821"/>
      <c r="AN3441" s="1821"/>
      <c r="AO3441" s="1821"/>
      <c r="AP3441" s="1821"/>
      <c r="AQ3441" s="1821"/>
      <c r="AR3441" s="1821"/>
      <c r="AS3441" s="1821"/>
      <c r="AT3441" s="1821"/>
      <c r="AU3441" s="1821"/>
      <c r="AV3441" s="1821"/>
      <c r="AW3441" s="1821"/>
      <c r="AX3441" s="1821"/>
      <c r="AY3441" s="1821"/>
      <c r="AZ3441" s="1821"/>
      <c r="BA3441" s="1821"/>
      <c r="BB3441" s="1821"/>
      <c r="BC3441" s="1821"/>
      <c r="BD3441" s="1821"/>
      <c r="BE3441" s="1821"/>
      <c r="BF3441" s="1821"/>
      <c r="BG3441" s="1821"/>
      <c r="BH3441" s="1821"/>
      <c r="BI3441" s="1821"/>
      <c r="BJ3441" s="1821"/>
      <c r="BK3441" s="1821"/>
      <c r="BL3441" s="1821"/>
      <c r="BM3441" s="1821"/>
      <c r="BN3441" s="1821"/>
      <c r="BO3441" s="1821"/>
      <c r="BP3441" s="1821"/>
      <c r="BQ3441" s="1821"/>
      <c r="BR3441" s="1821"/>
      <c r="BS3441" s="1821"/>
      <c r="BT3441" s="1821"/>
      <c r="BU3441" s="1821"/>
      <c r="BV3441" s="1821"/>
      <c r="BW3441" s="1821"/>
      <c r="BX3441" s="1821"/>
      <c r="BY3441" s="1821"/>
      <c r="BZ3441" s="1821"/>
      <c r="CA3441" s="1821"/>
      <c r="CB3441" s="1821"/>
      <c r="CC3441" s="1821"/>
      <c r="CD3441" s="1821"/>
      <c r="CE3441" s="1821"/>
      <c r="CF3441" s="1821"/>
      <c r="CG3441" s="1821"/>
      <c r="CH3441" s="1821"/>
      <c r="CI3441" s="1821"/>
      <c r="CJ3441" s="1821"/>
      <c r="CK3441" s="1821"/>
    </row>
    <row r="3442" spans="1:89" s="675" customFormat="1" ht="16.5" customHeight="1" x14ac:dyDescent="0.25">
      <c r="A3442" s="697"/>
      <c r="B3442" s="1002" t="s">
        <v>21</v>
      </c>
      <c r="C3442" s="1007"/>
      <c r="D3442" s="1005"/>
      <c r="E3442" s="1006"/>
      <c r="F3442" s="700"/>
      <c r="G3442" s="700"/>
      <c r="H3442" s="700">
        <f t="shared" si="353"/>
        <v>0</v>
      </c>
      <c r="I3442" s="700"/>
      <c r="J3442" s="700">
        <f t="shared" ref="J3442:J3449" si="356">C3442*E3442</f>
        <v>0</v>
      </c>
      <c r="K3442" s="700">
        <f t="shared" si="354"/>
        <v>0</v>
      </c>
      <c r="L3442" s="700"/>
      <c r="M3442" s="700"/>
      <c r="N3442" s="700">
        <f t="shared" si="355"/>
        <v>0</v>
      </c>
      <c r="O3442" s="974">
        <f t="shared" ref="O3442:O3449" si="357">N3442+K3442+H3442</f>
        <v>0</v>
      </c>
      <c r="P3442" s="956"/>
      <c r="Q3442" s="1821"/>
      <c r="R3442" s="1821"/>
      <c r="S3442" s="1821"/>
      <c r="T3442" s="1821"/>
      <c r="U3442" s="1821"/>
      <c r="V3442" s="1821"/>
      <c r="W3442" s="1821"/>
      <c r="X3442" s="1821"/>
      <c r="Y3442" s="1821"/>
      <c r="Z3442" s="1821"/>
      <c r="AA3442" s="1821"/>
      <c r="AB3442" s="1821"/>
      <c r="AC3442" s="1821"/>
      <c r="AD3442" s="1821"/>
      <c r="AE3442" s="1821"/>
      <c r="AF3442" s="1821"/>
      <c r="AG3442" s="1821"/>
      <c r="AH3442" s="1821"/>
      <c r="AI3442" s="1821"/>
      <c r="AJ3442" s="1821"/>
      <c r="AK3442" s="1821"/>
      <c r="AL3442" s="1821"/>
      <c r="AM3442" s="1821"/>
      <c r="AN3442" s="1821"/>
      <c r="AO3442" s="1821"/>
      <c r="AP3442" s="1821"/>
      <c r="AQ3442" s="1821"/>
      <c r="AR3442" s="1821"/>
      <c r="AS3442" s="1821"/>
      <c r="AT3442" s="1821"/>
      <c r="AU3442" s="1821"/>
      <c r="AV3442" s="1821"/>
      <c r="AW3442" s="1821"/>
      <c r="AX3442" s="1821"/>
      <c r="AY3442" s="1821"/>
      <c r="AZ3442" s="1821"/>
      <c r="BA3442" s="1821"/>
      <c r="BB3442" s="1821"/>
      <c r="BC3442" s="1821"/>
      <c r="BD3442" s="1821"/>
      <c r="BE3442" s="1821"/>
      <c r="BF3442" s="1821"/>
      <c r="BG3442" s="1821"/>
      <c r="BH3442" s="1821"/>
      <c r="BI3442" s="1821"/>
      <c r="BJ3442" s="1821"/>
      <c r="BK3442" s="1821"/>
      <c r="BL3442" s="1821"/>
      <c r="BM3442" s="1821"/>
      <c r="BN3442" s="1821"/>
      <c r="BO3442" s="1821"/>
      <c r="BP3442" s="1821"/>
      <c r="BQ3442" s="1821"/>
      <c r="BR3442" s="1821"/>
      <c r="BS3442" s="1821"/>
      <c r="BT3442" s="1821"/>
      <c r="BU3442" s="1821"/>
      <c r="BV3442" s="1821"/>
      <c r="BW3442" s="1821"/>
      <c r="BX3442" s="1821"/>
      <c r="BY3442" s="1821"/>
      <c r="BZ3442" s="1821"/>
      <c r="CA3442" s="1821"/>
      <c r="CB3442" s="1821"/>
      <c r="CC3442" s="1821"/>
      <c r="CD3442" s="1821"/>
      <c r="CE3442" s="1821"/>
      <c r="CF3442" s="1821"/>
      <c r="CG3442" s="1821"/>
      <c r="CH3442" s="1821"/>
      <c r="CI3442" s="1821"/>
      <c r="CJ3442" s="1821"/>
      <c r="CK3442" s="1821"/>
    </row>
    <row r="3443" spans="1:89" s="675" customFormat="1" ht="16.5" customHeight="1" x14ac:dyDescent="0.25">
      <c r="A3443" s="697"/>
      <c r="B3443" s="1002" t="s">
        <v>365</v>
      </c>
      <c r="C3443" s="1007">
        <v>1</v>
      </c>
      <c r="D3443" s="1005" t="s">
        <v>294</v>
      </c>
      <c r="E3443" s="1006">
        <v>33000</v>
      </c>
      <c r="F3443" s="700"/>
      <c r="G3443" s="700"/>
      <c r="H3443" s="700">
        <f t="shared" si="353"/>
        <v>0</v>
      </c>
      <c r="I3443" s="700">
        <f>C3443*E3443</f>
        <v>33000</v>
      </c>
      <c r="J3443" s="700"/>
      <c r="K3443" s="700">
        <f t="shared" si="354"/>
        <v>33000</v>
      </c>
      <c r="L3443" s="700"/>
      <c r="M3443" s="700"/>
      <c r="N3443" s="700">
        <f t="shared" si="355"/>
        <v>0</v>
      </c>
      <c r="O3443" s="974">
        <f t="shared" si="357"/>
        <v>33000</v>
      </c>
      <c r="P3443" s="956"/>
      <c r="Q3443" s="1821"/>
      <c r="R3443" s="1821"/>
      <c r="S3443" s="1821"/>
      <c r="T3443" s="1821"/>
      <c r="U3443" s="1821"/>
      <c r="V3443" s="1821"/>
      <c r="W3443" s="1821"/>
      <c r="X3443" s="1821"/>
      <c r="Y3443" s="1821"/>
      <c r="Z3443" s="1821"/>
      <c r="AA3443" s="1821"/>
      <c r="AB3443" s="1821"/>
      <c r="AC3443" s="1821"/>
      <c r="AD3443" s="1821"/>
      <c r="AE3443" s="1821"/>
      <c r="AF3443" s="1821"/>
      <c r="AG3443" s="1821"/>
      <c r="AH3443" s="1821"/>
      <c r="AI3443" s="1821"/>
      <c r="AJ3443" s="1821"/>
      <c r="AK3443" s="1821"/>
      <c r="AL3443" s="1821"/>
      <c r="AM3443" s="1821"/>
      <c r="AN3443" s="1821"/>
      <c r="AO3443" s="1821"/>
      <c r="AP3443" s="1821"/>
      <c r="AQ3443" s="1821"/>
      <c r="AR3443" s="1821"/>
      <c r="AS3443" s="1821"/>
      <c r="AT3443" s="1821"/>
      <c r="AU3443" s="1821"/>
      <c r="AV3443" s="1821"/>
      <c r="AW3443" s="1821"/>
      <c r="AX3443" s="1821"/>
      <c r="AY3443" s="1821"/>
      <c r="AZ3443" s="1821"/>
      <c r="BA3443" s="1821"/>
      <c r="BB3443" s="1821"/>
      <c r="BC3443" s="1821"/>
      <c r="BD3443" s="1821"/>
      <c r="BE3443" s="1821"/>
      <c r="BF3443" s="1821"/>
      <c r="BG3443" s="1821"/>
      <c r="BH3443" s="1821"/>
      <c r="BI3443" s="1821"/>
      <c r="BJ3443" s="1821"/>
      <c r="BK3443" s="1821"/>
      <c r="BL3443" s="1821"/>
      <c r="BM3443" s="1821"/>
      <c r="BN3443" s="1821"/>
      <c r="BO3443" s="1821"/>
      <c r="BP3443" s="1821"/>
      <c r="BQ3443" s="1821"/>
      <c r="BR3443" s="1821"/>
      <c r="BS3443" s="1821"/>
      <c r="BT3443" s="1821"/>
      <c r="BU3443" s="1821"/>
      <c r="BV3443" s="1821"/>
      <c r="BW3443" s="1821"/>
      <c r="BX3443" s="1821"/>
      <c r="BY3443" s="1821"/>
      <c r="BZ3443" s="1821"/>
      <c r="CA3443" s="1821"/>
      <c r="CB3443" s="1821"/>
      <c r="CC3443" s="1821"/>
      <c r="CD3443" s="1821"/>
      <c r="CE3443" s="1821"/>
      <c r="CF3443" s="1821"/>
      <c r="CG3443" s="1821"/>
      <c r="CH3443" s="1821"/>
      <c r="CI3443" s="1821"/>
      <c r="CJ3443" s="1821"/>
      <c r="CK3443" s="1821"/>
    </row>
    <row r="3444" spans="1:89" s="675" customFormat="1" ht="16.5" customHeight="1" x14ac:dyDescent="0.25">
      <c r="A3444" s="697"/>
      <c r="B3444" s="1002" t="s">
        <v>57</v>
      </c>
      <c r="C3444" s="1007"/>
      <c r="D3444" s="1005"/>
      <c r="E3444" s="1006"/>
      <c r="F3444" s="700"/>
      <c r="G3444" s="700"/>
      <c r="H3444" s="700">
        <f t="shared" si="353"/>
        <v>0</v>
      </c>
      <c r="I3444" s="700"/>
      <c r="J3444" s="700">
        <f t="shared" si="356"/>
        <v>0</v>
      </c>
      <c r="K3444" s="700">
        <f t="shared" si="354"/>
        <v>0</v>
      </c>
      <c r="L3444" s="700"/>
      <c r="M3444" s="700"/>
      <c r="N3444" s="700">
        <f t="shared" si="355"/>
        <v>0</v>
      </c>
      <c r="O3444" s="974">
        <f t="shared" si="357"/>
        <v>0</v>
      </c>
      <c r="P3444" s="956"/>
      <c r="Q3444" s="1821"/>
      <c r="R3444" s="1821"/>
      <c r="S3444" s="1821"/>
      <c r="T3444" s="1821"/>
      <c r="U3444" s="1821"/>
      <c r="V3444" s="1821"/>
      <c r="W3444" s="1821"/>
      <c r="X3444" s="1821"/>
      <c r="Y3444" s="1821"/>
      <c r="Z3444" s="1821"/>
      <c r="AA3444" s="1821"/>
      <c r="AB3444" s="1821"/>
      <c r="AC3444" s="1821"/>
      <c r="AD3444" s="1821"/>
      <c r="AE3444" s="1821"/>
      <c r="AF3444" s="1821"/>
      <c r="AG3444" s="1821"/>
      <c r="AH3444" s="1821"/>
      <c r="AI3444" s="1821"/>
      <c r="AJ3444" s="1821"/>
      <c r="AK3444" s="1821"/>
      <c r="AL3444" s="1821"/>
      <c r="AM3444" s="1821"/>
      <c r="AN3444" s="1821"/>
      <c r="AO3444" s="1821"/>
      <c r="AP3444" s="1821"/>
      <c r="AQ3444" s="1821"/>
      <c r="AR3444" s="1821"/>
      <c r="AS3444" s="1821"/>
      <c r="AT3444" s="1821"/>
      <c r="AU3444" s="1821"/>
      <c r="AV3444" s="1821"/>
      <c r="AW3444" s="1821"/>
      <c r="AX3444" s="1821"/>
      <c r="AY3444" s="1821"/>
      <c r="AZ3444" s="1821"/>
      <c r="BA3444" s="1821"/>
      <c r="BB3444" s="1821"/>
      <c r="BC3444" s="1821"/>
      <c r="BD3444" s="1821"/>
      <c r="BE3444" s="1821"/>
      <c r="BF3444" s="1821"/>
      <c r="BG3444" s="1821"/>
      <c r="BH3444" s="1821"/>
      <c r="BI3444" s="1821"/>
      <c r="BJ3444" s="1821"/>
      <c r="BK3444" s="1821"/>
      <c r="BL3444" s="1821"/>
      <c r="BM3444" s="1821"/>
      <c r="BN3444" s="1821"/>
      <c r="BO3444" s="1821"/>
      <c r="BP3444" s="1821"/>
      <c r="BQ3444" s="1821"/>
      <c r="BR3444" s="1821"/>
      <c r="BS3444" s="1821"/>
      <c r="BT3444" s="1821"/>
      <c r="BU3444" s="1821"/>
      <c r="BV3444" s="1821"/>
      <c r="BW3444" s="1821"/>
      <c r="BX3444" s="1821"/>
      <c r="BY3444" s="1821"/>
      <c r="BZ3444" s="1821"/>
      <c r="CA3444" s="1821"/>
      <c r="CB3444" s="1821"/>
      <c r="CC3444" s="1821"/>
      <c r="CD3444" s="1821"/>
      <c r="CE3444" s="1821"/>
      <c r="CF3444" s="1821"/>
      <c r="CG3444" s="1821"/>
      <c r="CH3444" s="1821"/>
      <c r="CI3444" s="1821"/>
      <c r="CJ3444" s="1821"/>
      <c r="CK3444" s="1821"/>
    </row>
    <row r="3445" spans="1:89" s="675" customFormat="1" ht="16.5" customHeight="1" x14ac:dyDescent="0.25">
      <c r="A3445" s="697"/>
      <c r="B3445" s="1002" t="s">
        <v>1233</v>
      </c>
      <c r="C3445" s="1007">
        <v>1</v>
      </c>
      <c r="D3445" s="1005" t="s">
        <v>294</v>
      </c>
      <c r="E3445" s="1006">
        <v>23000</v>
      </c>
      <c r="F3445" s="700"/>
      <c r="G3445" s="700"/>
      <c r="H3445" s="700">
        <f t="shared" si="353"/>
        <v>0</v>
      </c>
      <c r="I3445" s="700"/>
      <c r="J3445" s="700"/>
      <c r="K3445" s="700"/>
      <c r="L3445" s="700">
        <f>E3445*C3445</f>
        <v>23000</v>
      </c>
      <c r="M3445" s="700"/>
      <c r="N3445" s="700">
        <f t="shared" si="355"/>
        <v>23000</v>
      </c>
      <c r="O3445" s="974">
        <f t="shared" si="357"/>
        <v>23000</v>
      </c>
      <c r="P3445" s="956"/>
      <c r="Q3445" s="1821"/>
      <c r="R3445" s="1821"/>
      <c r="S3445" s="1821"/>
      <c r="T3445" s="1821"/>
      <c r="U3445" s="1821"/>
      <c r="V3445" s="1821"/>
      <c r="W3445" s="1821"/>
      <c r="X3445" s="1821"/>
      <c r="Y3445" s="1821"/>
      <c r="Z3445" s="1821"/>
      <c r="AA3445" s="1821"/>
      <c r="AB3445" s="1821"/>
      <c r="AC3445" s="1821"/>
      <c r="AD3445" s="1821"/>
      <c r="AE3445" s="1821"/>
      <c r="AF3445" s="1821"/>
      <c r="AG3445" s="1821"/>
      <c r="AH3445" s="1821"/>
      <c r="AI3445" s="1821"/>
      <c r="AJ3445" s="1821"/>
      <c r="AK3445" s="1821"/>
      <c r="AL3445" s="1821"/>
      <c r="AM3445" s="1821"/>
      <c r="AN3445" s="1821"/>
      <c r="AO3445" s="1821"/>
      <c r="AP3445" s="1821"/>
      <c r="AQ3445" s="1821"/>
      <c r="AR3445" s="1821"/>
      <c r="AS3445" s="1821"/>
      <c r="AT3445" s="1821"/>
      <c r="AU3445" s="1821"/>
      <c r="AV3445" s="1821"/>
      <c r="AW3445" s="1821"/>
      <c r="AX3445" s="1821"/>
      <c r="AY3445" s="1821"/>
      <c r="AZ3445" s="1821"/>
      <c r="BA3445" s="1821"/>
      <c r="BB3445" s="1821"/>
      <c r="BC3445" s="1821"/>
      <c r="BD3445" s="1821"/>
      <c r="BE3445" s="1821"/>
      <c r="BF3445" s="1821"/>
      <c r="BG3445" s="1821"/>
      <c r="BH3445" s="1821"/>
      <c r="BI3445" s="1821"/>
      <c r="BJ3445" s="1821"/>
      <c r="BK3445" s="1821"/>
      <c r="BL3445" s="1821"/>
      <c r="BM3445" s="1821"/>
      <c r="BN3445" s="1821"/>
      <c r="BO3445" s="1821"/>
      <c r="BP3445" s="1821"/>
      <c r="BQ3445" s="1821"/>
      <c r="BR3445" s="1821"/>
      <c r="BS3445" s="1821"/>
      <c r="BT3445" s="1821"/>
      <c r="BU3445" s="1821"/>
      <c r="BV3445" s="1821"/>
      <c r="BW3445" s="1821"/>
      <c r="BX3445" s="1821"/>
      <c r="BY3445" s="1821"/>
      <c r="BZ3445" s="1821"/>
      <c r="CA3445" s="1821"/>
      <c r="CB3445" s="1821"/>
      <c r="CC3445" s="1821"/>
      <c r="CD3445" s="1821"/>
      <c r="CE3445" s="1821"/>
      <c r="CF3445" s="1821"/>
      <c r="CG3445" s="1821"/>
      <c r="CH3445" s="1821"/>
      <c r="CI3445" s="1821"/>
      <c r="CJ3445" s="1821"/>
      <c r="CK3445" s="1821"/>
    </row>
    <row r="3446" spans="1:89" s="675" customFormat="1" ht="16.5" customHeight="1" x14ac:dyDescent="0.25">
      <c r="A3446" s="697"/>
      <c r="B3446" s="1002" t="s">
        <v>349</v>
      </c>
      <c r="C3446" s="1007"/>
      <c r="D3446" s="1005"/>
      <c r="E3446" s="1006"/>
      <c r="F3446" s="700"/>
      <c r="G3446" s="700"/>
      <c r="H3446" s="700">
        <f t="shared" si="353"/>
        <v>0</v>
      </c>
      <c r="I3446" s="700"/>
      <c r="J3446" s="700">
        <f t="shared" si="356"/>
        <v>0</v>
      </c>
      <c r="K3446" s="700">
        <f t="shared" si="354"/>
        <v>0</v>
      </c>
      <c r="L3446" s="700"/>
      <c r="M3446" s="700"/>
      <c r="N3446" s="700">
        <f t="shared" si="355"/>
        <v>0</v>
      </c>
      <c r="O3446" s="974">
        <f t="shared" si="357"/>
        <v>0</v>
      </c>
      <c r="P3446" s="956"/>
      <c r="Q3446" s="1821"/>
      <c r="R3446" s="1821"/>
      <c r="S3446" s="1821"/>
      <c r="T3446" s="1821"/>
      <c r="U3446" s="1821"/>
      <c r="V3446" s="1821"/>
      <c r="W3446" s="1821"/>
      <c r="X3446" s="1821"/>
      <c r="Y3446" s="1821"/>
      <c r="Z3446" s="1821"/>
      <c r="AA3446" s="1821"/>
      <c r="AB3446" s="1821"/>
      <c r="AC3446" s="1821"/>
      <c r="AD3446" s="1821"/>
      <c r="AE3446" s="1821"/>
      <c r="AF3446" s="1821"/>
      <c r="AG3446" s="1821"/>
      <c r="AH3446" s="1821"/>
      <c r="AI3446" s="1821"/>
      <c r="AJ3446" s="1821"/>
      <c r="AK3446" s="1821"/>
      <c r="AL3446" s="1821"/>
      <c r="AM3446" s="1821"/>
      <c r="AN3446" s="1821"/>
      <c r="AO3446" s="1821"/>
      <c r="AP3446" s="1821"/>
      <c r="AQ3446" s="1821"/>
      <c r="AR3446" s="1821"/>
      <c r="AS3446" s="1821"/>
      <c r="AT3446" s="1821"/>
      <c r="AU3446" s="1821"/>
      <c r="AV3446" s="1821"/>
      <c r="AW3446" s="1821"/>
      <c r="AX3446" s="1821"/>
      <c r="AY3446" s="1821"/>
      <c r="AZ3446" s="1821"/>
      <c r="BA3446" s="1821"/>
      <c r="BB3446" s="1821"/>
      <c r="BC3446" s="1821"/>
      <c r="BD3446" s="1821"/>
      <c r="BE3446" s="1821"/>
      <c r="BF3446" s="1821"/>
      <c r="BG3446" s="1821"/>
      <c r="BH3446" s="1821"/>
      <c r="BI3446" s="1821"/>
      <c r="BJ3446" s="1821"/>
      <c r="BK3446" s="1821"/>
      <c r="BL3446" s="1821"/>
      <c r="BM3446" s="1821"/>
      <c r="BN3446" s="1821"/>
      <c r="BO3446" s="1821"/>
      <c r="BP3446" s="1821"/>
      <c r="BQ3446" s="1821"/>
      <c r="BR3446" s="1821"/>
      <c r="BS3446" s="1821"/>
      <c r="BT3446" s="1821"/>
      <c r="BU3446" s="1821"/>
      <c r="BV3446" s="1821"/>
      <c r="BW3446" s="1821"/>
      <c r="BX3446" s="1821"/>
      <c r="BY3446" s="1821"/>
      <c r="BZ3446" s="1821"/>
      <c r="CA3446" s="1821"/>
      <c r="CB3446" s="1821"/>
      <c r="CC3446" s="1821"/>
      <c r="CD3446" s="1821"/>
      <c r="CE3446" s="1821"/>
      <c r="CF3446" s="1821"/>
      <c r="CG3446" s="1821"/>
      <c r="CH3446" s="1821"/>
      <c r="CI3446" s="1821"/>
      <c r="CJ3446" s="1821"/>
      <c r="CK3446" s="1821"/>
    </row>
    <row r="3447" spans="1:89" s="675" customFormat="1" ht="16.5" customHeight="1" x14ac:dyDescent="0.25">
      <c r="A3447" s="697"/>
      <c r="B3447" s="1002" t="s">
        <v>344</v>
      </c>
      <c r="C3447" s="1007">
        <v>45</v>
      </c>
      <c r="D3447" s="1005" t="s">
        <v>51</v>
      </c>
      <c r="E3447" s="1006">
        <v>120</v>
      </c>
      <c r="F3447" s="700"/>
      <c r="G3447" s="700"/>
      <c r="H3447" s="700">
        <f t="shared" si="353"/>
        <v>0</v>
      </c>
      <c r="I3447" s="700"/>
      <c r="J3447" s="700">
        <f t="shared" si="356"/>
        <v>5400</v>
      </c>
      <c r="K3447" s="700">
        <f t="shared" si="354"/>
        <v>5400</v>
      </c>
      <c r="L3447" s="700"/>
      <c r="M3447" s="700"/>
      <c r="N3447" s="700">
        <f t="shared" si="355"/>
        <v>0</v>
      </c>
      <c r="O3447" s="974">
        <f t="shared" si="357"/>
        <v>5400</v>
      </c>
      <c r="P3447" s="956"/>
      <c r="Q3447" s="1821"/>
      <c r="R3447" s="1821"/>
      <c r="S3447" s="1821"/>
      <c r="T3447" s="1821"/>
      <c r="U3447" s="1821"/>
      <c r="V3447" s="1821"/>
      <c r="W3447" s="1821"/>
      <c r="X3447" s="1821"/>
      <c r="Y3447" s="1821"/>
      <c r="Z3447" s="1821"/>
      <c r="AA3447" s="1821"/>
      <c r="AB3447" s="1821"/>
      <c r="AC3447" s="1821"/>
      <c r="AD3447" s="1821"/>
      <c r="AE3447" s="1821"/>
      <c r="AF3447" s="1821"/>
      <c r="AG3447" s="1821"/>
      <c r="AH3447" s="1821"/>
      <c r="AI3447" s="1821"/>
      <c r="AJ3447" s="1821"/>
      <c r="AK3447" s="1821"/>
      <c r="AL3447" s="1821"/>
      <c r="AM3447" s="1821"/>
      <c r="AN3447" s="1821"/>
      <c r="AO3447" s="1821"/>
      <c r="AP3447" s="1821"/>
      <c r="AQ3447" s="1821"/>
      <c r="AR3447" s="1821"/>
      <c r="AS3447" s="1821"/>
      <c r="AT3447" s="1821"/>
      <c r="AU3447" s="1821"/>
      <c r="AV3447" s="1821"/>
      <c r="AW3447" s="1821"/>
      <c r="AX3447" s="1821"/>
      <c r="AY3447" s="1821"/>
      <c r="AZ3447" s="1821"/>
      <c r="BA3447" s="1821"/>
      <c r="BB3447" s="1821"/>
      <c r="BC3447" s="1821"/>
      <c r="BD3447" s="1821"/>
      <c r="BE3447" s="1821"/>
      <c r="BF3447" s="1821"/>
      <c r="BG3447" s="1821"/>
      <c r="BH3447" s="1821"/>
      <c r="BI3447" s="1821"/>
      <c r="BJ3447" s="1821"/>
      <c r="BK3447" s="1821"/>
      <c r="BL3447" s="1821"/>
      <c r="BM3447" s="1821"/>
      <c r="BN3447" s="1821"/>
      <c r="BO3447" s="1821"/>
      <c r="BP3447" s="1821"/>
      <c r="BQ3447" s="1821"/>
      <c r="BR3447" s="1821"/>
      <c r="BS3447" s="1821"/>
      <c r="BT3447" s="1821"/>
      <c r="BU3447" s="1821"/>
      <c r="BV3447" s="1821"/>
      <c r="BW3447" s="1821"/>
      <c r="BX3447" s="1821"/>
      <c r="BY3447" s="1821"/>
      <c r="BZ3447" s="1821"/>
      <c r="CA3447" s="1821"/>
      <c r="CB3447" s="1821"/>
      <c r="CC3447" s="1821"/>
      <c r="CD3447" s="1821"/>
      <c r="CE3447" s="1821"/>
      <c r="CF3447" s="1821"/>
      <c r="CG3447" s="1821"/>
      <c r="CH3447" s="1821"/>
      <c r="CI3447" s="1821"/>
      <c r="CJ3447" s="1821"/>
      <c r="CK3447" s="1821"/>
    </row>
    <row r="3448" spans="1:89" s="675" customFormat="1" ht="16.5" customHeight="1" x14ac:dyDescent="0.25">
      <c r="A3448" s="697"/>
      <c r="B3448" s="1002" t="s">
        <v>54</v>
      </c>
      <c r="C3448" s="1007">
        <v>180</v>
      </c>
      <c r="D3448" s="1005" t="s">
        <v>55</v>
      </c>
      <c r="E3448" s="1006">
        <v>430</v>
      </c>
      <c r="F3448" s="700"/>
      <c r="G3448" s="700"/>
      <c r="H3448" s="700">
        <f t="shared" si="353"/>
        <v>0</v>
      </c>
      <c r="I3448" s="700"/>
      <c r="J3448" s="700">
        <f t="shared" si="356"/>
        <v>77400</v>
      </c>
      <c r="K3448" s="700">
        <f t="shared" si="354"/>
        <v>77400</v>
      </c>
      <c r="L3448" s="700"/>
      <c r="M3448" s="700"/>
      <c r="N3448" s="700">
        <f t="shared" si="355"/>
        <v>0</v>
      </c>
      <c r="O3448" s="974">
        <f t="shared" si="357"/>
        <v>77400</v>
      </c>
      <c r="P3448" s="956"/>
      <c r="Q3448" s="1821"/>
      <c r="R3448" s="1821"/>
      <c r="S3448" s="1821"/>
      <c r="T3448" s="1821"/>
      <c r="U3448" s="1821"/>
      <c r="V3448" s="1821"/>
      <c r="W3448" s="1821"/>
      <c r="X3448" s="1821"/>
      <c r="Y3448" s="1821"/>
      <c r="Z3448" s="1821"/>
      <c r="AA3448" s="1821"/>
      <c r="AB3448" s="1821"/>
      <c r="AC3448" s="1821"/>
      <c r="AD3448" s="1821"/>
      <c r="AE3448" s="1821"/>
      <c r="AF3448" s="1821"/>
      <c r="AG3448" s="1821"/>
      <c r="AH3448" s="1821"/>
      <c r="AI3448" s="1821"/>
      <c r="AJ3448" s="1821"/>
      <c r="AK3448" s="1821"/>
      <c r="AL3448" s="1821"/>
      <c r="AM3448" s="1821"/>
      <c r="AN3448" s="1821"/>
      <c r="AO3448" s="1821"/>
      <c r="AP3448" s="1821"/>
      <c r="AQ3448" s="1821"/>
      <c r="AR3448" s="1821"/>
      <c r="AS3448" s="1821"/>
      <c r="AT3448" s="1821"/>
      <c r="AU3448" s="1821"/>
      <c r="AV3448" s="1821"/>
      <c r="AW3448" s="1821"/>
      <c r="AX3448" s="1821"/>
      <c r="AY3448" s="1821"/>
      <c r="AZ3448" s="1821"/>
      <c r="BA3448" s="1821"/>
      <c r="BB3448" s="1821"/>
      <c r="BC3448" s="1821"/>
      <c r="BD3448" s="1821"/>
      <c r="BE3448" s="1821"/>
      <c r="BF3448" s="1821"/>
      <c r="BG3448" s="1821"/>
      <c r="BH3448" s="1821"/>
      <c r="BI3448" s="1821"/>
      <c r="BJ3448" s="1821"/>
      <c r="BK3448" s="1821"/>
      <c r="BL3448" s="1821"/>
      <c r="BM3448" s="1821"/>
      <c r="BN3448" s="1821"/>
      <c r="BO3448" s="1821"/>
      <c r="BP3448" s="1821"/>
      <c r="BQ3448" s="1821"/>
      <c r="BR3448" s="1821"/>
      <c r="BS3448" s="1821"/>
      <c r="BT3448" s="1821"/>
      <c r="BU3448" s="1821"/>
      <c r="BV3448" s="1821"/>
      <c r="BW3448" s="1821"/>
      <c r="BX3448" s="1821"/>
      <c r="BY3448" s="1821"/>
      <c r="BZ3448" s="1821"/>
      <c r="CA3448" s="1821"/>
      <c r="CB3448" s="1821"/>
      <c r="CC3448" s="1821"/>
      <c r="CD3448" s="1821"/>
      <c r="CE3448" s="1821"/>
      <c r="CF3448" s="1821"/>
      <c r="CG3448" s="1821"/>
      <c r="CH3448" s="1821"/>
      <c r="CI3448" s="1821"/>
      <c r="CJ3448" s="1821"/>
      <c r="CK3448" s="1821"/>
    </row>
    <row r="3449" spans="1:89" s="675" customFormat="1" ht="16.5" customHeight="1" x14ac:dyDescent="0.25">
      <c r="A3449" s="697"/>
      <c r="B3449" s="1002" t="s">
        <v>52</v>
      </c>
      <c r="C3449" s="1007">
        <v>135</v>
      </c>
      <c r="D3449" s="1005" t="s">
        <v>55</v>
      </c>
      <c r="E3449" s="1006">
        <v>497</v>
      </c>
      <c r="F3449" s="700"/>
      <c r="G3449" s="700"/>
      <c r="H3449" s="700">
        <f t="shared" si="353"/>
        <v>0</v>
      </c>
      <c r="I3449" s="700"/>
      <c r="J3449" s="700">
        <f t="shared" si="356"/>
        <v>67095</v>
      </c>
      <c r="K3449" s="700">
        <f t="shared" si="354"/>
        <v>67095</v>
      </c>
      <c r="L3449" s="700"/>
      <c r="M3449" s="700"/>
      <c r="N3449" s="700">
        <f t="shared" si="355"/>
        <v>0</v>
      </c>
      <c r="O3449" s="974">
        <f t="shared" si="357"/>
        <v>67095</v>
      </c>
      <c r="P3449" s="956"/>
      <c r="Q3449" s="1821"/>
      <c r="R3449" s="1821"/>
      <c r="S3449" s="1821"/>
      <c r="T3449" s="1821"/>
      <c r="U3449" s="1821"/>
      <c r="V3449" s="1821"/>
      <c r="W3449" s="1821"/>
      <c r="X3449" s="1821"/>
      <c r="Y3449" s="1821"/>
      <c r="Z3449" s="1821"/>
      <c r="AA3449" s="1821"/>
      <c r="AB3449" s="1821"/>
      <c r="AC3449" s="1821"/>
      <c r="AD3449" s="1821"/>
      <c r="AE3449" s="1821"/>
      <c r="AF3449" s="1821"/>
      <c r="AG3449" s="1821"/>
      <c r="AH3449" s="1821"/>
      <c r="AI3449" s="1821"/>
      <c r="AJ3449" s="1821"/>
      <c r="AK3449" s="1821"/>
      <c r="AL3449" s="1821"/>
      <c r="AM3449" s="1821"/>
      <c r="AN3449" s="1821"/>
      <c r="AO3449" s="1821"/>
      <c r="AP3449" s="1821"/>
      <c r="AQ3449" s="1821"/>
      <c r="AR3449" s="1821"/>
      <c r="AS3449" s="1821"/>
      <c r="AT3449" s="1821"/>
      <c r="AU3449" s="1821"/>
      <c r="AV3449" s="1821"/>
      <c r="AW3449" s="1821"/>
      <c r="AX3449" s="1821"/>
      <c r="AY3449" s="1821"/>
      <c r="AZ3449" s="1821"/>
      <c r="BA3449" s="1821"/>
      <c r="BB3449" s="1821"/>
      <c r="BC3449" s="1821"/>
      <c r="BD3449" s="1821"/>
      <c r="BE3449" s="1821"/>
      <c r="BF3449" s="1821"/>
      <c r="BG3449" s="1821"/>
      <c r="BH3449" s="1821"/>
      <c r="BI3449" s="1821"/>
      <c r="BJ3449" s="1821"/>
      <c r="BK3449" s="1821"/>
      <c r="BL3449" s="1821"/>
      <c r="BM3449" s="1821"/>
      <c r="BN3449" s="1821"/>
      <c r="BO3449" s="1821"/>
      <c r="BP3449" s="1821"/>
      <c r="BQ3449" s="1821"/>
      <c r="BR3449" s="1821"/>
      <c r="BS3449" s="1821"/>
      <c r="BT3449" s="1821"/>
      <c r="BU3449" s="1821"/>
      <c r="BV3449" s="1821"/>
      <c r="BW3449" s="1821"/>
      <c r="BX3449" s="1821"/>
      <c r="BY3449" s="1821"/>
      <c r="BZ3449" s="1821"/>
      <c r="CA3449" s="1821"/>
      <c r="CB3449" s="1821"/>
      <c r="CC3449" s="1821"/>
      <c r="CD3449" s="1821"/>
      <c r="CE3449" s="1821"/>
      <c r="CF3449" s="1821"/>
      <c r="CG3449" s="1821"/>
      <c r="CH3449" s="1821"/>
      <c r="CI3449" s="1821"/>
      <c r="CJ3449" s="1821"/>
      <c r="CK3449" s="1821"/>
    </row>
    <row r="3450" spans="1:89" s="675" customFormat="1" ht="16.5" customHeight="1" x14ac:dyDescent="0.25">
      <c r="A3450" s="697"/>
      <c r="B3450" s="1002"/>
      <c r="C3450" s="1007"/>
      <c r="D3450" s="1005"/>
      <c r="E3450" s="1006"/>
      <c r="F3450" s="700"/>
      <c r="G3450" s="700"/>
      <c r="H3450" s="700"/>
      <c r="I3450" s="700"/>
      <c r="J3450" s="700"/>
      <c r="K3450" s="700"/>
      <c r="L3450" s="700"/>
      <c r="M3450" s="700"/>
      <c r="N3450" s="700"/>
      <c r="O3450" s="974"/>
      <c r="P3450" s="956"/>
      <c r="Q3450" s="1821"/>
      <c r="R3450" s="1821"/>
      <c r="S3450" s="1821"/>
      <c r="T3450" s="1821"/>
      <c r="U3450" s="1821"/>
      <c r="V3450" s="1821"/>
      <c r="W3450" s="1821"/>
      <c r="X3450" s="1821"/>
      <c r="Y3450" s="1821"/>
      <c r="Z3450" s="1821"/>
      <c r="AA3450" s="1821"/>
      <c r="AB3450" s="1821"/>
      <c r="AC3450" s="1821"/>
      <c r="AD3450" s="1821"/>
      <c r="AE3450" s="1821"/>
      <c r="AF3450" s="1821"/>
      <c r="AG3450" s="1821"/>
      <c r="AH3450" s="1821"/>
      <c r="AI3450" s="1821"/>
      <c r="AJ3450" s="1821"/>
      <c r="AK3450" s="1821"/>
      <c r="AL3450" s="1821"/>
      <c r="AM3450" s="1821"/>
      <c r="AN3450" s="1821"/>
      <c r="AO3450" s="1821"/>
      <c r="AP3450" s="1821"/>
      <c r="AQ3450" s="1821"/>
      <c r="AR3450" s="1821"/>
      <c r="AS3450" s="1821"/>
      <c r="AT3450" s="1821"/>
      <c r="AU3450" s="1821"/>
      <c r="AV3450" s="1821"/>
      <c r="AW3450" s="1821"/>
      <c r="AX3450" s="1821"/>
      <c r="AY3450" s="1821"/>
      <c r="AZ3450" s="1821"/>
      <c r="BA3450" s="1821"/>
      <c r="BB3450" s="1821"/>
      <c r="BC3450" s="1821"/>
      <c r="BD3450" s="1821"/>
      <c r="BE3450" s="1821"/>
      <c r="BF3450" s="1821"/>
      <c r="BG3450" s="1821"/>
      <c r="BH3450" s="1821"/>
      <c r="BI3450" s="1821"/>
      <c r="BJ3450" s="1821"/>
      <c r="BK3450" s="1821"/>
      <c r="BL3450" s="1821"/>
      <c r="BM3450" s="1821"/>
      <c r="BN3450" s="1821"/>
      <c r="BO3450" s="1821"/>
      <c r="BP3450" s="1821"/>
      <c r="BQ3450" s="1821"/>
      <c r="BR3450" s="1821"/>
      <c r="BS3450" s="1821"/>
      <c r="BT3450" s="1821"/>
      <c r="BU3450" s="1821"/>
      <c r="BV3450" s="1821"/>
      <c r="BW3450" s="1821"/>
      <c r="BX3450" s="1821"/>
      <c r="BY3450" s="1821"/>
      <c r="BZ3450" s="1821"/>
      <c r="CA3450" s="1821"/>
      <c r="CB3450" s="1821"/>
      <c r="CC3450" s="1821"/>
      <c r="CD3450" s="1821"/>
      <c r="CE3450" s="1821"/>
      <c r="CF3450" s="1821"/>
      <c r="CG3450" s="1821"/>
      <c r="CH3450" s="1821"/>
      <c r="CI3450" s="1821"/>
      <c r="CJ3450" s="1821"/>
      <c r="CK3450" s="1821"/>
    </row>
    <row r="3451" spans="1:89" s="675" customFormat="1" ht="16.5" customHeight="1" x14ac:dyDescent="0.25">
      <c r="A3451" s="697">
        <v>21</v>
      </c>
      <c r="B3451" s="1002" t="s">
        <v>1084</v>
      </c>
      <c r="C3451" s="1007">
        <f>SUM(O3453:O3457)</f>
        <v>235860</v>
      </c>
      <c r="D3451" s="1005"/>
      <c r="E3451" s="1006"/>
      <c r="F3451" s="700"/>
      <c r="G3451" s="700"/>
      <c r="H3451" s="700"/>
      <c r="I3451" s="700"/>
      <c r="J3451" s="700"/>
      <c r="K3451" s="700"/>
      <c r="L3451" s="700"/>
      <c r="M3451" s="700"/>
      <c r="N3451" s="700"/>
      <c r="O3451" s="974"/>
      <c r="P3451" s="956"/>
      <c r="Q3451" s="1821"/>
      <c r="R3451" s="1821"/>
      <c r="S3451" s="1821"/>
      <c r="T3451" s="1821"/>
      <c r="U3451" s="1821"/>
      <c r="V3451" s="1821"/>
      <c r="W3451" s="1821"/>
      <c r="X3451" s="1821"/>
      <c r="Y3451" s="1821"/>
      <c r="Z3451" s="1821"/>
      <c r="AA3451" s="1821"/>
      <c r="AB3451" s="1821"/>
      <c r="AC3451" s="1821"/>
      <c r="AD3451" s="1821"/>
      <c r="AE3451" s="1821"/>
      <c r="AF3451" s="1821"/>
      <c r="AG3451" s="1821"/>
      <c r="AH3451" s="1821"/>
      <c r="AI3451" s="1821"/>
      <c r="AJ3451" s="1821"/>
      <c r="AK3451" s="1821"/>
      <c r="AL3451" s="1821"/>
      <c r="AM3451" s="1821"/>
      <c r="AN3451" s="1821"/>
      <c r="AO3451" s="1821"/>
      <c r="AP3451" s="1821"/>
      <c r="AQ3451" s="1821"/>
      <c r="AR3451" s="1821"/>
      <c r="AS3451" s="1821"/>
      <c r="AT3451" s="1821"/>
      <c r="AU3451" s="1821"/>
      <c r="AV3451" s="1821"/>
      <c r="AW3451" s="1821"/>
      <c r="AX3451" s="1821"/>
      <c r="AY3451" s="1821"/>
      <c r="AZ3451" s="1821"/>
      <c r="BA3451" s="1821"/>
      <c r="BB3451" s="1821"/>
      <c r="BC3451" s="1821"/>
      <c r="BD3451" s="1821"/>
      <c r="BE3451" s="1821"/>
      <c r="BF3451" s="1821"/>
      <c r="BG3451" s="1821"/>
      <c r="BH3451" s="1821"/>
      <c r="BI3451" s="1821"/>
      <c r="BJ3451" s="1821"/>
      <c r="BK3451" s="1821"/>
      <c r="BL3451" s="1821"/>
      <c r="BM3451" s="1821"/>
      <c r="BN3451" s="1821"/>
      <c r="BO3451" s="1821"/>
      <c r="BP3451" s="1821"/>
      <c r="BQ3451" s="1821"/>
      <c r="BR3451" s="1821"/>
      <c r="BS3451" s="1821"/>
      <c r="BT3451" s="1821"/>
      <c r="BU3451" s="1821"/>
      <c r="BV3451" s="1821"/>
      <c r="BW3451" s="1821"/>
      <c r="BX3451" s="1821"/>
      <c r="BY3451" s="1821"/>
      <c r="BZ3451" s="1821"/>
      <c r="CA3451" s="1821"/>
      <c r="CB3451" s="1821"/>
      <c r="CC3451" s="1821"/>
      <c r="CD3451" s="1821"/>
      <c r="CE3451" s="1821"/>
      <c r="CF3451" s="1821"/>
      <c r="CG3451" s="1821"/>
      <c r="CH3451" s="1821"/>
      <c r="CI3451" s="1821"/>
      <c r="CJ3451" s="1821"/>
      <c r="CK3451" s="1821"/>
    </row>
    <row r="3452" spans="1:89" s="675" customFormat="1" ht="16.5" customHeight="1" x14ac:dyDescent="0.25">
      <c r="A3452" s="697"/>
      <c r="B3452" s="1002" t="s">
        <v>21</v>
      </c>
      <c r="C3452" s="1007"/>
      <c r="D3452" s="1005"/>
      <c r="E3452" s="1006"/>
      <c r="F3452" s="700"/>
      <c r="G3452" s="700"/>
      <c r="H3452" s="700">
        <f t="shared" ref="H3452:H3457" si="358">G3452+F3452</f>
        <v>0</v>
      </c>
      <c r="I3452" s="700"/>
      <c r="J3452" s="700">
        <f>C3452*E3452</f>
        <v>0</v>
      </c>
      <c r="K3452" s="700">
        <f t="shared" ref="K3452:K3457" si="359">J3452+I3452</f>
        <v>0</v>
      </c>
      <c r="L3452" s="700"/>
      <c r="M3452" s="700"/>
      <c r="N3452" s="700">
        <f t="shared" ref="N3452:N3457" si="360">M3452+L3452</f>
        <v>0</v>
      </c>
      <c r="O3452" s="974">
        <f t="shared" ref="O3452:O3457" si="361">N3452+K3452+H3452</f>
        <v>0</v>
      </c>
      <c r="P3452" s="956"/>
      <c r="Q3452" s="1821"/>
      <c r="R3452" s="1821"/>
      <c r="S3452" s="1821"/>
      <c r="T3452" s="1821"/>
      <c r="U3452" s="1821"/>
      <c r="V3452" s="1821"/>
      <c r="W3452" s="1821"/>
      <c r="X3452" s="1821"/>
      <c r="Y3452" s="1821"/>
      <c r="Z3452" s="1821"/>
      <c r="AA3452" s="1821"/>
      <c r="AB3452" s="1821"/>
      <c r="AC3452" s="1821"/>
      <c r="AD3452" s="1821"/>
      <c r="AE3452" s="1821"/>
      <c r="AF3452" s="1821"/>
      <c r="AG3452" s="1821"/>
      <c r="AH3452" s="1821"/>
      <c r="AI3452" s="1821"/>
      <c r="AJ3452" s="1821"/>
      <c r="AK3452" s="1821"/>
      <c r="AL3452" s="1821"/>
      <c r="AM3452" s="1821"/>
      <c r="AN3452" s="1821"/>
      <c r="AO3452" s="1821"/>
      <c r="AP3452" s="1821"/>
      <c r="AQ3452" s="1821"/>
      <c r="AR3452" s="1821"/>
      <c r="AS3452" s="1821"/>
      <c r="AT3452" s="1821"/>
      <c r="AU3452" s="1821"/>
      <c r="AV3452" s="1821"/>
      <c r="AW3452" s="1821"/>
      <c r="AX3452" s="1821"/>
      <c r="AY3452" s="1821"/>
      <c r="AZ3452" s="1821"/>
      <c r="BA3452" s="1821"/>
      <c r="BB3452" s="1821"/>
      <c r="BC3452" s="1821"/>
      <c r="BD3452" s="1821"/>
      <c r="BE3452" s="1821"/>
      <c r="BF3452" s="1821"/>
      <c r="BG3452" s="1821"/>
      <c r="BH3452" s="1821"/>
      <c r="BI3452" s="1821"/>
      <c r="BJ3452" s="1821"/>
      <c r="BK3452" s="1821"/>
      <c r="BL3452" s="1821"/>
      <c r="BM3452" s="1821"/>
      <c r="BN3452" s="1821"/>
      <c r="BO3452" s="1821"/>
      <c r="BP3452" s="1821"/>
      <c r="BQ3452" s="1821"/>
      <c r="BR3452" s="1821"/>
      <c r="BS3452" s="1821"/>
      <c r="BT3452" s="1821"/>
      <c r="BU3452" s="1821"/>
      <c r="BV3452" s="1821"/>
      <c r="BW3452" s="1821"/>
      <c r="BX3452" s="1821"/>
      <c r="BY3452" s="1821"/>
      <c r="BZ3452" s="1821"/>
      <c r="CA3452" s="1821"/>
      <c r="CB3452" s="1821"/>
      <c r="CC3452" s="1821"/>
      <c r="CD3452" s="1821"/>
      <c r="CE3452" s="1821"/>
      <c r="CF3452" s="1821"/>
      <c r="CG3452" s="1821"/>
      <c r="CH3452" s="1821"/>
      <c r="CI3452" s="1821"/>
      <c r="CJ3452" s="1821"/>
      <c r="CK3452" s="1821"/>
    </row>
    <row r="3453" spans="1:89" s="675" customFormat="1" ht="16.5" customHeight="1" x14ac:dyDescent="0.25">
      <c r="A3453" s="697"/>
      <c r="B3453" s="1002" t="s">
        <v>365</v>
      </c>
      <c r="C3453" s="1007">
        <v>1</v>
      </c>
      <c r="D3453" s="1005" t="s">
        <v>294</v>
      </c>
      <c r="E3453" s="1006">
        <v>36000</v>
      </c>
      <c r="F3453" s="700"/>
      <c r="G3453" s="700"/>
      <c r="H3453" s="700">
        <f t="shared" si="358"/>
        <v>0</v>
      </c>
      <c r="I3453" s="700">
        <f>C3453*E3453</f>
        <v>36000</v>
      </c>
      <c r="J3453" s="700"/>
      <c r="K3453" s="700">
        <f t="shared" si="359"/>
        <v>36000</v>
      </c>
      <c r="L3453" s="700"/>
      <c r="M3453" s="700"/>
      <c r="N3453" s="700">
        <f t="shared" si="360"/>
        <v>0</v>
      </c>
      <c r="O3453" s="974">
        <f t="shared" si="361"/>
        <v>36000</v>
      </c>
      <c r="P3453" s="956"/>
      <c r="Q3453" s="1821"/>
      <c r="R3453" s="1821"/>
      <c r="S3453" s="1821"/>
      <c r="T3453" s="1821"/>
      <c r="U3453" s="1821"/>
      <c r="V3453" s="1821"/>
      <c r="W3453" s="1821"/>
      <c r="X3453" s="1821"/>
      <c r="Y3453" s="1821"/>
      <c r="Z3453" s="1821"/>
      <c r="AA3453" s="1821"/>
      <c r="AB3453" s="1821"/>
      <c r="AC3453" s="1821"/>
      <c r="AD3453" s="1821"/>
      <c r="AE3453" s="1821"/>
      <c r="AF3453" s="1821"/>
      <c r="AG3453" s="1821"/>
      <c r="AH3453" s="1821"/>
      <c r="AI3453" s="1821"/>
      <c r="AJ3453" s="1821"/>
      <c r="AK3453" s="1821"/>
      <c r="AL3453" s="1821"/>
      <c r="AM3453" s="1821"/>
      <c r="AN3453" s="1821"/>
      <c r="AO3453" s="1821"/>
      <c r="AP3453" s="1821"/>
      <c r="AQ3453" s="1821"/>
      <c r="AR3453" s="1821"/>
      <c r="AS3453" s="1821"/>
      <c r="AT3453" s="1821"/>
      <c r="AU3453" s="1821"/>
      <c r="AV3453" s="1821"/>
      <c r="AW3453" s="1821"/>
      <c r="AX3453" s="1821"/>
      <c r="AY3453" s="1821"/>
      <c r="AZ3453" s="1821"/>
      <c r="BA3453" s="1821"/>
      <c r="BB3453" s="1821"/>
      <c r="BC3453" s="1821"/>
      <c r="BD3453" s="1821"/>
      <c r="BE3453" s="1821"/>
      <c r="BF3453" s="1821"/>
      <c r="BG3453" s="1821"/>
      <c r="BH3453" s="1821"/>
      <c r="BI3453" s="1821"/>
      <c r="BJ3453" s="1821"/>
      <c r="BK3453" s="1821"/>
      <c r="BL3453" s="1821"/>
      <c r="BM3453" s="1821"/>
      <c r="BN3453" s="1821"/>
      <c r="BO3453" s="1821"/>
      <c r="BP3453" s="1821"/>
      <c r="BQ3453" s="1821"/>
      <c r="BR3453" s="1821"/>
      <c r="BS3453" s="1821"/>
      <c r="BT3453" s="1821"/>
      <c r="BU3453" s="1821"/>
      <c r="BV3453" s="1821"/>
      <c r="BW3453" s="1821"/>
      <c r="BX3453" s="1821"/>
      <c r="BY3453" s="1821"/>
      <c r="BZ3453" s="1821"/>
      <c r="CA3453" s="1821"/>
      <c r="CB3453" s="1821"/>
      <c r="CC3453" s="1821"/>
      <c r="CD3453" s="1821"/>
      <c r="CE3453" s="1821"/>
      <c r="CF3453" s="1821"/>
      <c r="CG3453" s="1821"/>
      <c r="CH3453" s="1821"/>
      <c r="CI3453" s="1821"/>
      <c r="CJ3453" s="1821"/>
      <c r="CK3453" s="1821"/>
    </row>
    <row r="3454" spans="1:89" s="675" customFormat="1" ht="16.5" customHeight="1" x14ac:dyDescent="0.25">
      <c r="A3454" s="697"/>
      <c r="B3454" s="1002" t="s">
        <v>349</v>
      </c>
      <c r="C3454" s="1007"/>
      <c r="D3454" s="1005"/>
      <c r="E3454" s="1006"/>
      <c r="F3454" s="700"/>
      <c r="G3454" s="700"/>
      <c r="H3454" s="700">
        <f t="shared" si="358"/>
        <v>0</v>
      </c>
      <c r="I3454" s="700"/>
      <c r="J3454" s="700">
        <f>C3454*E3454</f>
        <v>0</v>
      </c>
      <c r="K3454" s="700">
        <f t="shared" si="359"/>
        <v>0</v>
      </c>
      <c r="L3454" s="700"/>
      <c r="M3454" s="700"/>
      <c r="N3454" s="700">
        <f t="shared" si="360"/>
        <v>0</v>
      </c>
      <c r="O3454" s="974">
        <f t="shared" si="361"/>
        <v>0</v>
      </c>
      <c r="P3454" s="956"/>
      <c r="Q3454" s="1821"/>
      <c r="R3454" s="1821"/>
      <c r="S3454" s="1821"/>
      <c r="T3454" s="1821"/>
      <c r="U3454" s="1821"/>
      <c r="V3454" s="1821"/>
      <c r="W3454" s="1821"/>
      <c r="X3454" s="1821"/>
      <c r="Y3454" s="1821"/>
      <c r="Z3454" s="1821"/>
      <c r="AA3454" s="1821"/>
      <c r="AB3454" s="1821"/>
      <c r="AC3454" s="1821"/>
      <c r="AD3454" s="1821"/>
      <c r="AE3454" s="1821"/>
      <c r="AF3454" s="1821"/>
      <c r="AG3454" s="1821"/>
      <c r="AH3454" s="1821"/>
      <c r="AI3454" s="1821"/>
      <c r="AJ3454" s="1821"/>
      <c r="AK3454" s="1821"/>
      <c r="AL3454" s="1821"/>
      <c r="AM3454" s="1821"/>
      <c r="AN3454" s="1821"/>
      <c r="AO3454" s="1821"/>
      <c r="AP3454" s="1821"/>
      <c r="AQ3454" s="1821"/>
      <c r="AR3454" s="1821"/>
      <c r="AS3454" s="1821"/>
      <c r="AT3454" s="1821"/>
      <c r="AU3454" s="1821"/>
      <c r="AV3454" s="1821"/>
      <c r="AW3454" s="1821"/>
      <c r="AX3454" s="1821"/>
      <c r="AY3454" s="1821"/>
      <c r="AZ3454" s="1821"/>
      <c r="BA3454" s="1821"/>
      <c r="BB3454" s="1821"/>
      <c r="BC3454" s="1821"/>
      <c r="BD3454" s="1821"/>
      <c r="BE3454" s="1821"/>
      <c r="BF3454" s="1821"/>
      <c r="BG3454" s="1821"/>
      <c r="BH3454" s="1821"/>
      <c r="BI3454" s="1821"/>
      <c r="BJ3454" s="1821"/>
      <c r="BK3454" s="1821"/>
      <c r="BL3454" s="1821"/>
      <c r="BM3454" s="1821"/>
      <c r="BN3454" s="1821"/>
      <c r="BO3454" s="1821"/>
      <c r="BP3454" s="1821"/>
      <c r="BQ3454" s="1821"/>
      <c r="BR3454" s="1821"/>
      <c r="BS3454" s="1821"/>
      <c r="BT3454" s="1821"/>
      <c r="BU3454" s="1821"/>
      <c r="BV3454" s="1821"/>
      <c r="BW3454" s="1821"/>
      <c r="BX3454" s="1821"/>
      <c r="BY3454" s="1821"/>
      <c r="BZ3454" s="1821"/>
      <c r="CA3454" s="1821"/>
      <c r="CB3454" s="1821"/>
      <c r="CC3454" s="1821"/>
      <c r="CD3454" s="1821"/>
      <c r="CE3454" s="1821"/>
      <c r="CF3454" s="1821"/>
      <c r="CG3454" s="1821"/>
      <c r="CH3454" s="1821"/>
      <c r="CI3454" s="1821"/>
      <c r="CJ3454" s="1821"/>
      <c r="CK3454" s="1821"/>
    </row>
    <row r="3455" spans="1:89" s="675" customFormat="1" ht="16.5" customHeight="1" x14ac:dyDescent="0.25">
      <c r="A3455" s="697"/>
      <c r="B3455" s="1002" t="s">
        <v>344</v>
      </c>
      <c r="C3455" s="1007">
        <v>60</v>
      </c>
      <c r="D3455" s="1005" t="s">
        <v>51</v>
      </c>
      <c r="E3455" s="1006">
        <v>120</v>
      </c>
      <c r="F3455" s="700"/>
      <c r="G3455" s="700"/>
      <c r="H3455" s="700">
        <f t="shared" si="358"/>
        <v>0</v>
      </c>
      <c r="I3455" s="700"/>
      <c r="J3455" s="700">
        <f>C3455*E3455</f>
        <v>7200</v>
      </c>
      <c r="K3455" s="700">
        <f t="shared" si="359"/>
        <v>7200</v>
      </c>
      <c r="L3455" s="700"/>
      <c r="M3455" s="700"/>
      <c r="N3455" s="700">
        <f t="shared" si="360"/>
        <v>0</v>
      </c>
      <c r="O3455" s="974">
        <f t="shared" si="361"/>
        <v>7200</v>
      </c>
      <c r="P3455" s="956"/>
      <c r="Q3455" s="1821"/>
      <c r="R3455" s="1821"/>
      <c r="S3455" s="1821"/>
      <c r="T3455" s="1821"/>
      <c r="U3455" s="1821"/>
      <c r="V3455" s="1821"/>
      <c r="W3455" s="1821"/>
      <c r="X3455" s="1821"/>
      <c r="Y3455" s="1821"/>
      <c r="Z3455" s="1821"/>
      <c r="AA3455" s="1821"/>
      <c r="AB3455" s="1821"/>
      <c r="AC3455" s="1821"/>
      <c r="AD3455" s="1821"/>
      <c r="AE3455" s="1821"/>
      <c r="AF3455" s="1821"/>
      <c r="AG3455" s="1821"/>
      <c r="AH3455" s="1821"/>
      <c r="AI3455" s="1821"/>
      <c r="AJ3455" s="1821"/>
      <c r="AK3455" s="1821"/>
      <c r="AL3455" s="1821"/>
      <c r="AM3455" s="1821"/>
      <c r="AN3455" s="1821"/>
      <c r="AO3455" s="1821"/>
      <c r="AP3455" s="1821"/>
      <c r="AQ3455" s="1821"/>
      <c r="AR3455" s="1821"/>
      <c r="AS3455" s="1821"/>
      <c r="AT3455" s="1821"/>
      <c r="AU3455" s="1821"/>
      <c r="AV3455" s="1821"/>
      <c r="AW3455" s="1821"/>
      <c r="AX3455" s="1821"/>
      <c r="AY3455" s="1821"/>
      <c r="AZ3455" s="1821"/>
      <c r="BA3455" s="1821"/>
      <c r="BB3455" s="1821"/>
      <c r="BC3455" s="1821"/>
      <c r="BD3455" s="1821"/>
      <c r="BE3455" s="1821"/>
      <c r="BF3455" s="1821"/>
      <c r="BG3455" s="1821"/>
      <c r="BH3455" s="1821"/>
      <c r="BI3455" s="1821"/>
      <c r="BJ3455" s="1821"/>
      <c r="BK3455" s="1821"/>
      <c r="BL3455" s="1821"/>
      <c r="BM3455" s="1821"/>
      <c r="BN3455" s="1821"/>
      <c r="BO3455" s="1821"/>
      <c r="BP3455" s="1821"/>
      <c r="BQ3455" s="1821"/>
      <c r="BR3455" s="1821"/>
      <c r="BS3455" s="1821"/>
      <c r="BT3455" s="1821"/>
      <c r="BU3455" s="1821"/>
      <c r="BV3455" s="1821"/>
      <c r="BW3455" s="1821"/>
      <c r="BX3455" s="1821"/>
      <c r="BY3455" s="1821"/>
      <c r="BZ3455" s="1821"/>
      <c r="CA3455" s="1821"/>
      <c r="CB3455" s="1821"/>
      <c r="CC3455" s="1821"/>
      <c r="CD3455" s="1821"/>
      <c r="CE3455" s="1821"/>
      <c r="CF3455" s="1821"/>
      <c r="CG3455" s="1821"/>
      <c r="CH3455" s="1821"/>
      <c r="CI3455" s="1821"/>
      <c r="CJ3455" s="1821"/>
      <c r="CK3455" s="1821"/>
    </row>
    <row r="3456" spans="1:89" s="675" customFormat="1" ht="16.5" customHeight="1" x14ac:dyDescent="0.25">
      <c r="A3456" s="697"/>
      <c r="B3456" s="1002" t="s">
        <v>54</v>
      </c>
      <c r="C3456" s="1007">
        <v>240</v>
      </c>
      <c r="D3456" s="1005" t="s">
        <v>55</v>
      </c>
      <c r="E3456" s="1006">
        <v>430</v>
      </c>
      <c r="F3456" s="700"/>
      <c r="G3456" s="700"/>
      <c r="H3456" s="700">
        <f t="shared" si="358"/>
        <v>0</v>
      </c>
      <c r="I3456" s="700"/>
      <c r="J3456" s="700">
        <f>C3456*E3456</f>
        <v>103200</v>
      </c>
      <c r="K3456" s="700">
        <f t="shared" si="359"/>
        <v>103200</v>
      </c>
      <c r="L3456" s="700"/>
      <c r="M3456" s="700"/>
      <c r="N3456" s="700">
        <f t="shared" si="360"/>
        <v>0</v>
      </c>
      <c r="O3456" s="974">
        <f t="shared" si="361"/>
        <v>103200</v>
      </c>
      <c r="P3456" s="956"/>
      <c r="Q3456" s="1821"/>
      <c r="R3456" s="1821"/>
      <c r="S3456" s="1821"/>
      <c r="T3456" s="1821"/>
      <c r="U3456" s="1821"/>
      <c r="V3456" s="1821"/>
      <c r="W3456" s="1821"/>
      <c r="X3456" s="1821"/>
      <c r="Y3456" s="1821"/>
      <c r="Z3456" s="1821"/>
      <c r="AA3456" s="1821"/>
      <c r="AB3456" s="1821"/>
      <c r="AC3456" s="1821"/>
      <c r="AD3456" s="1821"/>
      <c r="AE3456" s="1821"/>
      <c r="AF3456" s="1821"/>
      <c r="AG3456" s="1821"/>
      <c r="AH3456" s="1821"/>
      <c r="AI3456" s="1821"/>
      <c r="AJ3456" s="1821"/>
      <c r="AK3456" s="1821"/>
      <c r="AL3456" s="1821"/>
      <c r="AM3456" s="1821"/>
      <c r="AN3456" s="1821"/>
      <c r="AO3456" s="1821"/>
      <c r="AP3456" s="1821"/>
      <c r="AQ3456" s="1821"/>
      <c r="AR3456" s="1821"/>
      <c r="AS3456" s="1821"/>
      <c r="AT3456" s="1821"/>
      <c r="AU3456" s="1821"/>
      <c r="AV3456" s="1821"/>
      <c r="AW3456" s="1821"/>
      <c r="AX3456" s="1821"/>
      <c r="AY3456" s="1821"/>
      <c r="AZ3456" s="1821"/>
      <c r="BA3456" s="1821"/>
      <c r="BB3456" s="1821"/>
      <c r="BC3456" s="1821"/>
      <c r="BD3456" s="1821"/>
      <c r="BE3456" s="1821"/>
      <c r="BF3456" s="1821"/>
      <c r="BG3456" s="1821"/>
      <c r="BH3456" s="1821"/>
      <c r="BI3456" s="1821"/>
      <c r="BJ3456" s="1821"/>
      <c r="BK3456" s="1821"/>
      <c r="BL3456" s="1821"/>
      <c r="BM3456" s="1821"/>
      <c r="BN3456" s="1821"/>
      <c r="BO3456" s="1821"/>
      <c r="BP3456" s="1821"/>
      <c r="BQ3456" s="1821"/>
      <c r="BR3456" s="1821"/>
      <c r="BS3456" s="1821"/>
      <c r="BT3456" s="1821"/>
      <c r="BU3456" s="1821"/>
      <c r="BV3456" s="1821"/>
      <c r="BW3456" s="1821"/>
      <c r="BX3456" s="1821"/>
      <c r="BY3456" s="1821"/>
      <c r="BZ3456" s="1821"/>
      <c r="CA3456" s="1821"/>
      <c r="CB3456" s="1821"/>
      <c r="CC3456" s="1821"/>
      <c r="CD3456" s="1821"/>
      <c r="CE3456" s="1821"/>
      <c r="CF3456" s="1821"/>
      <c r="CG3456" s="1821"/>
      <c r="CH3456" s="1821"/>
      <c r="CI3456" s="1821"/>
      <c r="CJ3456" s="1821"/>
      <c r="CK3456" s="1821"/>
    </row>
    <row r="3457" spans="1:89" s="675" customFormat="1" ht="16.5" customHeight="1" x14ac:dyDescent="0.25">
      <c r="A3457" s="697"/>
      <c r="B3457" s="1002" t="s">
        <v>52</v>
      </c>
      <c r="C3457" s="1007">
        <v>180</v>
      </c>
      <c r="D3457" s="1005" t="s">
        <v>55</v>
      </c>
      <c r="E3457" s="1006">
        <v>497</v>
      </c>
      <c r="F3457" s="700"/>
      <c r="G3457" s="700"/>
      <c r="H3457" s="700">
        <f t="shared" si="358"/>
        <v>0</v>
      </c>
      <c r="I3457" s="700"/>
      <c r="J3457" s="700">
        <f>C3457*E3457</f>
        <v>89460</v>
      </c>
      <c r="K3457" s="700">
        <f t="shared" si="359"/>
        <v>89460</v>
      </c>
      <c r="L3457" s="700"/>
      <c r="M3457" s="700"/>
      <c r="N3457" s="700">
        <f t="shared" si="360"/>
        <v>0</v>
      </c>
      <c r="O3457" s="974">
        <f t="shared" si="361"/>
        <v>89460</v>
      </c>
      <c r="P3457" s="956"/>
      <c r="Q3457" s="1821"/>
      <c r="R3457" s="1821"/>
      <c r="S3457" s="1821"/>
      <c r="T3457" s="1821"/>
      <c r="U3457" s="1821"/>
      <c r="V3457" s="1821"/>
      <c r="W3457" s="1821"/>
      <c r="X3457" s="1821"/>
      <c r="Y3457" s="1821"/>
      <c r="Z3457" s="1821"/>
      <c r="AA3457" s="1821"/>
      <c r="AB3457" s="1821"/>
      <c r="AC3457" s="1821"/>
      <c r="AD3457" s="1821"/>
      <c r="AE3457" s="1821"/>
      <c r="AF3457" s="1821"/>
      <c r="AG3457" s="1821"/>
      <c r="AH3457" s="1821"/>
      <c r="AI3457" s="1821"/>
      <c r="AJ3457" s="1821"/>
      <c r="AK3457" s="1821"/>
      <c r="AL3457" s="1821"/>
      <c r="AM3457" s="1821"/>
      <c r="AN3457" s="1821"/>
      <c r="AO3457" s="1821"/>
      <c r="AP3457" s="1821"/>
      <c r="AQ3457" s="1821"/>
      <c r="AR3457" s="1821"/>
      <c r="AS3457" s="1821"/>
      <c r="AT3457" s="1821"/>
      <c r="AU3457" s="1821"/>
      <c r="AV3457" s="1821"/>
      <c r="AW3457" s="1821"/>
      <c r="AX3457" s="1821"/>
      <c r="AY3457" s="1821"/>
      <c r="AZ3457" s="1821"/>
      <c r="BA3457" s="1821"/>
      <c r="BB3457" s="1821"/>
      <c r="BC3457" s="1821"/>
      <c r="BD3457" s="1821"/>
      <c r="BE3457" s="1821"/>
      <c r="BF3457" s="1821"/>
      <c r="BG3457" s="1821"/>
      <c r="BH3457" s="1821"/>
      <c r="BI3457" s="1821"/>
      <c r="BJ3457" s="1821"/>
      <c r="BK3457" s="1821"/>
      <c r="BL3457" s="1821"/>
      <c r="BM3457" s="1821"/>
      <c r="BN3457" s="1821"/>
      <c r="BO3457" s="1821"/>
      <c r="BP3457" s="1821"/>
      <c r="BQ3457" s="1821"/>
      <c r="BR3457" s="1821"/>
      <c r="BS3457" s="1821"/>
      <c r="BT3457" s="1821"/>
      <c r="BU3457" s="1821"/>
      <c r="BV3457" s="1821"/>
      <c r="BW3457" s="1821"/>
      <c r="BX3457" s="1821"/>
      <c r="BY3457" s="1821"/>
      <c r="BZ3457" s="1821"/>
      <c r="CA3457" s="1821"/>
      <c r="CB3457" s="1821"/>
      <c r="CC3457" s="1821"/>
      <c r="CD3457" s="1821"/>
      <c r="CE3457" s="1821"/>
      <c r="CF3457" s="1821"/>
      <c r="CG3457" s="1821"/>
      <c r="CH3457" s="1821"/>
      <c r="CI3457" s="1821"/>
      <c r="CJ3457" s="1821"/>
      <c r="CK3457" s="1821"/>
    </row>
    <row r="3458" spans="1:89" s="675" customFormat="1" ht="16.5" customHeight="1" x14ac:dyDescent="0.25">
      <c r="A3458" s="697"/>
      <c r="B3458" s="1002"/>
      <c r="C3458" s="1007"/>
      <c r="D3458" s="1005"/>
      <c r="E3458" s="1006"/>
      <c r="F3458" s="700"/>
      <c r="G3458" s="700"/>
      <c r="H3458" s="700"/>
      <c r="I3458" s="700"/>
      <c r="J3458" s="700"/>
      <c r="K3458" s="700"/>
      <c r="L3458" s="700"/>
      <c r="M3458" s="700"/>
      <c r="N3458" s="700"/>
      <c r="O3458" s="974"/>
      <c r="P3458" s="956"/>
      <c r="Q3458" s="1821"/>
      <c r="R3458" s="1821"/>
      <c r="S3458" s="1821"/>
      <c r="T3458" s="1821"/>
      <c r="U3458" s="1821"/>
      <c r="V3458" s="1821"/>
      <c r="W3458" s="1821"/>
      <c r="X3458" s="1821"/>
      <c r="Y3458" s="1821"/>
      <c r="Z3458" s="1821"/>
      <c r="AA3458" s="1821"/>
      <c r="AB3458" s="1821"/>
      <c r="AC3458" s="1821"/>
      <c r="AD3458" s="1821"/>
      <c r="AE3458" s="1821"/>
      <c r="AF3458" s="1821"/>
      <c r="AG3458" s="1821"/>
      <c r="AH3458" s="1821"/>
      <c r="AI3458" s="1821"/>
      <c r="AJ3458" s="1821"/>
      <c r="AK3458" s="1821"/>
      <c r="AL3458" s="1821"/>
      <c r="AM3458" s="1821"/>
      <c r="AN3458" s="1821"/>
      <c r="AO3458" s="1821"/>
      <c r="AP3458" s="1821"/>
      <c r="AQ3458" s="1821"/>
      <c r="AR3458" s="1821"/>
      <c r="AS3458" s="1821"/>
      <c r="AT3458" s="1821"/>
      <c r="AU3458" s="1821"/>
      <c r="AV3458" s="1821"/>
      <c r="AW3458" s="1821"/>
      <c r="AX3458" s="1821"/>
      <c r="AY3458" s="1821"/>
      <c r="AZ3458" s="1821"/>
      <c r="BA3458" s="1821"/>
      <c r="BB3458" s="1821"/>
      <c r="BC3458" s="1821"/>
      <c r="BD3458" s="1821"/>
      <c r="BE3458" s="1821"/>
      <c r="BF3458" s="1821"/>
      <c r="BG3458" s="1821"/>
      <c r="BH3458" s="1821"/>
      <c r="BI3458" s="1821"/>
      <c r="BJ3458" s="1821"/>
      <c r="BK3458" s="1821"/>
      <c r="BL3458" s="1821"/>
      <c r="BM3458" s="1821"/>
      <c r="BN3458" s="1821"/>
      <c r="BO3458" s="1821"/>
      <c r="BP3458" s="1821"/>
      <c r="BQ3458" s="1821"/>
      <c r="BR3458" s="1821"/>
      <c r="BS3458" s="1821"/>
      <c r="BT3458" s="1821"/>
      <c r="BU3458" s="1821"/>
      <c r="BV3458" s="1821"/>
      <c r="BW3458" s="1821"/>
      <c r="BX3458" s="1821"/>
      <c r="BY3458" s="1821"/>
      <c r="BZ3458" s="1821"/>
      <c r="CA3458" s="1821"/>
      <c r="CB3458" s="1821"/>
      <c r="CC3458" s="1821"/>
      <c r="CD3458" s="1821"/>
      <c r="CE3458" s="1821"/>
      <c r="CF3458" s="1821"/>
      <c r="CG3458" s="1821"/>
      <c r="CH3458" s="1821"/>
      <c r="CI3458" s="1821"/>
      <c r="CJ3458" s="1821"/>
      <c r="CK3458" s="1821"/>
    </row>
    <row r="3459" spans="1:89" s="675" customFormat="1" ht="16.5" customHeight="1" x14ac:dyDescent="0.25">
      <c r="A3459" s="697">
        <v>22</v>
      </c>
      <c r="B3459" s="1002" t="s">
        <v>1250</v>
      </c>
      <c r="C3459" s="1007">
        <f>SUM(O3461:O3466)</f>
        <v>490610</v>
      </c>
      <c r="D3459" s="1005"/>
      <c r="E3459" s="1006"/>
      <c r="F3459" s="700"/>
      <c r="G3459" s="700"/>
      <c r="H3459" s="700">
        <f t="shared" ref="H3459:H3466" si="362">G3459+F3459</f>
        <v>0</v>
      </c>
      <c r="I3459" s="700"/>
      <c r="J3459" s="700">
        <f>C3459*E3459</f>
        <v>0</v>
      </c>
      <c r="K3459" s="700">
        <f t="shared" ref="K3459:K3466" si="363">J3459+I3459</f>
        <v>0</v>
      </c>
      <c r="L3459" s="700"/>
      <c r="M3459" s="700"/>
      <c r="N3459" s="700">
        <f t="shared" ref="N3459:N3466" si="364">M3459+L3459</f>
        <v>0</v>
      </c>
      <c r="O3459" s="974">
        <f>N3459+K3459+H3459</f>
        <v>0</v>
      </c>
      <c r="P3459" s="956"/>
      <c r="Q3459" s="1821"/>
      <c r="R3459" s="1821"/>
      <c r="S3459" s="1821"/>
      <c r="T3459" s="1821"/>
      <c r="U3459" s="1821"/>
      <c r="V3459" s="1821"/>
      <c r="W3459" s="1821"/>
      <c r="X3459" s="1821"/>
      <c r="Y3459" s="1821"/>
      <c r="Z3459" s="1821"/>
      <c r="AA3459" s="1821"/>
      <c r="AB3459" s="1821"/>
      <c r="AC3459" s="1821"/>
      <c r="AD3459" s="1821"/>
      <c r="AE3459" s="1821"/>
      <c r="AF3459" s="1821"/>
      <c r="AG3459" s="1821"/>
      <c r="AH3459" s="1821"/>
      <c r="AI3459" s="1821"/>
      <c r="AJ3459" s="1821"/>
      <c r="AK3459" s="1821"/>
      <c r="AL3459" s="1821"/>
      <c r="AM3459" s="1821"/>
      <c r="AN3459" s="1821"/>
      <c r="AO3459" s="1821"/>
      <c r="AP3459" s="1821"/>
      <c r="AQ3459" s="1821"/>
      <c r="AR3459" s="1821"/>
      <c r="AS3459" s="1821"/>
      <c r="AT3459" s="1821"/>
      <c r="AU3459" s="1821"/>
      <c r="AV3459" s="1821"/>
      <c r="AW3459" s="1821"/>
      <c r="AX3459" s="1821"/>
      <c r="AY3459" s="1821"/>
      <c r="AZ3459" s="1821"/>
      <c r="BA3459" s="1821"/>
      <c r="BB3459" s="1821"/>
      <c r="BC3459" s="1821"/>
      <c r="BD3459" s="1821"/>
      <c r="BE3459" s="1821"/>
      <c r="BF3459" s="1821"/>
      <c r="BG3459" s="1821"/>
      <c r="BH3459" s="1821"/>
      <c r="BI3459" s="1821"/>
      <c r="BJ3459" s="1821"/>
      <c r="BK3459" s="1821"/>
      <c r="BL3459" s="1821"/>
      <c r="BM3459" s="1821"/>
      <c r="BN3459" s="1821"/>
      <c r="BO3459" s="1821"/>
      <c r="BP3459" s="1821"/>
      <c r="BQ3459" s="1821"/>
      <c r="BR3459" s="1821"/>
      <c r="BS3459" s="1821"/>
      <c r="BT3459" s="1821"/>
      <c r="BU3459" s="1821"/>
      <c r="BV3459" s="1821"/>
      <c r="BW3459" s="1821"/>
      <c r="BX3459" s="1821"/>
      <c r="BY3459" s="1821"/>
      <c r="BZ3459" s="1821"/>
      <c r="CA3459" s="1821"/>
      <c r="CB3459" s="1821"/>
      <c r="CC3459" s="1821"/>
      <c r="CD3459" s="1821"/>
      <c r="CE3459" s="1821"/>
      <c r="CF3459" s="1821"/>
      <c r="CG3459" s="1821"/>
      <c r="CH3459" s="1821"/>
      <c r="CI3459" s="1821"/>
      <c r="CJ3459" s="1821"/>
      <c r="CK3459" s="1821"/>
    </row>
    <row r="3460" spans="1:89" s="675" customFormat="1" ht="16.5" customHeight="1" x14ac:dyDescent="0.25">
      <c r="A3460" s="697"/>
      <c r="B3460" s="1002" t="s">
        <v>21</v>
      </c>
      <c r="C3460" s="1007"/>
      <c r="D3460" s="1005"/>
      <c r="E3460" s="1006"/>
      <c r="F3460" s="700"/>
      <c r="G3460" s="700"/>
      <c r="H3460" s="700">
        <f t="shared" si="362"/>
        <v>0</v>
      </c>
      <c r="I3460" s="700"/>
      <c r="J3460" s="700">
        <f>C3460*E3460</f>
        <v>0</v>
      </c>
      <c r="K3460" s="700">
        <f t="shared" si="363"/>
        <v>0</v>
      </c>
      <c r="L3460" s="700"/>
      <c r="M3460" s="700"/>
      <c r="N3460" s="700">
        <f t="shared" si="364"/>
        <v>0</v>
      </c>
      <c r="O3460" s="974">
        <f t="shared" ref="O3460:O3466" si="365">N3460+K3460+H3460</f>
        <v>0</v>
      </c>
      <c r="P3460" s="956"/>
      <c r="Q3460" s="1821"/>
      <c r="R3460" s="1821"/>
      <c r="S3460" s="1821"/>
      <c r="T3460" s="1821"/>
      <c r="U3460" s="1821"/>
      <c r="V3460" s="1821"/>
      <c r="W3460" s="1821"/>
      <c r="X3460" s="1821"/>
      <c r="Y3460" s="1821"/>
      <c r="Z3460" s="1821"/>
      <c r="AA3460" s="1821"/>
      <c r="AB3460" s="1821"/>
      <c r="AC3460" s="1821"/>
      <c r="AD3460" s="1821"/>
      <c r="AE3460" s="1821"/>
      <c r="AF3460" s="1821"/>
      <c r="AG3460" s="1821"/>
      <c r="AH3460" s="1821"/>
      <c r="AI3460" s="1821"/>
      <c r="AJ3460" s="1821"/>
      <c r="AK3460" s="1821"/>
      <c r="AL3460" s="1821"/>
      <c r="AM3460" s="1821"/>
      <c r="AN3460" s="1821"/>
      <c r="AO3460" s="1821"/>
      <c r="AP3460" s="1821"/>
      <c r="AQ3460" s="1821"/>
      <c r="AR3460" s="1821"/>
      <c r="AS3460" s="1821"/>
      <c r="AT3460" s="1821"/>
      <c r="AU3460" s="1821"/>
      <c r="AV3460" s="1821"/>
      <c r="AW3460" s="1821"/>
      <c r="AX3460" s="1821"/>
      <c r="AY3460" s="1821"/>
      <c r="AZ3460" s="1821"/>
      <c r="BA3460" s="1821"/>
      <c r="BB3460" s="1821"/>
      <c r="BC3460" s="1821"/>
      <c r="BD3460" s="1821"/>
      <c r="BE3460" s="1821"/>
      <c r="BF3460" s="1821"/>
      <c r="BG3460" s="1821"/>
      <c r="BH3460" s="1821"/>
      <c r="BI3460" s="1821"/>
      <c r="BJ3460" s="1821"/>
      <c r="BK3460" s="1821"/>
      <c r="BL3460" s="1821"/>
      <c r="BM3460" s="1821"/>
      <c r="BN3460" s="1821"/>
      <c r="BO3460" s="1821"/>
      <c r="BP3460" s="1821"/>
      <c r="BQ3460" s="1821"/>
      <c r="BR3460" s="1821"/>
      <c r="BS3460" s="1821"/>
      <c r="BT3460" s="1821"/>
      <c r="BU3460" s="1821"/>
      <c r="BV3460" s="1821"/>
      <c r="BW3460" s="1821"/>
      <c r="BX3460" s="1821"/>
      <c r="BY3460" s="1821"/>
      <c r="BZ3460" s="1821"/>
      <c r="CA3460" s="1821"/>
      <c r="CB3460" s="1821"/>
      <c r="CC3460" s="1821"/>
      <c r="CD3460" s="1821"/>
      <c r="CE3460" s="1821"/>
      <c r="CF3460" s="1821"/>
      <c r="CG3460" s="1821"/>
      <c r="CH3460" s="1821"/>
      <c r="CI3460" s="1821"/>
      <c r="CJ3460" s="1821"/>
      <c r="CK3460" s="1821"/>
    </row>
    <row r="3461" spans="1:89" s="675" customFormat="1" ht="16.5" customHeight="1" x14ac:dyDescent="0.25">
      <c r="A3461" s="697"/>
      <c r="B3461" s="1002" t="s">
        <v>365</v>
      </c>
      <c r="C3461" s="1007">
        <v>1</v>
      </c>
      <c r="D3461" s="1005" t="s">
        <v>294</v>
      </c>
      <c r="E3461" s="1006">
        <v>36000</v>
      </c>
      <c r="F3461" s="700"/>
      <c r="G3461" s="700"/>
      <c r="H3461" s="700">
        <f t="shared" si="362"/>
        <v>0</v>
      </c>
      <c r="I3461" s="700">
        <f>C3461*E3461</f>
        <v>36000</v>
      </c>
      <c r="J3461" s="700"/>
      <c r="K3461" s="700">
        <f t="shared" si="363"/>
        <v>36000</v>
      </c>
      <c r="L3461" s="700"/>
      <c r="M3461" s="700"/>
      <c r="N3461" s="700">
        <f t="shared" si="364"/>
        <v>0</v>
      </c>
      <c r="O3461" s="974">
        <f t="shared" si="365"/>
        <v>36000</v>
      </c>
      <c r="P3461" s="956"/>
      <c r="Q3461" s="1821"/>
      <c r="R3461" s="1821"/>
      <c r="S3461" s="1821"/>
      <c r="T3461" s="1821"/>
      <c r="U3461" s="1821"/>
      <c r="V3461" s="1821"/>
      <c r="W3461" s="1821"/>
      <c r="X3461" s="1821"/>
      <c r="Y3461" s="1821"/>
      <c r="Z3461" s="1821"/>
      <c r="AA3461" s="1821"/>
      <c r="AB3461" s="1821"/>
      <c r="AC3461" s="1821"/>
      <c r="AD3461" s="1821"/>
      <c r="AE3461" s="1821"/>
      <c r="AF3461" s="1821"/>
      <c r="AG3461" s="1821"/>
      <c r="AH3461" s="1821"/>
      <c r="AI3461" s="1821"/>
      <c r="AJ3461" s="1821"/>
      <c r="AK3461" s="1821"/>
      <c r="AL3461" s="1821"/>
      <c r="AM3461" s="1821"/>
      <c r="AN3461" s="1821"/>
      <c r="AO3461" s="1821"/>
      <c r="AP3461" s="1821"/>
      <c r="AQ3461" s="1821"/>
      <c r="AR3461" s="1821"/>
      <c r="AS3461" s="1821"/>
      <c r="AT3461" s="1821"/>
      <c r="AU3461" s="1821"/>
      <c r="AV3461" s="1821"/>
      <c r="AW3461" s="1821"/>
      <c r="AX3461" s="1821"/>
      <c r="AY3461" s="1821"/>
      <c r="AZ3461" s="1821"/>
      <c r="BA3461" s="1821"/>
      <c r="BB3461" s="1821"/>
      <c r="BC3461" s="1821"/>
      <c r="BD3461" s="1821"/>
      <c r="BE3461" s="1821"/>
      <c r="BF3461" s="1821"/>
      <c r="BG3461" s="1821"/>
      <c r="BH3461" s="1821"/>
      <c r="BI3461" s="1821"/>
      <c r="BJ3461" s="1821"/>
      <c r="BK3461" s="1821"/>
      <c r="BL3461" s="1821"/>
      <c r="BM3461" s="1821"/>
      <c r="BN3461" s="1821"/>
      <c r="BO3461" s="1821"/>
      <c r="BP3461" s="1821"/>
      <c r="BQ3461" s="1821"/>
      <c r="BR3461" s="1821"/>
      <c r="BS3461" s="1821"/>
      <c r="BT3461" s="1821"/>
      <c r="BU3461" s="1821"/>
      <c r="BV3461" s="1821"/>
      <c r="BW3461" s="1821"/>
      <c r="BX3461" s="1821"/>
      <c r="BY3461" s="1821"/>
      <c r="BZ3461" s="1821"/>
      <c r="CA3461" s="1821"/>
      <c r="CB3461" s="1821"/>
      <c r="CC3461" s="1821"/>
      <c r="CD3461" s="1821"/>
      <c r="CE3461" s="1821"/>
      <c r="CF3461" s="1821"/>
      <c r="CG3461" s="1821"/>
      <c r="CH3461" s="1821"/>
      <c r="CI3461" s="1821"/>
      <c r="CJ3461" s="1821"/>
      <c r="CK3461" s="1821"/>
    </row>
    <row r="3462" spans="1:89" s="675" customFormat="1" ht="16.5" customHeight="1" x14ac:dyDescent="0.25">
      <c r="A3462" s="697"/>
      <c r="B3462" s="1002" t="s">
        <v>349</v>
      </c>
      <c r="C3462" s="1007"/>
      <c r="D3462" s="1005"/>
      <c r="E3462" s="1006"/>
      <c r="F3462" s="700"/>
      <c r="G3462" s="700"/>
      <c r="H3462" s="700">
        <f t="shared" si="362"/>
        <v>0</v>
      </c>
      <c r="I3462" s="700"/>
      <c r="J3462" s="700">
        <f>C3462*E3462</f>
        <v>0</v>
      </c>
      <c r="K3462" s="700">
        <f t="shared" si="363"/>
        <v>0</v>
      </c>
      <c r="L3462" s="700"/>
      <c r="M3462" s="700"/>
      <c r="N3462" s="700">
        <f t="shared" si="364"/>
        <v>0</v>
      </c>
      <c r="O3462" s="974">
        <f t="shared" si="365"/>
        <v>0</v>
      </c>
      <c r="P3462" s="956"/>
      <c r="Q3462" s="1821"/>
      <c r="R3462" s="1821"/>
      <c r="S3462" s="1821"/>
      <c r="T3462" s="1821"/>
      <c r="U3462" s="1821"/>
      <c r="V3462" s="1821"/>
      <c r="W3462" s="1821"/>
      <c r="X3462" s="1821"/>
      <c r="Y3462" s="1821"/>
      <c r="Z3462" s="1821"/>
      <c r="AA3462" s="1821"/>
      <c r="AB3462" s="1821"/>
      <c r="AC3462" s="1821"/>
      <c r="AD3462" s="1821"/>
      <c r="AE3462" s="1821"/>
      <c r="AF3462" s="1821"/>
      <c r="AG3462" s="1821"/>
      <c r="AH3462" s="1821"/>
      <c r="AI3462" s="1821"/>
      <c r="AJ3462" s="1821"/>
      <c r="AK3462" s="1821"/>
      <c r="AL3462" s="1821"/>
      <c r="AM3462" s="1821"/>
      <c r="AN3462" s="1821"/>
      <c r="AO3462" s="1821"/>
      <c r="AP3462" s="1821"/>
      <c r="AQ3462" s="1821"/>
      <c r="AR3462" s="1821"/>
      <c r="AS3462" s="1821"/>
      <c r="AT3462" s="1821"/>
      <c r="AU3462" s="1821"/>
      <c r="AV3462" s="1821"/>
      <c r="AW3462" s="1821"/>
      <c r="AX3462" s="1821"/>
      <c r="AY3462" s="1821"/>
      <c r="AZ3462" s="1821"/>
      <c r="BA3462" s="1821"/>
      <c r="BB3462" s="1821"/>
      <c r="BC3462" s="1821"/>
      <c r="BD3462" s="1821"/>
      <c r="BE3462" s="1821"/>
      <c r="BF3462" s="1821"/>
      <c r="BG3462" s="1821"/>
      <c r="BH3462" s="1821"/>
      <c r="BI3462" s="1821"/>
      <c r="BJ3462" s="1821"/>
      <c r="BK3462" s="1821"/>
      <c r="BL3462" s="1821"/>
      <c r="BM3462" s="1821"/>
      <c r="BN3462" s="1821"/>
      <c r="BO3462" s="1821"/>
      <c r="BP3462" s="1821"/>
      <c r="BQ3462" s="1821"/>
      <c r="BR3462" s="1821"/>
      <c r="BS3462" s="1821"/>
      <c r="BT3462" s="1821"/>
      <c r="BU3462" s="1821"/>
      <c r="BV3462" s="1821"/>
      <c r="BW3462" s="1821"/>
      <c r="BX3462" s="1821"/>
      <c r="BY3462" s="1821"/>
      <c r="BZ3462" s="1821"/>
      <c r="CA3462" s="1821"/>
      <c r="CB3462" s="1821"/>
      <c r="CC3462" s="1821"/>
      <c r="CD3462" s="1821"/>
      <c r="CE3462" s="1821"/>
      <c r="CF3462" s="1821"/>
      <c r="CG3462" s="1821"/>
      <c r="CH3462" s="1821"/>
      <c r="CI3462" s="1821"/>
      <c r="CJ3462" s="1821"/>
      <c r="CK3462" s="1821"/>
    </row>
    <row r="3463" spans="1:89" s="675" customFormat="1" ht="16.5" customHeight="1" x14ac:dyDescent="0.25">
      <c r="A3463" s="697"/>
      <c r="B3463" s="1002" t="s">
        <v>344</v>
      </c>
      <c r="C3463" s="1007">
        <v>70</v>
      </c>
      <c r="D3463" s="1005" t="s">
        <v>51</v>
      </c>
      <c r="E3463" s="1006">
        <f>J3463/C3463</f>
        <v>2334.2857142857142</v>
      </c>
      <c r="F3463" s="700"/>
      <c r="G3463" s="700"/>
      <c r="H3463" s="700">
        <f t="shared" si="362"/>
        <v>0</v>
      </c>
      <c r="I3463" s="700"/>
      <c r="J3463" s="700">
        <v>163400</v>
      </c>
      <c r="K3463" s="700">
        <f t="shared" si="363"/>
        <v>163400</v>
      </c>
      <c r="L3463" s="700"/>
      <c r="M3463" s="700"/>
      <c r="N3463" s="700">
        <f t="shared" si="364"/>
        <v>0</v>
      </c>
      <c r="O3463" s="974">
        <f t="shared" si="365"/>
        <v>163400</v>
      </c>
      <c r="P3463" s="956"/>
      <c r="Q3463" s="1821"/>
      <c r="R3463" s="1821"/>
      <c r="S3463" s="1821"/>
      <c r="T3463" s="1821"/>
      <c r="U3463" s="1821"/>
      <c r="V3463" s="1821"/>
      <c r="W3463" s="1821"/>
      <c r="X3463" s="1821"/>
      <c r="Y3463" s="1821"/>
      <c r="Z3463" s="1821"/>
      <c r="AA3463" s="1821"/>
      <c r="AB3463" s="1821"/>
      <c r="AC3463" s="1821"/>
      <c r="AD3463" s="1821"/>
      <c r="AE3463" s="1821"/>
      <c r="AF3463" s="1821"/>
      <c r="AG3463" s="1821"/>
      <c r="AH3463" s="1821"/>
      <c r="AI3463" s="1821"/>
      <c r="AJ3463" s="1821"/>
      <c r="AK3463" s="1821"/>
      <c r="AL3463" s="1821"/>
      <c r="AM3463" s="1821"/>
      <c r="AN3463" s="1821"/>
      <c r="AO3463" s="1821"/>
      <c r="AP3463" s="1821"/>
      <c r="AQ3463" s="1821"/>
      <c r="AR3463" s="1821"/>
      <c r="AS3463" s="1821"/>
      <c r="AT3463" s="1821"/>
      <c r="AU3463" s="1821"/>
      <c r="AV3463" s="1821"/>
      <c r="AW3463" s="1821"/>
      <c r="AX3463" s="1821"/>
      <c r="AY3463" s="1821"/>
      <c r="AZ3463" s="1821"/>
      <c r="BA3463" s="1821"/>
      <c r="BB3463" s="1821"/>
      <c r="BC3463" s="1821"/>
      <c r="BD3463" s="1821"/>
      <c r="BE3463" s="1821"/>
      <c r="BF3463" s="1821"/>
      <c r="BG3463" s="1821"/>
      <c r="BH3463" s="1821"/>
      <c r="BI3463" s="1821"/>
      <c r="BJ3463" s="1821"/>
      <c r="BK3463" s="1821"/>
      <c r="BL3463" s="1821"/>
      <c r="BM3463" s="1821"/>
      <c r="BN3463" s="1821"/>
      <c r="BO3463" s="1821"/>
      <c r="BP3463" s="1821"/>
      <c r="BQ3463" s="1821"/>
      <c r="BR3463" s="1821"/>
      <c r="BS3463" s="1821"/>
      <c r="BT3463" s="1821"/>
      <c r="BU3463" s="1821"/>
      <c r="BV3463" s="1821"/>
      <c r="BW3463" s="1821"/>
      <c r="BX3463" s="1821"/>
      <c r="BY3463" s="1821"/>
      <c r="BZ3463" s="1821"/>
      <c r="CA3463" s="1821"/>
      <c r="CB3463" s="1821"/>
      <c r="CC3463" s="1821"/>
      <c r="CD3463" s="1821"/>
      <c r="CE3463" s="1821"/>
      <c r="CF3463" s="1821"/>
      <c r="CG3463" s="1821"/>
      <c r="CH3463" s="1821"/>
      <c r="CI3463" s="1821"/>
      <c r="CJ3463" s="1821"/>
      <c r="CK3463" s="1821"/>
    </row>
    <row r="3464" spans="1:89" s="675" customFormat="1" ht="16.5" customHeight="1" x14ac:dyDescent="0.25">
      <c r="A3464" s="697"/>
      <c r="B3464" s="1002" t="s">
        <v>54</v>
      </c>
      <c r="C3464" s="1007">
        <v>280</v>
      </c>
      <c r="D3464" s="1005" t="s">
        <v>55</v>
      </c>
      <c r="E3464" s="1006">
        <f>J3464/C3464</f>
        <v>430</v>
      </c>
      <c r="F3464" s="700"/>
      <c r="G3464" s="700"/>
      <c r="H3464" s="700">
        <f t="shared" si="362"/>
        <v>0</v>
      </c>
      <c r="I3464" s="700"/>
      <c r="J3464" s="700">
        <v>120400</v>
      </c>
      <c r="K3464" s="700">
        <f t="shared" si="363"/>
        <v>120400</v>
      </c>
      <c r="L3464" s="700"/>
      <c r="M3464" s="700"/>
      <c r="N3464" s="700">
        <f t="shared" si="364"/>
        <v>0</v>
      </c>
      <c r="O3464" s="974">
        <f t="shared" si="365"/>
        <v>120400</v>
      </c>
      <c r="P3464" s="956"/>
      <c r="Q3464" s="1821"/>
      <c r="R3464" s="1821"/>
      <c r="S3464" s="1821"/>
      <c r="T3464" s="1821"/>
      <c r="U3464" s="1821"/>
      <c r="V3464" s="1821"/>
      <c r="W3464" s="1821"/>
      <c r="X3464" s="1821"/>
      <c r="Y3464" s="1821"/>
      <c r="Z3464" s="1821"/>
      <c r="AA3464" s="1821"/>
      <c r="AB3464" s="1821"/>
      <c r="AC3464" s="1821"/>
      <c r="AD3464" s="1821"/>
      <c r="AE3464" s="1821"/>
      <c r="AF3464" s="1821"/>
      <c r="AG3464" s="1821"/>
      <c r="AH3464" s="1821"/>
      <c r="AI3464" s="1821"/>
      <c r="AJ3464" s="1821"/>
      <c r="AK3464" s="1821"/>
      <c r="AL3464" s="1821"/>
      <c r="AM3464" s="1821"/>
      <c r="AN3464" s="1821"/>
      <c r="AO3464" s="1821"/>
      <c r="AP3464" s="1821"/>
      <c r="AQ3464" s="1821"/>
      <c r="AR3464" s="1821"/>
      <c r="AS3464" s="1821"/>
      <c r="AT3464" s="1821"/>
      <c r="AU3464" s="1821"/>
      <c r="AV3464" s="1821"/>
      <c r="AW3464" s="1821"/>
      <c r="AX3464" s="1821"/>
      <c r="AY3464" s="1821"/>
      <c r="AZ3464" s="1821"/>
      <c r="BA3464" s="1821"/>
      <c r="BB3464" s="1821"/>
      <c r="BC3464" s="1821"/>
      <c r="BD3464" s="1821"/>
      <c r="BE3464" s="1821"/>
      <c r="BF3464" s="1821"/>
      <c r="BG3464" s="1821"/>
      <c r="BH3464" s="1821"/>
      <c r="BI3464" s="1821"/>
      <c r="BJ3464" s="1821"/>
      <c r="BK3464" s="1821"/>
      <c r="BL3464" s="1821"/>
      <c r="BM3464" s="1821"/>
      <c r="BN3464" s="1821"/>
      <c r="BO3464" s="1821"/>
      <c r="BP3464" s="1821"/>
      <c r="BQ3464" s="1821"/>
      <c r="BR3464" s="1821"/>
      <c r="BS3464" s="1821"/>
      <c r="BT3464" s="1821"/>
      <c r="BU3464" s="1821"/>
      <c r="BV3464" s="1821"/>
      <c r="BW3464" s="1821"/>
      <c r="BX3464" s="1821"/>
      <c r="BY3464" s="1821"/>
      <c r="BZ3464" s="1821"/>
      <c r="CA3464" s="1821"/>
      <c r="CB3464" s="1821"/>
      <c r="CC3464" s="1821"/>
      <c r="CD3464" s="1821"/>
      <c r="CE3464" s="1821"/>
      <c r="CF3464" s="1821"/>
      <c r="CG3464" s="1821"/>
      <c r="CH3464" s="1821"/>
      <c r="CI3464" s="1821"/>
      <c r="CJ3464" s="1821"/>
      <c r="CK3464" s="1821"/>
    </row>
    <row r="3465" spans="1:89" s="675" customFormat="1" ht="16.5" customHeight="1" x14ac:dyDescent="0.25">
      <c r="A3465" s="697"/>
      <c r="B3465" s="1002" t="s">
        <v>52</v>
      </c>
      <c r="C3465" s="1007">
        <v>240</v>
      </c>
      <c r="D3465" s="1005" t="s">
        <v>55</v>
      </c>
      <c r="E3465" s="1006">
        <f>J3465/C3465</f>
        <v>675.5</v>
      </c>
      <c r="F3465" s="700"/>
      <c r="G3465" s="700"/>
      <c r="H3465" s="700">
        <f t="shared" si="362"/>
        <v>0</v>
      </c>
      <c r="I3465" s="700"/>
      <c r="J3465" s="700">
        <v>162120</v>
      </c>
      <c r="K3465" s="700">
        <f t="shared" si="363"/>
        <v>162120</v>
      </c>
      <c r="L3465" s="700"/>
      <c r="M3465" s="700"/>
      <c r="N3465" s="700">
        <f t="shared" si="364"/>
        <v>0</v>
      </c>
      <c r="O3465" s="974">
        <f t="shared" si="365"/>
        <v>162120</v>
      </c>
      <c r="P3465" s="956"/>
      <c r="Q3465" s="1821"/>
      <c r="R3465" s="1821"/>
      <c r="S3465" s="1821"/>
      <c r="T3465" s="1821"/>
      <c r="U3465" s="1821"/>
      <c r="V3465" s="1821"/>
      <c r="W3465" s="1821"/>
      <c r="X3465" s="1821"/>
      <c r="Y3465" s="1821"/>
      <c r="Z3465" s="1821"/>
      <c r="AA3465" s="1821"/>
      <c r="AB3465" s="1821"/>
      <c r="AC3465" s="1821"/>
      <c r="AD3465" s="1821"/>
      <c r="AE3465" s="1821"/>
      <c r="AF3465" s="1821"/>
      <c r="AG3465" s="1821"/>
      <c r="AH3465" s="1821"/>
      <c r="AI3465" s="1821"/>
      <c r="AJ3465" s="1821"/>
      <c r="AK3465" s="1821"/>
      <c r="AL3465" s="1821"/>
      <c r="AM3465" s="1821"/>
      <c r="AN3465" s="1821"/>
      <c r="AO3465" s="1821"/>
      <c r="AP3465" s="1821"/>
      <c r="AQ3465" s="1821"/>
      <c r="AR3465" s="1821"/>
      <c r="AS3465" s="1821"/>
      <c r="AT3465" s="1821"/>
      <c r="AU3465" s="1821"/>
      <c r="AV3465" s="1821"/>
      <c r="AW3465" s="1821"/>
      <c r="AX3465" s="1821"/>
      <c r="AY3465" s="1821"/>
      <c r="AZ3465" s="1821"/>
      <c r="BA3465" s="1821"/>
      <c r="BB3465" s="1821"/>
      <c r="BC3465" s="1821"/>
      <c r="BD3465" s="1821"/>
      <c r="BE3465" s="1821"/>
      <c r="BF3465" s="1821"/>
      <c r="BG3465" s="1821"/>
      <c r="BH3465" s="1821"/>
      <c r="BI3465" s="1821"/>
      <c r="BJ3465" s="1821"/>
      <c r="BK3465" s="1821"/>
      <c r="BL3465" s="1821"/>
      <c r="BM3465" s="1821"/>
      <c r="BN3465" s="1821"/>
      <c r="BO3465" s="1821"/>
      <c r="BP3465" s="1821"/>
      <c r="BQ3465" s="1821"/>
      <c r="BR3465" s="1821"/>
      <c r="BS3465" s="1821"/>
      <c r="BT3465" s="1821"/>
      <c r="BU3465" s="1821"/>
      <c r="BV3465" s="1821"/>
      <c r="BW3465" s="1821"/>
      <c r="BX3465" s="1821"/>
      <c r="BY3465" s="1821"/>
      <c r="BZ3465" s="1821"/>
      <c r="CA3465" s="1821"/>
      <c r="CB3465" s="1821"/>
      <c r="CC3465" s="1821"/>
      <c r="CD3465" s="1821"/>
      <c r="CE3465" s="1821"/>
      <c r="CF3465" s="1821"/>
      <c r="CG3465" s="1821"/>
      <c r="CH3465" s="1821"/>
      <c r="CI3465" s="1821"/>
      <c r="CJ3465" s="1821"/>
      <c r="CK3465" s="1821"/>
    </row>
    <row r="3466" spans="1:89" s="675" customFormat="1" ht="16.5" customHeight="1" x14ac:dyDescent="0.25">
      <c r="A3466" s="697"/>
      <c r="B3466" s="1002" t="s">
        <v>1251</v>
      </c>
      <c r="C3466" s="1007">
        <v>40</v>
      </c>
      <c r="D3466" s="1005" t="s">
        <v>51</v>
      </c>
      <c r="E3466" s="1006">
        <v>125</v>
      </c>
      <c r="F3466" s="700"/>
      <c r="G3466" s="700"/>
      <c r="H3466" s="700">
        <f t="shared" si="362"/>
        <v>0</v>
      </c>
      <c r="I3466" s="700"/>
      <c r="J3466" s="700">
        <v>8690</v>
      </c>
      <c r="K3466" s="700">
        <f t="shared" si="363"/>
        <v>8690</v>
      </c>
      <c r="L3466" s="700"/>
      <c r="M3466" s="700"/>
      <c r="N3466" s="700">
        <f t="shared" si="364"/>
        <v>0</v>
      </c>
      <c r="O3466" s="974">
        <f t="shared" si="365"/>
        <v>8690</v>
      </c>
      <c r="P3466" s="956"/>
      <c r="Q3466" s="1821"/>
      <c r="R3466" s="1821"/>
      <c r="S3466" s="1821"/>
      <c r="T3466" s="1821"/>
      <c r="U3466" s="1821"/>
      <c r="V3466" s="1821"/>
      <c r="W3466" s="1821"/>
      <c r="X3466" s="1821"/>
      <c r="Y3466" s="1821"/>
      <c r="Z3466" s="1821"/>
      <c r="AA3466" s="1821"/>
      <c r="AB3466" s="1821"/>
      <c r="AC3466" s="1821"/>
      <c r="AD3466" s="1821"/>
      <c r="AE3466" s="1821"/>
      <c r="AF3466" s="1821"/>
      <c r="AG3466" s="1821"/>
      <c r="AH3466" s="1821"/>
      <c r="AI3466" s="1821"/>
      <c r="AJ3466" s="1821"/>
      <c r="AK3466" s="1821"/>
      <c r="AL3466" s="1821"/>
      <c r="AM3466" s="1821"/>
      <c r="AN3466" s="1821"/>
      <c r="AO3466" s="1821"/>
      <c r="AP3466" s="1821"/>
      <c r="AQ3466" s="1821"/>
      <c r="AR3466" s="1821"/>
      <c r="AS3466" s="1821"/>
      <c r="AT3466" s="1821"/>
      <c r="AU3466" s="1821"/>
      <c r="AV3466" s="1821"/>
      <c r="AW3466" s="1821"/>
      <c r="AX3466" s="1821"/>
      <c r="AY3466" s="1821"/>
      <c r="AZ3466" s="1821"/>
      <c r="BA3466" s="1821"/>
      <c r="BB3466" s="1821"/>
      <c r="BC3466" s="1821"/>
      <c r="BD3466" s="1821"/>
      <c r="BE3466" s="1821"/>
      <c r="BF3466" s="1821"/>
      <c r="BG3466" s="1821"/>
      <c r="BH3466" s="1821"/>
      <c r="BI3466" s="1821"/>
      <c r="BJ3466" s="1821"/>
      <c r="BK3466" s="1821"/>
      <c r="BL3466" s="1821"/>
      <c r="BM3466" s="1821"/>
      <c r="BN3466" s="1821"/>
      <c r="BO3466" s="1821"/>
      <c r="BP3466" s="1821"/>
      <c r="BQ3466" s="1821"/>
      <c r="BR3466" s="1821"/>
      <c r="BS3466" s="1821"/>
      <c r="BT3466" s="1821"/>
      <c r="BU3466" s="1821"/>
      <c r="BV3466" s="1821"/>
      <c r="BW3466" s="1821"/>
      <c r="BX3466" s="1821"/>
      <c r="BY3466" s="1821"/>
      <c r="BZ3466" s="1821"/>
      <c r="CA3466" s="1821"/>
      <c r="CB3466" s="1821"/>
      <c r="CC3466" s="1821"/>
      <c r="CD3466" s="1821"/>
      <c r="CE3466" s="1821"/>
      <c r="CF3466" s="1821"/>
      <c r="CG3466" s="1821"/>
      <c r="CH3466" s="1821"/>
      <c r="CI3466" s="1821"/>
      <c r="CJ3466" s="1821"/>
      <c r="CK3466" s="1821"/>
    </row>
    <row r="3467" spans="1:89" s="675" customFormat="1" ht="16.5" customHeight="1" x14ac:dyDescent="0.25">
      <c r="A3467" s="697"/>
      <c r="B3467" s="1002"/>
      <c r="C3467" s="1007"/>
      <c r="D3467" s="1005"/>
      <c r="E3467" s="1006"/>
      <c r="F3467" s="700"/>
      <c r="G3467" s="700"/>
      <c r="H3467" s="700"/>
      <c r="I3467" s="700"/>
      <c r="J3467" s="700"/>
      <c r="K3467" s="700"/>
      <c r="L3467" s="700"/>
      <c r="M3467" s="700"/>
      <c r="N3467" s="700"/>
      <c r="O3467" s="974"/>
      <c r="P3467" s="956"/>
      <c r="Q3467" s="1821"/>
      <c r="R3467" s="1821"/>
      <c r="S3467" s="1821"/>
      <c r="T3467" s="1821"/>
      <c r="U3467" s="1821"/>
      <c r="V3467" s="1821"/>
      <c r="W3467" s="1821"/>
      <c r="X3467" s="1821"/>
      <c r="Y3467" s="1821"/>
      <c r="Z3467" s="1821"/>
      <c r="AA3467" s="1821"/>
      <c r="AB3467" s="1821"/>
      <c r="AC3467" s="1821"/>
      <c r="AD3467" s="1821"/>
      <c r="AE3467" s="1821"/>
      <c r="AF3467" s="1821"/>
      <c r="AG3467" s="1821"/>
      <c r="AH3467" s="1821"/>
      <c r="AI3467" s="1821"/>
      <c r="AJ3467" s="1821"/>
      <c r="AK3467" s="1821"/>
      <c r="AL3467" s="1821"/>
      <c r="AM3467" s="1821"/>
      <c r="AN3467" s="1821"/>
      <c r="AO3467" s="1821"/>
      <c r="AP3467" s="1821"/>
      <c r="AQ3467" s="1821"/>
      <c r="AR3467" s="1821"/>
      <c r="AS3467" s="1821"/>
      <c r="AT3467" s="1821"/>
      <c r="AU3467" s="1821"/>
      <c r="AV3467" s="1821"/>
      <c r="AW3467" s="1821"/>
      <c r="AX3467" s="1821"/>
      <c r="AY3467" s="1821"/>
      <c r="AZ3467" s="1821"/>
      <c r="BA3467" s="1821"/>
      <c r="BB3467" s="1821"/>
      <c r="BC3467" s="1821"/>
      <c r="BD3467" s="1821"/>
      <c r="BE3467" s="1821"/>
      <c r="BF3467" s="1821"/>
      <c r="BG3467" s="1821"/>
      <c r="BH3467" s="1821"/>
      <c r="BI3467" s="1821"/>
      <c r="BJ3467" s="1821"/>
      <c r="BK3467" s="1821"/>
      <c r="BL3467" s="1821"/>
      <c r="BM3467" s="1821"/>
      <c r="BN3467" s="1821"/>
      <c r="BO3467" s="1821"/>
      <c r="BP3467" s="1821"/>
      <c r="BQ3467" s="1821"/>
      <c r="BR3467" s="1821"/>
      <c r="BS3467" s="1821"/>
      <c r="BT3467" s="1821"/>
      <c r="BU3467" s="1821"/>
      <c r="BV3467" s="1821"/>
      <c r="BW3467" s="1821"/>
      <c r="BX3467" s="1821"/>
      <c r="BY3467" s="1821"/>
      <c r="BZ3467" s="1821"/>
      <c r="CA3467" s="1821"/>
      <c r="CB3467" s="1821"/>
      <c r="CC3467" s="1821"/>
      <c r="CD3467" s="1821"/>
      <c r="CE3467" s="1821"/>
      <c r="CF3467" s="1821"/>
      <c r="CG3467" s="1821"/>
      <c r="CH3467" s="1821"/>
      <c r="CI3467" s="1821"/>
      <c r="CJ3467" s="1821"/>
      <c r="CK3467" s="1821"/>
    </row>
    <row r="3468" spans="1:89" s="675" customFormat="1" ht="16.5" customHeight="1" x14ac:dyDescent="0.25">
      <c r="A3468" s="697">
        <v>23</v>
      </c>
      <c r="B3468" s="1002" t="s">
        <v>1085</v>
      </c>
      <c r="C3468" s="1007">
        <f>SUM(O3470:O3474)</f>
        <v>152795</v>
      </c>
      <c r="D3468" s="1005"/>
      <c r="E3468" s="1006"/>
      <c r="F3468" s="700"/>
      <c r="G3468" s="700"/>
      <c r="H3468" s="700">
        <f t="shared" ref="H3468:H3474" si="366">G3468+F3468</f>
        <v>0</v>
      </c>
      <c r="I3468" s="700"/>
      <c r="J3468" s="700">
        <f>C3468*E3468</f>
        <v>0</v>
      </c>
      <c r="K3468" s="700">
        <f t="shared" ref="K3468:K3474" si="367">J3468+I3468</f>
        <v>0</v>
      </c>
      <c r="L3468" s="700"/>
      <c r="M3468" s="700"/>
      <c r="N3468" s="700">
        <f t="shared" ref="N3468:N3474" si="368">M3468+L3468</f>
        <v>0</v>
      </c>
      <c r="O3468" s="974">
        <f>N3468+K3468+H3468</f>
        <v>0</v>
      </c>
      <c r="P3468" s="956"/>
      <c r="Q3468" s="1821"/>
      <c r="R3468" s="1821"/>
      <c r="S3468" s="1821"/>
      <c r="T3468" s="1821"/>
      <c r="U3468" s="1821"/>
      <c r="V3468" s="1821"/>
      <c r="W3468" s="1821"/>
      <c r="X3468" s="1821"/>
      <c r="Y3468" s="1821"/>
      <c r="Z3468" s="1821"/>
      <c r="AA3468" s="1821"/>
      <c r="AB3468" s="1821"/>
      <c r="AC3468" s="1821"/>
      <c r="AD3468" s="1821"/>
      <c r="AE3468" s="1821"/>
      <c r="AF3468" s="1821"/>
      <c r="AG3468" s="1821"/>
      <c r="AH3468" s="1821"/>
      <c r="AI3468" s="1821"/>
      <c r="AJ3468" s="1821"/>
      <c r="AK3468" s="1821"/>
      <c r="AL3468" s="1821"/>
      <c r="AM3468" s="1821"/>
      <c r="AN3468" s="1821"/>
      <c r="AO3468" s="1821"/>
      <c r="AP3468" s="1821"/>
      <c r="AQ3468" s="1821"/>
      <c r="AR3468" s="1821"/>
      <c r="AS3468" s="1821"/>
      <c r="AT3468" s="1821"/>
      <c r="AU3468" s="1821"/>
      <c r="AV3468" s="1821"/>
      <c r="AW3468" s="1821"/>
      <c r="AX3468" s="1821"/>
      <c r="AY3468" s="1821"/>
      <c r="AZ3468" s="1821"/>
      <c r="BA3468" s="1821"/>
      <c r="BB3468" s="1821"/>
      <c r="BC3468" s="1821"/>
      <c r="BD3468" s="1821"/>
      <c r="BE3468" s="1821"/>
      <c r="BF3468" s="1821"/>
      <c r="BG3468" s="1821"/>
      <c r="BH3468" s="1821"/>
      <c r="BI3468" s="1821"/>
      <c r="BJ3468" s="1821"/>
      <c r="BK3468" s="1821"/>
      <c r="BL3468" s="1821"/>
      <c r="BM3468" s="1821"/>
      <c r="BN3468" s="1821"/>
      <c r="BO3468" s="1821"/>
      <c r="BP3468" s="1821"/>
      <c r="BQ3468" s="1821"/>
      <c r="BR3468" s="1821"/>
      <c r="BS3468" s="1821"/>
      <c r="BT3468" s="1821"/>
      <c r="BU3468" s="1821"/>
      <c r="BV3468" s="1821"/>
      <c r="BW3468" s="1821"/>
      <c r="BX3468" s="1821"/>
      <c r="BY3468" s="1821"/>
      <c r="BZ3468" s="1821"/>
      <c r="CA3468" s="1821"/>
      <c r="CB3468" s="1821"/>
      <c r="CC3468" s="1821"/>
      <c r="CD3468" s="1821"/>
      <c r="CE3468" s="1821"/>
      <c r="CF3468" s="1821"/>
      <c r="CG3468" s="1821"/>
      <c r="CH3468" s="1821"/>
      <c r="CI3468" s="1821"/>
      <c r="CJ3468" s="1821"/>
      <c r="CK3468" s="1821"/>
    </row>
    <row r="3469" spans="1:89" s="675" customFormat="1" ht="16.5" customHeight="1" x14ac:dyDescent="0.25">
      <c r="A3469" s="697"/>
      <c r="B3469" s="1002" t="s">
        <v>21</v>
      </c>
      <c r="C3469" s="1007"/>
      <c r="D3469" s="1005"/>
      <c r="E3469" s="1006"/>
      <c r="F3469" s="700"/>
      <c r="G3469" s="700"/>
      <c r="H3469" s="700">
        <f t="shared" si="366"/>
        <v>0</v>
      </c>
      <c r="I3469" s="700"/>
      <c r="J3469" s="700">
        <f t="shared" ref="J3469:J3474" si="369">C3469*E3469</f>
        <v>0</v>
      </c>
      <c r="K3469" s="700">
        <f t="shared" si="367"/>
        <v>0</v>
      </c>
      <c r="L3469" s="700"/>
      <c r="M3469" s="700"/>
      <c r="N3469" s="700">
        <f t="shared" si="368"/>
        <v>0</v>
      </c>
      <c r="O3469" s="974">
        <f t="shared" ref="O3469:O3474" si="370">N3469+K3469+H3469</f>
        <v>0</v>
      </c>
      <c r="P3469" s="956"/>
      <c r="Q3469" s="1821"/>
      <c r="R3469" s="1821"/>
      <c r="S3469" s="1821"/>
      <c r="T3469" s="1821"/>
      <c r="U3469" s="1821"/>
      <c r="V3469" s="1821"/>
      <c r="W3469" s="1821"/>
      <c r="X3469" s="1821"/>
      <c r="Y3469" s="1821"/>
      <c r="Z3469" s="1821"/>
      <c r="AA3469" s="1821"/>
      <c r="AB3469" s="1821"/>
      <c r="AC3469" s="1821"/>
      <c r="AD3469" s="1821"/>
      <c r="AE3469" s="1821"/>
      <c r="AF3469" s="1821"/>
      <c r="AG3469" s="1821"/>
      <c r="AH3469" s="1821"/>
      <c r="AI3469" s="1821"/>
      <c r="AJ3469" s="1821"/>
      <c r="AK3469" s="1821"/>
      <c r="AL3469" s="1821"/>
      <c r="AM3469" s="1821"/>
      <c r="AN3469" s="1821"/>
      <c r="AO3469" s="1821"/>
      <c r="AP3469" s="1821"/>
      <c r="AQ3469" s="1821"/>
      <c r="AR3469" s="1821"/>
      <c r="AS3469" s="1821"/>
      <c r="AT3469" s="1821"/>
      <c r="AU3469" s="1821"/>
      <c r="AV3469" s="1821"/>
      <c r="AW3469" s="1821"/>
      <c r="AX3469" s="1821"/>
      <c r="AY3469" s="1821"/>
      <c r="AZ3469" s="1821"/>
      <c r="BA3469" s="1821"/>
      <c r="BB3469" s="1821"/>
      <c r="BC3469" s="1821"/>
      <c r="BD3469" s="1821"/>
      <c r="BE3469" s="1821"/>
      <c r="BF3469" s="1821"/>
      <c r="BG3469" s="1821"/>
      <c r="BH3469" s="1821"/>
      <c r="BI3469" s="1821"/>
      <c r="BJ3469" s="1821"/>
      <c r="BK3469" s="1821"/>
      <c r="BL3469" s="1821"/>
      <c r="BM3469" s="1821"/>
      <c r="BN3469" s="1821"/>
      <c r="BO3469" s="1821"/>
      <c r="BP3469" s="1821"/>
      <c r="BQ3469" s="1821"/>
      <c r="BR3469" s="1821"/>
      <c r="BS3469" s="1821"/>
      <c r="BT3469" s="1821"/>
      <c r="BU3469" s="1821"/>
      <c r="BV3469" s="1821"/>
      <c r="BW3469" s="1821"/>
      <c r="BX3469" s="1821"/>
      <c r="BY3469" s="1821"/>
      <c r="BZ3469" s="1821"/>
      <c r="CA3469" s="1821"/>
      <c r="CB3469" s="1821"/>
      <c r="CC3469" s="1821"/>
      <c r="CD3469" s="1821"/>
      <c r="CE3469" s="1821"/>
      <c r="CF3469" s="1821"/>
      <c r="CG3469" s="1821"/>
      <c r="CH3469" s="1821"/>
      <c r="CI3469" s="1821"/>
      <c r="CJ3469" s="1821"/>
      <c r="CK3469" s="1821"/>
    </row>
    <row r="3470" spans="1:89" s="675" customFormat="1" ht="16.5" customHeight="1" x14ac:dyDescent="0.25">
      <c r="A3470" s="697"/>
      <c r="B3470" s="1002" t="s">
        <v>365</v>
      </c>
      <c r="C3470" s="1007">
        <v>1</v>
      </c>
      <c r="D3470" s="1005" t="s">
        <v>294</v>
      </c>
      <c r="E3470" s="1006">
        <v>33000</v>
      </c>
      <c r="F3470" s="700"/>
      <c r="G3470" s="700"/>
      <c r="H3470" s="700">
        <f t="shared" si="366"/>
        <v>0</v>
      </c>
      <c r="I3470" s="700">
        <f>C3470*E3470</f>
        <v>33000</v>
      </c>
      <c r="J3470" s="700"/>
      <c r="K3470" s="700">
        <f t="shared" si="367"/>
        <v>33000</v>
      </c>
      <c r="L3470" s="700"/>
      <c r="M3470" s="700"/>
      <c r="N3470" s="700">
        <f t="shared" si="368"/>
        <v>0</v>
      </c>
      <c r="O3470" s="974">
        <f t="shared" si="370"/>
        <v>33000</v>
      </c>
      <c r="P3470" s="956"/>
      <c r="Q3470" s="1821"/>
      <c r="R3470" s="1821"/>
      <c r="S3470" s="1821"/>
      <c r="T3470" s="1821"/>
      <c r="U3470" s="1821"/>
      <c r="V3470" s="1821"/>
      <c r="W3470" s="1821"/>
      <c r="X3470" s="1821"/>
      <c r="Y3470" s="1821"/>
      <c r="Z3470" s="1821"/>
      <c r="AA3470" s="1821"/>
      <c r="AB3470" s="1821"/>
      <c r="AC3470" s="1821"/>
      <c r="AD3470" s="1821"/>
      <c r="AE3470" s="1821"/>
      <c r="AF3470" s="1821"/>
      <c r="AG3470" s="1821"/>
      <c r="AH3470" s="1821"/>
      <c r="AI3470" s="1821"/>
      <c r="AJ3470" s="1821"/>
      <c r="AK3470" s="1821"/>
      <c r="AL3470" s="1821"/>
      <c r="AM3470" s="1821"/>
      <c r="AN3470" s="1821"/>
      <c r="AO3470" s="1821"/>
      <c r="AP3470" s="1821"/>
      <c r="AQ3470" s="1821"/>
      <c r="AR3470" s="1821"/>
      <c r="AS3470" s="1821"/>
      <c r="AT3470" s="1821"/>
      <c r="AU3470" s="1821"/>
      <c r="AV3470" s="1821"/>
      <c r="AW3470" s="1821"/>
      <c r="AX3470" s="1821"/>
      <c r="AY3470" s="1821"/>
      <c r="AZ3470" s="1821"/>
      <c r="BA3470" s="1821"/>
      <c r="BB3470" s="1821"/>
      <c r="BC3470" s="1821"/>
      <c r="BD3470" s="1821"/>
      <c r="BE3470" s="1821"/>
      <c r="BF3470" s="1821"/>
      <c r="BG3470" s="1821"/>
      <c r="BH3470" s="1821"/>
      <c r="BI3470" s="1821"/>
      <c r="BJ3470" s="1821"/>
      <c r="BK3470" s="1821"/>
      <c r="BL3470" s="1821"/>
      <c r="BM3470" s="1821"/>
      <c r="BN3470" s="1821"/>
      <c r="BO3470" s="1821"/>
      <c r="BP3470" s="1821"/>
      <c r="BQ3470" s="1821"/>
      <c r="BR3470" s="1821"/>
      <c r="BS3470" s="1821"/>
      <c r="BT3470" s="1821"/>
      <c r="BU3470" s="1821"/>
      <c r="BV3470" s="1821"/>
      <c r="BW3470" s="1821"/>
      <c r="BX3470" s="1821"/>
      <c r="BY3470" s="1821"/>
      <c r="BZ3470" s="1821"/>
      <c r="CA3470" s="1821"/>
      <c r="CB3470" s="1821"/>
      <c r="CC3470" s="1821"/>
      <c r="CD3470" s="1821"/>
      <c r="CE3470" s="1821"/>
      <c r="CF3470" s="1821"/>
      <c r="CG3470" s="1821"/>
      <c r="CH3470" s="1821"/>
      <c r="CI3470" s="1821"/>
      <c r="CJ3470" s="1821"/>
      <c r="CK3470" s="1821"/>
    </row>
    <row r="3471" spans="1:89" s="675" customFormat="1" ht="16.5" customHeight="1" x14ac:dyDescent="0.25">
      <c r="A3471" s="697"/>
      <c r="B3471" s="1002" t="s">
        <v>349</v>
      </c>
      <c r="C3471" s="1007"/>
      <c r="D3471" s="1005"/>
      <c r="E3471" s="1006"/>
      <c r="F3471" s="700"/>
      <c r="G3471" s="700"/>
      <c r="H3471" s="700">
        <f t="shared" si="366"/>
        <v>0</v>
      </c>
      <c r="I3471" s="700"/>
      <c r="J3471" s="700">
        <f t="shared" si="369"/>
        <v>0</v>
      </c>
      <c r="K3471" s="700">
        <f t="shared" si="367"/>
        <v>0</v>
      </c>
      <c r="L3471" s="700"/>
      <c r="M3471" s="700"/>
      <c r="N3471" s="700">
        <f t="shared" si="368"/>
        <v>0</v>
      </c>
      <c r="O3471" s="974">
        <f t="shared" si="370"/>
        <v>0</v>
      </c>
      <c r="P3471" s="956"/>
      <c r="Q3471" s="1821"/>
      <c r="R3471" s="1821"/>
      <c r="S3471" s="1821"/>
      <c r="T3471" s="1821"/>
      <c r="U3471" s="1821"/>
      <c r="V3471" s="1821"/>
      <c r="W3471" s="1821"/>
      <c r="X3471" s="1821"/>
      <c r="Y3471" s="1821"/>
      <c r="Z3471" s="1821"/>
      <c r="AA3471" s="1821"/>
      <c r="AB3471" s="1821"/>
      <c r="AC3471" s="1821"/>
      <c r="AD3471" s="1821"/>
      <c r="AE3471" s="1821"/>
      <c r="AF3471" s="1821"/>
      <c r="AG3471" s="1821"/>
      <c r="AH3471" s="1821"/>
      <c r="AI3471" s="1821"/>
      <c r="AJ3471" s="1821"/>
      <c r="AK3471" s="1821"/>
      <c r="AL3471" s="1821"/>
      <c r="AM3471" s="1821"/>
      <c r="AN3471" s="1821"/>
      <c r="AO3471" s="1821"/>
      <c r="AP3471" s="1821"/>
      <c r="AQ3471" s="1821"/>
      <c r="AR3471" s="1821"/>
      <c r="AS3471" s="1821"/>
      <c r="AT3471" s="1821"/>
      <c r="AU3471" s="1821"/>
      <c r="AV3471" s="1821"/>
      <c r="AW3471" s="1821"/>
      <c r="AX3471" s="1821"/>
      <c r="AY3471" s="1821"/>
      <c r="AZ3471" s="1821"/>
      <c r="BA3471" s="1821"/>
      <c r="BB3471" s="1821"/>
      <c r="BC3471" s="1821"/>
      <c r="BD3471" s="1821"/>
      <c r="BE3471" s="1821"/>
      <c r="BF3471" s="1821"/>
      <c r="BG3471" s="1821"/>
      <c r="BH3471" s="1821"/>
      <c r="BI3471" s="1821"/>
      <c r="BJ3471" s="1821"/>
      <c r="BK3471" s="1821"/>
      <c r="BL3471" s="1821"/>
      <c r="BM3471" s="1821"/>
      <c r="BN3471" s="1821"/>
      <c r="BO3471" s="1821"/>
      <c r="BP3471" s="1821"/>
      <c r="BQ3471" s="1821"/>
      <c r="BR3471" s="1821"/>
      <c r="BS3471" s="1821"/>
      <c r="BT3471" s="1821"/>
      <c r="BU3471" s="1821"/>
      <c r="BV3471" s="1821"/>
      <c r="BW3471" s="1821"/>
      <c r="BX3471" s="1821"/>
      <c r="BY3471" s="1821"/>
      <c r="BZ3471" s="1821"/>
      <c r="CA3471" s="1821"/>
      <c r="CB3471" s="1821"/>
      <c r="CC3471" s="1821"/>
      <c r="CD3471" s="1821"/>
      <c r="CE3471" s="1821"/>
      <c r="CF3471" s="1821"/>
      <c r="CG3471" s="1821"/>
      <c r="CH3471" s="1821"/>
      <c r="CI3471" s="1821"/>
      <c r="CJ3471" s="1821"/>
      <c r="CK3471" s="1821"/>
    </row>
    <row r="3472" spans="1:89" s="675" customFormat="1" ht="16.5" customHeight="1" x14ac:dyDescent="0.25">
      <c r="A3472" s="697"/>
      <c r="B3472" s="1002" t="s">
        <v>344</v>
      </c>
      <c r="C3472" s="1007">
        <v>45</v>
      </c>
      <c r="D3472" s="1005" t="s">
        <v>51</v>
      </c>
      <c r="E3472" s="1006">
        <v>120</v>
      </c>
      <c r="F3472" s="700"/>
      <c r="G3472" s="700"/>
      <c r="H3472" s="700">
        <f t="shared" si="366"/>
        <v>0</v>
      </c>
      <c r="I3472" s="700"/>
      <c r="J3472" s="700">
        <f t="shared" si="369"/>
        <v>5400</v>
      </c>
      <c r="K3472" s="700">
        <f t="shared" si="367"/>
        <v>5400</v>
      </c>
      <c r="L3472" s="700"/>
      <c r="M3472" s="700"/>
      <c r="N3472" s="700">
        <f t="shared" si="368"/>
        <v>0</v>
      </c>
      <c r="O3472" s="974">
        <f t="shared" si="370"/>
        <v>5400</v>
      </c>
      <c r="P3472" s="956"/>
      <c r="Q3472" s="1821"/>
      <c r="R3472" s="1821"/>
      <c r="S3472" s="1821"/>
      <c r="T3472" s="1821"/>
      <c r="U3472" s="1821"/>
      <c r="V3472" s="1821"/>
      <c r="W3472" s="1821"/>
      <c r="X3472" s="1821"/>
      <c r="Y3472" s="1821"/>
      <c r="Z3472" s="1821"/>
      <c r="AA3472" s="1821"/>
      <c r="AB3472" s="1821"/>
      <c r="AC3472" s="1821"/>
      <c r="AD3472" s="1821"/>
      <c r="AE3472" s="1821"/>
      <c r="AF3472" s="1821"/>
      <c r="AG3472" s="1821"/>
      <c r="AH3472" s="1821"/>
      <c r="AI3472" s="1821"/>
      <c r="AJ3472" s="1821"/>
      <c r="AK3472" s="1821"/>
      <c r="AL3472" s="1821"/>
      <c r="AM3472" s="1821"/>
      <c r="AN3472" s="1821"/>
      <c r="AO3472" s="1821"/>
      <c r="AP3472" s="1821"/>
      <c r="AQ3472" s="1821"/>
      <c r="AR3472" s="1821"/>
      <c r="AS3472" s="1821"/>
      <c r="AT3472" s="1821"/>
      <c r="AU3472" s="1821"/>
      <c r="AV3472" s="1821"/>
      <c r="AW3472" s="1821"/>
      <c r="AX3472" s="1821"/>
      <c r="AY3472" s="1821"/>
      <c r="AZ3472" s="1821"/>
      <c r="BA3472" s="1821"/>
      <c r="BB3472" s="1821"/>
      <c r="BC3472" s="1821"/>
      <c r="BD3472" s="1821"/>
      <c r="BE3472" s="1821"/>
      <c r="BF3472" s="1821"/>
      <c r="BG3472" s="1821"/>
      <c r="BH3472" s="1821"/>
      <c r="BI3472" s="1821"/>
      <c r="BJ3472" s="1821"/>
      <c r="BK3472" s="1821"/>
      <c r="BL3472" s="1821"/>
      <c r="BM3472" s="1821"/>
      <c r="BN3472" s="1821"/>
      <c r="BO3472" s="1821"/>
      <c r="BP3472" s="1821"/>
      <c r="BQ3472" s="1821"/>
      <c r="BR3472" s="1821"/>
      <c r="BS3472" s="1821"/>
      <c r="BT3472" s="1821"/>
      <c r="BU3472" s="1821"/>
      <c r="BV3472" s="1821"/>
      <c r="BW3472" s="1821"/>
      <c r="BX3472" s="1821"/>
      <c r="BY3472" s="1821"/>
      <c r="BZ3472" s="1821"/>
      <c r="CA3472" s="1821"/>
      <c r="CB3472" s="1821"/>
      <c r="CC3472" s="1821"/>
      <c r="CD3472" s="1821"/>
      <c r="CE3472" s="1821"/>
      <c r="CF3472" s="1821"/>
      <c r="CG3472" s="1821"/>
      <c r="CH3472" s="1821"/>
      <c r="CI3472" s="1821"/>
      <c r="CJ3472" s="1821"/>
      <c r="CK3472" s="1821"/>
    </row>
    <row r="3473" spans="1:89" s="675" customFormat="1" ht="16.5" customHeight="1" x14ac:dyDescent="0.25">
      <c r="A3473" s="697"/>
      <c r="B3473" s="1002" t="s">
        <v>54</v>
      </c>
      <c r="C3473" s="1007">
        <v>110</v>
      </c>
      <c r="D3473" s="1005" t="s">
        <v>55</v>
      </c>
      <c r="E3473" s="1006">
        <v>430</v>
      </c>
      <c r="F3473" s="700"/>
      <c r="G3473" s="700"/>
      <c r="H3473" s="700">
        <f t="shared" si="366"/>
        <v>0</v>
      </c>
      <c r="I3473" s="700"/>
      <c r="J3473" s="700">
        <f t="shared" si="369"/>
        <v>47300</v>
      </c>
      <c r="K3473" s="700">
        <f t="shared" si="367"/>
        <v>47300</v>
      </c>
      <c r="L3473" s="700"/>
      <c r="M3473" s="700"/>
      <c r="N3473" s="700">
        <f t="shared" si="368"/>
        <v>0</v>
      </c>
      <c r="O3473" s="974">
        <f t="shared" si="370"/>
        <v>47300</v>
      </c>
      <c r="P3473" s="956"/>
      <c r="Q3473" s="1821"/>
      <c r="R3473" s="1821"/>
      <c r="S3473" s="1821"/>
      <c r="T3473" s="1821"/>
      <c r="U3473" s="1821"/>
      <c r="V3473" s="1821"/>
      <c r="W3473" s="1821"/>
      <c r="X3473" s="1821"/>
      <c r="Y3473" s="1821"/>
      <c r="Z3473" s="1821"/>
      <c r="AA3473" s="1821"/>
      <c r="AB3473" s="1821"/>
      <c r="AC3473" s="1821"/>
      <c r="AD3473" s="1821"/>
      <c r="AE3473" s="1821"/>
      <c r="AF3473" s="1821"/>
      <c r="AG3473" s="1821"/>
      <c r="AH3473" s="1821"/>
      <c r="AI3473" s="1821"/>
      <c r="AJ3473" s="1821"/>
      <c r="AK3473" s="1821"/>
      <c r="AL3473" s="1821"/>
      <c r="AM3473" s="1821"/>
      <c r="AN3473" s="1821"/>
      <c r="AO3473" s="1821"/>
      <c r="AP3473" s="1821"/>
      <c r="AQ3473" s="1821"/>
      <c r="AR3473" s="1821"/>
      <c r="AS3473" s="1821"/>
      <c r="AT3473" s="1821"/>
      <c r="AU3473" s="1821"/>
      <c r="AV3473" s="1821"/>
      <c r="AW3473" s="1821"/>
      <c r="AX3473" s="1821"/>
      <c r="AY3473" s="1821"/>
      <c r="AZ3473" s="1821"/>
      <c r="BA3473" s="1821"/>
      <c r="BB3473" s="1821"/>
      <c r="BC3473" s="1821"/>
      <c r="BD3473" s="1821"/>
      <c r="BE3473" s="1821"/>
      <c r="BF3473" s="1821"/>
      <c r="BG3473" s="1821"/>
      <c r="BH3473" s="1821"/>
      <c r="BI3473" s="1821"/>
      <c r="BJ3473" s="1821"/>
      <c r="BK3473" s="1821"/>
      <c r="BL3473" s="1821"/>
      <c r="BM3473" s="1821"/>
      <c r="BN3473" s="1821"/>
      <c r="BO3473" s="1821"/>
      <c r="BP3473" s="1821"/>
      <c r="BQ3473" s="1821"/>
      <c r="BR3473" s="1821"/>
      <c r="BS3473" s="1821"/>
      <c r="BT3473" s="1821"/>
      <c r="BU3473" s="1821"/>
      <c r="BV3473" s="1821"/>
      <c r="BW3473" s="1821"/>
      <c r="BX3473" s="1821"/>
      <c r="BY3473" s="1821"/>
      <c r="BZ3473" s="1821"/>
      <c r="CA3473" s="1821"/>
      <c r="CB3473" s="1821"/>
      <c r="CC3473" s="1821"/>
      <c r="CD3473" s="1821"/>
      <c r="CE3473" s="1821"/>
      <c r="CF3473" s="1821"/>
      <c r="CG3473" s="1821"/>
      <c r="CH3473" s="1821"/>
      <c r="CI3473" s="1821"/>
      <c r="CJ3473" s="1821"/>
      <c r="CK3473" s="1821"/>
    </row>
    <row r="3474" spans="1:89" s="675" customFormat="1" ht="16.5" customHeight="1" x14ac:dyDescent="0.25">
      <c r="A3474" s="697"/>
      <c r="B3474" s="1002" t="s">
        <v>52</v>
      </c>
      <c r="C3474" s="1007">
        <v>135</v>
      </c>
      <c r="D3474" s="1005" t="s">
        <v>55</v>
      </c>
      <c r="E3474" s="1006">
        <v>497</v>
      </c>
      <c r="F3474" s="700"/>
      <c r="G3474" s="700"/>
      <c r="H3474" s="700">
        <f t="shared" si="366"/>
        <v>0</v>
      </c>
      <c r="I3474" s="700"/>
      <c r="J3474" s="700">
        <f t="shared" si="369"/>
        <v>67095</v>
      </c>
      <c r="K3474" s="700">
        <f t="shared" si="367"/>
        <v>67095</v>
      </c>
      <c r="L3474" s="700"/>
      <c r="M3474" s="700"/>
      <c r="N3474" s="700">
        <f t="shared" si="368"/>
        <v>0</v>
      </c>
      <c r="O3474" s="974">
        <f t="shared" si="370"/>
        <v>67095</v>
      </c>
      <c r="P3474" s="956"/>
      <c r="Q3474" s="1821"/>
      <c r="R3474" s="1821"/>
      <c r="S3474" s="1821"/>
      <c r="T3474" s="1821"/>
      <c r="U3474" s="1821"/>
      <c r="V3474" s="1821"/>
      <c r="W3474" s="1821"/>
      <c r="X3474" s="1821"/>
      <c r="Y3474" s="1821"/>
      <c r="Z3474" s="1821"/>
      <c r="AA3474" s="1821"/>
      <c r="AB3474" s="1821"/>
      <c r="AC3474" s="1821"/>
      <c r="AD3474" s="1821"/>
      <c r="AE3474" s="1821"/>
      <c r="AF3474" s="1821"/>
      <c r="AG3474" s="1821"/>
      <c r="AH3474" s="1821"/>
      <c r="AI3474" s="1821"/>
      <c r="AJ3474" s="1821"/>
      <c r="AK3474" s="1821"/>
      <c r="AL3474" s="1821"/>
      <c r="AM3474" s="1821"/>
      <c r="AN3474" s="1821"/>
      <c r="AO3474" s="1821"/>
      <c r="AP3474" s="1821"/>
      <c r="AQ3474" s="1821"/>
      <c r="AR3474" s="1821"/>
      <c r="AS3474" s="1821"/>
      <c r="AT3474" s="1821"/>
      <c r="AU3474" s="1821"/>
      <c r="AV3474" s="1821"/>
      <c r="AW3474" s="1821"/>
      <c r="AX3474" s="1821"/>
      <c r="AY3474" s="1821"/>
      <c r="AZ3474" s="1821"/>
      <c r="BA3474" s="1821"/>
      <c r="BB3474" s="1821"/>
      <c r="BC3474" s="1821"/>
      <c r="BD3474" s="1821"/>
      <c r="BE3474" s="1821"/>
      <c r="BF3474" s="1821"/>
      <c r="BG3474" s="1821"/>
      <c r="BH3474" s="1821"/>
      <c r="BI3474" s="1821"/>
      <c r="BJ3474" s="1821"/>
      <c r="BK3474" s="1821"/>
      <c r="BL3474" s="1821"/>
      <c r="BM3474" s="1821"/>
      <c r="BN3474" s="1821"/>
      <c r="BO3474" s="1821"/>
      <c r="BP3474" s="1821"/>
      <c r="BQ3474" s="1821"/>
      <c r="BR3474" s="1821"/>
      <c r="BS3474" s="1821"/>
      <c r="BT3474" s="1821"/>
      <c r="BU3474" s="1821"/>
      <c r="BV3474" s="1821"/>
      <c r="BW3474" s="1821"/>
      <c r="BX3474" s="1821"/>
      <c r="BY3474" s="1821"/>
      <c r="BZ3474" s="1821"/>
      <c r="CA3474" s="1821"/>
      <c r="CB3474" s="1821"/>
      <c r="CC3474" s="1821"/>
      <c r="CD3474" s="1821"/>
      <c r="CE3474" s="1821"/>
      <c r="CF3474" s="1821"/>
      <c r="CG3474" s="1821"/>
      <c r="CH3474" s="1821"/>
      <c r="CI3474" s="1821"/>
      <c r="CJ3474" s="1821"/>
      <c r="CK3474" s="1821"/>
    </row>
    <row r="3475" spans="1:89" s="675" customFormat="1" ht="16.5" customHeight="1" x14ac:dyDescent="0.25">
      <c r="A3475" s="697"/>
      <c r="B3475" s="1002"/>
      <c r="C3475" s="1007"/>
      <c r="D3475" s="1005"/>
      <c r="E3475" s="1006"/>
      <c r="F3475" s="700"/>
      <c r="G3475" s="700"/>
      <c r="H3475" s="700"/>
      <c r="I3475" s="700"/>
      <c r="J3475" s="700"/>
      <c r="K3475" s="700"/>
      <c r="L3475" s="700"/>
      <c r="M3475" s="700"/>
      <c r="N3475" s="700"/>
      <c r="O3475" s="974"/>
      <c r="P3475" s="956"/>
      <c r="Q3475" s="1821"/>
      <c r="R3475" s="1821"/>
      <c r="S3475" s="1821"/>
      <c r="T3475" s="1821"/>
      <c r="U3475" s="1821"/>
      <c r="V3475" s="1821"/>
      <c r="W3475" s="1821"/>
      <c r="X3475" s="1821"/>
      <c r="Y3475" s="1821"/>
      <c r="Z3475" s="1821"/>
      <c r="AA3475" s="1821"/>
      <c r="AB3475" s="1821"/>
      <c r="AC3475" s="1821"/>
      <c r="AD3475" s="1821"/>
      <c r="AE3475" s="1821"/>
      <c r="AF3475" s="1821"/>
      <c r="AG3475" s="1821"/>
      <c r="AH3475" s="1821"/>
      <c r="AI3475" s="1821"/>
      <c r="AJ3475" s="1821"/>
      <c r="AK3475" s="1821"/>
      <c r="AL3475" s="1821"/>
      <c r="AM3475" s="1821"/>
      <c r="AN3475" s="1821"/>
      <c r="AO3475" s="1821"/>
      <c r="AP3475" s="1821"/>
      <c r="AQ3475" s="1821"/>
      <c r="AR3475" s="1821"/>
      <c r="AS3475" s="1821"/>
      <c r="AT3475" s="1821"/>
      <c r="AU3475" s="1821"/>
      <c r="AV3475" s="1821"/>
      <c r="AW3475" s="1821"/>
      <c r="AX3475" s="1821"/>
      <c r="AY3475" s="1821"/>
      <c r="AZ3475" s="1821"/>
      <c r="BA3475" s="1821"/>
      <c r="BB3475" s="1821"/>
      <c r="BC3475" s="1821"/>
      <c r="BD3475" s="1821"/>
      <c r="BE3475" s="1821"/>
      <c r="BF3475" s="1821"/>
      <c r="BG3475" s="1821"/>
      <c r="BH3475" s="1821"/>
      <c r="BI3475" s="1821"/>
      <c r="BJ3475" s="1821"/>
      <c r="BK3475" s="1821"/>
      <c r="BL3475" s="1821"/>
      <c r="BM3475" s="1821"/>
      <c r="BN3475" s="1821"/>
      <c r="BO3475" s="1821"/>
      <c r="BP3475" s="1821"/>
      <c r="BQ3475" s="1821"/>
      <c r="BR3475" s="1821"/>
      <c r="BS3475" s="1821"/>
      <c r="BT3475" s="1821"/>
      <c r="BU3475" s="1821"/>
      <c r="BV3475" s="1821"/>
      <c r="BW3475" s="1821"/>
      <c r="BX3475" s="1821"/>
      <c r="BY3475" s="1821"/>
      <c r="BZ3475" s="1821"/>
      <c r="CA3475" s="1821"/>
      <c r="CB3475" s="1821"/>
      <c r="CC3475" s="1821"/>
      <c r="CD3475" s="1821"/>
      <c r="CE3475" s="1821"/>
      <c r="CF3475" s="1821"/>
      <c r="CG3475" s="1821"/>
      <c r="CH3475" s="1821"/>
      <c r="CI3475" s="1821"/>
      <c r="CJ3475" s="1821"/>
      <c r="CK3475" s="1821"/>
    </row>
    <row r="3476" spans="1:89" s="675" customFormat="1" ht="16.5" customHeight="1" x14ac:dyDescent="0.25">
      <c r="A3476" s="697">
        <v>24</v>
      </c>
      <c r="B3476" s="1002" t="s">
        <v>1252</v>
      </c>
      <c r="C3476" s="1007">
        <f>SUM(O3478:O3481)</f>
        <v>123721</v>
      </c>
      <c r="D3476" s="1005"/>
      <c r="E3476" s="1006"/>
      <c r="F3476" s="700"/>
      <c r="G3476" s="700"/>
      <c r="H3476" s="700">
        <f t="shared" ref="H3476:H3481" si="371">G3476+F3476</f>
        <v>0</v>
      </c>
      <c r="I3476" s="700"/>
      <c r="J3476" s="700">
        <f>C3476*E3476</f>
        <v>0</v>
      </c>
      <c r="K3476" s="700">
        <f t="shared" ref="K3476:K3481" si="372">J3476+I3476</f>
        <v>0</v>
      </c>
      <c r="L3476" s="700"/>
      <c r="M3476" s="700"/>
      <c r="N3476" s="700">
        <f t="shared" ref="N3476:N3481" si="373">M3476+L3476</f>
        <v>0</v>
      </c>
      <c r="O3476" s="974">
        <f t="shared" ref="O3476:O3481" si="374">N3476+K3476+H3476</f>
        <v>0</v>
      </c>
      <c r="P3476" s="956"/>
      <c r="Q3476" s="1821"/>
      <c r="R3476" s="1821"/>
      <c r="S3476" s="1821"/>
      <c r="T3476" s="1821"/>
      <c r="U3476" s="1821"/>
      <c r="V3476" s="1821"/>
      <c r="W3476" s="1821"/>
      <c r="X3476" s="1821"/>
      <c r="Y3476" s="1821"/>
      <c r="Z3476" s="1821"/>
      <c r="AA3476" s="1821"/>
      <c r="AB3476" s="1821"/>
      <c r="AC3476" s="1821"/>
      <c r="AD3476" s="1821"/>
      <c r="AE3476" s="1821"/>
      <c r="AF3476" s="1821"/>
      <c r="AG3476" s="1821"/>
      <c r="AH3476" s="1821"/>
      <c r="AI3476" s="1821"/>
      <c r="AJ3476" s="1821"/>
      <c r="AK3476" s="1821"/>
      <c r="AL3476" s="1821"/>
      <c r="AM3476" s="1821"/>
      <c r="AN3476" s="1821"/>
      <c r="AO3476" s="1821"/>
      <c r="AP3476" s="1821"/>
      <c r="AQ3476" s="1821"/>
      <c r="AR3476" s="1821"/>
      <c r="AS3476" s="1821"/>
      <c r="AT3476" s="1821"/>
      <c r="AU3476" s="1821"/>
      <c r="AV3476" s="1821"/>
      <c r="AW3476" s="1821"/>
      <c r="AX3476" s="1821"/>
      <c r="AY3476" s="1821"/>
      <c r="AZ3476" s="1821"/>
      <c r="BA3476" s="1821"/>
      <c r="BB3476" s="1821"/>
      <c r="BC3476" s="1821"/>
      <c r="BD3476" s="1821"/>
      <c r="BE3476" s="1821"/>
      <c r="BF3476" s="1821"/>
      <c r="BG3476" s="1821"/>
      <c r="BH3476" s="1821"/>
      <c r="BI3476" s="1821"/>
      <c r="BJ3476" s="1821"/>
      <c r="BK3476" s="1821"/>
      <c r="BL3476" s="1821"/>
      <c r="BM3476" s="1821"/>
      <c r="BN3476" s="1821"/>
      <c r="BO3476" s="1821"/>
      <c r="BP3476" s="1821"/>
      <c r="BQ3476" s="1821"/>
      <c r="BR3476" s="1821"/>
      <c r="BS3476" s="1821"/>
      <c r="BT3476" s="1821"/>
      <c r="BU3476" s="1821"/>
      <c r="BV3476" s="1821"/>
      <c r="BW3476" s="1821"/>
      <c r="BX3476" s="1821"/>
      <c r="BY3476" s="1821"/>
      <c r="BZ3476" s="1821"/>
      <c r="CA3476" s="1821"/>
      <c r="CB3476" s="1821"/>
      <c r="CC3476" s="1821"/>
      <c r="CD3476" s="1821"/>
      <c r="CE3476" s="1821"/>
      <c r="CF3476" s="1821"/>
      <c r="CG3476" s="1821"/>
      <c r="CH3476" s="1821"/>
      <c r="CI3476" s="1821"/>
      <c r="CJ3476" s="1821"/>
      <c r="CK3476" s="1821"/>
    </row>
    <row r="3477" spans="1:89" s="675" customFormat="1" ht="16.5" customHeight="1" x14ac:dyDescent="0.25">
      <c r="A3477" s="697"/>
      <c r="B3477" s="1002" t="s">
        <v>349</v>
      </c>
      <c r="C3477" s="1007"/>
      <c r="D3477" s="1005"/>
      <c r="E3477" s="1006"/>
      <c r="F3477" s="700"/>
      <c r="G3477" s="700"/>
      <c r="H3477" s="700">
        <f t="shared" si="371"/>
        <v>0</v>
      </c>
      <c r="I3477" s="700"/>
      <c r="J3477" s="700">
        <f>C3477*E3477</f>
        <v>0</v>
      </c>
      <c r="K3477" s="700">
        <f t="shared" si="372"/>
        <v>0</v>
      </c>
      <c r="L3477" s="700"/>
      <c r="M3477" s="700"/>
      <c r="N3477" s="700">
        <f t="shared" si="373"/>
        <v>0</v>
      </c>
      <c r="O3477" s="974">
        <f t="shared" si="374"/>
        <v>0</v>
      </c>
      <c r="P3477" s="956"/>
      <c r="Q3477" s="1821"/>
      <c r="R3477" s="1821"/>
      <c r="S3477" s="1821"/>
      <c r="T3477" s="1821"/>
      <c r="U3477" s="1821"/>
      <c r="V3477" s="1821"/>
      <c r="W3477" s="1821"/>
      <c r="X3477" s="1821"/>
      <c r="Y3477" s="1821"/>
      <c r="Z3477" s="1821"/>
      <c r="AA3477" s="1821"/>
      <c r="AB3477" s="1821"/>
      <c r="AC3477" s="1821"/>
      <c r="AD3477" s="1821"/>
      <c r="AE3477" s="1821"/>
      <c r="AF3477" s="1821"/>
      <c r="AG3477" s="1821"/>
      <c r="AH3477" s="1821"/>
      <c r="AI3477" s="1821"/>
      <c r="AJ3477" s="1821"/>
      <c r="AK3477" s="1821"/>
      <c r="AL3477" s="1821"/>
      <c r="AM3477" s="1821"/>
      <c r="AN3477" s="1821"/>
      <c r="AO3477" s="1821"/>
      <c r="AP3477" s="1821"/>
      <c r="AQ3477" s="1821"/>
      <c r="AR3477" s="1821"/>
      <c r="AS3477" s="1821"/>
      <c r="AT3477" s="1821"/>
      <c r="AU3477" s="1821"/>
      <c r="AV3477" s="1821"/>
      <c r="AW3477" s="1821"/>
      <c r="AX3477" s="1821"/>
      <c r="AY3477" s="1821"/>
      <c r="AZ3477" s="1821"/>
      <c r="BA3477" s="1821"/>
      <c r="BB3477" s="1821"/>
      <c r="BC3477" s="1821"/>
      <c r="BD3477" s="1821"/>
      <c r="BE3477" s="1821"/>
      <c r="BF3477" s="1821"/>
      <c r="BG3477" s="1821"/>
      <c r="BH3477" s="1821"/>
      <c r="BI3477" s="1821"/>
      <c r="BJ3477" s="1821"/>
      <c r="BK3477" s="1821"/>
      <c r="BL3477" s="1821"/>
      <c r="BM3477" s="1821"/>
      <c r="BN3477" s="1821"/>
      <c r="BO3477" s="1821"/>
      <c r="BP3477" s="1821"/>
      <c r="BQ3477" s="1821"/>
      <c r="BR3477" s="1821"/>
      <c r="BS3477" s="1821"/>
      <c r="BT3477" s="1821"/>
      <c r="BU3477" s="1821"/>
      <c r="BV3477" s="1821"/>
      <c r="BW3477" s="1821"/>
      <c r="BX3477" s="1821"/>
      <c r="BY3477" s="1821"/>
      <c r="BZ3477" s="1821"/>
      <c r="CA3477" s="1821"/>
      <c r="CB3477" s="1821"/>
      <c r="CC3477" s="1821"/>
      <c r="CD3477" s="1821"/>
      <c r="CE3477" s="1821"/>
      <c r="CF3477" s="1821"/>
      <c r="CG3477" s="1821"/>
      <c r="CH3477" s="1821"/>
      <c r="CI3477" s="1821"/>
      <c r="CJ3477" s="1821"/>
      <c r="CK3477" s="1821"/>
    </row>
    <row r="3478" spans="1:89" s="675" customFormat="1" ht="16.5" customHeight="1" x14ac:dyDescent="0.25">
      <c r="A3478" s="697"/>
      <c r="B3478" s="1002" t="s">
        <v>344</v>
      </c>
      <c r="C3478" s="1007">
        <v>30</v>
      </c>
      <c r="D3478" s="1005" t="s">
        <v>51</v>
      </c>
      <c r="E3478" s="1006">
        <f>J3478/C3478</f>
        <v>1623.8</v>
      </c>
      <c r="F3478" s="700"/>
      <c r="G3478" s="700"/>
      <c r="H3478" s="700">
        <f t="shared" si="371"/>
        <v>0</v>
      </c>
      <c r="I3478" s="700"/>
      <c r="J3478" s="700">
        <v>48714</v>
      </c>
      <c r="K3478" s="700">
        <f t="shared" si="372"/>
        <v>48714</v>
      </c>
      <c r="L3478" s="700"/>
      <c r="M3478" s="700"/>
      <c r="N3478" s="700">
        <f t="shared" si="373"/>
        <v>0</v>
      </c>
      <c r="O3478" s="974">
        <f t="shared" si="374"/>
        <v>48714</v>
      </c>
      <c r="P3478" s="956"/>
      <c r="Q3478" s="1821"/>
      <c r="R3478" s="1821"/>
      <c r="S3478" s="1821"/>
      <c r="T3478" s="1821"/>
      <c r="U3478" s="1821"/>
      <c r="V3478" s="1821"/>
      <c r="W3478" s="1821"/>
      <c r="X3478" s="1821"/>
      <c r="Y3478" s="1821"/>
      <c r="Z3478" s="1821"/>
      <c r="AA3478" s="1821"/>
      <c r="AB3478" s="1821"/>
      <c r="AC3478" s="1821"/>
      <c r="AD3478" s="1821"/>
      <c r="AE3478" s="1821"/>
      <c r="AF3478" s="1821"/>
      <c r="AG3478" s="1821"/>
      <c r="AH3478" s="1821"/>
      <c r="AI3478" s="1821"/>
      <c r="AJ3478" s="1821"/>
      <c r="AK3478" s="1821"/>
      <c r="AL3478" s="1821"/>
      <c r="AM3478" s="1821"/>
      <c r="AN3478" s="1821"/>
      <c r="AO3478" s="1821"/>
      <c r="AP3478" s="1821"/>
      <c r="AQ3478" s="1821"/>
      <c r="AR3478" s="1821"/>
      <c r="AS3478" s="1821"/>
      <c r="AT3478" s="1821"/>
      <c r="AU3478" s="1821"/>
      <c r="AV3478" s="1821"/>
      <c r="AW3478" s="1821"/>
      <c r="AX3478" s="1821"/>
      <c r="AY3478" s="1821"/>
      <c r="AZ3478" s="1821"/>
      <c r="BA3478" s="1821"/>
      <c r="BB3478" s="1821"/>
      <c r="BC3478" s="1821"/>
      <c r="BD3478" s="1821"/>
      <c r="BE3478" s="1821"/>
      <c r="BF3478" s="1821"/>
      <c r="BG3478" s="1821"/>
      <c r="BH3478" s="1821"/>
      <c r="BI3478" s="1821"/>
      <c r="BJ3478" s="1821"/>
      <c r="BK3478" s="1821"/>
      <c r="BL3478" s="1821"/>
      <c r="BM3478" s="1821"/>
      <c r="BN3478" s="1821"/>
      <c r="BO3478" s="1821"/>
      <c r="BP3478" s="1821"/>
      <c r="BQ3478" s="1821"/>
      <c r="BR3478" s="1821"/>
      <c r="BS3478" s="1821"/>
      <c r="BT3478" s="1821"/>
      <c r="BU3478" s="1821"/>
      <c r="BV3478" s="1821"/>
      <c r="BW3478" s="1821"/>
      <c r="BX3478" s="1821"/>
      <c r="BY3478" s="1821"/>
      <c r="BZ3478" s="1821"/>
      <c r="CA3478" s="1821"/>
      <c r="CB3478" s="1821"/>
      <c r="CC3478" s="1821"/>
      <c r="CD3478" s="1821"/>
      <c r="CE3478" s="1821"/>
      <c r="CF3478" s="1821"/>
      <c r="CG3478" s="1821"/>
      <c r="CH3478" s="1821"/>
      <c r="CI3478" s="1821"/>
      <c r="CJ3478" s="1821"/>
      <c r="CK3478" s="1821"/>
    </row>
    <row r="3479" spans="1:89" s="675" customFormat="1" ht="16.5" customHeight="1" x14ac:dyDescent="0.25">
      <c r="A3479" s="697"/>
      <c r="B3479" s="1002" t="s">
        <v>54</v>
      </c>
      <c r="C3479" s="1007">
        <v>90</v>
      </c>
      <c r="D3479" s="1005" t="s">
        <v>55</v>
      </c>
      <c r="E3479" s="1006">
        <f>J3479/C3479</f>
        <v>396.11111111111109</v>
      </c>
      <c r="F3479" s="700"/>
      <c r="G3479" s="700"/>
      <c r="H3479" s="700">
        <f t="shared" si="371"/>
        <v>0</v>
      </c>
      <c r="I3479" s="700"/>
      <c r="J3479" s="700">
        <v>35650</v>
      </c>
      <c r="K3479" s="700">
        <f t="shared" si="372"/>
        <v>35650</v>
      </c>
      <c r="L3479" s="700"/>
      <c r="M3479" s="700"/>
      <c r="N3479" s="700">
        <f t="shared" si="373"/>
        <v>0</v>
      </c>
      <c r="O3479" s="974">
        <f t="shared" si="374"/>
        <v>35650</v>
      </c>
      <c r="P3479" s="956"/>
      <c r="Q3479" s="1821"/>
      <c r="R3479" s="1821"/>
      <c r="S3479" s="1821"/>
      <c r="T3479" s="1821"/>
      <c r="U3479" s="1821"/>
      <c r="V3479" s="1821"/>
      <c r="W3479" s="1821"/>
      <c r="X3479" s="1821"/>
      <c r="Y3479" s="1821"/>
      <c r="Z3479" s="1821"/>
      <c r="AA3479" s="1821"/>
      <c r="AB3479" s="1821"/>
      <c r="AC3479" s="1821"/>
      <c r="AD3479" s="1821"/>
      <c r="AE3479" s="1821"/>
      <c r="AF3479" s="1821"/>
      <c r="AG3479" s="1821"/>
      <c r="AH3479" s="1821"/>
      <c r="AI3479" s="1821"/>
      <c r="AJ3479" s="1821"/>
      <c r="AK3479" s="1821"/>
      <c r="AL3479" s="1821"/>
      <c r="AM3479" s="1821"/>
      <c r="AN3479" s="1821"/>
      <c r="AO3479" s="1821"/>
      <c r="AP3479" s="1821"/>
      <c r="AQ3479" s="1821"/>
      <c r="AR3479" s="1821"/>
      <c r="AS3479" s="1821"/>
      <c r="AT3479" s="1821"/>
      <c r="AU3479" s="1821"/>
      <c r="AV3479" s="1821"/>
      <c r="AW3479" s="1821"/>
      <c r="AX3479" s="1821"/>
      <c r="AY3479" s="1821"/>
      <c r="AZ3479" s="1821"/>
      <c r="BA3479" s="1821"/>
      <c r="BB3479" s="1821"/>
      <c r="BC3479" s="1821"/>
      <c r="BD3479" s="1821"/>
      <c r="BE3479" s="1821"/>
      <c r="BF3479" s="1821"/>
      <c r="BG3479" s="1821"/>
      <c r="BH3479" s="1821"/>
      <c r="BI3479" s="1821"/>
      <c r="BJ3479" s="1821"/>
      <c r="BK3479" s="1821"/>
      <c r="BL3479" s="1821"/>
      <c r="BM3479" s="1821"/>
      <c r="BN3479" s="1821"/>
      <c r="BO3479" s="1821"/>
      <c r="BP3479" s="1821"/>
      <c r="BQ3479" s="1821"/>
      <c r="BR3479" s="1821"/>
      <c r="BS3479" s="1821"/>
      <c r="BT3479" s="1821"/>
      <c r="BU3479" s="1821"/>
      <c r="BV3479" s="1821"/>
      <c r="BW3479" s="1821"/>
      <c r="BX3479" s="1821"/>
      <c r="BY3479" s="1821"/>
      <c r="BZ3479" s="1821"/>
      <c r="CA3479" s="1821"/>
      <c r="CB3479" s="1821"/>
      <c r="CC3479" s="1821"/>
      <c r="CD3479" s="1821"/>
      <c r="CE3479" s="1821"/>
      <c r="CF3479" s="1821"/>
      <c r="CG3479" s="1821"/>
      <c r="CH3479" s="1821"/>
      <c r="CI3479" s="1821"/>
      <c r="CJ3479" s="1821"/>
      <c r="CK3479" s="1821"/>
    </row>
    <row r="3480" spans="1:89" s="675" customFormat="1" ht="16.5" customHeight="1" x14ac:dyDescent="0.25">
      <c r="A3480" s="697"/>
      <c r="B3480" s="1002" t="s">
        <v>52</v>
      </c>
      <c r="C3480" s="1007">
        <v>81</v>
      </c>
      <c r="D3480" s="1005" t="s">
        <v>55</v>
      </c>
      <c r="E3480" s="1006">
        <f>J3480/C3480</f>
        <v>458.11111111111109</v>
      </c>
      <c r="F3480" s="700"/>
      <c r="G3480" s="700"/>
      <c r="H3480" s="700">
        <f t="shared" si="371"/>
        <v>0</v>
      </c>
      <c r="I3480" s="700"/>
      <c r="J3480" s="700">
        <v>37107</v>
      </c>
      <c r="K3480" s="700">
        <f t="shared" si="372"/>
        <v>37107</v>
      </c>
      <c r="L3480" s="700"/>
      <c r="M3480" s="700"/>
      <c r="N3480" s="700">
        <f t="shared" si="373"/>
        <v>0</v>
      </c>
      <c r="O3480" s="974">
        <f t="shared" si="374"/>
        <v>37107</v>
      </c>
      <c r="P3480" s="956"/>
      <c r="Q3480" s="1821"/>
      <c r="R3480" s="1821"/>
      <c r="S3480" s="1821"/>
      <c r="T3480" s="1821"/>
      <c r="U3480" s="1821"/>
      <c r="V3480" s="1821"/>
      <c r="W3480" s="1821"/>
      <c r="X3480" s="1821"/>
      <c r="Y3480" s="1821"/>
      <c r="Z3480" s="1821"/>
      <c r="AA3480" s="1821"/>
      <c r="AB3480" s="1821"/>
      <c r="AC3480" s="1821"/>
      <c r="AD3480" s="1821"/>
      <c r="AE3480" s="1821"/>
      <c r="AF3480" s="1821"/>
      <c r="AG3480" s="1821"/>
      <c r="AH3480" s="1821"/>
      <c r="AI3480" s="1821"/>
      <c r="AJ3480" s="1821"/>
      <c r="AK3480" s="1821"/>
      <c r="AL3480" s="1821"/>
      <c r="AM3480" s="1821"/>
      <c r="AN3480" s="1821"/>
      <c r="AO3480" s="1821"/>
      <c r="AP3480" s="1821"/>
      <c r="AQ3480" s="1821"/>
      <c r="AR3480" s="1821"/>
      <c r="AS3480" s="1821"/>
      <c r="AT3480" s="1821"/>
      <c r="AU3480" s="1821"/>
      <c r="AV3480" s="1821"/>
      <c r="AW3480" s="1821"/>
      <c r="AX3480" s="1821"/>
      <c r="AY3480" s="1821"/>
      <c r="AZ3480" s="1821"/>
      <c r="BA3480" s="1821"/>
      <c r="BB3480" s="1821"/>
      <c r="BC3480" s="1821"/>
      <c r="BD3480" s="1821"/>
      <c r="BE3480" s="1821"/>
      <c r="BF3480" s="1821"/>
      <c r="BG3480" s="1821"/>
      <c r="BH3480" s="1821"/>
      <c r="BI3480" s="1821"/>
      <c r="BJ3480" s="1821"/>
      <c r="BK3480" s="1821"/>
      <c r="BL3480" s="1821"/>
      <c r="BM3480" s="1821"/>
      <c r="BN3480" s="1821"/>
      <c r="BO3480" s="1821"/>
      <c r="BP3480" s="1821"/>
      <c r="BQ3480" s="1821"/>
      <c r="BR3480" s="1821"/>
      <c r="BS3480" s="1821"/>
      <c r="BT3480" s="1821"/>
      <c r="BU3480" s="1821"/>
      <c r="BV3480" s="1821"/>
      <c r="BW3480" s="1821"/>
      <c r="BX3480" s="1821"/>
      <c r="BY3480" s="1821"/>
      <c r="BZ3480" s="1821"/>
      <c r="CA3480" s="1821"/>
      <c r="CB3480" s="1821"/>
      <c r="CC3480" s="1821"/>
      <c r="CD3480" s="1821"/>
      <c r="CE3480" s="1821"/>
      <c r="CF3480" s="1821"/>
      <c r="CG3480" s="1821"/>
      <c r="CH3480" s="1821"/>
      <c r="CI3480" s="1821"/>
      <c r="CJ3480" s="1821"/>
      <c r="CK3480" s="1821"/>
    </row>
    <row r="3481" spans="1:89" s="675" customFormat="1" ht="16.5" customHeight="1" x14ac:dyDescent="0.25">
      <c r="A3481" s="697"/>
      <c r="B3481" s="1002" t="s">
        <v>1251</v>
      </c>
      <c r="C3481" s="1007">
        <v>18</v>
      </c>
      <c r="D3481" s="1005" t="s">
        <v>51</v>
      </c>
      <c r="E3481" s="1006">
        <v>125</v>
      </c>
      <c r="F3481" s="700"/>
      <c r="G3481" s="700"/>
      <c r="H3481" s="700">
        <f t="shared" si="371"/>
        <v>0</v>
      </c>
      <c r="I3481" s="700"/>
      <c r="J3481" s="700">
        <v>2250</v>
      </c>
      <c r="K3481" s="700">
        <f t="shared" si="372"/>
        <v>2250</v>
      </c>
      <c r="L3481" s="700"/>
      <c r="M3481" s="700"/>
      <c r="N3481" s="700">
        <f t="shared" si="373"/>
        <v>0</v>
      </c>
      <c r="O3481" s="974">
        <f t="shared" si="374"/>
        <v>2250</v>
      </c>
      <c r="P3481" s="956"/>
      <c r="Q3481" s="1821"/>
      <c r="R3481" s="1821"/>
      <c r="S3481" s="1821"/>
      <c r="T3481" s="1821"/>
      <c r="U3481" s="1821"/>
      <c r="V3481" s="1821"/>
      <c r="W3481" s="1821"/>
      <c r="X3481" s="1821"/>
      <c r="Y3481" s="1821"/>
      <c r="Z3481" s="1821"/>
      <c r="AA3481" s="1821"/>
      <c r="AB3481" s="1821"/>
      <c r="AC3481" s="1821"/>
      <c r="AD3481" s="1821"/>
      <c r="AE3481" s="1821"/>
      <c r="AF3481" s="1821"/>
      <c r="AG3481" s="1821"/>
      <c r="AH3481" s="1821"/>
      <c r="AI3481" s="1821"/>
      <c r="AJ3481" s="1821"/>
      <c r="AK3481" s="1821"/>
      <c r="AL3481" s="1821"/>
      <c r="AM3481" s="1821"/>
      <c r="AN3481" s="1821"/>
      <c r="AO3481" s="1821"/>
      <c r="AP3481" s="1821"/>
      <c r="AQ3481" s="1821"/>
      <c r="AR3481" s="1821"/>
      <c r="AS3481" s="1821"/>
      <c r="AT3481" s="1821"/>
      <c r="AU3481" s="1821"/>
      <c r="AV3481" s="1821"/>
      <c r="AW3481" s="1821"/>
      <c r="AX3481" s="1821"/>
      <c r="AY3481" s="1821"/>
      <c r="AZ3481" s="1821"/>
      <c r="BA3481" s="1821"/>
      <c r="BB3481" s="1821"/>
      <c r="BC3481" s="1821"/>
      <c r="BD3481" s="1821"/>
      <c r="BE3481" s="1821"/>
      <c r="BF3481" s="1821"/>
      <c r="BG3481" s="1821"/>
      <c r="BH3481" s="1821"/>
      <c r="BI3481" s="1821"/>
      <c r="BJ3481" s="1821"/>
      <c r="BK3481" s="1821"/>
      <c r="BL3481" s="1821"/>
      <c r="BM3481" s="1821"/>
      <c r="BN3481" s="1821"/>
      <c r="BO3481" s="1821"/>
      <c r="BP3481" s="1821"/>
      <c r="BQ3481" s="1821"/>
      <c r="BR3481" s="1821"/>
      <c r="BS3481" s="1821"/>
      <c r="BT3481" s="1821"/>
      <c r="BU3481" s="1821"/>
      <c r="BV3481" s="1821"/>
      <c r="BW3481" s="1821"/>
      <c r="BX3481" s="1821"/>
      <c r="BY3481" s="1821"/>
      <c r="BZ3481" s="1821"/>
      <c r="CA3481" s="1821"/>
      <c r="CB3481" s="1821"/>
      <c r="CC3481" s="1821"/>
      <c r="CD3481" s="1821"/>
      <c r="CE3481" s="1821"/>
      <c r="CF3481" s="1821"/>
      <c r="CG3481" s="1821"/>
      <c r="CH3481" s="1821"/>
      <c r="CI3481" s="1821"/>
      <c r="CJ3481" s="1821"/>
      <c r="CK3481" s="1821"/>
    </row>
    <row r="3482" spans="1:89" s="675" customFormat="1" ht="16.5" customHeight="1" x14ac:dyDescent="0.25">
      <c r="A3482" s="697"/>
      <c r="B3482" s="1002"/>
      <c r="C3482" s="1007"/>
      <c r="D3482" s="1005"/>
      <c r="E3482" s="1006"/>
      <c r="F3482" s="700"/>
      <c r="G3482" s="700"/>
      <c r="H3482" s="700"/>
      <c r="I3482" s="700"/>
      <c r="J3482" s="700"/>
      <c r="K3482" s="700"/>
      <c r="L3482" s="700"/>
      <c r="M3482" s="700"/>
      <c r="N3482" s="700"/>
      <c r="O3482" s="974"/>
      <c r="P3482" s="956"/>
      <c r="Q3482" s="1821"/>
      <c r="R3482" s="1821"/>
      <c r="S3482" s="1821"/>
      <c r="T3482" s="1821"/>
      <c r="U3482" s="1821"/>
      <c r="V3482" s="1821"/>
      <c r="W3482" s="1821"/>
      <c r="X3482" s="1821"/>
      <c r="Y3482" s="1821"/>
      <c r="Z3482" s="1821"/>
      <c r="AA3482" s="1821"/>
      <c r="AB3482" s="1821"/>
      <c r="AC3482" s="1821"/>
      <c r="AD3482" s="1821"/>
      <c r="AE3482" s="1821"/>
      <c r="AF3482" s="1821"/>
      <c r="AG3482" s="1821"/>
      <c r="AH3482" s="1821"/>
      <c r="AI3482" s="1821"/>
      <c r="AJ3482" s="1821"/>
      <c r="AK3482" s="1821"/>
      <c r="AL3482" s="1821"/>
      <c r="AM3482" s="1821"/>
      <c r="AN3482" s="1821"/>
      <c r="AO3482" s="1821"/>
      <c r="AP3482" s="1821"/>
      <c r="AQ3482" s="1821"/>
      <c r="AR3482" s="1821"/>
      <c r="AS3482" s="1821"/>
      <c r="AT3482" s="1821"/>
      <c r="AU3482" s="1821"/>
      <c r="AV3482" s="1821"/>
      <c r="AW3482" s="1821"/>
      <c r="AX3482" s="1821"/>
      <c r="AY3482" s="1821"/>
      <c r="AZ3482" s="1821"/>
      <c r="BA3482" s="1821"/>
      <c r="BB3482" s="1821"/>
      <c r="BC3482" s="1821"/>
      <c r="BD3482" s="1821"/>
      <c r="BE3482" s="1821"/>
      <c r="BF3482" s="1821"/>
      <c r="BG3482" s="1821"/>
      <c r="BH3482" s="1821"/>
      <c r="BI3482" s="1821"/>
      <c r="BJ3482" s="1821"/>
      <c r="BK3482" s="1821"/>
      <c r="BL3482" s="1821"/>
      <c r="BM3482" s="1821"/>
      <c r="BN3482" s="1821"/>
      <c r="BO3482" s="1821"/>
      <c r="BP3482" s="1821"/>
      <c r="BQ3482" s="1821"/>
      <c r="BR3482" s="1821"/>
      <c r="BS3482" s="1821"/>
      <c r="BT3482" s="1821"/>
      <c r="BU3482" s="1821"/>
      <c r="BV3482" s="1821"/>
      <c r="BW3482" s="1821"/>
      <c r="BX3482" s="1821"/>
      <c r="BY3482" s="1821"/>
      <c r="BZ3482" s="1821"/>
      <c r="CA3482" s="1821"/>
      <c r="CB3482" s="1821"/>
      <c r="CC3482" s="1821"/>
      <c r="CD3482" s="1821"/>
      <c r="CE3482" s="1821"/>
      <c r="CF3482" s="1821"/>
      <c r="CG3482" s="1821"/>
      <c r="CH3482" s="1821"/>
      <c r="CI3482" s="1821"/>
      <c r="CJ3482" s="1821"/>
      <c r="CK3482" s="1821"/>
    </row>
    <row r="3483" spans="1:89" s="675" customFormat="1" ht="16.5" customHeight="1" x14ac:dyDescent="0.25">
      <c r="A3483" s="697">
        <v>25</v>
      </c>
      <c r="B3483" s="1002" t="s">
        <v>1253</v>
      </c>
      <c r="C3483" s="1007">
        <f>SUM(O3485:O3489)</f>
        <v>84000</v>
      </c>
      <c r="D3483" s="1005"/>
      <c r="E3483" s="1006"/>
      <c r="F3483" s="700"/>
      <c r="G3483" s="700"/>
      <c r="H3483" s="700"/>
      <c r="I3483" s="700"/>
      <c r="J3483" s="700"/>
      <c r="K3483" s="700"/>
      <c r="L3483" s="700"/>
      <c r="M3483" s="700"/>
      <c r="N3483" s="700"/>
      <c r="O3483" s="974"/>
      <c r="P3483" s="956"/>
      <c r="Q3483" s="1821"/>
      <c r="R3483" s="1821"/>
      <c r="S3483" s="1821"/>
      <c r="T3483" s="1821"/>
      <c r="U3483" s="1821"/>
      <c r="V3483" s="1821"/>
      <c r="W3483" s="1821"/>
      <c r="X3483" s="1821"/>
      <c r="Y3483" s="1821"/>
      <c r="Z3483" s="1821"/>
      <c r="AA3483" s="1821"/>
      <c r="AB3483" s="1821"/>
      <c r="AC3483" s="1821"/>
      <c r="AD3483" s="1821"/>
      <c r="AE3483" s="1821"/>
      <c r="AF3483" s="1821"/>
      <c r="AG3483" s="1821"/>
      <c r="AH3483" s="1821"/>
      <c r="AI3483" s="1821"/>
      <c r="AJ3483" s="1821"/>
      <c r="AK3483" s="1821"/>
      <c r="AL3483" s="1821"/>
      <c r="AM3483" s="1821"/>
      <c r="AN3483" s="1821"/>
      <c r="AO3483" s="1821"/>
      <c r="AP3483" s="1821"/>
      <c r="AQ3483" s="1821"/>
      <c r="AR3483" s="1821"/>
      <c r="AS3483" s="1821"/>
      <c r="AT3483" s="1821"/>
      <c r="AU3483" s="1821"/>
      <c r="AV3483" s="1821"/>
      <c r="AW3483" s="1821"/>
      <c r="AX3483" s="1821"/>
      <c r="AY3483" s="1821"/>
      <c r="AZ3483" s="1821"/>
      <c r="BA3483" s="1821"/>
      <c r="BB3483" s="1821"/>
      <c r="BC3483" s="1821"/>
      <c r="BD3483" s="1821"/>
      <c r="BE3483" s="1821"/>
      <c r="BF3483" s="1821"/>
      <c r="BG3483" s="1821"/>
      <c r="BH3483" s="1821"/>
      <c r="BI3483" s="1821"/>
      <c r="BJ3483" s="1821"/>
      <c r="BK3483" s="1821"/>
      <c r="BL3483" s="1821"/>
      <c r="BM3483" s="1821"/>
      <c r="BN3483" s="1821"/>
      <c r="BO3483" s="1821"/>
      <c r="BP3483" s="1821"/>
      <c r="BQ3483" s="1821"/>
      <c r="BR3483" s="1821"/>
      <c r="BS3483" s="1821"/>
      <c r="BT3483" s="1821"/>
      <c r="BU3483" s="1821"/>
      <c r="BV3483" s="1821"/>
      <c r="BW3483" s="1821"/>
      <c r="BX3483" s="1821"/>
      <c r="BY3483" s="1821"/>
      <c r="BZ3483" s="1821"/>
      <c r="CA3483" s="1821"/>
      <c r="CB3483" s="1821"/>
      <c r="CC3483" s="1821"/>
      <c r="CD3483" s="1821"/>
      <c r="CE3483" s="1821"/>
      <c r="CF3483" s="1821"/>
      <c r="CG3483" s="1821"/>
      <c r="CH3483" s="1821"/>
      <c r="CI3483" s="1821"/>
      <c r="CJ3483" s="1821"/>
      <c r="CK3483" s="1821"/>
    </row>
    <row r="3484" spans="1:89" s="675" customFormat="1" ht="16.5" customHeight="1" x14ac:dyDescent="0.25">
      <c r="A3484" s="697"/>
      <c r="B3484" s="1002" t="s">
        <v>21</v>
      </c>
      <c r="C3484" s="1007"/>
      <c r="D3484" s="1005"/>
      <c r="E3484" s="1006"/>
      <c r="F3484" s="700"/>
      <c r="G3484" s="700"/>
      <c r="H3484" s="700">
        <f t="shared" ref="H3484:H3489" si="375">G3484+F3484</f>
        <v>0</v>
      </c>
      <c r="I3484" s="700"/>
      <c r="J3484" s="700">
        <f t="shared" ref="J3484:J3489" si="376">C3484*E3484</f>
        <v>0</v>
      </c>
      <c r="K3484" s="700">
        <f t="shared" ref="K3484:K3489" si="377">J3484+I3484</f>
        <v>0</v>
      </c>
      <c r="L3484" s="700"/>
      <c r="M3484" s="700"/>
      <c r="N3484" s="700">
        <f>M3484+L3484</f>
        <v>0</v>
      </c>
      <c r="O3484" s="974">
        <f t="shared" ref="O3484:O3489" si="378">N3484+K3484+H3484</f>
        <v>0</v>
      </c>
      <c r="P3484" s="956"/>
      <c r="Q3484" s="1821"/>
      <c r="R3484" s="1821"/>
      <c r="S3484" s="1821"/>
      <c r="T3484" s="1821"/>
      <c r="U3484" s="1821"/>
      <c r="V3484" s="1821"/>
      <c r="W3484" s="1821"/>
      <c r="X3484" s="1821"/>
      <c r="Y3484" s="1821"/>
      <c r="Z3484" s="1821"/>
      <c r="AA3484" s="1821"/>
      <c r="AB3484" s="1821"/>
      <c r="AC3484" s="1821"/>
      <c r="AD3484" s="1821"/>
      <c r="AE3484" s="1821"/>
      <c r="AF3484" s="1821"/>
      <c r="AG3484" s="1821"/>
      <c r="AH3484" s="1821"/>
      <c r="AI3484" s="1821"/>
      <c r="AJ3484" s="1821"/>
      <c r="AK3484" s="1821"/>
      <c r="AL3484" s="1821"/>
      <c r="AM3484" s="1821"/>
      <c r="AN3484" s="1821"/>
      <c r="AO3484" s="1821"/>
      <c r="AP3484" s="1821"/>
      <c r="AQ3484" s="1821"/>
      <c r="AR3484" s="1821"/>
      <c r="AS3484" s="1821"/>
      <c r="AT3484" s="1821"/>
      <c r="AU3484" s="1821"/>
      <c r="AV3484" s="1821"/>
      <c r="AW3484" s="1821"/>
      <c r="AX3484" s="1821"/>
      <c r="AY3484" s="1821"/>
      <c r="AZ3484" s="1821"/>
      <c r="BA3484" s="1821"/>
      <c r="BB3484" s="1821"/>
      <c r="BC3484" s="1821"/>
      <c r="BD3484" s="1821"/>
      <c r="BE3484" s="1821"/>
      <c r="BF3484" s="1821"/>
      <c r="BG3484" s="1821"/>
      <c r="BH3484" s="1821"/>
      <c r="BI3484" s="1821"/>
      <c r="BJ3484" s="1821"/>
      <c r="BK3484" s="1821"/>
      <c r="BL3484" s="1821"/>
      <c r="BM3484" s="1821"/>
      <c r="BN3484" s="1821"/>
      <c r="BO3484" s="1821"/>
      <c r="BP3484" s="1821"/>
      <c r="BQ3484" s="1821"/>
      <c r="BR3484" s="1821"/>
      <c r="BS3484" s="1821"/>
      <c r="BT3484" s="1821"/>
      <c r="BU3484" s="1821"/>
      <c r="BV3484" s="1821"/>
      <c r="BW3484" s="1821"/>
      <c r="BX3484" s="1821"/>
      <c r="BY3484" s="1821"/>
      <c r="BZ3484" s="1821"/>
      <c r="CA3484" s="1821"/>
      <c r="CB3484" s="1821"/>
      <c r="CC3484" s="1821"/>
      <c r="CD3484" s="1821"/>
      <c r="CE3484" s="1821"/>
      <c r="CF3484" s="1821"/>
      <c r="CG3484" s="1821"/>
      <c r="CH3484" s="1821"/>
      <c r="CI3484" s="1821"/>
      <c r="CJ3484" s="1821"/>
      <c r="CK3484" s="1821"/>
    </row>
    <row r="3485" spans="1:89" s="675" customFormat="1" ht="16.5" customHeight="1" x14ac:dyDescent="0.25">
      <c r="A3485" s="697"/>
      <c r="B3485" s="1002" t="s">
        <v>365</v>
      </c>
      <c r="C3485" s="1007">
        <v>1</v>
      </c>
      <c r="D3485" s="1005" t="s">
        <v>294</v>
      </c>
      <c r="E3485" s="1006">
        <v>36000</v>
      </c>
      <c r="F3485" s="700"/>
      <c r="G3485" s="700"/>
      <c r="H3485" s="700">
        <f t="shared" si="375"/>
        <v>0</v>
      </c>
      <c r="I3485" s="700">
        <f>C3485*E3485</f>
        <v>36000</v>
      </c>
      <c r="J3485" s="700"/>
      <c r="K3485" s="700">
        <f t="shared" si="377"/>
        <v>36000</v>
      </c>
      <c r="L3485" s="700"/>
      <c r="M3485" s="700"/>
      <c r="N3485" s="700">
        <f>M3485+L3485</f>
        <v>0</v>
      </c>
      <c r="O3485" s="974">
        <f t="shared" si="378"/>
        <v>36000</v>
      </c>
      <c r="P3485" s="956"/>
      <c r="Q3485" s="1821"/>
      <c r="R3485" s="1821"/>
      <c r="S3485" s="1821"/>
      <c r="T3485" s="1821"/>
      <c r="U3485" s="1821"/>
      <c r="V3485" s="1821"/>
      <c r="W3485" s="1821"/>
      <c r="X3485" s="1821"/>
      <c r="Y3485" s="1821"/>
      <c r="Z3485" s="1821"/>
      <c r="AA3485" s="1821"/>
      <c r="AB3485" s="1821"/>
      <c r="AC3485" s="1821"/>
      <c r="AD3485" s="1821"/>
      <c r="AE3485" s="1821"/>
      <c r="AF3485" s="1821"/>
      <c r="AG3485" s="1821"/>
      <c r="AH3485" s="1821"/>
      <c r="AI3485" s="1821"/>
      <c r="AJ3485" s="1821"/>
      <c r="AK3485" s="1821"/>
      <c r="AL3485" s="1821"/>
      <c r="AM3485" s="1821"/>
      <c r="AN3485" s="1821"/>
      <c r="AO3485" s="1821"/>
      <c r="AP3485" s="1821"/>
      <c r="AQ3485" s="1821"/>
      <c r="AR3485" s="1821"/>
      <c r="AS3485" s="1821"/>
      <c r="AT3485" s="1821"/>
      <c r="AU3485" s="1821"/>
      <c r="AV3485" s="1821"/>
      <c r="AW3485" s="1821"/>
      <c r="AX3485" s="1821"/>
      <c r="AY3485" s="1821"/>
      <c r="AZ3485" s="1821"/>
      <c r="BA3485" s="1821"/>
      <c r="BB3485" s="1821"/>
      <c r="BC3485" s="1821"/>
      <c r="BD3485" s="1821"/>
      <c r="BE3485" s="1821"/>
      <c r="BF3485" s="1821"/>
      <c r="BG3485" s="1821"/>
      <c r="BH3485" s="1821"/>
      <c r="BI3485" s="1821"/>
      <c r="BJ3485" s="1821"/>
      <c r="BK3485" s="1821"/>
      <c r="BL3485" s="1821"/>
      <c r="BM3485" s="1821"/>
      <c r="BN3485" s="1821"/>
      <c r="BO3485" s="1821"/>
      <c r="BP3485" s="1821"/>
      <c r="BQ3485" s="1821"/>
      <c r="BR3485" s="1821"/>
      <c r="BS3485" s="1821"/>
      <c r="BT3485" s="1821"/>
      <c r="BU3485" s="1821"/>
      <c r="BV3485" s="1821"/>
      <c r="BW3485" s="1821"/>
      <c r="BX3485" s="1821"/>
      <c r="BY3485" s="1821"/>
      <c r="BZ3485" s="1821"/>
      <c r="CA3485" s="1821"/>
      <c r="CB3485" s="1821"/>
      <c r="CC3485" s="1821"/>
      <c r="CD3485" s="1821"/>
      <c r="CE3485" s="1821"/>
      <c r="CF3485" s="1821"/>
      <c r="CG3485" s="1821"/>
      <c r="CH3485" s="1821"/>
      <c r="CI3485" s="1821"/>
      <c r="CJ3485" s="1821"/>
      <c r="CK3485" s="1821"/>
    </row>
    <row r="3486" spans="1:89" s="675" customFormat="1" ht="16.5" customHeight="1" x14ac:dyDescent="0.25">
      <c r="A3486" s="697"/>
      <c r="B3486" s="1002" t="s">
        <v>40</v>
      </c>
      <c r="C3486" s="1007"/>
      <c r="D3486" s="1005"/>
      <c r="E3486" s="1006"/>
      <c r="F3486" s="700"/>
      <c r="G3486" s="700"/>
      <c r="H3486" s="700">
        <f t="shared" si="375"/>
        <v>0</v>
      </c>
      <c r="I3486" s="700"/>
      <c r="J3486" s="700">
        <f t="shared" si="376"/>
        <v>0</v>
      </c>
      <c r="K3486" s="700">
        <f t="shared" si="377"/>
        <v>0</v>
      </c>
      <c r="L3486" s="700"/>
      <c r="M3486" s="700"/>
      <c r="N3486" s="700">
        <f>M3486+L3486</f>
        <v>0</v>
      </c>
      <c r="O3486" s="974">
        <f t="shared" si="378"/>
        <v>0</v>
      </c>
      <c r="P3486" s="956"/>
      <c r="Q3486" s="1821"/>
      <c r="R3486" s="1821"/>
      <c r="S3486" s="1821"/>
      <c r="T3486" s="1821"/>
      <c r="U3486" s="1821"/>
      <c r="V3486" s="1821"/>
      <c r="W3486" s="1821"/>
      <c r="X3486" s="1821"/>
      <c r="Y3486" s="1821"/>
      <c r="Z3486" s="1821"/>
      <c r="AA3486" s="1821"/>
      <c r="AB3486" s="1821"/>
      <c r="AC3486" s="1821"/>
      <c r="AD3486" s="1821"/>
      <c r="AE3486" s="1821"/>
      <c r="AF3486" s="1821"/>
      <c r="AG3486" s="1821"/>
      <c r="AH3486" s="1821"/>
      <c r="AI3486" s="1821"/>
      <c r="AJ3486" s="1821"/>
      <c r="AK3486" s="1821"/>
      <c r="AL3486" s="1821"/>
      <c r="AM3486" s="1821"/>
      <c r="AN3486" s="1821"/>
      <c r="AO3486" s="1821"/>
      <c r="AP3486" s="1821"/>
      <c r="AQ3486" s="1821"/>
      <c r="AR3486" s="1821"/>
      <c r="AS3486" s="1821"/>
      <c r="AT3486" s="1821"/>
      <c r="AU3486" s="1821"/>
      <c r="AV3486" s="1821"/>
      <c r="AW3486" s="1821"/>
      <c r="AX3486" s="1821"/>
      <c r="AY3486" s="1821"/>
      <c r="AZ3486" s="1821"/>
      <c r="BA3486" s="1821"/>
      <c r="BB3486" s="1821"/>
      <c r="BC3486" s="1821"/>
      <c r="BD3486" s="1821"/>
      <c r="BE3486" s="1821"/>
      <c r="BF3486" s="1821"/>
      <c r="BG3486" s="1821"/>
      <c r="BH3486" s="1821"/>
      <c r="BI3486" s="1821"/>
      <c r="BJ3486" s="1821"/>
      <c r="BK3486" s="1821"/>
      <c r="BL3486" s="1821"/>
      <c r="BM3486" s="1821"/>
      <c r="BN3486" s="1821"/>
      <c r="BO3486" s="1821"/>
      <c r="BP3486" s="1821"/>
      <c r="BQ3486" s="1821"/>
      <c r="BR3486" s="1821"/>
      <c r="BS3486" s="1821"/>
      <c r="BT3486" s="1821"/>
      <c r="BU3486" s="1821"/>
      <c r="BV3486" s="1821"/>
      <c r="BW3486" s="1821"/>
      <c r="BX3486" s="1821"/>
      <c r="BY3486" s="1821"/>
      <c r="BZ3486" s="1821"/>
      <c r="CA3486" s="1821"/>
      <c r="CB3486" s="1821"/>
      <c r="CC3486" s="1821"/>
      <c r="CD3486" s="1821"/>
      <c r="CE3486" s="1821"/>
      <c r="CF3486" s="1821"/>
      <c r="CG3486" s="1821"/>
      <c r="CH3486" s="1821"/>
      <c r="CI3486" s="1821"/>
      <c r="CJ3486" s="1821"/>
      <c r="CK3486" s="1821"/>
    </row>
    <row r="3487" spans="1:89" s="675" customFormat="1" ht="16.5" customHeight="1" x14ac:dyDescent="0.25">
      <c r="A3487" s="697"/>
      <c r="B3487" s="1002" t="s">
        <v>1246</v>
      </c>
      <c r="C3487" s="1007">
        <v>1</v>
      </c>
      <c r="D3487" s="1005" t="s">
        <v>294</v>
      </c>
      <c r="E3487" s="1006">
        <v>33000</v>
      </c>
      <c r="F3487" s="700"/>
      <c r="G3487" s="700"/>
      <c r="H3487" s="700">
        <f t="shared" si="375"/>
        <v>0</v>
      </c>
      <c r="I3487" s="700"/>
      <c r="J3487" s="700">
        <f t="shared" si="376"/>
        <v>33000</v>
      </c>
      <c r="K3487" s="700">
        <f t="shared" si="377"/>
        <v>33000</v>
      </c>
      <c r="L3487" s="700"/>
      <c r="M3487" s="700"/>
      <c r="N3487" s="700">
        <f>M3487+L3487</f>
        <v>0</v>
      </c>
      <c r="O3487" s="974">
        <f t="shared" si="378"/>
        <v>33000</v>
      </c>
      <c r="P3487" s="956"/>
      <c r="Q3487" s="1821"/>
      <c r="R3487" s="1821"/>
      <c r="S3487" s="1821"/>
      <c r="T3487" s="1821"/>
      <c r="U3487" s="1821"/>
      <c r="V3487" s="1821"/>
      <c r="W3487" s="1821"/>
      <c r="X3487" s="1821"/>
      <c r="Y3487" s="1821"/>
      <c r="Z3487" s="1821"/>
      <c r="AA3487" s="1821"/>
      <c r="AB3487" s="1821"/>
      <c r="AC3487" s="1821"/>
      <c r="AD3487" s="1821"/>
      <c r="AE3487" s="1821"/>
      <c r="AF3487" s="1821"/>
      <c r="AG3487" s="1821"/>
      <c r="AH3487" s="1821"/>
      <c r="AI3487" s="1821"/>
      <c r="AJ3487" s="1821"/>
      <c r="AK3487" s="1821"/>
      <c r="AL3487" s="1821"/>
      <c r="AM3487" s="1821"/>
      <c r="AN3487" s="1821"/>
      <c r="AO3487" s="1821"/>
      <c r="AP3487" s="1821"/>
      <c r="AQ3487" s="1821"/>
      <c r="AR3487" s="1821"/>
      <c r="AS3487" s="1821"/>
      <c r="AT3487" s="1821"/>
      <c r="AU3487" s="1821"/>
      <c r="AV3487" s="1821"/>
      <c r="AW3487" s="1821"/>
      <c r="AX3487" s="1821"/>
      <c r="AY3487" s="1821"/>
      <c r="AZ3487" s="1821"/>
      <c r="BA3487" s="1821"/>
      <c r="BB3487" s="1821"/>
      <c r="BC3487" s="1821"/>
      <c r="BD3487" s="1821"/>
      <c r="BE3487" s="1821"/>
      <c r="BF3487" s="1821"/>
      <c r="BG3487" s="1821"/>
      <c r="BH3487" s="1821"/>
      <c r="BI3487" s="1821"/>
      <c r="BJ3487" s="1821"/>
      <c r="BK3487" s="1821"/>
      <c r="BL3487" s="1821"/>
      <c r="BM3487" s="1821"/>
      <c r="BN3487" s="1821"/>
      <c r="BO3487" s="1821"/>
      <c r="BP3487" s="1821"/>
      <c r="BQ3487" s="1821"/>
      <c r="BR3487" s="1821"/>
      <c r="BS3487" s="1821"/>
      <c r="BT3487" s="1821"/>
      <c r="BU3487" s="1821"/>
      <c r="BV3487" s="1821"/>
      <c r="BW3487" s="1821"/>
      <c r="BX3487" s="1821"/>
      <c r="BY3487" s="1821"/>
      <c r="BZ3487" s="1821"/>
      <c r="CA3487" s="1821"/>
      <c r="CB3487" s="1821"/>
      <c r="CC3487" s="1821"/>
      <c r="CD3487" s="1821"/>
      <c r="CE3487" s="1821"/>
      <c r="CF3487" s="1821"/>
      <c r="CG3487" s="1821"/>
      <c r="CH3487" s="1821"/>
      <c r="CI3487" s="1821"/>
      <c r="CJ3487" s="1821"/>
      <c r="CK3487" s="1821"/>
    </row>
    <row r="3488" spans="1:89" s="675" customFormat="1" ht="16.5" customHeight="1" x14ac:dyDescent="0.25">
      <c r="A3488" s="697"/>
      <c r="B3488" s="1002" t="s">
        <v>57</v>
      </c>
      <c r="C3488" s="1007"/>
      <c r="D3488" s="1005"/>
      <c r="E3488" s="1006"/>
      <c r="F3488" s="700"/>
      <c r="G3488" s="700"/>
      <c r="H3488" s="700">
        <f t="shared" si="375"/>
        <v>0</v>
      </c>
      <c r="I3488" s="700"/>
      <c r="J3488" s="700">
        <f t="shared" si="376"/>
        <v>0</v>
      </c>
      <c r="K3488" s="700">
        <f t="shared" si="377"/>
        <v>0</v>
      </c>
      <c r="L3488" s="700"/>
      <c r="M3488" s="700"/>
      <c r="N3488" s="700">
        <f>M3488+L3488</f>
        <v>0</v>
      </c>
      <c r="O3488" s="974">
        <f t="shared" si="378"/>
        <v>0</v>
      </c>
      <c r="P3488" s="956"/>
      <c r="Q3488" s="1821"/>
      <c r="R3488" s="1821"/>
      <c r="S3488" s="1821"/>
      <c r="T3488" s="1821"/>
      <c r="U3488" s="1821"/>
      <c r="V3488" s="1821"/>
      <c r="W3488" s="1821"/>
      <c r="X3488" s="1821"/>
      <c r="Y3488" s="1821"/>
      <c r="Z3488" s="1821"/>
      <c r="AA3488" s="1821"/>
      <c r="AB3488" s="1821"/>
      <c r="AC3488" s="1821"/>
      <c r="AD3488" s="1821"/>
      <c r="AE3488" s="1821"/>
      <c r="AF3488" s="1821"/>
      <c r="AG3488" s="1821"/>
      <c r="AH3488" s="1821"/>
      <c r="AI3488" s="1821"/>
      <c r="AJ3488" s="1821"/>
      <c r="AK3488" s="1821"/>
      <c r="AL3488" s="1821"/>
      <c r="AM3488" s="1821"/>
      <c r="AN3488" s="1821"/>
      <c r="AO3488" s="1821"/>
      <c r="AP3488" s="1821"/>
      <c r="AQ3488" s="1821"/>
      <c r="AR3488" s="1821"/>
      <c r="AS3488" s="1821"/>
      <c r="AT3488" s="1821"/>
      <c r="AU3488" s="1821"/>
      <c r="AV3488" s="1821"/>
      <c r="AW3488" s="1821"/>
      <c r="AX3488" s="1821"/>
      <c r="AY3488" s="1821"/>
      <c r="AZ3488" s="1821"/>
      <c r="BA3488" s="1821"/>
      <c r="BB3488" s="1821"/>
      <c r="BC3488" s="1821"/>
      <c r="BD3488" s="1821"/>
      <c r="BE3488" s="1821"/>
      <c r="BF3488" s="1821"/>
      <c r="BG3488" s="1821"/>
      <c r="BH3488" s="1821"/>
      <c r="BI3488" s="1821"/>
      <c r="BJ3488" s="1821"/>
      <c r="BK3488" s="1821"/>
      <c r="BL3488" s="1821"/>
      <c r="BM3488" s="1821"/>
      <c r="BN3488" s="1821"/>
      <c r="BO3488" s="1821"/>
      <c r="BP3488" s="1821"/>
      <c r="BQ3488" s="1821"/>
      <c r="BR3488" s="1821"/>
      <c r="BS3488" s="1821"/>
      <c r="BT3488" s="1821"/>
      <c r="BU3488" s="1821"/>
      <c r="BV3488" s="1821"/>
      <c r="BW3488" s="1821"/>
      <c r="BX3488" s="1821"/>
      <c r="BY3488" s="1821"/>
      <c r="BZ3488" s="1821"/>
      <c r="CA3488" s="1821"/>
      <c r="CB3488" s="1821"/>
      <c r="CC3488" s="1821"/>
      <c r="CD3488" s="1821"/>
      <c r="CE3488" s="1821"/>
      <c r="CF3488" s="1821"/>
      <c r="CG3488" s="1821"/>
      <c r="CH3488" s="1821"/>
      <c r="CI3488" s="1821"/>
      <c r="CJ3488" s="1821"/>
      <c r="CK3488" s="1821"/>
    </row>
    <row r="3489" spans="1:89" s="675" customFormat="1" ht="16.5" customHeight="1" x14ac:dyDescent="0.25">
      <c r="A3489" s="697"/>
      <c r="B3489" s="1002" t="s">
        <v>1254</v>
      </c>
      <c r="C3489" s="1007">
        <v>1</v>
      </c>
      <c r="D3489" s="1005" t="s">
        <v>196</v>
      </c>
      <c r="E3489" s="1006">
        <v>15000</v>
      </c>
      <c r="F3489" s="700"/>
      <c r="G3489" s="700"/>
      <c r="H3489" s="700">
        <f t="shared" si="375"/>
        <v>0</v>
      </c>
      <c r="I3489" s="700"/>
      <c r="J3489" s="700">
        <f t="shared" si="376"/>
        <v>15000</v>
      </c>
      <c r="K3489" s="700">
        <f t="shared" si="377"/>
        <v>15000</v>
      </c>
      <c r="L3489" s="700"/>
      <c r="M3489" s="700"/>
      <c r="N3489" s="700"/>
      <c r="O3489" s="974">
        <f t="shared" si="378"/>
        <v>15000</v>
      </c>
      <c r="P3489" s="956"/>
      <c r="Q3489" s="1821"/>
      <c r="R3489" s="1821"/>
      <c r="S3489" s="1821"/>
      <c r="T3489" s="1821"/>
      <c r="U3489" s="1821"/>
      <c r="V3489" s="1821"/>
      <c r="W3489" s="1821"/>
      <c r="X3489" s="1821"/>
      <c r="Y3489" s="1821"/>
      <c r="Z3489" s="1821"/>
      <c r="AA3489" s="1821"/>
      <c r="AB3489" s="1821"/>
      <c r="AC3489" s="1821"/>
      <c r="AD3489" s="1821"/>
      <c r="AE3489" s="1821"/>
      <c r="AF3489" s="1821"/>
      <c r="AG3489" s="1821"/>
      <c r="AH3489" s="1821"/>
      <c r="AI3489" s="1821"/>
      <c r="AJ3489" s="1821"/>
      <c r="AK3489" s="1821"/>
      <c r="AL3489" s="1821"/>
      <c r="AM3489" s="1821"/>
      <c r="AN3489" s="1821"/>
      <c r="AO3489" s="1821"/>
      <c r="AP3489" s="1821"/>
      <c r="AQ3489" s="1821"/>
      <c r="AR3489" s="1821"/>
      <c r="AS3489" s="1821"/>
      <c r="AT3489" s="1821"/>
      <c r="AU3489" s="1821"/>
      <c r="AV3489" s="1821"/>
      <c r="AW3489" s="1821"/>
      <c r="AX3489" s="1821"/>
      <c r="AY3489" s="1821"/>
      <c r="AZ3489" s="1821"/>
      <c r="BA3489" s="1821"/>
      <c r="BB3489" s="1821"/>
      <c r="BC3489" s="1821"/>
      <c r="BD3489" s="1821"/>
      <c r="BE3489" s="1821"/>
      <c r="BF3489" s="1821"/>
      <c r="BG3489" s="1821"/>
      <c r="BH3489" s="1821"/>
      <c r="BI3489" s="1821"/>
      <c r="BJ3489" s="1821"/>
      <c r="BK3489" s="1821"/>
      <c r="BL3489" s="1821"/>
      <c r="BM3489" s="1821"/>
      <c r="BN3489" s="1821"/>
      <c r="BO3489" s="1821"/>
      <c r="BP3489" s="1821"/>
      <c r="BQ3489" s="1821"/>
      <c r="BR3489" s="1821"/>
      <c r="BS3489" s="1821"/>
      <c r="BT3489" s="1821"/>
      <c r="BU3489" s="1821"/>
      <c r="BV3489" s="1821"/>
      <c r="BW3489" s="1821"/>
      <c r="BX3489" s="1821"/>
      <c r="BY3489" s="1821"/>
      <c r="BZ3489" s="1821"/>
      <c r="CA3489" s="1821"/>
      <c r="CB3489" s="1821"/>
      <c r="CC3489" s="1821"/>
      <c r="CD3489" s="1821"/>
      <c r="CE3489" s="1821"/>
      <c r="CF3489" s="1821"/>
      <c r="CG3489" s="1821"/>
      <c r="CH3489" s="1821"/>
      <c r="CI3489" s="1821"/>
      <c r="CJ3489" s="1821"/>
      <c r="CK3489" s="1821"/>
    </row>
    <row r="3490" spans="1:89" s="675" customFormat="1" ht="16.5" customHeight="1" x14ac:dyDescent="0.25">
      <c r="A3490" s="697"/>
      <c r="B3490" s="1002"/>
      <c r="C3490" s="1007"/>
      <c r="D3490" s="1005"/>
      <c r="E3490" s="1006"/>
      <c r="F3490" s="700"/>
      <c r="G3490" s="700"/>
      <c r="H3490" s="700"/>
      <c r="I3490" s="700"/>
      <c r="J3490" s="700"/>
      <c r="K3490" s="700"/>
      <c r="L3490" s="700"/>
      <c r="M3490" s="700"/>
      <c r="N3490" s="700"/>
      <c r="O3490" s="974"/>
      <c r="P3490" s="956"/>
      <c r="Q3490" s="1821"/>
      <c r="R3490" s="1821"/>
      <c r="S3490" s="1821"/>
      <c r="T3490" s="1821"/>
      <c r="U3490" s="1821"/>
      <c r="V3490" s="1821"/>
      <c r="W3490" s="1821"/>
      <c r="X3490" s="1821"/>
      <c r="Y3490" s="1821"/>
      <c r="Z3490" s="1821"/>
      <c r="AA3490" s="1821"/>
      <c r="AB3490" s="1821"/>
      <c r="AC3490" s="1821"/>
      <c r="AD3490" s="1821"/>
      <c r="AE3490" s="1821"/>
      <c r="AF3490" s="1821"/>
      <c r="AG3490" s="1821"/>
      <c r="AH3490" s="1821"/>
      <c r="AI3490" s="1821"/>
      <c r="AJ3490" s="1821"/>
      <c r="AK3490" s="1821"/>
      <c r="AL3490" s="1821"/>
      <c r="AM3490" s="1821"/>
      <c r="AN3490" s="1821"/>
      <c r="AO3490" s="1821"/>
      <c r="AP3490" s="1821"/>
      <c r="AQ3490" s="1821"/>
      <c r="AR3490" s="1821"/>
      <c r="AS3490" s="1821"/>
      <c r="AT3490" s="1821"/>
      <c r="AU3490" s="1821"/>
      <c r="AV3490" s="1821"/>
      <c r="AW3490" s="1821"/>
      <c r="AX3490" s="1821"/>
      <c r="AY3490" s="1821"/>
      <c r="AZ3490" s="1821"/>
      <c r="BA3490" s="1821"/>
      <c r="BB3490" s="1821"/>
      <c r="BC3490" s="1821"/>
      <c r="BD3490" s="1821"/>
      <c r="BE3490" s="1821"/>
      <c r="BF3490" s="1821"/>
      <c r="BG3490" s="1821"/>
      <c r="BH3490" s="1821"/>
      <c r="BI3490" s="1821"/>
      <c r="BJ3490" s="1821"/>
      <c r="BK3490" s="1821"/>
      <c r="BL3490" s="1821"/>
      <c r="BM3490" s="1821"/>
      <c r="BN3490" s="1821"/>
      <c r="BO3490" s="1821"/>
      <c r="BP3490" s="1821"/>
      <c r="BQ3490" s="1821"/>
      <c r="BR3490" s="1821"/>
      <c r="BS3490" s="1821"/>
      <c r="BT3490" s="1821"/>
      <c r="BU3490" s="1821"/>
      <c r="BV3490" s="1821"/>
      <c r="BW3490" s="1821"/>
      <c r="BX3490" s="1821"/>
      <c r="BY3490" s="1821"/>
      <c r="BZ3490" s="1821"/>
      <c r="CA3490" s="1821"/>
      <c r="CB3490" s="1821"/>
      <c r="CC3490" s="1821"/>
      <c r="CD3490" s="1821"/>
      <c r="CE3490" s="1821"/>
      <c r="CF3490" s="1821"/>
      <c r="CG3490" s="1821"/>
      <c r="CH3490" s="1821"/>
      <c r="CI3490" s="1821"/>
      <c r="CJ3490" s="1821"/>
      <c r="CK3490" s="1821"/>
    </row>
    <row r="3491" spans="1:89" s="675" customFormat="1" ht="16.5" customHeight="1" x14ac:dyDescent="0.25">
      <c r="A3491" s="697">
        <v>1953.01</v>
      </c>
      <c r="B3491" s="1002" t="s">
        <v>241</v>
      </c>
      <c r="C3491" s="1007"/>
      <c r="D3491" s="1005"/>
      <c r="E3491" s="1006"/>
      <c r="F3491" s="700"/>
      <c r="G3491" s="700"/>
      <c r="H3491" s="700"/>
      <c r="I3491" s="700"/>
      <c r="J3491" s="700"/>
      <c r="K3491" s="700"/>
      <c r="L3491" s="700"/>
      <c r="M3491" s="700"/>
      <c r="N3491" s="700"/>
      <c r="O3491" s="974"/>
      <c r="P3491" s="956"/>
      <c r="Q3491" s="1821"/>
      <c r="R3491" s="1821"/>
      <c r="S3491" s="1821"/>
      <c r="T3491" s="1821"/>
      <c r="U3491" s="1821"/>
      <c r="V3491" s="1821"/>
      <c r="W3491" s="1821"/>
      <c r="X3491" s="1821"/>
      <c r="Y3491" s="1821"/>
      <c r="Z3491" s="1821"/>
      <c r="AA3491" s="1821"/>
      <c r="AB3491" s="1821"/>
      <c r="AC3491" s="1821"/>
      <c r="AD3491" s="1821"/>
      <c r="AE3491" s="1821"/>
      <c r="AF3491" s="1821"/>
      <c r="AG3491" s="1821"/>
      <c r="AH3491" s="1821"/>
      <c r="AI3491" s="1821"/>
      <c r="AJ3491" s="1821"/>
      <c r="AK3491" s="1821"/>
      <c r="AL3491" s="1821"/>
      <c r="AM3491" s="1821"/>
      <c r="AN3491" s="1821"/>
      <c r="AO3491" s="1821"/>
      <c r="AP3491" s="1821"/>
      <c r="AQ3491" s="1821"/>
      <c r="AR3491" s="1821"/>
      <c r="AS3491" s="1821"/>
      <c r="AT3491" s="1821"/>
      <c r="AU3491" s="1821"/>
      <c r="AV3491" s="1821"/>
      <c r="AW3491" s="1821"/>
      <c r="AX3491" s="1821"/>
      <c r="AY3491" s="1821"/>
      <c r="AZ3491" s="1821"/>
      <c r="BA3491" s="1821"/>
      <c r="BB3491" s="1821"/>
      <c r="BC3491" s="1821"/>
      <c r="BD3491" s="1821"/>
      <c r="BE3491" s="1821"/>
      <c r="BF3491" s="1821"/>
      <c r="BG3491" s="1821"/>
      <c r="BH3491" s="1821"/>
      <c r="BI3491" s="1821"/>
      <c r="BJ3491" s="1821"/>
      <c r="BK3491" s="1821"/>
      <c r="BL3491" s="1821"/>
      <c r="BM3491" s="1821"/>
      <c r="BN3491" s="1821"/>
      <c r="BO3491" s="1821"/>
      <c r="BP3491" s="1821"/>
      <c r="BQ3491" s="1821"/>
      <c r="BR3491" s="1821"/>
      <c r="BS3491" s="1821"/>
      <c r="BT3491" s="1821"/>
      <c r="BU3491" s="1821"/>
      <c r="BV3491" s="1821"/>
      <c r="BW3491" s="1821"/>
      <c r="BX3491" s="1821"/>
      <c r="BY3491" s="1821"/>
      <c r="BZ3491" s="1821"/>
      <c r="CA3491" s="1821"/>
      <c r="CB3491" s="1821"/>
      <c r="CC3491" s="1821"/>
      <c r="CD3491" s="1821"/>
      <c r="CE3491" s="1821"/>
      <c r="CF3491" s="1821"/>
      <c r="CG3491" s="1821"/>
      <c r="CH3491" s="1821"/>
      <c r="CI3491" s="1821"/>
      <c r="CJ3491" s="1821"/>
      <c r="CK3491" s="1821"/>
    </row>
    <row r="3492" spans="1:89" s="675" customFormat="1" ht="16.5" customHeight="1" x14ac:dyDescent="0.25">
      <c r="A3492" s="697" t="s">
        <v>307</v>
      </c>
      <c r="B3492" s="1002" t="s">
        <v>308</v>
      </c>
      <c r="C3492" s="1007"/>
      <c r="D3492" s="1005"/>
      <c r="E3492" s="1006"/>
      <c r="F3492" s="700"/>
      <c r="G3492" s="700"/>
      <c r="H3492" s="700">
        <f t="shared" ref="H3492:H3555" si="379">G3492+F3492</f>
        <v>0</v>
      </c>
      <c r="I3492" s="700">
        <f>C3492*E3492</f>
        <v>0</v>
      </c>
      <c r="J3492" s="700"/>
      <c r="K3492" s="700">
        <f t="shared" ref="K3492:K3555" si="380">J3492+I3492</f>
        <v>0</v>
      </c>
      <c r="L3492" s="700"/>
      <c r="M3492" s="700"/>
      <c r="N3492" s="700">
        <f t="shared" ref="N3492:N3555" si="381">M3492+L3492</f>
        <v>0</v>
      </c>
      <c r="O3492" s="974">
        <f>N3492+K3492+H3492</f>
        <v>0</v>
      </c>
      <c r="P3492" s="956"/>
      <c r="Q3492" s="1821"/>
      <c r="R3492" s="1821"/>
      <c r="S3492" s="1821"/>
      <c r="T3492" s="1821"/>
      <c r="U3492" s="1821"/>
      <c r="V3492" s="1821"/>
      <c r="W3492" s="1821"/>
      <c r="X3492" s="1821"/>
      <c r="Y3492" s="1821"/>
      <c r="Z3492" s="1821"/>
      <c r="AA3492" s="1821"/>
      <c r="AB3492" s="1821"/>
      <c r="AC3492" s="1821"/>
      <c r="AD3492" s="1821"/>
      <c r="AE3492" s="1821"/>
      <c r="AF3492" s="1821"/>
      <c r="AG3492" s="1821"/>
      <c r="AH3492" s="1821"/>
      <c r="AI3492" s="1821"/>
      <c r="AJ3492" s="1821"/>
      <c r="AK3492" s="1821"/>
      <c r="AL3492" s="1821"/>
      <c r="AM3492" s="1821"/>
      <c r="AN3492" s="1821"/>
      <c r="AO3492" s="1821"/>
      <c r="AP3492" s="1821"/>
      <c r="AQ3492" s="1821"/>
      <c r="AR3492" s="1821"/>
      <c r="AS3492" s="1821"/>
      <c r="AT3492" s="1821"/>
      <c r="AU3492" s="1821"/>
      <c r="AV3492" s="1821"/>
      <c r="AW3492" s="1821"/>
      <c r="AX3492" s="1821"/>
      <c r="AY3492" s="1821"/>
      <c r="AZ3492" s="1821"/>
      <c r="BA3492" s="1821"/>
      <c r="BB3492" s="1821"/>
      <c r="BC3492" s="1821"/>
      <c r="BD3492" s="1821"/>
      <c r="BE3492" s="1821"/>
      <c r="BF3492" s="1821"/>
      <c r="BG3492" s="1821"/>
      <c r="BH3492" s="1821"/>
      <c r="BI3492" s="1821"/>
      <c r="BJ3492" s="1821"/>
      <c r="BK3492" s="1821"/>
      <c r="BL3492" s="1821"/>
      <c r="BM3492" s="1821"/>
      <c r="BN3492" s="1821"/>
      <c r="BO3492" s="1821"/>
      <c r="BP3492" s="1821"/>
      <c r="BQ3492" s="1821"/>
      <c r="BR3492" s="1821"/>
      <c r="BS3492" s="1821"/>
      <c r="BT3492" s="1821"/>
      <c r="BU3492" s="1821"/>
      <c r="BV3492" s="1821"/>
      <c r="BW3492" s="1821"/>
      <c r="BX3492" s="1821"/>
      <c r="BY3492" s="1821"/>
      <c r="BZ3492" s="1821"/>
      <c r="CA3492" s="1821"/>
      <c r="CB3492" s="1821"/>
      <c r="CC3492" s="1821"/>
      <c r="CD3492" s="1821"/>
      <c r="CE3492" s="1821"/>
      <c r="CF3492" s="1821"/>
      <c r="CG3492" s="1821"/>
      <c r="CH3492" s="1821"/>
      <c r="CI3492" s="1821"/>
      <c r="CJ3492" s="1821"/>
      <c r="CK3492" s="1821"/>
    </row>
    <row r="3493" spans="1:89" s="675" customFormat="1" ht="16.5" customHeight="1" x14ac:dyDescent="0.25">
      <c r="A3493" s="697"/>
      <c r="B3493" s="1002" t="s">
        <v>311</v>
      </c>
      <c r="C3493" s="1007">
        <v>12</v>
      </c>
      <c r="D3493" s="1005" t="s">
        <v>45</v>
      </c>
      <c r="E3493" s="1006">
        <v>1000</v>
      </c>
      <c r="F3493" s="700"/>
      <c r="G3493" s="700"/>
      <c r="H3493" s="700">
        <f>G3493+F3493</f>
        <v>0</v>
      </c>
      <c r="I3493" s="700">
        <f>C3493*E3493</f>
        <v>12000</v>
      </c>
      <c r="J3493" s="700"/>
      <c r="K3493" s="700">
        <f>I3493+J3493</f>
        <v>12000</v>
      </c>
      <c r="L3493" s="700"/>
      <c r="M3493" s="700"/>
      <c r="N3493" s="700">
        <f>M3493+L3493</f>
        <v>0</v>
      </c>
      <c r="O3493" s="974">
        <f t="shared" ref="O3493:O3507" si="382">N3493+K3493+H3493</f>
        <v>12000</v>
      </c>
      <c r="P3493" s="956"/>
      <c r="Q3493" s="1821"/>
      <c r="R3493" s="1821"/>
      <c r="S3493" s="1821"/>
      <c r="T3493" s="1821"/>
      <c r="U3493" s="1821"/>
      <c r="V3493" s="1821"/>
      <c r="W3493" s="1821"/>
      <c r="X3493" s="1821"/>
      <c r="Y3493" s="1821"/>
      <c r="Z3493" s="1821"/>
      <c r="AA3493" s="1821"/>
      <c r="AB3493" s="1821"/>
      <c r="AC3493" s="1821"/>
      <c r="AD3493" s="1821"/>
      <c r="AE3493" s="1821"/>
      <c r="AF3493" s="1821"/>
      <c r="AG3493" s="1821"/>
      <c r="AH3493" s="1821"/>
      <c r="AI3493" s="1821"/>
      <c r="AJ3493" s="1821"/>
      <c r="AK3493" s="1821"/>
      <c r="AL3493" s="1821"/>
      <c r="AM3493" s="1821"/>
      <c r="AN3493" s="1821"/>
      <c r="AO3493" s="1821"/>
      <c r="AP3493" s="1821"/>
      <c r="AQ3493" s="1821"/>
      <c r="AR3493" s="1821"/>
      <c r="AS3493" s="1821"/>
      <c r="AT3493" s="1821"/>
      <c r="AU3493" s="1821"/>
      <c r="AV3493" s="1821"/>
      <c r="AW3493" s="1821"/>
      <c r="AX3493" s="1821"/>
      <c r="AY3493" s="1821"/>
      <c r="AZ3493" s="1821"/>
      <c r="BA3493" s="1821"/>
      <c r="BB3493" s="1821"/>
      <c r="BC3493" s="1821"/>
      <c r="BD3493" s="1821"/>
      <c r="BE3493" s="1821"/>
      <c r="BF3493" s="1821"/>
      <c r="BG3493" s="1821"/>
      <c r="BH3493" s="1821"/>
      <c r="BI3493" s="1821"/>
      <c r="BJ3493" s="1821"/>
      <c r="BK3493" s="1821"/>
      <c r="BL3493" s="1821"/>
      <c r="BM3493" s="1821"/>
      <c r="BN3493" s="1821"/>
      <c r="BO3493" s="1821"/>
      <c r="BP3493" s="1821"/>
      <c r="BQ3493" s="1821"/>
      <c r="BR3493" s="1821"/>
      <c r="BS3493" s="1821"/>
      <c r="BT3493" s="1821"/>
      <c r="BU3493" s="1821"/>
      <c r="BV3493" s="1821"/>
      <c r="BW3493" s="1821"/>
      <c r="BX3493" s="1821"/>
      <c r="BY3493" s="1821"/>
      <c r="BZ3493" s="1821"/>
      <c r="CA3493" s="1821"/>
      <c r="CB3493" s="1821"/>
      <c r="CC3493" s="1821"/>
      <c r="CD3493" s="1821"/>
      <c r="CE3493" s="1821"/>
      <c r="CF3493" s="1821"/>
      <c r="CG3493" s="1821"/>
      <c r="CH3493" s="1821"/>
      <c r="CI3493" s="1821"/>
      <c r="CJ3493" s="1821"/>
      <c r="CK3493" s="1821"/>
    </row>
    <row r="3494" spans="1:89" s="675" customFormat="1" ht="16.5" customHeight="1" x14ac:dyDescent="0.25">
      <c r="A3494" s="697"/>
      <c r="B3494" s="1002"/>
      <c r="C3494" s="1007"/>
      <c r="D3494" s="1005"/>
      <c r="E3494" s="1006"/>
      <c r="F3494" s="700"/>
      <c r="G3494" s="700"/>
      <c r="H3494" s="700">
        <f t="shared" si="379"/>
        <v>0</v>
      </c>
      <c r="I3494" s="700">
        <f>C3494*E3494</f>
        <v>0</v>
      </c>
      <c r="J3494" s="700"/>
      <c r="K3494" s="700">
        <f t="shared" si="380"/>
        <v>0</v>
      </c>
      <c r="L3494" s="700"/>
      <c r="M3494" s="700"/>
      <c r="N3494" s="700">
        <f t="shared" si="381"/>
        <v>0</v>
      </c>
      <c r="O3494" s="974">
        <f t="shared" si="382"/>
        <v>0</v>
      </c>
      <c r="P3494" s="956"/>
      <c r="Q3494" s="1821"/>
      <c r="R3494" s="1821"/>
      <c r="S3494" s="1821"/>
      <c r="T3494" s="1821"/>
      <c r="U3494" s="1821"/>
      <c r="V3494" s="1821"/>
      <c r="W3494" s="1821"/>
      <c r="X3494" s="1821"/>
      <c r="Y3494" s="1821"/>
      <c r="Z3494" s="1821"/>
      <c r="AA3494" s="1821"/>
      <c r="AB3494" s="1821"/>
      <c r="AC3494" s="1821"/>
      <c r="AD3494" s="1821"/>
      <c r="AE3494" s="1821"/>
      <c r="AF3494" s="1821"/>
      <c r="AG3494" s="1821"/>
      <c r="AH3494" s="1821"/>
      <c r="AI3494" s="1821"/>
      <c r="AJ3494" s="1821"/>
      <c r="AK3494" s="1821"/>
      <c r="AL3494" s="1821"/>
      <c r="AM3494" s="1821"/>
      <c r="AN3494" s="1821"/>
      <c r="AO3494" s="1821"/>
      <c r="AP3494" s="1821"/>
      <c r="AQ3494" s="1821"/>
      <c r="AR3494" s="1821"/>
      <c r="AS3494" s="1821"/>
      <c r="AT3494" s="1821"/>
      <c r="AU3494" s="1821"/>
      <c r="AV3494" s="1821"/>
      <c r="AW3494" s="1821"/>
      <c r="AX3494" s="1821"/>
      <c r="AY3494" s="1821"/>
      <c r="AZ3494" s="1821"/>
      <c r="BA3494" s="1821"/>
      <c r="BB3494" s="1821"/>
      <c r="BC3494" s="1821"/>
      <c r="BD3494" s="1821"/>
      <c r="BE3494" s="1821"/>
      <c r="BF3494" s="1821"/>
      <c r="BG3494" s="1821"/>
      <c r="BH3494" s="1821"/>
      <c r="BI3494" s="1821"/>
      <c r="BJ3494" s="1821"/>
      <c r="BK3494" s="1821"/>
      <c r="BL3494" s="1821"/>
      <c r="BM3494" s="1821"/>
      <c r="BN3494" s="1821"/>
      <c r="BO3494" s="1821"/>
      <c r="BP3494" s="1821"/>
      <c r="BQ3494" s="1821"/>
      <c r="BR3494" s="1821"/>
      <c r="BS3494" s="1821"/>
      <c r="BT3494" s="1821"/>
      <c r="BU3494" s="1821"/>
      <c r="BV3494" s="1821"/>
      <c r="BW3494" s="1821"/>
      <c r="BX3494" s="1821"/>
      <c r="BY3494" s="1821"/>
      <c r="BZ3494" s="1821"/>
      <c r="CA3494" s="1821"/>
      <c r="CB3494" s="1821"/>
      <c r="CC3494" s="1821"/>
      <c r="CD3494" s="1821"/>
      <c r="CE3494" s="1821"/>
      <c r="CF3494" s="1821"/>
      <c r="CG3494" s="1821"/>
      <c r="CH3494" s="1821"/>
      <c r="CI3494" s="1821"/>
      <c r="CJ3494" s="1821"/>
      <c r="CK3494" s="1821"/>
    </row>
    <row r="3495" spans="1:89" s="675" customFormat="1" ht="16.5" customHeight="1" x14ac:dyDescent="0.25">
      <c r="A3495" s="697"/>
      <c r="B3495" s="1002"/>
      <c r="C3495" s="1007"/>
      <c r="D3495" s="1005"/>
      <c r="E3495" s="1006"/>
      <c r="F3495" s="700"/>
      <c r="G3495" s="700"/>
      <c r="H3495" s="700">
        <f t="shared" si="379"/>
        <v>0</v>
      </c>
      <c r="I3495" s="700"/>
      <c r="J3495" s="700"/>
      <c r="K3495" s="700">
        <f t="shared" si="380"/>
        <v>0</v>
      </c>
      <c r="L3495" s="700"/>
      <c r="M3495" s="700"/>
      <c r="N3495" s="700">
        <f t="shared" si="381"/>
        <v>0</v>
      </c>
      <c r="O3495" s="974">
        <f t="shared" si="382"/>
        <v>0</v>
      </c>
      <c r="P3495" s="956"/>
      <c r="Q3495" s="1821"/>
      <c r="R3495" s="1821"/>
      <c r="S3495" s="1821"/>
      <c r="T3495" s="1821"/>
      <c r="U3495" s="1821"/>
      <c r="V3495" s="1821"/>
      <c r="W3495" s="1821"/>
      <c r="X3495" s="1821"/>
      <c r="Y3495" s="1821"/>
      <c r="Z3495" s="1821"/>
      <c r="AA3495" s="1821"/>
      <c r="AB3495" s="1821"/>
      <c r="AC3495" s="1821"/>
      <c r="AD3495" s="1821"/>
      <c r="AE3495" s="1821"/>
      <c r="AF3495" s="1821"/>
      <c r="AG3495" s="1821"/>
      <c r="AH3495" s="1821"/>
      <c r="AI3495" s="1821"/>
      <c r="AJ3495" s="1821"/>
      <c r="AK3495" s="1821"/>
      <c r="AL3495" s="1821"/>
      <c r="AM3495" s="1821"/>
      <c r="AN3495" s="1821"/>
      <c r="AO3495" s="1821"/>
      <c r="AP3495" s="1821"/>
      <c r="AQ3495" s="1821"/>
      <c r="AR3495" s="1821"/>
      <c r="AS3495" s="1821"/>
      <c r="AT3495" s="1821"/>
      <c r="AU3495" s="1821"/>
      <c r="AV3495" s="1821"/>
      <c r="AW3495" s="1821"/>
      <c r="AX3495" s="1821"/>
      <c r="AY3495" s="1821"/>
      <c r="AZ3495" s="1821"/>
      <c r="BA3495" s="1821"/>
      <c r="BB3495" s="1821"/>
      <c r="BC3495" s="1821"/>
      <c r="BD3495" s="1821"/>
      <c r="BE3495" s="1821"/>
      <c r="BF3495" s="1821"/>
      <c r="BG3495" s="1821"/>
      <c r="BH3495" s="1821"/>
      <c r="BI3495" s="1821"/>
      <c r="BJ3495" s="1821"/>
      <c r="BK3495" s="1821"/>
      <c r="BL3495" s="1821"/>
      <c r="BM3495" s="1821"/>
      <c r="BN3495" s="1821"/>
      <c r="BO3495" s="1821"/>
      <c r="BP3495" s="1821"/>
      <c r="BQ3495" s="1821"/>
      <c r="BR3495" s="1821"/>
      <c r="BS3495" s="1821"/>
      <c r="BT3495" s="1821"/>
      <c r="BU3495" s="1821"/>
      <c r="BV3495" s="1821"/>
      <c r="BW3495" s="1821"/>
      <c r="BX3495" s="1821"/>
      <c r="BY3495" s="1821"/>
      <c r="BZ3495" s="1821"/>
      <c r="CA3495" s="1821"/>
      <c r="CB3495" s="1821"/>
      <c r="CC3495" s="1821"/>
      <c r="CD3495" s="1821"/>
      <c r="CE3495" s="1821"/>
      <c r="CF3495" s="1821"/>
      <c r="CG3495" s="1821"/>
      <c r="CH3495" s="1821"/>
      <c r="CI3495" s="1821"/>
      <c r="CJ3495" s="1821"/>
      <c r="CK3495" s="1821"/>
    </row>
    <row r="3496" spans="1:89" s="675" customFormat="1" ht="16.5" customHeight="1" x14ac:dyDescent="0.25">
      <c r="A3496" s="697"/>
      <c r="B3496" s="1002" t="s">
        <v>316</v>
      </c>
      <c r="C3496" s="1007"/>
      <c r="D3496" s="1005"/>
      <c r="E3496" s="1006"/>
      <c r="F3496" s="700"/>
      <c r="G3496" s="700"/>
      <c r="H3496" s="700">
        <f t="shared" si="379"/>
        <v>0</v>
      </c>
      <c r="I3496" s="700"/>
      <c r="J3496" s="700"/>
      <c r="K3496" s="700">
        <f t="shared" si="380"/>
        <v>0</v>
      </c>
      <c r="L3496" s="700"/>
      <c r="M3496" s="700"/>
      <c r="N3496" s="700">
        <f t="shared" si="381"/>
        <v>0</v>
      </c>
      <c r="O3496" s="974">
        <f t="shared" si="382"/>
        <v>0</v>
      </c>
      <c r="P3496" s="956"/>
      <c r="Q3496" s="1821"/>
      <c r="R3496" s="1821"/>
      <c r="S3496" s="1821"/>
      <c r="T3496" s="1821"/>
      <c r="U3496" s="1821"/>
      <c r="V3496" s="1821"/>
      <c r="W3496" s="1821"/>
      <c r="X3496" s="1821"/>
      <c r="Y3496" s="1821"/>
      <c r="Z3496" s="1821"/>
      <c r="AA3496" s="1821"/>
      <c r="AB3496" s="1821"/>
      <c r="AC3496" s="1821"/>
      <c r="AD3496" s="1821"/>
      <c r="AE3496" s="1821"/>
      <c r="AF3496" s="1821"/>
      <c r="AG3496" s="1821"/>
      <c r="AH3496" s="1821"/>
      <c r="AI3496" s="1821"/>
      <c r="AJ3496" s="1821"/>
      <c r="AK3496" s="1821"/>
      <c r="AL3496" s="1821"/>
      <c r="AM3496" s="1821"/>
      <c r="AN3496" s="1821"/>
      <c r="AO3496" s="1821"/>
      <c r="AP3496" s="1821"/>
      <c r="AQ3496" s="1821"/>
      <c r="AR3496" s="1821"/>
      <c r="AS3496" s="1821"/>
      <c r="AT3496" s="1821"/>
      <c r="AU3496" s="1821"/>
      <c r="AV3496" s="1821"/>
      <c r="AW3496" s="1821"/>
      <c r="AX3496" s="1821"/>
      <c r="AY3496" s="1821"/>
      <c r="AZ3496" s="1821"/>
      <c r="BA3496" s="1821"/>
      <c r="BB3496" s="1821"/>
      <c r="BC3496" s="1821"/>
      <c r="BD3496" s="1821"/>
      <c r="BE3496" s="1821"/>
      <c r="BF3496" s="1821"/>
      <c r="BG3496" s="1821"/>
      <c r="BH3496" s="1821"/>
      <c r="BI3496" s="1821"/>
      <c r="BJ3496" s="1821"/>
      <c r="BK3496" s="1821"/>
      <c r="BL3496" s="1821"/>
      <c r="BM3496" s="1821"/>
      <c r="BN3496" s="1821"/>
      <c r="BO3496" s="1821"/>
      <c r="BP3496" s="1821"/>
      <c r="BQ3496" s="1821"/>
      <c r="BR3496" s="1821"/>
      <c r="BS3496" s="1821"/>
      <c r="BT3496" s="1821"/>
      <c r="BU3496" s="1821"/>
      <c r="BV3496" s="1821"/>
      <c r="BW3496" s="1821"/>
      <c r="BX3496" s="1821"/>
      <c r="BY3496" s="1821"/>
      <c r="BZ3496" s="1821"/>
      <c r="CA3496" s="1821"/>
      <c r="CB3496" s="1821"/>
      <c r="CC3496" s="1821"/>
      <c r="CD3496" s="1821"/>
      <c r="CE3496" s="1821"/>
      <c r="CF3496" s="1821"/>
      <c r="CG3496" s="1821"/>
      <c r="CH3496" s="1821"/>
      <c r="CI3496" s="1821"/>
      <c r="CJ3496" s="1821"/>
      <c r="CK3496" s="1821"/>
    </row>
    <row r="3497" spans="1:89" s="675" customFormat="1" ht="16.5" customHeight="1" x14ac:dyDescent="0.25">
      <c r="A3497" s="697"/>
      <c r="B3497" s="1002" t="s">
        <v>317</v>
      </c>
      <c r="C3497" s="1007">
        <v>40</v>
      </c>
      <c r="D3497" s="1005" t="s">
        <v>51</v>
      </c>
      <c r="E3497" s="1006">
        <v>5000</v>
      </c>
      <c r="F3497" s="700"/>
      <c r="G3497" s="700"/>
      <c r="H3497" s="700">
        <f t="shared" si="379"/>
        <v>0</v>
      </c>
      <c r="I3497" s="700"/>
      <c r="J3497" s="700">
        <f>C3497*E3497</f>
        <v>200000</v>
      </c>
      <c r="K3497" s="700">
        <f>I3497+J3497</f>
        <v>200000</v>
      </c>
      <c r="L3497" s="700"/>
      <c r="M3497" s="700"/>
      <c r="N3497" s="700">
        <f t="shared" si="381"/>
        <v>0</v>
      </c>
      <c r="O3497" s="974">
        <f t="shared" si="382"/>
        <v>200000</v>
      </c>
      <c r="P3497" s="956"/>
      <c r="Q3497" s="1821"/>
      <c r="R3497" s="1821"/>
      <c r="S3497" s="1821"/>
      <c r="T3497" s="1821"/>
      <c r="U3497" s="1821"/>
      <c r="V3497" s="1821"/>
      <c r="W3497" s="1821"/>
      <c r="X3497" s="1821"/>
      <c r="Y3497" s="1821"/>
      <c r="Z3497" s="1821"/>
      <c r="AA3497" s="1821"/>
      <c r="AB3497" s="1821"/>
      <c r="AC3497" s="1821"/>
      <c r="AD3497" s="1821"/>
      <c r="AE3497" s="1821"/>
      <c r="AF3497" s="1821"/>
      <c r="AG3497" s="1821"/>
      <c r="AH3497" s="1821"/>
      <c r="AI3497" s="1821"/>
      <c r="AJ3497" s="1821"/>
      <c r="AK3497" s="1821"/>
      <c r="AL3497" s="1821"/>
      <c r="AM3497" s="1821"/>
      <c r="AN3497" s="1821"/>
      <c r="AO3497" s="1821"/>
      <c r="AP3497" s="1821"/>
      <c r="AQ3497" s="1821"/>
      <c r="AR3497" s="1821"/>
      <c r="AS3497" s="1821"/>
      <c r="AT3497" s="1821"/>
      <c r="AU3497" s="1821"/>
      <c r="AV3497" s="1821"/>
      <c r="AW3497" s="1821"/>
      <c r="AX3497" s="1821"/>
      <c r="AY3497" s="1821"/>
      <c r="AZ3497" s="1821"/>
      <c r="BA3497" s="1821"/>
      <c r="BB3497" s="1821"/>
      <c r="BC3497" s="1821"/>
      <c r="BD3497" s="1821"/>
      <c r="BE3497" s="1821"/>
      <c r="BF3497" s="1821"/>
      <c r="BG3497" s="1821"/>
      <c r="BH3497" s="1821"/>
      <c r="BI3497" s="1821"/>
      <c r="BJ3497" s="1821"/>
      <c r="BK3497" s="1821"/>
      <c r="BL3497" s="1821"/>
      <c r="BM3497" s="1821"/>
      <c r="BN3497" s="1821"/>
      <c r="BO3497" s="1821"/>
      <c r="BP3497" s="1821"/>
      <c r="BQ3497" s="1821"/>
      <c r="BR3497" s="1821"/>
      <c r="BS3497" s="1821"/>
      <c r="BT3497" s="1821"/>
      <c r="BU3497" s="1821"/>
      <c r="BV3497" s="1821"/>
      <c r="BW3497" s="1821"/>
      <c r="BX3497" s="1821"/>
      <c r="BY3497" s="1821"/>
      <c r="BZ3497" s="1821"/>
      <c r="CA3497" s="1821"/>
      <c r="CB3497" s="1821"/>
      <c r="CC3497" s="1821"/>
      <c r="CD3497" s="1821"/>
      <c r="CE3497" s="1821"/>
      <c r="CF3497" s="1821"/>
      <c r="CG3497" s="1821"/>
      <c r="CH3497" s="1821"/>
      <c r="CI3497" s="1821"/>
      <c r="CJ3497" s="1821"/>
      <c r="CK3497" s="1821"/>
    </row>
    <row r="3498" spans="1:89" s="675" customFormat="1" ht="16.5" customHeight="1" x14ac:dyDescent="0.25">
      <c r="A3498" s="697"/>
      <c r="B3498" s="1002" t="s">
        <v>318</v>
      </c>
      <c r="C3498" s="1007">
        <v>1</v>
      </c>
      <c r="D3498" s="1005" t="s">
        <v>25</v>
      </c>
      <c r="E3498" s="1006">
        <v>50000</v>
      </c>
      <c r="F3498" s="700"/>
      <c r="G3498" s="700"/>
      <c r="H3498" s="700">
        <f t="shared" si="379"/>
        <v>0</v>
      </c>
      <c r="I3498" s="700"/>
      <c r="J3498" s="700">
        <f>C3498*E3498</f>
        <v>50000</v>
      </c>
      <c r="K3498" s="700">
        <f>I3498+J3498</f>
        <v>50000</v>
      </c>
      <c r="L3498" s="700"/>
      <c r="M3498" s="700"/>
      <c r="N3498" s="700">
        <f t="shared" si="381"/>
        <v>0</v>
      </c>
      <c r="O3498" s="974">
        <f t="shared" si="382"/>
        <v>50000</v>
      </c>
      <c r="P3498" s="956"/>
      <c r="Q3498" s="1821"/>
      <c r="R3498" s="1821"/>
      <c r="S3498" s="1821"/>
      <c r="T3498" s="1821"/>
      <c r="U3498" s="1821"/>
      <c r="V3498" s="1821"/>
      <c r="W3498" s="1821"/>
      <c r="X3498" s="1821"/>
      <c r="Y3498" s="1821"/>
      <c r="Z3498" s="1821"/>
      <c r="AA3498" s="1821"/>
      <c r="AB3498" s="1821"/>
      <c r="AC3498" s="1821"/>
      <c r="AD3498" s="1821"/>
      <c r="AE3498" s="1821"/>
      <c r="AF3498" s="1821"/>
      <c r="AG3498" s="1821"/>
      <c r="AH3498" s="1821"/>
      <c r="AI3498" s="1821"/>
      <c r="AJ3498" s="1821"/>
      <c r="AK3498" s="1821"/>
      <c r="AL3498" s="1821"/>
      <c r="AM3498" s="1821"/>
      <c r="AN3498" s="1821"/>
      <c r="AO3498" s="1821"/>
      <c r="AP3498" s="1821"/>
      <c r="AQ3498" s="1821"/>
      <c r="AR3498" s="1821"/>
      <c r="AS3498" s="1821"/>
      <c r="AT3498" s="1821"/>
      <c r="AU3498" s="1821"/>
      <c r="AV3498" s="1821"/>
      <c r="AW3498" s="1821"/>
      <c r="AX3498" s="1821"/>
      <c r="AY3498" s="1821"/>
      <c r="AZ3498" s="1821"/>
      <c r="BA3498" s="1821"/>
      <c r="BB3498" s="1821"/>
      <c r="BC3498" s="1821"/>
      <c r="BD3498" s="1821"/>
      <c r="BE3498" s="1821"/>
      <c r="BF3498" s="1821"/>
      <c r="BG3498" s="1821"/>
      <c r="BH3498" s="1821"/>
      <c r="BI3498" s="1821"/>
      <c r="BJ3498" s="1821"/>
      <c r="BK3498" s="1821"/>
      <c r="BL3498" s="1821"/>
      <c r="BM3498" s="1821"/>
      <c r="BN3498" s="1821"/>
      <c r="BO3498" s="1821"/>
      <c r="BP3498" s="1821"/>
      <c r="BQ3498" s="1821"/>
      <c r="BR3498" s="1821"/>
      <c r="BS3498" s="1821"/>
      <c r="BT3498" s="1821"/>
      <c r="BU3498" s="1821"/>
      <c r="BV3498" s="1821"/>
      <c r="BW3498" s="1821"/>
      <c r="BX3498" s="1821"/>
      <c r="BY3498" s="1821"/>
      <c r="BZ3498" s="1821"/>
      <c r="CA3498" s="1821"/>
      <c r="CB3498" s="1821"/>
      <c r="CC3498" s="1821"/>
      <c r="CD3498" s="1821"/>
      <c r="CE3498" s="1821"/>
      <c r="CF3498" s="1821"/>
      <c r="CG3498" s="1821"/>
      <c r="CH3498" s="1821"/>
      <c r="CI3498" s="1821"/>
      <c r="CJ3498" s="1821"/>
      <c r="CK3498" s="1821"/>
    </row>
    <row r="3499" spans="1:89" s="675" customFormat="1" ht="16.5" customHeight="1" x14ac:dyDescent="0.25">
      <c r="A3499" s="697"/>
      <c r="B3499" s="1002"/>
      <c r="C3499" s="1007"/>
      <c r="D3499" s="1005"/>
      <c r="E3499" s="1006"/>
      <c r="F3499" s="700"/>
      <c r="G3499" s="700"/>
      <c r="H3499" s="700">
        <f t="shared" si="379"/>
        <v>0</v>
      </c>
      <c r="I3499" s="700">
        <f>C3499*E3499</f>
        <v>0</v>
      </c>
      <c r="J3499" s="700"/>
      <c r="K3499" s="700">
        <f t="shared" si="380"/>
        <v>0</v>
      </c>
      <c r="L3499" s="700"/>
      <c r="M3499" s="700"/>
      <c r="N3499" s="700">
        <f t="shared" si="381"/>
        <v>0</v>
      </c>
      <c r="O3499" s="974">
        <f t="shared" si="382"/>
        <v>0</v>
      </c>
      <c r="P3499" s="956"/>
      <c r="Q3499" s="1821"/>
      <c r="R3499" s="1821"/>
      <c r="S3499" s="1821"/>
      <c r="T3499" s="1821"/>
      <c r="U3499" s="1821"/>
      <c r="V3499" s="1821"/>
      <c r="W3499" s="1821"/>
      <c r="X3499" s="1821"/>
      <c r="Y3499" s="1821"/>
      <c r="Z3499" s="1821"/>
      <c r="AA3499" s="1821"/>
      <c r="AB3499" s="1821"/>
      <c r="AC3499" s="1821"/>
      <c r="AD3499" s="1821"/>
      <c r="AE3499" s="1821"/>
      <c r="AF3499" s="1821"/>
      <c r="AG3499" s="1821"/>
      <c r="AH3499" s="1821"/>
      <c r="AI3499" s="1821"/>
      <c r="AJ3499" s="1821"/>
      <c r="AK3499" s="1821"/>
      <c r="AL3499" s="1821"/>
      <c r="AM3499" s="1821"/>
      <c r="AN3499" s="1821"/>
      <c r="AO3499" s="1821"/>
      <c r="AP3499" s="1821"/>
      <c r="AQ3499" s="1821"/>
      <c r="AR3499" s="1821"/>
      <c r="AS3499" s="1821"/>
      <c r="AT3499" s="1821"/>
      <c r="AU3499" s="1821"/>
      <c r="AV3499" s="1821"/>
      <c r="AW3499" s="1821"/>
      <c r="AX3499" s="1821"/>
      <c r="AY3499" s="1821"/>
      <c r="AZ3499" s="1821"/>
      <c r="BA3499" s="1821"/>
      <c r="BB3499" s="1821"/>
      <c r="BC3499" s="1821"/>
      <c r="BD3499" s="1821"/>
      <c r="BE3499" s="1821"/>
      <c r="BF3499" s="1821"/>
      <c r="BG3499" s="1821"/>
      <c r="BH3499" s="1821"/>
      <c r="BI3499" s="1821"/>
      <c r="BJ3499" s="1821"/>
      <c r="BK3499" s="1821"/>
      <c r="BL3499" s="1821"/>
      <c r="BM3499" s="1821"/>
      <c r="BN3499" s="1821"/>
      <c r="BO3499" s="1821"/>
      <c r="BP3499" s="1821"/>
      <c r="BQ3499" s="1821"/>
      <c r="BR3499" s="1821"/>
      <c r="BS3499" s="1821"/>
      <c r="BT3499" s="1821"/>
      <c r="BU3499" s="1821"/>
      <c r="BV3499" s="1821"/>
      <c r="BW3499" s="1821"/>
      <c r="BX3499" s="1821"/>
      <c r="BY3499" s="1821"/>
      <c r="BZ3499" s="1821"/>
      <c r="CA3499" s="1821"/>
      <c r="CB3499" s="1821"/>
      <c r="CC3499" s="1821"/>
      <c r="CD3499" s="1821"/>
      <c r="CE3499" s="1821"/>
      <c r="CF3499" s="1821"/>
      <c r="CG3499" s="1821"/>
      <c r="CH3499" s="1821"/>
      <c r="CI3499" s="1821"/>
      <c r="CJ3499" s="1821"/>
      <c r="CK3499" s="1821"/>
    </row>
    <row r="3500" spans="1:89" s="675" customFormat="1" ht="16.5" customHeight="1" x14ac:dyDescent="0.25">
      <c r="A3500" s="697"/>
      <c r="B3500" s="1002"/>
      <c r="C3500" s="1007"/>
      <c r="D3500" s="1005"/>
      <c r="E3500" s="1006"/>
      <c r="F3500" s="700"/>
      <c r="G3500" s="700"/>
      <c r="H3500" s="700">
        <f t="shared" si="379"/>
        <v>0</v>
      </c>
      <c r="I3500" s="700"/>
      <c r="J3500" s="700"/>
      <c r="K3500" s="700">
        <f t="shared" si="380"/>
        <v>0</v>
      </c>
      <c r="L3500" s="700"/>
      <c r="M3500" s="700"/>
      <c r="N3500" s="700">
        <f t="shared" si="381"/>
        <v>0</v>
      </c>
      <c r="O3500" s="974">
        <f t="shared" si="382"/>
        <v>0</v>
      </c>
      <c r="P3500" s="956"/>
      <c r="Q3500" s="1821"/>
      <c r="R3500" s="1821"/>
      <c r="S3500" s="1821"/>
      <c r="T3500" s="1821"/>
      <c r="U3500" s="1821"/>
      <c r="V3500" s="1821"/>
      <c r="W3500" s="1821"/>
      <c r="X3500" s="1821"/>
      <c r="Y3500" s="1821"/>
      <c r="Z3500" s="1821"/>
      <c r="AA3500" s="1821"/>
      <c r="AB3500" s="1821"/>
      <c r="AC3500" s="1821"/>
      <c r="AD3500" s="1821"/>
      <c r="AE3500" s="1821"/>
      <c r="AF3500" s="1821"/>
      <c r="AG3500" s="1821"/>
      <c r="AH3500" s="1821"/>
      <c r="AI3500" s="1821"/>
      <c r="AJ3500" s="1821"/>
      <c r="AK3500" s="1821"/>
      <c r="AL3500" s="1821"/>
      <c r="AM3500" s="1821"/>
      <c r="AN3500" s="1821"/>
      <c r="AO3500" s="1821"/>
      <c r="AP3500" s="1821"/>
      <c r="AQ3500" s="1821"/>
      <c r="AR3500" s="1821"/>
      <c r="AS3500" s="1821"/>
      <c r="AT3500" s="1821"/>
      <c r="AU3500" s="1821"/>
      <c r="AV3500" s="1821"/>
      <c r="AW3500" s="1821"/>
      <c r="AX3500" s="1821"/>
      <c r="AY3500" s="1821"/>
      <c r="AZ3500" s="1821"/>
      <c r="BA3500" s="1821"/>
      <c r="BB3500" s="1821"/>
      <c r="BC3500" s="1821"/>
      <c r="BD3500" s="1821"/>
      <c r="BE3500" s="1821"/>
      <c r="BF3500" s="1821"/>
      <c r="BG3500" s="1821"/>
      <c r="BH3500" s="1821"/>
      <c r="BI3500" s="1821"/>
      <c r="BJ3500" s="1821"/>
      <c r="BK3500" s="1821"/>
      <c r="BL3500" s="1821"/>
      <c r="BM3500" s="1821"/>
      <c r="BN3500" s="1821"/>
      <c r="BO3500" s="1821"/>
      <c r="BP3500" s="1821"/>
      <c r="BQ3500" s="1821"/>
      <c r="BR3500" s="1821"/>
      <c r="BS3500" s="1821"/>
      <c r="BT3500" s="1821"/>
      <c r="BU3500" s="1821"/>
      <c r="BV3500" s="1821"/>
      <c r="BW3500" s="1821"/>
      <c r="BX3500" s="1821"/>
      <c r="BY3500" s="1821"/>
      <c r="BZ3500" s="1821"/>
      <c r="CA3500" s="1821"/>
      <c r="CB3500" s="1821"/>
      <c r="CC3500" s="1821"/>
      <c r="CD3500" s="1821"/>
      <c r="CE3500" s="1821"/>
      <c r="CF3500" s="1821"/>
      <c r="CG3500" s="1821"/>
      <c r="CH3500" s="1821"/>
      <c r="CI3500" s="1821"/>
      <c r="CJ3500" s="1821"/>
      <c r="CK3500" s="1821"/>
    </row>
    <row r="3501" spans="1:89" s="675" customFormat="1" ht="16.5" customHeight="1" x14ac:dyDescent="0.25">
      <c r="A3501" s="697" t="s">
        <v>338</v>
      </c>
      <c r="B3501" s="1002" t="s">
        <v>339</v>
      </c>
      <c r="C3501" s="1007"/>
      <c r="D3501" s="1005"/>
      <c r="E3501" s="1006"/>
      <c r="F3501" s="700"/>
      <c r="G3501" s="700"/>
      <c r="H3501" s="700">
        <f t="shared" si="379"/>
        <v>0</v>
      </c>
      <c r="I3501" s="700"/>
      <c r="J3501" s="700"/>
      <c r="K3501" s="700">
        <f t="shared" si="380"/>
        <v>0</v>
      </c>
      <c r="L3501" s="700"/>
      <c r="M3501" s="700"/>
      <c r="N3501" s="700">
        <f t="shared" si="381"/>
        <v>0</v>
      </c>
      <c r="O3501" s="974">
        <f t="shared" si="382"/>
        <v>0</v>
      </c>
      <c r="P3501" s="956"/>
      <c r="Q3501" s="1821"/>
      <c r="R3501" s="1821"/>
      <c r="S3501" s="1821"/>
      <c r="T3501" s="1821"/>
      <c r="U3501" s="1821"/>
      <c r="V3501" s="1821"/>
      <c r="W3501" s="1821"/>
      <c r="X3501" s="1821"/>
      <c r="Y3501" s="1821"/>
      <c r="Z3501" s="1821"/>
      <c r="AA3501" s="1821"/>
      <c r="AB3501" s="1821"/>
      <c r="AC3501" s="1821"/>
      <c r="AD3501" s="1821"/>
      <c r="AE3501" s="1821"/>
      <c r="AF3501" s="1821"/>
      <c r="AG3501" s="1821"/>
      <c r="AH3501" s="1821"/>
      <c r="AI3501" s="1821"/>
      <c r="AJ3501" s="1821"/>
      <c r="AK3501" s="1821"/>
      <c r="AL3501" s="1821"/>
      <c r="AM3501" s="1821"/>
      <c r="AN3501" s="1821"/>
      <c r="AO3501" s="1821"/>
      <c r="AP3501" s="1821"/>
      <c r="AQ3501" s="1821"/>
      <c r="AR3501" s="1821"/>
      <c r="AS3501" s="1821"/>
      <c r="AT3501" s="1821"/>
      <c r="AU3501" s="1821"/>
      <c r="AV3501" s="1821"/>
      <c r="AW3501" s="1821"/>
      <c r="AX3501" s="1821"/>
      <c r="AY3501" s="1821"/>
      <c r="AZ3501" s="1821"/>
      <c r="BA3501" s="1821"/>
      <c r="BB3501" s="1821"/>
      <c r="BC3501" s="1821"/>
      <c r="BD3501" s="1821"/>
      <c r="BE3501" s="1821"/>
      <c r="BF3501" s="1821"/>
      <c r="BG3501" s="1821"/>
      <c r="BH3501" s="1821"/>
      <c r="BI3501" s="1821"/>
      <c r="BJ3501" s="1821"/>
      <c r="BK3501" s="1821"/>
      <c r="BL3501" s="1821"/>
      <c r="BM3501" s="1821"/>
      <c r="BN3501" s="1821"/>
      <c r="BO3501" s="1821"/>
      <c r="BP3501" s="1821"/>
      <c r="BQ3501" s="1821"/>
      <c r="BR3501" s="1821"/>
      <c r="BS3501" s="1821"/>
      <c r="BT3501" s="1821"/>
      <c r="BU3501" s="1821"/>
      <c r="BV3501" s="1821"/>
      <c r="BW3501" s="1821"/>
      <c r="BX3501" s="1821"/>
      <c r="BY3501" s="1821"/>
      <c r="BZ3501" s="1821"/>
      <c r="CA3501" s="1821"/>
      <c r="CB3501" s="1821"/>
      <c r="CC3501" s="1821"/>
      <c r="CD3501" s="1821"/>
      <c r="CE3501" s="1821"/>
      <c r="CF3501" s="1821"/>
      <c r="CG3501" s="1821"/>
      <c r="CH3501" s="1821"/>
      <c r="CI3501" s="1821"/>
      <c r="CJ3501" s="1821"/>
      <c r="CK3501" s="1821"/>
    </row>
    <row r="3502" spans="1:89" s="675" customFormat="1" ht="16.5" customHeight="1" x14ac:dyDescent="0.25">
      <c r="A3502" s="697"/>
      <c r="B3502" s="1002" t="s">
        <v>1255</v>
      </c>
      <c r="C3502" s="1007"/>
      <c r="D3502" s="1005"/>
      <c r="E3502" s="1006"/>
      <c r="F3502" s="700"/>
      <c r="G3502" s="700"/>
      <c r="H3502" s="700">
        <f t="shared" si="379"/>
        <v>0</v>
      </c>
      <c r="I3502" s="700"/>
      <c r="J3502" s="700"/>
      <c r="K3502" s="700">
        <f t="shared" si="380"/>
        <v>0</v>
      </c>
      <c r="L3502" s="700"/>
      <c r="M3502" s="700"/>
      <c r="N3502" s="700">
        <f t="shared" si="381"/>
        <v>0</v>
      </c>
      <c r="O3502" s="974">
        <f t="shared" si="382"/>
        <v>0</v>
      </c>
      <c r="P3502" s="956"/>
      <c r="Q3502" s="1821"/>
      <c r="R3502" s="1821"/>
      <c r="S3502" s="1821"/>
      <c r="T3502" s="1821"/>
      <c r="U3502" s="1821"/>
      <c r="V3502" s="1821"/>
      <c r="W3502" s="1821"/>
      <c r="X3502" s="1821"/>
      <c r="Y3502" s="1821"/>
      <c r="Z3502" s="1821"/>
      <c r="AA3502" s="1821"/>
      <c r="AB3502" s="1821"/>
      <c r="AC3502" s="1821"/>
      <c r="AD3502" s="1821"/>
      <c r="AE3502" s="1821"/>
      <c r="AF3502" s="1821"/>
      <c r="AG3502" s="1821"/>
      <c r="AH3502" s="1821"/>
      <c r="AI3502" s="1821"/>
      <c r="AJ3502" s="1821"/>
      <c r="AK3502" s="1821"/>
      <c r="AL3502" s="1821"/>
      <c r="AM3502" s="1821"/>
      <c r="AN3502" s="1821"/>
      <c r="AO3502" s="1821"/>
      <c r="AP3502" s="1821"/>
      <c r="AQ3502" s="1821"/>
      <c r="AR3502" s="1821"/>
      <c r="AS3502" s="1821"/>
      <c r="AT3502" s="1821"/>
      <c r="AU3502" s="1821"/>
      <c r="AV3502" s="1821"/>
      <c r="AW3502" s="1821"/>
      <c r="AX3502" s="1821"/>
      <c r="AY3502" s="1821"/>
      <c r="AZ3502" s="1821"/>
      <c r="BA3502" s="1821"/>
      <c r="BB3502" s="1821"/>
      <c r="BC3502" s="1821"/>
      <c r="BD3502" s="1821"/>
      <c r="BE3502" s="1821"/>
      <c r="BF3502" s="1821"/>
      <c r="BG3502" s="1821"/>
      <c r="BH3502" s="1821"/>
      <c r="BI3502" s="1821"/>
      <c r="BJ3502" s="1821"/>
      <c r="BK3502" s="1821"/>
      <c r="BL3502" s="1821"/>
      <c r="BM3502" s="1821"/>
      <c r="BN3502" s="1821"/>
      <c r="BO3502" s="1821"/>
      <c r="BP3502" s="1821"/>
      <c r="BQ3502" s="1821"/>
      <c r="BR3502" s="1821"/>
      <c r="BS3502" s="1821"/>
      <c r="BT3502" s="1821"/>
      <c r="BU3502" s="1821"/>
      <c r="BV3502" s="1821"/>
      <c r="BW3502" s="1821"/>
      <c r="BX3502" s="1821"/>
      <c r="BY3502" s="1821"/>
      <c r="BZ3502" s="1821"/>
      <c r="CA3502" s="1821"/>
      <c r="CB3502" s="1821"/>
      <c r="CC3502" s="1821"/>
      <c r="CD3502" s="1821"/>
      <c r="CE3502" s="1821"/>
      <c r="CF3502" s="1821"/>
      <c r="CG3502" s="1821"/>
      <c r="CH3502" s="1821"/>
      <c r="CI3502" s="1821"/>
      <c r="CJ3502" s="1821"/>
      <c r="CK3502" s="1821"/>
    </row>
    <row r="3503" spans="1:89" s="675" customFormat="1" ht="16.5" customHeight="1" x14ac:dyDescent="0.25">
      <c r="A3503" s="697"/>
      <c r="B3503" s="1002" t="s">
        <v>340</v>
      </c>
      <c r="C3503" s="1007"/>
      <c r="D3503" s="1005"/>
      <c r="E3503" s="1006"/>
      <c r="F3503" s="700"/>
      <c r="G3503" s="700"/>
      <c r="H3503" s="700">
        <f t="shared" si="379"/>
        <v>0</v>
      </c>
      <c r="I3503" s="700"/>
      <c r="J3503" s="700"/>
      <c r="K3503" s="700">
        <f>J3503+I3503</f>
        <v>0</v>
      </c>
      <c r="L3503" s="700"/>
      <c r="M3503" s="700"/>
      <c r="N3503" s="700">
        <f t="shared" si="381"/>
        <v>0</v>
      </c>
      <c r="O3503" s="974">
        <f t="shared" si="382"/>
        <v>0</v>
      </c>
      <c r="P3503" s="956"/>
      <c r="Q3503" s="1821"/>
      <c r="R3503" s="1821"/>
      <c r="S3503" s="1821"/>
      <c r="T3503" s="1821"/>
      <c r="U3503" s="1821"/>
      <c r="V3503" s="1821"/>
      <c r="W3503" s="1821"/>
      <c r="X3503" s="1821"/>
      <c r="Y3503" s="1821"/>
      <c r="Z3503" s="1821"/>
      <c r="AA3503" s="1821"/>
      <c r="AB3503" s="1821"/>
      <c r="AC3503" s="1821"/>
      <c r="AD3503" s="1821"/>
      <c r="AE3503" s="1821"/>
      <c r="AF3503" s="1821"/>
      <c r="AG3503" s="1821"/>
      <c r="AH3503" s="1821"/>
      <c r="AI3503" s="1821"/>
      <c r="AJ3503" s="1821"/>
      <c r="AK3503" s="1821"/>
      <c r="AL3503" s="1821"/>
      <c r="AM3503" s="1821"/>
      <c r="AN3503" s="1821"/>
      <c r="AO3503" s="1821"/>
      <c r="AP3503" s="1821"/>
      <c r="AQ3503" s="1821"/>
      <c r="AR3503" s="1821"/>
      <c r="AS3503" s="1821"/>
      <c r="AT3503" s="1821"/>
      <c r="AU3503" s="1821"/>
      <c r="AV3503" s="1821"/>
      <c r="AW3503" s="1821"/>
      <c r="AX3503" s="1821"/>
      <c r="AY3503" s="1821"/>
      <c r="AZ3503" s="1821"/>
      <c r="BA3503" s="1821"/>
      <c r="BB3503" s="1821"/>
      <c r="BC3503" s="1821"/>
      <c r="BD3503" s="1821"/>
      <c r="BE3503" s="1821"/>
      <c r="BF3503" s="1821"/>
      <c r="BG3503" s="1821"/>
      <c r="BH3503" s="1821"/>
      <c r="BI3503" s="1821"/>
      <c r="BJ3503" s="1821"/>
      <c r="BK3503" s="1821"/>
      <c r="BL3503" s="1821"/>
      <c r="BM3503" s="1821"/>
      <c r="BN3503" s="1821"/>
      <c r="BO3503" s="1821"/>
      <c r="BP3503" s="1821"/>
      <c r="BQ3503" s="1821"/>
      <c r="BR3503" s="1821"/>
      <c r="BS3503" s="1821"/>
      <c r="BT3503" s="1821"/>
      <c r="BU3503" s="1821"/>
      <c r="BV3503" s="1821"/>
      <c r="BW3503" s="1821"/>
      <c r="BX3503" s="1821"/>
      <c r="BY3503" s="1821"/>
      <c r="BZ3503" s="1821"/>
      <c r="CA3503" s="1821"/>
      <c r="CB3503" s="1821"/>
      <c r="CC3503" s="1821"/>
      <c r="CD3503" s="1821"/>
      <c r="CE3503" s="1821"/>
      <c r="CF3503" s="1821"/>
      <c r="CG3503" s="1821"/>
      <c r="CH3503" s="1821"/>
      <c r="CI3503" s="1821"/>
      <c r="CJ3503" s="1821"/>
      <c r="CK3503" s="1821"/>
    </row>
    <row r="3504" spans="1:89" s="675" customFormat="1" ht="16.5" customHeight="1" x14ac:dyDescent="0.25">
      <c r="A3504" s="697"/>
      <c r="B3504" s="1002" t="s">
        <v>215</v>
      </c>
      <c r="C3504" s="1007">
        <v>1</v>
      </c>
      <c r="D3504" s="1005" t="s">
        <v>294</v>
      </c>
      <c r="E3504" s="1006">
        <v>150000</v>
      </c>
      <c r="F3504" s="700"/>
      <c r="G3504" s="700"/>
      <c r="H3504" s="700">
        <f t="shared" si="379"/>
        <v>0</v>
      </c>
      <c r="I3504" s="700">
        <f>C3504*E3504</f>
        <v>150000</v>
      </c>
      <c r="J3504" s="700"/>
      <c r="K3504" s="700">
        <f>I3504+J3504</f>
        <v>150000</v>
      </c>
      <c r="L3504" s="700"/>
      <c r="M3504" s="700"/>
      <c r="N3504" s="700">
        <f t="shared" si="381"/>
        <v>0</v>
      </c>
      <c r="O3504" s="974">
        <f>N3504+K3504+H3504</f>
        <v>150000</v>
      </c>
      <c r="P3504" s="956"/>
      <c r="Q3504" s="1821"/>
      <c r="R3504" s="1821"/>
      <c r="S3504" s="1821"/>
      <c r="T3504" s="1821"/>
      <c r="U3504" s="1821"/>
      <c r="V3504" s="1821"/>
      <c r="W3504" s="1821"/>
      <c r="X3504" s="1821"/>
      <c r="Y3504" s="1821"/>
      <c r="Z3504" s="1821"/>
      <c r="AA3504" s="1821"/>
      <c r="AB3504" s="1821"/>
      <c r="AC3504" s="1821"/>
      <c r="AD3504" s="1821"/>
      <c r="AE3504" s="1821"/>
      <c r="AF3504" s="1821"/>
      <c r="AG3504" s="1821"/>
      <c r="AH3504" s="1821"/>
      <c r="AI3504" s="1821"/>
      <c r="AJ3504" s="1821"/>
      <c r="AK3504" s="1821"/>
      <c r="AL3504" s="1821"/>
      <c r="AM3504" s="1821"/>
      <c r="AN3504" s="1821"/>
      <c r="AO3504" s="1821"/>
      <c r="AP3504" s="1821"/>
      <c r="AQ3504" s="1821"/>
      <c r="AR3504" s="1821"/>
      <c r="AS3504" s="1821"/>
      <c r="AT3504" s="1821"/>
      <c r="AU3504" s="1821"/>
      <c r="AV3504" s="1821"/>
      <c r="AW3504" s="1821"/>
      <c r="AX3504" s="1821"/>
      <c r="AY3504" s="1821"/>
      <c r="AZ3504" s="1821"/>
      <c r="BA3504" s="1821"/>
      <c r="BB3504" s="1821"/>
      <c r="BC3504" s="1821"/>
      <c r="BD3504" s="1821"/>
      <c r="BE3504" s="1821"/>
      <c r="BF3504" s="1821"/>
      <c r="BG3504" s="1821"/>
      <c r="BH3504" s="1821"/>
      <c r="BI3504" s="1821"/>
      <c r="BJ3504" s="1821"/>
      <c r="BK3504" s="1821"/>
      <c r="BL3504" s="1821"/>
      <c r="BM3504" s="1821"/>
      <c r="BN3504" s="1821"/>
      <c r="BO3504" s="1821"/>
      <c r="BP3504" s="1821"/>
      <c r="BQ3504" s="1821"/>
      <c r="BR3504" s="1821"/>
      <c r="BS3504" s="1821"/>
      <c r="BT3504" s="1821"/>
      <c r="BU3504" s="1821"/>
      <c r="BV3504" s="1821"/>
      <c r="BW3504" s="1821"/>
      <c r="BX3504" s="1821"/>
      <c r="BY3504" s="1821"/>
      <c r="BZ3504" s="1821"/>
      <c r="CA3504" s="1821"/>
      <c r="CB3504" s="1821"/>
      <c r="CC3504" s="1821"/>
      <c r="CD3504" s="1821"/>
      <c r="CE3504" s="1821"/>
      <c r="CF3504" s="1821"/>
      <c r="CG3504" s="1821"/>
      <c r="CH3504" s="1821"/>
      <c r="CI3504" s="1821"/>
      <c r="CJ3504" s="1821"/>
      <c r="CK3504" s="1821"/>
    </row>
    <row r="3505" spans="1:89" s="675" customFormat="1" ht="16.5" customHeight="1" x14ac:dyDescent="0.25">
      <c r="A3505" s="697"/>
      <c r="B3505" s="1002"/>
      <c r="C3505" s="1007"/>
      <c r="D3505" s="1005"/>
      <c r="E3505" s="1006"/>
      <c r="F3505" s="700"/>
      <c r="G3505" s="700"/>
      <c r="H3505" s="700">
        <f t="shared" si="379"/>
        <v>0</v>
      </c>
      <c r="I3505" s="700"/>
      <c r="J3505" s="700"/>
      <c r="K3505" s="700"/>
      <c r="L3505" s="700"/>
      <c r="M3505" s="700"/>
      <c r="N3505" s="700">
        <f t="shared" si="381"/>
        <v>0</v>
      </c>
      <c r="O3505" s="974">
        <f t="shared" si="382"/>
        <v>0</v>
      </c>
      <c r="P3505" s="956"/>
      <c r="Q3505" s="1821"/>
      <c r="R3505" s="1821"/>
      <c r="S3505" s="1821"/>
      <c r="T3505" s="1821"/>
      <c r="U3505" s="1821"/>
      <c r="V3505" s="1821"/>
      <c r="W3505" s="1821"/>
      <c r="X3505" s="1821"/>
      <c r="Y3505" s="1821"/>
      <c r="Z3505" s="1821"/>
      <c r="AA3505" s="1821"/>
      <c r="AB3505" s="1821"/>
      <c r="AC3505" s="1821"/>
      <c r="AD3505" s="1821"/>
      <c r="AE3505" s="1821"/>
      <c r="AF3505" s="1821"/>
      <c r="AG3505" s="1821"/>
      <c r="AH3505" s="1821"/>
      <c r="AI3505" s="1821"/>
      <c r="AJ3505" s="1821"/>
      <c r="AK3505" s="1821"/>
      <c r="AL3505" s="1821"/>
      <c r="AM3505" s="1821"/>
      <c r="AN3505" s="1821"/>
      <c r="AO3505" s="1821"/>
      <c r="AP3505" s="1821"/>
      <c r="AQ3505" s="1821"/>
      <c r="AR3505" s="1821"/>
      <c r="AS3505" s="1821"/>
      <c r="AT3505" s="1821"/>
      <c r="AU3505" s="1821"/>
      <c r="AV3505" s="1821"/>
      <c r="AW3505" s="1821"/>
      <c r="AX3505" s="1821"/>
      <c r="AY3505" s="1821"/>
      <c r="AZ3505" s="1821"/>
      <c r="BA3505" s="1821"/>
      <c r="BB3505" s="1821"/>
      <c r="BC3505" s="1821"/>
      <c r="BD3505" s="1821"/>
      <c r="BE3505" s="1821"/>
      <c r="BF3505" s="1821"/>
      <c r="BG3505" s="1821"/>
      <c r="BH3505" s="1821"/>
      <c r="BI3505" s="1821"/>
      <c r="BJ3505" s="1821"/>
      <c r="BK3505" s="1821"/>
      <c r="BL3505" s="1821"/>
      <c r="BM3505" s="1821"/>
      <c r="BN3505" s="1821"/>
      <c r="BO3505" s="1821"/>
      <c r="BP3505" s="1821"/>
      <c r="BQ3505" s="1821"/>
      <c r="BR3505" s="1821"/>
      <c r="BS3505" s="1821"/>
      <c r="BT3505" s="1821"/>
      <c r="BU3505" s="1821"/>
      <c r="BV3505" s="1821"/>
      <c r="BW3505" s="1821"/>
      <c r="BX3505" s="1821"/>
      <c r="BY3505" s="1821"/>
      <c r="BZ3505" s="1821"/>
      <c r="CA3505" s="1821"/>
      <c r="CB3505" s="1821"/>
      <c r="CC3505" s="1821"/>
      <c r="CD3505" s="1821"/>
      <c r="CE3505" s="1821"/>
      <c r="CF3505" s="1821"/>
      <c r="CG3505" s="1821"/>
      <c r="CH3505" s="1821"/>
      <c r="CI3505" s="1821"/>
      <c r="CJ3505" s="1821"/>
      <c r="CK3505" s="1821"/>
    </row>
    <row r="3506" spans="1:89" s="675" customFormat="1" ht="16.5" customHeight="1" x14ac:dyDescent="0.25">
      <c r="A3506" s="697" t="s">
        <v>345</v>
      </c>
      <c r="B3506" s="1002" t="s">
        <v>339</v>
      </c>
      <c r="C3506" s="1007"/>
      <c r="D3506" s="1005"/>
      <c r="E3506" s="1006"/>
      <c r="F3506" s="700"/>
      <c r="G3506" s="700"/>
      <c r="H3506" s="700">
        <f t="shared" si="379"/>
        <v>0</v>
      </c>
      <c r="I3506" s="700"/>
      <c r="J3506" s="700"/>
      <c r="K3506" s="700">
        <f t="shared" si="380"/>
        <v>0</v>
      </c>
      <c r="L3506" s="700"/>
      <c r="M3506" s="700"/>
      <c r="N3506" s="700">
        <f t="shared" si="381"/>
        <v>0</v>
      </c>
      <c r="O3506" s="974">
        <f t="shared" si="382"/>
        <v>0</v>
      </c>
      <c r="P3506" s="956"/>
      <c r="Q3506" s="1821"/>
      <c r="R3506" s="1821"/>
      <c r="S3506" s="1821"/>
      <c r="T3506" s="1821"/>
      <c r="U3506" s="1821"/>
      <c r="V3506" s="1821"/>
      <c r="W3506" s="1821"/>
      <c r="X3506" s="1821"/>
      <c r="Y3506" s="1821"/>
      <c r="Z3506" s="1821"/>
      <c r="AA3506" s="1821"/>
      <c r="AB3506" s="1821"/>
      <c r="AC3506" s="1821"/>
      <c r="AD3506" s="1821"/>
      <c r="AE3506" s="1821"/>
      <c r="AF3506" s="1821"/>
      <c r="AG3506" s="1821"/>
      <c r="AH3506" s="1821"/>
      <c r="AI3506" s="1821"/>
      <c r="AJ3506" s="1821"/>
      <c r="AK3506" s="1821"/>
      <c r="AL3506" s="1821"/>
      <c r="AM3506" s="1821"/>
      <c r="AN3506" s="1821"/>
      <c r="AO3506" s="1821"/>
      <c r="AP3506" s="1821"/>
      <c r="AQ3506" s="1821"/>
      <c r="AR3506" s="1821"/>
      <c r="AS3506" s="1821"/>
      <c r="AT3506" s="1821"/>
      <c r="AU3506" s="1821"/>
      <c r="AV3506" s="1821"/>
      <c r="AW3506" s="1821"/>
      <c r="AX3506" s="1821"/>
      <c r="AY3506" s="1821"/>
      <c r="AZ3506" s="1821"/>
      <c r="BA3506" s="1821"/>
      <c r="BB3506" s="1821"/>
      <c r="BC3506" s="1821"/>
      <c r="BD3506" s="1821"/>
      <c r="BE3506" s="1821"/>
      <c r="BF3506" s="1821"/>
      <c r="BG3506" s="1821"/>
      <c r="BH3506" s="1821"/>
      <c r="BI3506" s="1821"/>
      <c r="BJ3506" s="1821"/>
      <c r="BK3506" s="1821"/>
      <c r="BL3506" s="1821"/>
      <c r="BM3506" s="1821"/>
      <c r="BN3506" s="1821"/>
      <c r="BO3506" s="1821"/>
      <c r="BP3506" s="1821"/>
      <c r="BQ3506" s="1821"/>
      <c r="BR3506" s="1821"/>
      <c r="BS3506" s="1821"/>
      <c r="BT3506" s="1821"/>
      <c r="BU3506" s="1821"/>
      <c r="BV3506" s="1821"/>
      <c r="BW3506" s="1821"/>
      <c r="BX3506" s="1821"/>
      <c r="BY3506" s="1821"/>
      <c r="BZ3506" s="1821"/>
      <c r="CA3506" s="1821"/>
      <c r="CB3506" s="1821"/>
      <c r="CC3506" s="1821"/>
      <c r="CD3506" s="1821"/>
      <c r="CE3506" s="1821"/>
      <c r="CF3506" s="1821"/>
      <c r="CG3506" s="1821"/>
      <c r="CH3506" s="1821"/>
      <c r="CI3506" s="1821"/>
      <c r="CJ3506" s="1821"/>
      <c r="CK3506" s="1821"/>
    </row>
    <row r="3507" spans="1:89" s="675" customFormat="1" ht="16.5" customHeight="1" x14ac:dyDescent="0.25">
      <c r="A3507" s="697">
        <v>13</v>
      </c>
      <c r="B3507" s="1002" t="s">
        <v>348</v>
      </c>
      <c r="C3507" s="1007"/>
      <c r="D3507" s="1005"/>
      <c r="E3507" s="1006"/>
      <c r="F3507" s="700"/>
      <c r="G3507" s="700"/>
      <c r="H3507" s="700">
        <f t="shared" si="379"/>
        <v>0</v>
      </c>
      <c r="I3507" s="700"/>
      <c r="J3507" s="700"/>
      <c r="K3507" s="700">
        <f t="shared" si="380"/>
        <v>0</v>
      </c>
      <c r="L3507" s="700"/>
      <c r="M3507" s="700"/>
      <c r="N3507" s="700">
        <f t="shared" si="381"/>
        <v>0</v>
      </c>
      <c r="O3507" s="974">
        <f t="shared" si="382"/>
        <v>0</v>
      </c>
      <c r="P3507" s="956"/>
      <c r="Q3507" s="1821"/>
      <c r="R3507" s="1821"/>
      <c r="S3507" s="1821"/>
      <c r="T3507" s="1821"/>
      <c r="U3507" s="1821"/>
      <c r="V3507" s="1821"/>
      <c r="W3507" s="1821"/>
      <c r="X3507" s="1821"/>
      <c r="Y3507" s="1821"/>
      <c r="Z3507" s="1821"/>
      <c r="AA3507" s="1821"/>
      <c r="AB3507" s="1821"/>
      <c r="AC3507" s="1821"/>
      <c r="AD3507" s="1821"/>
      <c r="AE3507" s="1821"/>
      <c r="AF3507" s="1821"/>
      <c r="AG3507" s="1821"/>
      <c r="AH3507" s="1821"/>
      <c r="AI3507" s="1821"/>
      <c r="AJ3507" s="1821"/>
      <c r="AK3507" s="1821"/>
      <c r="AL3507" s="1821"/>
      <c r="AM3507" s="1821"/>
      <c r="AN3507" s="1821"/>
      <c r="AO3507" s="1821"/>
      <c r="AP3507" s="1821"/>
      <c r="AQ3507" s="1821"/>
      <c r="AR3507" s="1821"/>
      <c r="AS3507" s="1821"/>
      <c r="AT3507" s="1821"/>
      <c r="AU3507" s="1821"/>
      <c r="AV3507" s="1821"/>
      <c r="AW3507" s="1821"/>
      <c r="AX3507" s="1821"/>
      <c r="AY3507" s="1821"/>
      <c r="AZ3507" s="1821"/>
      <c r="BA3507" s="1821"/>
      <c r="BB3507" s="1821"/>
      <c r="BC3507" s="1821"/>
      <c r="BD3507" s="1821"/>
      <c r="BE3507" s="1821"/>
      <c r="BF3507" s="1821"/>
      <c r="BG3507" s="1821"/>
      <c r="BH3507" s="1821"/>
      <c r="BI3507" s="1821"/>
      <c r="BJ3507" s="1821"/>
      <c r="BK3507" s="1821"/>
      <c r="BL3507" s="1821"/>
      <c r="BM3507" s="1821"/>
      <c r="BN3507" s="1821"/>
      <c r="BO3507" s="1821"/>
      <c r="BP3507" s="1821"/>
      <c r="BQ3507" s="1821"/>
      <c r="BR3507" s="1821"/>
      <c r="BS3507" s="1821"/>
      <c r="BT3507" s="1821"/>
      <c r="BU3507" s="1821"/>
      <c r="BV3507" s="1821"/>
      <c r="BW3507" s="1821"/>
      <c r="BX3507" s="1821"/>
      <c r="BY3507" s="1821"/>
      <c r="BZ3507" s="1821"/>
      <c r="CA3507" s="1821"/>
      <c r="CB3507" s="1821"/>
      <c r="CC3507" s="1821"/>
      <c r="CD3507" s="1821"/>
      <c r="CE3507" s="1821"/>
      <c r="CF3507" s="1821"/>
      <c r="CG3507" s="1821"/>
      <c r="CH3507" s="1821"/>
      <c r="CI3507" s="1821"/>
      <c r="CJ3507" s="1821"/>
      <c r="CK3507" s="1821"/>
    </row>
    <row r="3508" spans="1:89" s="675" customFormat="1" ht="16.5" customHeight="1" x14ac:dyDescent="0.25">
      <c r="A3508" s="697" t="s">
        <v>272</v>
      </c>
      <c r="B3508" s="1002" t="s">
        <v>1256</v>
      </c>
      <c r="C3508" s="1007">
        <f>SUM(O3511:O3513)</f>
        <v>32500</v>
      </c>
      <c r="D3508" s="1005"/>
      <c r="E3508" s="1006"/>
      <c r="F3508" s="700"/>
      <c r="G3508" s="700"/>
      <c r="H3508" s="700">
        <f t="shared" si="379"/>
        <v>0</v>
      </c>
      <c r="I3508" s="700"/>
      <c r="J3508" s="700">
        <f>C3508*E3508</f>
        <v>0</v>
      </c>
      <c r="K3508" s="700">
        <f t="shared" si="380"/>
        <v>0</v>
      </c>
      <c r="L3508" s="700"/>
      <c r="M3508" s="700"/>
      <c r="N3508" s="700">
        <f t="shared" si="381"/>
        <v>0</v>
      </c>
      <c r="O3508" s="974"/>
      <c r="P3508" s="956"/>
      <c r="Q3508" s="1821"/>
      <c r="R3508" s="1821"/>
      <c r="S3508" s="1821"/>
      <c r="T3508" s="1821"/>
      <c r="U3508" s="1821"/>
      <c r="V3508" s="1821"/>
      <c r="W3508" s="1821"/>
      <c r="X3508" s="1821"/>
      <c r="Y3508" s="1821"/>
      <c r="Z3508" s="1821"/>
      <c r="AA3508" s="1821"/>
      <c r="AB3508" s="1821"/>
      <c r="AC3508" s="1821"/>
      <c r="AD3508" s="1821"/>
      <c r="AE3508" s="1821"/>
      <c r="AF3508" s="1821"/>
      <c r="AG3508" s="1821"/>
      <c r="AH3508" s="1821"/>
      <c r="AI3508" s="1821"/>
      <c r="AJ3508" s="1821"/>
      <c r="AK3508" s="1821"/>
      <c r="AL3508" s="1821"/>
      <c r="AM3508" s="1821"/>
      <c r="AN3508" s="1821"/>
      <c r="AO3508" s="1821"/>
      <c r="AP3508" s="1821"/>
      <c r="AQ3508" s="1821"/>
      <c r="AR3508" s="1821"/>
      <c r="AS3508" s="1821"/>
      <c r="AT3508" s="1821"/>
      <c r="AU3508" s="1821"/>
      <c r="AV3508" s="1821"/>
      <c r="AW3508" s="1821"/>
      <c r="AX3508" s="1821"/>
      <c r="AY3508" s="1821"/>
      <c r="AZ3508" s="1821"/>
      <c r="BA3508" s="1821"/>
      <c r="BB3508" s="1821"/>
      <c r="BC3508" s="1821"/>
      <c r="BD3508" s="1821"/>
      <c r="BE3508" s="1821"/>
      <c r="BF3508" s="1821"/>
      <c r="BG3508" s="1821"/>
      <c r="BH3508" s="1821"/>
      <c r="BI3508" s="1821"/>
      <c r="BJ3508" s="1821"/>
      <c r="BK3508" s="1821"/>
      <c r="BL3508" s="1821"/>
      <c r="BM3508" s="1821"/>
      <c r="BN3508" s="1821"/>
      <c r="BO3508" s="1821"/>
      <c r="BP3508" s="1821"/>
      <c r="BQ3508" s="1821"/>
      <c r="BR3508" s="1821"/>
      <c r="BS3508" s="1821"/>
      <c r="BT3508" s="1821"/>
      <c r="BU3508" s="1821"/>
      <c r="BV3508" s="1821"/>
      <c r="BW3508" s="1821"/>
      <c r="BX3508" s="1821"/>
      <c r="BY3508" s="1821"/>
      <c r="BZ3508" s="1821"/>
      <c r="CA3508" s="1821"/>
      <c r="CB3508" s="1821"/>
      <c r="CC3508" s="1821"/>
      <c r="CD3508" s="1821"/>
      <c r="CE3508" s="1821"/>
      <c r="CF3508" s="1821"/>
      <c r="CG3508" s="1821"/>
      <c r="CH3508" s="1821"/>
      <c r="CI3508" s="1821"/>
      <c r="CJ3508" s="1821"/>
      <c r="CK3508" s="1821"/>
    </row>
    <row r="3509" spans="1:89" s="675" customFormat="1" ht="16.5" customHeight="1" x14ac:dyDescent="0.25">
      <c r="A3509" s="697"/>
      <c r="B3509" s="1002" t="s">
        <v>349</v>
      </c>
      <c r="C3509" s="1007"/>
      <c r="D3509" s="1005"/>
      <c r="E3509" s="1006"/>
      <c r="F3509" s="700"/>
      <c r="G3509" s="700"/>
      <c r="H3509" s="700">
        <f t="shared" si="379"/>
        <v>0</v>
      </c>
      <c r="I3509" s="700"/>
      <c r="J3509" s="700"/>
      <c r="K3509" s="700">
        <f t="shared" si="380"/>
        <v>0</v>
      </c>
      <c r="L3509" s="700"/>
      <c r="M3509" s="700"/>
      <c r="N3509" s="700">
        <f t="shared" si="381"/>
        <v>0</v>
      </c>
      <c r="O3509" s="974"/>
      <c r="P3509" s="956"/>
      <c r="Q3509" s="1821"/>
      <c r="R3509" s="1821"/>
      <c r="S3509" s="1821"/>
      <c r="T3509" s="1821"/>
      <c r="U3509" s="1821"/>
      <c r="V3509" s="1821"/>
      <c r="W3509" s="1821"/>
      <c r="X3509" s="1821"/>
      <c r="Y3509" s="1821"/>
      <c r="Z3509" s="1821"/>
      <c r="AA3509" s="1821"/>
      <c r="AB3509" s="1821"/>
      <c r="AC3509" s="1821"/>
      <c r="AD3509" s="1821"/>
      <c r="AE3509" s="1821"/>
      <c r="AF3509" s="1821"/>
      <c r="AG3509" s="1821"/>
      <c r="AH3509" s="1821"/>
      <c r="AI3509" s="1821"/>
      <c r="AJ3509" s="1821"/>
      <c r="AK3509" s="1821"/>
      <c r="AL3509" s="1821"/>
      <c r="AM3509" s="1821"/>
      <c r="AN3509" s="1821"/>
      <c r="AO3509" s="1821"/>
      <c r="AP3509" s="1821"/>
      <c r="AQ3509" s="1821"/>
      <c r="AR3509" s="1821"/>
      <c r="AS3509" s="1821"/>
      <c r="AT3509" s="1821"/>
      <c r="AU3509" s="1821"/>
      <c r="AV3509" s="1821"/>
      <c r="AW3509" s="1821"/>
      <c r="AX3509" s="1821"/>
      <c r="AY3509" s="1821"/>
      <c r="AZ3509" s="1821"/>
      <c r="BA3509" s="1821"/>
      <c r="BB3509" s="1821"/>
      <c r="BC3509" s="1821"/>
      <c r="BD3509" s="1821"/>
      <c r="BE3509" s="1821"/>
      <c r="BF3509" s="1821"/>
      <c r="BG3509" s="1821"/>
      <c r="BH3509" s="1821"/>
      <c r="BI3509" s="1821"/>
      <c r="BJ3509" s="1821"/>
      <c r="BK3509" s="1821"/>
      <c r="BL3509" s="1821"/>
      <c r="BM3509" s="1821"/>
      <c r="BN3509" s="1821"/>
      <c r="BO3509" s="1821"/>
      <c r="BP3509" s="1821"/>
      <c r="BQ3509" s="1821"/>
      <c r="BR3509" s="1821"/>
      <c r="BS3509" s="1821"/>
      <c r="BT3509" s="1821"/>
      <c r="BU3509" s="1821"/>
      <c r="BV3509" s="1821"/>
      <c r="BW3509" s="1821"/>
      <c r="BX3509" s="1821"/>
      <c r="BY3509" s="1821"/>
      <c r="BZ3509" s="1821"/>
      <c r="CA3509" s="1821"/>
      <c r="CB3509" s="1821"/>
      <c r="CC3509" s="1821"/>
      <c r="CD3509" s="1821"/>
      <c r="CE3509" s="1821"/>
      <c r="CF3509" s="1821"/>
      <c r="CG3509" s="1821"/>
      <c r="CH3509" s="1821"/>
      <c r="CI3509" s="1821"/>
      <c r="CJ3509" s="1821"/>
      <c r="CK3509" s="1821"/>
    </row>
    <row r="3510" spans="1:89" s="675" customFormat="1" ht="16.5" customHeight="1" x14ac:dyDescent="0.25">
      <c r="A3510" s="697"/>
      <c r="B3510" s="1002" t="s">
        <v>1080</v>
      </c>
      <c r="C3510" s="1007"/>
      <c r="D3510" s="1005"/>
      <c r="E3510" s="1006"/>
      <c r="F3510" s="700"/>
      <c r="G3510" s="700"/>
      <c r="H3510" s="700"/>
      <c r="I3510" s="700"/>
      <c r="J3510" s="700"/>
      <c r="K3510" s="700"/>
      <c r="L3510" s="700"/>
      <c r="M3510" s="700"/>
      <c r="N3510" s="700"/>
      <c r="O3510" s="974"/>
      <c r="P3510" s="956"/>
      <c r="Q3510" s="1821"/>
      <c r="R3510" s="1821"/>
      <c r="S3510" s="1821"/>
      <c r="T3510" s="1821"/>
      <c r="U3510" s="1821"/>
      <c r="V3510" s="1821"/>
      <c r="W3510" s="1821"/>
      <c r="X3510" s="1821"/>
      <c r="Y3510" s="1821"/>
      <c r="Z3510" s="1821"/>
      <c r="AA3510" s="1821"/>
      <c r="AB3510" s="1821"/>
      <c r="AC3510" s="1821"/>
      <c r="AD3510" s="1821"/>
      <c r="AE3510" s="1821"/>
      <c r="AF3510" s="1821"/>
      <c r="AG3510" s="1821"/>
      <c r="AH3510" s="1821"/>
      <c r="AI3510" s="1821"/>
      <c r="AJ3510" s="1821"/>
      <c r="AK3510" s="1821"/>
      <c r="AL3510" s="1821"/>
      <c r="AM3510" s="1821"/>
      <c r="AN3510" s="1821"/>
      <c r="AO3510" s="1821"/>
      <c r="AP3510" s="1821"/>
      <c r="AQ3510" s="1821"/>
      <c r="AR3510" s="1821"/>
      <c r="AS3510" s="1821"/>
      <c r="AT3510" s="1821"/>
      <c r="AU3510" s="1821"/>
      <c r="AV3510" s="1821"/>
      <c r="AW3510" s="1821"/>
      <c r="AX3510" s="1821"/>
      <c r="AY3510" s="1821"/>
      <c r="AZ3510" s="1821"/>
      <c r="BA3510" s="1821"/>
      <c r="BB3510" s="1821"/>
      <c r="BC3510" s="1821"/>
      <c r="BD3510" s="1821"/>
      <c r="BE3510" s="1821"/>
      <c r="BF3510" s="1821"/>
      <c r="BG3510" s="1821"/>
      <c r="BH3510" s="1821"/>
      <c r="BI3510" s="1821"/>
      <c r="BJ3510" s="1821"/>
      <c r="BK3510" s="1821"/>
      <c r="BL3510" s="1821"/>
      <c r="BM3510" s="1821"/>
      <c r="BN3510" s="1821"/>
      <c r="BO3510" s="1821"/>
      <c r="BP3510" s="1821"/>
      <c r="BQ3510" s="1821"/>
      <c r="BR3510" s="1821"/>
      <c r="BS3510" s="1821"/>
      <c r="BT3510" s="1821"/>
      <c r="BU3510" s="1821"/>
      <c r="BV3510" s="1821"/>
      <c r="BW3510" s="1821"/>
      <c r="BX3510" s="1821"/>
      <c r="BY3510" s="1821"/>
      <c r="BZ3510" s="1821"/>
      <c r="CA3510" s="1821"/>
      <c r="CB3510" s="1821"/>
      <c r="CC3510" s="1821"/>
      <c r="CD3510" s="1821"/>
      <c r="CE3510" s="1821"/>
      <c r="CF3510" s="1821"/>
      <c r="CG3510" s="1821"/>
      <c r="CH3510" s="1821"/>
      <c r="CI3510" s="1821"/>
      <c r="CJ3510" s="1821"/>
      <c r="CK3510" s="1821"/>
    </row>
    <row r="3511" spans="1:89" s="675" customFormat="1" ht="16.5" customHeight="1" x14ac:dyDescent="0.25">
      <c r="A3511" s="697"/>
      <c r="B3511" s="1002" t="s">
        <v>1257</v>
      </c>
      <c r="C3511" s="1007">
        <v>10</v>
      </c>
      <c r="D3511" s="1005" t="s">
        <v>51</v>
      </c>
      <c r="E3511" s="1006">
        <v>150</v>
      </c>
      <c r="F3511" s="700"/>
      <c r="G3511" s="700"/>
      <c r="H3511" s="700"/>
      <c r="I3511" s="700"/>
      <c r="J3511" s="700">
        <f>C3511*E3511</f>
        <v>1500</v>
      </c>
      <c r="K3511" s="700">
        <f>I3511+J3511</f>
        <v>1500</v>
      </c>
      <c r="L3511" s="700"/>
      <c r="M3511" s="700"/>
      <c r="N3511" s="700"/>
      <c r="O3511" s="974">
        <f>C3511*E3511</f>
        <v>1500</v>
      </c>
      <c r="P3511" s="956"/>
      <c r="Q3511" s="1821"/>
      <c r="R3511" s="1821"/>
      <c r="S3511" s="1821"/>
      <c r="T3511" s="1821"/>
      <c r="U3511" s="1821"/>
      <c r="V3511" s="1821"/>
      <c r="W3511" s="1821"/>
      <c r="X3511" s="1821"/>
      <c r="Y3511" s="1821"/>
      <c r="Z3511" s="1821"/>
      <c r="AA3511" s="1821"/>
      <c r="AB3511" s="1821"/>
      <c r="AC3511" s="1821"/>
      <c r="AD3511" s="1821"/>
      <c r="AE3511" s="1821"/>
      <c r="AF3511" s="1821"/>
      <c r="AG3511" s="1821"/>
      <c r="AH3511" s="1821"/>
      <c r="AI3511" s="1821"/>
      <c r="AJ3511" s="1821"/>
      <c r="AK3511" s="1821"/>
      <c r="AL3511" s="1821"/>
      <c r="AM3511" s="1821"/>
      <c r="AN3511" s="1821"/>
      <c r="AO3511" s="1821"/>
      <c r="AP3511" s="1821"/>
      <c r="AQ3511" s="1821"/>
      <c r="AR3511" s="1821"/>
      <c r="AS3511" s="1821"/>
      <c r="AT3511" s="1821"/>
      <c r="AU3511" s="1821"/>
      <c r="AV3511" s="1821"/>
      <c r="AW3511" s="1821"/>
      <c r="AX3511" s="1821"/>
      <c r="AY3511" s="1821"/>
      <c r="AZ3511" s="1821"/>
      <c r="BA3511" s="1821"/>
      <c r="BB3511" s="1821"/>
      <c r="BC3511" s="1821"/>
      <c r="BD3511" s="1821"/>
      <c r="BE3511" s="1821"/>
      <c r="BF3511" s="1821"/>
      <c r="BG3511" s="1821"/>
      <c r="BH3511" s="1821"/>
      <c r="BI3511" s="1821"/>
      <c r="BJ3511" s="1821"/>
      <c r="BK3511" s="1821"/>
      <c r="BL3511" s="1821"/>
      <c r="BM3511" s="1821"/>
      <c r="BN3511" s="1821"/>
      <c r="BO3511" s="1821"/>
      <c r="BP3511" s="1821"/>
      <c r="BQ3511" s="1821"/>
      <c r="BR3511" s="1821"/>
      <c r="BS3511" s="1821"/>
      <c r="BT3511" s="1821"/>
      <c r="BU3511" s="1821"/>
      <c r="BV3511" s="1821"/>
      <c r="BW3511" s="1821"/>
      <c r="BX3511" s="1821"/>
      <c r="BY3511" s="1821"/>
      <c r="BZ3511" s="1821"/>
      <c r="CA3511" s="1821"/>
      <c r="CB3511" s="1821"/>
      <c r="CC3511" s="1821"/>
      <c r="CD3511" s="1821"/>
      <c r="CE3511" s="1821"/>
      <c r="CF3511" s="1821"/>
      <c r="CG3511" s="1821"/>
      <c r="CH3511" s="1821"/>
      <c r="CI3511" s="1821"/>
      <c r="CJ3511" s="1821"/>
      <c r="CK3511" s="1821"/>
    </row>
    <row r="3512" spans="1:89" s="675" customFormat="1" ht="16.5" customHeight="1" x14ac:dyDescent="0.25">
      <c r="A3512" s="697"/>
      <c r="B3512" s="1002" t="s">
        <v>1258</v>
      </c>
      <c r="C3512" s="1007">
        <v>40</v>
      </c>
      <c r="D3512" s="1005" t="s">
        <v>55</v>
      </c>
      <c r="E3512" s="1006">
        <v>430</v>
      </c>
      <c r="F3512" s="700"/>
      <c r="G3512" s="700"/>
      <c r="H3512" s="700"/>
      <c r="I3512" s="700"/>
      <c r="J3512" s="700">
        <f>C3512*E3512</f>
        <v>17200</v>
      </c>
      <c r="K3512" s="700">
        <f>I3512+J3512</f>
        <v>17200</v>
      </c>
      <c r="L3512" s="700"/>
      <c r="M3512" s="700"/>
      <c r="N3512" s="700"/>
      <c r="O3512" s="974">
        <f>C3512*E3512</f>
        <v>17200</v>
      </c>
      <c r="P3512" s="956"/>
      <c r="Q3512" s="1821"/>
      <c r="R3512" s="1821"/>
      <c r="S3512" s="1821"/>
      <c r="T3512" s="1821"/>
      <c r="U3512" s="1821"/>
      <c r="V3512" s="1821"/>
      <c r="W3512" s="1821"/>
      <c r="X3512" s="1821"/>
      <c r="Y3512" s="1821"/>
      <c r="Z3512" s="1821"/>
      <c r="AA3512" s="1821"/>
      <c r="AB3512" s="1821"/>
      <c r="AC3512" s="1821"/>
      <c r="AD3512" s="1821"/>
      <c r="AE3512" s="1821"/>
      <c r="AF3512" s="1821"/>
      <c r="AG3512" s="1821"/>
      <c r="AH3512" s="1821"/>
      <c r="AI3512" s="1821"/>
      <c r="AJ3512" s="1821"/>
      <c r="AK3512" s="1821"/>
      <c r="AL3512" s="1821"/>
      <c r="AM3512" s="1821"/>
      <c r="AN3512" s="1821"/>
      <c r="AO3512" s="1821"/>
      <c r="AP3512" s="1821"/>
      <c r="AQ3512" s="1821"/>
      <c r="AR3512" s="1821"/>
      <c r="AS3512" s="1821"/>
      <c r="AT3512" s="1821"/>
      <c r="AU3512" s="1821"/>
      <c r="AV3512" s="1821"/>
      <c r="AW3512" s="1821"/>
      <c r="AX3512" s="1821"/>
      <c r="AY3512" s="1821"/>
      <c r="AZ3512" s="1821"/>
      <c r="BA3512" s="1821"/>
      <c r="BB3512" s="1821"/>
      <c r="BC3512" s="1821"/>
      <c r="BD3512" s="1821"/>
      <c r="BE3512" s="1821"/>
      <c r="BF3512" s="1821"/>
      <c r="BG3512" s="1821"/>
      <c r="BH3512" s="1821"/>
      <c r="BI3512" s="1821"/>
      <c r="BJ3512" s="1821"/>
      <c r="BK3512" s="1821"/>
      <c r="BL3512" s="1821"/>
      <c r="BM3512" s="1821"/>
      <c r="BN3512" s="1821"/>
      <c r="BO3512" s="1821"/>
      <c r="BP3512" s="1821"/>
      <c r="BQ3512" s="1821"/>
      <c r="BR3512" s="1821"/>
      <c r="BS3512" s="1821"/>
      <c r="BT3512" s="1821"/>
      <c r="BU3512" s="1821"/>
      <c r="BV3512" s="1821"/>
      <c r="BW3512" s="1821"/>
      <c r="BX3512" s="1821"/>
      <c r="BY3512" s="1821"/>
      <c r="BZ3512" s="1821"/>
      <c r="CA3512" s="1821"/>
      <c r="CB3512" s="1821"/>
      <c r="CC3512" s="1821"/>
      <c r="CD3512" s="1821"/>
      <c r="CE3512" s="1821"/>
      <c r="CF3512" s="1821"/>
      <c r="CG3512" s="1821"/>
      <c r="CH3512" s="1821"/>
      <c r="CI3512" s="1821"/>
      <c r="CJ3512" s="1821"/>
      <c r="CK3512" s="1821"/>
    </row>
    <row r="3513" spans="1:89" s="675" customFormat="1" ht="16.5" customHeight="1" x14ac:dyDescent="0.25">
      <c r="A3513" s="697"/>
      <c r="B3513" s="1002" t="s">
        <v>890</v>
      </c>
      <c r="C3513" s="1007">
        <v>30</v>
      </c>
      <c r="D3513" s="1005" t="s">
        <v>55</v>
      </c>
      <c r="E3513" s="1006">
        <v>460</v>
      </c>
      <c r="F3513" s="700"/>
      <c r="G3513" s="700"/>
      <c r="H3513" s="700"/>
      <c r="I3513" s="700"/>
      <c r="J3513" s="700">
        <f>C3513*E3513</f>
        <v>13800</v>
      </c>
      <c r="K3513" s="700">
        <f>I3513+J3513</f>
        <v>13800</v>
      </c>
      <c r="L3513" s="700"/>
      <c r="M3513" s="700"/>
      <c r="N3513" s="700"/>
      <c r="O3513" s="974">
        <f>C3513*E3513</f>
        <v>13800</v>
      </c>
      <c r="P3513" s="956"/>
      <c r="Q3513" s="1821"/>
      <c r="R3513" s="1821"/>
      <c r="S3513" s="1821"/>
      <c r="T3513" s="1821"/>
      <c r="U3513" s="1821"/>
      <c r="V3513" s="1821"/>
      <c r="W3513" s="1821"/>
      <c r="X3513" s="1821"/>
      <c r="Y3513" s="1821"/>
      <c r="Z3513" s="1821"/>
      <c r="AA3513" s="1821"/>
      <c r="AB3513" s="1821"/>
      <c r="AC3513" s="1821"/>
      <c r="AD3513" s="1821"/>
      <c r="AE3513" s="1821"/>
      <c r="AF3513" s="1821"/>
      <c r="AG3513" s="1821"/>
      <c r="AH3513" s="1821"/>
      <c r="AI3513" s="1821"/>
      <c r="AJ3513" s="1821"/>
      <c r="AK3513" s="1821"/>
      <c r="AL3513" s="1821"/>
      <c r="AM3513" s="1821"/>
      <c r="AN3513" s="1821"/>
      <c r="AO3513" s="1821"/>
      <c r="AP3513" s="1821"/>
      <c r="AQ3513" s="1821"/>
      <c r="AR3513" s="1821"/>
      <c r="AS3513" s="1821"/>
      <c r="AT3513" s="1821"/>
      <c r="AU3513" s="1821"/>
      <c r="AV3513" s="1821"/>
      <c r="AW3513" s="1821"/>
      <c r="AX3513" s="1821"/>
      <c r="AY3513" s="1821"/>
      <c r="AZ3513" s="1821"/>
      <c r="BA3513" s="1821"/>
      <c r="BB3513" s="1821"/>
      <c r="BC3513" s="1821"/>
      <c r="BD3513" s="1821"/>
      <c r="BE3513" s="1821"/>
      <c r="BF3513" s="1821"/>
      <c r="BG3513" s="1821"/>
      <c r="BH3513" s="1821"/>
      <c r="BI3513" s="1821"/>
      <c r="BJ3513" s="1821"/>
      <c r="BK3513" s="1821"/>
      <c r="BL3513" s="1821"/>
      <c r="BM3513" s="1821"/>
      <c r="BN3513" s="1821"/>
      <c r="BO3513" s="1821"/>
      <c r="BP3513" s="1821"/>
      <c r="BQ3513" s="1821"/>
      <c r="BR3513" s="1821"/>
      <c r="BS3513" s="1821"/>
      <c r="BT3513" s="1821"/>
      <c r="BU3513" s="1821"/>
      <c r="BV3513" s="1821"/>
      <c r="BW3513" s="1821"/>
      <c r="BX3513" s="1821"/>
      <c r="BY3513" s="1821"/>
      <c r="BZ3513" s="1821"/>
      <c r="CA3513" s="1821"/>
      <c r="CB3513" s="1821"/>
      <c r="CC3513" s="1821"/>
      <c r="CD3513" s="1821"/>
      <c r="CE3513" s="1821"/>
      <c r="CF3513" s="1821"/>
      <c r="CG3513" s="1821"/>
      <c r="CH3513" s="1821"/>
      <c r="CI3513" s="1821"/>
      <c r="CJ3513" s="1821"/>
      <c r="CK3513" s="1821"/>
    </row>
    <row r="3514" spans="1:89" s="675" customFormat="1" ht="16.5" customHeight="1" x14ac:dyDescent="0.25">
      <c r="A3514" s="697"/>
      <c r="B3514" s="1002"/>
      <c r="C3514" s="1007"/>
      <c r="D3514" s="1005"/>
      <c r="E3514" s="1006"/>
      <c r="F3514" s="700"/>
      <c r="G3514" s="700"/>
      <c r="H3514" s="700"/>
      <c r="I3514" s="700"/>
      <c r="J3514" s="700"/>
      <c r="K3514" s="700"/>
      <c r="L3514" s="700"/>
      <c r="M3514" s="700"/>
      <c r="N3514" s="700"/>
      <c r="O3514" s="974"/>
      <c r="P3514" s="956"/>
      <c r="Q3514" s="1821"/>
      <c r="R3514" s="1821"/>
      <c r="S3514" s="1821"/>
      <c r="T3514" s="1821"/>
      <c r="U3514" s="1821"/>
      <c r="V3514" s="1821"/>
      <c r="W3514" s="1821"/>
      <c r="X3514" s="1821"/>
      <c r="Y3514" s="1821"/>
      <c r="Z3514" s="1821"/>
      <c r="AA3514" s="1821"/>
      <c r="AB3514" s="1821"/>
      <c r="AC3514" s="1821"/>
      <c r="AD3514" s="1821"/>
      <c r="AE3514" s="1821"/>
      <c r="AF3514" s="1821"/>
      <c r="AG3514" s="1821"/>
      <c r="AH3514" s="1821"/>
      <c r="AI3514" s="1821"/>
      <c r="AJ3514" s="1821"/>
      <c r="AK3514" s="1821"/>
      <c r="AL3514" s="1821"/>
      <c r="AM3514" s="1821"/>
      <c r="AN3514" s="1821"/>
      <c r="AO3514" s="1821"/>
      <c r="AP3514" s="1821"/>
      <c r="AQ3514" s="1821"/>
      <c r="AR3514" s="1821"/>
      <c r="AS3514" s="1821"/>
      <c r="AT3514" s="1821"/>
      <c r="AU3514" s="1821"/>
      <c r="AV3514" s="1821"/>
      <c r="AW3514" s="1821"/>
      <c r="AX3514" s="1821"/>
      <c r="AY3514" s="1821"/>
      <c r="AZ3514" s="1821"/>
      <c r="BA3514" s="1821"/>
      <c r="BB3514" s="1821"/>
      <c r="BC3514" s="1821"/>
      <c r="BD3514" s="1821"/>
      <c r="BE3514" s="1821"/>
      <c r="BF3514" s="1821"/>
      <c r="BG3514" s="1821"/>
      <c r="BH3514" s="1821"/>
      <c r="BI3514" s="1821"/>
      <c r="BJ3514" s="1821"/>
      <c r="BK3514" s="1821"/>
      <c r="BL3514" s="1821"/>
      <c r="BM3514" s="1821"/>
      <c r="BN3514" s="1821"/>
      <c r="BO3514" s="1821"/>
      <c r="BP3514" s="1821"/>
      <c r="BQ3514" s="1821"/>
      <c r="BR3514" s="1821"/>
      <c r="BS3514" s="1821"/>
      <c r="BT3514" s="1821"/>
      <c r="BU3514" s="1821"/>
      <c r="BV3514" s="1821"/>
      <c r="BW3514" s="1821"/>
      <c r="BX3514" s="1821"/>
      <c r="BY3514" s="1821"/>
      <c r="BZ3514" s="1821"/>
      <c r="CA3514" s="1821"/>
      <c r="CB3514" s="1821"/>
      <c r="CC3514" s="1821"/>
      <c r="CD3514" s="1821"/>
      <c r="CE3514" s="1821"/>
      <c r="CF3514" s="1821"/>
      <c r="CG3514" s="1821"/>
      <c r="CH3514" s="1821"/>
      <c r="CI3514" s="1821"/>
      <c r="CJ3514" s="1821"/>
      <c r="CK3514" s="1821"/>
    </row>
    <row r="3515" spans="1:89" s="675" customFormat="1" ht="16.5" customHeight="1" x14ac:dyDescent="0.25">
      <c r="A3515" s="697" t="s">
        <v>276</v>
      </c>
      <c r="B3515" s="1002" t="s">
        <v>1259</v>
      </c>
      <c r="C3515" s="1007"/>
      <c r="D3515" s="1005"/>
      <c r="E3515" s="1006"/>
      <c r="F3515" s="700"/>
      <c r="G3515" s="700"/>
      <c r="H3515" s="700">
        <f t="shared" si="379"/>
        <v>0</v>
      </c>
      <c r="I3515" s="700"/>
      <c r="J3515" s="700"/>
      <c r="K3515" s="700">
        <f t="shared" si="380"/>
        <v>0</v>
      </c>
      <c r="L3515" s="700"/>
      <c r="M3515" s="700"/>
      <c r="N3515" s="700">
        <f t="shared" si="381"/>
        <v>0</v>
      </c>
      <c r="O3515" s="974"/>
      <c r="P3515" s="956"/>
      <c r="Q3515" s="1821"/>
      <c r="R3515" s="1821"/>
      <c r="S3515" s="1821"/>
      <c r="T3515" s="1821"/>
      <c r="U3515" s="1821"/>
      <c r="V3515" s="1821"/>
      <c r="W3515" s="1821"/>
      <c r="X3515" s="1821"/>
      <c r="Y3515" s="1821"/>
      <c r="Z3515" s="1821"/>
      <c r="AA3515" s="1821"/>
      <c r="AB3515" s="1821"/>
      <c r="AC3515" s="1821"/>
      <c r="AD3515" s="1821"/>
      <c r="AE3515" s="1821"/>
      <c r="AF3515" s="1821"/>
      <c r="AG3515" s="1821"/>
      <c r="AH3515" s="1821"/>
      <c r="AI3515" s="1821"/>
      <c r="AJ3515" s="1821"/>
      <c r="AK3515" s="1821"/>
      <c r="AL3515" s="1821"/>
      <c r="AM3515" s="1821"/>
      <c r="AN3515" s="1821"/>
      <c r="AO3515" s="1821"/>
      <c r="AP3515" s="1821"/>
      <c r="AQ3515" s="1821"/>
      <c r="AR3515" s="1821"/>
      <c r="AS3515" s="1821"/>
      <c r="AT3515" s="1821"/>
      <c r="AU3515" s="1821"/>
      <c r="AV3515" s="1821"/>
      <c r="AW3515" s="1821"/>
      <c r="AX3515" s="1821"/>
      <c r="AY3515" s="1821"/>
      <c r="AZ3515" s="1821"/>
      <c r="BA3515" s="1821"/>
      <c r="BB3515" s="1821"/>
      <c r="BC3515" s="1821"/>
      <c r="BD3515" s="1821"/>
      <c r="BE3515" s="1821"/>
      <c r="BF3515" s="1821"/>
      <c r="BG3515" s="1821"/>
      <c r="BH3515" s="1821"/>
      <c r="BI3515" s="1821"/>
      <c r="BJ3515" s="1821"/>
      <c r="BK3515" s="1821"/>
      <c r="BL3515" s="1821"/>
      <c r="BM3515" s="1821"/>
      <c r="BN3515" s="1821"/>
      <c r="BO3515" s="1821"/>
      <c r="BP3515" s="1821"/>
      <c r="BQ3515" s="1821"/>
      <c r="BR3515" s="1821"/>
      <c r="BS3515" s="1821"/>
      <c r="BT3515" s="1821"/>
      <c r="BU3515" s="1821"/>
      <c r="BV3515" s="1821"/>
      <c r="BW3515" s="1821"/>
      <c r="BX3515" s="1821"/>
      <c r="BY3515" s="1821"/>
      <c r="BZ3515" s="1821"/>
      <c r="CA3515" s="1821"/>
      <c r="CB3515" s="1821"/>
      <c r="CC3515" s="1821"/>
      <c r="CD3515" s="1821"/>
      <c r="CE3515" s="1821"/>
      <c r="CF3515" s="1821"/>
      <c r="CG3515" s="1821"/>
      <c r="CH3515" s="1821"/>
      <c r="CI3515" s="1821"/>
      <c r="CJ3515" s="1821"/>
      <c r="CK3515" s="1821"/>
    </row>
    <row r="3516" spans="1:89" s="675" customFormat="1" ht="16.5" customHeight="1" x14ac:dyDescent="0.25">
      <c r="A3516" s="697"/>
      <c r="B3516" s="1002" t="s">
        <v>343</v>
      </c>
      <c r="C3516" s="1007">
        <f>SUM(O3517:O3519)</f>
        <v>110300</v>
      </c>
      <c r="D3516" s="1005"/>
      <c r="E3516" s="1006"/>
      <c r="F3516" s="700"/>
      <c r="G3516" s="700"/>
      <c r="H3516" s="700">
        <f t="shared" si="379"/>
        <v>0</v>
      </c>
      <c r="I3516" s="700"/>
      <c r="J3516" s="700"/>
      <c r="K3516" s="700">
        <f t="shared" si="380"/>
        <v>0</v>
      </c>
      <c r="L3516" s="700"/>
      <c r="M3516" s="700"/>
      <c r="N3516" s="700">
        <f t="shared" si="381"/>
        <v>0</v>
      </c>
      <c r="O3516" s="974"/>
      <c r="P3516" s="956"/>
      <c r="Q3516" s="1821"/>
      <c r="R3516" s="1821"/>
      <c r="S3516" s="1821"/>
      <c r="T3516" s="1821"/>
      <c r="U3516" s="1821"/>
      <c r="V3516" s="1821"/>
      <c r="W3516" s="1821"/>
      <c r="X3516" s="1821"/>
      <c r="Y3516" s="1821"/>
      <c r="Z3516" s="1821"/>
      <c r="AA3516" s="1821"/>
      <c r="AB3516" s="1821"/>
      <c r="AC3516" s="1821"/>
      <c r="AD3516" s="1821"/>
      <c r="AE3516" s="1821"/>
      <c r="AF3516" s="1821"/>
      <c r="AG3516" s="1821"/>
      <c r="AH3516" s="1821"/>
      <c r="AI3516" s="1821"/>
      <c r="AJ3516" s="1821"/>
      <c r="AK3516" s="1821"/>
      <c r="AL3516" s="1821"/>
      <c r="AM3516" s="1821"/>
      <c r="AN3516" s="1821"/>
      <c r="AO3516" s="1821"/>
      <c r="AP3516" s="1821"/>
      <c r="AQ3516" s="1821"/>
      <c r="AR3516" s="1821"/>
      <c r="AS3516" s="1821"/>
      <c r="AT3516" s="1821"/>
      <c r="AU3516" s="1821"/>
      <c r="AV3516" s="1821"/>
      <c r="AW3516" s="1821"/>
      <c r="AX3516" s="1821"/>
      <c r="AY3516" s="1821"/>
      <c r="AZ3516" s="1821"/>
      <c r="BA3516" s="1821"/>
      <c r="BB3516" s="1821"/>
      <c r="BC3516" s="1821"/>
      <c r="BD3516" s="1821"/>
      <c r="BE3516" s="1821"/>
      <c r="BF3516" s="1821"/>
      <c r="BG3516" s="1821"/>
      <c r="BH3516" s="1821"/>
      <c r="BI3516" s="1821"/>
      <c r="BJ3516" s="1821"/>
      <c r="BK3516" s="1821"/>
      <c r="BL3516" s="1821"/>
      <c r="BM3516" s="1821"/>
      <c r="BN3516" s="1821"/>
      <c r="BO3516" s="1821"/>
      <c r="BP3516" s="1821"/>
      <c r="BQ3516" s="1821"/>
      <c r="BR3516" s="1821"/>
      <c r="BS3516" s="1821"/>
      <c r="BT3516" s="1821"/>
      <c r="BU3516" s="1821"/>
      <c r="BV3516" s="1821"/>
      <c r="BW3516" s="1821"/>
      <c r="BX3516" s="1821"/>
      <c r="BY3516" s="1821"/>
      <c r="BZ3516" s="1821"/>
      <c r="CA3516" s="1821"/>
      <c r="CB3516" s="1821"/>
      <c r="CC3516" s="1821"/>
      <c r="CD3516" s="1821"/>
      <c r="CE3516" s="1821"/>
      <c r="CF3516" s="1821"/>
      <c r="CG3516" s="1821"/>
      <c r="CH3516" s="1821"/>
      <c r="CI3516" s="1821"/>
      <c r="CJ3516" s="1821"/>
      <c r="CK3516" s="1821"/>
    </row>
    <row r="3517" spans="1:89" s="675" customFormat="1" ht="16.5" customHeight="1" x14ac:dyDescent="0.25">
      <c r="A3517" s="697"/>
      <c r="B3517" s="1002" t="s">
        <v>192</v>
      </c>
      <c r="C3517" s="1007">
        <v>30</v>
      </c>
      <c r="D3517" s="1005" t="s">
        <v>51</v>
      </c>
      <c r="E3517" s="1006">
        <v>2500</v>
      </c>
      <c r="F3517" s="700"/>
      <c r="G3517" s="700"/>
      <c r="H3517" s="700"/>
      <c r="I3517" s="700"/>
      <c r="J3517" s="700">
        <f>C3517*E3517</f>
        <v>75000</v>
      </c>
      <c r="K3517" s="700">
        <f>I3517+J3517</f>
        <v>75000</v>
      </c>
      <c r="L3517" s="700"/>
      <c r="M3517" s="700"/>
      <c r="N3517" s="700"/>
      <c r="O3517" s="974">
        <f>C3517*E3517</f>
        <v>75000</v>
      </c>
      <c r="P3517" s="956"/>
      <c r="Q3517" s="1821"/>
      <c r="R3517" s="1821"/>
      <c r="S3517" s="1821"/>
      <c r="T3517" s="1821"/>
      <c r="U3517" s="1821"/>
      <c r="V3517" s="1821"/>
      <c r="W3517" s="1821"/>
      <c r="X3517" s="1821"/>
      <c r="Y3517" s="1821"/>
      <c r="Z3517" s="1821"/>
      <c r="AA3517" s="1821"/>
      <c r="AB3517" s="1821"/>
      <c r="AC3517" s="1821"/>
      <c r="AD3517" s="1821"/>
      <c r="AE3517" s="1821"/>
      <c r="AF3517" s="1821"/>
      <c r="AG3517" s="1821"/>
      <c r="AH3517" s="1821"/>
      <c r="AI3517" s="1821"/>
      <c r="AJ3517" s="1821"/>
      <c r="AK3517" s="1821"/>
      <c r="AL3517" s="1821"/>
      <c r="AM3517" s="1821"/>
      <c r="AN3517" s="1821"/>
      <c r="AO3517" s="1821"/>
      <c r="AP3517" s="1821"/>
      <c r="AQ3517" s="1821"/>
      <c r="AR3517" s="1821"/>
      <c r="AS3517" s="1821"/>
      <c r="AT3517" s="1821"/>
      <c r="AU3517" s="1821"/>
      <c r="AV3517" s="1821"/>
      <c r="AW3517" s="1821"/>
      <c r="AX3517" s="1821"/>
      <c r="AY3517" s="1821"/>
      <c r="AZ3517" s="1821"/>
      <c r="BA3517" s="1821"/>
      <c r="BB3517" s="1821"/>
      <c r="BC3517" s="1821"/>
      <c r="BD3517" s="1821"/>
      <c r="BE3517" s="1821"/>
      <c r="BF3517" s="1821"/>
      <c r="BG3517" s="1821"/>
      <c r="BH3517" s="1821"/>
      <c r="BI3517" s="1821"/>
      <c r="BJ3517" s="1821"/>
      <c r="BK3517" s="1821"/>
      <c r="BL3517" s="1821"/>
      <c r="BM3517" s="1821"/>
      <c r="BN3517" s="1821"/>
      <c r="BO3517" s="1821"/>
      <c r="BP3517" s="1821"/>
      <c r="BQ3517" s="1821"/>
      <c r="BR3517" s="1821"/>
      <c r="BS3517" s="1821"/>
      <c r="BT3517" s="1821"/>
      <c r="BU3517" s="1821"/>
      <c r="BV3517" s="1821"/>
      <c r="BW3517" s="1821"/>
      <c r="BX3517" s="1821"/>
      <c r="BY3517" s="1821"/>
      <c r="BZ3517" s="1821"/>
      <c r="CA3517" s="1821"/>
      <c r="CB3517" s="1821"/>
      <c r="CC3517" s="1821"/>
      <c r="CD3517" s="1821"/>
      <c r="CE3517" s="1821"/>
      <c r="CF3517" s="1821"/>
      <c r="CG3517" s="1821"/>
      <c r="CH3517" s="1821"/>
      <c r="CI3517" s="1821"/>
      <c r="CJ3517" s="1821"/>
      <c r="CK3517" s="1821"/>
    </row>
    <row r="3518" spans="1:89" s="675" customFormat="1" ht="16.5" customHeight="1" x14ac:dyDescent="0.25">
      <c r="A3518" s="697"/>
      <c r="B3518" s="1002" t="s">
        <v>1258</v>
      </c>
      <c r="C3518" s="1007">
        <v>50</v>
      </c>
      <c r="D3518" s="1005" t="s">
        <v>55</v>
      </c>
      <c r="E3518" s="1006">
        <v>430</v>
      </c>
      <c r="F3518" s="700"/>
      <c r="G3518" s="700"/>
      <c r="H3518" s="700"/>
      <c r="I3518" s="700"/>
      <c r="J3518" s="700">
        <f>C3518*E3518</f>
        <v>21500</v>
      </c>
      <c r="K3518" s="700">
        <f>I3518+J3518</f>
        <v>21500</v>
      </c>
      <c r="L3518" s="700"/>
      <c r="M3518" s="700"/>
      <c r="N3518" s="700"/>
      <c r="O3518" s="974">
        <f>C3518*E3518</f>
        <v>21500</v>
      </c>
      <c r="P3518" s="956"/>
      <c r="Q3518" s="1821"/>
      <c r="R3518" s="1821"/>
      <c r="S3518" s="1821"/>
      <c r="T3518" s="1821"/>
      <c r="U3518" s="1821"/>
      <c r="V3518" s="1821"/>
      <c r="W3518" s="1821"/>
      <c r="X3518" s="1821"/>
      <c r="Y3518" s="1821"/>
      <c r="Z3518" s="1821"/>
      <c r="AA3518" s="1821"/>
      <c r="AB3518" s="1821"/>
      <c r="AC3518" s="1821"/>
      <c r="AD3518" s="1821"/>
      <c r="AE3518" s="1821"/>
      <c r="AF3518" s="1821"/>
      <c r="AG3518" s="1821"/>
      <c r="AH3518" s="1821"/>
      <c r="AI3518" s="1821"/>
      <c r="AJ3518" s="1821"/>
      <c r="AK3518" s="1821"/>
      <c r="AL3518" s="1821"/>
      <c r="AM3518" s="1821"/>
      <c r="AN3518" s="1821"/>
      <c r="AO3518" s="1821"/>
      <c r="AP3518" s="1821"/>
      <c r="AQ3518" s="1821"/>
      <c r="AR3518" s="1821"/>
      <c r="AS3518" s="1821"/>
      <c r="AT3518" s="1821"/>
      <c r="AU3518" s="1821"/>
      <c r="AV3518" s="1821"/>
      <c r="AW3518" s="1821"/>
      <c r="AX3518" s="1821"/>
      <c r="AY3518" s="1821"/>
      <c r="AZ3518" s="1821"/>
      <c r="BA3518" s="1821"/>
      <c r="BB3518" s="1821"/>
      <c r="BC3518" s="1821"/>
      <c r="BD3518" s="1821"/>
      <c r="BE3518" s="1821"/>
      <c r="BF3518" s="1821"/>
      <c r="BG3518" s="1821"/>
      <c r="BH3518" s="1821"/>
      <c r="BI3518" s="1821"/>
      <c r="BJ3518" s="1821"/>
      <c r="BK3518" s="1821"/>
      <c r="BL3518" s="1821"/>
      <c r="BM3518" s="1821"/>
      <c r="BN3518" s="1821"/>
      <c r="BO3518" s="1821"/>
      <c r="BP3518" s="1821"/>
      <c r="BQ3518" s="1821"/>
      <c r="BR3518" s="1821"/>
      <c r="BS3518" s="1821"/>
      <c r="BT3518" s="1821"/>
      <c r="BU3518" s="1821"/>
      <c r="BV3518" s="1821"/>
      <c r="BW3518" s="1821"/>
      <c r="BX3518" s="1821"/>
      <c r="BY3518" s="1821"/>
      <c r="BZ3518" s="1821"/>
      <c r="CA3518" s="1821"/>
      <c r="CB3518" s="1821"/>
      <c r="CC3518" s="1821"/>
      <c r="CD3518" s="1821"/>
      <c r="CE3518" s="1821"/>
      <c r="CF3518" s="1821"/>
      <c r="CG3518" s="1821"/>
      <c r="CH3518" s="1821"/>
      <c r="CI3518" s="1821"/>
      <c r="CJ3518" s="1821"/>
      <c r="CK3518" s="1821"/>
    </row>
    <row r="3519" spans="1:89" s="675" customFormat="1" ht="16.5" customHeight="1" x14ac:dyDescent="0.25">
      <c r="A3519" s="697"/>
      <c r="B3519" s="1002" t="s">
        <v>890</v>
      </c>
      <c r="C3519" s="1007">
        <v>30</v>
      </c>
      <c r="D3519" s="1005" t="s">
        <v>55</v>
      </c>
      <c r="E3519" s="1006">
        <v>460</v>
      </c>
      <c r="F3519" s="700"/>
      <c r="G3519" s="700"/>
      <c r="H3519" s="700"/>
      <c r="I3519" s="700"/>
      <c r="J3519" s="700">
        <f>C3519*E3519</f>
        <v>13800</v>
      </c>
      <c r="K3519" s="700">
        <f>I3519+J3519</f>
        <v>13800</v>
      </c>
      <c r="L3519" s="700"/>
      <c r="M3519" s="700"/>
      <c r="N3519" s="700"/>
      <c r="O3519" s="974">
        <f>C3519*E3519</f>
        <v>13800</v>
      </c>
      <c r="P3519" s="956"/>
      <c r="Q3519" s="1821"/>
      <c r="R3519" s="1821"/>
      <c r="S3519" s="1821"/>
      <c r="T3519" s="1821"/>
      <c r="U3519" s="1821"/>
      <c r="V3519" s="1821"/>
      <c r="W3519" s="1821"/>
      <c r="X3519" s="1821"/>
      <c r="Y3519" s="1821"/>
      <c r="Z3519" s="1821"/>
      <c r="AA3519" s="1821"/>
      <c r="AB3519" s="1821"/>
      <c r="AC3519" s="1821"/>
      <c r="AD3519" s="1821"/>
      <c r="AE3519" s="1821"/>
      <c r="AF3519" s="1821"/>
      <c r="AG3519" s="1821"/>
      <c r="AH3519" s="1821"/>
      <c r="AI3519" s="1821"/>
      <c r="AJ3519" s="1821"/>
      <c r="AK3519" s="1821"/>
      <c r="AL3519" s="1821"/>
      <c r="AM3519" s="1821"/>
      <c r="AN3519" s="1821"/>
      <c r="AO3519" s="1821"/>
      <c r="AP3519" s="1821"/>
      <c r="AQ3519" s="1821"/>
      <c r="AR3519" s="1821"/>
      <c r="AS3519" s="1821"/>
      <c r="AT3519" s="1821"/>
      <c r="AU3519" s="1821"/>
      <c r="AV3519" s="1821"/>
      <c r="AW3519" s="1821"/>
      <c r="AX3519" s="1821"/>
      <c r="AY3519" s="1821"/>
      <c r="AZ3519" s="1821"/>
      <c r="BA3519" s="1821"/>
      <c r="BB3519" s="1821"/>
      <c r="BC3519" s="1821"/>
      <c r="BD3519" s="1821"/>
      <c r="BE3519" s="1821"/>
      <c r="BF3519" s="1821"/>
      <c r="BG3519" s="1821"/>
      <c r="BH3519" s="1821"/>
      <c r="BI3519" s="1821"/>
      <c r="BJ3519" s="1821"/>
      <c r="BK3519" s="1821"/>
      <c r="BL3519" s="1821"/>
      <c r="BM3519" s="1821"/>
      <c r="BN3519" s="1821"/>
      <c r="BO3519" s="1821"/>
      <c r="BP3519" s="1821"/>
      <c r="BQ3519" s="1821"/>
      <c r="BR3519" s="1821"/>
      <c r="BS3519" s="1821"/>
      <c r="BT3519" s="1821"/>
      <c r="BU3519" s="1821"/>
      <c r="BV3519" s="1821"/>
      <c r="BW3519" s="1821"/>
      <c r="BX3519" s="1821"/>
      <c r="BY3519" s="1821"/>
      <c r="BZ3519" s="1821"/>
      <c r="CA3519" s="1821"/>
      <c r="CB3519" s="1821"/>
      <c r="CC3519" s="1821"/>
      <c r="CD3519" s="1821"/>
      <c r="CE3519" s="1821"/>
      <c r="CF3519" s="1821"/>
      <c r="CG3519" s="1821"/>
      <c r="CH3519" s="1821"/>
      <c r="CI3519" s="1821"/>
      <c r="CJ3519" s="1821"/>
      <c r="CK3519" s="1821"/>
    </row>
    <row r="3520" spans="1:89" s="675" customFormat="1" ht="16.5" customHeight="1" x14ac:dyDescent="0.25">
      <c r="A3520" s="697"/>
      <c r="B3520" s="1002"/>
      <c r="C3520" s="1007"/>
      <c r="D3520" s="1005"/>
      <c r="E3520" s="1006"/>
      <c r="F3520" s="700"/>
      <c r="G3520" s="700"/>
      <c r="H3520" s="700"/>
      <c r="I3520" s="700"/>
      <c r="J3520" s="700"/>
      <c r="K3520" s="700"/>
      <c r="L3520" s="700"/>
      <c r="M3520" s="700"/>
      <c r="N3520" s="700"/>
      <c r="O3520" s="974"/>
      <c r="P3520" s="956"/>
      <c r="Q3520" s="1821"/>
      <c r="R3520" s="1821"/>
      <c r="S3520" s="1821"/>
      <c r="T3520" s="1821"/>
      <c r="U3520" s="1821"/>
      <c r="V3520" s="1821"/>
      <c r="W3520" s="1821"/>
      <c r="X3520" s="1821"/>
      <c r="Y3520" s="1821"/>
      <c r="Z3520" s="1821"/>
      <c r="AA3520" s="1821"/>
      <c r="AB3520" s="1821"/>
      <c r="AC3520" s="1821"/>
      <c r="AD3520" s="1821"/>
      <c r="AE3520" s="1821"/>
      <c r="AF3520" s="1821"/>
      <c r="AG3520" s="1821"/>
      <c r="AH3520" s="1821"/>
      <c r="AI3520" s="1821"/>
      <c r="AJ3520" s="1821"/>
      <c r="AK3520" s="1821"/>
      <c r="AL3520" s="1821"/>
      <c r="AM3520" s="1821"/>
      <c r="AN3520" s="1821"/>
      <c r="AO3520" s="1821"/>
      <c r="AP3520" s="1821"/>
      <c r="AQ3520" s="1821"/>
      <c r="AR3520" s="1821"/>
      <c r="AS3520" s="1821"/>
      <c r="AT3520" s="1821"/>
      <c r="AU3520" s="1821"/>
      <c r="AV3520" s="1821"/>
      <c r="AW3520" s="1821"/>
      <c r="AX3520" s="1821"/>
      <c r="AY3520" s="1821"/>
      <c r="AZ3520" s="1821"/>
      <c r="BA3520" s="1821"/>
      <c r="BB3520" s="1821"/>
      <c r="BC3520" s="1821"/>
      <c r="BD3520" s="1821"/>
      <c r="BE3520" s="1821"/>
      <c r="BF3520" s="1821"/>
      <c r="BG3520" s="1821"/>
      <c r="BH3520" s="1821"/>
      <c r="BI3520" s="1821"/>
      <c r="BJ3520" s="1821"/>
      <c r="BK3520" s="1821"/>
      <c r="BL3520" s="1821"/>
      <c r="BM3520" s="1821"/>
      <c r="BN3520" s="1821"/>
      <c r="BO3520" s="1821"/>
      <c r="BP3520" s="1821"/>
      <c r="BQ3520" s="1821"/>
      <c r="BR3520" s="1821"/>
      <c r="BS3520" s="1821"/>
      <c r="BT3520" s="1821"/>
      <c r="BU3520" s="1821"/>
      <c r="BV3520" s="1821"/>
      <c r="BW3520" s="1821"/>
      <c r="BX3520" s="1821"/>
      <c r="BY3520" s="1821"/>
      <c r="BZ3520" s="1821"/>
      <c r="CA3520" s="1821"/>
      <c r="CB3520" s="1821"/>
      <c r="CC3520" s="1821"/>
      <c r="CD3520" s="1821"/>
      <c r="CE3520" s="1821"/>
      <c r="CF3520" s="1821"/>
      <c r="CG3520" s="1821"/>
      <c r="CH3520" s="1821"/>
      <c r="CI3520" s="1821"/>
      <c r="CJ3520" s="1821"/>
      <c r="CK3520" s="1821"/>
    </row>
    <row r="3521" spans="1:89" s="675" customFormat="1" ht="16.5" customHeight="1" x14ac:dyDescent="0.25">
      <c r="A3521" s="697"/>
      <c r="B3521" s="1002"/>
      <c r="C3521" s="1007"/>
      <c r="D3521" s="1005"/>
      <c r="E3521" s="1006"/>
      <c r="F3521" s="700"/>
      <c r="G3521" s="700"/>
      <c r="H3521" s="700"/>
      <c r="I3521" s="700"/>
      <c r="J3521" s="700"/>
      <c r="K3521" s="700"/>
      <c r="L3521" s="700"/>
      <c r="M3521" s="700"/>
      <c r="N3521" s="700"/>
      <c r="O3521" s="974"/>
      <c r="P3521" s="956"/>
      <c r="Q3521" s="1821"/>
      <c r="R3521" s="1821"/>
      <c r="S3521" s="1821"/>
      <c r="T3521" s="1821"/>
      <c r="U3521" s="1821"/>
      <c r="V3521" s="1821"/>
      <c r="W3521" s="1821"/>
      <c r="X3521" s="1821"/>
      <c r="Y3521" s="1821"/>
      <c r="Z3521" s="1821"/>
      <c r="AA3521" s="1821"/>
      <c r="AB3521" s="1821"/>
      <c r="AC3521" s="1821"/>
      <c r="AD3521" s="1821"/>
      <c r="AE3521" s="1821"/>
      <c r="AF3521" s="1821"/>
      <c r="AG3521" s="1821"/>
      <c r="AH3521" s="1821"/>
      <c r="AI3521" s="1821"/>
      <c r="AJ3521" s="1821"/>
      <c r="AK3521" s="1821"/>
      <c r="AL3521" s="1821"/>
      <c r="AM3521" s="1821"/>
      <c r="AN3521" s="1821"/>
      <c r="AO3521" s="1821"/>
      <c r="AP3521" s="1821"/>
      <c r="AQ3521" s="1821"/>
      <c r="AR3521" s="1821"/>
      <c r="AS3521" s="1821"/>
      <c r="AT3521" s="1821"/>
      <c r="AU3521" s="1821"/>
      <c r="AV3521" s="1821"/>
      <c r="AW3521" s="1821"/>
      <c r="AX3521" s="1821"/>
      <c r="AY3521" s="1821"/>
      <c r="AZ3521" s="1821"/>
      <c r="BA3521" s="1821"/>
      <c r="BB3521" s="1821"/>
      <c r="BC3521" s="1821"/>
      <c r="BD3521" s="1821"/>
      <c r="BE3521" s="1821"/>
      <c r="BF3521" s="1821"/>
      <c r="BG3521" s="1821"/>
      <c r="BH3521" s="1821"/>
      <c r="BI3521" s="1821"/>
      <c r="BJ3521" s="1821"/>
      <c r="BK3521" s="1821"/>
      <c r="BL3521" s="1821"/>
      <c r="BM3521" s="1821"/>
      <c r="BN3521" s="1821"/>
      <c r="BO3521" s="1821"/>
      <c r="BP3521" s="1821"/>
      <c r="BQ3521" s="1821"/>
      <c r="BR3521" s="1821"/>
      <c r="BS3521" s="1821"/>
      <c r="BT3521" s="1821"/>
      <c r="BU3521" s="1821"/>
      <c r="BV3521" s="1821"/>
      <c r="BW3521" s="1821"/>
      <c r="BX3521" s="1821"/>
      <c r="BY3521" s="1821"/>
      <c r="BZ3521" s="1821"/>
      <c r="CA3521" s="1821"/>
      <c r="CB3521" s="1821"/>
      <c r="CC3521" s="1821"/>
      <c r="CD3521" s="1821"/>
      <c r="CE3521" s="1821"/>
      <c r="CF3521" s="1821"/>
      <c r="CG3521" s="1821"/>
      <c r="CH3521" s="1821"/>
      <c r="CI3521" s="1821"/>
      <c r="CJ3521" s="1821"/>
      <c r="CK3521" s="1821"/>
    </row>
    <row r="3522" spans="1:89" s="675" customFormat="1" ht="16.5" customHeight="1" x14ac:dyDescent="0.25">
      <c r="A3522" s="697" t="s">
        <v>280</v>
      </c>
      <c r="B3522" s="1002" t="s">
        <v>1260</v>
      </c>
      <c r="C3522" s="1007"/>
      <c r="D3522" s="1005"/>
      <c r="E3522" s="1006"/>
      <c r="F3522" s="700"/>
      <c r="G3522" s="700"/>
      <c r="H3522" s="700">
        <f t="shared" si="379"/>
        <v>0</v>
      </c>
      <c r="I3522" s="700"/>
      <c r="J3522" s="700"/>
      <c r="K3522" s="700">
        <f t="shared" si="380"/>
        <v>0</v>
      </c>
      <c r="L3522" s="700"/>
      <c r="M3522" s="700"/>
      <c r="N3522" s="700">
        <f t="shared" si="381"/>
        <v>0</v>
      </c>
      <c r="O3522" s="974"/>
      <c r="P3522" s="956"/>
      <c r="Q3522" s="1821"/>
      <c r="R3522" s="1821"/>
      <c r="S3522" s="1821"/>
      <c r="T3522" s="1821"/>
      <c r="U3522" s="1821"/>
      <c r="V3522" s="1821"/>
      <c r="W3522" s="1821"/>
      <c r="X3522" s="1821"/>
      <c r="Y3522" s="1821"/>
      <c r="Z3522" s="1821"/>
      <c r="AA3522" s="1821"/>
      <c r="AB3522" s="1821"/>
      <c r="AC3522" s="1821"/>
      <c r="AD3522" s="1821"/>
      <c r="AE3522" s="1821"/>
      <c r="AF3522" s="1821"/>
      <c r="AG3522" s="1821"/>
      <c r="AH3522" s="1821"/>
      <c r="AI3522" s="1821"/>
      <c r="AJ3522" s="1821"/>
      <c r="AK3522" s="1821"/>
      <c r="AL3522" s="1821"/>
      <c r="AM3522" s="1821"/>
      <c r="AN3522" s="1821"/>
      <c r="AO3522" s="1821"/>
      <c r="AP3522" s="1821"/>
      <c r="AQ3522" s="1821"/>
      <c r="AR3522" s="1821"/>
      <c r="AS3522" s="1821"/>
      <c r="AT3522" s="1821"/>
      <c r="AU3522" s="1821"/>
      <c r="AV3522" s="1821"/>
      <c r="AW3522" s="1821"/>
      <c r="AX3522" s="1821"/>
      <c r="AY3522" s="1821"/>
      <c r="AZ3522" s="1821"/>
      <c r="BA3522" s="1821"/>
      <c r="BB3522" s="1821"/>
      <c r="BC3522" s="1821"/>
      <c r="BD3522" s="1821"/>
      <c r="BE3522" s="1821"/>
      <c r="BF3522" s="1821"/>
      <c r="BG3522" s="1821"/>
      <c r="BH3522" s="1821"/>
      <c r="BI3522" s="1821"/>
      <c r="BJ3522" s="1821"/>
      <c r="BK3522" s="1821"/>
      <c r="BL3522" s="1821"/>
      <c r="BM3522" s="1821"/>
      <c r="BN3522" s="1821"/>
      <c r="BO3522" s="1821"/>
      <c r="BP3522" s="1821"/>
      <c r="BQ3522" s="1821"/>
      <c r="BR3522" s="1821"/>
      <c r="BS3522" s="1821"/>
      <c r="BT3522" s="1821"/>
      <c r="BU3522" s="1821"/>
      <c r="BV3522" s="1821"/>
      <c r="BW3522" s="1821"/>
      <c r="BX3522" s="1821"/>
      <c r="BY3522" s="1821"/>
      <c r="BZ3522" s="1821"/>
      <c r="CA3522" s="1821"/>
      <c r="CB3522" s="1821"/>
      <c r="CC3522" s="1821"/>
      <c r="CD3522" s="1821"/>
      <c r="CE3522" s="1821"/>
      <c r="CF3522" s="1821"/>
      <c r="CG3522" s="1821"/>
      <c r="CH3522" s="1821"/>
      <c r="CI3522" s="1821"/>
      <c r="CJ3522" s="1821"/>
      <c r="CK3522" s="1821"/>
    </row>
    <row r="3523" spans="1:89" s="675" customFormat="1" ht="16.5" customHeight="1" x14ac:dyDescent="0.25">
      <c r="A3523" s="697"/>
      <c r="B3523" s="1002" t="s">
        <v>343</v>
      </c>
      <c r="C3523" s="1007">
        <f>SUM(O3524:O3527)</f>
        <v>172660</v>
      </c>
      <c r="D3523" s="1005"/>
      <c r="E3523" s="1006"/>
      <c r="F3523" s="700"/>
      <c r="G3523" s="700"/>
      <c r="H3523" s="700">
        <f t="shared" si="379"/>
        <v>0</v>
      </c>
      <c r="I3523" s="700"/>
      <c r="J3523" s="700"/>
      <c r="K3523" s="700">
        <f t="shared" si="380"/>
        <v>0</v>
      </c>
      <c r="L3523" s="700"/>
      <c r="M3523" s="700"/>
      <c r="N3523" s="700">
        <f t="shared" si="381"/>
        <v>0</v>
      </c>
      <c r="O3523" s="974"/>
      <c r="P3523" s="956"/>
      <c r="Q3523" s="1821"/>
      <c r="R3523" s="1821"/>
      <c r="S3523" s="1821"/>
      <c r="T3523" s="1821"/>
      <c r="U3523" s="1821"/>
      <c r="V3523" s="1821"/>
      <c r="W3523" s="1821"/>
      <c r="X3523" s="1821"/>
      <c r="Y3523" s="1821"/>
      <c r="Z3523" s="1821"/>
      <c r="AA3523" s="1821"/>
      <c r="AB3523" s="1821"/>
      <c r="AC3523" s="1821"/>
      <c r="AD3523" s="1821"/>
      <c r="AE3523" s="1821"/>
      <c r="AF3523" s="1821"/>
      <c r="AG3523" s="1821"/>
      <c r="AH3523" s="1821"/>
      <c r="AI3523" s="1821"/>
      <c r="AJ3523" s="1821"/>
      <c r="AK3523" s="1821"/>
      <c r="AL3523" s="1821"/>
      <c r="AM3523" s="1821"/>
      <c r="AN3523" s="1821"/>
      <c r="AO3523" s="1821"/>
      <c r="AP3523" s="1821"/>
      <c r="AQ3523" s="1821"/>
      <c r="AR3523" s="1821"/>
      <c r="AS3523" s="1821"/>
      <c r="AT3523" s="1821"/>
      <c r="AU3523" s="1821"/>
      <c r="AV3523" s="1821"/>
      <c r="AW3523" s="1821"/>
      <c r="AX3523" s="1821"/>
      <c r="AY3523" s="1821"/>
      <c r="AZ3523" s="1821"/>
      <c r="BA3523" s="1821"/>
      <c r="BB3523" s="1821"/>
      <c r="BC3523" s="1821"/>
      <c r="BD3523" s="1821"/>
      <c r="BE3523" s="1821"/>
      <c r="BF3523" s="1821"/>
      <c r="BG3523" s="1821"/>
      <c r="BH3523" s="1821"/>
      <c r="BI3523" s="1821"/>
      <c r="BJ3523" s="1821"/>
      <c r="BK3523" s="1821"/>
      <c r="BL3523" s="1821"/>
      <c r="BM3523" s="1821"/>
      <c r="BN3523" s="1821"/>
      <c r="BO3523" s="1821"/>
      <c r="BP3523" s="1821"/>
      <c r="BQ3523" s="1821"/>
      <c r="BR3523" s="1821"/>
      <c r="BS3523" s="1821"/>
      <c r="BT3523" s="1821"/>
      <c r="BU3523" s="1821"/>
      <c r="BV3523" s="1821"/>
      <c r="BW3523" s="1821"/>
      <c r="BX3523" s="1821"/>
      <c r="BY3523" s="1821"/>
      <c r="BZ3523" s="1821"/>
      <c r="CA3523" s="1821"/>
      <c r="CB3523" s="1821"/>
      <c r="CC3523" s="1821"/>
      <c r="CD3523" s="1821"/>
      <c r="CE3523" s="1821"/>
      <c r="CF3523" s="1821"/>
      <c r="CG3523" s="1821"/>
      <c r="CH3523" s="1821"/>
      <c r="CI3523" s="1821"/>
      <c r="CJ3523" s="1821"/>
      <c r="CK3523" s="1821"/>
    </row>
    <row r="3524" spans="1:89" s="675" customFormat="1" ht="16.5" customHeight="1" x14ac:dyDescent="0.25">
      <c r="A3524" s="697"/>
      <c r="B3524" s="1002" t="s">
        <v>1261</v>
      </c>
      <c r="C3524" s="1007">
        <v>30</v>
      </c>
      <c r="D3524" s="1005" t="s">
        <v>51</v>
      </c>
      <c r="E3524" s="1006">
        <v>150</v>
      </c>
      <c r="F3524" s="700"/>
      <c r="G3524" s="700"/>
      <c r="H3524" s="700">
        <f>G3524+F3524</f>
        <v>0</v>
      </c>
      <c r="I3524" s="700"/>
      <c r="J3524" s="700">
        <f>C3524*E3524</f>
        <v>4500</v>
      </c>
      <c r="K3524" s="700">
        <f t="shared" si="380"/>
        <v>4500</v>
      </c>
      <c r="L3524" s="700"/>
      <c r="M3524" s="700"/>
      <c r="N3524" s="700">
        <f>M3524+L3524</f>
        <v>0</v>
      </c>
      <c r="O3524" s="974">
        <f>C3524*E3524</f>
        <v>4500</v>
      </c>
      <c r="P3524" s="956"/>
      <c r="Q3524" s="1821"/>
      <c r="R3524" s="1821"/>
      <c r="S3524" s="1821"/>
      <c r="T3524" s="1821"/>
      <c r="U3524" s="1821"/>
      <c r="V3524" s="1821"/>
      <c r="W3524" s="1821"/>
      <c r="X3524" s="1821"/>
      <c r="Y3524" s="1821"/>
      <c r="Z3524" s="1821"/>
      <c r="AA3524" s="1821"/>
      <c r="AB3524" s="1821"/>
      <c r="AC3524" s="1821"/>
      <c r="AD3524" s="1821"/>
      <c r="AE3524" s="1821"/>
      <c r="AF3524" s="1821"/>
      <c r="AG3524" s="1821"/>
      <c r="AH3524" s="1821"/>
      <c r="AI3524" s="1821"/>
      <c r="AJ3524" s="1821"/>
      <c r="AK3524" s="1821"/>
      <c r="AL3524" s="1821"/>
      <c r="AM3524" s="1821"/>
      <c r="AN3524" s="1821"/>
      <c r="AO3524" s="1821"/>
      <c r="AP3524" s="1821"/>
      <c r="AQ3524" s="1821"/>
      <c r="AR3524" s="1821"/>
      <c r="AS3524" s="1821"/>
      <c r="AT3524" s="1821"/>
      <c r="AU3524" s="1821"/>
      <c r="AV3524" s="1821"/>
      <c r="AW3524" s="1821"/>
      <c r="AX3524" s="1821"/>
      <c r="AY3524" s="1821"/>
      <c r="AZ3524" s="1821"/>
      <c r="BA3524" s="1821"/>
      <c r="BB3524" s="1821"/>
      <c r="BC3524" s="1821"/>
      <c r="BD3524" s="1821"/>
      <c r="BE3524" s="1821"/>
      <c r="BF3524" s="1821"/>
      <c r="BG3524" s="1821"/>
      <c r="BH3524" s="1821"/>
      <c r="BI3524" s="1821"/>
      <c r="BJ3524" s="1821"/>
      <c r="BK3524" s="1821"/>
      <c r="BL3524" s="1821"/>
      <c r="BM3524" s="1821"/>
      <c r="BN3524" s="1821"/>
      <c r="BO3524" s="1821"/>
      <c r="BP3524" s="1821"/>
      <c r="BQ3524" s="1821"/>
      <c r="BR3524" s="1821"/>
      <c r="BS3524" s="1821"/>
      <c r="BT3524" s="1821"/>
      <c r="BU3524" s="1821"/>
      <c r="BV3524" s="1821"/>
      <c r="BW3524" s="1821"/>
      <c r="BX3524" s="1821"/>
      <c r="BY3524" s="1821"/>
      <c r="BZ3524" s="1821"/>
      <c r="CA3524" s="1821"/>
      <c r="CB3524" s="1821"/>
      <c r="CC3524" s="1821"/>
      <c r="CD3524" s="1821"/>
      <c r="CE3524" s="1821"/>
      <c r="CF3524" s="1821"/>
      <c r="CG3524" s="1821"/>
      <c r="CH3524" s="1821"/>
      <c r="CI3524" s="1821"/>
      <c r="CJ3524" s="1821"/>
      <c r="CK3524" s="1821"/>
    </row>
    <row r="3525" spans="1:89" s="675" customFormat="1" ht="16.5" customHeight="1" x14ac:dyDescent="0.25">
      <c r="A3525" s="697"/>
      <c r="B3525" s="1002" t="s">
        <v>192</v>
      </c>
      <c r="C3525" s="1007">
        <v>30</v>
      </c>
      <c r="D3525" s="1005" t="s">
        <v>51</v>
      </c>
      <c r="E3525" s="1006">
        <v>3262</v>
      </c>
      <c r="F3525" s="700"/>
      <c r="G3525" s="700"/>
      <c r="H3525" s="700"/>
      <c r="I3525" s="700"/>
      <c r="J3525" s="700">
        <f>C3525*E3525</f>
        <v>97860</v>
      </c>
      <c r="K3525" s="700">
        <f t="shared" si="380"/>
        <v>97860</v>
      </c>
      <c r="L3525" s="700"/>
      <c r="M3525" s="700"/>
      <c r="N3525" s="700"/>
      <c r="O3525" s="974">
        <f>C3525*E3525</f>
        <v>97860</v>
      </c>
      <c r="P3525" s="956"/>
      <c r="Q3525" s="1821"/>
      <c r="R3525" s="1821"/>
      <c r="S3525" s="1821"/>
      <c r="T3525" s="1821"/>
      <c r="U3525" s="1821"/>
      <c r="V3525" s="1821"/>
      <c r="W3525" s="1821"/>
      <c r="X3525" s="1821"/>
      <c r="Y3525" s="1821"/>
      <c r="Z3525" s="1821"/>
      <c r="AA3525" s="1821"/>
      <c r="AB3525" s="1821"/>
      <c r="AC3525" s="1821"/>
      <c r="AD3525" s="1821"/>
      <c r="AE3525" s="1821"/>
      <c r="AF3525" s="1821"/>
      <c r="AG3525" s="1821"/>
      <c r="AH3525" s="1821"/>
      <c r="AI3525" s="1821"/>
      <c r="AJ3525" s="1821"/>
      <c r="AK3525" s="1821"/>
      <c r="AL3525" s="1821"/>
      <c r="AM3525" s="1821"/>
      <c r="AN3525" s="1821"/>
      <c r="AO3525" s="1821"/>
      <c r="AP3525" s="1821"/>
      <c r="AQ3525" s="1821"/>
      <c r="AR3525" s="1821"/>
      <c r="AS3525" s="1821"/>
      <c r="AT3525" s="1821"/>
      <c r="AU3525" s="1821"/>
      <c r="AV3525" s="1821"/>
      <c r="AW3525" s="1821"/>
      <c r="AX3525" s="1821"/>
      <c r="AY3525" s="1821"/>
      <c r="AZ3525" s="1821"/>
      <c r="BA3525" s="1821"/>
      <c r="BB3525" s="1821"/>
      <c r="BC3525" s="1821"/>
      <c r="BD3525" s="1821"/>
      <c r="BE3525" s="1821"/>
      <c r="BF3525" s="1821"/>
      <c r="BG3525" s="1821"/>
      <c r="BH3525" s="1821"/>
      <c r="BI3525" s="1821"/>
      <c r="BJ3525" s="1821"/>
      <c r="BK3525" s="1821"/>
      <c r="BL3525" s="1821"/>
      <c r="BM3525" s="1821"/>
      <c r="BN3525" s="1821"/>
      <c r="BO3525" s="1821"/>
      <c r="BP3525" s="1821"/>
      <c r="BQ3525" s="1821"/>
      <c r="BR3525" s="1821"/>
      <c r="BS3525" s="1821"/>
      <c r="BT3525" s="1821"/>
      <c r="BU3525" s="1821"/>
      <c r="BV3525" s="1821"/>
      <c r="BW3525" s="1821"/>
      <c r="BX3525" s="1821"/>
      <c r="BY3525" s="1821"/>
      <c r="BZ3525" s="1821"/>
      <c r="CA3525" s="1821"/>
      <c r="CB3525" s="1821"/>
      <c r="CC3525" s="1821"/>
      <c r="CD3525" s="1821"/>
      <c r="CE3525" s="1821"/>
      <c r="CF3525" s="1821"/>
      <c r="CG3525" s="1821"/>
      <c r="CH3525" s="1821"/>
      <c r="CI3525" s="1821"/>
      <c r="CJ3525" s="1821"/>
      <c r="CK3525" s="1821"/>
    </row>
    <row r="3526" spans="1:89" s="675" customFormat="1" ht="16.5" customHeight="1" x14ac:dyDescent="0.25">
      <c r="A3526" s="697"/>
      <c r="B3526" s="1002" t="s">
        <v>1262</v>
      </c>
      <c r="C3526" s="1007">
        <v>110</v>
      </c>
      <c r="D3526" s="1005" t="s">
        <v>55</v>
      </c>
      <c r="E3526" s="1006">
        <v>430</v>
      </c>
      <c r="F3526" s="700"/>
      <c r="G3526" s="700"/>
      <c r="H3526" s="700"/>
      <c r="I3526" s="700"/>
      <c r="J3526" s="700">
        <f>C3526*E3526</f>
        <v>47300</v>
      </c>
      <c r="K3526" s="700">
        <f t="shared" si="380"/>
        <v>47300</v>
      </c>
      <c r="L3526" s="700"/>
      <c r="M3526" s="700"/>
      <c r="N3526" s="700"/>
      <c r="O3526" s="974">
        <f>C3526*E3526</f>
        <v>47300</v>
      </c>
      <c r="P3526" s="956"/>
      <c r="Q3526" s="1821"/>
      <c r="R3526" s="1821"/>
      <c r="S3526" s="1821"/>
      <c r="T3526" s="1821"/>
      <c r="U3526" s="1821"/>
      <c r="V3526" s="1821"/>
      <c r="W3526" s="1821"/>
      <c r="X3526" s="1821"/>
      <c r="Y3526" s="1821"/>
      <c r="Z3526" s="1821"/>
      <c r="AA3526" s="1821"/>
      <c r="AB3526" s="1821"/>
      <c r="AC3526" s="1821"/>
      <c r="AD3526" s="1821"/>
      <c r="AE3526" s="1821"/>
      <c r="AF3526" s="1821"/>
      <c r="AG3526" s="1821"/>
      <c r="AH3526" s="1821"/>
      <c r="AI3526" s="1821"/>
      <c r="AJ3526" s="1821"/>
      <c r="AK3526" s="1821"/>
      <c r="AL3526" s="1821"/>
      <c r="AM3526" s="1821"/>
      <c r="AN3526" s="1821"/>
      <c r="AO3526" s="1821"/>
      <c r="AP3526" s="1821"/>
      <c r="AQ3526" s="1821"/>
      <c r="AR3526" s="1821"/>
      <c r="AS3526" s="1821"/>
      <c r="AT3526" s="1821"/>
      <c r="AU3526" s="1821"/>
      <c r="AV3526" s="1821"/>
      <c r="AW3526" s="1821"/>
      <c r="AX3526" s="1821"/>
      <c r="AY3526" s="1821"/>
      <c r="AZ3526" s="1821"/>
      <c r="BA3526" s="1821"/>
      <c r="BB3526" s="1821"/>
      <c r="BC3526" s="1821"/>
      <c r="BD3526" s="1821"/>
      <c r="BE3526" s="1821"/>
      <c r="BF3526" s="1821"/>
      <c r="BG3526" s="1821"/>
      <c r="BH3526" s="1821"/>
      <c r="BI3526" s="1821"/>
      <c r="BJ3526" s="1821"/>
      <c r="BK3526" s="1821"/>
      <c r="BL3526" s="1821"/>
      <c r="BM3526" s="1821"/>
      <c r="BN3526" s="1821"/>
      <c r="BO3526" s="1821"/>
      <c r="BP3526" s="1821"/>
      <c r="BQ3526" s="1821"/>
      <c r="BR3526" s="1821"/>
      <c r="BS3526" s="1821"/>
      <c r="BT3526" s="1821"/>
      <c r="BU3526" s="1821"/>
      <c r="BV3526" s="1821"/>
      <c r="BW3526" s="1821"/>
      <c r="BX3526" s="1821"/>
      <c r="BY3526" s="1821"/>
      <c r="BZ3526" s="1821"/>
      <c r="CA3526" s="1821"/>
      <c r="CB3526" s="1821"/>
      <c r="CC3526" s="1821"/>
      <c r="CD3526" s="1821"/>
      <c r="CE3526" s="1821"/>
      <c r="CF3526" s="1821"/>
      <c r="CG3526" s="1821"/>
      <c r="CH3526" s="1821"/>
      <c r="CI3526" s="1821"/>
      <c r="CJ3526" s="1821"/>
      <c r="CK3526" s="1821"/>
    </row>
    <row r="3527" spans="1:89" s="675" customFormat="1" ht="16.5" customHeight="1" x14ac:dyDescent="0.25">
      <c r="A3527" s="697"/>
      <c r="B3527" s="1002" t="s">
        <v>890</v>
      </c>
      <c r="C3527" s="1007">
        <v>50</v>
      </c>
      <c r="D3527" s="1005" t="s">
        <v>55</v>
      </c>
      <c r="E3527" s="1006">
        <v>460</v>
      </c>
      <c r="F3527" s="700"/>
      <c r="G3527" s="700"/>
      <c r="H3527" s="700"/>
      <c r="I3527" s="700"/>
      <c r="J3527" s="700">
        <f>C3527*E3527</f>
        <v>23000</v>
      </c>
      <c r="K3527" s="700">
        <f t="shared" si="380"/>
        <v>23000</v>
      </c>
      <c r="L3527" s="700"/>
      <c r="M3527" s="700"/>
      <c r="N3527" s="700"/>
      <c r="O3527" s="974">
        <f>C3527*E3527</f>
        <v>23000</v>
      </c>
      <c r="P3527" s="956"/>
      <c r="Q3527" s="1821"/>
      <c r="R3527" s="1821"/>
      <c r="S3527" s="1821"/>
      <c r="T3527" s="1821"/>
      <c r="U3527" s="1821"/>
      <c r="V3527" s="1821"/>
      <c r="W3527" s="1821"/>
      <c r="X3527" s="1821"/>
      <c r="Y3527" s="1821"/>
      <c r="Z3527" s="1821"/>
      <c r="AA3527" s="1821"/>
      <c r="AB3527" s="1821"/>
      <c r="AC3527" s="1821"/>
      <c r="AD3527" s="1821"/>
      <c r="AE3527" s="1821"/>
      <c r="AF3527" s="1821"/>
      <c r="AG3527" s="1821"/>
      <c r="AH3527" s="1821"/>
      <c r="AI3527" s="1821"/>
      <c r="AJ3527" s="1821"/>
      <c r="AK3527" s="1821"/>
      <c r="AL3527" s="1821"/>
      <c r="AM3527" s="1821"/>
      <c r="AN3527" s="1821"/>
      <c r="AO3527" s="1821"/>
      <c r="AP3527" s="1821"/>
      <c r="AQ3527" s="1821"/>
      <c r="AR3527" s="1821"/>
      <c r="AS3527" s="1821"/>
      <c r="AT3527" s="1821"/>
      <c r="AU3527" s="1821"/>
      <c r="AV3527" s="1821"/>
      <c r="AW3527" s="1821"/>
      <c r="AX3527" s="1821"/>
      <c r="AY3527" s="1821"/>
      <c r="AZ3527" s="1821"/>
      <c r="BA3527" s="1821"/>
      <c r="BB3527" s="1821"/>
      <c r="BC3527" s="1821"/>
      <c r="BD3527" s="1821"/>
      <c r="BE3527" s="1821"/>
      <c r="BF3527" s="1821"/>
      <c r="BG3527" s="1821"/>
      <c r="BH3527" s="1821"/>
      <c r="BI3527" s="1821"/>
      <c r="BJ3527" s="1821"/>
      <c r="BK3527" s="1821"/>
      <c r="BL3527" s="1821"/>
      <c r="BM3527" s="1821"/>
      <c r="BN3527" s="1821"/>
      <c r="BO3527" s="1821"/>
      <c r="BP3527" s="1821"/>
      <c r="BQ3527" s="1821"/>
      <c r="BR3527" s="1821"/>
      <c r="BS3527" s="1821"/>
      <c r="BT3527" s="1821"/>
      <c r="BU3527" s="1821"/>
      <c r="BV3527" s="1821"/>
      <c r="BW3527" s="1821"/>
      <c r="BX3527" s="1821"/>
      <c r="BY3527" s="1821"/>
      <c r="BZ3527" s="1821"/>
      <c r="CA3527" s="1821"/>
      <c r="CB3527" s="1821"/>
      <c r="CC3527" s="1821"/>
      <c r="CD3527" s="1821"/>
      <c r="CE3527" s="1821"/>
      <c r="CF3527" s="1821"/>
      <c r="CG3527" s="1821"/>
      <c r="CH3527" s="1821"/>
      <c r="CI3527" s="1821"/>
      <c r="CJ3527" s="1821"/>
      <c r="CK3527" s="1821"/>
    </row>
    <row r="3528" spans="1:89" s="675" customFormat="1" ht="16.5" customHeight="1" x14ac:dyDescent="0.25">
      <c r="A3528" s="697"/>
      <c r="B3528" s="1002"/>
      <c r="C3528" s="1007"/>
      <c r="D3528" s="1005"/>
      <c r="E3528" s="1006"/>
      <c r="F3528" s="700"/>
      <c r="G3528" s="700"/>
      <c r="H3528" s="700"/>
      <c r="I3528" s="700"/>
      <c r="J3528" s="700"/>
      <c r="K3528" s="700"/>
      <c r="L3528" s="700"/>
      <c r="M3528" s="700"/>
      <c r="N3528" s="700"/>
      <c r="O3528" s="974"/>
      <c r="P3528" s="956"/>
      <c r="Q3528" s="1821"/>
      <c r="R3528" s="1821"/>
      <c r="S3528" s="1821"/>
      <c r="T3528" s="1821"/>
      <c r="U3528" s="1821"/>
      <c r="V3528" s="1821"/>
      <c r="W3528" s="1821"/>
      <c r="X3528" s="1821"/>
      <c r="Y3528" s="1821"/>
      <c r="Z3528" s="1821"/>
      <c r="AA3528" s="1821"/>
      <c r="AB3528" s="1821"/>
      <c r="AC3528" s="1821"/>
      <c r="AD3528" s="1821"/>
      <c r="AE3528" s="1821"/>
      <c r="AF3528" s="1821"/>
      <c r="AG3528" s="1821"/>
      <c r="AH3528" s="1821"/>
      <c r="AI3528" s="1821"/>
      <c r="AJ3528" s="1821"/>
      <c r="AK3528" s="1821"/>
      <c r="AL3528" s="1821"/>
      <c r="AM3528" s="1821"/>
      <c r="AN3528" s="1821"/>
      <c r="AO3528" s="1821"/>
      <c r="AP3528" s="1821"/>
      <c r="AQ3528" s="1821"/>
      <c r="AR3528" s="1821"/>
      <c r="AS3528" s="1821"/>
      <c r="AT3528" s="1821"/>
      <c r="AU3528" s="1821"/>
      <c r="AV3528" s="1821"/>
      <c r="AW3528" s="1821"/>
      <c r="AX3528" s="1821"/>
      <c r="AY3528" s="1821"/>
      <c r="AZ3528" s="1821"/>
      <c r="BA3528" s="1821"/>
      <c r="BB3528" s="1821"/>
      <c r="BC3528" s="1821"/>
      <c r="BD3528" s="1821"/>
      <c r="BE3528" s="1821"/>
      <c r="BF3528" s="1821"/>
      <c r="BG3528" s="1821"/>
      <c r="BH3528" s="1821"/>
      <c r="BI3528" s="1821"/>
      <c r="BJ3528" s="1821"/>
      <c r="BK3528" s="1821"/>
      <c r="BL3528" s="1821"/>
      <c r="BM3528" s="1821"/>
      <c r="BN3528" s="1821"/>
      <c r="BO3528" s="1821"/>
      <c r="BP3528" s="1821"/>
      <c r="BQ3528" s="1821"/>
      <c r="BR3528" s="1821"/>
      <c r="BS3528" s="1821"/>
      <c r="BT3528" s="1821"/>
      <c r="BU3528" s="1821"/>
      <c r="BV3528" s="1821"/>
      <c r="BW3528" s="1821"/>
      <c r="BX3528" s="1821"/>
      <c r="BY3528" s="1821"/>
      <c r="BZ3528" s="1821"/>
      <c r="CA3528" s="1821"/>
      <c r="CB3528" s="1821"/>
      <c r="CC3528" s="1821"/>
      <c r="CD3528" s="1821"/>
      <c r="CE3528" s="1821"/>
      <c r="CF3528" s="1821"/>
      <c r="CG3528" s="1821"/>
      <c r="CH3528" s="1821"/>
      <c r="CI3528" s="1821"/>
      <c r="CJ3528" s="1821"/>
      <c r="CK3528" s="1821"/>
    </row>
    <row r="3529" spans="1:89" s="675" customFormat="1" ht="16.5" customHeight="1" x14ac:dyDescent="0.25">
      <c r="A3529" s="697"/>
      <c r="B3529" s="1002"/>
      <c r="C3529" s="1007"/>
      <c r="D3529" s="1005"/>
      <c r="E3529" s="1006"/>
      <c r="F3529" s="700"/>
      <c r="G3529" s="700"/>
      <c r="H3529" s="700"/>
      <c r="I3529" s="700"/>
      <c r="J3529" s="700"/>
      <c r="K3529" s="700"/>
      <c r="L3529" s="700"/>
      <c r="M3529" s="700"/>
      <c r="N3529" s="700"/>
      <c r="O3529" s="974"/>
      <c r="P3529" s="956"/>
      <c r="Q3529" s="1821"/>
      <c r="R3529" s="1821"/>
      <c r="S3529" s="1821"/>
      <c r="T3529" s="1821"/>
      <c r="U3529" s="1821"/>
      <c r="V3529" s="1821"/>
      <c r="W3529" s="1821"/>
      <c r="X3529" s="1821"/>
      <c r="Y3529" s="1821"/>
      <c r="Z3529" s="1821"/>
      <c r="AA3529" s="1821"/>
      <c r="AB3529" s="1821"/>
      <c r="AC3529" s="1821"/>
      <c r="AD3529" s="1821"/>
      <c r="AE3529" s="1821"/>
      <c r="AF3529" s="1821"/>
      <c r="AG3529" s="1821"/>
      <c r="AH3529" s="1821"/>
      <c r="AI3529" s="1821"/>
      <c r="AJ3529" s="1821"/>
      <c r="AK3529" s="1821"/>
      <c r="AL3529" s="1821"/>
      <c r="AM3529" s="1821"/>
      <c r="AN3529" s="1821"/>
      <c r="AO3529" s="1821"/>
      <c r="AP3529" s="1821"/>
      <c r="AQ3529" s="1821"/>
      <c r="AR3529" s="1821"/>
      <c r="AS3529" s="1821"/>
      <c r="AT3529" s="1821"/>
      <c r="AU3529" s="1821"/>
      <c r="AV3529" s="1821"/>
      <c r="AW3529" s="1821"/>
      <c r="AX3529" s="1821"/>
      <c r="AY3529" s="1821"/>
      <c r="AZ3529" s="1821"/>
      <c r="BA3529" s="1821"/>
      <c r="BB3529" s="1821"/>
      <c r="BC3529" s="1821"/>
      <c r="BD3529" s="1821"/>
      <c r="BE3529" s="1821"/>
      <c r="BF3529" s="1821"/>
      <c r="BG3529" s="1821"/>
      <c r="BH3529" s="1821"/>
      <c r="BI3529" s="1821"/>
      <c r="BJ3529" s="1821"/>
      <c r="BK3529" s="1821"/>
      <c r="BL3529" s="1821"/>
      <c r="BM3529" s="1821"/>
      <c r="BN3529" s="1821"/>
      <c r="BO3529" s="1821"/>
      <c r="BP3529" s="1821"/>
      <c r="BQ3529" s="1821"/>
      <c r="BR3529" s="1821"/>
      <c r="BS3529" s="1821"/>
      <c r="BT3529" s="1821"/>
      <c r="BU3529" s="1821"/>
      <c r="BV3529" s="1821"/>
      <c r="BW3529" s="1821"/>
      <c r="BX3529" s="1821"/>
      <c r="BY3529" s="1821"/>
      <c r="BZ3529" s="1821"/>
      <c r="CA3529" s="1821"/>
      <c r="CB3529" s="1821"/>
      <c r="CC3529" s="1821"/>
      <c r="CD3529" s="1821"/>
      <c r="CE3529" s="1821"/>
      <c r="CF3529" s="1821"/>
      <c r="CG3529" s="1821"/>
      <c r="CH3529" s="1821"/>
      <c r="CI3529" s="1821"/>
      <c r="CJ3529" s="1821"/>
      <c r="CK3529" s="1821"/>
    </row>
    <row r="3530" spans="1:89" s="675" customFormat="1" ht="16.5" customHeight="1" x14ac:dyDescent="0.25">
      <c r="A3530" s="697" t="s">
        <v>286</v>
      </c>
      <c r="B3530" s="1002" t="s">
        <v>351</v>
      </c>
      <c r="C3530" s="1007"/>
      <c r="D3530" s="1005"/>
      <c r="E3530" s="1006"/>
      <c r="F3530" s="700"/>
      <c r="G3530" s="700"/>
      <c r="H3530" s="700">
        <f t="shared" si="379"/>
        <v>0</v>
      </c>
      <c r="I3530" s="700"/>
      <c r="J3530" s="700"/>
      <c r="K3530" s="700">
        <f t="shared" si="380"/>
        <v>0</v>
      </c>
      <c r="L3530" s="700"/>
      <c r="M3530" s="700"/>
      <c r="N3530" s="700">
        <f t="shared" si="381"/>
        <v>0</v>
      </c>
      <c r="O3530" s="974"/>
      <c r="P3530" s="956"/>
      <c r="Q3530" s="1821"/>
      <c r="R3530" s="1821"/>
      <c r="S3530" s="1821"/>
      <c r="T3530" s="1821"/>
      <c r="U3530" s="1821"/>
      <c r="V3530" s="1821"/>
      <c r="W3530" s="1821"/>
      <c r="X3530" s="1821"/>
      <c r="Y3530" s="1821"/>
      <c r="Z3530" s="1821"/>
      <c r="AA3530" s="1821"/>
      <c r="AB3530" s="1821"/>
      <c r="AC3530" s="1821"/>
      <c r="AD3530" s="1821"/>
      <c r="AE3530" s="1821"/>
      <c r="AF3530" s="1821"/>
      <c r="AG3530" s="1821"/>
      <c r="AH3530" s="1821"/>
      <c r="AI3530" s="1821"/>
      <c r="AJ3530" s="1821"/>
      <c r="AK3530" s="1821"/>
      <c r="AL3530" s="1821"/>
      <c r="AM3530" s="1821"/>
      <c r="AN3530" s="1821"/>
      <c r="AO3530" s="1821"/>
      <c r="AP3530" s="1821"/>
      <c r="AQ3530" s="1821"/>
      <c r="AR3530" s="1821"/>
      <c r="AS3530" s="1821"/>
      <c r="AT3530" s="1821"/>
      <c r="AU3530" s="1821"/>
      <c r="AV3530" s="1821"/>
      <c r="AW3530" s="1821"/>
      <c r="AX3530" s="1821"/>
      <c r="AY3530" s="1821"/>
      <c r="AZ3530" s="1821"/>
      <c r="BA3530" s="1821"/>
      <c r="BB3530" s="1821"/>
      <c r="BC3530" s="1821"/>
      <c r="BD3530" s="1821"/>
      <c r="BE3530" s="1821"/>
      <c r="BF3530" s="1821"/>
      <c r="BG3530" s="1821"/>
      <c r="BH3530" s="1821"/>
      <c r="BI3530" s="1821"/>
      <c r="BJ3530" s="1821"/>
      <c r="BK3530" s="1821"/>
      <c r="BL3530" s="1821"/>
      <c r="BM3530" s="1821"/>
      <c r="BN3530" s="1821"/>
      <c r="BO3530" s="1821"/>
      <c r="BP3530" s="1821"/>
      <c r="BQ3530" s="1821"/>
      <c r="BR3530" s="1821"/>
      <c r="BS3530" s="1821"/>
      <c r="BT3530" s="1821"/>
      <c r="BU3530" s="1821"/>
      <c r="BV3530" s="1821"/>
      <c r="BW3530" s="1821"/>
      <c r="BX3530" s="1821"/>
      <c r="BY3530" s="1821"/>
      <c r="BZ3530" s="1821"/>
      <c r="CA3530" s="1821"/>
      <c r="CB3530" s="1821"/>
      <c r="CC3530" s="1821"/>
      <c r="CD3530" s="1821"/>
      <c r="CE3530" s="1821"/>
      <c r="CF3530" s="1821"/>
      <c r="CG3530" s="1821"/>
      <c r="CH3530" s="1821"/>
      <c r="CI3530" s="1821"/>
      <c r="CJ3530" s="1821"/>
      <c r="CK3530" s="1821"/>
    </row>
    <row r="3531" spans="1:89" s="675" customFormat="1" ht="16.5" customHeight="1" x14ac:dyDescent="0.25">
      <c r="A3531" s="697"/>
      <c r="B3531" s="1002" t="s">
        <v>340</v>
      </c>
      <c r="C3531" s="1007">
        <f>SUM(O3532:O3537)</f>
        <v>108000</v>
      </c>
      <c r="D3531" s="1005"/>
      <c r="E3531" s="1006"/>
      <c r="F3531" s="700"/>
      <c r="G3531" s="700"/>
      <c r="H3531" s="700">
        <f t="shared" si="379"/>
        <v>0</v>
      </c>
      <c r="I3531" s="700"/>
      <c r="J3531" s="700"/>
      <c r="K3531" s="700">
        <f t="shared" si="380"/>
        <v>0</v>
      </c>
      <c r="L3531" s="700"/>
      <c r="M3531" s="700"/>
      <c r="N3531" s="700">
        <f t="shared" si="381"/>
        <v>0</v>
      </c>
      <c r="O3531" s="974"/>
      <c r="P3531" s="956"/>
      <c r="Q3531" s="1821"/>
      <c r="R3531" s="1821"/>
      <c r="S3531" s="1821"/>
      <c r="T3531" s="1821"/>
      <c r="U3531" s="1821"/>
      <c r="V3531" s="1821"/>
      <c r="W3531" s="1821"/>
      <c r="X3531" s="1821"/>
      <c r="Y3531" s="1821"/>
      <c r="Z3531" s="1821"/>
      <c r="AA3531" s="1821"/>
      <c r="AB3531" s="1821"/>
      <c r="AC3531" s="1821"/>
      <c r="AD3531" s="1821"/>
      <c r="AE3531" s="1821"/>
      <c r="AF3531" s="1821"/>
      <c r="AG3531" s="1821"/>
      <c r="AH3531" s="1821"/>
      <c r="AI3531" s="1821"/>
      <c r="AJ3531" s="1821"/>
      <c r="AK3531" s="1821"/>
      <c r="AL3531" s="1821"/>
      <c r="AM3531" s="1821"/>
      <c r="AN3531" s="1821"/>
      <c r="AO3531" s="1821"/>
      <c r="AP3531" s="1821"/>
      <c r="AQ3531" s="1821"/>
      <c r="AR3531" s="1821"/>
      <c r="AS3531" s="1821"/>
      <c r="AT3531" s="1821"/>
      <c r="AU3531" s="1821"/>
      <c r="AV3531" s="1821"/>
      <c r="AW3531" s="1821"/>
      <c r="AX3531" s="1821"/>
      <c r="AY3531" s="1821"/>
      <c r="AZ3531" s="1821"/>
      <c r="BA3531" s="1821"/>
      <c r="BB3531" s="1821"/>
      <c r="BC3531" s="1821"/>
      <c r="BD3531" s="1821"/>
      <c r="BE3531" s="1821"/>
      <c r="BF3531" s="1821"/>
      <c r="BG3531" s="1821"/>
      <c r="BH3531" s="1821"/>
      <c r="BI3531" s="1821"/>
      <c r="BJ3531" s="1821"/>
      <c r="BK3531" s="1821"/>
      <c r="BL3531" s="1821"/>
      <c r="BM3531" s="1821"/>
      <c r="BN3531" s="1821"/>
      <c r="BO3531" s="1821"/>
      <c r="BP3531" s="1821"/>
      <c r="BQ3531" s="1821"/>
      <c r="BR3531" s="1821"/>
      <c r="BS3531" s="1821"/>
      <c r="BT3531" s="1821"/>
      <c r="BU3531" s="1821"/>
      <c r="BV3531" s="1821"/>
      <c r="BW3531" s="1821"/>
      <c r="BX3531" s="1821"/>
      <c r="BY3531" s="1821"/>
      <c r="BZ3531" s="1821"/>
      <c r="CA3531" s="1821"/>
      <c r="CB3531" s="1821"/>
      <c r="CC3531" s="1821"/>
      <c r="CD3531" s="1821"/>
      <c r="CE3531" s="1821"/>
      <c r="CF3531" s="1821"/>
      <c r="CG3531" s="1821"/>
      <c r="CH3531" s="1821"/>
      <c r="CI3531" s="1821"/>
      <c r="CJ3531" s="1821"/>
      <c r="CK3531" s="1821"/>
    </row>
    <row r="3532" spans="1:89" s="675" customFormat="1" ht="16.5" customHeight="1" x14ac:dyDescent="0.25">
      <c r="A3532" s="697"/>
      <c r="B3532" s="1002" t="s">
        <v>215</v>
      </c>
      <c r="C3532" s="1007">
        <v>1</v>
      </c>
      <c r="D3532" s="1005" t="s">
        <v>294</v>
      </c>
      <c r="E3532" s="1006">
        <v>30000</v>
      </c>
      <c r="F3532" s="700"/>
      <c r="G3532" s="700"/>
      <c r="H3532" s="700">
        <f t="shared" si="379"/>
        <v>0</v>
      </c>
      <c r="I3532" s="700">
        <f>C3532*E3532</f>
        <v>30000</v>
      </c>
      <c r="J3532" s="700"/>
      <c r="K3532" s="700">
        <f t="shared" si="380"/>
        <v>30000</v>
      </c>
      <c r="L3532" s="700"/>
      <c r="M3532" s="700"/>
      <c r="N3532" s="700">
        <f t="shared" si="381"/>
        <v>0</v>
      </c>
      <c r="O3532" s="974">
        <f>N3532+K3532+H3532</f>
        <v>30000</v>
      </c>
      <c r="P3532" s="956"/>
      <c r="Q3532" s="1821"/>
      <c r="R3532" s="1821"/>
      <c r="S3532" s="1821"/>
      <c r="T3532" s="1821"/>
      <c r="U3532" s="1821"/>
      <c r="V3532" s="1821"/>
      <c r="W3532" s="1821"/>
      <c r="X3532" s="1821"/>
      <c r="Y3532" s="1821"/>
      <c r="Z3532" s="1821"/>
      <c r="AA3532" s="1821"/>
      <c r="AB3532" s="1821"/>
      <c r="AC3532" s="1821"/>
      <c r="AD3532" s="1821"/>
      <c r="AE3532" s="1821"/>
      <c r="AF3532" s="1821"/>
      <c r="AG3532" s="1821"/>
      <c r="AH3532" s="1821"/>
      <c r="AI3532" s="1821"/>
      <c r="AJ3532" s="1821"/>
      <c r="AK3532" s="1821"/>
      <c r="AL3532" s="1821"/>
      <c r="AM3532" s="1821"/>
      <c r="AN3532" s="1821"/>
      <c r="AO3532" s="1821"/>
      <c r="AP3532" s="1821"/>
      <c r="AQ3532" s="1821"/>
      <c r="AR3532" s="1821"/>
      <c r="AS3532" s="1821"/>
      <c r="AT3532" s="1821"/>
      <c r="AU3532" s="1821"/>
      <c r="AV3532" s="1821"/>
      <c r="AW3532" s="1821"/>
      <c r="AX3532" s="1821"/>
      <c r="AY3532" s="1821"/>
      <c r="AZ3532" s="1821"/>
      <c r="BA3532" s="1821"/>
      <c r="BB3532" s="1821"/>
      <c r="BC3532" s="1821"/>
      <c r="BD3532" s="1821"/>
      <c r="BE3532" s="1821"/>
      <c r="BF3532" s="1821"/>
      <c r="BG3532" s="1821"/>
      <c r="BH3532" s="1821"/>
      <c r="BI3532" s="1821"/>
      <c r="BJ3532" s="1821"/>
      <c r="BK3532" s="1821"/>
      <c r="BL3532" s="1821"/>
      <c r="BM3532" s="1821"/>
      <c r="BN3532" s="1821"/>
      <c r="BO3532" s="1821"/>
      <c r="BP3532" s="1821"/>
      <c r="BQ3532" s="1821"/>
      <c r="BR3532" s="1821"/>
      <c r="BS3532" s="1821"/>
      <c r="BT3532" s="1821"/>
      <c r="BU3532" s="1821"/>
      <c r="BV3532" s="1821"/>
      <c r="BW3532" s="1821"/>
      <c r="BX3532" s="1821"/>
      <c r="BY3532" s="1821"/>
      <c r="BZ3532" s="1821"/>
      <c r="CA3532" s="1821"/>
      <c r="CB3532" s="1821"/>
      <c r="CC3532" s="1821"/>
      <c r="CD3532" s="1821"/>
      <c r="CE3532" s="1821"/>
      <c r="CF3532" s="1821"/>
      <c r="CG3532" s="1821"/>
      <c r="CH3532" s="1821"/>
      <c r="CI3532" s="1821"/>
      <c r="CJ3532" s="1821"/>
      <c r="CK3532" s="1821"/>
    </row>
    <row r="3533" spans="1:89" s="675" customFormat="1" ht="16.5" customHeight="1" x14ac:dyDescent="0.25">
      <c r="A3533" s="697"/>
      <c r="B3533" s="1002" t="s">
        <v>349</v>
      </c>
      <c r="C3533" s="1007"/>
      <c r="D3533" s="1005"/>
      <c r="E3533" s="1006"/>
      <c r="F3533" s="700"/>
      <c r="G3533" s="700"/>
      <c r="H3533" s="700"/>
      <c r="I3533" s="700"/>
      <c r="J3533" s="700"/>
      <c r="K3533" s="700"/>
      <c r="L3533" s="700"/>
      <c r="M3533" s="700"/>
      <c r="N3533" s="700"/>
      <c r="O3533" s="974"/>
      <c r="P3533" s="956"/>
      <c r="Q3533" s="1821"/>
      <c r="R3533" s="1821"/>
      <c r="S3533" s="1821"/>
      <c r="T3533" s="1821"/>
      <c r="U3533" s="1821"/>
      <c r="V3533" s="1821"/>
      <c r="W3533" s="1821"/>
      <c r="X3533" s="1821"/>
      <c r="Y3533" s="1821"/>
      <c r="Z3533" s="1821"/>
      <c r="AA3533" s="1821"/>
      <c r="AB3533" s="1821"/>
      <c r="AC3533" s="1821"/>
      <c r="AD3533" s="1821"/>
      <c r="AE3533" s="1821"/>
      <c r="AF3533" s="1821"/>
      <c r="AG3533" s="1821"/>
      <c r="AH3533" s="1821"/>
      <c r="AI3533" s="1821"/>
      <c r="AJ3533" s="1821"/>
      <c r="AK3533" s="1821"/>
      <c r="AL3533" s="1821"/>
      <c r="AM3533" s="1821"/>
      <c r="AN3533" s="1821"/>
      <c r="AO3533" s="1821"/>
      <c r="AP3533" s="1821"/>
      <c r="AQ3533" s="1821"/>
      <c r="AR3533" s="1821"/>
      <c r="AS3533" s="1821"/>
      <c r="AT3533" s="1821"/>
      <c r="AU3533" s="1821"/>
      <c r="AV3533" s="1821"/>
      <c r="AW3533" s="1821"/>
      <c r="AX3533" s="1821"/>
      <c r="AY3533" s="1821"/>
      <c r="AZ3533" s="1821"/>
      <c r="BA3533" s="1821"/>
      <c r="BB3533" s="1821"/>
      <c r="BC3533" s="1821"/>
      <c r="BD3533" s="1821"/>
      <c r="BE3533" s="1821"/>
      <c r="BF3533" s="1821"/>
      <c r="BG3533" s="1821"/>
      <c r="BH3533" s="1821"/>
      <c r="BI3533" s="1821"/>
      <c r="BJ3533" s="1821"/>
      <c r="BK3533" s="1821"/>
      <c r="BL3533" s="1821"/>
      <c r="BM3533" s="1821"/>
      <c r="BN3533" s="1821"/>
      <c r="BO3533" s="1821"/>
      <c r="BP3533" s="1821"/>
      <c r="BQ3533" s="1821"/>
      <c r="BR3533" s="1821"/>
      <c r="BS3533" s="1821"/>
      <c r="BT3533" s="1821"/>
      <c r="BU3533" s="1821"/>
      <c r="BV3533" s="1821"/>
      <c r="BW3533" s="1821"/>
      <c r="BX3533" s="1821"/>
      <c r="BY3533" s="1821"/>
      <c r="BZ3533" s="1821"/>
      <c r="CA3533" s="1821"/>
      <c r="CB3533" s="1821"/>
      <c r="CC3533" s="1821"/>
      <c r="CD3533" s="1821"/>
      <c r="CE3533" s="1821"/>
      <c r="CF3533" s="1821"/>
      <c r="CG3533" s="1821"/>
      <c r="CH3533" s="1821"/>
      <c r="CI3533" s="1821"/>
      <c r="CJ3533" s="1821"/>
      <c r="CK3533" s="1821"/>
    </row>
    <row r="3534" spans="1:89" s="675" customFormat="1" ht="16.5" customHeight="1" x14ac:dyDescent="0.25">
      <c r="A3534" s="697"/>
      <c r="B3534" s="1002" t="s">
        <v>1080</v>
      </c>
      <c r="C3534" s="1007"/>
      <c r="D3534" s="1005"/>
      <c r="E3534" s="1006"/>
      <c r="F3534" s="700"/>
      <c r="G3534" s="700"/>
      <c r="H3534" s="700"/>
      <c r="I3534" s="700"/>
      <c r="J3534" s="700"/>
      <c r="K3534" s="700"/>
      <c r="L3534" s="700"/>
      <c r="M3534" s="700"/>
      <c r="N3534" s="700"/>
      <c r="O3534" s="974"/>
      <c r="P3534" s="956"/>
      <c r="Q3534" s="1821"/>
      <c r="R3534" s="1821"/>
      <c r="S3534" s="1821"/>
      <c r="T3534" s="1821"/>
      <c r="U3534" s="1821"/>
      <c r="V3534" s="1821"/>
      <c r="W3534" s="1821"/>
      <c r="X3534" s="1821"/>
      <c r="Y3534" s="1821"/>
      <c r="Z3534" s="1821"/>
      <c r="AA3534" s="1821"/>
      <c r="AB3534" s="1821"/>
      <c r="AC3534" s="1821"/>
      <c r="AD3534" s="1821"/>
      <c r="AE3534" s="1821"/>
      <c r="AF3534" s="1821"/>
      <c r="AG3534" s="1821"/>
      <c r="AH3534" s="1821"/>
      <c r="AI3534" s="1821"/>
      <c r="AJ3534" s="1821"/>
      <c r="AK3534" s="1821"/>
      <c r="AL3534" s="1821"/>
      <c r="AM3534" s="1821"/>
      <c r="AN3534" s="1821"/>
      <c r="AO3534" s="1821"/>
      <c r="AP3534" s="1821"/>
      <c r="AQ3534" s="1821"/>
      <c r="AR3534" s="1821"/>
      <c r="AS3534" s="1821"/>
      <c r="AT3534" s="1821"/>
      <c r="AU3534" s="1821"/>
      <c r="AV3534" s="1821"/>
      <c r="AW3534" s="1821"/>
      <c r="AX3534" s="1821"/>
      <c r="AY3534" s="1821"/>
      <c r="AZ3534" s="1821"/>
      <c r="BA3534" s="1821"/>
      <c r="BB3534" s="1821"/>
      <c r="BC3534" s="1821"/>
      <c r="BD3534" s="1821"/>
      <c r="BE3534" s="1821"/>
      <c r="BF3534" s="1821"/>
      <c r="BG3534" s="1821"/>
      <c r="BH3534" s="1821"/>
      <c r="BI3534" s="1821"/>
      <c r="BJ3534" s="1821"/>
      <c r="BK3534" s="1821"/>
      <c r="BL3534" s="1821"/>
      <c r="BM3534" s="1821"/>
      <c r="BN3534" s="1821"/>
      <c r="BO3534" s="1821"/>
      <c r="BP3534" s="1821"/>
      <c r="BQ3534" s="1821"/>
      <c r="BR3534" s="1821"/>
      <c r="BS3534" s="1821"/>
      <c r="BT3534" s="1821"/>
      <c r="BU3534" s="1821"/>
      <c r="BV3534" s="1821"/>
      <c r="BW3534" s="1821"/>
      <c r="BX3534" s="1821"/>
      <c r="BY3534" s="1821"/>
      <c r="BZ3534" s="1821"/>
      <c r="CA3534" s="1821"/>
      <c r="CB3534" s="1821"/>
      <c r="CC3534" s="1821"/>
      <c r="CD3534" s="1821"/>
      <c r="CE3534" s="1821"/>
      <c r="CF3534" s="1821"/>
      <c r="CG3534" s="1821"/>
      <c r="CH3534" s="1821"/>
      <c r="CI3534" s="1821"/>
      <c r="CJ3534" s="1821"/>
      <c r="CK3534" s="1821"/>
    </row>
    <row r="3535" spans="1:89" s="675" customFormat="1" ht="16.5" customHeight="1" x14ac:dyDescent="0.25">
      <c r="A3535" s="697"/>
      <c r="B3535" s="1002" t="s">
        <v>1257</v>
      </c>
      <c r="C3535" s="1007">
        <v>24</v>
      </c>
      <c r="D3535" s="1005" t="s">
        <v>51</v>
      </c>
      <c r="E3535" s="1006">
        <v>150</v>
      </c>
      <c r="F3535" s="700"/>
      <c r="G3535" s="700"/>
      <c r="H3535" s="700"/>
      <c r="I3535" s="700"/>
      <c r="J3535" s="700">
        <f>C3535*E3535</f>
        <v>3600</v>
      </c>
      <c r="K3535" s="700">
        <f t="shared" si="380"/>
        <v>3600</v>
      </c>
      <c r="L3535" s="700"/>
      <c r="M3535" s="700"/>
      <c r="N3535" s="700"/>
      <c r="O3535" s="974">
        <f>C3535*E3535</f>
        <v>3600</v>
      </c>
      <c r="P3535" s="956"/>
      <c r="Q3535" s="1821"/>
      <c r="R3535" s="1821"/>
      <c r="S3535" s="1821"/>
      <c r="T3535" s="1821"/>
      <c r="U3535" s="1821"/>
      <c r="V3535" s="1821"/>
      <c r="W3535" s="1821"/>
      <c r="X3535" s="1821"/>
      <c r="Y3535" s="1821"/>
      <c r="Z3535" s="1821"/>
      <c r="AA3535" s="1821"/>
      <c r="AB3535" s="1821"/>
      <c r="AC3535" s="1821"/>
      <c r="AD3535" s="1821"/>
      <c r="AE3535" s="1821"/>
      <c r="AF3535" s="1821"/>
      <c r="AG3535" s="1821"/>
      <c r="AH3535" s="1821"/>
      <c r="AI3535" s="1821"/>
      <c r="AJ3535" s="1821"/>
      <c r="AK3535" s="1821"/>
      <c r="AL3535" s="1821"/>
      <c r="AM3535" s="1821"/>
      <c r="AN3535" s="1821"/>
      <c r="AO3535" s="1821"/>
      <c r="AP3535" s="1821"/>
      <c r="AQ3535" s="1821"/>
      <c r="AR3535" s="1821"/>
      <c r="AS3535" s="1821"/>
      <c r="AT3535" s="1821"/>
      <c r="AU3535" s="1821"/>
      <c r="AV3535" s="1821"/>
      <c r="AW3535" s="1821"/>
      <c r="AX3535" s="1821"/>
      <c r="AY3535" s="1821"/>
      <c r="AZ3535" s="1821"/>
      <c r="BA3535" s="1821"/>
      <c r="BB3535" s="1821"/>
      <c r="BC3535" s="1821"/>
      <c r="BD3535" s="1821"/>
      <c r="BE3535" s="1821"/>
      <c r="BF3535" s="1821"/>
      <c r="BG3535" s="1821"/>
      <c r="BH3535" s="1821"/>
      <c r="BI3535" s="1821"/>
      <c r="BJ3535" s="1821"/>
      <c r="BK3535" s="1821"/>
      <c r="BL3535" s="1821"/>
      <c r="BM3535" s="1821"/>
      <c r="BN3535" s="1821"/>
      <c r="BO3535" s="1821"/>
      <c r="BP3535" s="1821"/>
      <c r="BQ3535" s="1821"/>
      <c r="BR3535" s="1821"/>
      <c r="BS3535" s="1821"/>
      <c r="BT3535" s="1821"/>
      <c r="BU3535" s="1821"/>
      <c r="BV3535" s="1821"/>
      <c r="BW3535" s="1821"/>
      <c r="BX3535" s="1821"/>
      <c r="BY3535" s="1821"/>
      <c r="BZ3535" s="1821"/>
      <c r="CA3535" s="1821"/>
      <c r="CB3535" s="1821"/>
      <c r="CC3535" s="1821"/>
      <c r="CD3535" s="1821"/>
      <c r="CE3535" s="1821"/>
      <c r="CF3535" s="1821"/>
      <c r="CG3535" s="1821"/>
      <c r="CH3535" s="1821"/>
      <c r="CI3535" s="1821"/>
      <c r="CJ3535" s="1821"/>
      <c r="CK3535" s="1821"/>
    </row>
    <row r="3536" spans="1:89" s="675" customFormat="1" ht="16.5" customHeight="1" x14ac:dyDescent="0.25">
      <c r="A3536" s="697"/>
      <c r="B3536" s="1002" t="s">
        <v>1258</v>
      </c>
      <c r="C3536" s="1007">
        <v>96</v>
      </c>
      <c r="D3536" s="1005" t="s">
        <v>55</v>
      </c>
      <c r="E3536" s="1006">
        <v>430</v>
      </c>
      <c r="F3536" s="700"/>
      <c r="G3536" s="700"/>
      <c r="H3536" s="700"/>
      <c r="I3536" s="700"/>
      <c r="J3536" s="700">
        <f>C3536*E3536</f>
        <v>41280</v>
      </c>
      <c r="K3536" s="700">
        <f t="shared" si="380"/>
        <v>41280</v>
      </c>
      <c r="L3536" s="700"/>
      <c r="M3536" s="700"/>
      <c r="N3536" s="700"/>
      <c r="O3536" s="974">
        <f>C3536*E3536</f>
        <v>41280</v>
      </c>
      <c r="P3536" s="956"/>
      <c r="Q3536" s="1821"/>
      <c r="R3536" s="1821"/>
      <c r="S3536" s="1821"/>
      <c r="T3536" s="1821"/>
      <c r="U3536" s="1821"/>
      <c r="V3536" s="1821"/>
      <c r="W3536" s="1821"/>
      <c r="X3536" s="1821"/>
      <c r="Y3536" s="1821"/>
      <c r="Z3536" s="1821"/>
      <c r="AA3536" s="1821"/>
      <c r="AB3536" s="1821"/>
      <c r="AC3536" s="1821"/>
      <c r="AD3536" s="1821"/>
      <c r="AE3536" s="1821"/>
      <c r="AF3536" s="1821"/>
      <c r="AG3536" s="1821"/>
      <c r="AH3536" s="1821"/>
      <c r="AI3536" s="1821"/>
      <c r="AJ3536" s="1821"/>
      <c r="AK3536" s="1821"/>
      <c r="AL3536" s="1821"/>
      <c r="AM3536" s="1821"/>
      <c r="AN3536" s="1821"/>
      <c r="AO3536" s="1821"/>
      <c r="AP3536" s="1821"/>
      <c r="AQ3536" s="1821"/>
      <c r="AR3536" s="1821"/>
      <c r="AS3536" s="1821"/>
      <c r="AT3536" s="1821"/>
      <c r="AU3536" s="1821"/>
      <c r="AV3536" s="1821"/>
      <c r="AW3536" s="1821"/>
      <c r="AX3536" s="1821"/>
      <c r="AY3536" s="1821"/>
      <c r="AZ3536" s="1821"/>
      <c r="BA3536" s="1821"/>
      <c r="BB3536" s="1821"/>
      <c r="BC3536" s="1821"/>
      <c r="BD3536" s="1821"/>
      <c r="BE3536" s="1821"/>
      <c r="BF3536" s="1821"/>
      <c r="BG3536" s="1821"/>
      <c r="BH3536" s="1821"/>
      <c r="BI3536" s="1821"/>
      <c r="BJ3536" s="1821"/>
      <c r="BK3536" s="1821"/>
      <c r="BL3536" s="1821"/>
      <c r="BM3536" s="1821"/>
      <c r="BN3536" s="1821"/>
      <c r="BO3536" s="1821"/>
      <c r="BP3536" s="1821"/>
      <c r="BQ3536" s="1821"/>
      <c r="BR3536" s="1821"/>
      <c r="BS3536" s="1821"/>
      <c r="BT3536" s="1821"/>
      <c r="BU3536" s="1821"/>
      <c r="BV3536" s="1821"/>
      <c r="BW3536" s="1821"/>
      <c r="BX3536" s="1821"/>
      <c r="BY3536" s="1821"/>
      <c r="BZ3536" s="1821"/>
      <c r="CA3536" s="1821"/>
      <c r="CB3536" s="1821"/>
      <c r="CC3536" s="1821"/>
      <c r="CD3536" s="1821"/>
      <c r="CE3536" s="1821"/>
      <c r="CF3536" s="1821"/>
      <c r="CG3536" s="1821"/>
      <c r="CH3536" s="1821"/>
      <c r="CI3536" s="1821"/>
      <c r="CJ3536" s="1821"/>
      <c r="CK3536" s="1821"/>
    </row>
    <row r="3537" spans="1:89" s="675" customFormat="1" ht="16.5" customHeight="1" x14ac:dyDescent="0.25">
      <c r="A3537" s="697"/>
      <c r="B3537" s="1002" t="s">
        <v>890</v>
      </c>
      <c r="C3537" s="1007">
        <v>72</v>
      </c>
      <c r="D3537" s="1005" t="s">
        <v>55</v>
      </c>
      <c r="E3537" s="1006">
        <v>460</v>
      </c>
      <c r="F3537" s="700"/>
      <c r="G3537" s="700"/>
      <c r="H3537" s="700"/>
      <c r="I3537" s="700"/>
      <c r="J3537" s="700">
        <f>C3537*E3537</f>
        <v>33120</v>
      </c>
      <c r="K3537" s="700">
        <f t="shared" si="380"/>
        <v>33120</v>
      </c>
      <c r="L3537" s="700"/>
      <c r="M3537" s="700"/>
      <c r="N3537" s="700"/>
      <c r="O3537" s="974">
        <f>C3537*E3537</f>
        <v>33120</v>
      </c>
      <c r="P3537" s="956"/>
      <c r="Q3537" s="1821"/>
      <c r="R3537" s="1821"/>
      <c r="S3537" s="1821"/>
      <c r="T3537" s="1821"/>
      <c r="U3537" s="1821"/>
      <c r="V3537" s="1821"/>
      <c r="W3537" s="1821"/>
      <c r="X3537" s="1821"/>
      <c r="Y3537" s="1821"/>
      <c r="Z3537" s="1821"/>
      <c r="AA3537" s="1821"/>
      <c r="AB3537" s="1821"/>
      <c r="AC3537" s="1821"/>
      <c r="AD3537" s="1821"/>
      <c r="AE3537" s="1821"/>
      <c r="AF3537" s="1821"/>
      <c r="AG3537" s="1821"/>
      <c r="AH3537" s="1821"/>
      <c r="AI3537" s="1821"/>
      <c r="AJ3537" s="1821"/>
      <c r="AK3537" s="1821"/>
      <c r="AL3537" s="1821"/>
      <c r="AM3537" s="1821"/>
      <c r="AN3537" s="1821"/>
      <c r="AO3537" s="1821"/>
      <c r="AP3537" s="1821"/>
      <c r="AQ3537" s="1821"/>
      <c r="AR3537" s="1821"/>
      <c r="AS3537" s="1821"/>
      <c r="AT3537" s="1821"/>
      <c r="AU3537" s="1821"/>
      <c r="AV3537" s="1821"/>
      <c r="AW3537" s="1821"/>
      <c r="AX3537" s="1821"/>
      <c r="AY3537" s="1821"/>
      <c r="AZ3537" s="1821"/>
      <c r="BA3537" s="1821"/>
      <c r="BB3537" s="1821"/>
      <c r="BC3537" s="1821"/>
      <c r="BD3537" s="1821"/>
      <c r="BE3537" s="1821"/>
      <c r="BF3537" s="1821"/>
      <c r="BG3537" s="1821"/>
      <c r="BH3537" s="1821"/>
      <c r="BI3537" s="1821"/>
      <c r="BJ3537" s="1821"/>
      <c r="BK3537" s="1821"/>
      <c r="BL3537" s="1821"/>
      <c r="BM3537" s="1821"/>
      <c r="BN3537" s="1821"/>
      <c r="BO3537" s="1821"/>
      <c r="BP3537" s="1821"/>
      <c r="BQ3537" s="1821"/>
      <c r="BR3537" s="1821"/>
      <c r="BS3537" s="1821"/>
      <c r="BT3537" s="1821"/>
      <c r="BU3537" s="1821"/>
      <c r="BV3537" s="1821"/>
      <c r="BW3537" s="1821"/>
      <c r="BX3537" s="1821"/>
      <c r="BY3537" s="1821"/>
      <c r="BZ3537" s="1821"/>
      <c r="CA3537" s="1821"/>
      <c r="CB3537" s="1821"/>
      <c r="CC3537" s="1821"/>
      <c r="CD3537" s="1821"/>
      <c r="CE3537" s="1821"/>
      <c r="CF3537" s="1821"/>
      <c r="CG3537" s="1821"/>
      <c r="CH3537" s="1821"/>
      <c r="CI3537" s="1821"/>
      <c r="CJ3537" s="1821"/>
      <c r="CK3537" s="1821"/>
    </row>
    <row r="3538" spans="1:89" s="675" customFormat="1" ht="16.5" customHeight="1" x14ac:dyDescent="0.25">
      <c r="A3538" s="697"/>
      <c r="B3538" s="1002"/>
      <c r="C3538" s="1007"/>
      <c r="D3538" s="1005"/>
      <c r="E3538" s="1006"/>
      <c r="F3538" s="700"/>
      <c r="G3538" s="700"/>
      <c r="H3538" s="700"/>
      <c r="I3538" s="700"/>
      <c r="J3538" s="700"/>
      <c r="K3538" s="700"/>
      <c r="L3538" s="700"/>
      <c r="M3538" s="700"/>
      <c r="N3538" s="700"/>
      <c r="O3538" s="974"/>
      <c r="P3538" s="956"/>
      <c r="Q3538" s="1821"/>
      <c r="R3538" s="1821"/>
      <c r="S3538" s="1821"/>
      <c r="T3538" s="1821"/>
      <c r="U3538" s="1821"/>
      <c r="V3538" s="1821"/>
      <c r="W3538" s="1821"/>
      <c r="X3538" s="1821"/>
      <c r="Y3538" s="1821"/>
      <c r="Z3538" s="1821"/>
      <c r="AA3538" s="1821"/>
      <c r="AB3538" s="1821"/>
      <c r="AC3538" s="1821"/>
      <c r="AD3538" s="1821"/>
      <c r="AE3538" s="1821"/>
      <c r="AF3538" s="1821"/>
      <c r="AG3538" s="1821"/>
      <c r="AH3538" s="1821"/>
      <c r="AI3538" s="1821"/>
      <c r="AJ3538" s="1821"/>
      <c r="AK3538" s="1821"/>
      <c r="AL3538" s="1821"/>
      <c r="AM3538" s="1821"/>
      <c r="AN3538" s="1821"/>
      <c r="AO3538" s="1821"/>
      <c r="AP3538" s="1821"/>
      <c r="AQ3538" s="1821"/>
      <c r="AR3538" s="1821"/>
      <c r="AS3538" s="1821"/>
      <c r="AT3538" s="1821"/>
      <c r="AU3538" s="1821"/>
      <c r="AV3538" s="1821"/>
      <c r="AW3538" s="1821"/>
      <c r="AX3538" s="1821"/>
      <c r="AY3538" s="1821"/>
      <c r="AZ3538" s="1821"/>
      <c r="BA3538" s="1821"/>
      <c r="BB3538" s="1821"/>
      <c r="BC3538" s="1821"/>
      <c r="BD3538" s="1821"/>
      <c r="BE3538" s="1821"/>
      <c r="BF3538" s="1821"/>
      <c r="BG3538" s="1821"/>
      <c r="BH3538" s="1821"/>
      <c r="BI3538" s="1821"/>
      <c r="BJ3538" s="1821"/>
      <c r="BK3538" s="1821"/>
      <c r="BL3538" s="1821"/>
      <c r="BM3538" s="1821"/>
      <c r="BN3538" s="1821"/>
      <c r="BO3538" s="1821"/>
      <c r="BP3538" s="1821"/>
      <c r="BQ3538" s="1821"/>
      <c r="BR3538" s="1821"/>
      <c r="BS3538" s="1821"/>
      <c r="BT3538" s="1821"/>
      <c r="BU3538" s="1821"/>
      <c r="BV3538" s="1821"/>
      <c r="BW3538" s="1821"/>
      <c r="BX3538" s="1821"/>
      <c r="BY3538" s="1821"/>
      <c r="BZ3538" s="1821"/>
      <c r="CA3538" s="1821"/>
      <c r="CB3538" s="1821"/>
      <c r="CC3538" s="1821"/>
      <c r="CD3538" s="1821"/>
      <c r="CE3538" s="1821"/>
      <c r="CF3538" s="1821"/>
      <c r="CG3538" s="1821"/>
      <c r="CH3538" s="1821"/>
      <c r="CI3538" s="1821"/>
      <c r="CJ3538" s="1821"/>
      <c r="CK3538" s="1821"/>
    </row>
    <row r="3539" spans="1:89" s="675" customFormat="1" ht="16.5" customHeight="1" x14ac:dyDescent="0.25">
      <c r="A3539" s="697" t="s">
        <v>290</v>
      </c>
      <c r="B3539" s="1002" t="s">
        <v>1263</v>
      </c>
      <c r="C3539" s="1007" t="s">
        <v>49</v>
      </c>
      <c r="D3539" s="1005"/>
      <c r="E3539" s="1006"/>
      <c r="F3539" s="700"/>
      <c r="G3539" s="700"/>
      <c r="H3539" s="700">
        <f t="shared" si="379"/>
        <v>0</v>
      </c>
      <c r="I3539" s="700"/>
      <c r="J3539" s="700"/>
      <c r="K3539" s="700">
        <f t="shared" si="380"/>
        <v>0</v>
      </c>
      <c r="L3539" s="700"/>
      <c r="M3539" s="700"/>
      <c r="N3539" s="700">
        <f t="shared" si="381"/>
        <v>0</v>
      </c>
      <c r="O3539" s="974">
        <f>N3539+K3539+H3539</f>
        <v>0</v>
      </c>
      <c r="P3539" s="956"/>
      <c r="Q3539" s="1821"/>
      <c r="R3539" s="1821"/>
      <c r="S3539" s="1821"/>
      <c r="T3539" s="1821"/>
      <c r="U3539" s="1821"/>
      <c r="V3539" s="1821"/>
      <c r="W3539" s="1821"/>
      <c r="X3539" s="1821"/>
      <c r="Y3539" s="1821"/>
      <c r="Z3539" s="1821"/>
      <c r="AA3539" s="1821"/>
      <c r="AB3539" s="1821"/>
      <c r="AC3539" s="1821"/>
      <c r="AD3539" s="1821"/>
      <c r="AE3539" s="1821"/>
      <c r="AF3539" s="1821"/>
      <c r="AG3539" s="1821"/>
      <c r="AH3539" s="1821"/>
      <c r="AI3539" s="1821"/>
      <c r="AJ3539" s="1821"/>
      <c r="AK3539" s="1821"/>
      <c r="AL3539" s="1821"/>
      <c r="AM3539" s="1821"/>
      <c r="AN3539" s="1821"/>
      <c r="AO3539" s="1821"/>
      <c r="AP3539" s="1821"/>
      <c r="AQ3539" s="1821"/>
      <c r="AR3539" s="1821"/>
      <c r="AS3539" s="1821"/>
      <c r="AT3539" s="1821"/>
      <c r="AU3539" s="1821"/>
      <c r="AV3539" s="1821"/>
      <c r="AW3539" s="1821"/>
      <c r="AX3539" s="1821"/>
      <c r="AY3539" s="1821"/>
      <c r="AZ3539" s="1821"/>
      <c r="BA3539" s="1821"/>
      <c r="BB3539" s="1821"/>
      <c r="BC3539" s="1821"/>
      <c r="BD3539" s="1821"/>
      <c r="BE3539" s="1821"/>
      <c r="BF3539" s="1821"/>
      <c r="BG3539" s="1821"/>
      <c r="BH3539" s="1821"/>
      <c r="BI3539" s="1821"/>
      <c r="BJ3539" s="1821"/>
      <c r="BK3539" s="1821"/>
      <c r="BL3539" s="1821"/>
      <c r="BM3539" s="1821"/>
      <c r="BN3539" s="1821"/>
      <c r="BO3539" s="1821"/>
      <c r="BP3539" s="1821"/>
      <c r="BQ3539" s="1821"/>
      <c r="BR3539" s="1821"/>
      <c r="BS3539" s="1821"/>
      <c r="BT3539" s="1821"/>
      <c r="BU3539" s="1821"/>
      <c r="BV3539" s="1821"/>
      <c r="BW3539" s="1821"/>
      <c r="BX3539" s="1821"/>
      <c r="BY3539" s="1821"/>
      <c r="BZ3539" s="1821"/>
      <c r="CA3539" s="1821"/>
      <c r="CB3539" s="1821"/>
      <c r="CC3539" s="1821"/>
      <c r="CD3539" s="1821"/>
      <c r="CE3539" s="1821"/>
      <c r="CF3539" s="1821"/>
      <c r="CG3539" s="1821"/>
      <c r="CH3539" s="1821"/>
      <c r="CI3539" s="1821"/>
      <c r="CJ3539" s="1821"/>
      <c r="CK3539" s="1821"/>
    </row>
    <row r="3540" spans="1:89" s="675" customFormat="1" ht="16.5" customHeight="1" x14ac:dyDescent="0.25">
      <c r="A3540" s="697"/>
      <c r="B3540" s="1002" t="s">
        <v>352</v>
      </c>
      <c r="C3540" s="1007" t="s">
        <v>49</v>
      </c>
      <c r="D3540" s="1005"/>
      <c r="E3540" s="1006"/>
      <c r="F3540" s="700"/>
      <c r="G3540" s="700"/>
      <c r="H3540" s="700">
        <f t="shared" si="379"/>
        <v>0</v>
      </c>
      <c r="I3540" s="700"/>
      <c r="J3540" s="700"/>
      <c r="K3540" s="700">
        <f t="shared" si="380"/>
        <v>0</v>
      </c>
      <c r="L3540" s="700"/>
      <c r="M3540" s="700"/>
      <c r="N3540" s="700">
        <f t="shared" si="381"/>
        <v>0</v>
      </c>
      <c r="O3540" s="974">
        <f>N3540+K3540+H3540</f>
        <v>0</v>
      </c>
      <c r="P3540" s="956"/>
      <c r="Q3540" s="1821"/>
      <c r="R3540" s="1821"/>
      <c r="S3540" s="1821"/>
      <c r="T3540" s="1821"/>
      <c r="U3540" s="1821"/>
      <c r="V3540" s="1821"/>
      <c r="W3540" s="1821"/>
      <c r="X3540" s="1821"/>
      <c r="Y3540" s="1821"/>
      <c r="Z3540" s="1821"/>
      <c r="AA3540" s="1821"/>
      <c r="AB3540" s="1821"/>
      <c r="AC3540" s="1821"/>
      <c r="AD3540" s="1821"/>
      <c r="AE3540" s="1821"/>
      <c r="AF3540" s="1821"/>
      <c r="AG3540" s="1821"/>
      <c r="AH3540" s="1821"/>
      <c r="AI3540" s="1821"/>
      <c r="AJ3540" s="1821"/>
      <c r="AK3540" s="1821"/>
      <c r="AL3540" s="1821"/>
      <c r="AM3540" s="1821"/>
      <c r="AN3540" s="1821"/>
      <c r="AO3540" s="1821"/>
      <c r="AP3540" s="1821"/>
      <c r="AQ3540" s="1821"/>
      <c r="AR3540" s="1821"/>
      <c r="AS3540" s="1821"/>
      <c r="AT3540" s="1821"/>
      <c r="AU3540" s="1821"/>
      <c r="AV3540" s="1821"/>
      <c r="AW3540" s="1821"/>
      <c r="AX3540" s="1821"/>
      <c r="AY3540" s="1821"/>
      <c r="AZ3540" s="1821"/>
      <c r="BA3540" s="1821"/>
      <c r="BB3540" s="1821"/>
      <c r="BC3540" s="1821"/>
      <c r="BD3540" s="1821"/>
      <c r="BE3540" s="1821"/>
      <c r="BF3540" s="1821"/>
      <c r="BG3540" s="1821"/>
      <c r="BH3540" s="1821"/>
      <c r="BI3540" s="1821"/>
      <c r="BJ3540" s="1821"/>
      <c r="BK3540" s="1821"/>
      <c r="BL3540" s="1821"/>
      <c r="BM3540" s="1821"/>
      <c r="BN3540" s="1821"/>
      <c r="BO3540" s="1821"/>
      <c r="BP3540" s="1821"/>
      <c r="BQ3540" s="1821"/>
      <c r="BR3540" s="1821"/>
      <c r="BS3540" s="1821"/>
      <c r="BT3540" s="1821"/>
      <c r="BU3540" s="1821"/>
      <c r="BV3540" s="1821"/>
      <c r="BW3540" s="1821"/>
      <c r="BX3540" s="1821"/>
      <c r="BY3540" s="1821"/>
      <c r="BZ3540" s="1821"/>
      <c r="CA3540" s="1821"/>
      <c r="CB3540" s="1821"/>
      <c r="CC3540" s="1821"/>
      <c r="CD3540" s="1821"/>
      <c r="CE3540" s="1821"/>
      <c r="CF3540" s="1821"/>
      <c r="CG3540" s="1821"/>
      <c r="CH3540" s="1821"/>
      <c r="CI3540" s="1821"/>
      <c r="CJ3540" s="1821"/>
      <c r="CK3540" s="1821"/>
    </row>
    <row r="3541" spans="1:89" s="675" customFormat="1" ht="16.5" customHeight="1" x14ac:dyDescent="0.25">
      <c r="A3541" s="697"/>
      <c r="B3541" s="1002" t="s">
        <v>208</v>
      </c>
      <c r="C3541" s="1007">
        <v>1</v>
      </c>
      <c r="D3541" s="1005" t="s">
        <v>353</v>
      </c>
      <c r="E3541" s="1006">
        <v>30000</v>
      </c>
      <c r="F3541" s="700"/>
      <c r="G3541" s="700"/>
      <c r="H3541" s="700">
        <f t="shared" si="379"/>
        <v>0</v>
      </c>
      <c r="I3541" s="700">
        <f>C3541*E3541</f>
        <v>30000</v>
      </c>
      <c r="J3541" s="700"/>
      <c r="K3541" s="700">
        <f t="shared" si="380"/>
        <v>30000</v>
      </c>
      <c r="L3541" s="700"/>
      <c r="M3541" s="700"/>
      <c r="N3541" s="700">
        <f t="shared" si="381"/>
        <v>0</v>
      </c>
      <c r="O3541" s="974">
        <f>N3541+K3541+H3541</f>
        <v>30000</v>
      </c>
      <c r="P3541" s="956"/>
      <c r="Q3541" s="1821"/>
      <c r="R3541" s="1821"/>
      <c r="S3541" s="1821"/>
      <c r="T3541" s="1821"/>
      <c r="U3541" s="1821"/>
      <c r="V3541" s="1821"/>
      <c r="W3541" s="1821"/>
      <c r="X3541" s="1821"/>
      <c r="Y3541" s="1821"/>
      <c r="Z3541" s="1821"/>
      <c r="AA3541" s="1821"/>
      <c r="AB3541" s="1821"/>
      <c r="AC3541" s="1821"/>
      <c r="AD3541" s="1821"/>
      <c r="AE3541" s="1821"/>
      <c r="AF3541" s="1821"/>
      <c r="AG3541" s="1821"/>
      <c r="AH3541" s="1821"/>
      <c r="AI3541" s="1821"/>
      <c r="AJ3541" s="1821"/>
      <c r="AK3541" s="1821"/>
      <c r="AL3541" s="1821"/>
      <c r="AM3541" s="1821"/>
      <c r="AN3541" s="1821"/>
      <c r="AO3541" s="1821"/>
      <c r="AP3541" s="1821"/>
      <c r="AQ3541" s="1821"/>
      <c r="AR3541" s="1821"/>
      <c r="AS3541" s="1821"/>
      <c r="AT3541" s="1821"/>
      <c r="AU3541" s="1821"/>
      <c r="AV3541" s="1821"/>
      <c r="AW3541" s="1821"/>
      <c r="AX3541" s="1821"/>
      <c r="AY3541" s="1821"/>
      <c r="AZ3541" s="1821"/>
      <c r="BA3541" s="1821"/>
      <c r="BB3541" s="1821"/>
      <c r="BC3541" s="1821"/>
      <c r="BD3541" s="1821"/>
      <c r="BE3541" s="1821"/>
      <c r="BF3541" s="1821"/>
      <c r="BG3541" s="1821"/>
      <c r="BH3541" s="1821"/>
      <c r="BI3541" s="1821"/>
      <c r="BJ3541" s="1821"/>
      <c r="BK3541" s="1821"/>
      <c r="BL3541" s="1821"/>
      <c r="BM3541" s="1821"/>
      <c r="BN3541" s="1821"/>
      <c r="BO3541" s="1821"/>
      <c r="BP3541" s="1821"/>
      <c r="BQ3541" s="1821"/>
      <c r="BR3541" s="1821"/>
      <c r="BS3541" s="1821"/>
      <c r="BT3541" s="1821"/>
      <c r="BU3541" s="1821"/>
      <c r="BV3541" s="1821"/>
      <c r="BW3541" s="1821"/>
      <c r="BX3541" s="1821"/>
      <c r="BY3541" s="1821"/>
      <c r="BZ3541" s="1821"/>
      <c r="CA3541" s="1821"/>
      <c r="CB3541" s="1821"/>
      <c r="CC3541" s="1821"/>
      <c r="CD3541" s="1821"/>
      <c r="CE3541" s="1821"/>
      <c r="CF3541" s="1821"/>
      <c r="CG3541" s="1821"/>
      <c r="CH3541" s="1821"/>
      <c r="CI3541" s="1821"/>
      <c r="CJ3541" s="1821"/>
      <c r="CK3541" s="1821"/>
    </row>
    <row r="3542" spans="1:89" s="675" customFormat="1" ht="16.5" customHeight="1" x14ac:dyDescent="0.25">
      <c r="A3542" s="697"/>
      <c r="B3542" s="1002"/>
      <c r="C3542" s="1007"/>
      <c r="D3542" s="1005"/>
      <c r="E3542" s="1006"/>
      <c r="F3542" s="700"/>
      <c r="G3542" s="700"/>
      <c r="H3542" s="700">
        <f t="shared" si="379"/>
        <v>0</v>
      </c>
      <c r="I3542" s="700"/>
      <c r="J3542" s="700"/>
      <c r="K3542" s="700">
        <f t="shared" si="380"/>
        <v>0</v>
      </c>
      <c r="L3542" s="700"/>
      <c r="M3542" s="700"/>
      <c r="N3542" s="700">
        <f t="shared" si="381"/>
        <v>0</v>
      </c>
      <c r="O3542" s="974">
        <f>N3542+K3542+H3542</f>
        <v>0</v>
      </c>
      <c r="P3542" s="956"/>
      <c r="Q3542" s="1821"/>
      <c r="R3542" s="1821"/>
      <c r="S3542" s="1821"/>
      <c r="T3542" s="1821"/>
      <c r="U3542" s="1821"/>
      <c r="V3542" s="1821"/>
      <c r="W3542" s="1821"/>
      <c r="X3542" s="1821"/>
      <c r="Y3542" s="1821"/>
      <c r="Z3542" s="1821"/>
      <c r="AA3542" s="1821"/>
      <c r="AB3542" s="1821"/>
      <c r="AC3542" s="1821"/>
      <c r="AD3542" s="1821"/>
      <c r="AE3542" s="1821"/>
      <c r="AF3542" s="1821"/>
      <c r="AG3542" s="1821"/>
      <c r="AH3542" s="1821"/>
      <c r="AI3542" s="1821"/>
      <c r="AJ3542" s="1821"/>
      <c r="AK3542" s="1821"/>
      <c r="AL3542" s="1821"/>
      <c r="AM3542" s="1821"/>
      <c r="AN3542" s="1821"/>
      <c r="AO3542" s="1821"/>
      <c r="AP3542" s="1821"/>
      <c r="AQ3542" s="1821"/>
      <c r="AR3542" s="1821"/>
      <c r="AS3542" s="1821"/>
      <c r="AT3542" s="1821"/>
      <c r="AU3542" s="1821"/>
      <c r="AV3542" s="1821"/>
      <c r="AW3542" s="1821"/>
      <c r="AX3542" s="1821"/>
      <c r="AY3542" s="1821"/>
      <c r="AZ3542" s="1821"/>
      <c r="BA3542" s="1821"/>
      <c r="BB3542" s="1821"/>
      <c r="BC3542" s="1821"/>
      <c r="BD3542" s="1821"/>
      <c r="BE3542" s="1821"/>
      <c r="BF3542" s="1821"/>
      <c r="BG3542" s="1821"/>
      <c r="BH3542" s="1821"/>
      <c r="BI3542" s="1821"/>
      <c r="BJ3542" s="1821"/>
      <c r="BK3542" s="1821"/>
      <c r="BL3542" s="1821"/>
      <c r="BM3542" s="1821"/>
      <c r="BN3542" s="1821"/>
      <c r="BO3542" s="1821"/>
      <c r="BP3542" s="1821"/>
      <c r="BQ3542" s="1821"/>
      <c r="BR3542" s="1821"/>
      <c r="BS3542" s="1821"/>
      <c r="BT3542" s="1821"/>
      <c r="BU3542" s="1821"/>
      <c r="BV3542" s="1821"/>
      <c r="BW3542" s="1821"/>
      <c r="BX3542" s="1821"/>
      <c r="BY3542" s="1821"/>
      <c r="BZ3542" s="1821"/>
      <c r="CA3542" s="1821"/>
      <c r="CB3542" s="1821"/>
      <c r="CC3542" s="1821"/>
      <c r="CD3542" s="1821"/>
      <c r="CE3542" s="1821"/>
      <c r="CF3542" s="1821"/>
      <c r="CG3542" s="1821"/>
      <c r="CH3542" s="1821"/>
      <c r="CI3542" s="1821"/>
      <c r="CJ3542" s="1821"/>
      <c r="CK3542" s="1821"/>
    </row>
    <row r="3543" spans="1:89" s="675" customFormat="1" ht="16.5" customHeight="1" x14ac:dyDescent="0.25">
      <c r="A3543" s="697" t="s">
        <v>302</v>
      </c>
      <c r="B3543" s="1002" t="s">
        <v>354</v>
      </c>
      <c r="C3543" s="1007"/>
      <c r="D3543" s="1005"/>
      <c r="E3543" s="1006"/>
      <c r="F3543" s="700"/>
      <c r="G3543" s="700"/>
      <c r="H3543" s="700">
        <f t="shared" si="379"/>
        <v>0</v>
      </c>
      <c r="I3543" s="700"/>
      <c r="J3543" s="700"/>
      <c r="K3543" s="700">
        <f t="shared" si="380"/>
        <v>0</v>
      </c>
      <c r="L3543" s="700"/>
      <c r="M3543" s="700"/>
      <c r="N3543" s="700">
        <f t="shared" si="381"/>
        <v>0</v>
      </c>
      <c r="O3543" s="974"/>
      <c r="P3543" s="956"/>
      <c r="Q3543" s="1821"/>
      <c r="R3543" s="1821"/>
      <c r="S3543" s="1821"/>
      <c r="T3543" s="1821"/>
      <c r="U3543" s="1821"/>
      <c r="V3543" s="1821"/>
      <c r="W3543" s="1821"/>
      <c r="X3543" s="1821"/>
      <c r="Y3543" s="1821"/>
      <c r="Z3543" s="1821"/>
      <c r="AA3543" s="1821"/>
      <c r="AB3543" s="1821"/>
      <c r="AC3543" s="1821"/>
      <c r="AD3543" s="1821"/>
      <c r="AE3543" s="1821"/>
      <c r="AF3543" s="1821"/>
      <c r="AG3543" s="1821"/>
      <c r="AH3543" s="1821"/>
      <c r="AI3543" s="1821"/>
      <c r="AJ3543" s="1821"/>
      <c r="AK3543" s="1821"/>
      <c r="AL3543" s="1821"/>
      <c r="AM3543" s="1821"/>
      <c r="AN3543" s="1821"/>
      <c r="AO3543" s="1821"/>
      <c r="AP3543" s="1821"/>
      <c r="AQ3543" s="1821"/>
      <c r="AR3543" s="1821"/>
      <c r="AS3543" s="1821"/>
      <c r="AT3543" s="1821"/>
      <c r="AU3543" s="1821"/>
      <c r="AV3543" s="1821"/>
      <c r="AW3543" s="1821"/>
      <c r="AX3543" s="1821"/>
      <c r="AY3543" s="1821"/>
      <c r="AZ3543" s="1821"/>
      <c r="BA3543" s="1821"/>
      <c r="BB3543" s="1821"/>
      <c r="BC3543" s="1821"/>
      <c r="BD3543" s="1821"/>
      <c r="BE3543" s="1821"/>
      <c r="BF3543" s="1821"/>
      <c r="BG3543" s="1821"/>
      <c r="BH3543" s="1821"/>
      <c r="BI3543" s="1821"/>
      <c r="BJ3543" s="1821"/>
      <c r="BK3543" s="1821"/>
      <c r="BL3543" s="1821"/>
      <c r="BM3543" s="1821"/>
      <c r="BN3543" s="1821"/>
      <c r="BO3543" s="1821"/>
      <c r="BP3543" s="1821"/>
      <c r="BQ3543" s="1821"/>
      <c r="BR3543" s="1821"/>
      <c r="BS3543" s="1821"/>
      <c r="BT3543" s="1821"/>
      <c r="BU3543" s="1821"/>
      <c r="BV3543" s="1821"/>
      <c r="BW3543" s="1821"/>
      <c r="BX3543" s="1821"/>
      <c r="BY3543" s="1821"/>
      <c r="BZ3543" s="1821"/>
      <c r="CA3543" s="1821"/>
      <c r="CB3543" s="1821"/>
      <c r="CC3543" s="1821"/>
      <c r="CD3543" s="1821"/>
      <c r="CE3543" s="1821"/>
      <c r="CF3543" s="1821"/>
      <c r="CG3543" s="1821"/>
      <c r="CH3543" s="1821"/>
      <c r="CI3543" s="1821"/>
      <c r="CJ3543" s="1821"/>
      <c r="CK3543" s="1821"/>
    </row>
    <row r="3544" spans="1:89" s="675" customFormat="1" ht="16.5" customHeight="1" x14ac:dyDescent="0.25">
      <c r="A3544" s="697"/>
      <c r="B3544" s="1002" t="s">
        <v>352</v>
      </c>
      <c r="C3544" s="1007"/>
      <c r="D3544" s="1005"/>
      <c r="E3544" s="1006"/>
      <c r="F3544" s="700"/>
      <c r="G3544" s="700"/>
      <c r="H3544" s="700">
        <f t="shared" si="379"/>
        <v>0</v>
      </c>
      <c r="I3544" s="700"/>
      <c r="J3544" s="700"/>
      <c r="K3544" s="700">
        <f t="shared" si="380"/>
        <v>0</v>
      </c>
      <c r="L3544" s="700"/>
      <c r="M3544" s="700"/>
      <c r="N3544" s="700">
        <f t="shared" si="381"/>
        <v>0</v>
      </c>
      <c r="O3544" s="974">
        <f>N3544+K3544+H3544</f>
        <v>0</v>
      </c>
      <c r="P3544" s="956"/>
      <c r="Q3544" s="1821"/>
      <c r="R3544" s="1821"/>
      <c r="S3544" s="1821"/>
      <c r="T3544" s="1821"/>
      <c r="U3544" s="1821"/>
      <c r="V3544" s="1821"/>
      <c r="W3544" s="1821"/>
      <c r="X3544" s="1821"/>
      <c r="Y3544" s="1821"/>
      <c r="Z3544" s="1821"/>
      <c r="AA3544" s="1821"/>
      <c r="AB3544" s="1821"/>
      <c r="AC3544" s="1821"/>
      <c r="AD3544" s="1821"/>
      <c r="AE3544" s="1821"/>
      <c r="AF3544" s="1821"/>
      <c r="AG3544" s="1821"/>
      <c r="AH3544" s="1821"/>
      <c r="AI3544" s="1821"/>
      <c r="AJ3544" s="1821"/>
      <c r="AK3544" s="1821"/>
      <c r="AL3544" s="1821"/>
      <c r="AM3544" s="1821"/>
      <c r="AN3544" s="1821"/>
      <c r="AO3544" s="1821"/>
      <c r="AP3544" s="1821"/>
      <c r="AQ3544" s="1821"/>
      <c r="AR3544" s="1821"/>
      <c r="AS3544" s="1821"/>
      <c r="AT3544" s="1821"/>
      <c r="AU3544" s="1821"/>
      <c r="AV3544" s="1821"/>
      <c r="AW3544" s="1821"/>
      <c r="AX3544" s="1821"/>
      <c r="AY3544" s="1821"/>
      <c r="AZ3544" s="1821"/>
      <c r="BA3544" s="1821"/>
      <c r="BB3544" s="1821"/>
      <c r="BC3544" s="1821"/>
      <c r="BD3544" s="1821"/>
      <c r="BE3544" s="1821"/>
      <c r="BF3544" s="1821"/>
      <c r="BG3544" s="1821"/>
      <c r="BH3544" s="1821"/>
      <c r="BI3544" s="1821"/>
      <c r="BJ3544" s="1821"/>
      <c r="BK3544" s="1821"/>
      <c r="BL3544" s="1821"/>
      <c r="BM3544" s="1821"/>
      <c r="BN3544" s="1821"/>
      <c r="BO3544" s="1821"/>
      <c r="BP3544" s="1821"/>
      <c r="BQ3544" s="1821"/>
      <c r="BR3544" s="1821"/>
      <c r="BS3544" s="1821"/>
      <c r="BT3544" s="1821"/>
      <c r="BU3544" s="1821"/>
      <c r="BV3544" s="1821"/>
      <c r="BW3544" s="1821"/>
      <c r="BX3544" s="1821"/>
      <c r="BY3544" s="1821"/>
      <c r="BZ3544" s="1821"/>
      <c r="CA3544" s="1821"/>
      <c r="CB3544" s="1821"/>
      <c r="CC3544" s="1821"/>
      <c r="CD3544" s="1821"/>
      <c r="CE3544" s="1821"/>
      <c r="CF3544" s="1821"/>
      <c r="CG3544" s="1821"/>
      <c r="CH3544" s="1821"/>
      <c r="CI3544" s="1821"/>
      <c r="CJ3544" s="1821"/>
      <c r="CK3544" s="1821"/>
    </row>
    <row r="3545" spans="1:89" s="675" customFormat="1" ht="16.5" customHeight="1" x14ac:dyDescent="0.25">
      <c r="A3545" s="697"/>
      <c r="B3545" s="1002" t="s">
        <v>208</v>
      </c>
      <c r="C3545" s="1007">
        <v>1</v>
      </c>
      <c r="D3545" s="1005" t="s">
        <v>353</v>
      </c>
      <c r="E3545" s="1006">
        <v>30000</v>
      </c>
      <c r="F3545" s="700"/>
      <c r="G3545" s="700"/>
      <c r="H3545" s="700">
        <f t="shared" si="379"/>
        <v>0</v>
      </c>
      <c r="I3545" s="700">
        <f>C3545*E3545</f>
        <v>30000</v>
      </c>
      <c r="J3545" s="700"/>
      <c r="K3545" s="700">
        <f t="shared" si="380"/>
        <v>30000</v>
      </c>
      <c r="L3545" s="700"/>
      <c r="M3545" s="700"/>
      <c r="N3545" s="700">
        <f t="shared" si="381"/>
        <v>0</v>
      </c>
      <c r="O3545" s="974">
        <f>N3545+K3545+H3545</f>
        <v>30000</v>
      </c>
      <c r="P3545" s="956"/>
      <c r="Q3545" s="1821"/>
      <c r="R3545" s="1821"/>
      <c r="S3545" s="1821"/>
      <c r="T3545" s="1821"/>
      <c r="U3545" s="1821"/>
      <c r="V3545" s="1821"/>
      <c r="W3545" s="1821"/>
      <c r="X3545" s="1821"/>
      <c r="Y3545" s="1821"/>
      <c r="Z3545" s="1821"/>
      <c r="AA3545" s="1821"/>
      <c r="AB3545" s="1821"/>
      <c r="AC3545" s="1821"/>
      <c r="AD3545" s="1821"/>
      <c r="AE3545" s="1821"/>
      <c r="AF3545" s="1821"/>
      <c r="AG3545" s="1821"/>
      <c r="AH3545" s="1821"/>
      <c r="AI3545" s="1821"/>
      <c r="AJ3545" s="1821"/>
      <c r="AK3545" s="1821"/>
      <c r="AL3545" s="1821"/>
      <c r="AM3545" s="1821"/>
      <c r="AN3545" s="1821"/>
      <c r="AO3545" s="1821"/>
      <c r="AP3545" s="1821"/>
      <c r="AQ3545" s="1821"/>
      <c r="AR3545" s="1821"/>
      <c r="AS3545" s="1821"/>
      <c r="AT3545" s="1821"/>
      <c r="AU3545" s="1821"/>
      <c r="AV3545" s="1821"/>
      <c r="AW3545" s="1821"/>
      <c r="AX3545" s="1821"/>
      <c r="AY3545" s="1821"/>
      <c r="AZ3545" s="1821"/>
      <c r="BA3545" s="1821"/>
      <c r="BB3545" s="1821"/>
      <c r="BC3545" s="1821"/>
      <c r="BD3545" s="1821"/>
      <c r="BE3545" s="1821"/>
      <c r="BF3545" s="1821"/>
      <c r="BG3545" s="1821"/>
      <c r="BH3545" s="1821"/>
      <c r="BI3545" s="1821"/>
      <c r="BJ3545" s="1821"/>
      <c r="BK3545" s="1821"/>
      <c r="BL3545" s="1821"/>
      <c r="BM3545" s="1821"/>
      <c r="BN3545" s="1821"/>
      <c r="BO3545" s="1821"/>
      <c r="BP3545" s="1821"/>
      <c r="BQ3545" s="1821"/>
      <c r="BR3545" s="1821"/>
      <c r="BS3545" s="1821"/>
      <c r="BT3545" s="1821"/>
      <c r="BU3545" s="1821"/>
      <c r="BV3545" s="1821"/>
      <c r="BW3545" s="1821"/>
      <c r="BX3545" s="1821"/>
      <c r="BY3545" s="1821"/>
      <c r="BZ3545" s="1821"/>
      <c r="CA3545" s="1821"/>
      <c r="CB3545" s="1821"/>
      <c r="CC3545" s="1821"/>
      <c r="CD3545" s="1821"/>
      <c r="CE3545" s="1821"/>
      <c r="CF3545" s="1821"/>
      <c r="CG3545" s="1821"/>
      <c r="CH3545" s="1821"/>
      <c r="CI3545" s="1821"/>
      <c r="CJ3545" s="1821"/>
      <c r="CK3545" s="1821"/>
    </row>
    <row r="3546" spans="1:89" s="675" customFormat="1" ht="16.5" customHeight="1" x14ac:dyDescent="0.25">
      <c r="A3546" s="697"/>
      <c r="B3546" s="1002" t="s">
        <v>366</v>
      </c>
      <c r="C3546" s="1007"/>
      <c r="D3546" s="1005"/>
      <c r="E3546" s="1006"/>
      <c r="F3546" s="700"/>
      <c r="G3546" s="700"/>
      <c r="H3546" s="700"/>
      <c r="I3546" s="700"/>
      <c r="J3546" s="700"/>
      <c r="K3546" s="700"/>
      <c r="L3546" s="700"/>
      <c r="M3546" s="700"/>
      <c r="N3546" s="700"/>
      <c r="O3546" s="974"/>
      <c r="P3546" s="956"/>
      <c r="Q3546" s="1821"/>
      <c r="R3546" s="1821"/>
      <c r="S3546" s="1821"/>
      <c r="T3546" s="1821"/>
      <c r="U3546" s="1821"/>
      <c r="V3546" s="1821"/>
      <c r="W3546" s="1821"/>
      <c r="X3546" s="1821"/>
      <c r="Y3546" s="1821"/>
      <c r="Z3546" s="1821"/>
      <c r="AA3546" s="1821"/>
      <c r="AB3546" s="1821"/>
      <c r="AC3546" s="1821"/>
      <c r="AD3546" s="1821"/>
      <c r="AE3546" s="1821"/>
      <c r="AF3546" s="1821"/>
      <c r="AG3546" s="1821"/>
      <c r="AH3546" s="1821"/>
      <c r="AI3546" s="1821"/>
      <c r="AJ3546" s="1821"/>
      <c r="AK3546" s="1821"/>
      <c r="AL3546" s="1821"/>
      <c r="AM3546" s="1821"/>
      <c r="AN3546" s="1821"/>
      <c r="AO3546" s="1821"/>
      <c r="AP3546" s="1821"/>
      <c r="AQ3546" s="1821"/>
      <c r="AR3546" s="1821"/>
      <c r="AS3546" s="1821"/>
      <c r="AT3546" s="1821"/>
      <c r="AU3546" s="1821"/>
      <c r="AV3546" s="1821"/>
      <c r="AW3546" s="1821"/>
      <c r="AX3546" s="1821"/>
      <c r="AY3546" s="1821"/>
      <c r="AZ3546" s="1821"/>
      <c r="BA3546" s="1821"/>
      <c r="BB3546" s="1821"/>
      <c r="BC3546" s="1821"/>
      <c r="BD3546" s="1821"/>
      <c r="BE3546" s="1821"/>
      <c r="BF3546" s="1821"/>
      <c r="BG3546" s="1821"/>
      <c r="BH3546" s="1821"/>
      <c r="BI3546" s="1821"/>
      <c r="BJ3546" s="1821"/>
      <c r="BK3546" s="1821"/>
      <c r="BL3546" s="1821"/>
      <c r="BM3546" s="1821"/>
      <c r="BN3546" s="1821"/>
      <c r="BO3546" s="1821"/>
      <c r="BP3546" s="1821"/>
      <c r="BQ3546" s="1821"/>
      <c r="BR3546" s="1821"/>
      <c r="BS3546" s="1821"/>
      <c r="BT3546" s="1821"/>
      <c r="BU3546" s="1821"/>
      <c r="BV3546" s="1821"/>
      <c r="BW3546" s="1821"/>
      <c r="BX3546" s="1821"/>
      <c r="BY3546" s="1821"/>
      <c r="BZ3546" s="1821"/>
      <c r="CA3546" s="1821"/>
      <c r="CB3546" s="1821"/>
      <c r="CC3546" s="1821"/>
      <c r="CD3546" s="1821"/>
      <c r="CE3546" s="1821"/>
      <c r="CF3546" s="1821"/>
      <c r="CG3546" s="1821"/>
      <c r="CH3546" s="1821"/>
      <c r="CI3546" s="1821"/>
      <c r="CJ3546" s="1821"/>
      <c r="CK3546" s="1821"/>
    </row>
    <row r="3547" spans="1:89" s="675" customFormat="1" ht="16.5" customHeight="1" x14ac:dyDescent="0.25">
      <c r="A3547" s="697"/>
      <c r="B3547" s="1002" t="s">
        <v>1264</v>
      </c>
      <c r="C3547" s="1007">
        <v>16</v>
      </c>
      <c r="D3547" s="1005" t="s">
        <v>207</v>
      </c>
      <c r="E3547" s="1006">
        <v>400</v>
      </c>
      <c r="F3547" s="700"/>
      <c r="G3547" s="700"/>
      <c r="H3547" s="700"/>
      <c r="I3547" s="700"/>
      <c r="J3547" s="700">
        <f>C3547*E3547</f>
        <v>6400</v>
      </c>
      <c r="K3547" s="700">
        <f t="shared" si="380"/>
        <v>6400</v>
      </c>
      <c r="L3547" s="700"/>
      <c r="M3547" s="700"/>
      <c r="N3547" s="700"/>
      <c r="O3547" s="974">
        <f>E3547*C3547</f>
        <v>6400</v>
      </c>
      <c r="P3547" s="956"/>
      <c r="Q3547" s="1821"/>
      <c r="R3547" s="1821"/>
      <c r="S3547" s="1821"/>
      <c r="T3547" s="1821"/>
      <c r="U3547" s="1821"/>
      <c r="V3547" s="1821"/>
      <c r="W3547" s="1821"/>
      <c r="X3547" s="1821"/>
      <c r="Y3547" s="1821"/>
      <c r="Z3547" s="1821"/>
      <c r="AA3547" s="1821"/>
      <c r="AB3547" s="1821"/>
      <c r="AC3547" s="1821"/>
      <c r="AD3547" s="1821"/>
      <c r="AE3547" s="1821"/>
      <c r="AF3547" s="1821"/>
      <c r="AG3547" s="1821"/>
      <c r="AH3547" s="1821"/>
      <c r="AI3547" s="1821"/>
      <c r="AJ3547" s="1821"/>
      <c r="AK3547" s="1821"/>
      <c r="AL3547" s="1821"/>
      <c r="AM3547" s="1821"/>
      <c r="AN3547" s="1821"/>
      <c r="AO3547" s="1821"/>
      <c r="AP3547" s="1821"/>
      <c r="AQ3547" s="1821"/>
      <c r="AR3547" s="1821"/>
      <c r="AS3547" s="1821"/>
      <c r="AT3547" s="1821"/>
      <c r="AU3547" s="1821"/>
      <c r="AV3547" s="1821"/>
      <c r="AW3547" s="1821"/>
      <c r="AX3547" s="1821"/>
      <c r="AY3547" s="1821"/>
      <c r="AZ3547" s="1821"/>
      <c r="BA3547" s="1821"/>
      <c r="BB3547" s="1821"/>
      <c r="BC3547" s="1821"/>
      <c r="BD3547" s="1821"/>
      <c r="BE3547" s="1821"/>
      <c r="BF3547" s="1821"/>
      <c r="BG3547" s="1821"/>
      <c r="BH3547" s="1821"/>
      <c r="BI3547" s="1821"/>
      <c r="BJ3547" s="1821"/>
      <c r="BK3547" s="1821"/>
      <c r="BL3547" s="1821"/>
      <c r="BM3547" s="1821"/>
      <c r="BN3547" s="1821"/>
      <c r="BO3547" s="1821"/>
      <c r="BP3547" s="1821"/>
      <c r="BQ3547" s="1821"/>
      <c r="BR3547" s="1821"/>
      <c r="BS3547" s="1821"/>
      <c r="BT3547" s="1821"/>
      <c r="BU3547" s="1821"/>
      <c r="BV3547" s="1821"/>
      <c r="BW3547" s="1821"/>
      <c r="BX3547" s="1821"/>
      <c r="BY3547" s="1821"/>
      <c r="BZ3547" s="1821"/>
      <c r="CA3547" s="1821"/>
      <c r="CB3547" s="1821"/>
      <c r="CC3547" s="1821"/>
      <c r="CD3547" s="1821"/>
      <c r="CE3547" s="1821"/>
      <c r="CF3547" s="1821"/>
      <c r="CG3547" s="1821"/>
      <c r="CH3547" s="1821"/>
      <c r="CI3547" s="1821"/>
      <c r="CJ3547" s="1821"/>
      <c r="CK3547" s="1821"/>
    </row>
    <row r="3548" spans="1:89" s="675" customFormat="1" ht="16.5" customHeight="1" x14ac:dyDescent="0.25">
      <c r="A3548" s="697"/>
      <c r="B3548" s="1002"/>
      <c r="C3548" s="1007"/>
      <c r="D3548" s="1005"/>
      <c r="E3548" s="1006"/>
      <c r="F3548" s="700"/>
      <c r="G3548" s="700"/>
      <c r="H3548" s="700"/>
      <c r="I3548" s="700"/>
      <c r="J3548" s="700"/>
      <c r="K3548" s="700"/>
      <c r="L3548" s="700"/>
      <c r="M3548" s="700"/>
      <c r="N3548" s="700"/>
      <c r="O3548" s="974"/>
      <c r="P3548" s="956"/>
      <c r="Q3548" s="1821"/>
      <c r="R3548" s="1821"/>
      <c r="S3548" s="1821"/>
      <c r="T3548" s="1821"/>
      <c r="U3548" s="1821"/>
      <c r="V3548" s="1821"/>
      <c r="W3548" s="1821"/>
      <c r="X3548" s="1821"/>
      <c r="Y3548" s="1821"/>
      <c r="Z3548" s="1821"/>
      <c r="AA3548" s="1821"/>
      <c r="AB3548" s="1821"/>
      <c r="AC3548" s="1821"/>
      <c r="AD3548" s="1821"/>
      <c r="AE3548" s="1821"/>
      <c r="AF3548" s="1821"/>
      <c r="AG3548" s="1821"/>
      <c r="AH3548" s="1821"/>
      <c r="AI3548" s="1821"/>
      <c r="AJ3548" s="1821"/>
      <c r="AK3548" s="1821"/>
      <c r="AL3548" s="1821"/>
      <c r="AM3548" s="1821"/>
      <c r="AN3548" s="1821"/>
      <c r="AO3548" s="1821"/>
      <c r="AP3548" s="1821"/>
      <c r="AQ3548" s="1821"/>
      <c r="AR3548" s="1821"/>
      <c r="AS3548" s="1821"/>
      <c r="AT3548" s="1821"/>
      <c r="AU3548" s="1821"/>
      <c r="AV3548" s="1821"/>
      <c r="AW3548" s="1821"/>
      <c r="AX3548" s="1821"/>
      <c r="AY3548" s="1821"/>
      <c r="AZ3548" s="1821"/>
      <c r="BA3548" s="1821"/>
      <c r="BB3548" s="1821"/>
      <c r="BC3548" s="1821"/>
      <c r="BD3548" s="1821"/>
      <c r="BE3548" s="1821"/>
      <c r="BF3548" s="1821"/>
      <c r="BG3548" s="1821"/>
      <c r="BH3548" s="1821"/>
      <c r="BI3548" s="1821"/>
      <c r="BJ3548" s="1821"/>
      <c r="BK3548" s="1821"/>
      <c r="BL3548" s="1821"/>
      <c r="BM3548" s="1821"/>
      <c r="BN3548" s="1821"/>
      <c r="BO3548" s="1821"/>
      <c r="BP3548" s="1821"/>
      <c r="BQ3548" s="1821"/>
      <c r="BR3548" s="1821"/>
      <c r="BS3548" s="1821"/>
      <c r="BT3548" s="1821"/>
      <c r="BU3548" s="1821"/>
      <c r="BV3548" s="1821"/>
      <c r="BW3548" s="1821"/>
      <c r="BX3548" s="1821"/>
      <c r="BY3548" s="1821"/>
      <c r="BZ3548" s="1821"/>
      <c r="CA3548" s="1821"/>
      <c r="CB3548" s="1821"/>
      <c r="CC3548" s="1821"/>
      <c r="CD3548" s="1821"/>
      <c r="CE3548" s="1821"/>
      <c r="CF3548" s="1821"/>
      <c r="CG3548" s="1821"/>
      <c r="CH3548" s="1821"/>
      <c r="CI3548" s="1821"/>
      <c r="CJ3548" s="1821"/>
      <c r="CK3548" s="1821"/>
    </row>
    <row r="3549" spans="1:89" s="675" customFormat="1" ht="16.5" customHeight="1" x14ac:dyDescent="0.25">
      <c r="A3549" s="697" t="s">
        <v>312</v>
      </c>
      <c r="B3549" s="1002" t="s">
        <v>355</v>
      </c>
      <c r="C3549" s="1007"/>
      <c r="D3549" s="1005"/>
      <c r="E3549" s="1006"/>
      <c r="F3549" s="700"/>
      <c r="G3549" s="700"/>
      <c r="H3549" s="700">
        <f t="shared" si="379"/>
        <v>0</v>
      </c>
      <c r="I3549" s="700"/>
      <c r="J3549" s="700"/>
      <c r="K3549" s="700">
        <f t="shared" si="380"/>
        <v>0</v>
      </c>
      <c r="L3549" s="700"/>
      <c r="M3549" s="700"/>
      <c r="N3549" s="700">
        <f t="shared" si="381"/>
        <v>0</v>
      </c>
      <c r="O3549" s="974">
        <f t="shared" ref="O3549:O3555" si="383">N3549+K3549+H3549</f>
        <v>0</v>
      </c>
      <c r="P3549" s="956"/>
      <c r="Q3549" s="1821"/>
      <c r="R3549" s="1821"/>
      <c r="S3549" s="1821"/>
      <c r="T3549" s="1821"/>
      <c r="U3549" s="1821"/>
      <c r="V3549" s="1821"/>
      <c r="W3549" s="1821"/>
      <c r="X3549" s="1821"/>
      <c r="Y3549" s="1821"/>
      <c r="Z3549" s="1821"/>
      <c r="AA3549" s="1821"/>
      <c r="AB3549" s="1821"/>
      <c r="AC3549" s="1821"/>
      <c r="AD3549" s="1821"/>
      <c r="AE3549" s="1821"/>
      <c r="AF3549" s="1821"/>
      <c r="AG3549" s="1821"/>
      <c r="AH3549" s="1821"/>
      <c r="AI3549" s="1821"/>
      <c r="AJ3549" s="1821"/>
      <c r="AK3549" s="1821"/>
      <c r="AL3549" s="1821"/>
      <c r="AM3549" s="1821"/>
      <c r="AN3549" s="1821"/>
      <c r="AO3549" s="1821"/>
      <c r="AP3549" s="1821"/>
      <c r="AQ3549" s="1821"/>
      <c r="AR3549" s="1821"/>
      <c r="AS3549" s="1821"/>
      <c r="AT3549" s="1821"/>
      <c r="AU3549" s="1821"/>
      <c r="AV3549" s="1821"/>
      <c r="AW3549" s="1821"/>
      <c r="AX3549" s="1821"/>
      <c r="AY3549" s="1821"/>
      <c r="AZ3549" s="1821"/>
      <c r="BA3549" s="1821"/>
      <c r="BB3549" s="1821"/>
      <c r="BC3549" s="1821"/>
      <c r="BD3549" s="1821"/>
      <c r="BE3549" s="1821"/>
      <c r="BF3549" s="1821"/>
      <c r="BG3549" s="1821"/>
      <c r="BH3549" s="1821"/>
      <c r="BI3549" s="1821"/>
      <c r="BJ3549" s="1821"/>
      <c r="BK3549" s="1821"/>
      <c r="BL3549" s="1821"/>
      <c r="BM3549" s="1821"/>
      <c r="BN3549" s="1821"/>
      <c r="BO3549" s="1821"/>
      <c r="BP3549" s="1821"/>
      <c r="BQ3549" s="1821"/>
      <c r="BR3549" s="1821"/>
      <c r="BS3549" s="1821"/>
      <c r="BT3549" s="1821"/>
      <c r="BU3549" s="1821"/>
      <c r="BV3549" s="1821"/>
      <c r="BW3549" s="1821"/>
      <c r="BX3549" s="1821"/>
      <c r="BY3549" s="1821"/>
      <c r="BZ3549" s="1821"/>
      <c r="CA3549" s="1821"/>
      <c r="CB3549" s="1821"/>
      <c r="CC3549" s="1821"/>
      <c r="CD3549" s="1821"/>
      <c r="CE3549" s="1821"/>
      <c r="CF3549" s="1821"/>
      <c r="CG3549" s="1821"/>
      <c r="CH3549" s="1821"/>
      <c r="CI3549" s="1821"/>
      <c r="CJ3549" s="1821"/>
      <c r="CK3549" s="1821"/>
    </row>
    <row r="3550" spans="1:89" s="675" customFormat="1" ht="16.5" customHeight="1" x14ac:dyDescent="0.25">
      <c r="A3550" s="697"/>
      <c r="B3550" s="1002" t="s">
        <v>352</v>
      </c>
      <c r="C3550" s="1007"/>
      <c r="D3550" s="1005"/>
      <c r="E3550" s="1006"/>
      <c r="F3550" s="700"/>
      <c r="G3550" s="700"/>
      <c r="H3550" s="700">
        <f t="shared" si="379"/>
        <v>0</v>
      </c>
      <c r="I3550" s="700"/>
      <c r="J3550" s="700"/>
      <c r="K3550" s="700">
        <f t="shared" si="380"/>
        <v>0</v>
      </c>
      <c r="L3550" s="700"/>
      <c r="M3550" s="700"/>
      <c r="N3550" s="700">
        <f t="shared" si="381"/>
        <v>0</v>
      </c>
      <c r="O3550" s="974">
        <f t="shared" si="383"/>
        <v>0</v>
      </c>
      <c r="P3550" s="956"/>
      <c r="Q3550" s="1821"/>
      <c r="R3550" s="1821"/>
      <c r="S3550" s="1821"/>
      <c r="T3550" s="1821"/>
      <c r="U3550" s="1821"/>
      <c r="V3550" s="1821"/>
      <c r="W3550" s="1821"/>
      <c r="X3550" s="1821"/>
      <c r="Y3550" s="1821"/>
      <c r="Z3550" s="1821"/>
      <c r="AA3550" s="1821"/>
      <c r="AB3550" s="1821"/>
      <c r="AC3550" s="1821"/>
      <c r="AD3550" s="1821"/>
      <c r="AE3550" s="1821"/>
      <c r="AF3550" s="1821"/>
      <c r="AG3550" s="1821"/>
      <c r="AH3550" s="1821"/>
      <c r="AI3550" s="1821"/>
      <c r="AJ3550" s="1821"/>
      <c r="AK3550" s="1821"/>
      <c r="AL3550" s="1821"/>
      <c r="AM3550" s="1821"/>
      <c r="AN3550" s="1821"/>
      <c r="AO3550" s="1821"/>
      <c r="AP3550" s="1821"/>
      <c r="AQ3550" s="1821"/>
      <c r="AR3550" s="1821"/>
      <c r="AS3550" s="1821"/>
      <c r="AT3550" s="1821"/>
      <c r="AU3550" s="1821"/>
      <c r="AV3550" s="1821"/>
      <c r="AW3550" s="1821"/>
      <c r="AX3550" s="1821"/>
      <c r="AY3550" s="1821"/>
      <c r="AZ3550" s="1821"/>
      <c r="BA3550" s="1821"/>
      <c r="BB3550" s="1821"/>
      <c r="BC3550" s="1821"/>
      <c r="BD3550" s="1821"/>
      <c r="BE3550" s="1821"/>
      <c r="BF3550" s="1821"/>
      <c r="BG3550" s="1821"/>
      <c r="BH3550" s="1821"/>
      <c r="BI3550" s="1821"/>
      <c r="BJ3550" s="1821"/>
      <c r="BK3550" s="1821"/>
      <c r="BL3550" s="1821"/>
      <c r="BM3550" s="1821"/>
      <c r="BN3550" s="1821"/>
      <c r="BO3550" s="1821"/>
      <c r="BP3550" s="1821"/>
      <c r="BQ3550" s="1821"/>
      <c r="BR3550" s="1821"/>
      <c r="BS3550" s="1821"/>
      <c r="BT3550" s="1821"/>
      <c r="BU3550" s="1821"/>
      <c r="BV3550" s="1821"/>
      <c r="BW3550" s="1821"/>
      <c r="BX3550" s="1821"/>
      <c r="BY3550" s="1821"/>
      <c r="BZ3550" s="1821"/>
      <c r="CA3550" s="1821"/>
      <c r="CB3550" s="1821"/>
      <c r="CC3550" s="1821"/>
      <c r="CD3550" s="1821"/>
      <c r="CE3550" s="1821"/>
      <c r="CF3550" s="1821"/>
      <c r="CG3550" s="1821"/>
      <c r="CH3550" s="1821"/>
      <c r="CI3550" s="1821"/>
      <c r="CJ3550" s="1821"/>
      <c r="CK3550" s="1821"/>
    </row>
    <row r="3551" spans="1:89" s="675" customFormat="1" ht="16.5" customHeight="1" x14ac:dyDescent="0.25">
      <c r="A3551" s="697"/>
      <c r="B3551" s="1002" t="s">
        <v>208</v>
      </c>
      <c r="C3551" s="1007">
        <v>1</v>
      </c>
      <c r="D3551" s="1005" t="s">
        <v>353</v>
      </c>
      <c r="E3551" s="1006">
        <v>84274</v>
      </c>
      <c r="F3551" s="700"/>
      <c r="G3551" s="700"/>
      <c r="H3551" s="700">
        <f>G3551+F3551</f>
        <v>0</v>
      </c>
      <c r="I3551" s="700">
        <f>C3551*E3551</f>
        <v>84274</v>
      </c>
      <c r="J3551" s="700"/>
      <c r="K3551" s="700">
        <f>J3551+I3551</f>
        <v>84274</v>
      </c>
      <c r="L3551" s="700"/>
      <c r="M3551" s="700"/>
      <c r="N3551" s="700">
        <f>M3551+L3551</f>
        <v>0</v>
      </c>
      <c r="O3551" s="974">
        <f t="shared" si="383"/>
        <v>84274</v>
      </c>
      <c r="P3551" s="956"/>
      <c r="Q3551" s="1821"/>
      <c r="R3551" s="1821"/>
      <c r="S3551" s="1821"/>
      <c r="T3551" s="1821"/>
      <c r="U3551" s="1821"/>
      <c r="V3551" s="1821"/>
      <c r="W3551" s="1821"/>
      <c r="X3551" s="1821"/>
      <c r="Y3551" s="1821"/>
      <c r="Z3551" s="1821"/>
      <c r="AA3551" s="1821"/>
      <c r="AB3551" s="1821"/>
      <c r="AC3551" s="1821"/>
      <c r="AD3551" s="1821"/>
      <c r="AE3551" s="1821"/>
      <c r="AF3551" s="1821"/>
      <c r="AG3551" s="1821"/>
      <c r="AH3551" s="1821"/>
      <c r="AI3551" s="1821"/>
      <c r="AJ3551" s="1821"/>
      <c r="AK3551" s="1821"/>
      <c r="AL3551" s="1821"/>
      <c r="AM3551" s="1821"/>
      <c r="AN3551" s="1821"/>
      <c r="AO3551" s="1821"/>
      <c r="AP3551" s="1821"/>
      <c r="AQ3551" s="1821"/>
      <c r="AR3551" s="1821"/>
      <c r="AS3551" s="1821"/>
      <c r="AT3551" s="1821"/>
      <c r="AU3551" s="1821"/>
      <c r="AV3551" s="1821"/>
      <c r="AW3551" s="1821"/>
      <c r="AX3551" s="1821"/>
      <c r="AY3551" s="1821"/>
      <c r="AZ3551" s="1821"/>
      <c r="BA3551" s="1821"/>
      <c r="BB3551" s="1821"/>
      <c r="BC3551" s="1821"/>
      <c r="BD3551" s="1821"/>
      <c r="BE3551" s="1821"/>
      <c r="BF3551" s="1821"/>
      <c r="BG3551" s="1821"/>
      <c r="BH3551" s="1821"/>
      <c r="BI3551" s="1821"/>
      <c r="BJ3551" s="1821"/>
      <c r="BK3551" s="1821"/>
      <c r="BL3551" s="1821"/>
      <c r="BM3551" s="1821"/>
      <c r="BN3551" s="1821"/>
      <c r="BO3551" s="1821"/>
      <c r="BP3551" s="1821"/>
      <c r="BQ3551" s="1821"/>
      <c r="BR3551" s="1821"/>
      <c r="BS3551" s="1821"/>
      <c r="BT3551" s="1821"/>
      <c r="BU3551" s="1821"/>
      <c r="BV3551" s="1821"/>
      <c r="BW3551" s="1821"/>
      <c r="BX3551" s="1821"/>
      <c r="BY3551" s="1821"/>
      <c r="BZ3551" s="1821"/>
      <c r="CA3551" s="1821"/>
      <c r="CB3551" s="1821"/>
      <c r="CC3551" s="1821"/>
      <c r="CD3551" s="1821"/>
      <c r="CE3551" s="1821"/>
      <c r="CF3551" s="1821"/>
      <c r="CG3551" s="1821"/>
      <c r="CH3551" s="1821"/>
      <c r="CI3551" s="1821"/>
      <c r="CJ3551" s="1821"/>
      <c r="CK3551" s="1821"/>
    </row>
    <row r="3552" spans="1:89" s="675" customFormat="1" ht="16.5" customHeight="1" x14ac:dyDescent="0.25">
      <c r="A3552" s="697"/>
      <c r="B3552" s="1002"/>
      <c r="C3552" s="1007"/>
      <c r="D3552" s="1005"/>
      <c r="E3552" s="1006"/>
      <c r="F3552" s="700"/>
      <c r="G3552" s="700"/>
      <c r="H3552" s="700">
        <f t="shared" si="379"/>
        <v>0</v>
      </c>
      <c r="I3552" s="700"/>
      <c r="J3552" s="700"/>
      <c r="K3552" s="700">
        <f t="shared" si="380"/>
        <v>0</v>
      </c>
      <c r="L3552" s="700"/>
      <c r="M3552" s="700"/>
      <c r="N3552" s="700">
        <f t="shared" si="381"/>
        <v>0</v>
      </c>
      <c r="O3552" s="974">
        <f t="shared" si="383"/>
        <v>0</v>
      </c>
      <c r="P3552" s="956"/>
      <c r="Q3552" s="1821"/>
      <c r="R3552" s="1821"/>
      <c r="S3552" s="1821"/>
      <c r="T3552" s="1821"/>
      <c r="U3552" s="1821"/>
      <c r="V3552" s="1821"/>
      <c r="W3552" s="1821"/>
      <c r="X3552" s="1821"/>
      <c r="Y3552" s="1821"/>
      <c r="Z3552" s="1821"/>
      <c r="AA3552" s="1821"/>
      <c r="AB3552" s="1821"/>
      <c r="AC3552" s="1821"/>
      <c r="AD3552" s="1821"/>
      <c r="AE3552" s="1821"/>
      <c r="AF3552" s="1821"/>
      <c r="AG3552" s="1821"/>
      <c r="AH3552" s="1821"/>
      <c r="AI3552" s="1821"/>
      <c r="AJ3552" s="1821"/>
      <c r="AK3552" s="1821"/>
      <c r="AL3552" s="1821"/>
      <c r="AM3552" s="1821"/>
      <c r="AN3552" s="1821"/>
      <c r="AO3552" s="1821"/>
      <c r="AP3552" s="1821"/>
      <c r="AQ3552" s="1821"/>
      <c r="AR3552" s="1821"/>
      <c r="AS3552" s="1821"/>
      <c r="AT3552" s="1821"/>
      <c r="AU3552" s="1821"/>
      <c r="AV3552" s="1821"/>
      <c r="AW3552" s="1821"/>
      <c r="AX3552" s="1821"/>
      <c r="AY3552" s="1821"/>
      <c r="AZ3552" s="1821"/>
      <c r="BA3552" s="1821"/>
      <c r="BB3552" s="1821"/>
      <c r="BC3552" s="1821"/>
      <c r="BD3552" s="1821"/>
      <c r="BE3552" s="1821"/>
      <c r="BF3552" s="1821"/>
      <c r="BG3552" s="1821"/>
      <c r="BH3552" s="1821"/>
      <c r="BI3552" s="1821"/>
      <c r="BJ3552" s="1821"/>
      <c r="BK3552" s="1821"/>
      <c r="BL3552" s="1821"/>
      <c r="BM3552" s="1821"/>
      <c r="BN3552" s="1821"/>
      <c r="BO3552" s="1821"/>
      <c r="BP3552" s="1821"/>
      <c r="BQ3552" s="1821"/>
      <c r="BR3552" s="1821"/>
      <c r="BS3552" s="1821"/>
      <c r="BT3552" s="1821"/>
      <c r="BU3552" s="1821"/>
      <c r="BV3552" s="1821"/>
      <c r="BW3552" s="1821"/>
      <c r="BX3552" s="1821"/>
      <c r="BY3552" s="1821"/>
      <c r="BZ3552" s="1821"/>
      <c r="CA3552" s="1821"/>
      <c r="CB3552" s="1821"/>
      <c r="CC3552" s="1821"/>
      <c r="CD3552" s="1821"/>
      <c r="CE3552" s="1821"/>
      <c r="CF3552" s="1821"/>
      <c r="CG3552" s="1821"/>
      <c r="CH3552" s="1821"/>
      <c r="CI3552" s="1821"/>
      <c r="CJ3552" s="1821"/>
      <c r="CK3552" s="1821"/>
    </row>
    <row r="3553" spans="1:89" s="675" customFormat="1" ht="16.5" customHeight="1" x14ac:dyDescent="0.25">
      <c r="A3553" s="697"/>
      <c r="B3553" s="1002"/>
      <c r="C3553" s="1007"/>
      <c r="D3553" s="1005"/>
      <c r="E3553" s="1006"/>
      <c r="F3553" s="700"/>
      <c r="G3553" s="700"/>
      <c r="H3553" s="700">
        <f t="shared" si="379"/>
        <v>0</v>
      </c>
      <c r="I3553" s="700"/>
      <c r="J3553" s="700"/>
      <c r="K3553" s="700">
        <f t="shared" si="380"/>
        <v>0</v>
      </c>
      <c r="L3553" s="700"/>
      <c r="M3553" s="700"/>
      <c r="N3553" s="700">
        <f t="shared" si="381"/>
        <v>0</v>
      </c>
      <c r="O3553" s="974">
        <f t="shared" si="383"/>
        <v>0</v>
      </c>
      <c r="P3553" s="956"/>
      <c r="Q3553" s="1821"/>
      <c r="R3553" s="1821"/>
      <c r="S3553" s="1821"/>
      <c r="T3553" s="1821"/>
      <c r="U3553" s="1821"/>
      <c r="V3553" s="1821"/>
      <c r="W3553" s="1821"/>
      <c r="X3553" s="1821"/>
      <c r="Y3553" s="1821"/>
      <c r="Z3553" s="1821"/>
      <c r="AA3553" s="1821"/>
      <c r="AB3553" s="1821"/>
      <c r="AC3553" s="1821"/>
      <c r="AD3553" s="1821"/>
      <c r="AE3553" s="1821"/>
      <c r="AF3553" s="1821"/>
      <c r="AG3553" s="1821"/>
      <c r="AH3553" s="1821"/>
      <c r="AI3553" s="1821"/>
      <c r="AJ3553" s="1821"/>
      <c r="AK3553" s="1821"/>
      <c r="AL3553" s="1821"/>
      <c r="AM3553" s="1821"/>
      <c r="AN3553" s="1821"/>
      <c r="AO3553" s="1821"/>
      <c r="AP3553" s="1821"/>
      <c r="AQ3553" s="1821"/>
      <c r="AR3553" s="1821"/>
      <c r="AS3553" s="1821"/>
      <c r="AT3553" s="1821"/>
      <c r="AU3553" s="1821"/>
      <c r="AV3553" s="1821"/>
      <c r="AW3553" s="1821"/>
      <c r="AX3553" s="1821"/>
      <c r="AY3553" s="1821"/>
      <c r="AZ3553" s="1821"/>
      <c r="BA3553" s="1821"/>
      <c r="BB3553" s="1821"/>
      <c r="BC3553" s="1821"/>
      <c r="BD3553" s="1821"/>
      <c r="BE3553" s="1821"/>
      <c r="BF3553" s="1821"/>
      <c r="BG3553" s="1821"/>
      <c r="BH3553" s="1821"/>
      <c r="BI3553" s="1821"/>
      <c r="BJ3553" s="1821"/>
      <c r="BK3553" s="1821"/>
      <c r="BL3553" s="1821"/>
      <c r="BM3553" s="1821"/>
      <c r="BN3553" s="1821"/>
      <c r="BO3553" s="1821"/>
      <c r="BP3553" s="1821"/>
      <c r="BQ3553" s="1821"/>
      <c r="BR3553" s="1821"/>
      <c r="BS3553" s="1821"/>
      <c r="BT3553" s="1821"/>
      <c r="BU3553" s="1821"/>
      <c r="BV3553" s="1821"/>
      <c r="BW3553" s="1821"/>
      <c r="BX3553" s="1821"/>
      <c r="BY3553" s="1821"/>
      <c r="BZ3553" s="1821"/>
      <c r="CA3553" s="1821"/>
      <c r="CB3553" s="1821"/>
      <c r="CC3553" s="1821"/>
      <c r="CD3553" s="1821"/>
      <c r="CE3553" s="1821"/>
      <c r="CF3553" s="1821"/>
      <c r="CG3553" s="1821"/>
      <c r="CH3553" s="1821"/>
      <c r="CI3553" s="1821"/>
      <c r="CJ3553" s="1821"/>
      <c r="CK3553" s="1821"/>
    </row>
    <row r="3554" spans="1:89" s="675" customFormat="1" ht="16.5" customHeight="1" x14ac:dyDescent="0.25">
      <c r="A3554" s="697" t="s">
        <v>361</v>
      </c>
      <c r="B3554" s="1002" t="s">
        <v>362</v>
      </c>
      <c r="C3554" s="1007"/>
      <c r="D3554" s="1005"/>
      <c r="E3554" s="1006"/>
      <c r="F3554" s="700"/>
      <c r="G3554" s="700"/>
      <c r="H3554" s="700">
        <f t="shared" si="379"/>
        <v>0</v>
      </c>
      <c r="I3554" s="700"/>
      <c r="J3554" s="700"/>
      <c r="K3554" s="700">
        <f t="shared" si="380"/>
        <v>0</v>
      </c>
      <c r="L3554" s="700"/>
      <c r="M3554" s="700"/>
      <c r="N3554" s="700">
        <f t="shared" si="381"/>
        <v>0</v>
      </c>
      <c r="O3554" s="974">
        <f t="shared" si="383"/>
        <v>0</v>
      </c>
      <c r="P3554" s="956"/>
      <c r="Q3554" s="1821"/>
      <c r="R3554" s="1821"/>
      <c r="S3554" s="1821"/>
      <c r="T3554" s="1821"/>
      <c r="U3554" s="1821"/>
      <c r="V3554" s="1821"/>
      <c r="W3554" s="1821"/>
      <c r="X3554" s="1821"/>
      <c r="Y3554" s="1821"/>
      <c r="Z3554" s="1821"/>
      <c r="AA3554" s="1821"/>
      <c r="AB3554" s="1821"/>
      <c r="AC3554" s="1821"/>
      <c r="AD3554" s="1821"/>
      <c r="AE3554" s="1821"/>
      <c r="AF3554" s="1821"/>
      <c r="AG3554" s="1821"/>
      <c r="AH3554" s="1821"/>
      <c r="AI3554" s="1821"/>
      <c r="AJ3554" s="1821"/>
      <c r="AK3554" s="1821"/>
      <c r="AL3554" s="1821"/>
      <c r="AM3554" s="1821"/>
      <c r="AN3554" s="1821"/>
      <c r="AO3554" s="1821"/>
      <c r="AP3554" s="1821"/>
      <c r="AQ3554" s="1821"/>
      <c r="AR3554" s="1821"/>
      <c r="AS3554" s="1821"/>
      <c r="AT3554" s="1821"/>
      <c r="AU3554" s="1821"/>
      <c r="AV3554" s="1821"/>
      <c r="AW3554" s="1821"/>
      <c r="AX3554" s="1821"/>
      <c r="AY3554" s="1821"/>
      <c r="AZ3554" s="1821"/>
      <c r="BA3554" s="1821"/>
      <c r="BB3554" s="1821"/>
      <c r="BC3554" s="1821"/>
      <c r="BD3554" s="1821"/>
      <c r="BE3554" s="1821"/>
      <c r="BF3554" s="1821"/>
      <c r="BG3554" s="1821"/>
      <c r="BH3554" s="1821"/>
      <c r="BI3554" s="1821"/>
      <c r="BJ3554" s="1821"/>
      <c r="BK3554" s="1821"/>
      <c r="BL3554" s="1821"/>
      <c r="BM3554" s="1821"/>
      <c r="BN3554" s="1821"/>
      <c r="BO3554" s="1821"/>
      <c r="BP3554" s="1821"/>
      <c r="BQ3554" s="1821"/>
      <c r="BR3554" s="1821"/>
      <c r="BS3554" s="1821"/>
      <c r="BT3554" s="1821"/>
      <c r="BU3554" s="1821"/>
      <c r="BV3554" s="1821"/>
      <c r="BW3554" s="1821"/>
      <c r="BX3554" s="1821"/>
      <c r="BY3554" s="1821"/>
      <c r="BZ3554" s="1821"/>
      <c r="CA3554" s="1821"/>
      <c r="CB3554" s="1821"/>
      <c r="CC3554" s="1821"/>
      <c r="CD3554" s="1821"/>
      <c r="CE3554" s="1821"/>
      <c r="CF3554" s="1821"/>
      <c r="CG3554" s="1821"/>
      <c r="CH3554" s="1821"/>
      <c r="CI3554" s="1821"/>
      <c r="CJ3554" s="1821"/>
      <c r="CK3554" s="1821"/>
    </row>
    <row r="3555" spans="1:89" s="675" customFormat="1" ht="16.5" customHeight="1" x14ac:dyDescent="0.25">
      <c r="A3555" s="697"/>
      <c r="B3555" s="1002"/>
      <c r="C3555" s="1007">
        <f>SUM(O3558:O3582)</f>
        <v>522184</v>
      </c>
      <c r="D3555" s="1005"/>
      <c r="E3555" s="1006"/>
      <c r="F3555" s="700"/>
      <c r="G3555" s="700"/>
      <c r="H3555" s="700">
        <f t="shared" si="379"/>
        <v>0</v>
      </c>
      <c r="I3555" s="700"/>
      <c r="J3555" s="700"/>
      <c r="K3555" s="700">
        <f t="shared" si="380"/>
        <v>0</v>
      </c>
      <c r="L3555" s="700"/>
      <c r="M3555" s="700"/>
      <c r="N3555" s="700">
        <f t="shared" si="381"/>
        <v>0</v>
      </c>
      <c r="O3555" s="974">
        <f t="shared" si="383"/>
        <v>0</v>
      </c>
      <c r="P3555" s="956"/>
      <c r="Q3555" s="1821"/>
      <c r="R3555" s="1821"/>
      <c r="S3555" s="1821"/>
      <c r="T3555" s="1821"/>
      <c r="U3555" s="1821"/>
      <c r="V3555" s="1821"/>
      <c r="W3555" s="1821"/>
      <c r="X3555" s="1821"/>
      <c r="Y3555" s="1821"/>
      <c r="Z3555" s="1821"/>
      <c r="AA3555" s="1821"/>
      <c r="AB3555" s="1821"/>
      <c r="AC3555" s="1821"/>
      <c r="AD3555" s="1821"/>
      <c r="AE3555" s="1821"/>
      <c r="AF3555" s="1821"/>
      <c r="AG3555" s="1821"/>
      <c r="AH3555" s="1821"/>
      <c r="AI3555" s="1821"/>
      <c r="AJ3555" s="1821"/>
      <c r="AK3555" s="1821"/>
      <c r="AL3555" s="1821"/>
      <c r="AM3555" s="1821"/>
      <c r="AN3555" s="1821"/>
      <c r="AO3555" s="1821"/>
      <c r="AP3555" s="1821"/>
      <c r="AQ3555" s="1821"/>
      <c r="AR3555" s="1821"/>
      <c r="AS3555" s="1821"/>
      <c r="AT3555" s="1821"/>
      <c r="AU3555" s="1821"/>
      <c r="AV3555" s="1821"/>
      <c r="AW3555" s="1821"/>
      <c r="AX3555" s="1821"/>
      <c r="AY3555" s="1821"/>
      <c r="AZ3555" s="1821"/>
      <c r="BA3555" s="1821"/>
      <c r="BB3555" s="1821"/>
      <c r="BC3555" s="1821"/>
      <c r="BD3555" s="1821"/>
      <c r="BE3555" s="1821"/>
      <c r="BF3555" s="1821"/>
      <c r="BG3555" s="1821"/>
      <c r="BH3555" s="1821"/>
      <c r="BI3555" s="1821"/>
      <c r="BJ3555" s="1821"/>
      <c r="BK3555" s="1821"/>
      <c r="BL3555" s="1821"/>
      <c r="BM3555" s="1821"/>
      <c r="BN3555" s="1821"/>
      <c r="BO3555" s="1821"/>
      <c r="BP3555" s="1821"/>
      <c r="BQ3555" s="1821"/>
      <c r="BR3555" s="1821"/>
      <c r="BS3555" s="1821"/>
      <c r="BT3555" s="1821"/>
      <c r="BU3555" s="1821"/>
      <c r="BV3555" s="1821"/>
      <c r="BW3555" s="1821"/>
      <c r="BX3555" s="1821"/>
      <c r="BY3555" s="1821"/>
      <c r="BZ3555" s="1821"/>
      <c r="CA3555" s="1821"/>
      <c r="CB3555" s="1821"/>
      <c r="CC3555" s="1821"/>
      <c r="CD3555" s="1821"/>
      <c r="CE3555" s="1821"/>
      <c r="CF3555" s="1821"/>
      <c r="CG3555" s="1821"/>
      <c r="CH3555" s="1821"/>
      <c r="CI3555" s="1821"/>
      <c r="CJ3555" s="1821"/>
      <c r="CK3555" s="1821"/>
    </row>
    <row r="3556" spans="1:89" s="675" customFormat="1" ht="16.5" customHeight="1" x14ac:dyDescent="0.25">
      <c r="A3556" s="697">
        <v>11</v>
      </c>
      <c r="B3556" s="1002" t="s">
        <v>363</v>
      </c>
      <c r="C3556" s="1007"/>
      <c r="D3556" s="1005"/>
      <c r="E3556" s="1006"/>
      <c r="F3556" s="700"/>
      <c r="G3556" s="700"/>
      <c r="H3556" s="700">
        <f t="shared" ref="H3556:H3569" si="384">G3556+F3556</f>
        <v>0</v>
      </c>
      <c r="I3556" s="700"/>
      <c r="J3556" s="700"/>
      <c r="K3556" s="700">
        <f t="shared" ref="K3556:K3569" si="385">J3556+I3556</f>
        <v>0</v>
      </c>
      <c r="L3556" s="700"/>
      <c r="M3556" s="700"/>
      <c r="N3556" s="700">
        <f>M3556+L3556</f>
        <v>0</v>
      </c>
      <c r="O3556" s="974"/>
      <c r="P3556" s="956"/>
      <c r="Q3556" s="1821"/>
      <c r="R3556" s="1821"/>
      <c r="S3556" s="1821"/>
      <c r="T3556" s="1821"/>
      <c r="U3556" s="1821"/>
      <c r="V3556" s="1821"/>
      <c r="W3556" s="1821"/>
      <c r="X3556" s="1821"/>
      <c r="Y3556" s="1821"/>
      <c r="Z3556" s="1821"/>
      <c r="AA3556" s="1821"/>
      <c r="AB3556" s="1821"/>
      <c r="AC3556" s="1821"/>
      <c r="AD3556" s="1821"/>
      <c r="AE3556" s="1821"/>
      <c r="AF3556" s="1821"/>
      <c r="AG3556" s="1821"/>
      <c r="AH3556" s="1821"/>
      <c r="AI3556" s="1821"/>
      <c r="AJ3556" s="1821"/>
      <c r="AK3556" s="1821"/>
      <c r="AL3556" s="1821"/>
      <c r="AM3556" s="1821"/>
      <c r="AN3556" s="1821"/>
      <c r="AO3556" s="1821"/>
      <c r="AP3556" s="1821"/>
      <c r="AQ3556" s="1821"/>
      <c r="AR3556" s="1821"/>
      <c r="AS3556" s="1821"/>
      <c r="AT3556" s="1821"/>
      <c r="AU3556" s="1821"/>
      <c r="AV3556" s="1821"/>
      <c r="AW3556" s="1821"/>
      <c r="AX3556" s="1821"/>
      <c r="AY3556" s="1821"/>
      <c r="AZ3556" s="1821"/>
      <c r="BA3556" s="1821"/>
      <c r="BB3556" s="1821"/>
      <c r="BC3556" s="1821"/>
      <c r="BD3556" s="1821"/>
      <c r="BE3556" s="1821"/>
      <c r="BF3556" s="1821"/>
      <c r="BG3556" s="1821"/>
      <c r="BH3556" s="1821"/>
      <c r="BI3556" s="1821"/>
      <c r="BJ3556" s="1821"/>
      <c r="BK3556" s="1821"/>
      <c r="BL3556" s="1821"/>
      <c r="BM3556" s="1821"/>
      <c r="BN3556" s="1821"/>
      <c r="BO3556" s="1821"/>
      <c r="BP3556" s="1821"/>
      <c r="BQ3556" s="1821"/>
      <c r="BR3556" s="1821"/>
      <c r="BS3556" s="1821"/>
      <c r="BT3556" s="1821"/>
      <c r="BU3556" s="1821"/>
      <c r="BV3556" s="1821"/>
      <c r="BW3556" s="1821"/>
      <c r="BX3556" s="1821"/>
      <c r="BY3556" s="1821"/>
      <c r="BZ3556" s="1821"/>
      <c r="CA3556" s="1821"/>
      <c r="CB3556" s="1821"/>
      <c r="CC3556" s="1821"/>
      <c r="CD3556" s="1821"/>
      <c r="CE3556" s="1821"/>
      <c r="CF3556" s="1821"/>
      <c r="CG3556" s="1821"/>
      <c r="CH3556" s="1821"/>
      <c r="CI3556" s="1821"/>
      <c r="CJ3556" s="1821"/>
      <c r="CK3556" s="1821"/>
    </row>
    <row r="3557" spans="1:89" s="675" customFormat="1" ht="16.5" customHeight="1" x14ac:dyDescent="0.25">
      <c r="A3557" s="697"/>
      <c r="B3557" s="1002" t="s">
        <v>1265</v>
      </c>
      <c r="C3557" s="1007"/>
      <c r="D3557" s="1005"/>
      <c r="E3557" s="1006"/>
      <c r="F3557" s="700"/>
      <c r="G3557" s="700"/>
      <c r="H3557" s="700">
        <f t="shared" si="384"/>
        <v>0</v>
      </c>
      <c r="I3557" s="700"/>
      <c r="J3557" s="700"/>
      <c r="K3557" s="700">
        <f t="shared" si="385"/>
        <v>0</v>
      </c>
      <c r="L3557" s="700"/>
      <c r="M3557" s="700"/>
      <c r="N3557" s="700">
        <f>M3557+L3557</f>
        <v>0</v>
      </c>
      <c r="O3557" s="974"/>
      <c r="P3557" s="956"/>
      <c r="Q3557" s="1821"/>
      <c r="R3557" s="1821"/>
      <c r="S3557" s="1821"/>
      <c r="T3557" s="1821"/>
      <c r="U3557" s="1821"/>
      <c r="V3557" s="1821"/>
      <c r="W3557" s="1821"/>
      <c r="X3557" s="1821"/>
      <c r="Y3557" s="1821"/>
      <c r="Z3557" s="1821"/>
      <c r="AA3557" s="1821"/>
      <c r="AB3557" s="1821"/>
      <c r="AC3557" s="1821"/>
      <c r="AD3557" s="1821"/>
      <c r="AE3557" s="1821"/>
      <c r="AF3557" s="1821"/>
      <c r="AG3557" s="1821"/>
      <c r="AH3557" s="1821"/>
      <c r="AI3557" s="1821"/>
      <c r="AJ3557" s="1821"/>
      <c r="AK3557" s="1821"/>
      <c r="AL3557" s="1821"/>
      <c r="AM3557" s="1821"/>
      <c r="AN3557" s="1821"/>
      <c r="AO3557" s="1821"/>
      <c r="AP3557" s="1821"/>
      <c r="AQ3557" s="1821"/>
      <c r="AR3557" s="1821"/>
      <c r="AS3557" s="1821"/>
      <c r="AT3557" s="1821"/>
      <c r="AU3557" s="1821"/>
      <c r="AV3557" s="1821"/>
      <c r="AW3557" s="1821"/>
      <c r="AX3557" s="1821"/>
      <c r="AY3557" s="1821"/>
      <c r="AZ3557" s="1821"/>
      <c r="BA3557" s="1821"/>
      <c r="BB3557" s="1821"/>
      <c r="BC3557" s="1821"/>
      <c r="BD3557" s="1821"/>
      <c r="BE3557" s="1821"/>
      <c r="BF3557" s="1821"/>
      <c r="BG3557" s="1821"/>
      <c r="BH3557" s="1821"/>
      <c r="BI3557" s="1821"/>
      <c r="BJ3557" s="1821"/>
      <c r="BK3557" s="1821"/>
      <c r="BL3557" s="1821"/>
      <c r="BM3557" s="1821"/>
      <c r="BN3557" s="1821"/>
      <c r="BO3557" s="1821"/>
      <c r="BP3557" s="1821"/>
      <c r="BQ3557" s="1821"/>
      <c r="BR3557" s="1821"/>
      <c r="BS3557" s="1821"/>
      <c r="BT3557" s="1821"/>
      <c r="BU3557" s="1821"/>
      <c r="BV3557" s="1821"/>
      <c r="BW3557" s="1821"/>
      <c r="BX3557" s="1821"/>
      <c r="BY3557" s="1821"/>
      <c r="BZ3557" s="1821"/>
      <c r="CA3557" s="1821"/>
      <c r="CB3557" s="1821"/>
      <c r="CC3557" s="1821"/>
      <c r="CD3557" s="1821"/>
      <c r="CE3557" s="1821"/>
      <c r="CF3557" s="1821"/>
      <c r="CG3557" s="1821"/>
      <c r="CH3557" s="1821"/>
      <c r="CI3557" s="1821"/>
      <c r="CJ3557" s="1821"/>
      <c r="CK3557" s="1821"/>
    </row>
    <row r="3558" spans="1:89" s="675" customFormat="1" ht="16.5" customHeight="1" x14ac:dyDescent="0.25">
      <c r="A3558" s="697">
        <v>250000</v>
      </c>
      <c r="B3558" s="1002" t="s">
        <v>364</v>
      </c>
      <c r="C3558" s="1007">
        <v>1</v>
      </c>
      <c r="D3558" s="1005" t="s">
        <v>294</v>
      </c>
      <c r="E3558" s="1006">
        <v>180000</v>
      </c>
      <c r="F3558" s="700"/>
      <c r="G3558" s="700"/>
      <c r="H3558" s="700">
        <f>G3558+F3558</f>
        <v>0</v>
      </c>
      <c r="I3558" s="700">
        <f>C3558*E3558</f>
        <v>180000</v>
      </c>
      <c r="J3558" s="700"/>
      <c r="K3558" s="700">
        <f>J3558+I3558</f>
        <v>180000</v>
      </c>
      <c r="L3558" s="700"/>
      <c r="M3558" s="700"/>
      <c r="N3558" s="700">
        <f>M3558+L3558</f>
        <v>0</v>
      </c>
      <c r="O3558" s="974">
        <f>C3558*E3558</f>
        <v>180000</v>
      </c>
      <c r="P3558" s="956"/>
      <c r="Q3558" s="1821"/>
      <c r="R3558" s="1821"/>
      <c r="S3558" s="1821"/>
      <c r="T3558" s="1821"/>
      <c r="U3558" s="1821"/>
      <c r="V3558" s="1821"/>
      <c r="W3558" s="1821"/>
      <c r="X3558" s="1821"/>
      <c r="Y3558" s="1821"/>
      <c r="Z3558" s="1821"/>
      <c r="AA3558" s="1821"/>
      <c r="AB3558" s="1821"/>
      <c r="AC3558" s="1821"/>
      <c r="AD3558" s="1821"/>
      <c r="AE3558" s="1821"/>
      <c r="AF3558" s="1821"/>
      <c r="AG3558" s="1821"/>
      <c r="AH3558" s="1821"/>
      <c r="AI3558" s="1821"/>
      <c r="AJ3558" s="1821"/>
      <c r="AK3558" s="1821"/>
      <c r="AL3558" s="1821"/>
      <c r="AM3558" s="1821"/>
      <c r="AN3558" s="1821"/>
      <c r="AO3558" s="1821"/>
      <c r="AP3558" s="1821"/>
      <c r="AQ3558" s="1821"/>
      <c r="AR3558" s="1821"/>
      <c r="AS3558" s="1821"/>
      <c r="AT3558" s="1821"/>
      <c r="AU3558" s="1821"/>
      <c r="AV3558" s="1821"/>
      <c r="AW3558" s="1821"/>
      <c r="AX3558" s="1821"/>
      <c r="AY3558" s="1821"/>
      <c r="AZ3558" s="1821"/>
      <c r="BA3558" s="1821"/>
      <c r="BB3558" s="1821"/>
      <c r="BC3558" s="1821"/>
      <c r="BD3558" s="1821"/>
      <c r="BE3558" s="1821"/>
      <c r="BF3558" s="1821"/>
      <c r="BG3558" s="1821"/>
      <c r="BH3558" s="1821"/>
      <c r="BI3558" s="1821"/>
      <c r="BJ3558" s="1821"/>
      <c r="BK3558" s="1821"/>
      <c r="BL3558" s="1821"/>
      <c r="BM3558" s="1821"/>
      <c r="BN3558" s="1821"/>
      <c r="BO3558" s="1821"/>
      <c r="BP3558" s="1821"/>
      <c r="BQ3558" s="1821"/>
      <c r="BR3558" s="1821"/>
      <c r="BS3558" s="1821"/>
      <c r="BT3558" s="1821"/>
      <c r="BU3558" s="1821"/>
      <c r="BV3558" s="1821"/>
      <c r="BW3558" s="1821"/>
      <c r="BX3558" s="1821"/>
      <c r="BY3558" s="1821"/>
      <c r="BZ3558" s="1821"/>
      <c r="CA3558" s="1821"/>
      <c r="CB3558" s="1821"/>
      <c r="CC3558" s="1821"/>
      <c r="CD3558" s="1821"/>
      <c r="CE3558" s="1821"/>
      <c r="CF3558" s="1821"/>
      <c r="CG3558" s="1821"/>
      <c r="CH3558" s="1821"/>
      <c r="CI3558" s="1821"/>
      <c r="CJ3558" s="1821"/>
      <c r="CK3558" s="1821"/>
    </row>
    <row r="3559" spans="1:89" s="675" customFormat="1" ht="16.5" customHeight="1" x14ac:dyDescent="0.25">
      <c r="A3559" s="697"/>
      <c r="B3559" s="1002" t="s">
        <v>365</v>
      </c>
      <c r="C3559" s="1007">
        <v>1</v>
      </c>
      <c r="D3559" s="1005" t="s">
        <v>294</v>
      </c>
      <c r="E3559" s="1006">
        <v>80000</v>
      </c>
      <c r="F3559" s="700"/>
      <c r="G3559" s="700"/>
      <c r="H3559" s="700">
        <f t="shared" si="384"/>
        <v>0</v>
      </c>
      <c r="I3559" s="700">
        <f>C3559*E3559</f>
        <v>80000</v>
      </c>
      <c r="J3559" s="700"/>
      <c r="K3559" s="700">
        <f t="shared" si="385"/>
        <v>80000</v>
      </c>
      <c r="L3559" s="700"/>
      <c r="M3559" s="700"/>
      <c r="N3559" s="700">
        <f>M3559+L3559</f>
        <v>0</v>
      </c>
      <c r="O3559" s="974">
        <f>C3559*E3559</f>
        <v>80000</v>
      </c>
      <c r="P3559" s="956"/>
      <c r="Q3559" s="1821"/>
      <c r="R3559" s="1821"/>
      <c r="S3559" s="1821"/>
      <c r="T3559" s="1821"/>
      <c r="U3559" s="1821"/>
      <c r="V3559" s="1821"/>
      <c r="W3559" s="1821"/>
      <c r="X3559" s="1821"/>
      <c r="Y3559" s="1821"/>
      <c r="Z3559" s="1821"/>
      <c r="AA3559" s="1821"/>
      <c r="AB3559" s="1821"/>
      <c r="AC3559" s="1821"/>
      <c r="AD3559" s="1821"/>
      <c r="AE3559" s="1821"/>
      <c r="AF3559" s="1821"/>
      <c r="AG3559" s="1821"/>
      <c r="AH3559" s="1821"/>
      <c r="AI3559" s="1821"/>
      <c r="AJ3559" s="1821"/>
      <c r="AK3559" s="1821"/>
      <c r="AL3559" s="1821"/>
      <c r="AM3559" s="1821"/>
      <c r="AN3559" s="1821"/>
      <c r="AO3559" s="1821"/>
      <c r="AP3559" s="1821"/>
      <c r="AQ3559" s="1821"/>
      <c r="AR3559" s="1821"/>
      <c r="AS3559" s="1821"/>
      <c r="AT3559" s="1821"/>
      <c r="AU3559" s="1821"/>
      <c r="AV3559" s="1821"/>
      <c r="AW3559" s="1821"/>
      <c r="AX3559" s="1821"/>
      <c r="AY3559" s="1821"/>
      <c r="AZ3559" s="1821"/>
      <c r="BA3559" s="1821"/>
      <c r="BB3559" s="1821"/>
      <c r="BC3559" s="1821"/>
      <c r="BD3559" s="1821"/>
      <c r="BE3559" s="1821"/>
      <c r="BF3559" s="1821"/>
      <c r="BG3559" s="1821"/>
      <c r="BH3559" s="1821"/>
      <c r="BI3559" s="1821"/>
      <c r="BJ3559" s="1821"/>
      <c r="BK3559" s="1821"/>
      <c r="BL3559" s="1821"/>
      <c r="BM3559" s="1821"/>
      <c r="BN3559" s="1821"/>
      <c r="BO3559" s="1821"/>
      <c r="BP3559" s="1821"/>
      <c r="BQ3559" s="1821"/>
      <c r="BR3559" s="1821"/>
      <c r="BS3559" s="1821"/>
      <c r="BT3559" s="1821"/>
      <c r="BU3559" s="1821"/>
      <c r="BV3559" s="1821"/>
      <c r="BW3559" s="1821"/>
      <c r="BX3559" s="1821"/>
      <c r="BY3559" s="1821"/>
      <c r="BZ3559" s="1821"/>
      <c r="CA3559" s="1821"/>
      <c r="CB3559" s="1821"/>
      <c r="CC3559" s="1821"/>
      <c r="CD3559" s="1821"/>
      <c r="CE3559" s="1821"/>
      <c r="CF3559" s="1821"/>
      <c r="CG3559" s="1821"/>
      <c r="CH3559" s="1821"/>
      <c r="CI3559" s="1821"/>
      <c r="CJ3559" s="1821"/>
      <c r="CK3559" s="1821"/>
    </row>
    <row r="3560" spans="1:89" s="675" customFormat="1" ht="16.5" customHeight="1" x14ac:dyDescent="0.25">
      <c r="A3560" s="697"/>
      <c r="B3560" s="1002"/>
      <c r="C3560" s="1007"/>
      <c r="D3560" s="1005"/>
      <c r="E3560" s="1006"/>
      <c r="F3560" s="700"/>
      <c r="G3560" s="700"/>
      <c r="H3560" s="700"/>
      <c r="I3560" s="700"/>
      <c r="J3560" s="700"/>
      <c r="K3560" s="700"/>
      <c r="L3560" s="700"/>
      <c r="M3560" s="700"/>
      <c r="N3560" s="700"/>
      <c r="O3560" s="974"/>
      <c r="P3560" s="956"/>
      <c r="Q3560" s="1821"/>
      <c r="R3560" s="1821"/>
      <c r="S3560" s="1821"/>
      <c r="T3560" s="1821"/>
      <c r="U3560" s="1821"/>
      <c r="V3560" s="1821"/>
      <c r="W3560" s="1821"/>
      <c r="X3560" s="1821"/>
      <c r="Y3560" s="1821"/>
      <c r="Z3560" s="1821"/>
      <c r="AA3560" s="1821"/>
      <c r="AB3560" s="1821"/>
      <c r="AC3560" s="1821"/>
      <c r="AD3560" s="1821"/>
      <c r="AE3560" s="1821"/>
      <c r="AF3560" s="1821"/>
      <c r="AG3560" s="1821"/>
      <c r="AH3560" s="1821"/>
      <c r="AI3560" s="1821"/>
      <c r="AJ3560" s="1821"/>
      <c r="AK3560" s="1821"/>
      <c r="AL3560" s="1821"/>
      <c r="AM3560" s="1821"/>
      <c r="AN3560" s="1821"/>
      <c r="AO3560" s="1821"/>
      <c r="AP3560" s="1821"/>
      <c r="AQ3560" s="1821"/>
      <c r="AR3560" s="1821"/>
      <c r="AS3560" s="1821"/>
      <c r="AT3560" s="1821"/>
      <c r="AU3560" s="1821"/>
      <c r="AV3560" s="1821"/>
      <c r="AW3560" s="1821"/>
      <c r="AX3560" s="1821"/>
      <c r="AY3560" s="1821"/>
      <c r="AZ3560" s="1821"/>
      <c r="BA3560" s="1821"/>
      <c r="BB3560" s="1821"/>
      <c r="BC3560" s="1821"/>
      <c r="BD3560" s="1821"/>
      <c r="BE3560" s="1821"/>
      <c r="BF3560" s="1821"/>
      <c r="BG3560" s="1821"/>
      <c r="BH3560" s="1821"/>
      <c r="BI3560" s="1821"/>
      <c r="BJ3560" s="1821"/>
      <c r="BK3560" s="1821"/>
      <c r="BL3560" s="1821"/>
      <c r="BM3560" s="1821"/>
      <c r="BN3560" s="1821"/>
      <c r="BO3560" s="1821"/>
      <c r="BP3560" s="1821"/>
      <c r="BQ3560" s="1821"/>
      <c r="BR3560" s="1821"/>
      <c r="BS3560" s="1821"/>
      <c r="BT3560" s="1821"/>
      <c r="BU3560" s="1821"/>
      <c r="BV3560" s="1821"/>
      <c r="BW3560" s="1821"/>
      <c r="BX3560" s="1821"/>
      <c r="BY3560" s="1821"/>
      <c r="BZ3560" s="1821"/>
      <c r="CA3560" s="1821"/>
      <c r="CB3560" s="1821"/>
      <c r="CC3560" s="1821"/>
      <c r="CD3560" s="1821"/>
      <c r="CE3560" s="1821"/>
      <c r="CF3560" s="1821"/>
      <c r="CG3560" s="1821"/>
      <c r="CH3560" s="1821"/>
      <c r="CI3560" s="1821"/>
      <c r="CJ3560" s="1821"/>
      <c r="CK3560" s="1821"/>
    </row>
    <row r="3561" spans="1:89" s="675" customFormat="1" ht="16.5" customHeight="1" x14ac:dyDescent="0.25">
      <c r="A3561" s="697"/>
      <c r="B3561" s="1002" t="s">
        <v>366</v>
      </c>
      <c r="C3561" s="1007"/>
      <c r="D3561" s="1005"/>
      <c r="E3561" s="1006"/>
      <c r="F3561" s="700"/>
      <c r="G3561" s="700"/>
      <c r="H3561" s="700">
        <f>G3561+F3561</f>
        <v>0</v>
      </c>
      <c r="I3561" s="700"/>
      <c r="J3561" s="700"/>
      <c r="K3561" s="700">
        <f>J3561+I3561</f>
        <v>0</v>
      </c>
      <c r="L3561" s="700"/>
      <c r="M3561" s="700"/>
      <c r="N3561" s="700">
        <f t="shared" ref="N3561:N3569" si="386">M3561+L3561</f>
        <v>0</v>
      </c>
      <c r="O3561" s="974"/>
      <c r="P3561" s="956"/>
      <c r="Q3561" s="1821"/>
      <c r="R3561" s="1821"/>
      <c r="S3561" s="1821"/>
      <c r="T3561" s="1821"/>
      <c r="U3561" s="1821"/>
      <c r="V3561" s="1821"/>
      <c r="W3561" s="1821"/>
      <c r="X3561" s="1821"/>
      <c r="Y3561" s="1821"/>
      <c r="Z3561" s="1821"/>
      <c r="AA3561" s="1821"/>
      <c r="AB3561" s="1821"/>
      <c r="AC3561" s="1821"/>
      <c r="AD3561" s="1821"/>
      <c r="AE3561" s="1821"/>
      <c r="AF3561" s="1821"/>
      <c r="AG3561" s="1821"/>
      <c r="AH3561" s="1821"/>
      <c r="AI3561" s="1821"/>
      <c r="AJ3561" s="1821"/>
      <c r="AK3561" s="1821"/>
      <c r="AL3561" s="1821"/>
      <c r="AM3561" s="1821"/>
      <c r="AN3561" s="1821"/>
      <c r="AO3561" s="1821"/>
      <c r="AP3561" s="1821"/>
      <c r="AQ3561" s="1821"/>
      <c r="AR3561" s="1821"/>
      <c r="AS3561" s="1821"/>
      <c r="AT3561" s="1821"/>
      <c r="AU3561" s="1821"/>
      <c r="AV3561" s="1821"/>
      <c r="AW3561" s="1821"/>
      <c r="AX3561" s="1821"/>
      <c r="AY3561" s="1821"/>
      <c r="AZ3561" s="1821"/>
      <c r="BA3561" s="1821"/>
      <c r="BB3561" s="1821"/>
      <c r="BC3561" s="1821"/>
      <c r="BD3561" s="1821"/>
      <c r="BE3561" s="1821"/>
      <c r="BF3561" s="1821"/>
      <c r="BG3561" s="1821"/>
      <c r="BH3561" s="1821"/>
      <c r="BI3561" s="1821"/>
      <c r="BJ3561" s="1821"/>
      <c r="BK3561" s="1821"/>
      <c r="BL3561" s="1821"/>
      <c r="BM3561" s="1821"/>
      <c r="BN3561" s="1821"/>
      <c r="BO3561" s="1821"/>
      <c r="BP3561" s="1821"/>
      <c r="BQ3561" s="1821"/>
      <c r="BR3561" s="1821"/>
      <c r="BS3561" s="1821"/>
      <c r="BT3561" s="1821"/>
      <c r="BU3561" s="1821"/>
      <c r="BV3561" s="1821"/>
      <c r="BW3561" s="1821"/>
      <c r="BX3561" s="1821"/>
      <c r="BY3561" s="1821"/>
      <c r="BZ3561" s="1821"/>
      <c r="CA3561" s="1821"/>
      <c r="CB3561" s="1821"/>
      <c r="CC3561" s="1821"/>
      <c r="CD3561" s="1821"/>
      <c r="CE3561" s="1821"/>
      <c r="CF3561" s="1821"/>
      <c r="CG3561" s="1821"/>
      <c r="CH3561" s="1821"/>
      <c r="CI3561" s="1821"/>
      <c r="CJ3561" s="1821"/>
      <c r="CK3561" s="1821"/>
    </row>
    <row r="3562" spans="1:89" s="675" customFormat="1" ht="16.5" customHeight="1" x14ac:dyDescent="0.25">
      <c r="A3562" s="697"/>
      <c r="B3562" s="1002" t="s">
        <v>367</v>
      </c>
      <c r="C3562" s="1007">
        <v>88</v>
      </c>
      <c r="D3562" s="1005" t="s">
        <v>342</v>
      </c>
      <c r="E3562" s="1006">
        <v>700</v>
      </c>
      <c r="F3562" s="700"/>
      <c r="G3562" s="700"/>
      <c r="H3562" s="700">
        <f>G3562+F3562</f>
        <v>0</v>
      </c>
      <c r="I3562" s="700"/>
      <c r="J3562" s="700">
        <f>C3562*E3562</f>
        <v>61600</v>
      </c>
      <c r="K3562" s="700">
        <f>J3562+I3562</f>
        <v>61600</v>
      </c>
      <c r="L3562" s="700"/>
      <c r="M3562" s="700"/>
      <c r="N3562" s="700">
        <f t="shared" si="386"/>
        <v>0</v>
      </c>
      <c r="O3562" s="974">
        <f>N3562+K3562+H3562</f>
        <v>61600</v>
      </c>
      <c r="P3562" s="956"/>
      <c r="Q3562" s="1821"/>
      <c r="R3562" s="1821"/>
      <c r="S3562" s="1821"/>
      <c r="T3562" s="1821"/>
      <c r="U3562" s="1821"/>
      <c r="V3562" s="1821"/>
      <c r="W3562" s="1821"/>
      <c r="X3562" s="1821"/>
      <c r="Y3562" s="1821"/>
      <c r="Z3562" s="1821"/>
      <c r="AA3562" s="1821"/>
      <c r="AB3562" s="1821"/>
      <c r="AC3562" s="1821"/>
      <c r="AD3562" s="1821"/>
      <c r="AE3562" s="1821"/>
      <c r="AF3562" s="1821"/>
      <c r="AG3562" s="1821"/>
      <c r="AH3562" s="1821"/>
      <c r="AI3562" s="1821"/>
      <c r="AJ3562" s="1821"/>
      <c r="AK3562" s="1821"/>
      <c r="AL3562" s="1821"/>
      <c r="AM3562" s="1821"/>
      <c r="AN3562" s="1821"/>
      <c r="AO3562" s="1821"/>
      <c r="AP3562" s="1821"/>
      <c r="AQ3562" s="1821"/>
      <c r="AR3562" s="1821"/>
      <c r="AS3562" s="1821"/>
      <c r="AT3562" s="1821"/>
      <c r="AU3562" s="1821"/>
      <c r="AV3562" s="1821"/>
      <c r="AW3562" s="1821"/>
      <c r="AX3562" s="1821"/>
      <c r="AY3562" s="1821"/>
      <c r="AZ3562" s="1821"/>
      <c r="BA3562" s="1821"/>
      <c r="BB3562" s="1821"/>
      <c r="BC3562" s="1821"/>
      <c r="BD3562" s="1821"/>
      <c r="BE3562" s="1821"/>
      <c r="BF3562" s="1821"/>
      <c r="BG3562" s="1821"/>
      <c r="BH3562" s="1821"/>
      <c r="BI3562" s="1821"/>
      <c r="BJ3562" s="1821"/>
      <c r="BK3562" s="1821"/>
      <c r="BL3562" s="1821"/>
      <c r="BM3562" s="1821"/>
      <c r="BN3562" s="1821"/>
      <c r="BO3562" s="1821"/>
      <c r="BP3562" s="1821"/>
      <c r="BQ3562" s="1821"/>
      <c r="BR3562" s="1821"/>
      <c r="BS3562" s="1821"/>
      <c r="BT3562" s="1821"/>
      <c r="BU3562" s="1821"/>
      <c r="BV3562" s="1821"/>
      <c r="BW3562" s="1821"/>
      <c r="BX3562" s="1821"/>
      <c r="BY3562" s="1821"/>
      <c r="BZ3562" s="1821"/>
      <c r="CA3562" s="1821"/>
      <c r="CB3562" s="1821"/>
      <c r="CC3562" s="1821"/>
      <c r="CD3562" s="1821"/>
      <c r="CE3562" s="1821"/>
      <c r="CF3562" s="1821"/>
      <c r="CG3562" s="1821"/>
      <c r="CH3562" s="1821"/>
      <c r="CI3562" s="1821"/>
      <c r="CJ3562" s="1821"/>
      <c r="CK3562" s="1821"/>
    </row>
    <row r="3563" spans="1:89" s="675" customFormat="1" ht="16.5" customHeight="1" x14ac:dyDescent="0.25">
      <c r="A3563" s="697"/>
      <c r="B3563" s="1002" t="s">
        <v>368</v>
      </c>
      <c r="C3563" s="1007"/>
      <c r="D3563" s="1005"/>
      <c r="E3563" s="1006"/>
      <c r="F3563" s="700"/>
      <c r="G3563" s="700"/>
      <c r="H3563" s="700">
        <f>G3563+F3563</f>
        <v>0</v>
      </c>
      <c r="I3563" s="700"/>
      <c r="J3563" s="700">
        <f>C3563*E3563</f>
        <v>0</v>
      </c>
      <c r="K3563" s="700">
        <f>J3563+I3563</f>
        <v>0</v>
      </c>
      <c r="L3563" s="700"/>
      <c r="M3563" s="700"/>
      <c r="N3563" s="700">
        <f t="shared" si="386"/>
        <v>0</v>
      </c>
      <c r="O3563" s="974">
        <f>N3563+K3563+H3563</f>
        <v>0</v>
      </c>
      <c r="P3563" s="956"/>
      <c r="Q3563" s="1821"/>
      <c r="R3563" s="1821"/>
      <c r="S3563" s="1821"/>
      <c r="T3563" s="1821"/>
      <c r="U3563" s="1821"/>
      <c r="V3563" s="1821"/>
      <c r="W3563" s="1821"/>
      <c r="X3563" s="1821"/>
      <c r="Y3563" s="1821"/>
      <c r="Z3563" s="1821"/>
      <c r="AA3563" s="1821"/>
      <c r="AB3563" s="1821"/>
      <c r="AC3563" s="1821"/>
      <c r="AD3563" s="1821"/>
      <c r="AE3563" s="1821"/>
      <c r="AF3563" s="1821"/>
      <c r="AG3563" s="1821"/>
      <c r="AH3563" s="1821"/>
      <c r="AI3563" s="1821"/>
      <c r="AJ3563" s="1821"/>
      <c r="AK3563" s="1821"/>
      <c r="AL3563" s="1821"/>
      <c r="AM3563" s="1821"/>
      <c r="AN3563" s="1821"/>
      <c r="AO3563" s="1821"/>
      <c r="AP3563" s="1821"/>
      <c r="AQ3563" s="1821"/>
      <c r="AR3563" s="1821"/>
      <c r="AS3563" s="1821"/>
      <c r="AT3563" s="1821"/>
      <c r="AU3563" s="1821"/>
      <c r="AV3563" s="1821"/>
      <c r="AW3563" s="1821"/>
      <c r="AX3563" s="1821"/>
      <c r="AY3563" s="1821"/>
      <c r="AZ3563" s="1821"/>
      <c r="BA3563" s="1821"/>
      <c r="BB3563" s="1821"/>
      <c r="BC3563" s="1821"/>
      <c r="BD3563" s="1821"/>
      <c r="BE3563" s="1821"/>
      <c r="BF3563" s="1821"/>
      <c r="BG3563" s="1821"/>
      <c r="BH3563" s="1821"/>
      <c r="BI3563" s="1821"/>
      <c r="BJ3563" s="1821"/>
      <c r="BK3563" s="1821"/>
      <c r="BL3563" s="1821"/>
      <c r="BM3563" s="1821"/>
      <c r="BN3563" s="1821"/>
      <c r="BO3563" s="1821"/>
      <c r="BP3563" s="1821"/>
      <c r="BQ3563" s="1821"/>
      <c r="BR3563" s="1821"/>
      <c r="BS3563" s="1821"/>
      <c r="BT3563" s="1821"/>
      <c r="BU3563" s="1821"/>
      <c r="BV3563" s="1821"/>
      <c r="BW3563" s="1821"/>
      <c r="BX3563" s="1821"/>
      <c r="BY3563" s="1821"/>
      <c r="BZ3563" s="1821"/>
      <c r="CA3563" s="1821"/>
      <c r="CB3563" s="1821"/>
      <c r="CC3563" s="1821"/>
      <c r="CD3563" s="1821"/>
      <c r="CE3563" s="1821"/>
      <c r="CF3563" s="1821"/>
      <c r="CG3563" s="1821"/>
      <c r="CH3563" s="1821"/>
      <c r="CI3563" s="1821"/>
      <c r="CJ3563" s="1821"/>
      <c r="CK3563" s="1821"/>
    </row>
    <row r="3564" spans="1:89" s="675" customFormat="1" ht="16.5" customHeight="1" x14ac:dyDescent="0.25">
      <c r="A3564" s="697"/>
      <c r="B3564" s="1002"/>
      <c r="C3564" s="1007"/>
      <c r="D3564" s="1005"/>
      <c r="E3564" s="1006"/>
      <c r="F3564" s="700"/>
      <c r="G3564" s="700"/>
      <c r="H3564" s="700">
        <f>G3564+F3564</f>
        <v>0</v>
      </c>
      <c r="I3564" s="700"/>
      <c r="J3564" s="700"/>
      <c r="K3564" s="700">
        <f>J3564+I3564</f>
        <v>0</v>
      </c>
      <c r="L3564" s="700"/>
      <c r="M3564" s="700"/>
      <c r="N3564" s="700">
        <f t="shared" si="386"/>
        <v>0</v>
      </c>
      <c r="O3564" s="974">
        <f>N3564+K3564+H3564</f>
        <v>0</v>
      </c>
      <c r="P3564" s="956"/>
      <c r="Q3564" s="1821"/>
      <c r="R3564" s="1821"/>
      <c r="S3564" s="1821"/>
      <c r="T3564" s="1821"/>
      <c r="U3564" s="1821"/>
      <c r="V3564" s="1821"/>
      <c r="W3564" s="1821"/>
      <c r="X3564" s="1821"/>
      <c r="Y3564" s="1821"/>
      <c r="Z3564" s="1821"/>
      <c r="AA3564" s="1821"/>
      <c r="AB3564" s="1821"/>
      <c r="AC3564" s="1821"/>
      <c r="AD3564" s="1821"/>
      <c r="AE3564" s="1821"/>
      <c r="AF3564" s="1821"/>
      <c r="AG3564" s="1821"/>
      <c r="AH3564" s="1821"/>
      <c r="AI3564" s="1821"/>
      <c r="AJ3564" s="1821"/>
      <c r="AK3564" s="1821"/>
      <c r="AL3564" s="1821"/>
      <c r="AM3564" s="1821"/>
      <c r="AN3564" s="1821"/>
      <c r="AO3564" s="1821"/>
      <c r="AP3564" s="1821"/>
      <c r="AQ3564" s="1821"/>
      <c r="AR3564" s="1821"/>
      <c r="AS3564" s="1821"/>
      <c r="AT3564" s="1821"/>
      <c r="AU3564" s="1821"/>
      <c r="AV3564" s="1821"/>
      <c r="AW3564" s="1821"/>
      <c r="AX3564" s="1821"/>
      <c r="AY3564" s="1821"/>
      <c r="AZ3564" s="1821"/>
      <c r="BA3564" s="1821"/>
      <c r="BB3564" s="1821"/>
      <c r="BC3564" s="1821"/>
      <c r="BD3564" s="1821"/>
      <c r="BE3564" s="1821"/>
      <c r="BF3564" s="1821"/>
      <c r="BG3564" s="1821"/>
      <c r="BH3564" s="1821"/>
      <c r="BI3564" s="1821"/>
      <c r="BJ3564" s="1821"/>
      <c r="BK3564" s="1821"/>
      <c r="BL3564" s="1821"/>
      <c r="BM3564" s="1821"/>
      <c r="BN3564" s="1821"/>
      <c r="BO3564" s="1821"/>
      <c r="BP3564" s="1821"/>
      <c r="BQ3564" s="1821"/>
      <c r="BR3564" s="1821"/>
      <c r="BS3564" s="1821"/>
      <c r="BT3564" s="1821"/>
      <c r="BU3564" s="1821"/>
      <c r="BV3564" s="1821"/>
      <c r="BW3564" s="1821"/>
      <c r="BX3564" s="1821"/>
      <c r="BY3564" s="1821"/>
      <c r="BZ3564" s="1821"/>
      <c r="CA3564" s="1821"/>
      <c r="CB3564" s="1821"/>
      <c r="CC3564" s="1821"/>
      <c r="CD3564" s="1821"/>
      <c r="CE3564" s="1821"/>
      <c r="CF3564" s="1821"/>
      <c r="CG3564" s="1821"/>
      <c r="CH3564" s="1821"/>
      <c r="CI3564" s="1821"/>
      <c r="CJ3564" s="1821"/>
      <c r="CK3564" s="1821"/>
    </row>
    <row r="3565" spans="1:89" s="675" customFormat="1" ht="16.5" customHeight="1" x14ac:dyDescent="0.25">
      <c r="A3565" s="697"/>
      <c r="B3565" s="1002" t="s">
        <v>370</v>
      </c>
      <c r="C3565" s="1007"/>
      <c r="D3565" s="1005"/>
      <c r="E3565" s="1006"/>
      <c r="F3565" s="700"/>
      <c r="G3565" s="700"/>
      <c r="H3565" s="700">
        <f t="shared" si="384"/>
        <v>0</v>
      </c>
      <c r="I3565" s="700"/>
      <c r="J3565" s="700"/>
      <c r="K3565" s="700">
        <f t="shared" si="385"/>
        <v>0</v>
      </c>
      <c r="L3565" s="700"/>
      <c r="M3565" s="700"/>
      <c r="N3565" s="700">
        <f t="shared" si="386"/>
        <v>0</v>
      </c>
      <c r="O3565" s="974"/>
      <c r="P3565" s="956"/>
      <c r="Q3565" s="1821"/>
      <c r="R3565" s="1821"/>
      <c r="S3565" s="1821"/>
      <c r="T3565" s="1821"/>
      <c r="U3565" s="1821"/>
      <c r="V3565" s="1821"/>
      <c r="W3565" s="1821"/>
      <c r="X3565" s="1821"/>
      <c r="Y3565" s="1821"/>
      <c r="Z3565" s="1821"/>
      <c r="AA3565" s="1821"/>
      <c r="AB3565" s="1821"/>
      <c r="AC3565" s="1821"/>
      <c r="AD3565" s="1821"/>
      <c r="AE3565" s="1821"/>
      <c r="AF3565" s="1821"/>
      <c r="AG3565" s="1821"/>
      <c r="AH3565" s="1821"/>
      <c r="AI3565" s="1821"/>
      <c r="AJ3565" s="1821"/>
      <c r="AK3565" s="1821"/>
      <c r="AL3565" s="1821"/>
      <c r="AM3565" s="1821"/>
      <c r="AN3565" s="1821"/>
      <c r="AO3565" s="1821"/>
      <c r="AP3565" s="1821"/>
      <c r="AQ3565" s="1821"/>
      <c r="AR3565" s="1821"/>
      <c r="AS3565" s="1821"/>
      <c r="AT3565" s="1821"/>
      <c r="AU3565" s="1821"/>
      <c r="AV3565" s="1821"/>
      <c r="AW3565" s="1821"/>
      <c r="AX3565" s="1821"/>
      <c r="AY3565" s="1821"/>
      <c r="AZ3565" s="1821"/>
      <c r="BA3565" s="1821"/>
      <c r="BB3565" s="1821"/>
      <c r="BC3565" s="1821"/>
      <c r="BD3565" s="1821"/>
      <c r="BE3565" s="1821"/>
      <c r="BF3565" s="1821"/>
      <c r="BG3565" s="1821"/>
      <c r="BH3565" s="1821"/>
      <c r="BI3565" s="1821"/>
      <c r="BJ3565" s="1821"/>
      <c r="BK3565" s="1821"/>
      <c r="BL3565" s="1821"/>
      <c r="BM3565" s="1821"/>
      <c r="BN3565" s="1821"/>
      <c r="BO3565" s="1821"/>
      <c r="BP3565" s="1821"/>
      <c r="BQ3565" s="1821"/>
      <c r="BR3565" s="1821"/>
      <c r="BS3565" s="1821"/>
      <c r="BT3565" s="1821"/>
      <c r="BU3565" s="1821"/>
      <c r="BV3565" s="1821"/>
      <c r="BW3565" s="1821"/>
      <c r="BX3565" s="1821"/>
      <c r="BY3565" s="1821"/>
      <c r="BZ3565" s="1821"/>
      <c r="CA3565" s="1821"/>
      <c r="CB3565" s="1821"/>
      <c r="CC3565" s="1821"/>
      <c r="CD3565" s="1821"/>
      <c r="CE3565" s="1821"/>
      <c r="CF3565" s="1821"/>
      <c r="CG3565" s="1821"/>
      <c r="CH3565" s="1821"/>
      <c r="CI3565" s="1821"/>
      <c r="CJ3565" s="1821"/>
      <c r="CK3565" s="1821"/>
    </row>
    <row r="3566" spans="1:89" s="675" customFormat="1" ht="16.5" customHeight="1" x14ac:dyDescent="0.25">
      <c r="A3566" s="697"/>
      <c r="B3566" s="1002" t="s">
        <v>359</v>
      </c>
      <c r="C3566" s="1007">
        <v>9</v>
      </c>
      <c r="D3566" s="1005" t="s">
        <v>55</v>
      </c>
      <c r="E3566" s="1006">
        <v>100</v>
      </c>
      <c r="F3566" s="700"/>
      <c r="G3566" s="700"/>
      <c r="H3566" s="700">
        <f>G3566+F3566</f>
        <v>0</v>
      </c>
      <c r="I3566" s="700"/>
      <c r="J3566" s="700">
        <f>C3566*E3566</f>
        <v>900</v>
      </c>
      <c r="K3566" s="700">
        <f>J3566+I3566</f>
        <v>900</v>
      </c>
      <c r="L3566" s="700"/>
      <c r="M3566" s="700"/>
      <c r="N3566" s="700">
        <f t="shared" si="386"/>
        <v>0</v>
      </c>
      <c r="O3566" s="974">
        <f>N3566+K3566+H3566</f>
        <v>900</v>
      </c>
      <c r="P3566" s="956"/>
      <c r="Q3566" s="1821"/>
      <c r="R3566" s="1821"/>
      <c r="S3566" s="1821"/>
      <c r="T3566" s="1821"/>
      <c r="U3566" s="1821"/>
      <c r="V3566" s="1821"/>
      <c r="W3566" s="1821"/>
      <c r="X3566" s="1821"/>
      <c r="Y3566" s="1821"/>
      <c r="Z3566" s="1821"/>
      <c r="AA3566" s="1821"/>
      <c r="AB3566" s="1821"/>
      <c r="AC3566" s="1821"/>
      <c r="AD3566" s="1821"/>
      <c r="AE3566" s="1821"/>
      <c r="AF3566" s="1821"/>
      <c r="AG3566" s="1821"/>
      <c r="AH3566" s="1821"/>
      <c r="AI3566" s="1821"/>
      <c r="AJ3566" s="1821"/>
      <c r="AK3566" s="1821"/>
      <c r="AL3566" s="1821"/>
      <c r="AM3566" s="1821"/>
      <c r="AN3566" s="1821"/>
      <c r="AO3566" s="1821"/>
      <c r="AP3566" s="1821"/>
      <c r="AQ3566" s="1821"/>
      <c r="AR3566" s="1821"/>
      <c r="AS3566" s="1821"/>
      <c r="AT3566" s="1821"/>
      <c r="AU3566" s="1821"/>
      <c r="AV3566" s="1821"/>
      <c r="AW3566" s="1821"/>
      <c r="AX3566" s="1821"/>
      <c r="AY3566" s="1821"/>
      <c r="AZ3566" s="1821"/>
      <c r="BA3566" s="1821"/>
      <c r="BB3566" s="1821"/>
      <c r="BC3566" s="1821"/>
      <c r="BD3566" s="1821"/>
      <c r="BE3566" s="1821"/>
      <c r="BF3566" s="1821"/>
      <c r="BG3566" s="1821"/>
      <c r="BH3566" s="1821"/>
      <c r="BI3566" s="1821"/>
      <c r="BJ3566" s="1821"/>
      <c r="BK3566" s="1821"/>
      <c r="BL3566" s="1821"/>
      <c r="BM3566" s="1821"/>
      <c r="BN3566" s="1821"/>
      <c r="BO3566" s="1821"/>
      <c r="BP3566" s="1821"/>
      <c r="BQ3566" s="1821"/>
      <c r="BR3566" s="1821"/>
      <c r="BS3566" s="1821"/>
      <c r="BT3566" s="1821"/>
      <c r="BU3566" s="1821"/>
      <c r="BV3566" s="1821"/>
      <c r="BW3566" s="1821"/>
      <c r="BX3566" s="1821"/>
      <c r="BY3566" s="1821"/>
      <c r="BZ3566" s="1821"/>
      <c r="CA3566" s="1821"/>
      <c r="CB3566" s="1821"/>
      <c r="CC3566" s="1821"/>
      <c r="CD3566" s="1821"/>
      <c r="CE3566" s="1821"/>
      <c r="CF3566" s="1821"/>
      <c r="CG3566" s="1821"/>
      <c r="CH3566" s="1821"/>
      <c r="CI3566" s="1821"/>
      <c r="CJ3566" s="1821"/>
      <c r="CK3566" s="1821"/>
    </row>
    <row r="3567" spans="1:89" s="675" customFormat="1" ht="16.5" customHeight="1" x14ac:dyDescent="0.25">
      <c r="A3567" s="697"/>
      <c r="B3567" s="1002" t="s">
        <v>54</v>
      </c>
      <c r="C3567" s="1007">
        <v>54</v>
      </c>
      <c r="D3567" s="1005" t="s">
        <v>55</v>
      </c>
      <c r="E3567" s="1006">
        <v>430</v>
      </c>
      <c r="F3567" s="700"/>
      <c r="G3567" s="700"/>
      <c r="H3567" s="700">
        <f t="shared" si="384"/>
        <v>0</v>
      </c>
      <c r="I3567" s="700"/>
      <c r="J3567" s="700">
        <f>C3567*E3567</f>
        <v>23220</v>
      </c>
      <c r="K3567" s="700">
        <f t="shared" si="385"/>
        <v>23220</v>
      </c>
      <c r="L3567" s="700"/>
      <c r="M3567" s="700"/>
      <c r="N3567" s="700">
        <f t="shared" si="386"/>
        <v>0</v>
      </c>
      <c r="O3567" s="974">
        <f>N3567+K3567+H3567</f>
        <v>23220</v>
      </c>
      <c r="P3567" s="956"/>
      <c r="Q3567" s="1821"/>
      <c r="R3567" s="1821"/>
      <c r="S3567" s="1821"/>
      <c r="T3567" s="1821"/>
      <c r="U3567" s="1821"/>
      <c r="V3567" s="1821"/>
      <c r="W3567" s="1821"/>
      <c r="X3567" s="1821"/>
      <c r="Y3567" s="1821"/>
      <c r="Z3567" s="1821"/>
      <c r="AA3567" s="1821"/>
      <c r="AB3567" s="1821"/>
      <c r="AC3567" s="1821"/>
      <c r="AD3567" s="1821"/>
      <c r="AE3567" s="1821"/>
      <c r="AF3567" s="1821"/>
      <c r="AG3567" s="1821"/>
      <c r="AH3567" s="1821"/>
      <c r="AI3567" s="1821"/>
      <c r="AJ3567" s="1821"/>
      <c r="AK3567" s="1821"/>
      <c r="AL3567" s="1821"/>
      <c r="AM3567" s="1821"/>
      <c r="AN3567" s="1821"/>
      <c r="AO3567" s="1821"/>
      <c r="AP3567" s="1821"/>
      <c r="AQ3567" s="1821"/>
      <c r="AR3567" s="1821"/>
      <c r="AS3567" s="1821"/>
      <c r="AT3567" s="1821"/>
      <c r="AU3567" s="1821"/>
      <c r="AV3567" s="1821"/>
      <c r="AW3567" s="1821"/>
      <c r="AX3567" s="1821"/>
      <c r="AY3567" s="1821"/>
      <c r="AZ3567" s="1821"/>
      <c r="BA3567" s="1821"/>
      <c r="BB3567" s="1821"/>
      <c r="BC3567" s="1821"/>
      <c r="BD3567" s="1821"/>
      <c r="BE3567" s="1821"/>
      <c r="BF3567" s="1821"/>
      <c r="BG3567" s="1821"/>
      <c r="BH3567" s="1821"/>
      <c r="BI3567" s="1821"/>
      <c r="BJ3567" s="1821"/>
      <c r="BK3567" s="1821"/>
      <c r="BL3567" s="1821"/>
      <c r="BM3567" s="1821"/>
      <c r="BN3567" s="1821"/>
      <c r="BO3567" s="1821"/>
      <c r="BP3567" s="1821"/>
      <c r="BQ3567" s="1821"/>
      <c r="BR3567" s="1821"/>
      <c r="BS3567" s="1821"/>
      <c r="BT3567" s="1821"/>
      <c r="BU3567" s="1821"/>
      <c r="BV3567" s="1821"/>
      <c r="BW3567" s="1821"/>
      <c r="BX3567" s="1821"/>
      <c r="BY3567" s="1821"/>
      <c r="BZ3567" s="1821"/>
      <c r="CA3567" s="1821"/>
      <c r="CB3567" s="1821"/>
      <c r="CC3567" s="1821"/>
      <c r="CD3567" s="1821"/>
      <c r="CE3567" s="1821"/>
      <c r="CF3567" s="1821"/>
      <c r="CG3567" s="1821"/>
      <c r="CH3567" s="1821"/>
      <c r="CI3567" s="1821"/>
      <c r="CJ3567" s="1821"/>
      <c r="CK3567" s="1821"/>
    </row>
    <row r="3568" spans="1:89" s="675" customFormat="1" ht="16.5" customHeight="1" x14ac:dyDescent="0.25">
      <c r="A3568" s="697"/>
      <c r="B3568" s="1002" t="s">
        <v>52</v>
      </c>
      <c r="C3568" s="1007">
        <v>36</v>
      </c>
      <c r="D3568" s="1005" t="s">
        <v>55</v>
      </c>
      <c r="E3568" s="1006">
        <v>460</v>
      </c>
      <c r="F3568" s="700"/>
      <c r="G3568" s="700"/>
      <c r="H3568" s="700">
        <f t="shared" si="384"/>
        <v>0</v>
      </c>
      <c r="I3568" s="700"/>
      <c r="J3568" s="700">
        <f>C3568*E3568</f>
        <v>16560</v>
      </c>
      <c r="K3568" s="700">
        <f t="shared" si="385"/>
        <v>16560</v>
      </c>
      <c r="L3568" s="700"/>
      <c r="M3568" s="700"/>
      <c r="N3568" s="700">
        <f t="shared" si="386"/>
        <v>0</v>
      </c>
      <c r="O3568" s="974">
        <f>N3568+K3568+H3568</f>
        <v>16560</v>
      </c>
      <c r="P3568" s="956"/>
      <c r="Q3568" s="1821"/>
      <c r="R3568" s="1821"/>
      <c r="S3568" s="1821"/>
      <c r="T3568" s="1821"/>
      <c r="U3568" s="1821"/>
      <c r="V3568" s="1821"/>
      <c r="W3568" s="1821"/>
      <c r="X3568" s="1821"/>
      <c r="Y3568" s="1821"/>
      <c r="Z3568" s="1821"/>
      <c r="AA3568" s="1821"/>
      <c r="AB3568" s="1821"/>
      <c r="AC3568" s="1821"/>
      <c r="AD3568" s="1821"/>
      <c r="AE3568" s="1821"/>
      <c r="AF3568" s="1821"/>
      <c r="AG3568" s="1821"/>
      <c r="AH3568" s="1821"/>
      <c r="AI3568" s="1821"/>
      <c r="AJ3568" s="1821"/>
      <c r="AK3568" s="1821"/>
      <c r="AL3568" s="1821"/>
      <c r="AM3568" s="1821"/>
      <c r="AN3568" s="1821"/>
      <c r="AO3568" s="1821"/>
      <c r="AP3568" s="1821"/>
      <c r="AQ3568" s="1821"/>
      <c r="AR3568" s="1821"/>
      <c r="AS3568" s="1821"/>
      <c r="AT3568" s="1821"/>
      <c r="AU3568" s="1821"/>
      <c r="AV3568" s="1821"/>
      <c r="AW3568" s="1821"/>
      <c r="AX3568" s="1821"/>
      <c r="AY3568" s="1821"/>
      <c r="AZ3568" s="1821"/>
      <c r="BA3568" s="1821"/>
      <c r="BB3568" s="1821"/>
      <c r="BC3568" s="1821"/>
      <c r="BD3568" s="1821"/>
      <c r="BE3568" s="1821"/>
      <c r="BF3568" s="1821"/>
      <c r="BG3568" s="1821"/>
      <c r="BH3568" s="1821"/>
      <c r="BI3568" s="1821"/>
      <c r="BJ3568" s="1821"/>
      <c r="BK3568" s="1821"/>
      <c r="BL3568" s="1821"/>
      <c r="BM3568" s="1821"/>
      <c r="BN3568" s="1821"/>
      <c r="BO3568" s="1821"/>
      <c r="BP3568" s="1821"/>
      <c r="BQ3568" s="1821"/>
      <c r="BR3568" s="1821"/>
      <c r="BS3568" s="1821"/>
      <c r="BT3568" s="1821"/>
      <c r="BU3568" s="1821"/>
      <c r="BV3568" s="1821"/>
      <c r="BW3568" s="1821"/>
      <c r="BX3568" s="1821"/>
      <c r="BY3568" s="1821"/>
      <c r="BZ3568" s="1821"/>
      <c r="CA3568" s="1821"/>
      <c r="CB3568" s="1821"/>
      <c r="CC3568" s="1821"/>
      <c r="CD3568" s="1821"/>
      <c r="CE3568" s="1821"/>
      <c r="CF3568" s="1821"/>
      <c r="CG3568" s="1821"/>
      <c r="CH3568" s="1821"/>
      <c r="CI3568" s="1821"/>
      <c r="CJ3568" s="1821"/>
      <c r="CK3568" s="1821"/>
    </row>
    <row r="3569" spans="1:89" s="675" customFormat="1" ht="16.5" customHeight="1" x14ac:dyDescent="0.25">
      <c r="A3569" s="697"/>
      <c r="B3569" s="1002"/>
      <c r="C3569" s="1007"/>
      <c r="D3569" s="1005"/>
      <c r="E3569" s="1006"/>
      <c r="F3569" s="700"/>
      <c r="G3569" s="700"/>
      <c r="H3569" s="700">
        <f t="shared" si="384"/>
        <v>0</v>
      </c>
      <c r="I3569" s="700"/>
      <c r="J3569" s="700">
        <f>C3569*E3569</f>
        <v>0</v>
      </c>
      <c r="K3569" s="700">
        <f t="shared" si="385"/>
        <v>0</v>
      </c>
      <c r="L3569" s="700"/>
      <c r="M3569" s="700"/>
      <c r="N3569" s="700">
        <f t="shared" si="386"/>
        <v>0</v>
      </c>
      <c r="O3569" s="974">
        <f>N3569+K3569+H3569</f>
        <v>0</v>
      </c>
      <c r="P3569" s="956"/>
      <c r="Q3569" s="1821"/>
      <c r="R3569" s="1821"/>
      <c r="S3569" s="1821"/>
      <c r="T3569" s="1821"/>
      <c r="U3569" s="1821"/>
      <c r="V3569" s="1821"/>
      <c r="W3569" s="1821"/>
      <c r="X3569" s="1821"/>
      <c r="Y3569" s="1821"/>
      <c r="Z3569" s="1821"/>
      <c r="AA3569" s="1821"/>
      <c r="AB3569" s="1821"/>
      <c r="AC3569" s="1821"/>
      <c r="AD3569" s="1821"/>
      <c r="AE3569" s="1821"/>
      <c r="AF3569" s="1821"/>
      <c r="AG3569" s="1821"/>
      <c r="AH3569" s="1821"/>
      <c r="AI3569" s="1821"/>
      <c r="AJ3569" s="1821"/>
      <c r="AK3569" s="1821"/>
      <c r="AL3569" s="1821"/>
      <c r="AM3569" s="1821"/>
      <c r="AN3569" s="1821"/>
      <c r="AO3569" s="1821"/>
      <c r="AP3569" s="1821"/>
      <c r="AQ3569" s="1821"/>
      <c r="AR3569" s="1821"/>
      <c r="AS3569" s="1821"/>
      <c r="AT3569" s="1821"/>
      <c r="AU3569" s="1821"/>
      <c r="AV3569" s="1821"/>
      <c r="AW3569" s="1821"/>
      <c r="AX3569" s="1821"/>
      <c r="AY3569" s="1821"/>
      <c r="AZ3569" s="1821"/>
      <c r="BA3569" s="1821"/>
      <c r="BB3569" s="1821"/>
      <c r="BC3569" s="1821"/>
      <c r="BD3569" s="1821"/>
      <c r="BE3569" s="1821"/>
      <c r="BF3569" s="1821"/>
      <c r="BG3569" s="1821"/>
      <c r="BH3569" s="1821"/>
      <c r="BI3569" s="1821"/>
      <c r="BJ3569" s="1821"/>
      <c r="BK3569" s="1821"/>
      <c r="BL3569" s="1821"/>
      <c r="BM3569" s="1821"/>
      <c r="BN3569" s="1821"/>
      <c r="BO3569" s="1821"/>
      <c r="BP3569" s="1821"/>
      <c r="BQ3569" s="1821"/>
      <c r="BR3569" s="1821"/>
      <c r="BS3569" s="1821"/>
      <c r="BT3569" s="1821"/>
      <c r="BU3569" s="1821"/>
      <c r="BV3569" s="1821"/>
      <c r="BW3569" s="1821"/>
      <c r="BX3569" s="1821"/>
      <c r="BY3569" s="1821"/>
      <c r="BZ3569" s="1821"/>
      <c r="CA3569" s="1821"/>
      <c r="CB3569" s="1821"/>
      <c r="CC3569" s="1821"/>
      <c r="CD3569" s="1821"/>
      <c r="CE3569" s="1821"/>
      <c r="CF3569" s="1821"/>
      <c r="CG3569" s="1821"/>
      <c r="CH3569" s="1821"/>
      <c r="CI3569" s="1821"/>
      <c r="CJ3569" s="1821"/>
      <c r="CK3569" s="1821"/>
    </row>
    <row r="3570" spans="1:89" s="675" customFormat="1" ht="16.5" customHeight="1" x14ac:dyDescent="0.25">
      <c r="A3570" s="697"/>
      <c r="B3570" s="1002"/>
      <c r="C3570" s="1007"/>
      <c r="D3570" s="1005"/>
      <c r="E3570" s="1006"/>
      <c r="F3570" s="700"/>
      <c r="G3570" s="700"/>
      <c r="H3570" s="700"/>
      <c r="I3570" s="700"/>
      <c r="J3570" s="700"/>
      <c r="K3570" s="700"/>
      <c r="L3570" s="700"/>
      <c r="M3570" s="700"/>
      <c r="N3570" s="700"/>
      <c r="O3570" s="974"/>
      <c r="P3570" s="956"/>
      <c r="Q3570" s="1821"/>
      <c r="R3570" s="1821"/>
      <c r="S3570" s="1821"/>
      <c r="T3570" s="1821"/>
      <c r="U3570" s="1821"/>
      <c r="V3570" s="1821"/>
      <c r="W3570" s="1821"/>
      <c r="X3570" s="1821"/>
      <c r="Y3570" s="1821"/>
      <c r="Z3570" s="1821"/>
      <c r="AA3570" s="1821"/>
      <c r="AB3570" s="1821"/>
      <c r="AC3570" s="1821"/>
      <c r="AD3570" s="1821"/>
      <c r="AE3570" s="1821"/>
      <c r="AF3570" s="1821"/>
      <c r="AG3570" s="1821"/>
      <c r="AH3570" s="1821"/>
      <c r="AI3570" s="1821"/>
      <c r="AJ3570" s="1821"/>
      <c r="AK3570" s="1821"/>
      <c r="AL3570" s="1821"/>
      <c r="AM3570" s="1821"/>
      <c r="AN3570" s="1821"/>
      <c r="AO3570" s="1821"/>
      <c r="AP3570" s="1821"/>
      <c r="AQ3570" s="1821"/>
      <c r="AR3570" s="1821"/>
      <c r="AS3570" s="1821"/>
      <c r="AT3570" s="1821"/>
      <c r="AU3570" s="1821"/>
      <c r="AV3570" s="1821"/>
      <c r="AW3570" s="1821"/>
      <c r="AX3570" s="1821"/>
      <c r="AY3570" s="1821"/>
      <c r="AZ3570" s="1821"/>
      <c r="BA3570" s="1821"/>
      <c r="BB3570" s="1821"/>
      <c r="BC3570" s="1821"/>
      <c r="BD3570" s="1821"/>
      <c r="BE3570" s="1821"/>
      <c r="BF3570" s="1821"/>
      <c r="BG3570" s="1821"/>
      <c r="BH3570" s="1821"/>
      <c r="BI3570" s="1821"/>
      <c r="BJ3570" s="1821"/>
      <c r="BK3570" s="1821"/>
      <c r="BL3570" s="1821"/>
      <c r="BM3570" s="1821"/>
      <c r="BN3570" s="1821"/>
      <c r="BO3570" s="1821"/>
      <c r="BP3570" s="1821"/>
      <c r="BQ3570" s="1821"/>
      <c r="BR3570" s="1821"/>
      <c r="BS3570" s="1821"/>
      <c r="BT3570" s="1821"/>
      <c r="BU3570" s="1821"/>
      <c r="BV3570" s="1821"/>
      <c r="BW3570" s="1821"/>
      <c r="BX3570" s="1821"/>
      <c r="BY3570" s="1821"/>
      <c r="BZ3570" s="1821"/>
      <c r="CA3570" s="1821"/>
      <c r="CB3570" s="1821"/>
      <c r="CC3570" s="1821"/>
      <c r="CD3570" s="1821"/>
      <c r="CE3570" s="1821"/>
      <c r="CF3570" s="1821"/>
      <c r="CG3570" s="1821"/>
      <c r="CH3570" s="1821"/>
      <c r="CI3570" s="1821"/>
      <c r="CJ3570" s="1821"/>
      <c r="CK3570" s="1821"/>
    </row>
    <row r="3571" spans="1:89" s="675" customFormat="1" ht="16.5" customHeight="1" x14ac:dyDescent="0.25">
      <c r="A3571" s="697"/>
      <c r="B3571" s="1002" t="s">
        <v>1266</v>
      </c>
      <c r="C3571" s="1007"/>
      <c r="D3571" s="1005"/>
      <c r="E3571" s="1006"/>
      <c r="F3571" s="700"/>
      <c r="G3571" s="700"/>
      <c r="H3571" s="700"/>
      <c r="I3571" s="700"/>
      <c r="J3571" s="700"/>
      <c r="K3571" s="700"/>
      <c r="L3571" s="700"/>
      <c r="M3571" s="700"/>
      <c r="N3571" s="700"/>
      <c r="O3571" s="974"/>
      <c r="P3571" s="956"/>
      <c r="Q3571" s="1821"/>
      <c r="R3571" s="1821"/>
      <c r="S3571" s="1821"/>
      <c r="T3571" s="1821"/>
      <c r="U3571" s="1821"/>
      <c r="V3571" s="1821"/>
      <c r="W3571" s="1821"/>
      <c r="X3571" s="1821"/>
      <c r="Y3571" s="1821"/>
      <c r="Z3571" s="1821"/>
      <c r="AA3571" s="1821"/>
      <c r="AB3571" s="1821"/>
      <c r="AC3571" s="1821"/>
      <c r="AD3571" s="1821"/>
      <c r="AE3571" s="1821"/>
      <c r="AF3571" s="1821"/>
      <c r="AG3571" s="1821"/>
      <c r="AH3571" s="1821"/>
      <c r="AI3571" s="1821"/>
      <c r="AJ3571" s="1821"/>
      <c r="AK3571" s="1821"/>
      <c r="AL3571" s="1821"/>
      <c r="AM3571" s="1821"/>
      <c r="AN3571" s="1821"/>
      <c r="AO3571" s="1821"/>
      <c r="AP3571" s="1821"/>
      <c r="AQ3571" s="1821"/>
      <c r="AR3571" s="1821"/>
      <c r="AS3571" s="1821"/>
      <c r="AT3571" s="1821"/>
      <c r="AU3571" s="1821"/>
      <c r="AV3571" s="1821"/>
      <c r="AW3571" s="1821"/>
      <c r="AX3571" s="1821"/>
      <c r="AY3571" s="1821"/>
      <c r="AZ3571" s="1821"/>
      <c r="BA3571" s="1821"/>
      <c r="BB3571" s="1821"/>
      <c r="BC3571" s="1821"/>
      <c r="BD3571" s="1821"/>
      <c r="BE3571" s="1821"/>
      <c r="BF3571" s="1821"/>
      <c r="BG3571" s="1821"/>
      <c r="BH3571" s="1821"/>
      <c r="BI3571" s="1821"/>
      <c r="BJ3571" s="1821"/>
      <c r="BK3571" s="1821"/>
      <c r="BL3571" s="1821"/>
      <c r="BM3571" s="1821"/>
      <c r="BN3571" s="1821"/>
      <c r="BO3571" s="1821"/>
      <c r="BP3571" s="1821"/>
      <c r="BQ3571" s="1821"/>
      <c r="BR3571" s="1821"/>
      <c r="BS3571" s="1821"/>
      <c r="BT3571" s="1821"/>
      <c r="BU3571" s="1821"/>
      <c r="BV3571" s="1821"/>
      <c r="BW3571" s="1821"/>
      <c r="BX3571" s="1821"/>
      <c r="BY3571" s="1821"/>
      <c r="BZ3571" s="1821"/>
      <c r="CA3571" s="1821"/>
      <c r="CB3571" s="1821"/>
      <c r="CC3571" s="1821"/>
      <c r="CD3571" s="1821"/>
      <c r="CE3571" s="1821"/>
      <c r="CF3571" s="1821"/>
      <c r="CG3571" s="1821"/>
      <c r="CH3571" s="1821"/>
      <c r="CI3571" s="1821"/>
      <c r="CJ3571" s="1821"/>
      <c r="CK3571" s="1821"/>
    </row>
    <row r="3572" spans="1:89" s="675" customFormat="1" ht="16.5" customHeight="1" x14ac:dyDescent="0.25">
      <c r="A3572" s="697"/>
      <c r="B3572" s="1002" t="s">
        <v>365</v>
      </c>
      <c r="C3572" s="1007">
        <v>1</v>
      </c>
      <c r="D3572" s="1005" t="s">
        <v>294</v>
      </c>
      <c r="E3572" s="1006">
        <v>40000</v>
      </c>
      <c r="F3572" s="700"/>
      <c r="G3572" s="700"/>
      <c r="H3572" s="700"/>
      <c r="I3572" s="700">
        <f>C3572*E3572</f>
        <v>40000</v>
      </c>
      <c r="J3572" s="700"/>
      <c r="K3572" s="700">
        <f>J3572+I3572</f>
        <v>40000</v>
      </c>
      <c r="L3572" s="700"/>
      <c r="M3572" s="700"/>
      <c r="N3572" s="700"/>
      <c r="O3572" s="974">
        <f>C3572*E3572</f>
        <v>40000</v>
      </c>
      <c r="P3572" s="956"/>
      <c r="Q3572" s="1821"/>
      <c r="R3572" s="1821"/>
      <c r="S3572" s="1821"/>
      <c r="T3572" s="1821"/>
      <c r="U3572" s="1821"/>
      <c r="V3572" s="1821"/>
      <c r="W3572" s="1821"/>
      <c r="X3572" s="1821"/>
      <c r="Y3572" s="1821"/>
      <c r="Z3572" s="1821"/>
      <c r="AA3572" s="1821"/>
      <c r="AB3572" s="1821"/>
      <c r="AC3572" s="1821"/>
      <c r="AD3572" s="1821"/>
      <c r="AE3572" s="1821"/>
      <c r="AF3572" s="1821"/>
      <c r="AG3572" s="1821"/>
      <c r="AH3572" s="1821"/>
      <c r="AI3572" s="1821"/>
      <c r="AJ3572" s="1821"/>
      <c r="AK3572" s="1821"/>
      <c r="AL3572" s="1821"/>
      <c r="AM3572" s="1821"/>
      <c r="AN3572" s="1821"/>
      <c r="AO3572" s="1821"/>
      <c r="AP3572" s="1821"/>
      <c r="AQ3572" s="1821"/>
      <c r="AR3572" s="1821"/>
      <c r="AS3572" s="1821"/>
      <c r="AT3572" s="1821"/>
      <c r="AU3572" s="1821"/>
      <c r="AV3572" s="1821"/>
      <c r="AW3572" s="1821"/>
      <c r="AX3572" s="1821"/>
      <c r="AY3572" s="1821"/>
      <c r="AZ3572" s="1821"/>
      <c r="BA3572" s="1821"/>
      <c r="BB3572" s="1821"/>
      <c r="BC3572" s="1821"/>
      <c r="BD3572" s="1821"/>
      <c r="BE3572" s="1821"/>
      <c r="BF3572" s="1821"/>
      <c r="BG3572" s="1821"/>
      <c r="BH3572" s="1821"/>
      <c r="BI3572" s="1821"/>
      <c r="BJ3572" s="1821"/>
      <c r="BK3572" s="1821"/>
      <c r="BL3572" s="1821"/>
      <c r="BM3572" s="1821"/>
      <c r="BN3572" s="1821"/>
      <c r="BO3572" s="1821"/>
      <c r="BP3572" s="1821"/>
      <c r="BQ3572" s="1821"/>
      <c r="BR3572" s="1821"/>
      <c r="BS3572" s="1821"/>
      <c r="BT3572" s="1821"/>
      <c r="BU3572" s="1821"/>
      <c r="BV3572" s="1821"/>
      <c r="BW3572" s="1821"/>
      <c r="BX3572" s="1821"/>
      <c r="BY3572" s="1821"/>
      <c r="BZ3572" s="1821"/>
      <c r="CA3572" s="1821"/>
      <c r="CB3572" s="1821"/>
      <c r="CC3572" s="1821"/>
      <c r="CD3572" s="1821"/>
      <c r="CE3572" s="1821"/>
      <c r="CF3572" s="1821"/>
      <c r="CG3572" s="1821"/>
      <c r="CH3572" s="1821"/>
      <c r="CI3572" s="1821"/>
      <c r="CJ3572" s="1821"/>
      <c r="CK3572" s="1821"/>
    </row>
    <row r="3573" spans="1:89" s="675" customFormat="1" ht="16.5" customHeight="1" x14ac:dyDescent="0.25">
      <c r="A3573" s="697"/>
      <c r="B3573" s="1002" t="s">
        <v>369</v>
      </c>
      <c r="C3573" s="1007"/>
      <c r="D3573" s="1005"/>
      <c r="E3573" s="1006"/>
      <c r="F3573" s="700"/>
      <c r="G3573" s="700"/>
      <c r="H3573" s="700"/>
      <c r="I3573" s="700"/>
      <c r="J3573" s="700"/>
      <c r="K3573" s="700"/>
      <c r="L3573" s="700"/>
      <c r="M3573" s="700"/>
      <c r="N3573" s="700"/>
      <c r="O3573" s="974"/>
      <c r="P3573" s="956">
        <f>SUM(O3574:O3576)</f>
        <v>10500</v>
      </c>
      <c r="Q3573" s="1821"/>
      <c r="R3573" s="1821"/>
      <c r="S3573" s="1821"/>
      <c r="T3573" s="1821"/>
      <c r="U3573" s="1821"/>
      <c r="V3573" s="1821"/>
      <c r="W3573" s="1821"/>
      <c r="X3573" s="1821"/>
      <c r="Y3573" s="1821"/>
      <c r="Z3573" s="1821"/>
      <c r="AA3573" s="1821"/>
      <c r="AB3573" s="1821"/>
      <c r="AC3573" s="1821"/>
      <c r="AD3573" s="1821"/>
      <c r="AE3573" s="1821"/>
      <c r="AF3573" s="1821"/>
      <c r="AG3573" s="1821"/>
      <c r="AH3573" s="1821"/>
      <c r="AI3573" s="1821"/>
      <c r="AJ3573" s="1821"/>
      <c r="AK3573" s="1821"/>
      <c r="AL3573" s="1821"/>
      <c r="AM3573" s="1821"/>
      <c r="AN3573" s="1821"/>
      <c r="AO3573" s="1821"/>
      <c r="AP3573" s="1821"/>
      <c r="AQ3573" s="1821"/>
      <c r="AR3573" s="1821"/>
      <c r="AS3573" s="1821"/>
      <c r="AT3573" s="1821"/>
      <c r="AU3573" s="1821"/>
      <c r="AV3573" s="1821"/>
      <c r="AW3573" s="1821"/>
      <c r="AX3573" s="1821"/>
      <c r="AY3573" s="1821"/>
      <c r="AZ3573" s="1821"/>
      <c r="BA3573" s="1821"/>
      <c r="BB3573" s="1821"/>
      <c r="BC3573" s="1821"/>
      <c r="BD3573" s="1821"/>
      <c r="BE3573" s="1821"/>
      <c r="BF3573" s="1821"/>
      <c r="BG3573" s="1821"/>
      <c r="BH3573" s="1821"/>
      <c r="BI3573" s="1821"/>
      <c r="BJ3573" s="1821"/>
      <c r="BK3573" s="1821"/>
      <c r="BL3573" s="1821"/>
      <c r="BM3573" s="1821"/>
      <c r="BN3573" s="1821"/>
      <c r="BO3573" s="1821"/>
      <c r="BP3573" s="1821"/>
      <c r="BQ3573" s="1821"/>
      <c r="BR3573" s="1821"/>
      <c r="BS3573" s="1821"/>
      <c r="BT3573" s="1821"/>
      <c r="BU3573" s="1821"/>
      <c r="BV3573" s="1821"/>
      <c r="BW3573" s="1821"/>
      <c r="BX3573" s="1821"/>
      <c r="BY3573" s="1821"/>
      <c r="BZ3573" s="1821"/>
      <c r="CA3573" s="1821"/>
      <c r="CB3573" s="1821"/>
      <c r="CC3573" s="1821"/>
      <c r="CD3573" s="1821"/>
      <c r="CE3573" s="1821"/>
      <c r="CF3573" s="1821"/>
      <c r="CG3573" s="1821"/>
      <c r="CH3573" s="1821"/>
      <c r="CI3573" s="1821"/>
      <c r="CJ3573" s="1821"/>
      <c r="CK3573" s="1821"/>
    </row>
    <row r="3574" spans="1:89" s="675" customFormat="1" ht="16.5" customHeight="1" x14ac:dyDescent="0.25">
      <c r="A3574" s="697"/>
      <c r="B3574" s="1002" t="s">
        <v>1267</v>
      </c>
      <c r="C3574" s="1007">
        <v>6</v>
      </c>
      <c r="D3574" s="1005" t="s">
        <v>20</v>
      </c>
      <c r="E3574" s="1006">
        <v>650</v>
      </c>
      <c r="F3574" s="700"/>
      <c r="G3574" s="700"/>
      <c r="H3574" s="700"/>
      <c r="I3574" s="700"/>
      <c r="J3574" s="700">
        <f>C3574*E3574</f>
        <v>3900</v>
      </c>
      <c r="K3574" s="700">
        <f>J3574+I3574</f>
        <v>3900</v>
      </c>
      <c r="L3574" s="700"/>
      <c r="M3574" s="700"/>
      <c r="N3574" s="700"/>
      <c r="O3574" s="974">
        <f>C3574*E3574</f>
        <v>3900</v>
      </c>
      <c r="P3574" s="956"/>
      <c r="Q3574" s="1821"/>
      <c r="R3574" s="1821"/>
      <c r="S3574" s="1821"/>
      <c r="T3574" s="1821"/>
      <c r="U3574" s="1821"/>
      <c r="V3574" s="1821"/>
      <c r="W3574" s="1821"/>
      <c r="X3574" s="1821"/>
      <c r="Y3574" s="1821"/>
      <c r="Z3574" s="1821"/>
      <c r="AA3574" s="1821"/>
      <c r="AB3574" s="1821"/>
      <c r="AC3574" s="1821"/>
      <c r="AD3574" s="1821"/>
      <c r="AE3574" s="1821"/>
      <c r="AF3574" s="1821"/>
      <c r="AG3574" s="1821"/>
      <c r="AH3574" s="1821"/>
      <c r="AI3574" s="1821"/>
      <c r="AJ3574" s="1821"/>
      <c r="AK3574" s="1821"/>
      <c r="AL3574" s="1821"/>
      <c r="AM3574" s="1821"/>
      <c r="AN3574" s="1821"/>
      <c r="AO3574" s="1821"/>
      <c r="AP3574" s="1821"/>
      <c r="AQ3574" s="1821"/>
      <c r="AR3574" s="1821"/>
      <c r="AS3574" s="1821"/>
      <c r="AT3574" s="1821"/>
      <c r="AU3574" s="1821"/>
      <c r="AV3574" s="1821"/>
      <c r="AW3574" s="1821"/>
      <c r="AX3574" s="1821"/>
      <c r="AY3574" s="1821"/>
      <c r="AZ3574" s="1821"/>
      <c r="BA3574" s="1821"/>
      <c r="BB3574" s="1821"/>
      <c r="BC3574" s="1821"/>
      <c r="BD3574" s="1821"/>
      <c r="BE3574" s="1821"/>
      <c r="BF3574" s="1821"/>
      <c r="BG3574" s="1821"/>
      <c r="BH3574" s="1821"/>
      <c r="BI3574" s="1821"/>
      <c r="BJ3574" s="1821"/>
      <c r="BK3574" s="1821"/>
      <c r="BL3574" s="1821"/>
      <c r="BM3574" s="1821"/>
      <c r="BN3574" s="1821"/>
      <c r="BO3574" s="1821"/>
      <c r="BP3574" s="1821"/>
      <c r="BQ3574" s="1821"/>
      <c r="BR3574" s="1821"/>
      <c r="BS3574" s="1821"/>
      <c r="BT3574" s="1821"/>
      <c r="BU3574" s="1821"/>
      <c r="BV3574" s="1821"/>
      <c r="BW3574" s="1821"/>
      <c r="BX3574" s="1821"/>
      <c r="BY3574" s="1821"/>
      <c r="BZ3574" s="1821"/>
      <c r="CA3574" s="1821"/>
      <c r="CB3574" s="1821"/>
      <c r="CC3574" s="1821"/>
      <c r="CD3574" s="1821"/>
      <c r="CE3574" s="1821"/>
      <c r="CF3574" s="1821"/>
      <c r="CG3574" s="1821"/>
      <c r="CH3574" s="1821"/>
      <c r="CI3574" s="1821"/>
      <c r="CJ3574" s="1821"/>
      <c r="CK3574" s="1821"/>
    </row>
    <row r="3575" spans="1:89" s="675" customFormat="1" ht="16.5" customHeight="1" x14ac:dyDescent="0.25">
      <c r="A3575" s="697"/>
      <c r="B3575" s="1002" t="s">
        <v>1268</v>
      </c>
      <c r="C3575" s="1007">
        <v>6</v>
      </c>
      <c r="D3575" s="1005" t="s">
        <v>20</v>
      </c>
      <c r="E3575" s="1006">
        <v>600</v>
      </c>
      <c r="F3575" s="700"/>
      <c r="G3575" s="700"/>
      <c r="H3575" s="700"/>
      <c r="I3575" s="700"/>
      <c r="J3575" s="700">
        <f>C3575*E3575</f>
        <v>3600</v>
      </c>
      <c r="K3575" s="700">
        <f>J3575+I3575</f>
        <v>3600</v>
      </c>
      <c r="L3575" s="700"/>
      <c r="M3575" s="700"/>
      <c r="N3575" s="700"/>
      <c r="O3575" s="974">
        <f>C3575*E3575</f>
        <v>3600</v>
      </c>
      <c r="P3575" s="956"/>
      <c r="Q3575" s="1821"/>
      <c r="R3575" s="1821"/>
      <c r="S3575" s="1821"/>
      <c r="T3575" s="1821"/>
      <c r="U3575" s="1821"/>
      <c r="V3575" s="1821"/>
      <c r="W3575" s="1821"/>
      <c r="X3575" s="1821"/>
      <c r="Y3575" s="1821"/>
      <c r="Z3575" s="1821"/>
      <c r="AA3575" s="1821"/>
      <c r="AB3575" s="1821"/>
      <c r="AC3575" s="1821"/>
      <c r="AD3575" s="1821"/>
      <c r="AE3575" s="1821"/>
      <c r="AF3575" s="1821"/>
      <c r="AG3575" s="1821"/>
      <c r="AH3575" s="1821"/>
      <c r="AI3575" s="1821"/>
      <c r="AJ3575" s="1821"/>
      <c r="AK3575" s="1821"/>
      <c r="AL3575" s="1821"/>
      <c r="AM3575" s="1821"/>
      <c r="AN3575" s="1821"/>
      <c r="AO3575" s="1821"/>
      <c r="AP3575" s="1821"/>
      <c r="AQ3575" s="1821"/>
      <c r="AR3575" s="1821"/>
      <c r="AS3575" s="1821"/>
      <c r="AT3575" s="1821"/>
      <c r="AU3575" s="1821"/>
      <c r="AV3575" s="1821"/>
      <c r="AW3575" s="1821"/>
      <c r="AX3575" s="1821"/>
      <c r="AY3575" s="1821"/>
      <c r="AZ3575" s="1821"/>
      <c r="BA3575" s="1821"/>
      <c r="BB3575" s="1821"/>
      <c r="BC3575" s="1821"/>
      <c r="BD3575" s="1821"/>
      <c r="BE3575" s="1821"/>
      <c r="BF3575" s="1821"/>
      <c r="BG3575" s="1821"/>
      <c r="BH3575" s="1821"/>
      <c r="BI3575" s="1821"/>
      <c r="BJ3575" s="1821"/>
      <c r="BK3575" s="1821"/>
      <c r="BL3575" s="1821"/>
      <c r="BM3575" s="1821"/>
      <c r="BN3575" s="1821"/>
      <c r="BO3575" s="1821"/>
      <c r="BP3575" s="1821"/>
      <c r="BQ3575" s="1821"/>
      <c r="BR3575" s="1821"/>
      <c r="BS3575" s="1821"/>
      <c r="BT3575" s="1821"/>
      <c r="BU3575" s="1821"/>
      <c r="BV3575" s="1821"/>
      <c r="BW3575" s="1821"/>
      <c r="BX3575" s="1821"/>
      <c r="BY3575" s="1821"/>
      <c r="BZ3575" s="1821"/>
      <c r="CA3575" s="1821"/>
      <c r="CB3575" s="1821"/>
      <c r="CC3575" s="1821"/>
      <c r="CD3575" s="1821"/>
      <c r="CE3575" s="1821"/>
      <c r="CF3575" s="1821"/>
      <c r="CG3575" s="1821"/>
      <c r="CH3575" s="1821"/>
      <c r="CI3575" s="1821"/>
      <c r="CJ3575" s="1821"/>
      <c r="CK3575" s="1821"/>
    </row>
    <row r="3576" spans="1:89" s="675" customFormat="1" ht="16.5" customHeight="1" x14ac:dyDescent="0.25">
      <c r="A3576" s="697"/>
      <c r="B3576" s="1002" t="s">
        <v>1269</v>
      </c>
      <c r="C3576" s="1007">
        <v>6</v>
      </c>
      <c r="D3576" s="1005" t="s">
        <v>20</v>
      </c>
      <c r="E3576" s="1006">
        <v>500</v>
      </c>
      <c r="F3576" s="700"/>
      <c r="G3576" s="700"/>
      <c r="H3576" s="700"/>
      <c r="I3576" s="700"/>
      <c r="J3576" s="700">
        <f>C3576*E3576</f>
        <v>3000</v>
      </c>
      <c r="K3576" s="700">
        <f>J3576+I3576</f>
        <v>3000</v>
      </c>
      <c r="L3576" s="700"/>
      <c r="M3576" s="700"/>
      <c r="N3576" s="700"/>
      <c r="O3576" s="974">
        <f>C3576*E3576</f>
        <v>3000</v>
      </c>
      <c r="P3576" s="956"/>
      <c r="Q3576" s="1821"/>
      <c r="R3576" s="1821"/>
      <c r="S3576" s="1821"/>
      <c r="T3576" s="1821"/>
      <c r="U3576" s="1821"/>
      <c r="V3576" s="1821"/>
      <c r="W3576" s="1821"/>
      <c r="X3576" s="1821"/>
      <c r="Y3576" s="1821"/>
      <c r="Z3576" s="1821"/>
      <c r="AA3576" s="1821"/>
      <c r="AB3576" s="1821"/>
      <c r="AC3576" s="1821"/>
      <c r="AD3576" s="1821"/>
      <c r="AE3576" s="1821"/>
      <c r="AF3576" s="1821"/>
      <c r="AG3576" s="1821"/>
      <c r="AH3576" s="1821"/>
      <c r="AI3576" s="1821"/>
      <c r="AJ3576" s="1821"/>
      <c r="AK3576" s="1821"/>
      <c r="AL3576" s="1821"/>
      <c r="AM3576" s="1821"/>
      <c r="AN3576" s="1821"/>
      <c r="AO3576" s="1821"/>
      <c r="AP3576" s="1821"/>
      <c r="AQ3576" s="1821"/>
      <c r="AR3576" s="1821"/>
      <c r="AS3576" s="1821"/>
      <c r="AT3576" s="1821"/>
      <c r="AU3576" s="1821"/>
      <c r="AV3576" s="1821"/>
      <c r="AW3576" s="1821"/>
      <c r="AX3576" s="1821"/>
      <c r="AY3576" s="1821"/>
      <c r="AZ3576" s="1821"/>
      <c r="BA3576" s="1821"/>
      <c r="BB3576" s="1821"/>
      <c r="BC3576" s="1821"/>
      <c r="BD3576" s="1821"/>
      <c r="BE3576" s="1821"/>
      <c r="BF3576" s="1821"/>
      <c r="BG3576" s="1821"/>
      <c r="BH3576" s="1821"/>
      <c r="BI3576" s="1821"/>
      <c r="BJ3576" s="1821"/>
      <c r="BK3576" s="1821"/>
      <c r="BL3576" s="1821"/>
      <c r="BM3576" s="1821"/>
      <c r="BN3576" s="1821"/>
      <c r="BO3576" s="1821"/>
      <c r="BP3576" s="1821"/>
      <c r="BQ3576" s="1821"/>
      <c r="BR3576" s="1821"/>
      <c r="BS3576" s="1821"/>
      <c r="BT3576" s="1821"/>
      <c r="BU3576" s="1821"/>
      <c r="BV3576" s="1821"/>
      <c r="BW3576" s="1821"/>
      <c r="BX3576" s="1821"/>
      <c r="BY3576" s="1821"/>
      <c r="BZ3576" s="1821"/>
      <c r="CA3576" s="1821"/>
      <c r="CB3576" s="1821"/>
      <c r="CC3576" s="1821"/>
      <c r="CD3576" s="1821"/>
      <c r="CE3576" s="1821"/>
      <c r="CF3576" s="1821"/>
      <c r="CG3576" s="1821"/>
      <c r="CH3576" s="1821"/>
      <c r="CI3576" s="1821"/>
      <c r="CJ3576" s="1821"/>
      <c r="CK3576" s="1821"/>
    </row>
    <row r="3577" spans="1:89" s="675" customFormat="1" ht="16.5" customHeight="1" x14ac:dyDescent="0.25">
      <c r="A3577" s="697"/>
      <c r="B3577" s="1002"/>
      <c r="C3577" s="1007"/>
      <c r="D3577" s="1005"/>
      <c r="E3577" s="1006"/>
      <c r="F3577" s="700"/>
      <c r="G3577" s="700"/>
      <c r="H3577" s="700"/>
      <c r="I3577" s="700"/>
      <c r="J3577" s="700"/>
      <c r="K3577" s="700"/>
      <c r="L3577" s="700"/>
      <c r="M3577" s="700"/>
      <c r="N3577" s="700"/>
      <c r="O3577" s="974"/>
      <c r="P3577" s="956"/>
      <c r="Q3577" s="1821"/>
      <c r="R3577" s="1821"/>
      <c r="S3577" s="1821"/>
      <c r="T3577" s="1821"/>
      <c r="U3577" s="1821"/>
      <c r="V3577" s="1821"/>
      <c r="W3577" s="1821"/>
      <c r="X3577" s="1821"/>
      <c r="Y3577" s="1821"/>
      <c r="Z3577" s="1821"/>
      <c r="AA3577" s="1821"/>
      <c r="AB3577" s="1821"/>
      <c r="AC3577" s="1821"/>
      <c r="AD3577" s="1821"/>
      <c r="AE3577" s="1821"/>
      <c r="AF3577" s="1821"/>
      <c r="AG3577" s="1821"/>
      <c r="AH3577" s="1821"/>
      <c r="AI3577" s="1821"/>
      <c r="AJ3577" s="1821"/>
      <c r="AK3577" s="1821"/>
      <c r="AL3577" s="1821"/>
      <c r="AM3577" s="1821"/>
      <c r="AN3577" s="1821"/>
      <c r="AO3577" s="1821"/>
      <c r="AP3577" s="1821"/>
      <c r="AQ3577" s="1821"/>
      <c r="AR3577" s="1821"/>
      <c r="AS3577" s="1821"/>
      <c r="AT3577" s="1821"/>
      <c r="AU3577" s="1821"/>
      <c r="AV3577" s="1821"/>
      <c r="AW3577" s="1821"/>
      <c r="AX3577" s="1821"/>
      <c r="AY3577" s="1821"/>
      <c r="AZ3577" s="1821"/>
      <c r="BA3577" s="1821"/>
      <c r="BB3577" s="1821"/>
      <c r="BC3577" s="1821"/>
      <c r="BD3577" s="1821"/>
      <c r="BE3577" s="1821"/>
      <c r="BF3577" s="1821"/>
      <c r="BG3577" s="1821"/>
      <c r="BH3577" s="1821"/>
      <c r="BI3577" s="1821"/>
      <c r="BJ3577" s="1821"/>
      <c r="BK3577" s="1821"/>
      <c r="BL3577" s="1821"/>
      <c r="BM3577" s="1821"/>
      <c r="BN3577" s="1821"/>
      <c r="BO3577" s="1821"/>
      <c r="BP3577" s="1821"/>
      <c r="BQ3577" s="1821"/>
      <c r="BR3577" s="1821"/>
      <c r="BS3577" s="1821"/>
      <c r="BT3577" s="1821"/>
      <c r="BU3577" s="1821"/>
      <c r="BV3577" s="1821"/>
      <c r="BW3577" s="1821"/>
      <c r="BX3577" s="1821"/>
      <c r="BY3577" s="1821"/>
      <c r="BZ3577" s="1821"/>
      <c r="CA3577" s="1821"/>
      <c r="CB3577" s="1821"/>
      <c r="CC3577" s="1821"/>
      <c r="CD3577" s="1821"/>
      <c r="CE3577" s="1821"/>
      <c r="CF3577" s="1821"/>
      <c r="CG3577" s="1821"/>
      <c r="CH3577" s="1821"/>
      <c r="CI3577" s="1821"/>
      <c r="CJ3577" s="1821"/>
      <c r="CK3577" s="1821"/>
    </row>
    <row r="3578" spans="1:89" s="675" customFormat="1" ht="16.5" customHeight="1" x14ac:dyDescent="0.25">
      <c r="A3578" s="697"/>
      <c r="B3578" s="1002"/>
      <c r="C3578" s="1007"/>
      <c r="D3578" s="1005"/>
      <c r="E3578" s="1006"/>
      <c r="F3578" s="700"/>
      <c r="G3578" s="700"/>
      <c r="H3578" s="700"/>
      <c r="I3578" s="700"/>
      <c r="J3578" s="700"/>
      <c r="K3578" s="700"/>
      <c r="L3578" s="700"/>
      <c r="M3578" s="700"/>
      <c r="N3578" s="700"/>
      <c r="O3578" s="974"/>
      <c r="P3578" s="956"/>
      <c r="Q3578" s="1821"/>
      <c r="R3578" s="1821"/>
      <c r="S3578" s="1821"/>
      <c r="T3578" s="1821"/>
      <c r="U3578" s="1821"/>
      <c r="V3578" s="1821"/>
      <c r="W3578" s="1821"/>
      <c r="X3578" s="1821"/>
      <c r="Y3578" s="1821"/>
      <c r="Z3578" s="1821"/>
      <c r="AA3578" s="1821"/>
      <c r="AB3578" s="1821"/>
      <c r="AC3578" s="1821"/>
      <c r="AD3578" s="1821"/>
      <c r="AE3578" s="1821"/>
      <c r="AF3578" s="1821"/>
      <c r="AG3578" s="1821"/>
      <c r="AH3578" s="1821"/>
      <c r="AI3578" s="1821"/>
      <c r="AJ3578" s="1821"/>
      <c r="AK3578" s="1821"/>
      <c r="AL3578" s="1821"/>
      <c r="AM3578" s="1821"/>
      <c r="AN3578" s="1821"/>
      <c r="AO3578" s="1821"/>
      <c r="AP3578" s="1821"/>
      <c r="AQ3578" s="1821"/>
      <c r="AR3578" s="1821"/>
      <c r="AS3578" s="1821"/>
      <c r="AT3578" s="1821"/>
      <c r="AU3578" s="1821"/>
      <c r="AV3578" s="1821"/>
      <c r="AW3578" s="1821"/>
      <c r="AX3578" s="1821"/>
      <c r="AY3578" s="1821"/>
      <c r="AZ3578" s="1821"/>
      <c r="BA3578" s="1821"/>
      <c r="BB3578" s="1821"/>
      <c r="BC3578" s="1821"/>
      <c r="BD3578" s="1821"/>
      <c r="BE3578" s="1821"/>
      <c r="BF3578" s="1821"/>
      <c r="BG3578" s="1821"/>
      <c r="BH3578" s="1821"/>
      <c r="BI3578" s="1821"/>
      <c r="BJ3578" s="1821"/>
      <c r="BK3578" s="1821"/>
      <c r="BL3578" s="1821"/>
      <c r="BM3578" s="1821"/>
      <c r="BN3578" s="1821"/>
      <c r="BO3578" s="1821"/>
      <c r="BP3578" s="1821"/>
      <c r="BQ3578" s="1821"/>
      <c r="BR3578" s="1821"/>
      <c r="BS3578" s="1821"/>
      <c r="BT3578" s="1821"/>
      <c r="BU3578" s="1821"/>
      <c r="BV3578" s="1821"/>
      <c r="BW3578" s="1821"/>
      <c r="BX3578" s="1821"/>
      <c r="BY3578" s="1821"/>
      <c r="BZ3578" s="1821"/>
      <c r="CA3578" s="1821"/>
      <c r="CB3578" s="1821"/>
      <c r="CC3578" s="1821"/>
      <c r="CD3578" s="1821"/>
      <c r="CE3578" s="1821"/>
      <c r="CF3578" s="1821"/>
      <c r="CG3578" s="1821"/>
      <c r="CH3578" s="1821"/>
      <c r="CI3578" s="1821"/>
      <c r="CJ3578" s="1821"/>
      <c r="CK3578" s="1821"/>
    </row>
    <row r="3579" spans="1:89" s="675" customFormat="1" ht="16.5" customHeight="1" x14ac:dyDescent="0.25">
      <c r="A3579" s="697"/>
      <c r="B3579" s="1002" t="s">
        <v>370</v>
      </c>
      <c r="C3579" s="1007"/>
      <c r="D3579" s="1005"/>
      <c r="E3579" s="1006"/>
      <c r="F3579" s="700"/>
      <c r="G3579" s="700"/>
      <c r="H3579" s="700"/>
      <c r="I3579" s="700"/>
      <c r="J3579" s="700"/>
      <c r="K3579" s="700"/>
      <c r="L3579" s="700"/>
      <c r="M3579" s="700"/>
      <c r="N3579" s="700"/>
      <c r="O3579" s="974"/>
      <c r="P3579" s="956">
        <f>SUM(O3580:O3582)</f>
        <v>109404</v>
      </c>
      <c r="Q3579" s="1821"/>
      <c r="R3579" s="1821"/>
      <c r="S3579" s="1821"/>
      <c r="T3579" s="1821"/>
      <c r="U3579" s="1821"/>
      <c r="V3579" s="1821"/>
      <c r="W3579" s="1821"/>
      <c r="X3579" s="1821"/>
      <c r="Y3579" s="1821"/>
      <c r="Z3579" s="1821"/>
      <c r="AA3579" s="1821"/>
      <c r="AB3579" s="1821"/>
      <c r="AC3579" s="1821"/>
      <c r="AD3579" s="1821"/>
      <c r="AE3579" s="1821"/>
      <c r="AF3579" s="1821"/>
      <c r="AG3579" s="1821"/>
      <c r="AH3579" s="1821"/>
      <c r="AI3579" s="1821"/>
      <c r="AJ3579" s="1821"/>
      <c r="AK3579" s="1821"/>
      <c r="AL3579" s="1821"/>
      <c r="AM3579" s="1821"/>
      <c r="AN3579" s="1821"/>
      <c r="AO3579" s="1821"/>
      <c r="AP3579" s="1821"/>
      <c r="AQ3579" s="1821"/>
      <c r="AR3579" s="1821"/>
      <c r="AS3579" s="1821"/>
      <c r="AT3579" s="1821"/>
      <c r="AU3579" s="1821"/>
      <c r="AV3579" s="1821"/>
      <c r="AW3579" s="1821"/>
      <c r="AX3579" s="1821"/>
      <c r="AY3579" s="1821"/>
      <c r="AZ3579" s="1821"/>
      <c r="BA3579" s="1821"/>
      <c r="BB3579" s="1821"/>
      <c r="BC3579" s="1821"/>
      <c r="BD3579" s="1821"/>
      <c r="BE3579" s="1821"/>
      <c r="BF3579" s="1821"/>
      <c r="BG3579" s="1821"/>
      <c r="BH3579" s="1821"/>
      <c r="BI3579" s="1821"/>
      <c r="BJ3579" s="1821"/>
      <c r="BK3579" s="1821"/>
      <c r="BL3579" s="1821"/>
      <c r="BM3579" s="1821"/>
      <c r="BN3579" s="1821"/>
      <c r="BO3579" s="1821"/>
      <c r="BP3579" s="1821"/>
      <c r="BQ3579" s="1821"/>
      <c r="BR3579" s="1821"/>
      <c r="BS3579" s="1821"/>
      <c r="BT3579" s="1821"/>
      <c r="BU3579" s="1821"/>
      <c r="BV3579" s="1821"/>
      <c r="BW3579" s="1821"/>
      <c r="BX3579" s="1821"/>
      <c r="BY3579" s="1821"/>
      <c r="BZ3579" s="1821"/>
      <c r="CA3579" s="1821"/>
      <c r="CB3579" s="1821"/>
      <c r="CC3579" s="1821"/>
      <c r="CD3579" s="1821"/>
      <c r="CE3579" s="1821"/>
      <c r="CF3579" s="1821"/>
      <c r="CG3579" s="1821"/>
      <c r="CH3579" s="1821"/>
      <c r="CI3579" s="1821"/>
      <c r="CJ3579" s="1821"/>
      <c r="CK3579" s="1821"/>
    </row>
    <row r="3580" spans="1:89" s="675" customFormat="1" ht="16.5" customHeight="1" x14ac:dyDescent="0.25">
      <c r="A3580" s="697"/>
      <c r="B3580" s="1002" t="s">
        <v>350</v>
      </c>
      <c r="C3580" s="1007">
        <v>18</v>
      </c>
      <c r="D3580" s="1005" t="s">
        <v>51</v>
      </c>
      <c r="E3580" s="1006">
        <v>3808</v>
      </c>
      <c r="F3580" s="700"/>
      <c r="G3580" s="700"/>
      <c r="H3580" s="700"/>
      <c r="I3580" s="700"/>
      <c r="J3580" s="700">
        <f>C3580*E3580</f>
        <v>68544</v>
      </c>
      <c r="K3580" s="700">
        <f t="shared" ref="K3580:K3586" si="387">J3580+I3580</f>
        <v>68544</v>
      </c>
      <c r="L3580" s="700"/>
      <c r="M3580" s="700"/>
      <c r="N3580" s="700"/>
      <c r="O3580" s="974">
        <f>C3580*E3580</f>
        <v>68544</v>
      </c>
      <c r="P3580" s="956"/>
      <c r="Q3580" s="1821"/>
      <c r="R3580" s="1821"/>
      <c r="S3580" s="1821"/>
      <c r="T3580" s="1821"/>
      <c r="U3580" s="1821"/>
      <c r="V3580" s="1821"/>
      <c r="W3580" s="1821"/>
      <c r="X3580" s="1821"/>
      <c r="Y3580" s="1821"/>
      <c r="Z3580" s="1821"/>
      <c r="AA3580" s="1821"/>
      <c r="AB3580" s="1821"/>
      <c r="AC3580" s="1821"/>
      <c r="AD3580" s="1821"/>
      <c r="AE3580" s="1821"/>
      <c r="AF3580" s="1821"/>
      <c r="AG3580" s="1821"/>
      <c r="AH3580" s="1821"/>
      <c r="AI3580" s="1821"/>
      <c r="AJ3580" s="1821"/>
      <c r="AK3580" s="1821"/>
      <c r="AL3580" s="1821"/>
      <c r="AM3580" s="1821"/>
      <c r="AN3580" s="1821"/>
      <c r="AO3580" s="1821"/>
      <c r="AP3580" s="1821"/>
      <c r="AQ3580" s="1821"/>
      <c r="AR3580" s="1821"/>
      <c r="AS3580" s="1821"/>
      <c r="AT3580" s="1821"/>
      <c r="AU3580" s="1821"/>
      <c r="AV3580" s="1821"/>
      <c r="AW3580" s="1821"/>
      <c r="AX3580" s="1821"/>
      <c r="AY3580" s="1821"/>
      <c r="AZ3580" s="1821"/>
      <c r="BA3580" s="1821"/>
      <c r="BB3580" s="1821"/>
      <c r="BC3580" s="1821"/>
      <c r="BD3580" s="1821"/>
      <c r="BE3580" s="1821"/>
      <c r="BF3580" s="1821"/>
      <c r="BG3580" s="1821"/>
      <c r="BH3580" s="1821"/>
      <c r="BI3580" s="1821"/>
      <c r="BJ3580" s="1821"/>
      <c r="BK3580" s="1821"/>
      <c r="BL3580" s="1821"/>
      <c r="BM3580" s="1821"/>
      <c r="BN3580" s="1821"/>
      <c r="BO3580" s="1821"/>
      <c r="BP3580" s="1821"/>
      <c r="BQ3580" s="1821"/>
      <c r="BR3580" s="1821"/>
      <c r="BS3580" s="1821"/>
      <c r="BT3580" s="1821"/>
      <c r="BU3580" s="1821"/>
      <c r="BV3580" s="1821"/>
      <c r="BW3580" s="1821"/>
      <c r="BX3580" s="1821"/>
      <c r="BY3580" s="1821"/>
      <c r="BZ3580" s="1821"/>
      <c r="CA3580" s="1821"/>
      <c r="CB3580" s="1821"/>
      <c r="CC3580" s="1821"/>
      <c r="CD3580" s="1821"/>
      <c r="CE3580" s="1821"/>
      <c r="CF3580" s="1821"/>
      <c r="CG3580" s="1821"/>
      <c r="CH3580" s="1821"/>
      <c r="CI3580" s="1821"/>
      <c r="CJ3580" s="1821"/>
      <c r="CK3580" s="1821"/>
    </row>
    <row r="3581" spans="1:89" s="675" customFormat="1" ht="16.5" customHeight="1" x14ac:dyDescent="0.25">
      <c r="A3581" s="697"/>
      <c r="B3581" s="1002" t="s">
        <v>54</v>
      </c>
      <c r="C3581" s="1007">
        <f>3*6*3</f>
        <v>54</v>
      </c>
      <c r="D3581" s="1005" t="s">
        <v>55</v>
      </c>
      <c r="E3581" s="1006">
        <v>450</v>
      </c>
      <c r="F3581" s="700"/>
      <c r="G3581" s="700"/>
      <c r="H3581" s="700"/>
      <c r="I3581" s="700"/>
      <c r="J3581" s="700">
        <f>C3581*E3581</f>
        <v>24300</v>
      </c>
      <c r="K3581" s="700">
        <f t="shared" si="387"/>
        <v>24300</v>
      </c>
      <c r="L3581" s="700"/>
      <c r="M3581" s="700"/>
      <c r="N3581" s="700"/>
      <c r="O3581" s="974">
        <f>C3581*E3581</f>
        <v>24300</v>
      </c>
      <c r="P3581" s="956"/>
      <c r="Q3581" s="1821"/>
      <c r="R3581" s="1821"/>
      <c r="S3581" s="1821"/>
      <c r="T3581" s="1821"/>
      <c r="U3581" s="1821"/>
      <c r="V3581" s="1821"/>
      <c r="W3581" s="1821"/>
      <c r="X3581" s="1821"/>
      <c r="Y3581" s="1821"/>
      <c r="Z3581" s="1821"/>
      <c r="AA3581" s="1821"/>
      <c r="AB3581" s="1821"/>
      <c r="AC3581" s="1821"/>
      <c r="AD3581" s="1821"/>
      <c r="AE3581" s="1821"/>
      <c r="AF3581" s="1821"/>
      <c r="AG3581" s="1821"/>
      <c r="AH3581" s="1821"/>
      <c r="AI3581" s="1821"/>
      <c r="AJ3581" s="1821"/>
      <c r="AK3581" s="1821"/>
      <c r="AL3581" s="1821"/>
      <c r="AM3581" s="1821"/>
      <c r="AN3581" s="1821"/>
      <c r="AO3581" s="1821"/>
      <c r="AP3581" s="1821"/>
      <c r="AQ3581" s="1821"/>
      <c r="AR3581" s="1821"/>
      <c r="AS3581" s="1821"/>
      <c r="AT3581" s="1821"/>
      <c r="AU3581" s="1821"/>
      <c r="AV3581" s="1821"/>
      <c r="AW3581" s="1821"/>
      <c r="AX3581" s="1821"/>
      <c r="AY3581" s="1821"/>
      <c r="AZ3581" s="1821"/>
      <c r="BA3581" s="1821"/>
      <c r="BB3581" s="1821"/>
      <c r="BC3581" s="1821"/>
      <c r="BD3581" s="1821"/>
      <c r="BE3581" s="1821"/>
      <c r="BF3581" s="1821"/>
      <c r="BG3581" s="1821"/>
      <c r="BH3581" s="1821"/>
      <c r="BI3581" s="1821"/>
      <c r="BJ3581" s="1821"/>
      <c r="BK3581" s="1821"/>
      <c r="BL3581" s="1821"/>
      <c r="BM3581" s="1821"/>
      <c r="BN3581" s="1821"/>
      <c r="BO3581" s="1821"/>
      <c r="BP3581" s="1821"/>
      <c r="BQ3581" s="1821"/>
      <c r="BR3581" s="1821"/>
      <c r="BS3581" s="1821"/>
      <c r="BT3581" s="1821"/>
      <c r="BU3581" s="1821"/>
      <c r="BV3581" s="1821"/>
      <c r="BW3581" s="1821"/>
      <c r="BX3581" s="1821"/>
      <c r="BY3581" s="1821"/>
      <c r="BZ3581" s="1821"/>
      <c r="CA3581" s="1821"/>
      <c r="CB3581" s="1821"/>
      <c r="CC3581" s="1821"/>
      <c r="CD3581" s="1821"/>
      <c r="CE3581" s="1821"/>
      <c r="CF3581" s="1821"/>
      <c r="CG3581" s="1821"/>
      <c r="CH3581" s="1821"/>
      <c r="CI3581" s="1821"/>
      <c r="CJ3581" s="1821"/>
      <c r="CK3581" s="1821"/>
    </row>
    <row r="3582" spans="1:89" s="675" customFormat="1" ht="16.5" customHeight="1" x14ac:dyDescent="0.25">
      <c r="A3582" s="697"/>
      <c r="B3582" s="1002" t="s">
        <v>52</v>
      </c>
      <c r="C3582" s="1007">
        <f>3*6*2</f>
        <v>36</v>
      </c>
      <c r="D3582" s="1005" t="s">
        <v>55</v>
      </c>
      <c r="E3582" s="1006">
        <v>460</v>
      </c>
      <c r="F3582" s="700"/>
      <c r="G3582" s="700"/>
      <c r="H3582" s="700"/>
      <c r="I3582" s="700"/>
      <c r="J3582" s="700">
        <f>C3582*E3582</f>
        <v>16560</v>
      </c>
      <c r="K3582" s="700">
        <f t="shared" si="387"/>
        <v>16560</v>
      </c>
      <c r="L3582" s="700"/>
      <c r="M3582" s="700"/>
      <c r="N3582" s="700"/>
      <c r="O3582" s="974">
        <f>C3582*E3582</f>
        <v>16560</v>
      </c>
      <c r="P3582" s="956"/>
      <c r="Q3582" s="1821"/>
      <c r="R3582" s="1821"/>
      <c r="S3582" s="1821"/>
      <c r="T3582" s="1821"/>
      <c r="U3582" s="1821"/>
      <c r="V3582" s="1821"/>
      <c r="W3582" s="1821"/>
      <c r="X3582" s="1821"/>
      <c r="Y3582" s="1821"/>
      <c r="Z3582" s="1821"/>
      <c r="AA3582" s="1821"/>
      <c r="AB3582" s="1821"/>
      <c r="AC3582" s="1821"/>
      <c r="AD3582" s="1821"/>
      <c r="AE3582" s="1821"/>
      <c r="AF3582" s="1821"/>
      <c r="AG3582" s="1821"/>
      <c r="AH3582" s="1821"/>
      <c r="AI3582" s="1821"/>
      <c r="AJ3582" s="1821"/>
      <c r="AK3582" s="1821"/>
      <c r="AL3582" s="1821"/>
      <c r="AM3582" s="1821"/>
      <c r="AN3582" s="1821"/>
      <c r="AO3582" s="1821"/>
      <c r="AP3582" s="1821"/>
      <c r="AQ3582" s="1821"/>
      <c r="AR3582" s="1821"/>
      <c r="AS3582" s="1821"/>
      <c r="AT3582" s="1821"/>
      <c r="AU3582" s="1821"/>
      <c r="AV3582" s="1821"/>
      <c r="AW3582" s="1821"/>
      <c r="AX3582" s="1821"/>
      <c r="AY3582" s="1821"/>
      <c r="AZ3582" s="1821"/>
      <c r="BA3582" s="1821"/>
      <c r="BB3582" s="1821"/>
      <c r="BC3582" s="1821"/>
      <c r="BD3582" s="1821"/>
      <c r="BE3582" s="1821"/>
      <c r="BF3582" s="1821"/>
      <c r="BG3582" s="1821"/>
      <c r="BH3582" s="1821"/>
      <c r="BI3582" s="1821"/>
      <c r="BJ3582" s="1821"/>
      <c r="BK3582" s="1821"/>
      <c r="BL3582" s="1821"/>
      <c r="BM3582" s="1821"/>
      <c r="BN3582" s="1821"/>
      <c r="BO3582" s="1821"/>
      <c r="BP3582" s="1821"/>
      <c r="BQ3582" s="1821"/>
      <c r="BR3582" s="1821"/>
      <c r="BS3582" s="1821"/>
      <c r="BT3582" s="1821"/>
      <c r="BU3582" s="1821"/>
      <c r="BV3582" s="1821"/>
      <c r="BW3582" s="1821"/>
      <c r="BX3582" s="1821"/>
      <c r="BY3582" s="1821"/>
      <c r="BZ3582" s="1821"/>
      <c r="CA3582" s="1821"/>
      <c r="CB3582" s="1821"/>
      <c r="CC3582" s="1821"/>
      <c r="CD3582" s="1821"/>
      <c r="CE3582" s="1821"/>
      <c r="CF3582" s="1821"/>
      <c r="CG3582" s="1821"/>
      <c r="CH3582" s="1821"/>
      <c r="CI3582" s="1821"/>
      <c r="CJ3582" s="1821"/>
      <c r="CK3582" s="1821"/>
    </row>
    <row r="3583" spans="1:89" s="675" customFormat="1" ht="16.5" customHeight="1" x14ac:dyDescent="0.25">
      <c r="A3583" s="697"/>
      <c r="B3583" s="1002"/>
      <c r="C3583" s="1007"/>
      <c r="D3583" s="1005"/>
      <c r="E3583" s="1006"/>
      <c r="F3583" s="700"/>
      <c r="G3583" s="700"/>
      <c r="H3583" s="700">
        <f t="shared" ref="H3583:H3591" si="388">G3583+F3583</f>
        <v>0</v>
      </c>
      <c r="I3583" s="700"/>
      <c r="J3583" s="700">
        <f>C3583*E3583</f>
        <v>0</v>
      </c>
      <c r="K3583" s="700">
        <f t="shared" si="387"/>
        <v>0</v>
      </c>
      <c r="L3583" s="700"/>
      <c r="M3583" s="700"/>
      <c r="N3583" s="700">
        <f t="shared" ref="N3583:N3591" si="389">M3583+L3583</f>
        <v>0</v>
      </c>
      <c r="O3583" s="974">
        <f>N3583+K3583+H3583</f>
        <v>0</v>
      </c>
      <c r="P3583" s="956"/>
      <c r="Q3583" s="1821"/>
      <c r="R3583" s="1821"/>
      <c r="S3583" s="1821"/>
      <c r="T3583" s="1821"/>
      <c r="U3583" s="1821"/>
      <c r="V3583" s="1821"/>
      <c r="W3583" s="1821"/>
      <c r="X3583" s="1821"/>
      <c r="Y3583" s="1821"/>
      <c r="Z3583" s="1821"/>
      <c r="AA3583" s="1821"/>
      <c r="AB3583" s="1821"/>
      <c r="AC3583" s="1821"/>
      <c r="AD3583" s="1821"/>
      <c r="AE3583" s="1821"/>
      <c r="AF3583" s="1821"/>
      <c r="AG3583" s="1821"/>
      <c r="AH3583" s="1821"/>
      <c r="AI3583" s="1821"/>
      <c r="AJ3583" s="1821"/>
      <c r="AK3583" s="1821"/>
      <c r="AL3583" s="1821"/>
      <c r="AM3583" s="1821"/>
      <c r="AN3583" s="1821"/>
      <c r="AO3583" s="1821"/>
      <c r="AP3583" s="1821"/>
      <c r="AQ3583" s="1821"/>
      <c r="AR3583" s="1821"/>
      <c r="AS3583" s="1821"/>
      <c r="AT3583" s="1821"/>
      <c r="AU3583" s="1821"/>
      <c r="AV3583" s="1821"/>
      <c r="AW3583" s="1821"/>
      <c r="AX3583" s="1821"/>
      <c r="AY3583" s="1821"/>
      <c r="AZ3583" s="1821"/>
      <c r="BA3583" s="1821"/>
      <c r="BB3583" s="1821"/>
      <c r="BC3583" s="1821"/>
      <c r="BD3583" s="1821"/>
      <c r="BE3583" s="1821"/>
      <c r="BF3583" s="1821"/>
      <c r="BG3583" s="1821"/>
      <c r="BH3583" s="1821"/>
      <c r="BI3583" s="1821"/>
      <c r="BJ3583" s="1821"/>
      <c r="BK3583" s="1821"/>
      <c r="BL3583" s="1821"/>
      <c r="BM3583" s="1821"/>
      <c r="BN3583" s="1821"/>
      <c r="BO3583" s="1821"/>
      <c r="BP3583" s="1821"/>
      <c r="BQ3583" s="1821"/>
      <c r="BR3583" s="1821"/>
      <c r="BS3583" s="1821"/>
      <c r="BT3583" s="1821"/>
      <c r="BU3583" s="1821"/>
      <c r="BV3583" s="1821"/>
      <c r="BW3583" s="1821"/>
      <c r="BX3583" s="1821"/>
      <c r="BY3583" s="1821"/>
      <c r="BZ3583" s="1821"/>
      <c r="CA3583" s="1821"/>
      <c r="CB3583" s="1821"/>
      <c r="CC3583" s="1821"/>
      <c r="CD3583" s="1821"/>
      <c r="CE3583" s="1821"/>
      <c r="CF3583" s="1821"/>
      <c r="CG3583" s="1821"/>
      <c r="CH3583" s="1821"/>
      <c r="CI3583" s="1821"/>
      <c r="CJ3583" s="1821"/>
      <c r="CK3583" s="1821"/>
    </row>
    <row r="3584" spans="1:89" s="675" customFormat="1" ht="16.5" customHeight="1" x14ac:dyDescent="0.25">
      <c r="A3584" s="697"/>
      <c r="B3584" s="1002"/>
      <c r="C3584" s="1007"/>
      <c r="D3584" s="1005"/>
      <c r="E3584" s="1006"/>
      <c r="F3584" s="700"/>
      <c r="G3584" s="700"/>
      <c r="H3584" s="700">
        <f t="shared" si="388"/>
        <v>0</v>
      </c>
      <c r="I3584" s="700"/>
      <c r="J3584" s="700"/>
      <c r="K3584" s="700">
        <f t="shared" si="387"/>
        <v>0</v>
      </c>
      <c r="L3584" s="700"/>
      <c r="M3584" s="700"/>
      <c r="N3584" s="700">
        <f t="shared" si="389"/>
        <v>0</v>
      </c>
      <c r="O3584" s="974">
        <f>N3584+K3584+H3584</f>
        <v>0</v>
      </c>
      <c r="P3584" s="956"/>
      <c r="Q3584" s="1821"/>
      <c r="R3584" s="1821"/>
      <c r="S3584" s="1821"/>
      <c r="T3584" s="1821"/>
      <c r="U3584" s="1821"/>
      <c r="V3584" s="1821"/>
      <c r="W3584" s="1821"/>
      <c r="X3584" s="1821"/>
      <c r="Y3584" s="1821"/>
      <c r="Z3584" s="1821"/>
      <c r="AA3584" s="1821"/>
      <c r="AB3584" s="1821"/>
      <c r="AC3584" s="1821"/>
      <c r="AD3584" s="1821"/>
      <c r="AE3584" s="1821"/>
      <c r="AF3584" s="1821"/>
      <c r="AG3584" s="1821"/>
      <c r="AH3584" s="1821"/>
      <c r="AI3584" s="1821"/>
      <c r="AJ3584" s="1821"/>
      <c r="AK3584" s="1821"/>
      <c r="AL3584" s="1821"/>
      <c r="AM3584" s="1821"/>
      <c r="AN3584" s="1821"/>
      <c r="AO3584" s="1821"/>
      <c r="AP3584" s="1821"/>
      <c r="AQ3584" s="1821"/>
      <c r="AR3584" s="1821"/>
      <c r="AS3584" s="1821"/>
      <c r="AT3584" s="1821"/>
      <c r="AU3584" s="1821"/>
      <c r="AV3584" s="1821"/>
      <c r="AW3584" s="1821"/>
      <c r="AX3584" s="1821"/>
      <c r="AY3584" s="1821"/>
      <c r="AZ3584" s="1821"/>
      <c r="BA3584" s="1821"/>
      <c r="BB3584" s="1821"/>
      <c r="BC3584" s="1821"/>
      <c r="BD3584" s="1821"/>
      <c r="BE3584" s="1821"/>
      <c r="BF3584" s="1821"/>
      <c r="BG3584" s="1821"/>
      <c r="BH3584" s="1821"/>
      <c r="BI3584" s="1821"/>
      <c r="BJ3584" s="1821"/>
      <c r="BK3584" s="1821"/>
      <c r="BL3584" s="1821"/>
      <c r="BM3584" s="1821"/>
      <c r="BN3584" s="1821"/>
      <c r="BO3584" s="1821"/>
      <c r="BP3584" s="1821"/>
      <c r="BQ3584" s="1821"/>
      <c r="BR3584" s="1821"/>
      <c r="BS3584" s="1821"/>
      <c r="BT3584" s="1821"/>
      <c r="BU3584" s="1821"/>
      <c r="BV3584" s="1821"/>
      <c r="BW3584" s="1821"/>
      <c r="BX3584" s="1821"/>
      <c r="BY3584" s="1821"/>
      <c r="BZ3584" s="1821"/>
      <c r="CA3584" s="1821"/>
      <c r="CB3584" s="1821"/>
      <c r="CC3584" s="1821"/>
      <c r="CD3584" s="1821"/>
      <c r="CE3584" s="1821"/>
      <c r="CF3584" s="1821"/>
      <c r="CG3584" s="1821"/>
      <c r="CH3584" s="1821"/>
      <c r="CI3584" s="1821"/>
      <c r="CJ3584" s="1821"/>
      <c r="CK3584" s="1821"/>
    </row>
    <row r="3585" spans="1:89" s="675" customFormat="1" ht="16.5" customHeight="1" x14ac:dyDescent="0.25">
      <c r="A3585" s="697">
        <v>11</v>
      </c>
      <c r="B3585" s="1002" t="s">
        <v>1270</v>
      </c>
      <c r="C3585" s="1007">
        <f>SUM(O3587:O3590)</f>
        <v>10100</v>
      </c>
      <c r="D3585" s="1005"/>
      <c r="E3585" s="1006"/>
      <c r="F3585" s="700"/>
      <c r="G3585" s="700"/>
      <c r="H3585" s="700">
        <f t="shared" si="388"/>
        <v>0</v>
      </c>
      <c r="I3585" s="700"/>
      <c r="J3585" s="700"/>
      <c r="K3585" s="700">
        <f t="shared" si="387"/>
        <v>0</v>
      </c>
      <c r="L3585" s="700"/>
      <c r="M3585" s="700"/>
      <c r="N3585" s="700">
        <f t="shared" si="389"/>
        <v>0</v>
      </c>
      <c r="O3585" s="974"/>
      <c r="P3585" s="956"/>
      <c r="Q3585" s="1821"/>
      <c r="R3585" s="1821"/>
      <c r="S3585" s="1821"/>
      <c r="T3585" s="1821"/>
      <c r="U3585" s="1821"/>
      <c r="V3585" s="1821"/>
      <c r="W3585" s="1821"/>
      <c r="X3585" s="1821"/>
      <c r="Y3585" s="1821"/>
      <c r="Z3585" s="1821"/>
      <c r="AA3585" s="1821"/>
      <c r="AB3585" s="1821"/>
      <c r="AC3585" s="1821"/>
      <c r="AD3585" s="1821"/>
      <c r="AE3585" s="1821"/>
      <c r="AF3585" s="1821"/>
      <c r="AG3585" s="1821"/>
      <c r="AH3585" s="1821"/>
      <c r="AI3585" s="1821"/>
      <c r="AJ3585" s="1821"/>
      <c r="AK3585" s="1821"/>
      <c r="AL3585" s="1821"/>
      <c r="AM3585" s="1821"/>
      <c r="AN3585" s="1821"/>
      <c r="AO3585" s="1821"/>
      <c r="AP3585" s="1821"/>
      <c r="AQ3585" s="1821"/>
      <c r="AR3585" s="1821"/>
      <c r="AS3585" s="1821"/>
      <c r="AT3585" s="1821"/>
      <c r="AU3585" s="1821"/>
      <c r="AV3585" s="1821"/>
      <c r="AW3585" s="1821"/>
      <c r="AX3585" s="1821"/>
      <c r="AY3585" s="1821"/>
      <c r="AZ3585" s="1821"/>
      <c r="BA3585" s="1821"/>
      <c r="BB3585" s="1821"/>
      <c r="BC3585" s="1821"/>
      <c r="BD3585" s="1821"/>
      <c r="BE3585" s="1821"/>
      <c r="BF3585" s="1821"/>
      <c r="BG3585" s="1821"/>
      <c r="BH3585" s="1821"/>
      <c r="BI3585" s="1821"/>
      <c r="BJ3585" s="1821"/>
      <c r="BK3585" s="1821"/>
      <c r="BL3585" s="1821"/>
      <c r="BM3585" s="1821"/>
      <c r="BN3585" s="1821"/>
      <c r="BO3585" s="1821"/>
      <c r="BP3585" s="1821"/>
      <c r="BQ3585" s="1821"/>
      <c r="BR3585" s="1821"/>
      <c r="BS3585" s="1821"/>
      <c r="BT3585" s="1821"/>
      <c r="BU3585" s="1821"/>
      <c r="BV3585" s="1821"/>
      <c r="BW3585" s="1821"/>
      <c r="BX3585" s="1821"/>
      <c r="BY3585" s="1821"/>
      <c r="BZ3585" s="1821"/>
      <c r="CA3585" s="1821"/>
      <c r="CB3585" s="1821"/>
      <c r="CC3585" s="1821"/>
      <c r="CD3585" s="1821"/>
      <c r="CE3585" s="1821"/>
      <c r="CF3585" s="1821"/>
      <c r="CG3585" s="1821"/>
      <c r="CH3585" s="1821"/>
      <c r="CI3585" s="1821"/>
      <c r="CJ3585" s="1821"/>
      <c r="CK3585" s="1821"/>
    </row>
    <row r="3586" spans="1:89" s="675" customFormat="1" ht="16.5" customHeight="1" x14ac:dyDescent="0.25">
      <c r="A3586" s="697"/>
      <c r="B3586" s="1002" t="s">
        <v>340</v>
      </c>
      <c r="C3586" s="1007"/>
      <c r="D3586" s="1005"/>
      <c r="E3586" s="1006"/>
      <c r="F3586" s="700"/>
      <c r="G3586" s="700"/>
      <c r="H3586" s="700">
        <f t="shared" si="388"/>
        <v>0</v>
      </c>
      <c r="I3586" s="700"/>
      <c r="J3586" s="700"/>
      <c r="K3586" s="700">
        <f t="shared" si="387"/>
        <v>0</v>
      </c>
      <c r="L3586" s="700"/>
      <c r="M3586" s="700"/>
      <c r="N3586" s="700">
        <f t="shared" si="389"/>
        <v>0</v>
      </c>
      <c r="O3586" s="974"/>
      <c r="P3586" s="956"/>
      <c r="Q3586" s="1821"/>
      <c r="R3586" s="1821"/>
      <c r="S3586" s="1821"/>
      <c r="T3586" s="1821"/>
      <c r="U3586" s="1821"/>
      <c r="V3586" s="1821"/>
      <c r="W3586" s="1821"/>
      <c r="X3586" s="1821"/>
      <c r="Y3586" s="1821"/>
      <c r="Z3586" s="1821"/>
      <c r="AA3586" s="1821"/>
      <c r="AB3586" s="1821"/>
      <c r="AC3586" s="1821"/>
      <c r="AD3586" s="1821"/>
      <c r="AE3586" s="1821"/>
      <c r="AF3586" s="1821"/>
      <c r="AG3586" s="1821"/>
      <c r="AH3586" s="1821"/>
      <c r="AI3586" s="1821"/>
      <c r="AJ3586" s="1821"/>
      <c r="AK3586" s="1821"/>
      <c r="AL3586" s="1821"/>
      <c r="AM3586" s="1821"/>
      <c r="AN3586" s="1821"/>
      <c r="AO3586" s="1821"/>
      <c r="AP3586" s="1821"/>
      <c r="AQ3586" s="1821"/>
      <c r="AR3586" s="1821"/>
      <c r="AS3586" s="1821"/>
      <c r="AT3586" s="1821"/>
      <c r="AU3586" s="1821"/>
      <c r="AV3586" s="1821"/>
      <c r="AW3586" s="1821"/>
      <c r="AX3586" s="1821"/>
      <c r="AY3586" s="1821"/>
      <c r="AZ3586" s="1821"/>
      <c r="BA3586" s="1821"/>
      <c r="BB3586" s="1821"/>
      <c r="BC3586" s="1821"/>
      <c r="BD3586" s="1821"/>
      <c r="BE3586" s="1821"/>
      <c r="BF3586" s="1821"/>
      <c r="BG3586" s="1821"/>
      <c r="BH3586" s="1821"/>
      <c r="BI3586" s="1821"/>
      <c r="BJ3586" s="1821"/>
      <c r="BK3586" s="1821"/>
      <c r="BL3586" s="1821"/>
      <c r="BM3586" s="1821"/>
      <c r="BN3586" s="1821"/>
      <c r="BO3586" s="1821"/>
      <c r="BP3586" s="1821"/>
      <c r="BQ3586" s="1821"/>
      <c r="BR3586" s="1821"/>
      <c r="BS3586" s="1821"/>
      <c r="BT3586" s="1821"/>
      <c r="BU3586" s="1821"/>
      <c r="BV3586" s="1821"/>
      <c r="BW3586" s="1821"/>
      <c r="BX3586" s="1821"/>
      <c r="BY3586" s="1821"/>
      <c r="BZ3586" s="1821"/>
      <c r="CA3586" s="1821"/>
      <c r="CB3586" s="1821"/>
      <c r="CC3586" s="1821"/>
      <c r="CD3586" s="1821"/>
      <c r="CE3586" s="1821"/>
      <c r="CF3586" s="1821"/>
      <c r="CG3586" s="1821"/>
      <c r="CH3586" s="1821"/>
      <c r="CI3586" s="1821"/>
      <c r="CJ3586" s="1821"/>
      <c r="CK3586" s="1821"/>
    </row>
    <row r="3587" spans="1:89" s="675" customFormat="1" ht="16.5" customHeight="1" x14ac:dyDescent="0.25">
      <c r="A3587" s="697"/>
      <c r="B3587" s="1002" t="s">
        <v>1271</v>
      </c>
      <c r="C3587" s="1007">
        <v>10</v>
      </c>
      <c r="D3587" s="1005" t="s">
        <v>51</v>
      </c>
      <c r="E3587" s="1006">
        <v>150</v>
      </c>
      <c r="F3587" s="700"/>
      <c r="G3587" s="700"/>
      <c r="H3587" s="700">
        <f t="shared" si="388"/>
        <v>0</v>
      </c>
      <c r="I3587" s="700"/>
      <c r="J3587" s="700">
        <f>C3587*E3587</f>
        <v>1500</v>
      </c>
      <c r="K3587" s="700">
        <f>J3587+I3587</f>
        <v>1500</v>
      </c>
      <c r="L3587" s="700"/>
      <c r="M3587" s="700"/>
      <c r="N3587" s="700">
        <f t="shared" si="389"/>
        <v>0</v>
      </c>
      <c r="O3587" s="974">
        <f>C3587*E3587</f>
        <v>1500</v>
      </c>
      <c r="P3587" s="956"/>
      <c r="Q3587" s="1821"/>
      <c r="R3587" s="1821"/>
      <c r="S3587" s="1821"/>
      <c r="T3587" s="1821"/>
      <c r="U3587" s="1821"/>
      <c r="V3587" s="1821"/>
      <c r="W3587" s="1821"/>
      <c r="X3587" s="1821"/>
      <c r="Y3587" s="1821"/>
      <c r="Z3587" s="1821"/>
      <c r="AA3587" s="1821"/>
      <c r="AB3587" s="1821"/>
      <c r="AC3587" s="1821"/>
      <c r="AD3587" s="1821"/>
      <c r="AE3587" s="1821"/>
      <c r="AF3587" s="1821"/>
      <c r="AG3587" s="1821"/>
      <c r="AH3587" s="1821"/>
      <c r="AI3587" s="1821"/>
      <c r="AJ3587" s="1821"/>
      <c r="AK3587" s="1821"/>
      <c r="AL3587" s="1821"/>
      <c r="AM3587" s="1821"/>
      <c r="AN3587" s="1821"/>
      <c r="AO3587" s="1821"/>
      <c r="AP3587" s="1821"/>
      <c r="AQ3587" s="1821"/>
      <c r="AR3587" s="1821"/>
      <c r="AS3587" s="1821"/>
      <c r="AT3587" s="1821"/>
      <c r="AU3587" s="1821"/>
      <c r="AV3587" s="1821"/>
      <c r="AW3587" s="1821"/>
      <c r="AX3587" s="1821"/>
      <c r="AY3587" s="1821"/>
      <c r="AZ3587" s="1821"/>
      <c r="BA3587" s="1821"/>
      <c r="BB3587" s="1821"/>
      <c r="BC3587" s="1821"/>
      <c r="BD3587" s="1821"/>
      <c r="BE3587" s="1821"/>
      <c r="BF3587" s="1821"/>
      <c r="BG3587" s="1821"/>
      <c r="BH3587" s="1821"/>
      <c r="BI3587" s="1821"/>
      <c r="BJ3587" s="1821"/>
      <c r="BK3587" s="1821"/>
      <c r="BL3587" s="1821"/>
      <c r="BM3587" s="1821"/>
      <c r="BN3587" s="1821"/>
      <c r="BO3587" s="1821"/>
      <c r="BP3587" s="1821"/>
      <c r="BQ3587" s="1821"/>
      <c r="BR3587" s="1821"/>
      <c r="BS3587" s="1821"/>
      <c r="BT3587" s="1821"/>
      <c r="BU3587" s="1821"/>
      <c r="BV3587" s="1821"/>
      <c r="BW3587" s="1821"/>
      <c r="BX3587" s="1821"/>
      <c r="BY3587" s="1821"/>
      <c r="BZ3587" s="1821"/>
      <c r="CA3587" s="1821"/>
      <c r="CB3587" s="1821"/>
      <c r="CC3587" s="1821"/>
      <c r="CD3587" s="1821"/>
      <c r="CE3587" s="1821"/>
      <c r="CF3587" s="1821"/>
      <c r="CG3587" s="1821"/>
      <c r="CH3587" s="1821"/>
      <c r="CI3587" s="1821"/>
      <c r="CJ3587" s="1821"/>
      <c r="CK3587" s="1821"/>
    </row>
    <row r="3588" spans="1:89" s="675" customFormat="1" ht="18" customHeight="1" x14ac:dyDescent="0.25">
      <c r="A3588" s="697"/>
      <c r="B3588" s="1002"/>
      <c r="C3588" s="1007"/>
      <c r="D3588" s="1005"/>
      <c r="E3588" s="1006"/>
      <c r="F3588" s="700"/>
      <c r="G3588" s="700"/>
      <c r="H3588" s="700">
        <f t="shared" si="388"/>
        <v>0</v>
      </c>
      <c r="I3588" s="700"/>
      <c r="J3588" s="700"/>
      <c r="K3588" s="700">
        <f>J3588+I3588</f>
        <v>0</v>
      </c>
      <c r="L3588" s="700"/>
      <c r="M3588" s="700"/>
      <c r="N3588" s="700">
        <f t="shared" si="389"/>
        <v>0</v>
      </c>
      <c r="O3588" s="974">
        <f>N3588+K3588+H3588</f>
        <v>0</v>
      </c>
      <c r="P3588" s="956"/>
      <c r="Q3588" s="1821"/>
      <c r="R3588" s="1821"/>
      <c r="S3588" s="1821"/>
      <c r="T3588" s="1821"/>
      <c r="U3588" s="1821"/>
      <c r="V3588" s="1821"/>
      <c r="W3588" s="1821"/>
      <c r="X3588" s="1821"/>
      <c r="Y3588" s="1821"/>
      <c r="Z3588" s="1821"/>
      <c r="AA3588" s="1821"/>
      <c r="AB3588" s="1821"/>
      <c r="AC3588" s="1821"/>
      <c r="AD3588" s="1821"/>
      <c r="AE3588" s="1821"/>
      <c r="AF3588" s="1821"/>
      <c r="AG3588" s="1821"/>
      <c r="AH3588" s="1821"/>
      <c r="AI3588" s="1821"/>
      <c r="AJ3588" s="1821"/>
      <c r="AK3588" s="1821"/>
      <c r="AL3588" s="1821"/>
      <c r="AM3588" s="1821"/>
      <c r="AN3588" s="1821"/>
      <c r="AO3588" s="1821"/>
      <c r="AP3588" s="1821"/>
      <c r="AQ3588" s="1821"/>
      <c r="AR3588" s="1821"/>
      <c r="AS3588" s="1821"/>
      <c r="AT3588" s="1821"/>
      <c r="AU3588" s="1821"/>
      <c r="AV3588" s="1821"/>
      <c r="AW3588" s="1821"/>
      <c r="AX3588" s="1821"/>
      <c r="AY3588" s="1821"/>
      <c r="AZ3588" s="1821"/>
      <c r="BA3588" s="1821"/>
      <c r="BB3588" s="1821"/>
      <c r="BC3588" s="1821"/>
      <c r="BD3588" s="1821"/>
      <c r="BE3588" s="1821"/>
      <c r="BF3588" s="1821"/>
      <c r="BG3588" s="1821"/>
      <c r="BH3588" s="1821"/>
      <c r="BI3588" s="1821"/>
      <c r="BJ3588" s="1821"/>
      <c r="BK3588" s="1821"/>
      <c r="BL3588" s="1821"/>
      <c r="BM3588" s="1821"/>
      <c r="BN3588" s="1821"/>
      <c r="BO3588" s="1821"/>
      <c r="BP3588" s="1821"/>
      <c r="BQ3588" s="1821"/>
      <c r="BR3588" s="1821"/>
      <c r="BS3588" s="1821"/>
      <c r="BT3588" s="1821"/>
      <c r="BU3588" s="1821"/>
      <c r="BV3588" s="1821"/>
      <c r="BW3588" s="1821"/>
      <c r="BX3588" s="1821"/>
      <c r="BY3588" s="1821"/>
      <c r="BZ3588" s="1821"/>
      <c r="CA3588" s="1821"/>
      <c r="CB3588" s="1821"/>
      <c r="CC3588" s="1821"/>
      <c r="CD3588" s="1821"/>
      <c r="CE3588" s="1821"/>
      <c r="CF3588" s="1821"/>
      <c r="CG3588" s="1821"/>
      <c r="CH3588" s="1821"/>
      <c r="CI3588" s="1821"/>
      <c r="CJ3588" s="1821"/>
      <c r="CK3588" s="1821"/>
    </row>
    <row r="3589" spans="1:89" s="675" customFormat="1" ht="16.5" customHeight="1" x14ac:dyDescent="0.25">
      <c r="A3589" s="697"/>
      <c r="B3589" s="1002" t="s">
        <v>1272</v>
      </c>
      <c r="C3589" s="1007">
        <v>20</v>
      </c>
      <c r="D3589" s="1005" t="s">
        <v>55</v>
      </c>
      <c r="E3589" s="1006">
        <v>430</v>
      </c>
      <c r="F3589" s="700"/>
      <c r="G3589" s="700"/>
      <c r="H3589" s="700">
        <f t="shared" si="388"/>
        <v>0</v>
      </c>
      <c r="I3589" s="700"/>
      <c r="J3589" s="700">
        <f>C3589*E3589</f>
        <v>8600</v>
      </c>
      <c r="K3589" s="700">
        <f>J3589+I3589</f>
        <v>8600</v>
      </c>
      <c r="L3589" s="700"/>
      <c r="M3589" s="700"/>
      <c r="N3589" s="700">
        <f t="shared" si="389"/>
        <v>0</v>
      </c>
      <c r="O3589" s="974">
        <f>C3589*E3589</f>
        <v>8600</v>
      </c>
      <c r="P3589" s="956"/>
      <c r="Q3589" s="1821"/>
      <c r="R3589" s="1821"/>
      <c r="S3589" s="1821"/>
      <c r="T3589" s="1821"/>
      <c r="U3589" s="1821"/>
      <c r="V3589" s="1821"/>
      <c r="W3589" s="1821"/>
      <c r="X3589" s="1821"/>
      <c r="Y3589" s="1821"/>
      <c r="Z3589" s="1821"/>
      <c r="AA3589" s="1821"/>
      <c r="AB3589" s="1821"/>
      <c r="AC3589" s="1821"/>
      <c r="AD3589" s="1821"/>
      <c r="AE3589" s="1821"/>
      <c r="AF3589" s="1821"/>
      <c r="AG3589" s="1821"/>
      <c r="AH3589" s="1821"/>
      <c r="AI3589" s="1821"/>
      <c r="AJ3589" s="1821"/>
      <c r="AK3589" s="1821"/>
      <c r="AL3589" s="1821"/>
      <c r="AM3589" s="1821"/>
      <c r="AN3589" s="1821"/>
      <c r="AO3589" s="1821"/>
      <c r="AP3589" s="1821"/>
      <c r="AQ3589" s="1821"/>
      <c r="AR3589" s="1821"/>
      <c r="AS3589" s="1821"/>
      <c r="AT3589" s="1821"/>
      <c r="AU3589" s="1821"/>
      <c r="AV3589" s="1821"/>
      <c r="AW3589" s="1821"/>
      <c r="AX3589" s="1821"/>
      <c r="AY3589" s="1821"/>
      <c r="AZ3589" s="1821"/>
      <c r="BA3589" s="1821"/>
      <c r="BB3589" s="1821"/>
      <c r="BC3589" s="1821"/>
      <c r="BD3589" s="1821"/>
      <c r="BE3589" s="1821"/>
      <c r="BF3589" s="1821"/>
      <c r="BG3589" s="1821"/>
      <c r="BH3589" s="1821"/>
      <c r="BI3589" s="1821"/>
      <c r="BJ3589" s="1821"/>
      <c r="BK3589" s="1821"/>
      <c r="BL3589" s="1821"/>
      <c r="BM3589" s="1821"/>
      <c r="BN3589" s="1821"/>
      <c r="BO3589" s="1821"/>
      <c r="BP3589" s="1821"/>
      <c r="BQ3589" s="1821"/>
      <c r="BR3589" s="1821"/>
      <c r="BS3589" s="1821"/>
      <c r="BT3589" s="1821"/>
      <c r="BU3589" s="1821"/>
      <c r="BV3589" s="1821"/>
      <c r="BW3589" s="1821"/>
      <c r="BX3589" s="1821"/>
      <c r="BY3589" s="1821"/>
      <c r="BZ3589" s="1821"/>
      <c r="CA3589" s="1821"/>
      <c r="CB3589" s="1821"/>
      <c r="CC3589" s="1821"/>
      <c r="CD3589" s="1821"/>
      <c r="CE3589" s="1821"/>
      <c r="CF3589" s="1821"/>
      <c r="CG3589" s="1821"/>
      <c r="CH3589" s="1821"/>
      <c r="CI3589" s="1821"/>
      <c r="CJ3589" s="1821"/>
      <c r="CK3589" s="1821"/>
    </row>
    <row r="3590" spans="1:89" s="675" customFormat="1" ht="16.5" customHeight="1" x14ac:dyDescent="0.25">
      <c r="A3590" s="697"/>
      <c r="B3590" s="1002"/>
      <c r="C3590" s="1007"/>
      <c r="D3590" s="1005"/>
      <c r="E3590" s="1006"/>
      <c r="F3590" s="700"/>
      <c r="G3590" s="700"/>
      <c r="H3590" s="700">
        <f t="shared" si="388"/>
        <v>0</v>
      </c>
      <c r="I3590" s="700"/>
      <c r="J3590" s="700">
        <f>C3590*E3590</f>
        <v>0</v>
      </c>
      <c r="K3590" s="700">
        <f>J3590+I3590</f>
        <v>0</v>
      </c>
      <c r="L3590" s="700"/>
      <c r="M3590" s="700"/>
      <c r="N3590" s="700">
        <f t="shared" si="389"/>
        <v>0</v>
      </c>
      <c r="O3590" s="974">
        <f>N3590+K3590+H3590</f>
        <v>0</v>
      </c>
      <c r="P3590" s="956"/>
      <c r="Q3590" s="1821"/>
      <c r="R3590" s="1821"/>
      <c r="S3590" s="1821"/>
      <c r="T3590" s="1821"/>
      <c r="U3590" s="1821"/>
      <c r="V3590" s="1821"/>
      <c r="W3590" s="1821"/>
      <c r="X3590" s="1821"/>
      <c r="Y3590" s="1821"/>
      <c r="Z3590" s="1821"/>
      <c r="AA3590" s="1821"/>
      <c r="AB3590" s="1821"/>
      <c r="AC3590" s="1821"/>
      <c r="AD3590" s="1821"/>
      <c r="AE3590" s="1821"/>
      <c r="AF3590" s="1821"/>
      <c r="AG3590" s="1821"/>
      <c r="AH3590" s="1821"/>
      <c r="AI3590" s="1821"/>
      <c r="AJ3590" s="1821"/>
      <c r="AK3590" s="1821"/>
      <c r="AL3590" s="1821"/>
      <c r="AM3590" s="1821"/>
      <c r="AN3590" s="1821"/>
      <c r="AO3590" s="1821"/>
      <c r="AP3590" s="1821"/>
      <c r="AQ3590" s="1821"/>
      <c r="AR3590" s="1821"/>
      <c r="AS3590" s="1821"/>
      <c r="AT3590" s="1821"/>
      <c r="AU3590" s="1821"/>
      <c r="AV3590" s="1821"/>
      <c r="AW3590" s="1821"/>
      <c r="AX3590" s="1821"/>
      <c r="AY3590" s="1821"/>
      <c r="AZ3590" s="1821"/>
      <c r="BA3590" s="1821"/>
      <c r="BB3590" s="1821"/>
      <c r="BC3590" s="1821"/>
      <c r="BD3590" s="1821"/>
      <c r="BE3590" s="1821"/>
      <c r="BF3590" s="1821"/>
      <c r="BG3590" s="1821"/>
      <c r="BH3590" s="1821"/>
      <c r="BI3590" s="1821"/>
      <c r="BJ3590" s="1821"/>
      <c r="BK3590" s="1821"/>
      <c r="BL3590" s="1821"/>
      <c r="BM3590" s="1821"/>
      <c r="BN3590" s="1821"/>
      <c r="BO3590" s="1821"/>
      <c r="BP3590" s="1821"/>
      <c r="BQ3590" s="1821"/>
      <c r="BR3590" s="1821"/>
      <c r="BS3590" s="1821"/>
      <c r="BT3590" s="1821"/>
      <c r="BU3590" s="1821"/>
      <c r="BV3590" s="1821"/>
      <c r="BW3590" s="1821"/>
      <c r="BX3590" s="1821"/>
      <c r="BY3590" s="1821"/>
      <c r="BZ3590" s="1821"/>
      <c r="CA3590" s="1821"/>
      <c r="CB3590" s="1821"/>
      <c r="CC3590" s="1821"/>
      <c r="CD3590" s="1821"/>
      <c r="CE3590" s="1821"/>
      <c r="CF3590" s="1821"/>
      <c r="CG3590" s="1821"/>
      <c r="CH3590" s="1821"/>
      <c r="CI3590" s="1821"/>
      <c r="CJ3590" s="1821"/>
      <c r="CK3590" s="1821"/>
    </row>
    <row r="3591" spans="1:89" s="675" customFormat="1" ht="16.5" customHeight="1" x14ac:dyDescent="0.25">
      <c r="A3591" s="697"/>
      <c r="B3591" s="1002"/>
      <c r="C3591" s="1007"/>
      <c r="D3591" s="1005"/>
      <c r="E3591" s="1006"/>
      <c r="F3591" s="700"/>
      <c r="G3591" s="700"/>
      <c r="H3591" s="700">
        <f t="shared" si="388"/>
        <v>0</v>
      </c>
      <c r="I3591" s="700"/>
      <c r="J3591" s="700">
        <f>C3591*E3591</f>
        <v>0</v>
      </c>
      <c r="K3591" s="700">
        <f>J3591+I3591</f>
        <v>0</v>
      </c>
      <c r="L3591" s="700"/>
      <c r="M3591" s="700"/>
      <c r="N3591" s="700">
        <f t="shared" si="389"/>
        <v>0</v>
      </c>
      <c r="O3591" s="974">
        <f>N3591+K3591+H3591</f>
        <v>0</v>
      </c>
      <c r="P3591" s="956"/>
      <c r="Q3591" s="1821"/>
      <c r="R3591" s="1821"/>
      <c r="S3591" s="1821"/>
      <c r="T3591" s="1821"/>
      <c r="U3591" s="1821"/>
      <c r="V3591" s="1821"/>
      <c r="W3591" s="1821"/>
      <c r="X3591" s="1821"/>
      <c r="Y3591" s="1821"/>
      <c r="Z3591" s="1821"/>
      <c r="AA3591" s="1821"/>
      <c r="AB3591" s="1821"/>
      <c r="AC3591" s="1821"/>
      <c r="AD3591" s="1821"/>
      <c r="AE3591" s="1821"/>
      <c r="AF3591" s="1821"/>
      <c r="AG3591" s="1821"/>
      <c r="AH3591" s="1821"/>
      <c r="AI3591" s="1821"/>
      <c r="AJ3591" s="1821"/>
      <c r="AK3591" s="1821"/>
      <c r="AL3591" s="1821"/>
      <c r="AM3591" s="1821"/>
      <c r="AN3591" s="1821"/>
      <c r="AO3591" s="1821"/>
      <c r="AP3591" s="1821"/>
      <c r="AQ3591" s="1821"/>
      <c r="AR3591" s="1821"/>
      <c r="AS3591" s="1821"/>
      <c r="AT3591" s="1821"/>
      <c r="AU3591" s="1821"/>
      <c r="AV3591" s="1821"/>
      <c r="AW3591" s="1821"/>
      <c r="AX3591" s="1821"/>
      <c r="AY3591" s="1821"/>
      <c r="AZ3591" s="1821"/>
      <c r="BA3591" s="1821"/>
      <c r="BB3591" s="1821"/>
      <c r="BC3591" s="1821"/>
      <c r="BD3591" s="1821"/>
      <c r="BE3591" s="1821"/>
      <c r="BF3591" s="1821"/>
      <c r="BG3591" s="1821"/>
      <c r="BH3591" s="1821"/>
      <c r="BI3591" s="1821"/>
      <c r="BJ3591" s="1821"/>
      <c r="BK3591" s="1821"/>
      <c r="BL3591" s="1821"/>
      <c r="BM3591" s="1821"/>
      <c r="BN3591" s="1821"/>
      <c r="BO3591" s="1821"/>
      <c r="BP3591" s="1821"/>
      <c r="BQ3591" s="1821"/>
      <c r="BR3591" s="1821"/>
      <c r="BS3591" s="1821"/>
      <c r="BT3591" s="1821"/>
      <c r="BU3591" s="1821"/>
      <c r="BV3591" s="1821"/>
      <c r="BW3591" s="1821"/>
      <c r="BX3591" s="1821"/>
      <c r="BY3591" s="1821"/>
      <c r="BZ3591" s="1821"/>
      <c r="CA3591" s="1821"/>
      <c r="CB3591" s="1821"/>
      <c r="CC3591" s="1821"/>
      <c r="CD3591" s="1821"/>
      <c r="CE3591" s="1821"/>
      <c r="CF3591" s="1821"/>
      <c r="CG3591" s="1821"/>
      <c r="CH3591" s="1821"/>
      <c r="CI3591" s="1821"/>
      <c r="CJ3591" s="1821"/>
      <c r="CK3591" s="1821"/>
    </row>
    <row r="3592" spans="1:89" s="675" customFormat="1" ht="16.5" customHeight="1" x14ac:dyDescent="0.25">
      <c r="A3592" s="697"/>
      <c r="B3592" s="1002"/>
      <c r="C3592" s="1007"/>
      <c r="D3592" s="1005"/>
      <c r="E3592" s="1006"/>
      <c r="F3592" s="700"/>
      <c r="G3592" s="700"/>
      <c r="H3592" s="700"/>
      <c r="I3592" s="700"/>
      <c r="J3592" s="700"/>
      <c r="K3592" s="700"/>
      <c r="L3592" s="700"/>
      <c r="M3592" s="700"/>
      <c r="N3592" s="700"/>
      <c r="O3592" s="974"/>
      <c r="P3592" s="956"/>
      <c r="Q3592" s="1821"/>
      <c r="R3592" s="1821"/>
      <c r="S3592" s="1821"/>
      <c r="T3592" s="1821"/>
      <c r="U3592" s="1821"/>
      <c r="V3592" s="1821"/>
      <c r="W3592" s="1821"/>
      <c r="X3592" s="1821"/>
      <c r="Y3592" s="1821"/>
      <c r="Z3592" s="1821"/>
      <c r="AA3592" s="1821"/>
      <c r="AB3592" s="1821"/>
      <c r="AC3592" s="1821"/>
      <c r="AD3592" s="1821"/>
      <c r="AE3592" s="1821"/>
      <c r="AF3592" s="1821"/>
      <c r="AG3592" s="1821"/>
      <c r="AH3592" s="1821"/>
      <c r="AI3592" s="1821"/>
      <c r="AJ3592" s="1821"/>
      <c r="AK3592" s="1821"/>
      <c r="AL3592" s="1821"/>
      <c r="AM3592" s="1821"/>
      <c r="AN3592" s="1821"/>
      <c r="AO3592" s="1821"/>
      <c r="AP3592" s="1821"/>
      <c r="AQ3592" s="1821"/>
      <c r="AR3592" s="1821"/>
      <c r="AS3592" s="1821"/>
      <c r="AT3592" s="1821"/>
      <c r="AU3592" s="1821"/>
      <c r="AV3592" s="1821"/>
      <c r="AW3592" s="1821"/>
      <c r="AX3592" s="1821"/>
      <c r="AY3592" s="1821"/>
      <c r="AZ3592" s="1821"/>
      <c r="BA3592" s="1821"/>
      <c r="BB3592" s="1821"/>
      <c r="BC3592" s="1821"/>
      <c r="BD3592" s="1821"/>
      <c r="BE3592" s="1821"/>
      <c r="BF3592" s="1821"/>
      <c r="BG3592" s="1821"/>
      <c r="BH3592" s="1821"/>
      <c r="BI3592" s="1821"/>
      <c r="BJ3592" s="1821"/>
      <c r="BK3592" s="1821"/>
      <c r="BL3592" s="1821"/>
      <c r="BM3592" s="1821"/>
      <c r="BN3592" s="1821"/>
      <c r="BO3592" s="1821"/>
      <c r="BP3592" s="1821"/>
      <c r="BQ3592" s="1821"/>
      <c r="BR3592" s="1821"/>
      <c r="BS3592" s="1821"/>
      <c r="BT3592" s="1821"/>
      <c r="BU3592" s="1821"/>
      <c r="BV3592" s="1821"/>
      <c r="BW3592" s="1821"/>
      <c r="BX3592" s="1821"/>
      <c r="BY3592" s="1821"/>
      <c r="BZ3592" s="1821"/>
      <c r="CA3592" s="1821"/>
      <c r="CB3592" s="1821"/>
      <c r="CC3592" s="1821"/>
      <c r="CD3592" s="1821"/>
      <c r="CE3592" s="1821"/>
      <c r="CF3592" s="1821"/>
      <c r="CG3592" s="1821"/>
      <c r="CH3592" s="1821"/>
      <c r="CI3592" s="1821"/>
      <c r="CJ3592" s="1821"/>
      <c r="CK3592" s="1821"/>
    </row>
    <row r="3593" spans="1:89" s="675" customFormat="1" ht="16.5" customHeight="1" x14ac:dyDescent="0.25">
      <c r="A3593" s="697">
        <v>11</v>
      </c>
      <c r="B3593" s="1002" t="s">
        <v>371</v>
      </c>
      <c r="C3593" s="1007">
        <f>SUM(O3595:O3599)</f>
        <v>50134</v>
      </c>
      <c r="D3593" s="1005"/>
      <c r="E3593" s="1006"/>
      <c r="F3593" s="700"/>
      <c r="G3593" s="700"/>
      <c r="H3593" s="700">
        <f t="shared" ref="H3593:H3599" si="390">G3593+F3593</f>
        <v>0</v>
      </c>
      <c r="I3593" s="700"/>
      <c r="J3593" s="700"/>
      <c r="K3593" s="700">
        <f t="shared" ref="K3593:K3599" si="391">J3593+I3593</f>
        <v>0</v>
      </c>
      <c r="L3593" s="700"/>
      <c r="M3593" s="700"/>
      <c r="N3593" s="700">
        <f t="shared" ref="N3593:N3599" si="392">M3593+L3593</f>
        <v>0</v>
      </c>
      <c r="O3593" s="974"/>
      <c r="P3593" s="956"/>
      <c r="Q3593" s="1821"/>
      <c r="R3593" s="1821"/>
      <c r="S3593" s="1821"/>
      <c r="T3593" s="1821"/>
      <c r="U3593" s="1821"/>
      <c r="V3593" s="1821"/>
      <c r="W3593" s="1821"/>
      <c r="X3593" s="1821"/>
      <c r="Y3593" s="1821"/>
      <c r="Z3593" s="1821"/>
      <c r="AA3593" s="1821"/>
      <c r="AB3593" s="1821"/>
      <c r="AC3593" s="1821"/>
      <c r="AD3593" s="1821"/>
      <c r="AE3593" s="1821"/>
      <c r="AF3593" s="1821"/>
      <c r="AG3593" s="1821"/>
      <c r="AH3593" s="1821"/>
      <c r="AI3593" s="1821"/>
      <c r="AJ3593" s="1821"/>
      <c r="AK3593" s="1821"/>
      <c r="AL3593" s="1821"/>
      <c r="AM3593" s="1821"/>
      <c r="AN3593" s="1821"/>
      <c r="AO3593" s="1821"/>
      <c r="AP3593" s="1821"/>
      <c r="AQ3593" s="1821"/>
      <c r="AR3593" s="1821"/>
      <c r="AS3593" s="1821"/>
      <c r="AT3593" s="1821"/>
      <c r="AU3593" s="1821"/>
      <c r="AV3593" s="1821"/>
      <c r="AW3593" s="1821"/>
      <c r="AX3593" s="1821"/>
      <c r="AY3593" s="1821"/>
      <c r="AZ3593" s="1821"/>
      <c r="BA3593" s="1821"/>
      <c r="BB3593" s="1821"/>
      <c r="BC3593" s="1821"/>
      <c r="BD3593" s="1821"/>
      <c r="BE3593" s="1821"/>
      <c r="BF3593" s="1821"/>
      <c r="BG3593" s="1821"/>
      <c r="BH3593" s="1821"/>
      <c r="BI3593" s="1821"/>
      <c r="BJ3593" s="1821"/>
      <c r="BK3593" s="1821"/>
      <c r="BL3593" s="1821"/>
      <c r="BM3593" s="1821"/>
      <c r="BN3593" s="1821"/>
      <c r="BO3593" s="1821"/>
      <c r="BP3593" s="1821"/>
      <c r="BQ3593" s="1821"/>
      <c r="BR3593" s="1821"/>
      <c r="BS3593" s="1821"/>
      <c r="BT3593" s="1821"/>
      <c r="BU3593" s="1821"/>
      <c r="BV3593" s="1821"/>
      <c r="BW3593" s="1821"/>
      <c r="BX3593" s="1821"/>
      <c r="BY3593" s="1821"/>
      <c r="BZ3593" s="1821"/>
      <c r="CA3593" s="1821"/>
      <c r="CB3593" s="1821"/>
      <c r="CC3593" s="1821"/>
      <c r="CD3593" s="1821"/>
      <c r="CE3593" s="1821"/>
      <c r="CF3593" s="1821"/>
      <c r="CG3593" s="1821"/>
      <c r="CH3593" s="1821"/>
      <c r="CI3593" s="1821"/>
      <c r="CJ3593" s="1821"/>
      <c r="CK3593" s="1821"/>
    </row>
    <row r="3594" spans="1:89" s="675" customFormat="1" ht="16.5" customHeight="1" x14ac:dyDescent="0.25">
      <c r="A3594" s="697"/>
      <c r="B3594" s="1002" t="s">
        <v>340</v>
      </c>
      <c r="C3594" s="1007"/>
      <c r="D3594" s="1005"/>
      <c r="E3594" s="1006"/>
      <c r="F3594" s="700"/>
      <c r="G3594" s="700"/>
      <c r="H3594" s="700">
        <f t="shared" si="390"/>
        <v>0</v>
      </c>
      <c r="I3594" s="700"/>
      <c r="J3594" s="700"/>
      <c r="K3594" s="700">
        <f t="shared" si="391"/>
        <v>0</v>
      </c>
      <c r="L3594" s="700"/>
      <c r="M3594" s="700"/>
      <c r="N3594" s="700">
        <f t="shared" si="392"/>
        <v>0</v>
      </c>
      <c r="O3594" s="974"/>
      <c r="P3594" s="956"/>
      <c r="Q3594" s="1821"/>
      <c r="R3594" s="1821"/>
      <c r="S3594" s="1821"/>
      <c r="T3594" s="1821"/>
      <c r="U3594" s="1821"/>
      <c r="V3594" s="1821"/>
      <c r="W3594" s="1821"/>
      <c r="X3594" s="1821"/>
      <c r="Y3594" s="1821"/>
      <c r="Z3594" s="1821"/>
      <c r="AA3594" s="1821"/>
      <c r="AB3594" s="1821"/>
      <c r="AC3594" s="1821"/>
      <c r="AD3594" s="1821"/>
      <c r="AE3594" s="1821"/>
      <c r="AF3594" s="1821"/>
      <c r="AG3594" s="1821"/>
      <c r="AH3594" s="1821"/>
      <c r="AI3594" s="1821"/>
      <c r="AJ3594" s="1821"/>
      <c r="AK3594" s="1821"/>
      <c r="AL3594" s="1821"/>
      <c r="AM3594" s="1821"/>
      <c r="AN3594" s="1821"/>
      <c r="AO3594" s="1821"/>
      <c r="AP3594" s="1821"/>
      <c r="AQ3594" s="1821"/>
      <c r="AR3594" s="1821"/>
      <c r="AS3594" s="1821"/>
      <c r="AT3594" s="1821"/>
      <c r="AU3594" s="1821"/>
      <c r="AV3594" s="1821"/>
      <c r="AW3594" s="1821"/>
      <c r="AX3594" s="1821"/>
      <c r="AY3594" s="1821"/>
      <c r="AZ3594" s="1821"/>
      <c r="BA3594" s="1821"/>
      <c r="BB3594" s="1821"/>
      <c r="BC3594" s="1821"/>
      <c r="BD3594" s="1821"/>
      <c r="BE3594" s="1821"/>
      <c r="BF3594" s="1821"/>
      <c r="BG3594" s="1821"/>
      <c r="BH3594" s="1821"/>
      <c r="BI3594" s="1821"/>
      <c r="BJ3594" s="1821"/>
      <c r="BK3594" s="1821"/>
      <c r="BL3594" s="1821"/>
      <c r="BM3594" s="1821"/>
      <c r="BN3594" s="1821"/>
      <c r="BO3594" s="1821"/>
      <c r="BP3594" s="1821"/>
      <c r="BQ3594" s="1821"/>
      <c r="BR3594" s="1821"/>
      <c r="BS3594" s="1821"/>
      <c r="BT3594" s="1821"/>
      <c r="BU3594" s="1821"/>
      <c r="BV3594" s="1821"/>
      <c r="BW3594" s="1821"/>
      <c r="BX3594" s="1821"/>
      <c r="BY3594" s="1821"/>
      <c r="BZ3594" s="1821"/>
      <c r="CA3594" s="1821"/>
      <c r="CB3594" s="1821"/>
      <c r="CC3594" s="1821"/>
      <c r="CD3594" s="1821"/>
      <c r="CE3594" s="1821"/>
      <c r="CF3594" s="1821"/>
      <c r="CG3594" s="1821"/>
      <c r="CH3594" s="1821"/>
      <c r="CI3594" s="1821"/>
      <c r="CJ3594" s="1821"/>
      <c r="CK3594" s="1821"/>
    </row>
    <row r="3595" spans="1:89" s="675" customFormat="1" ht="16.5" customHeight="1" x14ac:dyDescent="0.25">
      <c r="A3595" s="697"/>
      <c r="B3595" s="1002" t="s">
        <v>365</v>
      </c>
      <c r="C3595" s="1007">
        <v>1</v>
      </c>
      <c r="D3595" s="1005" t="s">
        <v>294</v>
      </c>
      <c r="E3595" s="1006">
        <v>31014</v>
      </c>
      <c r="F3595" s="700"/>
      <c r="G3595" s="700"/>
      <c r="H3595" s="700">
        <f t="shared" si="390"/>
        <v>0</v>
      </c>
      <c r="I3595" s="700">
        <f>C3595*E3595</f>
        <v>31014</v>
      </c>
      <c r="J3595" s="700"/>
      <c r="K3595" s="700">
        <f t="shared" si="391"/>
        <v>31014</v>
      </c>
      <c r="L3595" s="700"/>
      <c r="M3595" s="700"/>
      <c r="N3595" s="700">
        <f t="shared" si="392"/>
        <v>0</v>
      </c>
      <c r="O3595" s="974">
        <f>N3595+K3595+H3595</f>
        <v>31014</v>
      </c>
      <c r="P3595" s="956"/>
      <c r="Q3595" s="1821"/>
      <c r="R3595" s="1821"/>
      <c r="S3595" s="1821"/>
      <c r="T3595" s="1821"/>
      <c r="U3595" s="1821"/>
      <c r="V3595" s="1821"/>
      <c r="W3595" s="1821"/>
      <c r="X3595" s="1821"/>
      <c r="Y3595" s="1821"/>
      <c r="Z3595" s="1821"/>
      <c r="AA3595" s="1821"/>
      <c r="AB3595" s="1821"/>
      <c r="AC3595" s="1821"/>
      <c r="AD3595" s="1821"/>
      <c r="AE3595" s="1821"/>
      <c r="AF3595" s="1821"/>
      <c r="AG3595" s="1821"/>
      <c r="AH3595" s="1821"/>
      <c r="AI3595" s="1821"/>
      <c r="AJ3595" s="1821"/>
      <c r="AK3595" s="1821"/>
      <c r="AL3595" s="1821"/>
      <c r="AM3595" s="1821"/>
      <c r="AN3595" s="1821"/>
      <c r="AO3595" s="1821"/>
      <c r="AP3595" s="1821"/>
      <c r="AQ3595" s="1821"/>
      <c r="AR3595" s="1821"/>
      <c r="AS3595" s="1821"/>
      <c r="AT3595" s="1821"/>
      <c r="AU3595" s="1821"/>
      <c r="AV3595" s="1821"/>
      <c r="AW3595" s="1821"/>
      <c r="AX3595" s="1821"/>
      <c r="AY3595" s="1821"/>
      <c r="AZ3595" s="1821"/>
      <c r="BA3595" s="1821"/>
      <c r="BB3595" s="1821"/>
      <c r="BC3595" s="1821"/>
      <c r="BD3595" s="1821"/>
      <c r="BE3595" s="1821"/>
      <c r="BF3595" s="1821"/>
      <c r="BG3595" s="1821"/>
      <c r="BH3595" s="1821"/>
      <c r="BI3595" s="1821"/>
      <c r="BJ3595" s="1821"/>
      <c r="BK3595" s="1821"/>
      <c r="BL3595" s="1821"/>
      <c r="BM3595" s="1821"/>
      <c r="BN3595" s="1821"/>
      <c r="BO3595" s="1821"/>
      <c r="BP3595" s="1821"/>
      <c r="BQ3595" s="1821"/>
      <c r="BR3595" s="1821"/>
      <c r="BS3595" s="1821"/>
      <c r="BT3595" s="1821"/>
      <c r="BU3595" s="1821"/>
      <c r="BV3595" s="1821"/>
      <c r="BW3595" s="1821"/>
      <c r="BX3595" s="1821"/>
      <c r="BY3595" s="1821"/>
      <c r="BZ3595" s="1821"/>
      <c r="CA3595" s="1821"/>
      <c r="CB3595" s="1821"/>
      <c r="CC3595" s="1821"/>
      <c r="CD3595" s="1821"/>
      <c r="CE3595" s="1821"/>
      <c r="CF3595" s="1821"/>
      <c r="CG3595" s="1821"/>
      <c r="CH3595" s="1821"/>
      <c r="CI3595" s="1821"/>
      <c r="CJ3595" s="1821"/>
      <c r="CK3595" s="1821"/>
    </row>
    <row r="3596" spans="1:89" s="675" customFormat="1" ht="16.5" customHeight="1" x14ac:dyDescent="0.25">
      <c r="A3596" s="697"/>
      <c r="B3596" s="1002" t="s">
        <v>370</v>
      </c>
      <c r="C3596" s="1007"/>
      <c r="D3596" s="1005"/>
      <c r="E3596" s="1006"/>
      <c r="F3596" s="700"/>
      <c r="G3596" s="700"/>
      <c r="H3596" s="700">
        <f t="shared" si="390"/>
        <v>0</v>
      </c>
      <c r="I3596" s="700"/>
      <c r="J3596" s="700"/>
      <c r="K3596" s="700">
        <f t="shared" si="391"/>
        <v>0</v>
      </c>
      <c r="L3596" s="700"/>
      <c r="M3596" s="700"/>
      <c r="N3596" s="700">
        <f t="shared" si="392"/>
        <v>0</v>
      </c>
      <c r="O3596" s="974">
        <f>N3596+K3596+H3596</f>
        <v>0</v>
      </c>
      <c r="P3596" s="956"/>
      <c r="Q3596" s="1821"/>
      <c r="R3596" s="1821"/>
      <c r="S3596" s="1821"/>
      <c r="T3596" s="1821"/>
      <c r="U3596" s="1821"/>
      <c r="V3596" s="1821"/>
      <c r="W3596" s="1821"/>
      <c r="X3596" s="1821"/>
      <c r="Y3596" s="1821"/>
      <c r="Z3596" s="1821"/>
      <c r="AA3596" s="1821"/>
      <c r="AB3596" s="1821"/>
      <c r="AC3596" s="1821"/>
      <c r="AD3596" s="1821"/>
      <c r="AE3596" s="1821"/>
      <c r="AF3596" s="1821"/>
      <c r="AG3596" s="1821"/>
      <c r="AH3596" s="1821"/>
      <c r="AI3596" s="1821"/>
      <c r="AJ3596" s="1821"/>
      <c r="AK3596" s="1821"/>
      <c r="AL3596" s="1821"/>
      <c r="AM3596" s="1821"/>
      <c r="AN3596" s="1821"/>
      <c r="AO3596" s="1821"/>
      <c r="AP3596" s="1821"/>
      <c r="AQ3596" s="1821"/>
      <c r="AR3596" s="1821"/>
      <c r="AS3596" s="1821"/>
      <c r="AT3596" s="1821"/>
      <c r="AU3596" s="1821"/>
      <c r="AV3596" s="1821"/>
      <c r="AW3596" s="1821"/>
      <c r="AX3596" s="1821"/>
      <c r="AY3596" s="1821"/>
      <c r="AZ3596" s="1821"/>
      <c r="BA3596" s="1821"/>
      <c r="BB3596" s="1821"/>
      <c r="BC3596" s="1821"/>
      <c r="BD3596" s="1821"/>
      <c r="BE3596" s="1821"/>
      <c r="BF3596" s="1821"/>
      <c r="BG3596" s="1821"/>
      <c r="BH3596" s="1821"/>
      <c r="BI3596" s="1821"/>
      <c r="BJ3596" s="1821"/>
      <c r="BK3596" s="1821"/>
      <c r="BL3596" s="1821"/>
      <c r="BM3596" s="1821"/>
      <c r="BN3596" s="1821"/>
      <c r="BO3596" s="1821"/>
      <c r="BP3596" s="1821"/>
      <c r="BQ3596" s="1821"/>
      <c r="BR3596" s="1821"/>
      <c r="BS3596" s="1821"/>
      <c r="BT3596" s="1821"/>
      <c r="BU3596" s="1821"/>
      <c r="BV3596" s="1821"/>
      <c r="BW3596" s="1821"/>
      <c r="BX3596" s="1821"/>
      <c r="BY3596" s="1821"/>
      <c r="BZ3596" s="1821"/>
      <c r="CA3596" s="1821"/>
      <c r="CB3596" s="1821"/>
      <c r="CC3596" s="1821"/>
      <c r="CD3596" s="1821"/>
      <c r="CE3596" s="1821"/>
      <c r="CF3596" s="1821"/>
      <c r="CG3596" s="1821"/>
      <c r="CH3596" s="1821"/>
      <c r="CI3596" s="1821"/>
      <c r="CJ3596" s="1821"/>
      <c r="CK3596" s="1821"/>
    </row>
    <row r="3597" spans="1:89" s="675" customFormat="1" ht="16.5" customHeight="1" x14ac:dyDescent="0.25">
      <c r="A3597" s="697"/>
      <c r="B3597" s="1002" t="s">
        <v>359</v>
      </c>
      <c r="C3597" s="1007">
        <v>8</v>
      </c>
      <c r="D3597" s="1005" t="s">
        <v>51</v>
      </c>
      <c r="E3597" s="1006">
        <v>150</v>
      </c>
      <c r="F3597" s="700"/>
      <c r="G3597" s="700"/>
      <c r="H3597" s="700">
        <f>G3597+F3597</f>
        <v>0</v>
      </c>
      <c r="I3597" s="700"/>
      <c r="J3597" s="700">
        <f>C3597*E3597</f>
        <v>1200</v>
      </c>
      <c r="K3597" s="700">
        <f t="shared" si="391"/>
        <v>1200</v>
      </c>
      <c r="L3597" s="700"/>
      <c r="M3597" s="700"/>
      <c r="N3597" s="700">
        <f>M3597+L3597</f>
        <v>0</v>
      </c>
      <c r="O3597" s="974">
        <f>N3597+K3597+H3597</f>
        <v>1200</v>
      </c>
      <c r="P3597" s="956"/>
      <c r="Q3597" s="1821"/>
      <c r="R3597" s="1821"/>
      <c r="S3597" s="1821"/>
      <c r="T3597" s="1821"/>
      <c r="U3597" s="1821"/>
      <c r="V3597" s="1821"/>
      <c r="W3597" s="1821"/>
      <c r="X3597" s="1821"/>
      <c r="Y3597" s="1821"/>
      <c r="Z3597" s="1821"/>
      <c r="AA3597" s="1821"/>
      <c r="AB3597" s="1821"/>
      <c r="AC3597" s="1821"/>
      <c r="AD3597" s="1821"/>
      <c r="AE3597" s="1821"/>
      <c r="AF3597" s="1821"/>
      <c r="AG3597" s="1821"/>
      <c r="AH3597" s="1821"/>
      <c r="AI3597" s="1821"/>
      <c r="AJ3597" s="1821"/>
      <c r="AK3597" s="1821"/>
      <c r="AL3597" s="1821"/>
      <c r="AM3597" s="1821"/>
      <c r="AN3597" s="1821"/>
      <c r="AO3597" s="1821"/>
      <c r="AP3597" s="1821"/>
      <c r="AQ3597" s="1821"/>
      <c r="AR3597" s="1821"/>
      <c r="AS3597" s="1821"/>
      <c r="AT3597" s="1821"/>
      <c r="AU3597" s="1821"/>
      <c r="AV3597" s="1821"/>
      <c r="AW3597" s="1821"/>
      <c r="AX3597" s="1821"/>
      <c r="AY3597" s="1821"/>
      <c r="AZ3597" s="1821"/>
      <c r="BA3597" s="1821"/>
      <c r="BB3597" s="1821"/>
      <c r="BC3597" s="1821"/>
      <c r="BD3597" s="1821"/>
      <c r="BE3597" s="1821"/>
      <c r="BF3597" s="1821"/>
      <c r="BG3597" s="1821"/>
      <c r="BH3597" s="1821"/>
      <c r="BI3597" s="1821"/>
      <c r="BJ3597" s="1821"/>
      <c r="BK3597" s="1821"/>
      <c r="BL3597" s="1821"/>
      <c r="BM3597" s="1821"/>
      <c r="BN3597" s="1821"/>
      <c r="BO3597" s="1821"/>
      <c r="BP3597" s="1821"/>
      <c r="BQ3597" s="1821"/>
      <c r="BR3597" s="1821"/>
      <c r="BS3597" s="1821"/>
      <c r="BT3597" s="1821"/>
      <c r="BU3597" s="1821"/>
      <c r="BV3597" s="1821"/>
      <c r="BW3597" s="1821"/>
      <c r="BX3597" s="1821"/>
      <c r="BY3597" s="1821"/>
      <c r="BZ3597" s="1821"/>
      <c r="CA3597" s="1821"/>
      <c r="CB3597" s="1821"/>
      <c r="CC3597" s="1821"/>
      <c r="CD3597" s="1821"/>
      <c r="CE3597" s="1821"/>
      <c r="CF3597" s="1821"/>
      <c r="CG3597" s="1821"/>
      <c r="CH3597" s="1821"/>
      <c r="CI3597" s="1821"/>
      <c r="CJ3597" s="1821"/>
      <c r="CK3597" s="1821"/>
    </row>
    <row r="3598" spans="1:89" s="675" customFormat="1" ht="16.5" customHeight="1" x14ac:dyDescent="0.25">
      <c r="A3598" s="697"/>
      <c r="B3598" s="1002" t="s">
        <v>52</v>
      </c>
      <c r="C3598" s="1007">
        <v>24</v>
      </c>
      <c r="D3598" s="1005" t="s">
        <v>55</v>
      </c>
      <c r="E3598" s="1006">
        <v>460</v>
      </c>
      <c r="F3598" s="700"/>
      <c r="G3598" s="700"/>
      <c r="H3598" s="700"/>
      <c r="I3598" s="700"/>
      <c r="J3598" s="700">
        <f>C3598*E3598</f>
        <v>11040</v>
      </c>
      <c r="K3598" s="700">
        <f t="shared" si="391"/>
        <v>11040</v>
      </c>
      <c r="L3598" s="700"/>
      <c r="M3598" s="700"/>
      <c r="N3598" s="700"/>
      <c r="O3598" s="974">
        <f>C3598*E3598</f>
        <v>11040</v>
      </c>
      <c r="P3598" s="956"/>
      <c r="Q3598" s="1821"/>
      <c r="R3598" s="1821"/>
      <c r="S3598" s="1821"/>
      <c r="T3598" s="1821"/>
      <c r="U3598" s="1821"/>
      <c r="V3598" s="1821"/>
      <c r="W3598" s="1821"/>
      <c r="X3598" s="1821"/>
      <c r="Y3598" s="1821"/>
      <c r="Z3598" s="1821"/>
      <c r="AA3598" s="1821"/>
      <c r="AB3598" s="1821"/>
      <c r="AC3598" s="1821"/>
      <c r="AD3598" s="1821"/>
      <c r="AE3598" s="1821"/>
      <c r="AF3598" s="1821"/>
      <c r="AG3598" s="1821"/>
      <c r="AH3598" s="1821"/>
      <c r="AI3598" s="1821"/>
      <c r="AJ3598" s="1821"/>
      <c r="AK3598" s="1821"/>
      <c r="AL3598" s="1821"/>
      <c r="AM3598" s="1821"/>
      <c r="AN3598" s="1821"/>
      <c r="AO3598" s="1821"/>
      <c r="AP3598" s="1821"/>
      <c r="AQ3598" s="1821"/>
      <c r="AR3598" s="1821"/>
      <c r="AS3598" s="1821"/>
      <c r="AT3598" s="1821"/>
      <c r="AU3598" s="1821"/>
      <c r="AV3598" s="1821"/>
      <c r="AW3598" s="1821"/>
      <c r="AX3598" s="1821"/>
      <c r="AY3598" s="1821"/>
      <c r="AZ3598" s="1821"/>
      <c r="BA3598" s="1821"/>
      <c r="BB3598" s="1821"/>
      <c r="BC3598" s="1821"/>
      <c r="BD3598" s="1821"/>
      <c r="BE3598" s="1821"/>
      <c r="BF3598" s="1821"/>
      <c r="BG3598" s="1821"/>
      <c r="BH3598" s="1821"/>
      <c r="BI3598" s="1821"/>
      <c r="BJ3598" s="1821"/>
      <c r="BK3598" s="1821"/>
      <c r="BL3598" s="1821"/>
      <c r="BM3598" s="1821"/>
      <c r="BN3598" s="1821"/>
      <c r="BO3598" s="1821"/>
      <c r="BP3598" s="1821"/>
      <c r="BQ3598" s="1821"/>
      <c r="BR3598" s="1821"/>
      <c r="BS3598" s="1821"/>
      <c r="BT3598" s="1821"/>
      <c r="BU3598" s="1821"/>
      <c r="BV3598" s="1821"/>
      <c r="BW3598" s="1821"/>
      <c r="BX3598" s="1821"/>
      <c r="BY3598" s="1821"/>
      <c r="BZ3598" s="1821"/>
      <c r="CA3598" s="1821"/>
      <c r="CB3598" s="1821"/>
      <c r="CC3598" s="1821"/>
      <c r="CD3598" s="1821"/>
      <c r="CE3598" s="1821"/>
      <c r="CF3598" s="1821"/>
      <c r="CG3598" s="1821"/>
      <c r="CH3598" s="1821"/>
      <c r="CI3598" s="1821"/>
      <c r="CJ3598" s="1821"/>
      <c r="CK3598" s="1821"/>
    </row>
    <row r="3599" spans="1:89" s="675" customFormat="1" ht="16.5" customHeight="1" x14ac:dyDescent="0.25">
      <c r="A3599" s="697"/>
      <c r="B3599" s="1002" t="s">
        <v>54</v>
      </c>
      <c r="C3599" s="1007">
        <v>16</v>
      </c>
      <c r="D3599" s="1005" t="s">
        <v>55</v>
      </c>
      <c r="E3599" s="1006">
        <v>430</v>
      </c>
      <c r="F3599" s="700"/>
      <c r="G3599" s="700"/>
      <c r="H3599" s="700">
        <f t="shared" si="390"/>
        <v>0</v>
      </c>
      <c r="I3599" s="700"/>
      <c r="J3599" s="700">
        <f>C3599*E3599</f>
        <v>6880</v>
      </c>
      <c r="K3599" s="700">
        <f t="shared" si="391"/>
        <v>6880</v>
      </c>
      <c r="L3599" s="700"/>
      <c r="M3599" s="700"/>
      <c r="N3599" s="700">
        <f t="shared" si="392"/>
        <v>0</v>
      </c>
      <c r="O3599" s="974">
        <f>N3599+K3599+H3599</f>
        <v>6880</v>
      </c>
      <c r="P3599" s="956"/>
      <c r="Q3599" s="1821"/>
      <c r="R3599" s="1821"/>
      <c r="S3599" s="1821"/>
      <c r="T3599" s="1821"/>
      <c r="U3599" s="1821"/>
      <c r="V3599" s="1821"/>
      <c r="W3599" s="1821"/>
      <c r="X3599" s="1821"/>
      <c r="Y3599" s="1821"/>
      <c r="Z3599" s="1821"/>
      <c r="AA3599" s="1821"/>
      <c r="AB3599" s="1821"/>
      <c r="AC3599" s="1821"/>
      <c r="AD3599" s="1821"/>
      <c r="AE3599" s="1821"/>
      <c r="AF3599" s="1821"/>
      <c r="AG3599" s="1821"/>
      <c r="AH3599" s="1821"/>
      <c r="AI3599" s="1821"/>
      <c r="AJ3599" s="1821"/>
      <c r="AK3599" s="1821"/>
      <c r="AL3599" s="1821"/>
      <c r="AM3599" s="1821"/>
      <c r="AN3599" s="1821"/>
      <c r="AO3599" s="1821"/>
      <c r="AP3599" s="1821"/>
      <c r="AQ3599" s="1821"/>
      <c r="AR3599" s="1821"/>
      <c r="AS3599" s="1821"/>
      <c r="AT3599" s="1821"/>
      <c r="AU3599" s="1821"/>
      <c r="AV3599" s="1821"/>
      <c r="AW3599" s="1821"/>
      <c r="AX3599" s="1821"/>
      <c r="AY3599" s="1821"/>
      <c r="AZ3599" s="1821"/>
      <c r="BA3599" s="1821"/>
      <c r="BB3599" s="1821"/>
      <c r="BC3599" s="1821"/>
      <c r="BD3599" s="1821"/>
      <c r="BE3599" s="1821"/>
      <c r="BF3599" s="1821"/>
      <c r="BG3599" s="1821"/>
      <c r="BH3599" s="1821"/>
      <c r="BI3599" s="1821"/>
      <c r="BJ3599" s="1821"/>
      <c r="BK3599" s="1821"/>
      <c r="BL3599" s="1821"/>
      <c r="BM3599" s="1821"/>
      <c r="BN3599" s="1821"/>
      <c r="BO3599" s="1821"/>
      <c r="BP3599" s="1821"/>
      <c r="BQ3599" s="1821"/>
      <c r="BR3599" s="1821"/>
      <c r="BS3599" s="1821"/>
      <c r="BT3599" s="1821"/>
      <c r="BU3599" s="1821"/>
      <c r="BV3599" s="1821"/>
      <c r="BW3599" s="1821"/>
      <c r="BX3599" s="1821"/>
      <c r="BY3599" s="1821"/>
      <c r="BZ3599" s="1821"/>
      <c r="CA3599" s="1821"/>
      <c r="CB3599" s="1821"/>
      <c r="CC3599" s="1821"/>
      <c r="CD3599" s="1821"/>
      <c r="CE3599" s="1821"/>
      <c r="CF3599" s="1821"/>
      <c r="CG3599" s="1821"/>
      <c r="CH3599" s="1821"/>
      <c r="CI3599" s="1821"/>
      <c r="CJ3599" s="1821"/>
      <c r="CK3599" s="1821"/>
    </row>
    <row r="3600" spans="1:89" s="675" customFormat="1" ht="16.5" customHeight="1" x14ac:dyDescent="0.25">
      <c r="A3600" s="697"/>
      <c r="B3600" s="1002"/>
      <c r="C3600" s="1007"/>
      <c r="D3600" s="1005"/>
      <c r="E3600" s="1006"/>
      <c r="F3600" s="700"/>
      <c r="G3600" s="700"/>
      <c r="H3600" s="700"/>
      <c r="I3600" s="700"/>
      <c r="J3600" s="700"/>
      <c r="K3600" s="700"/>
      <c r="L3600" s="700"/>
      <c r="M3600" s="700"/>
      <c r="N3600" s="700"/>
      <c r="O3600" s="974"/>
      <c r="P3600" s="956"/>
      <c r="Q3600" s="1821"/>
      <c r="R3600" s="1821"/>
      <c r="S3600" s="1821"/>
      <c r="T3600" s="1821"/>
      <c r="U3600" s="1821"/>
      <c r="V3600" s="1821"/>
      <c r="W3600" s="1821"/>
      <c r="X3600" s="1821"/>
      <c r="Y3600" s="1821"/>
      <c r="Z3600" s="1821"/>
      <c r="AA3600" s="1821"/>
      <c r="AB3600" s="1821"/>
      <c r="AC3600" s="1821"/>
      <c r="AD3600" s="1821"/>
      <c r="AE3600" s="1821"/>
      <c r="AF3600" s="1821"/>
      <c r="AG3600" s="1821"/>
      <c r="AH3600" s="1821"/>
      <c r="AI3600" s="1821"/>
      <c r="AJ3600" s="1821"/>
      <c r="AK3600" s="1821"/>
      <c r="AL3600" s="1821"/>
      <c r="AM3600" s="1821"/>
      <c r="AN3600" s="1821"/>
      <c r="AO3600" s="1821"/>
      <c r="AP3600" s="1821"/>
      <c r="AQ3600" s="1821"/>
      <c r="AR3600" s="1821"/>
      <c r="AS3600" s="1821"/>
      <c r="AT3600" s="1821"/>
      <c r="AU3600" s="1821"/>
      <c r="AV3600" s="1821"/>
      <c r="AW3600" s="1821"/>
      <c r="AX3600" s="1821"/>
      <c r="AY3600" s="1821"/>
      <c r="AZ3600" s="1821"/>
      <c r="BA3600" s="1821"/>
      <c r="BB3600" s="1821"/>
      <c r="BC3600" s="1821"/>
      <c r="BD3600" s="1821"/>
      <c r="BE3600" s="1821"/>
      <c r="BF3600" s="1821"/>
      <c r="BG3600" s="1821"/>
      <c r="BH3600" s="1821"/>
      <c r="BI3600" s="1821"/>
      <c r="BJ3600" s="1821"/>
      <c r="BK3600" s="1821"/>
      <c r="BL3600" s="1821"/>
      <c r="BM3600" s="1821"/>
      <c r="BN3600" s="1821"/>
      <c r="BO3600" s="1821"/>
      <c r="BP3600" s="1821"/>
      <c r="BQ3600" s="1821"/>
      <c r="BR3600" s="1821"/>
      <c r="BS3600" s="1821"/>
      <c r="BT3600" s="1821"/>
      <c r="BU3600" s="1821"/>
      <c r="BV3600" s="1821"/>
      <c r="BW3600" s="1821"/>
      <c r="BX3600" s="1821"/>
      <c r="BY3600" s="1821"/>
      <c r="BZ3600" s="1821"/>
      <c r="CA3600" s="1821"/>
      <c r="CB3600" s="1821"/>
      <c r="CC3600" s="1821"/>
      <c r="CD3600" s="1821"/>
      <c r="CE3600" s="1821"/>
      <c r="CF3600" s="1821"/>
      <c r="CG3600" s="1821"/>
      <c r="CH3600" s="1821"/>
      <c r="CI3600" s="1821"/>
      <c r="CJ3600" s="1821"/>
      <c r="CK3600" s="1821"/>
    </row>
    <row r="3601" spans="1:89" s="675" customFormat="1" ht="16.5" customHeight="1" x14ac:dyDescent="0.25">
      <c r="A3601" s="697">
        <v>14</v>
      </c>
      <c r="B3601" s="1002" t="s">
        <v>372</v>
      </c>
      <c r="C3601" s="1007"/>
      <c r="D3601" s="1005"/>
      <c r="E3601" s="1006"/>
      <c r="F3601" s="700"/>
      <c r="G3601" s="700"/>
      <c r="H3601" s="700">
        <f>G3601+F3601</f>
        <v>0</v>
      </c>
      <c r="I3601" s="700"/>
      <c r="J3601" s="700"/>
      <c r="K3601" s="700">
        <f t="shared" ref="K3601:K3632" si="393">J3601+I3601</f>
        <v>0</v>
      </c>
      <c r="L3601" s="700"/>
      <c r="M3601" s="700"/>
      <c r="N3601" s="700">
        <f>M3601+L3601</f>
        <v>0</v>
      </c>
      <c r="O3601" s="974"/>
      <c r="P3601" s="956"/>
      <c r="Q3601" s="1821"/>
      <c r="R3601" s="1821"/>
      <c r="S3601" s="1821"/>
      <c r="T3601" s="1821"/>
      <c r="U3601" s="1821"/>
      <c r="V3601" s="1821"/>
      <c r="W3601" s="1821"/>
      <c r="X3601" s="1821"/>
      <c r="Y3601" s="1821"/>
      <c r="Z3601" s="1821"/>
      <c r="AA3601" s="1821"/>
      <c r="AB3601" s="1821"/>
      <c r="AC3601" s="1821"/>
      <c r="AD3601" s="1821"/>
      <c r="AE3601" s="1821"/>
      <c r="AF3601" s="1821"/>
      <c r="AG3601" s="1821"/>
      <c r="AH3601" s="1821"/>
      <c r="AI3601" s="1821"/>
      <c r="AJ3601" s="1821"/>
      <c r="AK3601" s="1821"/>
      <c r="AL3601" s="1821"/>
      <c r="AM3601" s="1821"/>
      <c r="AN3601" s="1821"/>
      <c r="AO3601" s="1821"/>
      <c r="AP3601" s="1821"/>
      <c r="AQ3601" s="1821"/>
      <c r="AR3601" s="1821"/>
      <c r="AS3601" s="1821"/>
      <c r="AT3601" s="1821"/>
      <c r="AU3601" s="1821"/>
      <c r="AV3601" s="1821"/>
      <c r="AW3601" s="1821"/>
      <c r="AX3601" s="1821"/>
      <c r="AY3601" s="1821"/>
      <c r="AZ3601" s="1821"/>
      <c r="BA3601" s="1821"/>
      <c r="BB3601" s="1821"/>
      <c r="BC3601" s="1821"/>
      <c r="BD3601" s="1821"/>
      <c r="BE3601" s="1821"/>
      <c r="BF3601" s="1821"/>
      <c r="BG3601" s="1821"/>
      <c r="BH3601" s="1821"/>
      <c r="BI3601" s="1821"/>
      <c r="BJ3601" s="1821"/>
      <c r="BK3601" s="1821"/>
      <c r="BL3601" s="1821"/>
      <c r="BM3601" s="1821"/>
      <c r="BN3601" s="1821"/>
      <c r="BO3601" s="1821"/>
      <c r="BP3601" s="1821"/>
      <c r="BQ3601" s="1821"/>
      <c r="BR3601" s="1821"/>
      <c r="BS3601" s="1821"/>
      <c r="BT3601" s="1821"/>
      <c r="BU3601" s="1821"/>
      <c r="BV3601" s="1821"/>
      <c r="BW3601" s="1821"/>
      <c r="BX3601" s="1821"/>
      <c r="BY3601" s="1821"/>
      <c r="BZ3601" s="1821"/>
      <c r="CA3601" s="1821"/>
      <c r="CB3601" s="1821"/>
      <c r="CC3601" s="1821"/>
      <c r="CD3601" s="1821"/>
      <c r="CE3601" s="1821"/>
      <c r="CF3601" s="1821"/>
      <c r="CG3601" s="1821"/>
      <c r="CH3601" s="1821"/>
      <c r="CI3601" s="1821"/>
      <c r="CJ3601" s="1821"/>
      <c r="CK3601" s="1821"/>
    </row>
    <row r="3602" spans="1:89" s="675" customFormat="1" ht="16.5" customHeight="1" x14ac:dyDescent="0.25">
      <c r="A3602" s="697"/>
      <c r="B3602" s="1002" t="s">
        <v>1265</v>
      </c>
      <c r="C3602" s="1007">
        <f>SUM(O3603:O3610)</f>
        <v>118960</v>
      </c>
      <c r="D3602" s="1005"/>
      <c r="E3602" s="1006"/>
      <c r="F3602" s="700"/>
      <c r="G3602" s="700"/>
      <c r="H3602" s="700">
        <f>G3602+F3602</f>
        <v>0</v>
      </c>
      <c r="I3602" s="700"/>
      <c r="J3602" s="700"/>
      <c r="K3602" s="700">
        <f t="shared" si="393"/>
        <v>0</v>
      </c>
      <c r="L3602" s="700"/>
      <c r="M3602" s="700"/>
      <c r="N3602" s="700">
        <f>M3602+L3602</f>
        <v>0</v>
      </c>
      <c r="O3602" s="974"/>
      <c r="P3602" s="956"/>
      <c r="Q3602" s="1821"/>
      <c r="R3602" s="1821"/>
      <c r="S3602" s="1821"/>
      <c r="T3602" s="1821"/>
      <c r="U3602" s="1821"/>
      <c r="V3602" s="1821"/>
      <c r="W3602" s="1821"/>
      <c r="X3602" s="1821"/>
      <c r="Y3602" s="1821"/>
      <c r="Z3602" s="1821"/>
      <c r="AA3602" s="1821"/>
      <c r="AB3602" s="1821"/>
      <c r="AC3602" s="1821"/>
      <c r="AD3602" s="1821"/>
      <c r="AE3602" s="1821"/>
      <c r="AF3602" s="1821"/>
      <c r="AG3602" s="1821"/>
      <c r="AH3602" s="1821"/>
      <c r="AI3602" s="1821"/>
      <c r="AJ3602" s="1821"/>
      <c r="AK3602" s="1821"/>
      <c r="AL3602" s="1821"/>
      <c r="AM3602" s="1821"/>
      <c r="AN3602" s="1821"/>
      <c r="AO3602" s="1821"/>
      <c r="AP3602" s="1821"/>
      <c r="AQ3602" s="1821"/>
      <c r="AR3602" s="1821"/>
      <c r="AS3602" s="1821"/>
      <c r="AT3602" s="1821"/>
      <c r="AU3602" s="1821"/>
      <c r="AV3602" s="1821"/>
      <c r="AW3602" s="1821"/>
      <c r="AX3602" s="1821"/>
      <c r="AY3602" s="1821"/>
      <c r="AZ3602" s="1821"/>
      <c r="BA3602" s="1821"/>
      <c r="BB3602" s="1821"/>
      <c r="BC3602" s="1821"/>
      <c r="BD3602" s="1821"/>
      <c r="BE3602" s="1821"/>
      <c r="BF3602" s="1821"/>
      <c r="BG3602" s="1821"/>
      <c r="BH3602" s="1821"/>
      <c r="BI3602" s="1821"/>
      <c r="BJ3602" s="1821"/>
      <c r="BK3602" s="1821"/>
      <c r="BL3602" s="1821"/>
      <c r="BM3602" s="1821"/>
      <c r="BN3602" s="1821"/>
      <c r="BO3602" s="1821"/>
      <c r="BP3602" s="1821"/>
      <c r="BQ3602" s="1821"/>
      <c r="BR3602" s="1821"/>
      <c r="BS3602" s="1821"/>
      <c r="BT3602" s="1821"/>
      <c r="BU3602" s="1821"/>
      <c r="BV3602" s="1821"/>
      <c r="BW3602" s="1821"/>
      <c r="BX3602" s="1821"/>
      <c r="BY3602" s="1821"/>
      <c r="BZ3602" s="1821"/>
      <c r="CA3602" s="1821"/>
      <c r="CB3602" s="1821"/>
      <c r="CC3602" s="1821"/>
      <c r="CD3602" s="1821"/>
      <c r="CE3602" s="1821"/>
      <c r="CF3602" s="1821"/>
      <c r="CG3602" s="1821"/>
      <c r="CH3602" s="1821"/>
      <c r="CI3602" s="1821"/>
      <c r="CJ3602" s="1821"/>
      <c r="CK3602" s="1821"/>
    </row>
    <row r="3603" spans="1:89" s="675" customFormat="1" ht="16.5" customHeight="1" x14ac:dyDescent="0.25">
      <c r="A3603" s="697"/>
      <c r="B3603" s="1002" t="s">
        <v>357</v>
      </c>
      <c r="C3603" s="1007">
        <v>1</v>
      </c>
      <c r="D3603" s="1005" t="s">
        <v>978</v>
      </c>
      <c r="E3603" s="1006">
        <v>85000</v>
      </c>
      <c r="F3603" s="700"/>
      <c r="G3603" s="700"/>
      <c r="H3603" s="700">
        <f>G3603+F3603</f>
        <v>0</v>
      </c>
      <c r="I3603" s="700">
        <f>C3603*E3603</f>
        <v>85000</v>
      </c>
      <c r="J3603" s="700"/>
      <c r="K3603" s="700">
        <f t="shared" si="393"/>
        <v>85000</v>
      </c>
      <c r="L3603" s="700"/>
      <c r="M3603" s="700"/>
      <c r="N3603" s="700">
        <f>M3603+L3603</f>
        <v>0</v>
      </c>
      <c r="O3603" s="974">
        <f>N3603+K3603+H3603</f>
        <v>85000</v>
      </c>
      <c r="P3603" s="956"/>
      <c r="Q3603" s="1821"/>
      <c r="R3603" s="1821"/>
      <c r="S3603" s="1821"/>
      <c r="T3603" s="1821"/>
      <c r="U3603" s="1821"/>
      <c r="V3603" s="1821"/>
      <c r="W3603" s="1821"/>
      <c r="X3603" s="1821"/>
      <c r="Y3603" s="1821"/>
      <c r="Z3603" s="1821"/>
      <c r="AA3603" s="1821"/>
      <c r="AB3603" s="1821"/>
      <c r="AC3603" s="1821"/>
      <c r="AD3603" s="1821"/>
      <c r="AE3603" s="1821"/>
      <c r="AF3603" s="1821"/>
      <c r="AG3603" s="1821"/>
      <c r="AH3603" s="1821"/>
      <c r="AI3603" s="1821"/>
      <c r="AJ3603" s="1821"/>
      <c r="AK3603" s="1821"/>
      <c r="AL3603" s="1821"/>
      <c r="AM3603" s="1821"/>
      <c r="AN3603" s="1821"/>
      <c r="AO3603" s="1821"/>
      <c r="AP3603" s="1821"/>
      <c r="AQ3603" s="1821"/>
      <c r="AR3603" s="1821"/>
      <c r="AS3603" s="1821"/>
      <c r="AT3603" s="1821"/>
      <c r="AU3603" s="1821"/>
      <c r="AV3603" s="1821"/>
      <c r="AW3603" s="1821"/>
      <c r="AX3603" s="1821"/>
      <c r="AY3603" s="1821"/>
      <c r="AZ3603" s="1821"/>
      <c r="BA3603" s="1821"/>
      <c r="BB3603" s="1821"/>
      <c r="BC3603" s="1821"/>
      <c r="BD3603" s="1821"/>
      <c r="BE3603" s="1821"/>
      <c r="BF3603" s="1821"/>
      <c r="BG3603" s="1821"/>
      <c r="BH3603" s="1821"/>
      <c r="BI3603" s="1821"/>
      <c r="BJ3603" s="1821"/>
      <c r="BK3603" s="1821"/>
      <c r="BL3603" s="1821"/>
      <c r="BM3603" s="1821"/>
      <c r="BN3603" s="1821"/>
      <c r="BO3603" s="1821"/>
      <c r="BP3603" s="1821"/>
      <c r="BQ3603" s="1821"/>
      <c r="BR3603" s="1821"/>
      <c r="BS3603" s="1821"/>
      <c r="BT3603" s="1821"/>
      <c r="BU3603" s="1821"/>
      <c r="BV3603" s="1821"/>
      <c r="BW3603" s="1821"/>
      <c r="BX3603" s="1821"/>
      <c r="BY3603" s="1821"/>
      <c r="BZ3603" s="1821"/>
      <c r="CA3603" s="1821"/>
      <c r="CB3603" s="1821"/>
      <c r="CC3603" s="1821"/>
      <c r="CD3603" s="1821"/>
      <c r="CE3603" s="1821"/>
      <c r="CF3603" s="1821"/>
      <c r="CG3603" s="1821"/>
      <c r="CH3603" s="1821"/>
      <c r="CI3603" s="1821"/>
      <c r="CJ3603" s="1821"/>
      <c r="CK3603" s="1821"/>
    </row>
    <row r="3604" spans="1:89" s="675" customFormat="1" ht="16.5" customHeight="1" x14ac:dyDescent="0.25">
      <c r="A3604" s="697"/>
      <c r="B3604" s="1002" t="s">
        <v>1273</v>
      </c>
      <c r="C3604" s="1007">
        <v>71</v>
      </c>
      <c r="D3604" s="1005" t="s">
        <v>55</v>
      </c>
      <c r="E3604" s="1006">
        <v>330</v>
      </c>
      <c r="F3604" s="700"/>
      <c r="G3604" s="700"/>
      <c r="H3604" s="700"/>
      <c r="I3604" s="700">
        <f>C3604*E3604</f>
        <v>23430</v>
      </c>
      <c r="J3604" s="700"/>
      <c r="K3604" s="700">
        <f t="shared" si="393"/>
        <v>23430</v>
      </c>
      <c r="L3604" s="700"/>
      <c r="M3604" s="700"/>
      <c r="N3604" s="700"/>
      <c r="O3604" s="974">
        <f>C3604*E3604</f>
        <v>23430</v>
      </c>
      <c r="P3604" s="956"/>
      <c r="Q3604" s="1821"/>
      <c r="R3604" s="1821"/>
      <c r="S3604" s="1821"/>
      <c r="T3604" s="1821"/>
      <c r="U3604" s="1821"/>
      <c r="V3604" s="1821"/>
      <c r="W3604" s="1821"/>
      <c r="X3604" s="1821"/>
      <c r="Y3604" s="1821"/>
      <c r="Z3604" s="1821"/>
      <c r="AA3604" s="1821"/>
      <c r="AB3604" s="1821"/>
      <c r="AC3604" s="1821"/>
      <c r="AD3604" s="1821"/>
      <c r="AE3604" s="1821"/>
      <c r="AF3604" s="1821"/>
      <c r="AG3604" s="1821"/>
      <c r="AH3604" s="1821"/>
      <c r="AI3604" s="1821"/>
      <c r="AJ3604" s="1821"/>
      <c r="AK3604" s="1821"/>
      <c r="AL3604" s="1821"/>
      <c r="AM3604" s="1821"/>
      <c r="AN3604" s="1821"/>
      <c r="AO3604" s="1821"/>
      <c r="AP3604" s="1821"/>
      <c r="AQ3604" s="1821"/>
      <c r="AR3604" s="1821"/>
      <c r="AS3604" s="1821"/>
      <c r="AT3604" s="1821"/>
      <c r="AU3604" s="1821"/>
      <c r="AV3604" s="1821"/>
      <c r="AW3604" s="1821"/>
      <c r="AX3604" s="1821"/>
      <c r="AY3604" s="1821"/>
      <c r="AZ3604" s="1821"/>
      <c r="BA3604" s="1821"/>
      <c r="BB3604" s="1821"/>
      <c r="BC3604" s="1821"/>
      <c r="BD3604" s="1821"/>
      <c r="BE3604" s="1821"/>
      <c r="BF3604" s="1821"/>
      <c r="BG3604" s="1821"/>
      <c r="BH3604" s="1821"/>
      <c r="BI3604" s="1821"/>
      <c r="BJ3604" s="1821"/>
      <c r="BK3604" s="1821"/>
      <c r="BL3604" s="1821"/>
      <c r="BM3604" s="1821"/>
      <c r="BN3604" s="1821"/>
      <c r="BO3604" s="1821"/>
      <c r="BP3604" s="1821"/>
      <c r="BQ3604" s="1821"/>
      <c r="BR3604" s="1821"/>
      <c r="BS3604" s="1821"/>
      <c r="BT3604" s="1821"/>
      <c r="BU3604" s="1821"/>
      <c r="BV3604" s="1821"/>
      <c r="BW3604" s="1821"/>
      <c r="BX3604" s="1821"/>
      <c r="BY3604" s="1821"/>
      <c r="BZ3604" s="1821"/>
      <c r="CA3604" s="1821"/>
      <c r="CB3604" s="1821"/>
      <c r="CC3604" s="1821"/>
      <c r="CD3604" s="1821"/>
      <c r="CE3604" s="1821"/>
      <c r="CF3604" s="1821"/>
      <c r="CG3604" s="1821"/>
      <c r="CH3604" s="1821"/>
      <c r="CI3604" s="1821"/>
      <c r="CJ3604" s="1821"/>
      <c r="CK3604" s="1821"/>
    </row>
    <row r="3605" spans="1:89" s="675" customFormat="1" ht="16.5" customHeight="1" x14ac:dyDescent="0.25">
      <c r="A3605" s="697"/>
      <c r="B3605" s="1002" t="s">
        <v>1274</v>
      </c>
      <c r="C3605" s="1007">
        <v>66</v>
      </c>
      <c r="D3605" s="1005" t="s">
        <v>207</v>
      </c>
      <c r="E3605" s="1006">
        <v>130</v>
      </c>
      <c r="F3605" s="700"/>
      <c r="G3605" s="700"/>
      <c r="H3605" s="700"/>
      <c r="I3605" s="700">
        <f>C3605*E3605</f>
        <v>8580</v>
      </c>
      <c r="J3605" s="700"/>
      <c r="K3605" s="700">
        <f t="shared" si="393"/>
        <v>8580</v>
      </c>
      <c r="L3605" s="700"/>
      <c r="M3605" s="700"/>
      <c r="N3605" s="700"/>
      <c r="O3605" s="974">
        <f>C3605*E3605</f>
        <v>8580</v>
      </c>
      <c r="P3605" s="956"/>
      <c r="Q3605" s="1821"/>
      <c r="R3605" s="1821"/>
      <c r="S3605" s="1821"/>
      <c r="T3605" s="1821"/>
      <c r="U3605" s="1821"/>
      <c r="V3605" s="1821"/>
      <c r="W3605" s="1821"/>
      <c r="X3605" s="1821"/>
      <c r="Y3605" s="1821"/>
      <c r="Z3605" s="1821"/>
      <c r="AA3605" s="1821"/>
      <c r="AB3605" s="1821"/>
      <c r="AC3605" s="1821"/>
      <c r="AD3605" s="1821"/>
      <c r="AE3605" s="1821"/>
      <c r="AF3605" s="1821"/>
      <c r="AG3605" s="1821"/>
      <c r="AH3605" s="1821"/>
      <c r="AI3605" s="1821"/>
      <c r="AJ3605" s="1821"/>
      <c r="AK3605" s="1821"/>
      <c r="AL3605" s="1821"/>
      <c r="AM3605" s="1821"/>
      <c r="AN3605" s="1821"/>
      <c r="AO3605" s="1821"/>
      <c r="AP3605" s="1821"/>
      <c r="AQ3605" s="1821"/>
      <c r="AR3605" s="1821"/>
      <c r="AS3605" s="1821"/>
      <c r="AT3605" s="1821"/>
      <c r="AU3605" s="1821"/>
      <c r="AV3605" s="1821"/>
      <c r="AW3605" s="1821"/>
      <c r="AX3605" s="1821"/>
      <c r="AY3605" s="1821"/>
      <c r="AZ3605" s="1821"/>
      <c r="BA3605" s="1821"/>
      <c r="BB3605" s="1821"/>
      <c r="BC3605" s="1821"/>
      <c r="BD3605" s="1821"/>
      <c r="BE3605" s="1821"/>
      <c r="BF3605" s="1821"/>
      <c r="BG3605" s="1821"/>
      <c r="BH3605" s="1821"/>
      <c r="BI3605" s="1821"/>
      <c r="BJ3605" s="1821"/>
      <c r="BK3605" s="1821"/>
      <c r="BL3605" s="1821"/>
      <c r="BM3605" s="1821"/>
      <c r="BN3605" s="1821"/>
      <c r="BO3605" s="1821"/>
      <c r="BP3605" s="1821"/>
      <c r="BQ3605" s="1821"/>
      <c r="BR3605" s="1821"/>
      <c r="BS3605" s="1821"/>
      <c r="BT3605" s="1821"/>
      <c r="BU3605" s="1821"/>
      <c r="BV3605" s="1821"/>
      <c r="BW3605" s="1821"/>
      <c r="BX3605" s="1821"/>
      <c r="BY3605" s="1821"/>
      <c r="BZ3605" s="1821"/>
      <c r="CA3605" s="1821"/>
      <c r="CB3605" s="1821"/>
      <c r="CC3605" s="1821"/>
      <c r="CD3605" s="1821"/>
      <c r="CE3605" s="1821"/>
      <c r="CF3605" s="1821"/>
      <c r="CG3605" s="1821"/>
      <c r="CH3605" s="1821"/>
      <c r="CI3605" s="1821"/>
      <c r="CJ3605" s="1821"/>
      <c r="CK3605" s="1821"/>
    </row>
    <row r="3606" spans="1:89" s="675" customFormat="1" ht="16.5" customHeight="1" x14ac:dyDescent="0.25">
      <c r="A3606" s="697"/>
      <c r="B3606" s="1002"/>
      <c r="C3606" s="1007"/>
      <c r="D3606" s="1005"/>
      <c r="E3606" s="1006"/>
      <c r="F3606" s="700"/>
      <c r="G3606" s="700"/>
      <c r="H3606" s="700"/>
      <c r="I3606" s="700"/>
      <c r="J3606" s="700"/>
      <c r="K3606" s="700"/>
      <c r="L3606" s="700"/>
      <c r="M3606" s="700"/>
      <c r="N3606" s="700"/>
      <c r="O3606" s="974"/>
      <c r="P3606" s="956"/>
      <c r="Q3606" s="1821"/>
      <c r="R3606" s="1821"/>
      <c r="S3606" s="1821"/>
      <c r="T3606" s="1821"/>
      <c r="U3606" s="1821"/>
      <c r="V3606" s="1821"/>
      <c r="W3606" s="1821"/>
      <c r="X3606" s="1821"/>
      <c r="Y3606" s="1821"/>
      <c r="Z3606" s="1821"/>
      <c r="AA3606" s="1821"/>
      <c r="AB3606" s="1821"/>
      <c r="AC3606" s="1821"/>
      <c r="AD3606" s="1821"/>
      <c r="AE3606" s="1821"/>
      <c r="AF3606" s="1821"/>
      <c r="AG3606" s="1821"/>
      <c r="AH3606" s="1821"/>
      <c r="AI3606" s="1821"/>
      <c r="AJ3606" s="1821"/>
      <c r="AK3606" s="1821"/>
      <c r="AL3606" s="1821"/>
      <c r="AM3606" s="1821"/>
      <c r="AN3606" s="1821"/>
      <c r="AO3606" s="1821"/>
      <c r="AP3606" s="1821"/>
      <c r="AQ3606" s="1821"/>
      <c r="AR3606" s="1821"/>
      <c r="AS3606" s="1821"/>
      <c r="AT3606" s="1821"/>
      <c r="AU3606" s="1821"/>
      <c r="AV3606" s="1821"/>
      <c r="AW3606" s="1821"/>
      <c r="AX3606" s="1821"/>
      <c r="AY3606" s="1821"/>
      <c r="AZ3606" s="1821"/>
      <c r="BA3606" s="1821"/>
      <c r="BB3606" s="1821"/>
      <c r="BC3606" s="1821"/>
      <c r="BD3606" s="1821"/>
      <c r="BE3606" s="1821"/>
      <c r="BF3606" s="1821"/>
      <c r="BG3606" s="1821"/>
      <c r="BH3606" s="1821"/>
      <c r="BI3606" s="1821"/>
      <c r="BJ3606" s="1821"/>
      <c r="BK3606" s="1821"/>
      <c r="BL3606" s="1821"/>
      <c r="BM3606" s="1821"/>
      <c r="BN3606" s="1821"/>
      <c r="BO3606" s="1821"/>
      <c r="BP3606" s="1821"/>
      <c r="BQ3606" s="1821"/>
      <c r="BR3606" s="1821"/>
      <c r="BS3606" s="1821"/>
      <c r="BT3606" s="1821"/>
      <c r="BU3606" s="1821"/>
      <c r="BV3606" s="1821"/>
      <c r="BW3606" s="1821"/>
      <c r="BX3606" s="1821"/>
      <c r="BY3606" s="1821"/>
      <c r="BZ3606" s="1821"/>
      <c r="CA3606" s="1821"/>
      <c r="CB3606" s="1821"/>
      <c r="CC3606" s="1821"/>
      <c r="CD3606" s="1821"/>
      <c r="CE3606" s="1821"/>
      <c r="CF3606" s="1821"/>
      <c r="CG3606" s="1821"/>
      <c r="CH3606" s="1821"/>
      <c r="CI3606" s="1821"/>
      <c r="CJ3606" s="1821"/>
      <c r="CK3606" s="1821"/>
    </row>
    <row r="3607" spans="1:89" s="675" customFormat="1" ht="16.5" customHeight="1" x14ac:dyDescent="0.25">
      <c r="A3607" s="697"/>
      <c r="B3607" s="1002" t="s">
        <v>341</v>
      </c>
      <c r="C3607" s="1007"/>
      <c r="D3607" s="1005"/>
      <c r="E3607" s="1006"/>
      <c r="F3607" s="700"/>
      <c r="G3607" s="700"/>
      <c r="H3607" s="700">
        <f>G3607+F3607</f>
        <v>0</v>
      </c>
      <c r="I3607" s="700"/>
      <c r="J3607" s="700"/>
      <c r="K3607" s="700">
        <f>J3607+I3607</f>
        <v>0</v>
      </c>
      <c r="L3607" s="700"/>
      <c r="M3607" s="700"/>
      <c r="N3607" s="700">
        <f>M3607+L3607</f>
        <v>0</v>
      </c>
      <c r="O3607" s="974"/>
      <c r="P3607" s="956"/>
      <c r="Q3607" s="1821"/>
      <c r="R3607" s="1821"/>
      <c r="S3607" s="1821"/>
      <c r="T3607" s="1821"/>
      <c r="U3607" s="1821"/>
      <c r="V3607" s="1821"/>
      <c r="W3607" s="1821"/>
      <c r="X3607" s="1821"/>
      <c r="Y3607" s="1821"/>
      <c r="Z3607" s="1821"/>
      <c r="AA3607" s="1821"/>
      <c r="AB3607" s="1821"/>
      <c r="AC3607" s="1821"/>
      <c r="AD3607" s="1821"/>
      <c r="AE3607" s="1821"/>
      <c r="AF3607" s="1821"/>
      <c r="AG3607" s="1821"/>
      <c r="AH3607" s="1821"/>
      <c r="AI3607" s="1821"/>
      <c r="AJ3607" s="1821"/>
      <c r="AK3607" s="1821"/>
      <c r="AL3607" s="1821"/>
      <c r="AM3607" s="1821"/>
      <c r="AN3607" s="1821"/>
      <c r="AO3607" s="1821"/>
      <c r="AP3607" s="1821"/>
      <c r="AQ3607" s="1821"/>
      <c r="AR3607" s="1821"/>
      <c r="AS3607" s="1821"/>
      <c r="AT3607" s="1821"/>
      <c r="AU3607" s="1821"/>
      <c r="AV3607" s="1821"/>
      <c r="AW3607" s="1821"/>
      <c r="AX3607" s="1821"/>
      <c r="AY3607" s="1821"/>
      <c r="AZ3607" s="1821"/>
      <c r="BA3607" s="1821"/>
      <c r="BB3607" s="1821"/>
      <c r="BC3607" s="1821"/>
      <c r="BD3607" s="1821"/>
      <c r="BE3607" s="1821"/>
      <c r="BF3607" s="1821"/>
      <c r="BG3607" s="1821"/>
      <c r="BH3607" s="1821"/>
      <c r="BI3607" s="1821"/>
      <c r="BJ3607" s="1821"/>
      <c r="BK3607" s="1821"/>
      <c r="BL3607" s="1821"/>
      <c r="BM3607" s="1821"/>
      <c r="BN3607" s="1821"/>
      <c r="BO3607" s="1821"/>
      <c r="BP3607" s="1821"/>
      <c r="BQ3607" s="1821"/>
      <c r="BR3607" s="1821"/>
      <c r="BS3607" s="1821"/>
      <c r="BT3607" s="1821"/>
      <c r="BU3607" s="1821"/>
      <c r="BV3607" s="1821"/>
      <c r="BW3607" s="1821"/>
      <c r="BX3607" s="1821"/>
      <c r="BY3607" s="1821"/>
      <c r="BZ3607" s="1821"/>
      <c r="CA3607" s="1821"/>
      <c r="CB3607" s="1821"/>
      <c r="CC3607" s="1821"/>
      <c r="CD3607" s="1821"/>
      <c r="CE3607" s="1821"/>
      <c r="CF3607" s="1821"/>
      <c r="CG3607" s="1821"/>
      <c r="CH3607" s="1821"/>
      <c r="CI3607" s="1821"/>
      <c r="CJ3607" s="1821"/>
      <c r="CK3607" s="1821"/>
    </row>
    <row r="3608" spans="1:89" s="675" customFormat="1" ht="16.5" customHeight="1" x14ac:dyDescent="0.25">
      <c r="A3608" s="697"/>
      <c r="B3608" s="1002" t="s">
        <v>237</v>
      </c>
      <c r="C3608" s="1007">
        <v>1</v>
      </c>
      <c r="D3608" s="1005" t="s">
        <v>207</v>
      </c>
      <c r="E3608" s="1006">
        <v>400</v>
      </c>
      <c r="F3608" s="700"/>
      <c r="G3608" s="700"/>
      <c r="H3608" s="700"/>
      <c r="I3608" s="700"/>
      <c r="J3608" s="700">
        <f>C3608*E3608</f>
        <v>400</v>
      </c>
      <c r="K3608" s="700">
        <f>J3608+I3608</f>
        <v>400</v>
      </c>
      <c r="L3608" s="700"/>
      <c r="M3608" s="700"/>
      <c r="N3608" s="700"/>
      <c r="O3608" s="974">
        <f>C3608*E3608</f>
        <v>400</v>
      </c>
      <c r="P3608" s="956"/>
      <c r="Q3608" s="1821"/>
      <c r="R3608" s="1821"/>
      <c r="S3608" s="1821"/>
      <c r="T3608" s="1821"/>
      <c r="U3608" s="1821"/>
      <c r="V3608" s="1821"/>
      <c r="W3608" s="1821"/>
      <c r="X3608" s="1821"/>
      <c r="Y3608" s="1821"/>
      <c r="Z3608" s="1821"/>
      <c r="AA3608" s="1821"/>
      <c r="AB3608" s="1821"/>
      <c r="AC3608" s="1821"/>
      <c r="AD3608" s="1821"/>
      <c r="AE3608" s="1821"/>
      <c r="AF3608" s="1821"/>
      <c r="AG3608" s="1821"/>
      <c r="AH3608" s="1821"/>
      <c r="AI3608" s="1821"/>
      <c r="AJ3608" s="1821"/>
      <c r="AK3608" s="1821"/>
      <c r="AL3608" s="1821"/>
      <c r="AM3608" s="1821"/>
      <c r="AN3608" s="1821"/>
      <c r="AO3608" s="1821"/>
      <c r="AP3608" s="1821"/>
      <c r="AQ3608" s="1821"/>
      <c r="AR3608" s="1821"/>
      <c r="AS3608" s="1821"/>
      <c r="AT3608" s="1821"/>
      <c r="AU3608" s="1821"/>
      <c r="AV3608" s="1821"/>
      <c r="AW3608" s="1821"/>
      <c r="AX3608" s="1821"/>
      <c r="AY3608" s="1821"/>
      <c r="AZ3608" s="1821"/>
      <c r="BA3608" s="1821"/>
      <c r="BB3608" s="1821"/>
      <c r="BC3608" s="1821"/>
      <c r="BD3608" s="1821"/>
      <c r="BE3608" s="1821"/>
      <c r="BF3608" s="1821"/>
      <c r="BG3608" s="1821"/>
      <c r="BH3608" s="1821"/>
      <c r="BI3608" s="1821"/>
      <c r="BJ3608" s="1821"/>
      <c r="BK3608" s="1821"/>
      <c r="BL3608" s="1821"/>
      <c r="BM3608" s="1821"/>
      <c r="BN3608" s="1821"/>
      <c r="BO3608" s="1821"/>
      <c r="BP3608" s="1821"/>
      <c r="BQ3608" s="1821"/>
      <c r="BR3608" s="1821"/>
      <c r="BS3608" s="1821"/>
      <c r="BT3608" s="1821"/>
      <c r="BU3608" s="1821"/>
      <c r="BV3608" s="1821"/>
      <c r="BW3608" s="1821"/>
      <c r="BX3608" s="1821"/>
      <c r="BY3608" s="1821"/>
      <c r="BZ3608" s="1821"/>
      <c r="CA3608" s="1821"/>
      <c r="CB3608" s="1821"/>
      <c r="CC3608" s="1821"/>
      <c r="CD3608" s="1821"/>
      <c r="CE3608" s="1821"/>
      <c r="CF3608" s="1821"/>
      <c r="CG3608" s="1821"/>
      <c r="CH3608" s="1821"/>
      <c r="CI3608" s="1821"/>
      <c r="CJ3608" s="1821"/>
      <c r="CK3608" s="1821"/>
    </row>
    <row r="3609" spans="1:89" s="675" customFormat="1" ht="16.5" customHeight="1" x14ac:dyDescent="0.25">
      <c r="A3609" s="697"/>
      <c r="B3609" s="1002" t="s">
        <v>428</v>
      </c>
      <c r="C3609" s="1007">
        <v>1</v>
      </c>
      <c r="D3609" s="1005" t="s">
        <v>207</v>
      </c>
      <c r="E3609" s="1006">
        <v>350</v>
      </c>
      <c r="F3609" s="700"/>
      <c r="G3609" s="700"/>
      <c r="H3609" s="700"/>
      <c r="I3609" s="700"/>
      <c r="J3609" s="700">
        <f>C3609*E3609</f>
        <v>350</v>
      </c>
      <c r="K3609" s="700">
        <f>J3609+I3609</f>
        <v>350</v>
      </c>
      <c r="L3609" s="700"/>
      <c r="M3609" s="700"/>
      <c r="N3609" s="700"/>
      <c r="O3609" s="974">
        <f>C3609*E3609</f>
        <v>350</v>
      </c>
      <c r="P3609" s="956"/>
      <c r="Q3609" s="1821"/>
      <c r="R3609" s="1821"/>
      <c r="S3609" s="1821"/>
      <c r="T3609" s="1821"/>
      <c r="U3609" s="1821"/>
      <c r="V3609" s="1821"/>
      <c r="W3609" s="1821"/>
      <c r="X3609" s="1821"/>
      <c r="Y3609" s="1821"/>
      <c r="Z3609" s="1821"/>
      <c r="AA3609" s="1821"/>
      <c r="AB3609" s="1821"/>
      <c r="AC3609" s="1821"/>
      <c r="AD3609" s="1821"/>
      <c r="AE3609" s="1821"/>
      <c r="AF3609" s="1821"/>
      <c r="AG3609" s="1821"/>
      <c r="AH3609" s="1821"/>
      <c r="AI3609" s="1821"/>
      <c r="AJ3609" s="1821"/>
      <c r="AK3609" s="1821"/>
      <c r="AL3609" s="1821"/>
      <c r="AM3609" s="1821"/>
      <c r="AN3609" s="1821"/>
      <c r="AO3609" s="1821"/>
      <c r="AP3609" s="1821"/>
      <c r="AQ3609" s="1821"/>
      <c r="AR3609" s="1821"/>
      <c r="AS3609" s="1821"/>
      <c r="AT3609" s="1821"/>
      <c r="AU3609" s="1821"/>
      <c r="AV3609" s="1821"/>
      <c r="AW3609" s="1821"/>
      <c r="AX3609" s="1821"/>
      <c r="AY3609" s="1821"/>
      <c r="AZ3609" s="1821"/>
      <c r="BA3609" s="1821"/>
      <c r="BB3609" s="1821"/>
      <c r="BC3609" s="1821"/>
      <c r="BD3609" s="1821"/>
      <c r="BE3609" s="1821"/>
      <c r="BF3609" s="1821"/>
      <c r="BG3609" s="1821"/>
      <c r="BH3609" s="1821"/>
      <c r="BI3609" s="1821"/>
      <c r="BJ3609" s="1821"/>
      <c r="BK3609" s="1821"/>
      <c r="BL3609" s="1821"/>
      <c r="BM3609" s="1821"/>
      <c r="BN3609" s="1821"/>
      <c r="BO3609" s="1821"/>
      <c r="BP3609" s="1821"/>
      <c r="BQ3609" s="1821"/>
      <c r="BR3609" s="1821"/>
      <c r="BS3609" s="1821"/>
      <c r="BT3609" s="1821"/>
      <c r="BU3609" s="1821"/>
      <c r="BV3609" s="1821"/>
      <c r="BW3609" s="1821"/>
      <c r="BX3609" s="1821"/>
      <c r="BY3609" s="1821"/>
      <c r="BZ3609" s="1821"/>
      <c r="CA3609" s="1821"/>
      <c r="CB3609" s="1821"/>
      <c r="CC3609" s="1821"/>
      <c r="CD3609" s="1821"/>
      <c r="CE3609" s="1821"/>
      <c r="CF3609" s="1821"/>
      <c r="CG3609" s="1821"/>
      <c r="CH3609" s="1821"/>
      <c r="CI3609" s="1821"/>
      <c r="CJ3609" s="1821"/>
      <c r="CK3609" s="1821"/>
    </row>
    <row r="3610" spans="1:89" s="675" customFormat="1" ht="16.5" customHeight="1" x14ac:dyDescent="0.25">
      <c r="A3610" s="697"/>
      <c r="B3610" s="1002" t="s">
        <v>238</v>
      </c>
      <c r="C3610" s="1007">
        <v>4</v>
      </c>
      <c r="D3610" s="1005" t="s">
        <v>207</v>
      </c>
      <c r="E3610" s="1006">
        <v>300</v>
      </c>
      <c r="F3610" s="700"/>
      <c r="G3610" s="700"/>
      <c r="H3610" s="700"/>
      <c r="I3610" s="700"/>
      <c r="J3610" s="700">
        <f>C3610*E3610</f>
        <v>1200</v>
      </c>
      <c r="K3610" s="700">
        <f>J3610+I3610</f>
        <v>1200</v>
      </c>
      <c r="L3610" s="700"/>
      <c r="M3610" s="700"/>
      <c r="N3610" s="700"/>
      <c r="O3610" s="974">
        <f>C3610*E3610</f>
        <v>1200</v>
      </c>
      <c r="P3610" s="956"/>
      <c r="Q3610" s="1821"/>
      <c r="R3610" s="1821"/>
      <c r="S3610" s="1821"/>
      <c r="T3610" s="1821"/>
      <c r="U3610" s="1821"/>
      <c r="V3610" s="1821"/>
      <c r="W3610" s="1821"/>
      <c r="X3610" s="1821"/>
      <c r="Y3610" s="1821"/>
      <c r="Z3610" s="1821"/>
      <c r="AA3610" s="1821"/>
      <c r="AB3610" s="1821"/>
      <c r="AC3610" s="1821"/>
      <c r="AD3610" s="1821"/>
      <c r="AE3610" s="1821"/>
      <c r="AF3610" s="1821"/>
      <c r="AG3610" s="1821"/>
      <c r="AH3610" s="1821"/>
      <c r="AI3610" s="1821"/>
      <c r="AJ3610" s="1821"/>
      <c r="AK3610" s="1821"/>
      <c r="AL3610" s="1821"/>
      <c r="AM3610" s="1821"/>
      <c r="AN3610" s="1821"/>
      <c r="AO3610" s="1821"/>
      <c r="AP3610" s="1821"/>
      <c r="AQ3610" s="1821"/>
      <c r="AR3610" s="1821"/>
      <c r="AS3610" s="1821"/>
      <c r="AT3610" s="1821"/>
      <c r="AU3610" s="1821"/>
      <c r="AV3610" s="1821"/>
      <c r="AW3610" s="1821"/>
      <c r="AX3610" s="1821"/>
      <c r="AY3610" s="1821"/>
      <c r="AZ3610" s="1821"/>
      <c r="BA3610" s="1821"/>
      <c r="BB3610" s="1821"/>
      <c r="BC3610" s="1821"/>
      <c r="BD3610" s="1821"/>
      <c r="BE3610" s="1821"/>
      <c r="BF3610" s="1821"/>
      <c r="BG3610" s="1821"/>
      <c r="BH3610" s="1821"/>
      <c r="BI3610" s="1821"/>
      <c r="BJ3610" s="1821"/>
      <c r="BK3610" s="1821"/>
      <c r="BL3610" s="1821"/>
      <c r="BM3610" s="1821"/>
      <c r="BN3610" s="1821"/>
      <c r="BO3610" s="1821"/>
      <c r="BP3610" s="1821"/>
      <c r="BQ3610" s="1821"/>
      <c r="BR3610" s="1821"/>
      <c r="BS3610" s="1821"/>
      <c r="BT3610" s="1821"/>
      <c r="BU3610" s="1821"/>
      <c r="BV3610" s="1821"/>
      <c r="BW3610" s="1821"/>
      <c r="BX3610" s="1821"/>
      <c r="BY3610" s="1821"/>
      <c r="BZ3610" s="1821"/>
      <c r="CA3610" s="1821"/>
      <c r="CB3610" s="1821"/>
      <c r="CC3610" s="1821"/>
      <c r="CD3610" s="1821"/>
      <c r="CE3610" s="1821"/>
      <c r="CF3610" s="1821"/>
      <c r="CG3610" s="1821"/>
      <c r="CH3610" s="1821"/>
      <c r="CI3610" s="1821"/>
      <c r="CJ3610" s="1821"/>
      <c r="CK3610" s="1821"/>
    </row>
    <row r="3611" spans="1:89" s="675" customFormat="1" ht="16.5" customHeight="1" x14ac:dyDescent="0.25">
      <c r="A3611" s="697"/>
      <c r="B3611" s="1002"/>
      <c r="C3611" s="1007"/>
      <c r="D3611" s="1005"/>
      <c r="E3611" s="1006"/>
      <c r="F3611" s="700"/>
      <c r="G3611" s="700"/>
      <c r="H3611" s="700"/>
      <c r="I3611" s="700"/>
      <c r="J3611" s="700"/>
      <c r="K3611" s="700"/>
      <c r="L3611" s="700"/>
      <c r="M3611" s="700"/>
      <c r="N3611" s="700"/>
      <c r="O3611" s="974"/>
      <c r="P3611" s="956"/>
      <c r="Q3611" s="1821"/>
      <c r="R3611" s="1821"/>
      <c r="S3611" s="1821"/>
      <c r="T3611" s="1821"/>
      <c r="U3611" s="1821"/>
      <c r="V3611" s="1821"/>
      <c r="W3611" s="1821"/>
      <c r="X3611" s="1821"/>
      <c r="Y3611" s="1821"/>
      <c r="Z3611" s="1821"/>
      <c r="AA3611" s="1821"/>
      <c r="AB3611" s="1821"/>
      <c r="AC3611" s="1821"/>
      <c r="AD3611" s="1821"/>
      <c r="AE3611" s="1821"/>
      <c r="AF3611" s="1821"/>
      <c r="AG3611" s="1821"/>
      <c r="AH3611" s="1821"/>
      <c r="AI3611" s="1821"/>
      <c r="AJ3611" s="1821"/>
      <c r="AK3611" s="1821"/>
      <c r="AL3611" s="1821"/>
      <c r="AM3611" s="1821"/>
      <c r="AN3611" s="1821"/>
      <c r="AO3611" s="1821"/>
      <c r="AP3611" s="1821"/>
      <c r="AQ3611" s="1821"/>
      <c r="AR3611" s="1821"/>
      <c r="AS3611" s="1821"/>
      <c r="AT3611" s="1821"/>
      <c r="AU3611" s="1821"/>
      <c r="AV3611" s="1821"/>
      <c r="AW3611" s="1821"/>
      <c r="AX3611" s="1821"/>
      <c r="AY3611" s="1821"/>
      <c r="AZ3611" s="1821"/>
      <c r="BA3611" s="1821"/>
      <c r="BB3611" s="1821"/>
      <c r="BC3611" s="1821"/>
      <c r="BD3611" s="1821"/>
      <c r="BE3611" s="1821"/>
      <c r="BF3611" s="1821"/>
      <c r="BG3611" s="1821"/>
      <c r="BH3611" s="1821"/>
      <c r="BI3611" s="1821"/>
      <c r="BJ3611" s="1821"/>
      <c r="BK3611" s="1821"/>
      <c r="BL3611" s="1821"/>
      <c r="BM3611" s="1821"/>
      <c r="BN3611" s="1821"/>
      <c r="BO3611" s="1821"/>
      <c r="BP3611" s="1821"/>
      <c r="BQ3611" s="1821"/>
      <c r="BR3611" s="1821"/>
      <c r="BS3611" s="1821"/>
      <c r="BT3611" s="1821"/>
      <c r="BU3611" s="1821"/>
      <c r="BV3611" s="1821"/>
      <c r="BW3611" s="1821"/>
      <c r="BX3611" s="1821"/>
      <c r="BY3611" s="1821"/>
      <c r="BZ3611" s="1821"/>
      <c r="CA3611" s="1821"/>
      <c r="CB3611" s="1821"/>
      <c r="CC3611" s="1821"/>
      <c r="CD3611" s="1821"/>
      <c r="CE3611" s="1821"/>
      <c r="CF3611" s="1821"/>
      <c r="CG3611" s="1821"/>
      <c r="CH3611" s="1821"/>
      <c r="CI3611" s="1821"/>
      <c r="CJ3611" s="1821"/>
      <c r="CK3611" s="1821"/>
    </row>
    <row r="3612" spans="1:89" s="675" customFormat="1" ht="16.5" customHeight="1" x14ac:dyDescent="0.25">
      <c r="A3612" s="697"/>
      <c r="B3612" s="1002"/>
      <c r="C3612" s="1007"/>
      <c r="D3612" s="1005"/>
      <c r="E3612" s="1006"/>
      <c r="F3612" s="700"/>
      <c r="G3612" s="700"/>
      <c r="H3612" s="700">
        <f t="shared" ref="H3612:H3622" si="394">G3612+F3612</f>
        <v>0</v>
      </c>
      <c r="I3612" s="700"/>
      <c r="J3612" s="700"/>
      <c r="K3612" s="700">
        <f t="shared" si="393"/>
        <v>0</v>
      </c>
      <c r="L3612" s="700"/>
      <c r="M3612" s="700"/>
      <c r="N3612" s="700">
        <f t="shared" ref="N3612:N3622" si="395">M3612+L3612</f>
        <v>0</v>
      </c>
      <c r="O3612" s="974">
        <f>N3612+K3612+H3612</f>
        <v>0</v>
      </c>
      <c r="P3612" s="956"/>
      <c r="Q3612" s="1821"/>
      <c r="R3612" s="1821"/>
      <c r="S3612" s="1821"/>
      <c r="T3612" s="1821"/>
      <c r="U3612" s="1821"/>
      <c r="V3612" s="1821"/>
      <c r="W3612" s="1821"/>
      <c r="X3612" s="1821"/>
      <c r="Y3612" s="1821"/>
      <c r="Z3612" s="1821"/>
      <c r="AA3612" s="1821"/>
      <c r="AB3612" s="1821"/>
      <c r="AC3612" s="1821"/>
      <c r="AD3612" s="1821"/>
      <c r="AE3612" s="1821"/>
      <c r="AF3612" s="1821"/>
      <c r="AG3612" s="1821"/>
      <c r="AH3612" s="1821"/>
      <c r="AI3612" s="1821"/>
      <c r="AJ3612" s="1821"/>
      <c r="AK3612" s="1821"/>
      <c r="AL3612" s="1821"/>
      <c r="AM3612" s="1821"/>
      <c r="AN3612" s="1821"/>
      <c r="AO3612" s="1821"/>
      <c r="AP3612" s="1821"/>
      <c r="AQ3612" s="1821"/>
      <c r="AR3612" s="1821"/>
      <c r="AS3612" s="1821"/>
      <c r="AT3612" s="1821"/>
      <c r="AU3612" s="1821"/>
      <c r="AV3612" s="1821"/>
      <c r="AW3612" s="1821"/>
      <c r="AX3612" s="1821"/>
      <c r="AY3612" s="1821"/>
      <c r="AZ3612" s="1821"/>
      <c r="BA3612" s="1821"/>
      <c r="BB3612" s="1821"/>
      <c r="BC3612" s="1821"/>
      <c r="BD3612" s="1821"/>
      <c r="BE3612" s="1821"/>
      <c r="BF3612" s="1821"/>
      <c r="BG3612" s="1821"/>
      <c r="BH3612" s="1821"/>
      <c r="BI3612" s="1821"/>
      <c r="BJ3612" s="1821"/>
      <c r="BK3612" s="1821"/>
      <c r="BL3612" s="1821"/>
      <c r="BM3612" s="1821"/>
      <c r="BN3612" s="1821"/>
      <c r="BO3612" s="1821"/>
      <c r="BP3612" s="1821"/>
      <c r="BQ3612" s="1821"/>
      <c r="BR3612" s="1821"/>
      <c r="BS3612" s="1821"/>
      <c r="BT3612" s="1821"/>
      <c r="BU3612" s="1821"/>
      <c r="BV3612" s="1821"/>
      <c r="BW3612" s="1821"/>
      <c r="BX3612" s="1821"/>
      <c r="BY3612" s="1821"/>
      <c r="BZ3612" s="1821"/>
      <c r="CA3612" s="1821"/>
      <c r="CB3612" s="1821"/>
      <c r="CC3612" s="1821"/>
      <c r="CD3612" s="1821"/>
      <c r="CE3612" s="1821"/>
      <c r="CF3612" s="1821"/>
      <c r="CG3612" s="1821"/>
      <c r="CH3612" s="1821"/>
      <c r="CI3612" s="1821"/>
      <c r="CJ3612" s="1821"/>
      <c r="CK3612" s="1821"/>
    </row>
    <row r="3613" spans="1:89" s="675" customFormat="1" ht="16.5" customHeight="1" x14ac:dyDescent="0.25">
      <c r="A3613" s="697">
        <v>15</v>
      </c>
      <c r="B3613" s="1002" t="s">
        <v>373</v>
      </c>
      <c r="C3613" s="1007">
        <f>SUM(O3615:O3623)</f>
        <v>406379</v>
      </c>
      <c r="D3613" s="1005"/>
      <c r="E3613" s="1006"/>
      <c r="F3613" s="700"/>
      <c r="G3613" s="700"/>
      <c r="H3613" s="700">
        <f t="shared" si="394"/>
        <v>0</v>
      </c>
      <c r="I3613" s="700"/>
      <c r="J3613" s="700"/>
      <c r="K3613" s="700">
        <f t="shared" si="393"/>
        <v>0</v>
      </c>
      <c r="L3613" s="700"/>
      <c r="M3613" s="700"/>
      <c r="N3613" s="700">
        <f t="shared" si="395"/>
        <v>0</v>
      </c>
      <c r="O3613" s="974"/>
      <c r="P3613" s="956"/>
      <c r="Q3613" s="1821"/>
      <c r="R3613" s="1821"/>
      <c r="S3613" s="1821"/>
      <c r="T3613" s="1821"/>
      <c r="U3613" s="1821"/>
      <c r="V3613" s="1821"/>
      <c r="W3613" s="1821"/>
      <c r="X3613" s="1821"/>
      <c r="Y3613" s="1821"/>
      <c r="Z3613" s="1821"/>
      <c r="AA3613" s="1821"/>
      <c r="AB3613" s="1821"/>
      <c r="AC3613" s="1821"/>
      <c r="AD3613" s="1821"/>
      <c r="AE3613" s="1821"/>
      <c r="AF3613" s="1821"/>
      <c r="AG3613" s="1821"/>
      <c r="AH3613" s="1821"/>
      <c r="AI3613" s="1821"/>
      <c r="AJ3613" s="1821"/>
      <c r="AK3613" s="1821"/>
      <c r="AL3613" s="1821"/>
      <c r="AM3613" s="1821"/>
      <c r="AN3613" s="1821"/>
      <c r="AO3613" s="1821"/>
      <c r="AP3613" s="1821"/>
      <c r="AQ3613" s="1821"/>
      <c r="AR3613" s="1821"/>
      <c r="AS3613" s="1821"/>
      <c r="AT3613" s="1821"/>
      <c r="AU3613" s="1821"/>
      <c r="AV3613" s="1821"/>
      <c r="AW3613" s="1821"/>
      <c r="AX3613" s="1821"/>
      <c r="AY3613" s="1821"/>
      <c r="AZ3613" s="1821"/>
      <c r="BA3613" s="1821"/>
      <c r="BB3613" s="1821"/>
      <c r="BC3613" s="1821"/>
      <c r="BD3613" s="1821"/>
      <c r="BE3613" s="1821"/>
      <c r="BF3613" s="1821"/>
      <c r="BG3613" s="1821"/>
      <c r="BH3613" s="1821"/>
      <c r="BI3613" s="1821"/>
      <c r="BJ3613" s="1821"/>
      <c r="BK3613" s="1821"/>
      <c r="BL3613" s="1821"/>
      <c r="BM3613" s="1821"/>
      <c r="BN3613" s="1821"/>
      <c r="BO3613" s="1821"/>
      <c r="BP3613" s="1821"/>
      <c r="BQ3613" s="1821"/>
      <c r="BR3613" s="1821"/>
      <c r="BS3613" s="1821"/>
      <c r="BT3613" s="1821"/>
      <c r="BU3613" s="1821"/>
      <c r="BV3613" s="1821"/>
      <c r="BW3613" s="1821"/>
      <c r="BX3613" s="1821"/>
      <c r="BY3613" s="1821"/>
      <c r="BZ3613" s="1821"/>
      <c r="CA3613" s="1821"/>
      <c r="CB3613" s="1821"/>
      <c r="CC3613" s="1821"/>
      <c r="CD3613" s="1821"/>
      <c r="CE3613" s="1821"/>
      <c r="CF3613" s="1821"/>
      <c r="CG3613" s="1821"/>
      <c r="CH3613" s="1821"/>
      <c r="CI3613" s="1821"/>
      <c r="CJ3613" s="1821"/>
      <c r="CK3613" s="1821"/>
    </row>
    <row r="3614" spans="1:89" s="675" customFormat="1" ht="16.5" customHeight="1" x14ac:dyDescent="0.25">
      <c r="A3614" s="697"/>
      <c r="B3614" s="1002" t="s">
        <v>1265</v>
      </c>
      <c r="C3614" s="1007"/>
      <c r="D3614" s="1005"/>
      <c r="E3614" s="1006"/>
      <c r="F3614" s="700"/>
      <c r="G3614" s="700"/>
      <c r="H3614" s="700">
        <f t="shared" si="394"/>
        <v>0</v>
      </c>
      <c r="I3614" s="700"/>
      <c r="J3614" s="700"/>
      <c r="K3614" s="700">
        <f t="shared" si="393"/>
        <v>0</v>
      </c>
      <c r="L3614" s="700"/>
      <c r="M3614" s="700"/>
      <c r="N3614" s="700">
        <f t="shared" si="395"/>
        <v>0</v>
      </c>
      <c r="O3614" s="974">
        <f>N3614+K3614+H3614</f>
        <v>0</v>
      </c>
      <c r="P3614" s="956"/>
      <c r="Q3614" s="1821"/>
      <c r="R3614" s="1821"/>
      <c r="S3614" s="1821"/>
      <c r="T3614" s="1821"/>
      <c r="U3614" s="1821"/>
      <c r="V3614" s="1821"/>
      <c r="W3614" s="1821"/>
      <c r="X3614" s="1821"/>
      <c r="Y3614" s="1821"/>
      <c r="Z3614" s="1821"/>
      <c r="AA3614" s="1821"/>
      <c r="AB3614" s="1821"/>
      <c r="AC3614" s="1821"/>
      <c r="AD3614" s="1821"/>
      <c r="AE3614" s="1821"/>
      <c r="AF3614" s="1821"/>
      <c r="AG3614" s="1821"/>
      <c r="AH3614" s="1821"/>
      <c r="AI3614" s="1821"/>
      <c r="AJ3614" s="1821"/>
      <c r="AK3614" s="1821"/>
      <c r="AL3614" s="1821"/>
      <c r="AM3614" s="1821"/>
      <c r="AN3614" s="1821"/>
      <c r="AO3614" s="1821"/>
      <c r="AP3614" s="1821"/>
      <c r="AQ3614" s="1821"/>
      <c r="AR3614" s="1821"/>
      <c r="AS3614" s="1821"/>
      <c r="AT3614" s="1821"/>
      <c r="AU3614" s="1821"/>
      <c r="AV3614" s="1821"/>
      <c r="AW3614" s="1821"/>
      <c r="AX3614" s="1821"/>
      <c r="AY3614" s="1821"/>
      <c r="AZ3614" s="1821"/>
      <c r="BA3614" s="1821"/>
      <c r="BB3614" s="1821"/>
      <c r="BC3614" s="1821"/>
      <c r="BD3614" s="1821"/>
      <c r="BE3614" s="1821"/>
      <c r="BF3614" s="1821"/>
      <c r="BG3614" s="1821"/>
      <c r="BH3614" s="1821"/>
      <c r="BI3614" s="1821"/>
      <c r="BJ3614" s="1821"/>
      <c r="BK3614" s="1821"/>
      <c r="BL3614" s="1821"/>
      <c r="BM3614" s="1821"/>
      <c r="BN3614" s="1821"/>
      <c r="BO3614" s="1821"/>
      <c r="BP3614" s="1821"/>
      <c r="BQ3614" s="1821"/>
      <c r="BR3614" s="1821"/>
      <c r="BS3614" s="1821"/>
      <c r="BT3614" s="1821"/>
      <c r="BU3614" s="1821"/>
      <c r="BV3614" s="1821"/>
      <c r="BW3614" s="1821"/>
      <c r="BX3614" s="1821"/>
      <c r="BY3614" s="1821"/>
      <c r="BZ3614" s="1821"/>
      <c r="CA3614" s="1821"/>
      <c r="CB3614" s="1821"/>
      <c r="CC3614" s="1821"/>
      <c r="CD3614" s="1821"/>
      <c r="CE3614" s="1821"/>
      <c r="CF3614" s="1821"/>
      <c r="CG3614" s="1821"/>
      <c r="CH3614" s="1821"/>
      <c r="CI3614" s="1821"/>
      <c r="CJ3614" s="1821"/>
      <c r="CK3614" s="1821"/>
    </row>
    <row r="3615" spans="1:89" s="675" customFormat="1" ht="16.5" customHeight="1" x14ac:dyDescent="0.25">
      <c r="A3615" s="697"/>
      <c r="B3615" s="1002" t="s">
        <v>365</v>
      </c>
      <c r="C3615" s="1007">
        <v>1</v>
      </c>
      <c r="D3615" s="1005" t="s">
        <v>60</v>
      </c>
      <c r="E3615" s="1006">
        <v>379879</v>
      </c>
      <c r="F3615" s="700"/>
      <c r="G3615" s="700"/>
      <c r="H3615" s="700">
        <f t="shared" si="394"/>
        <v>0</v>
      </c>
      <c r="I3615" s="700">
        <f>C3615*E3615</f>
        <v>379879</v>
      </c>
      <c r="J3615" s="700"/>
      <c r="K3615" s="700">
        <f t="shared" si="393"/>
        <v>379879</v>
      </c>
      <c r="L3615" s="700"/>
      <c r="M3615" s="700"/>
      <c r="N3615" s="700">
        <f t="shared" si="395"/>
        <v>0</v>
      </c>
      <c r="O3615" s="974">
        <f>C3615*E3615</f>
        <v>379879</v>
      </c>
      <c r="P3615" s="956"/>
      <c r="Q3615" s="1821"/>
      <c r="R3615" s="1821"/>
      <c r="S3615" s="1821"/>
      <c r="T3615" s="1821"/>
      <c r="U3615" s="1821"/>
      <c r="V3615" s="1821"/>
      <c r="W3615" s="1821"/>
      <c r="X3615" s="1821"/>
      <c r="Y3615" s="1821"/>
      <c r="Z3615" s="1821"/>
      <c r="AA3615" s="1821"/>
      <c r="AB3615" s="1821"/>
      <c r="AC3615" s="1821"/>
      <c r="AD3615" s="1821"/>
      <c r="AE3615" s="1821"/>
      <c r="AF3615" s="1821"/>
      <c r="AG3615" s="1821"/>
      <c r="AH3615" s="1821"/>
      <c r="AI3615" s="1821"/>
      <c r="AJ3615" s="1821"/>
      <c r="AK3615" s="1821"/>
      <c r="AL3615" s="1821"/>
      <c r="AM3615" s="1821"/>
      <c r="AN3615" s="1821"/>
      <c r="AO3615" s="1821"/>
      <c r="AP3615" s="1821"/>
      <c r="AQ3615" s="1821"/>
      <c r="AR3615" s="1821"/>
      <c r="AS3615" s="1821"/>
      <c r="AT3615" s="1821"/>
      <c r="AU3615" s="1821"/>
      <c r="AV3615" s="1821"/>
      <c r="AW3615" s="1821"/>
      <c r="AX3615" s="1821"/>
      <c r="AY3615" s="1821"/>
      <c r="AZ3615" s="1821"/>
      <c r="BA3615" s="1821"/>
      <c r="BB3615" s="1821"/>
      <c r="BC3615" s="1821"/>
      <c r="BD3615" s="1821"/>
      <c r="BE3615" s="1821"/>
      <c r="BF3615" s="1821"/>
      <c r="BG3615" s="1821"/>
      <c r="BH3615" s="1821"/>
      <c r="BI3615" s="1821"/>
      <c r="BJ3615" s="1821"/>
      <c r="BK3615" s="1821"/>
      <c r="BL3615" s="1821"/>
      <c r="BM3615" s="1821"/>
      <c r="BN3615" s="1821"/>
      <c r="BO3615" s="1821"/>
      <c r="BP3615" s="1821"/>
      <c r="BQ3615" s="1821"/>
      <c r="BR3615" s="1821"/>
      <c r="BS3615" s="1821"/>
      <c r="BT3615" s="1821"/>
      <c r="BU3615" s="1821"/>
      <c r="BV3615" s="1821"/>
      <c r="BW3615" s="1821"/>
      <c r="BX3615" s="1821"/>
      <c r="BY3615" s="1821"/>
      <c r="BZ3615" s="1821"/>
      <c r="CA3615" s="1821"/>
      <c r="CB3615" s="1821"/>
      <c r="CC3615" s="1821"/>
      <c r="CD3615" s="1821"/>
      <c r="CE3615" s="1821"/>
      <c r="CF3615" s="1821"/>
      <c r="CG3615" s="1821"/>
      <c r="CH3615" s="1821"/>
      <c r="CI3615" s="1821"/>
      <c r="CJ3615" s="1821"/>
      <c r="CK3615" s="1821"/>
    </row>
    <row r="3616" spans="1:89" s="675" customFormat="1" ht="16.5" customHeight="1" x14ac:dyDescent="0.25">
      <c r="A3616" s="697"/>
      <c r="B3616" s="1002"/>
      <c r="C3616" s="1007"/>
      <c r="D3616" s="1005"/>
      <c r="E3616" s="1006"/>
      <c r="F3616" s="700"/>
      <c r="G3616" s="700"/>
      <c r="H3616" s="700">
        <f t="shared" si="394"/>
        <v>0</v>
      </c>
      <c r="I3616" s="700"/>
      <c r="J3616" s="700">
        <f>C3616*E3616</f>
        <v>0</v>
      </c>
      <c r="K3616" s="700">
        <f t="shared" si="393"/>
        <v>0</v>
      </c>
      <c r="L3616" s="700"/>
      <c r="M3616" s="700"/>
      <c r="N3616" s="700">
        <f t="shared" si="395"/>
        <v>0</v>
      </c>
      <c r="O3616" s="974">
        <f>N3616+K3616+H3616</f>
        <v>0</v>
      </c>
      <c r="P3616" s="956"/>
      <c r="Q3616" s="1821"/>
      <c r="R3616" s="1821"/>
      <c r="S3616" s="1821"/>
      <c r="T3616" s="1821"/>
      <c r="U3616" s="1821"/>
      <c r="V3616" s="1821"/>
      <c r="W3616" s="1821"/>
      <c r="X3616" s="1821"/>
      <c r="Y3616" s="1821"/>
      <c r="Z3616" s="1821"/>
      <c r="AA3616" s="1821"/>
      <c r="AB3616" s="1821"/>
      <c r="AC3616" s="1821"/>
      <c r="AD3616" s="1821"/>
      <c r="AE3616" s="1821"/>
      <c r="AF3616" s="1821"/>
      <c r="AG3616" s="1821"/>
      <c r="AH3616" s="1821"/>
      <c r="AI3616" s="1821"/>
      <c r="AJ3616" s="1821"/>
      <c r="AK3616" s="1821"/>
      <c r="AL3616" s="1821"/>
      <c r="AM3616" s="1821"/>
      <c r="AN3616" s="1821"/>
      <c r="AO3616" s="1821"/>
      <c r="AP3616" s="1821"/>
      <c r="AQ3616" s="1821"/>
      <c r="AR3616" s="1821"/>
      <c r="AS3616" s="1821"/>
      <c r="AT3616" s="1821"/>
      <c r="AU3616" s="1821"/>
      <c r="AV3616" s="1821"/>
      <c r="AW3616" s="1821"/>
      <c r="AX3616" s="1821"/>
      <c r="AY3616" s="1821"/>
      <c r="AZ3616" s="1821"/>
      <c r="BA3616" s="1821"/>
      <c r="BB3616" s="1821"/>
      <c r="BC3616" s="1821"/>
      <c r="BD3616" s="1821"/>
      <c r="BE3616" s="1821"/>
      <c r="BF3616" s="1821"/>
      <c r="BG3616" s="1821"/>
      <c r="BH3616" s="1821"/>
      <c r="BI3616" s="1821"/>
      <c r="BJ3616" s="1821"/>
      <c r="BK3616" s="1821"/>
      <c r="BL3616" s="1821"/>
      <c r="BM3616" s="1821"/>
      <c r="BN3616" s="1821"/>
      <c r="BO3616" s="1821"/>
      <c r="BP3616" s="1821"/>
      <c r="BQ3616" s="1821"/>
      <c r="BR3616" s="1821"/>
      <c r="BS3616" s="1821"/>
      <c r="BT3616" s="1821"/>
      <c r="BU3616" s="1821"/>
      <c r="BV3616" s="1821"/>
      <c r="BW3616" s="1821"/>
      <c r="BX3616" s="1821"/>
      <c r="BY3616" s="1821"/>
      <c r="BZ3616" s="1821"/>
      <c r="CA3616" s="1821"/>
      <c r="CB3616" s="1821"/>
      <c r="CC3616" s="1821"/>
      <c r="CD3616" s="1821"/>
      <c r="CE3616" s="1821"/>
      <c r="CF3616" s="1821"/>
      <c r="CG3616" s="1821"/>
      <c r="CH3616" s="1821"/>
      <c r="CI3616" s="1821"/>
      <c r="CJ3616" s="1821"/>
      <c r="CK3616" s="1821"/>
    </row>
    <row r="3617" spans="1:89" s="675" customFormat="1" ht="16.5" customHeight="1" x14ac:dyDescent="0.25">
      <c r="A3617" s="697"/>
      <c r="B3617" s="1002" t="s">
        <v>224</v>
      </c>
      <c r="C3617" s="1007"/>
      <c r="D3617" s="1005"/>
      <c r="E3617" s="1006"/>
      <c r="F3617" s="700"/>
      <c r="G3617" s="700"/>
      <c r="H3617" s="700">
        <f t="shared" si="394"/>
        <v>0</v>
      </c>
      <c r="I3617" s="700"/>
      <c r="J3617" s="700"/>
      <c r="K3617" s="700">
        <f>J3617+I3617</f>
        <v>0</v>
      </c>
      <c r="L3617" s="700"/>
      <c r="M3617" s="700"/>
      <c r="N3617" s="700">
        <f t="shared" si="395"/>
        <v>0</v>
      </c>
      <c r="O3617" s="974">
        <f>N3617+K3617+H3617</f>
        <v>0</v>
      </c>
      <c r="P3617" s="956"/>
      <c r="Q3617" s="1821"/>
      <c r="R3617" s="1821"/>
      <c r="S3617" s="1821"/>
      <c r="T3617" s="1821"/>
      <c r="U3617" s="1821"/>
      <c r="V3617" s="1821"/>
      <c r="W3617" s="1821"/>
      <c r="X3617" s="1821"/>
      <c r="Y3617" s="1821"/>
      <c r="Z3617" s="1821"/>
      <c r="AA3617" s="1821"/>
      <c r="AB3617" s="1821"/>
      <c r="AC3617" s="1821"/>
      <c r="AD3617" s="1821"/>
      <c r="AE3617" s="1821"/>
      <c r="AF3617" s="1821"/>
      <c r="AG3617" s="1821"/>
      <c r="AH3617" s="1821"/>
      <c r="AI3617" s="1821"/>
      <c r="AJ3617" s="1821"/>
      <c r="AK3617" s="1821"/>
      <c r="AL3617" s="1821"/>
      <c r="AM3617" s="1821"/>
      <c r="AN3617" s="1821"/>
      <c r="AO3617" s="1821"/>
      <c r="AP3617" s="1821"/>
      <c r="AQ3617" s="1821"/>
      <c r="AR3617" s="1821"/>
      <c r="AS3617" s="1821"/>
      <c r="AT3617" s="1821"/>
      <c r="AU3617" s="1821"/>
      <c r="AV3617" s="1821"/>
      <c r="AW3617" s="1821"/>
      <c r="AX3617" s="1821"/>
      <c r="AY3617" s="1821"/>
      <c r="AZ3617" s="1821"/>
      <c r="BA3617" s="1821"/>
      <c r="BB3617" s="1821"/>
      <c r="BC3617" s="1821"/>
      <c r="BD3617" s="1821"/>
      <c r="BE3617" s="1821"/>
      <c r="BF3617" s="1821"/>
      <c r="BG3617" s="1821"/>
      <c r="BH3617" s="1821"/>
      <c r="BI3617" s="1821"/>
      <c r="BJ3617" s="1821"/>
      <c r="BK3617" s="1821"/>
      <c r="BL3617" s="1821"/>
      <c r="BM3617" s="1821"/>
      <c r="BN3617" s="1821"/>
      <c r="BO3617" s="1821"/>
      <c r="BP3617" s="1821"/>
      <c r="BQ3617" s="1821"/>
      <c r="BR3617" s="1821"/>
      <c r="BS3617" s="1821"/>
      <c r="BT3617" s="1821"/>
      <c r="BU3617" s="1821"/>
      <c r="BV3617" s="1821"/>
      <c r="BW3617" s="1821"/>
      <c r="BX3617" s="1821"/>
      <c r="BY3617" s="1821"/>
      <c r="BZ3617" s="1821"/>
      <c r="CA3617" s="1821"/>
      <c r="CB3617" s="1821"/>
      <c r="CC3617" s="1821"/>
      <c r="CD3617" s="1821"/>
      <c r="CE3617" s="1821"/>
      <c r="CF3617" s="1821"/>
      <c r="CG3617" s="1821"/>
      <c r="CH3617" s="1821"/>
      <c r="CI3617" s="1821"/>
      <c r="CJ3617" s="1821"/>
      <c r="CK3617" s="1821"/>
    </row>
    <row r="3618" spans="1:89" s="675" customFormat="1" ht="16.5" customHeight="1" x14ac:dyDescent="0.25">
      <c r="A3618" s="697"/>
      <c r="B3618" s="1002" t="s">
        <v>374</v>
      </c>
      <c r="C3618" s="1007">
        <v>8</v>
      </c>
      <c r="D3618" s="1005" t="s">
        <v>210</v>
      </c>
      <c r="E3618" s="1009">
        <v>1400</v>
      </c>
      <c r="F3618" s="700"/>
      <c r="G3618" s="758"/>
      <c r="H3618" s="700">
        <f t="shared" si="394"/>
        <v>0</v>
      </c>
      <c r="I3618" s="758"/>
      <c r="J3618" s="758">
        <f>C3618*E3618</f>
        <v>11200</v>
      </c>
      <c r="K3618" s="700">
        <f>J3618+I3618</f>
        <v>11200</v>
      </c>
      <c r="L3618" s="758"/>
      <c r="M3618" s="758"/>
      <c r="N3618" s="700">
        <f t="shared" si="395"/>
        <v>0</v>
      </c>
      <c r="O3618" s="974">
        <f>C3618*E3618</f>
        <v>11200</v>
      </c>
      <c r="P3618" s="956"/>
      <c r="Q3618" s="1821"/>
      <c r="R3618" s="1821"/>
      <c r="S3618" s="1821"/>
      <c r="T3618" s="1821"/>
      <c r="U3618" s="1821"/>
      <c r="V3618" s="1821"/>
      <c r="W3618" s="1821"/>
      <c r="X3618" s="1821"/>
      <c r="Y3618" s="1821"/>
      <c r="Z3618" s="1821"/>
      <c r="AA3618" s="1821"/>
      <c r="AB3618" s="1821"/>
      <c r="AC3618" s="1821"/>
      <c r="AD3618" s="1821"/>
      <c r="AE3618" s="1821"/>
      <c r="AF3618" s="1821"/>
      <c r="AG3618" s="1821"/>
      <c r="AH3618" s="1821"/>
      <c r="AI3618" s="1821"/>
      <c r="AJ3618" s="1821"/>
      <c r="AK3618" s="1821"/>
      <c r="AL3618" s="1821"/>
      <c r="AM3618" s="1821"/>
      <c r="AN3618" s="1821"/>
      <c r="AO3618" s="1821"/>
      <c r="AP3618" s="1821"/>
      <c r="AQ3618" s="1821"/>
      <c r="AR3618" s="1821"/>
      <c r="AS3618" s="1821"/>
      <c r="AT3618" s="1821"/>
      <c r="AU3618" s="1821"/>
      <c r="AV3618" s="1821"/>
      <c r="AW3618" s="1821"/>
      <c r="AX3618" s="1821"/>
      <c r="AY3618" s="1821"/>
      <c r="AZ3618" s="1821"/>
      <c r="BA3618" s="1821"/>
      <c r="BB3618" s="1821"/>
      <c r="BC3618" s="1821"/>
      <c r="BD3618" s="1821"/>
      <c r="BE3618" s="1821"/>
      <c r="BF3618" s="1821"/>
      <c r="BG3618" s="1821"/>
      <c r="BH3618" s="1821"/>
      <c r="BI3618" s="1821"/>
      <c r="BJ3618" s="1821"/>
      <c r="BK3618" s="1821"/>
      <c r="BL3618" s="1821"/>
      <c r="BM3618" s="1821"/>
      <c r="BN3618" s="1821"/>
      <c r="BO3618" s="1821"/>
      <c r="BP3618" s="1821"/>
      <c r="BQ3618" s="1821"/>
      <c r="BR3618" s="1821"/>
      <c r="BS3618" s="1821"/>
      <c r="BT3618" s="1821"/>
      <c r="BU3618" s="1821"/>
      <c r="BV3618" s="1821"/>
      <c r="BW3618" s="1821"/>
      <c r="BX3618" s="1821"/>
      <c r="BY3618" s="1821"/>
      <c r="BZ3618" s="1821"/>
      <c r="CA3618" s="1821"/>
      <c r="CB3618" s="1821"/>
      <c r="CC3618" s="1821"/>
      <c r="CD3618" s="1821"/>
      <c r="CE3618" s="1821"/>
      <c r="CF3618" s="1821"/>
      <c r="CG3618" s="1821"/>
      <c r="CH3618" s="1821"/>
      <c r="CI3618" s="1821"/>
      <c r="CJ3618" s="1821"/>
      <c r="CK3618" s="1821"/>
    </row>
    <row r="3619" spans="1:89" s="675" customFormat="1" ht="16.5" customHeight="1" x14ac:dyDescent="0.25">
      <c r="A3619" s="697"/>
      <c r="B3619" s="1002" t="s">
        <v>1275</v>
      </c>
      <c r="C3619" s="1007"/>
      <c r="D3619" s="1005"/>
      <c r="E3619" s="1009"/>
      <c r="F3619" s="700"/>
      <c r="G3619" s="758"/>
      <c r="H3619" s="700">
        <f t="shared" si="394"/>
        <v>0</v>
      </c>
      <c r="I3619" s="758"/>
      <c r="J3619" s="758"/>
      <c r="K3619" s="700">
        <f t="shared" si="393"/>
        <v>0</v>
      </c>
      <c r="L3619" s="758"/>
      <c r="M3619" s="758"/>
      <c r="N3619" s="700">
        <f t="shared" si="395"/>
        <v>0</v>
      </c>
      <c r="O3619" s="974"/>
      <c r="P3619" s="956"/>
      <c r="Q3619" s="1821"/>
      <c r="R3619" s="1821"/>
      <c r="S3619" s="1821"/>
      <c r="T3619" s="1821"/>
      <c r="U3619" s="1821"/>
      <c r="V3619" s="1821"/>
      <c r="W3619" s="1821"/>
      <c r="X3619" s="1821"/>
      <c r="Y3619" s="1821"/>
      <c r="Z3619" s="1821"/>
      <c r="AA3619" s="1821"/>
      <c r="AB3619" s="1821"/>
      <c r="AC3619" s="1821"/>
      <c r="AD3619" s="1821"/>
      <c r="AE3619" s="1821"/>
      <c r="AF3619" s="1821"/>
      <c r="AG3619" s="1821"/>
      <c r="AH3619" s="1821"/>
      <c r="AI3619" s="1821"/>
      <c r="AJ3619" s="1821"/>
      <c r="AK3619" s="1821"/>
      <c r="AL3619" s="1821"/>
      <c r="AM3619" s="1821"/>
      <c r="AN3619" s="1821"/>
      <c r="AO3619" s="1821"/>
      <c r="AP3619" s="1821"/>
      <c r="AQ3619" s="1821"/>
      <c r="AR3619" s="1821"/>
      <c r="AS3619" s="1821"/>
      <c r="AT3619" s="1821"/>
      <c r="AU3619" s="1821"/>
      <c r="AV3619" s="1821"/>
      <c r="AW3619" s="1821"/>
      <c r="AX3619" s="1821"/>
      <c r="AY3619" s="1821"/>
      <c r="AZ3619" s="1821"/>
      <c r="BA3619" s="1821"/>
      <c r="BB3619" s="1821"/>
      <c r="BC3619" s="1821"/>
      <c r="BD3619" s="1821"/>
      <c r="BE3619" s="1821"/>
      <c r="BF3619" s="1821"/>
      <c r="BG3619" s="1821"/>
      <c r="BH3619" s="1821"/>
      <c r="BI3619" s="1821"/>
      <c r="BJ3619" s="1821"/>
      <c r="BK3619" s="1821"/>
      <c r="BL3619" s="1821"/>
      <c r="BM3619" s="1821"/>
      <c r="BN3619" s="1821"/>
      <c r="BO3619" s="1821"/>
      <c r="BP3619" s="1821"/>
      <c r="BQ3619" s="1821"/>
      <c r="BR3619" s="1821"/>
      <c r="BS3619" s="1821"/>
      <c r="BT3619" s="1821"/>
      <c r="BU3619" s="1821"/>
      <c r="BV3619" s="1821"/>
      <c r="BW3619" s="1821"/>
      <c r="BX3619" s="1821"/>
      <c r="BY3619" s="1821"/>
      <c r="BZ3619" s="1821"/>
      <c r="CA3619" s="1821"/>
      <c r="CB3619" s="1821"/>
      <c r="CC3619" s="1821"/>
      <c r="CD3619" s="1821"/>
      <c r="CE3619" s="1821"/>
      <c r="CF3619" s="1821"/>
      <c r="CG3619" s="1821"/>
      <c r="CH3619" s="1821"/>
      <c r="CI3619" s="1821"/>
      <c r="CJ3619" s="1821"/>
      <c r="CK3619" s="1821"/>
    </row>
    <row r="3620" spans="1:89" s="675" customFormat="1" ht="16.5" customHeight="1" x14ac:dyDescent="0.25">
      <c r="A3620" s="697"/>
      <c r="B3620" s="1002" t="s">
        <v>1276</v>
      </c>
      <c r="C3620" s="1007">
        <v>1</v>
      </c>
      <c r="D3620" s="1005" t="s">
        <v>207</v>
      </c>
      <c r="E3620" s="1009">
        <v>450</v>
      </c>
      <c r="F3620" s="700"/>
      <c r="G3620" s="758"/>
      <c r="H3620" s="700">
        <f t="shared" si="394"/>
        <v>0</v>
      </c>
      <c r="I3620" s="758"/>
      <c r="J3620" s="758">
        <f>C3620*E3620</f>
        <v>450</v>
      </c>
      <c r="K3620" s="700">
        <f>J3620+I3620</f>
        <v>450</v>
      </c>
      <c r="L3620" s="758"/>
      <c r="M3620" s="758"/>
      <c r="N3620" s="700">
        <f t="shared" si="395"/>
        <v>0</v>
      </c>
      <c r="O3620" s="974">
        <f>C3620*E3620</f>
        <v>450</v>
      </c>
      <c r="P3620" s="956"/>
      <c r="Q3620" s="1821"/>
      <c r="R3620" s="1821"/>
      <c r="S3620" s="1821"/>
      <c r="T3620" s="1821"/>
      <c r="U3620" s="1821"/>
      <c r="V3620" s="1821"/>
      <c r="W3620" s="1821"/>
      <c r="X3620" s="1821"/>
      <c r="Y3620" s="1821"/>
      <c r="Z3620" s="1821"/>
      <c r="AA3620" s="1821"/>
      <c r="AB3620" s="1821"/>
      <c r="AC3620" s="1821"/>
      <c r="AD3620" s="1821"/>
      <c r="AE3620" s="1821"/>
      <c r="AF3620" s="1821"/>
      <c r="AG3620" s="1821"/>
      <c r="AH3620" s="1821"/>
      <c r="AI3620" s="1821"/>
      <c r="AJ3620" s="1821"/>
      <c r="AK3620" s="1821"/>
      <c r="AL3620" s="1821"/>
      <c r="AM3620" s="1821"/>
      <c r="AN3620" s="1821"/>
      <c r="AO3620" s="1821"/>
      <c r="AP3620" s="1821"/>
      <c r="AQ3620" s="1821"/>
      <c r="AR3620" s="1821"/>
      <c r="AS3620" s="1821"/>
      <c r="AT3620" s="1821"/>
      <c r="AU3620" s="1821"/>
      <c r="AV3620" s="1821"/>
      <c r="AW3620" s="1821"/>
      <c r="AX3620" s="1821"/>
      <c r="AY3620" s="1821"/>
      <c r="AZ3620" s="1821"/>
      <c r="BA3620" s="1821"/>
      <c r="BB3620" s="1821"/>
      <c r="BC3620" s="1821"/>
      <c r="BD3620" s="1821"/>
      <c r="BE3620" s="1821"/>
      <c r="BF3620" s="1821"/>
      <c r="BG3620" s="1821"/>
      <c r="BH3620" s="1821"/>
      <c r="BI3620" s="1821"/>
      <c r="BJ3620" s="1821"/>
      <c r="BK3620" s="1821"/>
      <c r="BL3620" s="1821"/>
      <c r="BM3620" s="1821"/>
      <c r="BN3620" s="1821"/>
      <c r="BO3620" s="1821"/>
      <c r="BP3620" s="1821"/>
      <c r="BQ3620" s="1821"/>
      <c r="BR3620" s="1821"/>
      <c r="BS3620" s="1821"/>
      <c r="BT3620" s="1821"/>
      <c r="BU3620" s="1821"/>
      <c r="BV3620" s="1821"/>
      <c r="BW3620" s="1821"/>
      <c r="BX3620" s="1821"/>
      <c r="BY3620" s="1821"/>
      <c r="BZ3620" s="1821"/>
      <c r="CA3620" s="1821"/>
      <c r="CB3620" s="1821"/>
      <c r="CC3620" s="1821"/>
      <c r="CD3620" s="1821"/>
      <c r="CE3620" s="1821"/>
      <c r="CF3620" s="1821"/>
      <c r="CG3620" s="1821"/>
      <c r="CH3620" s="1821"/>
      <c r="CI3620" s="1821"/>
      <c r="CJ3620" s="1821"/>
      <c r="CK3620" s="1821"/>
    </row>
    <row r="3621" spans="1:89" s="675" customFormat="1" ht="16.5" customHeight="1" x14ac:dyDescent="0.25">
      <c r="A3621" s="697"/>
      <c r="B3621" s="1002" t="s">
        <v>237</v>
      </c>
      <c r="C3621" s="1007">
        <v>1</v>
      </c>
      <c r="D3621" s="1005" t="s">
        <v>207</v>
      </c>
      <c r="E3621" s="1009">
        <v>400</v>
      </c>
      <c r="F3621" s="700"/>
      <c r="G3621" s="758"/>
      <c r="H3621" s="700">
        <f t="shared" si="394"/>
        <v>0</v>
      </c>
      <c r="I3621" s="758"/>
      <c r="J3621" s="758">
        <f>C3621*E3621</f>
        <v>400</v>
      </c>
      <c r="K3621" s="700">
        <f>J3621+I3621</f>
        <v>400</v>
      </c>
      <c r="L3621" s="758"/>
      <c r="M3621" s="758"/>
      <c r="N3621" s="700">
        <f t="shared" si="395"/>
        <v>0</v>
      </c>
      <c r="O3621" s="974">
        <f>C3621*E3621</f>
        <v>400</v>
      </c>
      <c r="P3621" s="956"/>
      <c r="Q3621" s="1821"/>
      <c r="R3621" s="1821"/>
      <c r="S3621" s="1821"/>
      <c r="T3621" s="1821"/>
      <c r="U3621" s="1821"/>
      <c r="V3621" s="1821"/>
      <c r="W3621" s="1821"/>
      <c r="X3621" s="1821"/>
      <c r="Y3621" s="1821"/>
      <c r="Z3621" s="1821"/>
      <c r="AA3621" s="1821"/>
      <c r="AB3621" s="1821"/>
      <c r="AC3621" s="1821"/>
      <c r="AD3621" s="1821"/>
      <c r="AE3621" s="1821"/>
      <c r="AF3621" s="1821"/>
      <c r="AG3621" s="1821"/>
      <c r="AH3621" s="1821"/>
      <c r="AI3621" s="1821"/>
      <c r="AJ3621" s="1821"/>
      <c r="AK3621" s="1821"/>
      <c r="AL3621" s="1821"/>
      <c r="AM3621" s="1821"/>
      <c r="AN3621" s="1821"/>
      <c r="AO3621" s="1821"/>
      <c r="AP3621" s="1821"/>
      <c r="AQ3621" s="1821"/>
      <c r="AR3621" s="1821"/>
      <c r="AS3621" s="1821"/>
      <c r="AT3621" s="1821"/>
      <c r="AU3621" s="1821"/>
      <c r="AV3621" s="1821"/>
      <c r="AW3621" s="1821"/>
      <c r="AX3621" s="1821"/>
      <c r="AY3621" s="1821"/>
      <c r="AZ3621" s="1821"/>
      <c r="BA3621" s="1821"/>
      <c r="BB3621" s="1821"/>
      <c r="BC3621" s="1821"/>
      <c r="BD3621" s="1821"/>
      <c r="BE3621" s="1821"/>
      <c r="BF3621" s="1821"/>
      <c r="BG3621" s="1821"/>
      <c r="BH3621" s="1821"/>
      <c r="BI3621" s="1821"/>
      <c r="BJ3621" s="1821"/>
      <c r="BK3621" s="1821"/>
      <c r="BL3621" s="1821"/>
      <c r="BM3621" s="1821"/>
      <c r="BN3621" s="1821"/>
      <c r="BO3621" s="1821"/>
      <c r="BP3621" s="1821"/>
      <c r="BQ3621" s="1821"/>
      <c r="BR3621" s="1821"/>
      <c r="BS3621" s="1821"/>
      <c r="BT3621" s="1821"/>
      <c r="BU3621" s="1821"/>
      <c r="BV3621" s="1821"/>
      <c r="BW3621" s="1821"/>
      <c r="BX3621" s="1821"/>
      <c r="BY3621" s="1821"/>
      <c r="BZ3621" s="1821"/>
      <c r="CA3621" s="1821"/>
      <c r="CB3621" s="1821"/>
      <c r="CC3621" s="1821"/>
      <c r="CD3621" s="1821"/>
      <c r="CE3621" s="1821"/>
      <c r="CF3621" s="1821"/>
      <c r="CG3621" s="1821"/>
      <c r="CH3621" s="1821"/>
      <c r="CI3621" s="1821"/>
      <c r="CJ3621" s="1821"/>
      <c r="CK3621" s="1821"/>
    </row>
    <row r="3622" spans="1:89" s="675" customFormat="1" ht="16.5" customHeight="1" x14ac:dyDescent="0.25">
      <c r="A3622" s="697"/>
      <c r="B3622" s="1002" t="s">
        <v>428</v>
      </c>
      <c r="C3622" s="1007">
        <v>1</v>
      </c>
      <c r="D3622" s="1005" t="s">
        <v>207</v>
      </c>
      <c r="E3622" s="1006">
        <v>350</v>
      </c>
      <c r="F3622" s="700"/>
      <c r="G3622" s="700"/>
      <c r="H3622" s="700">
        <f t="shared" si="394"/>
        <v>0</v>
      </c>
      <c r="I3622" s="700"/>
      <c r="J3622" s="700">
        <f>C3622*E3622</f>
        <v>350</v>
      </c>
      <c r="K3622" s="700">
        <f t="shared" si="393"/>
        <v>350</v>
      </c>
      <c r="L3622" s="700"/>
      <c r="M3622" s="700"/>
      <c r="N3622" s="700">
        <f t="shared" si="395"/>
        <v>0</v>
      </c>
      <c r="O3622" s="974">
        <f>C3622*E3622</f>
        <v>350</v>
      </c>
      <c r="P3622" s="956"/>
      <c r="Q3622" s="1821"/>
      <c r="R3622" s="1821"/>
      <c r="S3622" s="1821"/>
      <c r="T3622" s="1821"/>
      <c r="U3622" s="1821"/>
      <c r="V3622" s="1821"/>
      <c r="W3622" s="1821"/>
      <c r="X3622" s="1821"/>
      <c r="Y3622" s="1821"/>
      <c r="Z3622" s="1821"/>
      <c r="AA3622" s="1821"/>
      <c r="AB3622" s="1821"/>
      <c r="AC3622" s="1821"/>
      <c r="AD3622" s="1821"/>
      <c r="AE3622" s="1821"/>
      <c r="AF3622" s="1821"/>
      <c r="AG3622" s="1821"/>
      <c r="AH3622" s="1821"/>
      <c r="AI3622" s="1821"/>
      <c r="AJ3622" s="1821"/>
      <c r="AK3622" s="1821"/>
      <c r="AL3622" s="1821"/>
      <c r="AM3622" s="1821"/>
      <c r="AN3622" s="1821"/>
      <c r="AO3622" s="1821"/>
      <c r="AP3622" s="1821"/>
      <c r="AQ3622" s="1821"/>
      <c r="AR3622" s="1821"/>
      <c r="AS3622" s="1821"/>
      <c r="AT3622" s="1821"/>
      <c r="AU3622" s="1821"/>
      <c r="AV3622" s="1821"/>
      <c r="AW3622" s="1821"/>
      <c r="AX3622" s="1821"/>
      <c r="AY3622" s="1821"/>
      <c r="AZ3622" s="1821"/>
      <c r="BA3622" s="1821"/>
      <c r="BB3622" s="1821"/>
      <c r="BC3622" s="1821"/>
      <c r="BD3622" s="1821"/>
      <c r="BE3622" s="1821"/>
      <c r="BF3622" s="1821"/>
      <c r="BG3622" s="1821"/>
      <c r="BH3622" s="1821"/>
      <c r="BI3622" s="1821"/>
      <c r="BJ3622" s="1821"/>
      <c r="BK3622" s="1821"/>
      <c r="BL3622" s="1821"/>
      <c r="BM3622" s="1821"/>
      <c r="BN3622" s="1821"/>
      <c r="BO3622" s="1821"/>
      <c r="BP3622" s="1821"/>
      <c r="BQ3622" s="1821"/>
      <c r="BR3622" s="1821"/>
      <c r="BS3622" s="1821"/>
      <c r="BT3622" s="1821"/>
      <c r="BU3622" s="1821"/>
      <c r="BV3622" s="1821"/>
      <c r="BW3622" s="1821"/>
      <c r="BX3622" s="1821"/>
      <c r="BY3622" s="1821"/>
      <c r="BZ3622" s="1821"/>
      <c r="CA3622" s="1821"/>
      <c r="CB3622" s="1821"/>
      <c r="CC3622" s="1821"/>
      <c r="CD3622" s="1821"/>
      <c r="CE3622" s="1821"/>
      <c r="CF3622" s="1821"/>
      <c r="CG3622" s="1821"/>
      <c r="CH3622" s="1821"/>
      <c r="CI3622" s="1821"/>
      <c r="CJ3622" s="1821"/>
      <c r="CK3622" s="1821"/>
    </row>
    <row r="3623" spans="1:89" s="675" customFormat="1" ht="16.5" customHeight="1" x14ac:dyDescent="0.25">
      <c r="A3623" s="697"/>
      <c r="B3623" s="1002" t="s">
        <v>238</v>
      </c>
      <c r="C3623" s="1007">
        <v>47</v>
      </c>
      <c r="D3623" s="1005" t="s">
        <v>207</v>
      </c>
      <c r="E3623" s="1006">
        <v>300</v>
      </c>
      <c r="F3623" s="700"/>
      <c r="G3623" s="700"/>
      <c r="H3623" s="700"/>
      <c r="I3623" s="700"/>
      <c r="J3623" s="700">
        <f>C3623*E3623</f>
        <v>14100</v>
      </c>
      <c r="K3623" s="700">
        <f t="shared" si="393"/>
        <v>14100</v>
      </c>
      <c r="L3623" s="700"/>
      <c r="M3623" s="700"/>
      <c r="N3623" s="700"/>
      <c r="O3623" s="974">
        <f>C3623*E3623</f>
        <v>14100</v>
      </c>
      <c r="P3623" s="956"/>
      <c r="Q3623" s="1821"/>
      <c r="R3623" s="1821"/>
      <c r="S3623" s="1821"/>
      <c r="T3623" s="1821"/>
      <c r="U3623" s="1821"/>
      <c r="V3623" s="1821"/>
      <c r="W3623" s="1821"/>
      <c r="X3623" s="1821"/>
      <c r="Y3623" s="1821"/>
      <c r="Z3623" s="1821"/>
      <c r="AA3623" s="1821"/>
      <c r="AB3623" s="1821"/>
      <c r="AC3623" s="1821"/>
      <c r="AD3623" s="1821"/>
      <c r="AE3623" s="1821"/>
      <c r="AF3623" s="1821"/>
      <c r="AG3623" s="1821"/>
      <c r="AH3623" s="1821"/>
      <c r="AI3623" s="1821"/>
      <c r="AJ3623" s="1821"/>
      <c r="AK3623" s="1821"/>
      <c r="AL3623" s="1821"/>
      <c r="AM3623" s="1821"/>
      <c r="AN3623" s="1821"/>
      <c r="AO3623" s="1821"/>
      <c r="AP3623" s="1821"/>
      <c r="AQ3623" s="1821"/>
      <c r="AR3623" s="1821"/>
      <c r="AS3623" s="1821"/>
      <c r="AT3623" s="1821"/>
      <c r="AU3623" s="1821"/>
      <c r="AV3623" s="1821"/>
      <c r="AW3623" s="1821"/>
      <c r="AX3623" s="1821"/>
      <c r="AY3623" s="1821"/>
      <c r="AZ3623" s="1821"/>
      <c r="BA3623" s="1821"/>
      <c r="BB3623" s="1821"/>
      <c r="BC3623" s="1821"/>
      <c r="BD3623" s="1821"/>
      <c r="BE3623" s="1821"/>
      <c r="BF3623" s="1821"/>
      <c r="BG3623" s="1821"/>
      <c r="BH3623" s="1821"/>
      <c r="BI3623" s="1821"/>
      <c r="BJ3623" s="1821"/>
      <c r="BK3623" s="1821"/>
      <c r="BL3623" s="1821"/>
      <c r="BM3623" s="1821"/>
      <c r="BN3623" s="1821"/>
      <c r="BO3623" s="1821"/>
      <c r="BP3623" s="1821"/>
      <c r="BQ3623" s="1821"/>
      <c r="BR3623" s="1821"/>
      <c r="BS3623" s="1821"/>
      <c r="BT3623" s="1821"/>
      <c r="BU3623" s="1821"/>
      <c r="BV3623" s="1821"/>
      <c r="BW3623" s="1821"/>
      <c r="BX3623" s="1821"/>
      <c r="BY3623" s="1821"/>
      <c r="BZ3623" s="1821"/>
      <c r="CA3623" s="1821"/>
      <c r="CB3623" s="1821"/>
      <c r="CC3623" s="1821"/>
      <c r="CD3623" s="1821"/>
      <c r="CE3623" s="1821"/>
      <c r="CF3623" s="1821"/>
      <c r="CG3623" s="1821"/>
      <c r="CH3623" s="1821"/>
      <c r="CI3623" s="1821"/>
      <c r="CJ3623" s="1821"/>
      <c r="CK3623" s="1821"/>
    </row>
    <row r="3624" spans="1:89" s="675" customFormat="1" ht="16.5" customHeight="1" x14ac:dyDescent="0.25">
      <c r="A3624" s="1003"/>
      <c r="B3624" s="996"/>
      <c r="C3624" s="1007"/>
      <c r="D3624" s="1005"/>
      <c r="E3624" s="1006"/>
      <c r="F3624" s="700"/>
      <c r="G3624" s="700"/>
      <c r="H3624" s="700"/>
      <c r="I3624" s="700"/>
      <c r="J3624" s="700"/>
      <c r="K3624" s="700"/>
      <c r="L3624" s="700"/>
      <c r="M3624" s="700"/>
      <c r="N3624" s="700"/>
      <c r="O3624" s="974"/>
      <c r="P3624" s="956"/>
      <c r="Q3624" s="1821"/>
      <c r="R3624" s="1821"/>
      <c r="S3624" s="1821"/>
      <c r="T3624" s="1821"/>
      <c r="U3624" s="1821"/>
      <c r="V3624" s="1821"/>
      <c r="W3624" s="1821"/>
      <c r="X3624" s="1821"/>
      <c r="Y3624" s="1821"/>
      <c r="Z3624" s="1821"/>
      <c r="AA3624" s="1821"/>
      <c r="AB3624" s="1821"/>
      <c r="AC3624" s="1821"/>
      <c r="AD3624" s="1821"/>
      <c r="AE3624" s="1821"/>
      <c r="AF3624" s="1821"/>
      <c r="AG3624" s="1821"/>
      <c r="AH3624" s="1821"/>
      <c r="AI3624" s="1821"/>
      <c r="AJ3624" s="1821"/>
      <c r="AK3624" s="1821"/>
      <c r="AL3624" s="1821"/>
      <c r="AM3624" s="1821"/>
      <c r="AN3624" s="1821"/>
      <c r="AO3624" s="1821"/>
      <c r="AP3624" s="1821"/>
      <c r="AQ3624" s="1821"/>
      <c r="AR3624" s="1821"/>
      <c r="AS3624" s="1821"/>
      <c r="AT3624" s="1821"/>
      <c r="AU3624" s="1821"/>
      <c r="AV3624" s="1821"/>
      <c r="AW3624" s="1821"/>
      <c r="AX3624" s="1821"/>
      <c r="AY3624" s="1821"/>
      <c r="AZ3624" s="1821"/>
      <c r="BA3624" s="1821"/>
      <c r="BB3624" s="1821"/>
      <c r="BC3624" s="1821"/>
      <c r="BD3624" s="1821"/>
      <c r="BE3624" s="1821"/>
      <c r="BF3624" s="1821"/>
      <c r="BG3624" s="1821"/>
      <c r="BH3624" s="1821"/>
      <c r="BI3624" s="1821"/>
      <c r="BJ3624" s="1821"/>
      <c r="BK3624" s="1821"/>
      <c r="BL3624" s="1821"/>
      <c r="BM3624" s="1821"/>
      <c r="BN3624" s="1821"/>
      <c r="BO3624" s="1821"/>
      <c r="BP3624" s="1821"/>
      <c r="BQ3624" s="1821"/>
      <c r="BR3624" s="1821"/>
      <c r="BS3624" s="1821"/>
      <c r="BT3624" s="1821"/>
      <c r="BU3624" s="1821"/>
      <c r="BV3624" s="1821"/>
      <c r="BW3624" s="1821"/>
      <c r="BX3624" s="1821"/>
      <c r="BY3624" s="1821"/>
      <c r="BZ3624" s="1821"/>
      <c r="CA3624" s="1821"/>
      <c r="CB3624" s="1821"/>
      <c r="CC3624" s="1821"/>
      <c r="CD3624" s="1821"/>
      <c r="CE3624" s="1821"/>
      <c r="CF3624" s="1821"/>
      <c r="CG3624" s="1821"/>
      <c r="CH3624" s="1821"/>
      <c r="CI3624" s="1821"/>
      <c r="CJ3624" s="1821"/>
      <c r="CK3624" s="1821"/>
    </row>
    <row r="3625" spans="1:89" s="675" customFormat="1" ht="16.5" customHeight="1" x14ac:dyDescent="0.25">
      <c r="A3625" s="1003"/>
      <c r="B3625" s="996"/>
      <c r="C3625" s="1007"/>
      <c r="D3625" s="1005"/>
      <c r="E3625" s="1006"/>
      <c r="F3625" s="700"/>
      <c r="G3625" s="700"/>
      <c r="H3625" s="700">
        <f>G3625+F3625</f>
        <v>0</v>
      </c>
      <c r="I3625" s="700"/>
      <c r="J3625" s="700"/>
      <c r="K3625" s="700">
        <f t="shared" si="393"/>
        <v>0</v>
      </c>
      <c r="L3625" s="700"/>
      <c r="M3625" s="700"/>
      <c r="N3625" s="700">
        <f>M3625+L3625</f>
        <v>0</v>
      </c>
      <c r="O3625" s="974">
        <f>N3625+K3625+H3625</f>
        <v>0</v>
      </c>
      <c r="P3625" s="956"/>
      <c r="Q3625" s="1821"/>
      <c r="R3625" s="1821"/>
      <c r="S3625" s="1821"/>
      <c r="T3625" s="1821"/>
      <c r="U3625" s="1821"/>
      <c r="V3625" s="1821"/>
      <c r="W3625" s="1821"/>
      <c r="X3625" s="1821"/>
      <c r="Y3625" s="1821"/>
      <c r="Z3625" s="1821"/>
      <c r="AA3625" s="1821"/>
      <c r="AB3625" s="1821"/>
      <c r="AC3625" s="1821"/>
      <c r="AD3625" s="1821"/>
      <c r="AE3625" s="1821"/>
      <c r="AF3625" s="1821"/>
      <c r="AG3625" s="1821"/>
      <c r="AH3625" s="1821"/>
      <c r="AI3625" s="1821"/>
      <c r="AJ3625" s="1821"/>
      <c r="AK3625" s="1821"/>
      <c r="AL3625" s="1821"/>
      <c r="AM3625" s="1821"/>
      <c r="AN3625" s="1821"/>
      <c r="AO3625" s="1821"/>
      <c r="AP3625" s="1821"/>
      <c r="AQ3625" s="1821"/>
      <c r="AR3625" s="1821"/>
      <c r="AS3625" s="1821"/>
      <c r="AT3625" s="1821"/>
      <c r="AU3625" s="1821"/>
      <c r="AV3625" s="1821"/>
      <c r="AW3625" s="1821"/>
      <c r="AX3625" s="1821"/>
      <c r="AY3625" s="1821"/>
      <c r="AZ3625" s="1821"/>
      <c r="BA3625" s="1821"/>
      <c r="BB3625" s="1821"/>
      <c r="BC3625" s="1821"/>
      <c r="BD3625" s="1821"/>
      <c r="BE3625" s="1821"/>
      <c r="BF3625" s="1821"/>
      <c r="BG3625" s="1821"/>
      <c r="BH3625" s="1821"/>
      <c r="BI3625" s="1821"/>
      <c r="BJ3625" s="1821"/>
      <c r="BK3625" s="1821"/>
      <c r="BL3625" s="1821"/>
      <c r="BM3625" s="1821"/>
      <c r="BN3625" s="1821"/>
      <c r="BO3625" s="1821"/>
      <c r="BP3625" s="1821"/>
      <c r="BQ3625" s="1821"/>
      <c r="BR3625" s="1821"/>
      <c r="BS3625" s="1821"/>
      <c r="BT3625" s="1821"/>
      <c r="BU3625" s="1821"/>
      <c r="BV3625" s="1821"/>
      <c r="BW3625" s="1821"/>
      <c r="BX3625" s="1821"/>
      <c r="BY3625" s="1821"/>
      <c r="BZ3625" s="1821"/>
      <c r="CA3625" s="1821"/>
      <c r="CB3625" s="1821"/>
      <c r="CC3625" s="1821"/>
      <c r="CD3625" s="1821"/>
      <c r="CE3625" s="1821"/>
      <c r="CF3625" s="1821"/>
      <c r="CG3625" s="1821"/>
      <c r="CH3625" s="1821"/>
      <c r="CI3625" s="1821"/>
      <c r="CJ3625" s="1821"/>
      <c r="CK3625" s="1821"/>
    </row>
    <row r="3626" spans="1:89" s="675" customFormat="1" ht="16.5" customHeight="1" x14ac:dyDescent="0.25">
      <c r="A3626" s="697" t="s">
        <v>381</v>
      </c>
      <c r="B3626" s="1002" t="s">
        <v>382</v>
      </c>
      <c r="C3626" s="1007"/>
      <c r="D3626" s="1005"/>
      <c r="E3626" s="1006"/>
      <c r="F3626" s="758"/>
      <c r="G3626" s="758"/>
      <c r="H3626" s="700">
        <f>G3626+F3626</f>
        <v>0</v>
      </c>
      <c r="I3626" s="700"/>
      <c r="J3626" s="700"/>
      <c r="K3626" s="700">
        <f t="shared" si="393"/>
        <v>0</v>
      </c>
      <c r="L3626" s="700"/>
      <c r="M3626" s="700"/>
      <c r="N3626" s="700">
        <f>M3626+L3626</f>
        <v>0</v>
      </c>
      <c r="O3626" s="974">
        <f>N3626+K3626+H3626</f>
        <v>0</v>
      </c>
      <c r="P3626" s="956"/>
      <c r="Q3626" s="1821"/>
      <c r="R3626" s="1821"/>
      <c r="S3626" s="1821"/>
      <c r="T3626" s="1821"/>
      <c r="U3626" s="1821"/>
      <c r="V3626" s="1821"/>
      <c r="W3626" s="1821"/>
      <c r="X3626" s="1821"/>
      <c r="Y3626" s="1821"/>
      <c r="Z3626" s="1821"/>
      <c r="AA3626" s="1821"/>
      <c r="AB3626" s="1821"/>
      <c r="AC3626" s="1821"/>
      <c r="AD3626" s="1821"/>
      <c r="AE3626" s="1821"/>
      <c r="AF3626" s="1821"/>
      <c r="AG3626" s="1821"/>
      <c r="AH3626" s="1821"/>
      <c r="AI3626" s="1821"/>
      <c r="AJ3626" s="1821"/>
      <c r="AK3626" s="1821"/>
      <c r="AL3626" s="1821"/>
      <c r="AM3626" s="1821"/>
      <c r="AN3626" s="1821"/>
      <c r="AO3626" s="1821"/>
      <c r="AP3626" s="1821"/>
      <c r="AQ3626" s="1821"/>
      <c r="AR3626" s="1821"/>
      <c r="AS3626" s="1821"/>
      <c r="AT3626" s="1821"/>
      <c r="AU3626" s="1821"/>
      <c r="AV3626" s="1821"/>
      <c r="AW3626" s="1821"/>
      <c r="AX3626" s="1821"/>
      <c r="AY3626" s="1821"/>
      <c r="AZ3626" s="1821"/>
      <c r="BA3626" s="1821"/>
      <c r="BB3626" s="1821"/>
      <c r="BC3626" s="1821"/>
      <c r="BD3626" s="1821"/>
      <c r="BE3626" s="1821"/>
      <c r="BF3626" s="1821"/>
      <c r="BG3626" s="1821"/>
      <c r="BH3626" s="1821"/>
      <c r="BI3626" s="1821"/>
      <c r="BJ3626" s="1821"/>
      <c r="BK3626" s="1821"/>
      <c r="BL3626" s="1821"/>
      <c r="BM3626" s="1821"/>
      <c r="BN3626" s="1821"/>
      <c r="BO3626" s="1821"/>
      <c r="BP3626" s="1821"/>
      <c r="BQ3626" s="1821"/>
      <c r="BR3626" s="1821"/>
      <c r="BS3626" s="1821"/>
      <c r="BT3626" s="1821"/>
      <c r="BU3626" s="1821"/>
      <c r="BV3626" s="1821"/>
      <c r="BW3626" s="1821"/>
      <c r="BX3626" s="1821"/>
      <c r="BY3626" s="1821"/>
      <c r="BZ3626" s="1821"/>
      <c r="CA3626" s="1821"/>
      <c r="CB3626" s="1821"/>
      <c r="CC3626" s="1821"/>
      <c r="CD3626" s="1821"/>
      <c r="CE3626" s="1821"/>
      <c r="CF3626" s="1821"/>
      <c r="CG3626" s="1821"/>
      <c r="CH3626" s="1821"/>
      <c r="CI3626" s="1821"/>
      <c r="CJ3626" s="1821"/>
      <c r="CK3626" s="1821"/>
    </row>
    <row r="3627" spans="1:89" s="675" customFormat="1" ht="16.5" customHeight="1" x14ac:dyDescent="0.25">
      <c r="A3627" s="697">
        <v>11</v>
      </c>
      <c r="B3627" s="1002" t="s">
        <v>383</v>
      </c>
      <c r="C3627" s="1007"/>
      <c r="D3627" s="1005"/>
      <c r="E3627" s="1006"/>
      <c r="F3627" s="758"/>
      <c r="G3627" s="758"/>
      <c r="H3627" s="700"/>
      <c r="I3627" s="700"/>
      <c r="J3627" s="700"/>
      <c r="K3627" s="700"/>
      <c r="L3627" s="758"/>
      <c r="M3627" s="758"/>
      <c r="N3627" s="700"/>
      <c r="O3627" s="974"/>
      <c r="P3627" s="956"/>
      <c r="Q3627" s="1821"/>
      <c r="R3627" s="1821"/>
      <c r="S3627" s="1821"/>
      <c r="T3627" s="1821"/>
      <c r="U3627" s="1821"/>
      <c r="V3627" s="1821"/>
      <c r="W3627" s="1821"/>
      <c r="X3627" s="1821"/>
      <c r="Y3627" s="1821"/>
      <c r="Z3627" s="1821"/>
      <c r="AA3627" s="1821"/>
      <c r="AB3627" s="1821"/>
      <c r="AC3627" s="1821"/>
      <c r="AD3627" s="1821"/>
      <c r="AE3627" s="1821"/>
      <c r="AF3627" s="1821"/>
      <c r="AG3627" s="1821"/>
      <c r="AH3627" s="1821"/>
      <c r="AI3627" s="1821"/>
      <c r="AJ3627" s="1821"/>
      <c r="AK3627" s="1821"/>
      <c r="AL3627" s="1821"/>
      <c r="AM3627" s="1821"/>
      <c r="AN3627" s="1821"/>
      <c r="AO3627" s="1821"/>
      <c r="AP3627" s="1821"/>
      <c r="AQ3627" s="1821"/>
      <c r="AR3627" s="1821"/>
      <c r="AS3627" s="1821"/>
      <c r="AT3627" s="1821"/>
      <c r="AU3627" s="1821"/>
      <c r="AV3627" s="1821"/>
      <c r="AW3627" s="1821"/>
      <c r="AX3627" s="1821"/>
      <c r="AY3627" s="1821"/>
      <c r="AZ3627" s="1821"/>
      <c r="BA3627" s="1821"/>
      <c r="BB3627" s="1821"/>
      <c r="BC3627" s="1821"/>
      <c r="BD3627" s="1821"/>
      <c r="BE3627" s="1821"/>
      <c r="BF3627" s="1821"/>
      <c r="BG3627" s="1821"/>
      <c r="BH3627" s="1821"/>
      <c r="BI3627" s="1821"/>
      <c r="BJ3627" s="1821"/>
      <c r="BK3627" s="1821"/>
      <c r="BL3627" s="1821"/>
      <c r="BM3627" s="1821"/>
      <c r="BN3627" s="1821"/>
      <c r="BO3627" s="1821"/>
      <c r="BP3627" s="1821"/>
      <c r="BQ3627" s="1821"/>
      <c r="BR3627" s="1821"/>
      <c r="BS3627" s="1821"/>
      <c r="BT3627" s="1821"/>
      <c r="BU3627" s="1821"/>
      <c r="BV3627" s="1821"/>
      <c r="BW3627" s="1821"/>
      <c r="BX3627" s="1821"/>
      <c r="BY3627" s="1821"/>
      <c r="BZ3627" s="1821"/>
      <c r="CA3627" s="1821"/>
      <c r="CB3627" s="1821"/>
      <c r="CC3627" s="1821"/>
      <c r="CD3627" s="1821"/>
      <c r="CE3627" s="1821"/>
      <c r="CF3627" s="1821"/>
      <c r="CG3627" s="1821"/>
      <c r="CH3627" s="1821"/>
      <c r="CI3627" s="1821"/>
      <c r="CJ3627" s="1821"/>
      <c r="CK3627" s="1821"/>
    </row>
    <row r="3628" spans="1:89" s="675" customFormat="1" ht="16.5" customHeight="1" x14ac:dyDescent="0.25">
      <c r="A3628" s="697" t="s">
        <v>272</v>
      </c>
      <c r="B3628" s="1008" t="s">
        <v>1081</v>
      </c>
      <c r="C3628" s="1007"/>
      <c r="D3628" s="1005"/>
      <c r="E3628" s="1006"/>
      <c r="F3628" s="758"/>
      <c r="G3628" s="758"/>
      <c r="H3628" s="700"/>
      <c r="I3628" s="758"/>
      <c r="J3628" s="758"/>
      <c r="K3628" s="700"/>
      <c r="L3628" s="758"/>
      <c r="M3628" s="758"/>
      <c r="N3628" s="700"/>
      <c r="O3628" s="974"/>
      <c r="P3628" s="956"/>
      <c r="Q3628" s="1821"/>
      <c r="R3628" s="1821"/>
      <c r="S3628" s="1821"/>
      <c r="T3628" s="1821"/>
      <c r="U3628" s="1821"/>
      <c r="V3628" s="1821"/>
      <c r="W3628" s="1821"/>
      <c r="X3628" s="1821"/>
      <c r="Y3628" s="1821"/>
      <c r="Z3628" s="1821"/>
      <c r="AA3628" s="1821"/>
      <c r="AB3628" s="1821"/>
      <c r="AC3628" s="1821"/>
      <c r="AD3628" s="1821"/>
      <c r="AE3628" s="1821"/>
      <c r="AF3628" s="1821"/>
      <c r="AG3628" s="1821"/>
      <c r="AH3628" s="1821"/>
      <c r="AI3628" s="1821"/>
      <c r="AJ3628" s="1821"/>
      <c r="AK3628" s="1821"/>
      <c r="AL3628" s="1821"/>
      <c r="AM3628" s="1821"/>
      <c r="AN3628" s="1821"/>
      <c r="AO3628" s="1821"/>
      <c r="AP3628" s="1821"/>
      <c r="AQ3628" s="1821"/>
      <c r="AR3628" s="1821"/>
      <c r="AS3628" s="1821"/>
      <c r="AT3628" s="1821"/>
      <c r="AU3628" s="1821"/>
      <c r="AV3628" s="1821"/>
      <c r="AW3628" s="1821"/>
      <c r="AX3628" s="1821"/>
      <c r="AY3628" s="1821"/>
      <c r="AZ3628" s="1821"/>
      <c r="BA3628" s="1821"/>
      <c r="BB3628" s="1821"/>
      <c r="BC3628" s="1821"/>
      <c r="BD3628" s="1821"/>
      <c r="BE3628" s="1821"/>
      <c r="BF3628" s="1821"/>
      <c r="BG3628" s="1821"/>
      <c r="BH3628" s="1821"/>
      <c r="BI3628" s="1821"/>
      <c r="BJ3628" s="1821"/>
      <c r="BK3628" s="1821"/>
      <c r="BL3628" s="1821"/>
      <c r="BM3628" s="1821"/>
      <c r="BN3628" s="1821"/>
      <c r="BO3628" s="1821"/>
      <c r="BP3628" s="1821"/>
      <c r="BQ3628" s="1821"/>
      <c r="BR3628" s="1821"/>
      <c r="BS3628" s="1821"/>
      <c r="BT3628" s="1821"/>
      <c r="BU3628" s="1821"/>
      <c r="BV3628" s="1821"/>
      <c r="BW3628" s="1821"/>
      <c r="BX3628" s="1821"/>
      <c r="BY3628" s="1821"/>
      <c r="BZ3628" s="1821"/>
      <c r="CA3628" s="1821"/>
      <c r="CB3628" s="1821"/>
      <c r="CC3628" s="1821"/>
      <c r="CD3628" s="1821"/>
      <c r="CE3628" s="1821"/>
      <c r="CF3628" s="1821"/>
      <c r="CG3628" s="1821"/>
      <c r="CH3628" s="1821"/>
      <c r="CI3628" s="1821"/>
      <c r="CJ3628" s="1821"/>
      <c r="CK3628" s="1821"/>
    </row>
    <row r="3629" spans="1:89" s="675" customFormat="1" ht="16.5" customHeight="1" x14ac:dyDescent="0.25">
      <c r="A3629" s="697"/>
      <c r="B3629" s="1008" t="s">
        <v>217</v>
      </c>
      <c r="C3629" s="1007"/>
      <c r="D3629" s="1005"/>
      <c r="E3629" s="1006"/>
      <c r="F3629" s="758"/>
      <c r="G3629" s="758"/>
      <c r="H3629" s="700"/>
      <c r="I3629" s="758"/>
      <c r="J3629" s="758"/>
      <c r="K3629" s="700"/>
      <c r="L3629" s="758"/>
      <c r="M3629" s="758"/>
      <c r="N3629" s="700"/>
      <c r="O3629" s="974"/>
      <c r="P3629" s="956"/>
      <c r="Q3629" s="1821"/>
      <c r="R3629" s="1821"/>
      <c r="S3629" s="1821"/>
      <c r="T3629" s="1821"/>
      <c r="U3629" s="1821"/>
      <c r="V3629" s="1821"/>
      <c r="W3629" s="1821"/>
      <c r="X3629" s="1821"/>
      <c r="Y3629" s="1821"/>
      <c r="Z3629" s="1821"/>
      <c r="AA3629" s="1821"/>
      <c r="AB3629" s="1821"/>
      <c r="AC3629" s="1821"/>
      <c r="AD3629" s="1821"/>
      <c r="AE3629" s="1821"/>
      <c r="AF3629" s="1821"/>
      <c r="AG3629" s="1821"/>
      <c r="AH3629" s="1821"/>
      <c r="AI3629" s="1821"/>
      <c r="AJ3629" s="1821"/>
      <c r="AK3629" s="1821"/>
      <c r="AL3629" s="1821"/>
      <c r="AM3629" s="1821"/>
      <c r="AN3629" s="1821"/>
      <c r="AO3629" s="1821"/>
      <c r="AP3629" s="1821"/>
      <c r="AQ3629" s="1821"/>
      <c r="AR3629" s="1821"/>
      <c r="AS3629" s="1821"/>
      <c r="AT3629" s="1821"/>
      <c r="AU3629" s="1821"/>
      <c r="AV3629" s="1821"/>
      <c r="AW3629" s="1821"/>
      <c r="AX3629" s="1821"/>
      <c r="AY3629" s="1821"/>
      <c r="AZ3629" s="1821"/>
      <c r="BA3629" s="1821"/>
      <c r="BB3629" s="1821"/>
      <c r="BC3629" s="1821"/>
      <c r="BD3629" s="1821"/>
      <c r="BE3629" s="1821"/>
      <c r="BF3629" s="1821"/>
      <c r="BG3629" s="1821"/>
      <c r="BH3629" s="1821"/>
      <c r="BI3629" s="1821"/>
      <c r="BJ3629" s="1821"/>
      <c r="BK3629" s="1821"/>
      <c r="BL3629" s="1821"/>
      <c r="BM3629" s="1821"/>
      <c r="BN3629" s="1821"/>
      <c r="BO3629" s="1821"/>
      <c r="BP3629" s="1821"/>
      <c r="BQ3629" s="1821"/>
      <c r="BR3629" s="1821"/>
      <c r="BS3629" s="1821"/>
      <c r="BT3629" s="1821"/>
      <c r="BU3629" s="1821"/>
      <c r="BV3629" s="1821"/>
      <c r="BW3629" s="1821"/>
      <c r="BX3629" s="1821"/>
      <c r="BY3629" s="1821"/>
      <c r="BZ3629" s="1821"/>
      <c r="CA3629" s="1821"/>
      <c r="CB3629" s="1821"/>
      <c r="CC3629" s="1821"/>
      <c r="CD3629" s="1821"/>
      <c r="CE3629" s="1821"/>
      <c r="CF3629" s="1821"/>
      <c r="CG3629" s="1821"/>
      <c r="CH3629" s="1821"/>
      <c r="CI3629" s="1821"/>
      <c r="CJ3629" s="1821"/>
      <c r="CK3629" s="1821"/>
    </row>
    <row r="3630" spans="1:89" s="675" customFormat="1" ht="16.5" customHeight="1" x14ac:dyDescent="0.25">
      <c r="A3630" s="697"/>
      <c r="B3630" s="1002" t="s">
        <v>359</v>
      </c>
      <c r="C3630" s="1007">
        <v>25</v>
      </c>
      <c r="D3630" s="1005" t="s">
        <v>51</v>
      </c>
      <c r="E3630" s="1006">
        <v>100</v>
      </c>
      <c r="F3630" s="758"/>
      <c r="G3630" s="758"/>
      <c r="H3630" s="700">
        <f>G3630+F3630</f>
        <v>0</v>
      </c>
      <c r="I3630" s="700"/>
      <c r="J3630" s="700">
        <f>C3630*E3630</f>
        <v>2500</v>
      </c>
      <c r="K3630" s="700">
        <f t="shared" si="393"/>
        <v>2500</v>
      </c>
      <c r="L3630" s="758"/>
      <c r="M3630" s="758"/>
      <c r="N3630" s="700">
        <f>M3630+L3630</f>
        <v>0</v>
      </c>
      <c r="O3630" s="974">
        <f>C3630*E3630</f>
        <v>2500</v>
      </c>
      <c r="P3630" s="956"/>
      <c r="Q3630" s="1821"/>
      <c r="R3630" s="1821"/>
      <c r="S3630" s="1821"/>
      <c r="T3630" s="1821"/>
      <c r="U3630" s="1821"/>
      <c r="V3630" s="1821"/>
      <c r="W3630" s="1821"/>
      <c r="X3630" s="1821"/>
      <c r="Y3630" s="1821"/>
      <c r="Z3630" s="1821"/>
      <c r="AA3630" s="1821"/>
      <c r="AB3630" s="1821"/>
      <c r="AC3630" s="1821"/>
      <c r="AD3630" s="1821"/>
      <c r="AE3630" s="1821"/>
      <c r="AF3630" s="1821"/>
      <c r="AG3630" s="1821"/>
      <c r="AH3630" s="1821"/>
      <c r="AI3630" s="1821"/>
      <c r="AJ3630" s="1821"/>
      <c r="AK3630" s="1821"/>
      <c r="AL3630" s="1821"/>
      <c r="AM3630" s="1821"/>
      <c r="AN3630" s="1821"/>
      <c r="AO3630" s="1821"/>
      <c r="AP3630" s="1821"/>
      <c r="AQ3630" s="1821"/>
      <c r="AR3630" s="1821"/>
      <c r="AS3630" s="1821"/>
      <c r="AT3630" s="1821"/>
      <c r="AU3630" s="1821"/>
      <c r="AV3630" s="1821"/>
      <c r="AW3630" s="1821"/>
      <c r="AX3630" s="1821"/>
      <c r="AY3630" s="1821"/>
      <c r="AZ3630" s="1821"/>
      <c r="BA3630" s="1821"/>
      <c r="BB3630" s="1821"/>
      <c r="BC3630" s="1821"/>
      <c r="BD3630" s="1821"/>
      <c r="BE3630" s="1821"/>
      <c r="BF3630" s="1821"/>
      <c r="BG3630" s="1821"/>
      <c r="BH3630" s="1821"/>
      <c r="BI3630" s="1821"/>
      <c r="BJ3630" s="1821"/>
      <c r="BK3630" s="1821"/>
      <c r="BL3630" s="1821"/>
      <c r="BM3630" s="1821"/>
      <c r="BN3630" s="1821"/>
      <c r="BO3630" s="1821"/>
      <c r="BP3630" s="1821"/>
      <c r="BQ3630" s="1821"/>
      <c r="BR3630" s="1821"/>
      <c r="BS3630" s="1821"/>
      <c r="BT3630" s="1821"/>
      <c r="BU3630" s="1821"/>
      <c r="BV3630" s="1821"/>
      <c r="BW3630" s="1821"/>
      <c r="BX3630" s="1821"/>
      <c r="BY3630" s="1821"/>
      <c r="BZ3630" s="1821"/>
      <c r="CA3630" s="1821"/>
      <c r="CB3630" s="1821"/>
      <c r="CC3630" s="1821"/>
      <c r="CD3630" s="1821"/>
      <c r="CE3630" s="1821"/>
      <c r="CF3630" s="1821"/>
      <c r="CG3630" s="1821"/>
      <c r="CH3630" s="1821"/>
      <c r="CI3630" s="1821"/>
      <c r="CJ3630" s="1821"/>
      <c r="CK3630" s="1821"/>
    </row>
    <row r="3631" spans="1:89" s="675" customFormat="1" ht="16.5" customHeight="1" x14ac:dyDescent="0.25">
      <c r="A3631" s="697"/>
      <c r="B3631" s="1002" t="s">
        <v>54</v>
      </c>
      <c r="C3631" s="1007">
        <v>750</v>
      </c>
      <c r="D3631" s="1005" t="s">
        <v>55</v>
      </c>
      <c r="E3631" s="1006">
        <v>130</v>
      </c>
      <c r="F3631" s="758"/>
      <c r="G3631" s="758"/>
      <c r="H3631" s="700">
        <f>G3631+F3631</f>
        <v>0</v>
      </c>
      <c r="I3631" s="758"/>
      <c r="J3631" s="758">
        <f>C3631*E3631</f>
        <v>97500</v>
      </c>
      <c r="K3631" s="700">
        <f t="shared" si="393"/>
        <v>97500</v>
      </c>
      <c r="L3631" s="758"/>
      <c r="M3631" s="758"/>
      <c r="N3631" s="700">
        <f>M3631+L3631</f>
        <v>0</v>
      </c>
      <c r="O3631" s="974">
        <f>C3631*E3631</f>
        <v>97500</v>
      </c>
      <c r="P3631" s="956"/>
      <c r="Q3631" s="1821"/>
      <c r="R3631" s="1821"/>
      <c r="S3631" s="1821"/>
      <c r="T3631" s="1821"/>
      <c r="U3631" s="1821"/>
      <c r="V3631" s="1821"/>
      <c r="W3631" s="1821"/>
      <c r="X3631" s="1821"/>
      <c r="Y3631" s="1821"/>
      <c r="Z3631" s="1821"/>
      <c r="AA3631" s="1821"/>
      <c r="AB3631" s="1821"/>
      <c r="AC3631" s="1821"/>
      <c r="AD3631" s="1821"/>
      <c r="AE3631" s="1821"/>
      <c r="AF3631" s="1821"/>
      <c r="AG3631" s="1821"/>
      <c r="AH3631" s="1821"/>
      <c r="AI3631" s="1821"/>
      <c r="AJ3631" s="1821"/>
      <c r="AK3631" s="1821"/>
      <c r="AL3631" s="1821"/>
      <c r="AM3631" s="1821"/>
      <c r="AN3631" s="1821"/>
      <c r="AO3631" s="1821"/>
      <c r="AP3631" s="1821"/>
      <c r="AQ3631" s="1821"/>
      <c r="AR3631" s="1821"/>
      <c r="AS3631" s="1821"/>
      <c r="AT3631" s="1821"/>
      <c r="AU3631" s="1821"/>
      <c r="AV3631" s="1821"/>
      <c r="AW3631" s="1821"/>
      <c r="AX3631" s="1821"/>
      <c r="AY3631" s="1821"/>
      <c r="AZ3631" s="1821"/>
      <c r="BA3631" s="1821"/>
      <c r="BB3631" s="1821"/>
      <c r="BC3631" s="1821"/>
      <c r="BD3631" s="1821"/>
      <c r="BE3631" s="1821"/>
      <c r="BF3631" s="1821"/>
      <c r="BG3631" s="1821"/>
      <c r="BH3631" s="1821"/>
      <c r="BI3631" s="1821"/>
      <c r="BJ3631" s="1821"/>
      <c r="BK3631" s="1821"/>
      <c r="BL3631" s="1821"/>
      <c r="BM3631" s="1821"/>
      <c r="BN3631" s="1821"/>
      <c r="BO3631" s="1821"/>
      <c r="BP3631" s="1821"/>
      <c r="BQ3631" s="1821"/>
      <c r="BR3631" s="1821"/>
      <c r="BS3631" s="1821"/>
      <c r="BT3631" s="1821"/>
      <c r="BU3631" s="1821"/>
      <c r="BV3631" s="1821"/>
      <c r="BW3631" s="1821"/>
      <c r="BX3631" s="1821"/>
      <c r="BY3631" s="1821"/>
      <c r="BZ3631" s="1821"/>
      <c r="CA3631" s="1821"/>
      <c r="CB3631" s="1821"/>
      <c r="CC3631" s="1821"/>
      <c r="CD3631" s="1821"/>
      <c r="CE3631" s="1821"/>
      <c r="CF3631" s="1821"/>
      <c r="CG3631" s="1821"/>
      <c r="CH3631" s="1821"/>
      <c r="CI3631" s="1821"/>
      <c r="CJ3631" s="1821"/>
      <c r="CK3631" s="1821"/>
    </row>
    <row r="3632" spans="1:89" s="675" customFormat="1" ht="16.5" customHeight="1" x14ac:dyDescent="0.25">
      <c r="A3632" s="697"/>
      <c r="B3632" s="1002"/>
      <c r="C3632" s="1007"/>
      <c r="D3632" s="1005"/>
      <c r="E3632" s="1006"/>
      <c r="F3632" s="758"/>
      <c r="G3632" s="758"/>
      <c r="H3632" s="700">
        <f>G3632+F3632</f>
        <v>0</v>
      </c>
      <c r="I3632" s="700"/>
      <c r="J3632" s="700"/>
      <c r="K3632" s="700">
        <f t="shared" si="393"/>
        <v>0</v>
      </c>
      <c r="L3632" s="758"/>
      <c r="M3632" s="758"/>
      <c r="N3632" s="700">
        <f>M3632+L3632</f>
        <v>0</v>
      </c>
      <c r="O3632" s="974">
        <f>N3632+K3632+H3632</f>
        <v>0</v>
      </c>
      <c r="P3632" s="956"/>
      <c r="Q3632" s="1821"/>
      <c r="R3632" s="1821"/>
      <c r="S3632" s="1821"/>
      <c r="T3632" s="1821"/>
      <c r="U3632" s="1821"/>
      <c r="V3632" s="1821"/>
      <c r="W3632" s="1821"/>
      <c r="X3632" s="1821"/>
      <c r="Y3632" s="1821"/>
      <c r="Z3632" s="1821"/>
      <c r="AA3632" s="1821"/>
      <c r="AB3632" s="1821"/>
      <c r="AC3632" s="1821"/>
      <c r="AD3632" s="1821"/>
      <c r="AE3632" s="1821"/>
      <c r="AF3632" s="1821"/>
      <c r="AG3632" s="1821"/>
      <c r="AH3632" s="1821"/>
      <c r="AI3632" s="1821"/>
      <c r="AJ3632" s="1821"/>
      <c r="AK3632" s="1821"/>
      <c r="AL3632" s="1821"/>
      <c r="AM3632" s="1821"/>
      <c r="AN3632" s="1821"/>
      <c r="AO3632" s="1821"/>
      <c r="AP3632" s="1821"/>
      <c r="AQ3632" s="1821"/>
      <c r="AR3632" s="1821"/>
      <c r="AS3632" s="1821"/>
      <c r="AT3632" s="1821"/>
      <c r="AU3632" s="1821"/>
      <c r="AV3632" s="1821"/>
      <c r="AW3632" s="1821"/>
      <c r="AX3632" s="1821"/>
      <c r="AY3632" s="1821"/>
      <c r="AZ3632" s="1821"/>
      <c r="BA3632" s="1821"/>
      <c r="BB3632" s="1821"/>
      <c r="BC3632" s="1821"/>
      <c r="BD3632" s="1821"/>
      <c r="BE3632" s="1821"/>
      <c r="BF3632" s="1821"/>
      <c r="BG3632" s="1821"/>
      <c r="BH3632" s="1821"/>
      <c r="BI3632" s="1821"/>
      <c r="BJ3632" s="1821"/>
      <c r="BK3632" s="1821"/>
      <c r="BL3632" s="1821"/>
      <c r="BM3632" s="1821"/>
      <c r="BN3632" s="1821"/>
      <c r="BO3632" s="1821"/>
      <c r="BP3632" s="1821"/>
      <c r="BQ3632" s="1821"/>
      <c r="BR3632" s="1821"/>
      <c r="BS3632" s="1821"/>
      <c r="BT3632" s="1821"/>
      <c r="BU3632" s="1821"/>
      <c r="BV3632" s="1821"/>
      <c r="BW3632" s="1821"/>
      <c r="BX3632" s="1821"/>
      <c r="BY3632" s="1821"/>
      <c r="BZ3632" s="1821"/>
      <c r="CA3632" s="1821"/>
      <c r="CB3632" s="1821"/>
      <c r="CC3632" s="1821"/>
      <c r="CD3632" s="1821"/>
      <c r="CE3632" s="1821"/>
      <c r="CF3632" s="1821"/>
      <c r="CG3632" s="1821"/>
      <c r="CH3632" s="1821"/>
      <c r="CI3632" s="1821"/>
      <c r="CJ3632" s="1821"/>
      <c r="CK3632" s="1821"/>
    </row>
    <row r="3633" spans="1:89" s="675" customFormat="1" ht="16.5" customHeight="1" x14ac:dyDescent="0.25">
      <c r="A3633" s="710"/>
      <c r="B3633" s="1002"/>
      <c r="C3633" s="1007"/>
      <c r="D3633" s="1005"/>
      <c r="E3633" s="1010"/>
      <c r="F3633" s="758"/>
      <c r="G3633" s="758"/>
      <c r="H3633" s="700"/>
      <c r="I3633" s="700"/>
      <c r="J3633" s="758"/>
      <c r="K3633" s="700"/>
      <c r="L3633" s="758"/>
      <c r="M3633" s="758"/>
      <c r="N3633" s="700"/>
      <c r="O3633" s="974"/>
      <c r="P3633" s="956"/>
      <c r="Q3633" s="1821"/>
      <c r="R3633" s="1821"/>
      <c r="S3633" s="1821"/>
      <c r="T3633" s="1821"/>
      <c r="U3633" s="1821"/>
      <c r="V3633" s="1821"/>
      <c r="W3633" s="1821"/>
      <c r="X3633" s="1821"/>
      <c r="Y3633" s="1821"/>
      <c r="Z3633" s="1821"/>
      <c r="AA3633" s="1821"/>
      <c r="AB3633" s="1821"/>
      <c r="AC3633" s="1821"/>
      <c r="AD3633" s="1821"/>
      <c r="AE3633" s="1821"/>
      <c r="AF3633" s="1821"/>
      <c r="AG3633" s="1821"/>
      <c r="AH3633" s="1821"/>
      <c r="AI3633" s="1821"/>
      <c r="AJ3633" s="1821"/>
      <c r="AK3633" s="1821"/>
      <c r="AL3633" s="1821"/>
      <c r="AM3633" s="1821"/>
      <c r="AN3633" s="1821"/>
      <c r="AO3633" s="1821"/>
      <c r="AP3633" s="1821"/>
      <c r="AQ3633" s="1821"/>
      <c r="AR3633" s="1821"/>
      <c r="AS3633" s="1821"/>
      <c r="AT3633" s="1821"/>
      <c r="AU3633" s="1821"/>
      <c r="AV3633" s="1821"/>
      <c r="AW3633" s="1821"/>
      <c r="AX3633" s="1821"/>
      <c r="AY3633" s="1821"/>
      <c r="AZ3633" s="1821"/>
      <c r="BA3633" s="1821"/>
      <c r="BB3633" s="1821"/>
      <c r="BC3633" s="1821"/>
      <c r="BD3633" s="1821"/>
      <c r="BE3633" s="1821"/>
      <c r="BF3633" s="1821"/>
      <c r="BG3633" s="1821"/>
      <c r="BH3633" s="1821"/>
      <c r="BI3633" s="1821"/>
      <c r="BJ3633" s="1821"/>
      <c r="BK3633" s="1821"/>
      <c r="BL3633" s="1821"/>
      <c r="BM3633" s="1821"/>
      <c r="BN3633" s="1821"/>
      <c r="BO3633" s="1821"/>
      <c r="BP3633" s="1821"/>
      <c r="BQ3633" s="1821"/>
      <c r="BR3633" s="1821"/>
      <c r="BS3633" s="1821"/>
      <c r="BT3633" s="1821"/>
      <c r="BU3633" s="1821"/>
      <c r="BV3633" s="1821"/>
      <c r="BW3633" s="1821"/>
      <c r="BX3633" s="1821"/>
      <c r="BY3633" s="1821"/>
      <c r="BZ3633" s="1821"/>
      <c r="CA3633" s="1821"/>
      <c r="CB3633" s="1821"/>
      <c r="CC3633" s="1821"/>
      <c r="CD3633" s="1821"/>
      <c r="CE3633" s="1821"/>
      <c r="CF3633" s="1821"/>
      <c r="CG3633" s="1821"/>
      <c r="CH3633" s="1821"/>
      <c r="CI3633" s="1821"/>
      <c r="CJ3633" s="1821"/>
      <c r="CK3633" s="1821"/>
    </row>
    <row r="3634" spans="1:89" s="675" customFormat="1" ht="16.5" customHeight="1" x14ac:dyDescent="0.25">
      <c r="A3634" s="710" t="s">
        <v>276</v>
      </c>
      <c r="B3634" s="1002" t="s">
        <v>1277</v>
      </c>
      <c r="C3634" s="1007"/>
      <c r="D3634" s="1005"/>
      <c r="E3634" s="1010"/>
      <c r="F3634" s="758"/>
      <c r="G3634" s="758"/>
      <c r="H3634" s="700"/>
      <c r="I3634" s="700"/>
      <c r="J3634" s="758"/>
      <c r="K3634" s="700"/>
      <c r="L3634" s="758"/>
      <c r="M3634" s="758"/>
      <c r="N3634" s="700"/>
      <c r="O3634" s="974"/>
      <c r="P3634" s="956"/>
      <c r="Q3634" s="1821"/>
      <c r="R3634" s="1821"/>
      <c r="S3634" s="1821"/>
      <c r="T3634" s="1821"/>
      <c r="U3634" s="1821"/>
      <c r="V3634" s="1821"/>
      <c r="W3634" s="1821"/>
      <c r="X3634" s="1821"/>
      <c r="Y3634" s="1821"/>
      <c r="Z3634" s="1821"/>
      <c r="AA3634" s="1821"/>
      <c r="AB3634" s="1821"/>
      <c r="AC3634" s="1821"/>
      <c r="AD3634" s="1821"/>
      <c r="AE3634" s="1821"/>
      <c r="AF3634" s="1821"/>
      <c r="AG3634" s="1821"/>
      <c r="AH3634" s="1821"/>
      <c r="AI3634" s="1821"/>
      <c r="AJ3634" s="1821"/>
      <c r="AK3634" s="1821"/>
      <c r="AL3634" s="1821"/>
      <c r="AM3634" s="1821"/>
      <c r="AN3634" s="1821"/>
      <c r="AO3634" s="1821"/>
      <c r="AP3634" s="1821"/>
      <c r="AQ3634" s="1821"/>
      <c r="AR3634" s="1821"/>
      <c r="AS3634" s="1821"/>
      <c r="AT3634" s="1821"/>
      <c r="AU3634" s="1821"/>
      <c r="AV3634" s="1821"/>
      <c r="AW3634" s="1821"/>
      <c r="AX3634" s="1821"/>
      <c r="AY3634" s="1821"/>
      <c r="AZ3634" s="1821"/>
      <c r="BA3634" s="1821"/>
      <c r="BB3634" s="1821"/>
      <c r="BC3634" s="1821"/>
      <c r="BD3634" s="1821"/>
      <c r="BE3634" s="1821"/>
      <c r="BF3634" s="1821"/>
      <c r="BG3634" s="1821"/>
      <c r="BH3634" s="1821"/>
      <c r="BI3634" s="1821"/>
      <c r="BJ3634" s="1821"/>
      <c r="BK3634" s="1821"/>
      <c r="BL3634" s="1821"/>
      <c r="BM3634" s="1821"/>
      <c r="BN3634" s="1821"/>
      <c r="BO3634" s="1821"/>
      <c r="BP3634" s="1821"/>
      <c r="BQ3634" s="1821"/>
      <c r="BR3634" s="1821"/>
      <c r="BS3634" s="1821"/>
      <c r="BT3634" s="1821"/>
      <c r="BU3634" s="1821"/>
      <c r="BV3634" s="1821"/>
      <c r="BW3634" s="1821"/>
      <c r="BX3634" s="1821"/>
      <c r="BY3634" s="1821"/>
      <c r="BZ3634" s="1821"/>
      <c r="CA3634" s="1821"/>
      <c r="CB3634" s="1821"/>
      <c r="CC3634" s="1821"/>
      <c r="CD3634" s="1821"/>
      <c r="CE3634" s="1821"/>
      <c r="CF3634" s="1821"/>
      <c r="CG3634" s="1821"/>
      <c r="CH3634" s="1821"/>
      <c r="CI3634" s="1821"/>
      <c r="CJ3634" s="1821"/>
      <c r="CK3634" s="1821"/>
    </row>
    <row r="3635" spans="1:89" s="675" customFormat="1" ht="16.5" customHeight="1" x14ac:dyDescent="0.25">
      <c r="A3635" s="710"/>
      <c r="B3635" s="1002" t="s">
        <v>217</v>
      </c>
      <c r="C3635" s="1007">
        <f>SUM(O3636:O3637)</f>
        <v>192000</v>
      </c>
      <c r="D3635" s="1005"/>
      <c r="E3635" s="1010"/>
      <c r="F3635" s="758"/>
      <c r="G3635" s="758"/>
      <c r="H3635" s="700"/>
      <c r="I3635" s="700"/>
      <c r="J3635" s="758"/>
      <c r="K3635" s="700"/>
      <c r="L3635" s="758"/>
      <c r="M3635" s="758"/>
      <c r="N3635" s="700"/>
      <c r="O3635" s="974"/>
      <c r="P3635" s="956"/>
      <c r="Q3635" s="1821"/>
      <c r="R3635" s="1821"/>
      <c r="S3635" s="1821"/>
      <c r="T3635" s="1821"/>
      <c r="U3635" s="1821"/>
      <c r="V3635" s="1821"/>
      <c r="W3635" s="1821"/>
      <c r="X3635" s="1821"/>
      <c r="Y3635" s="1821"/>
      <c r="Z3635" s="1821"/>
      <c r="AA3635" s="1821"/>
      <c r="AB3635" s="1821"/>
      <c r="AC3635" s="1821"/>
      <c r="AD3635" s="1821"/>
      <c r="AE3635" s="1821"/>
      <c r="AF3635" s="1821"/>
      <c r="AG3635" s="1821"/>
      <c r="AH3635" s="1821"/>
      <c r="AI3635" s="1821"/>
      <c r="AJ3635" s="1821"/>
      <c r="AK3635" s="1821"/>
      <c r="AL3635" s="1821"/>
      <c r="AM3635" s="1821"/>
      <c r="AN3635" s="1821"/>
      <c r="AO3635" s="1821"/>
      <c r="AP3635" s="1821"/>
      <c r="AQ3635" s="1821"/>
      <c r="AR3635" s="1821"/>
      <c r="AS3635" s="1821"/>
      <c r="AT3635" s="1821"/>
      <c r="AU3635" s="1821"/>
      <c r="AV3635" s="1821"/>
      <c r="AW3635" s="1821"/>
      <c r="AX3635" s="1821"/>
      <c r="AY3635" s="1821"/>
      <c r="AZ3635" s="1821"/>
      <c r="BA3635" s="1821"/>
      <c r="BB3635" s="1821"/>
      <c r="BC3635" s="1821"/>
      <c r="BD3635" s="1821"/>
      <c r="BE3635" s="1821"/>
      <c r="BF3635" s="1821"/>
      <c r="BG3635" s="1821"/>
      <c r="BH3635" s="1821"/>
      <c r="BI3635" s="1821"/>
      <c r="BJ3635" s="1821"/>
      <c r="BK3635" s="1821"/>
      <c r="BL3635" s="1821"/>
      <c r="BM3635" s="1821"/>
      <c r="BN3635" s="1821"/>
      <c r="BO3635" s="1821"/>
      <c r="BP3635" s="1821"/>
      <c r="BQ3635" s="1821"/>
      <c r="BR3635" s="1821"/>
      <c r="BS3635" s="1821"/>
      <c r="BT3635" s="1821"/>
      <c r="BU3635" s="1821"/>
      <c r="BV3635" s="1821"/>
      <c r="BW3635" s="1821"/>
      <c r="BX3635" s="1821"/>
      <c r="BY3635" s="1821"/>
      <c r="BZ3635" s="1821"/>
      <c r="CA3635" s="1821"/>
      <c r="CB3635" s="1821"/>
      <c r="CC3635" s="1821"/>
      <c r="CD3635" s="1821"/>
      <c r="CE3635" s="1821"/>
      <c r="CF3635" s="1821"/>
      <c r="CG3635" s="1821"/>
      <c r="CH3635" s="1821"/>
      <c r="CI3635" s="1821"/>
      <c r="CJ3635" s="1821"/>
      <c r="CK3635" s="1821"/>
    </row>
    <row r="3636" spans="1:89" s="675" customFormat="1" ht="16.5" customHeight="1" x14ac:dyDescent="0.25">
      <c r="A3636" s="710"/>
      <c r="B3636" s="1002" t="s">
        <v>359</v>
      </c>
      <c r="C3636" s="1007">
        <v>100</v>
      </c>
      <c r="D3636" s="1005" t="s">
        <v>51</v>
      </c>
      <c r="E3636" s="1010">
        <v>100</v>
      </c>
      <c r="F3636" s="758"/>
      <c r="G3636" s="758"/>
      <c r="H3636" s="700"/>
      <c r="I3636" s="700"/>
      <c r="J3636" s="758">
        <f>C3636*E3636</f>
        <v>10000</v>
      </c>
      <c r="K3636" s="700">
        <f>J3636+I3636</f>
        <v>10000</v>
      </c>
      <c r="L3636" s="758"/>
      <c r="M3636" s="758"/>
      <c r="N3636" s="700"/>
      <c r="O3636" s="974">
        <f>C3636*E3636</f>
        <v>10000</v>
      </c>
      <c r="P3636" s="956"/>
      <c r="Q3636" s="1821"/>
      <c r="R3636" s="1821"/>
      <c r="S3636" s="1821"/>
      <c r="T3636" s="1821"/>
      <c r="U3636" s="1821"/>
      <c r="V3636" s="1821"/>
      <c r="W3636" s="1821"/>
      <c r="X3636" s="1821"/>
      <c r="Y3636" s="1821"/>
      <c r="Z3636" s="1821"/>
      <c r="AA3636" s="1821"/>
      <c r="AB3636" s="1821"/>
      <c r="AC3636" s="1821"/>
      <c r="AD3636" s="1821"/>
      <c r="AE3636" s="1821"/>
      <c r="AF3636" s="1821"/>
      <c r="AG3636" s="1821"/>
      <c r="AH3636" s="1821"/>
      <c r="AI3636" s="1821"/>
      <c r="AJ3636" s="1821"/>
      <c r="AK3636" s="1821"/>
      <c r="AL3636" s="1821"/>
      <c r="AM3636" s="1821"/>
      <c r="AN3636" s="1821"/>
      <c r="AO3636" s="1821"/>
      <c r="AP3636" s="1821"/>
      <c r="AQ3636" s="1821"/>
      <c r="AR3636" s="1821"/>
      <c r="AS3636" s="1821"/>
      <c r="AT3636" s="1821"/>
      <c r="AU3636" s="1821"/>
      <c r="AV3636" s="1821"/>
      <c r="AW3636" s="1821"/>
      <c r="AX3636" s="1821"/>
      <c r="AY3636" s="1821"/>
      <c r="AZ3636" s="1821"/>
      <c r="BA3636" s="1821"/>
      <c r="BB3636" s="1821"/>
      <c r="BC3636" s="1821"/>
      <c r="BD3636" s="1821"/>
      <c r="BE3636" s="1821"/>
      <c r="BF3636" s="1821"/>
      <c r="BG3636" s="1821"/>
      <c r="BH3636" s="1821"/>
      <c r="BI3636" s="1821"/>
      <c r="BJ3636" s="1821"/>
      <c r="BK3636" s="1821"/>
      <c r="BL3636" s="1821"/>
      <c r="BM3636" s="1821"/>
      <c r="BN3636" s="1821"/>
      <c r="BO3636" s="1821"/>
      <c r="BP3636" s="1821"/>
      <c r="BQ3636" s="1821"/>
      <c r="BR3636" s="1821"/>
      <c r="BS3636" s="1821"/>
      <c r="BT3636" s="1821"/>
      <c r="BU3636" s="1821"/>
      <c r="BV3636" s="1821"/>
      <c r="BW3636" s="1821"/>
      <c r="BX3636" s="1821"/>
      <c r="BY3636" s="1821"/>
      <c r="BZ3636" s="1821"/>
      <c r="CA3636" s="1821"/>
      <c r="CB3636" s="1821"/>
      <c r="CC3636" s="1821"/>
      <c r="CD3636" s="1821"/>
      <c r="CE3636" s="1821"/>
      <c r="CF3636" s="1821"/>
      <c r="CG3636" s="1821"/>
      <c r="CH3636" s="1821"/>
      <c r="CI3636" s="1821"/>
      <c r="CJ3636" s="1821"/>
      <c r="CK3636" s="1821"/>
    </row>
    <row r="3637" spans="1:89" s="675" customFormat="1" ht="16.5" customHeight="1" x14ac:dyDescent="0.25">
      <c r="A3637" s="710"/>
      <c r="B3637" s="1002" t="s">
        <v>54</v>
      </c>
      <c r="C3637" s="1007">
        <v>1400</v>
      </c>
      <c r="D3637" s="1005" t="s">
        <v>55</v>
      </c>
      <c r="E3637" s="1010">
        <v>130</v>
      </c>
      <c r="F3637" s="758"/>
      <c r="G3637" s="758"/>
      <c r="H3637" s="700">
        <f>G3637+F3637</f>
        <v>0</v>
      </c>
      <c r="I3637" s="700"/>
      <c r="J3637" s="758">
        <f>C3637*E3637</f>
        <v>182000</v>
      </c>
      <c r="K3637" s="700">
        <f>J3637+I3637</f>
        <v>182000</v>
      </c>
      <c r="L3637" s="758"/>
      <c r="M3637" s="758"/>
      <c r="N3637" s="700">
        <f>M3637+L3637</f>
        <v>0</v>
      </c>
      <c r="O3637" s="974">
        <f>C3637*E3637</f>
        <v>182000</v>
      </c>
      <c r="P3637" s="956"/>
      <c r="Q3637" s="1821"/>
      <c r="R3637" s="1821"/>
      <c r="S3637" s="1821"/>
      <c r="T3637" s="1821"/>
      <c r="U3637" s="1821"/>
      <c r="V3637" s="1821"/>
      <c r="W3637" s="1821"/>
      <c r="X3637" s="1821"/>
      <c r="Y3637" s="1821"/>
      <c r="Z3637" s="1821"/>
      <c r="AA3637" s="1821"/>
      <c r="AB3637" s="1821"/>
      <c r="AC3637" s="1821"/>
      <c r="AD3637" s="1821"/>
      <c r="AE3637" s="1821"/>
      <c r="AF3637" s="1821"/>
      <c r="AG3637" s="1821"/>
      <c r="AH3637" s="1821"/>
      <c r="AI3637" s="1821"/>
      <c r="AJ3637" s="1821"/>
      <c r="AK3637" s="1821"/>
      <c r="AL3637" s="1821"/>
      <c r="AM3637" s="1821"/>
      <c r="AN3637" s="1821"/>
      <c r="AO3637" s="1821"/>
      <c r="AP3637" s="1821"/>
      <c r="AQ3637" s="1821"/>
      <c r="AR3637" s="1821"/>
      <c r="AS3637" s="1821"/>
      <c r="AT3637" s="1821"/>
      <c r="AU3637" s="1821"/>
      <c r="AV3637" s="1821"/>
      <c r="AW3637" s="1821"/>
      <c r="AX3637" s="1821"/>
      <c r="AY3637" s="1821"/>
      <c r="AZ3637" s="1821"/>
      <c r="BA3637" s="1821"/>
      <c r="BB3637" s="1821"/>
      <c r="BC3637" s="1821"/>
      <c r="BD3637" s="1821"/>
      <c r="BE3637" s="1821"/>
      <c r="BF3637" s="1821"/>
      <c r="BG3637" s="1821"/>
      <c r="BH3637" s="1821"/>
      <c r="BI3637" s="1821"/>
      <c r="BJ3637" s="1821"/>
      <c r="BK3637" s="1821"/>
      <c r="BL3637" s="1821"/>
      <c r="BM3637" s="1821"/>
      <c r="BN3637" s="1821"/>
      <c r="BO3637" s="1821"/>
      <c r="BP3637" s="1821"/>
      <c r="BQ3637" s="1821"/>
      <c r="BR3637" s="1821"/>
      <c r="BS3637" s="1821"/>
      <c r="BT3637" s="1821"/>
      <c r="BU3637" s="1821"/>
      <c r="BV3637" s="1821"/>
      <c r="BW3637" s="1821"/>
      <c r="BX3637" s="1821"/>
      <c r="BY3637" s="1821"/>
      <c r="BZ3637" s="1821"/>
      <c r="CA3637" s="1821"/>
      <c r="CB3637" s="1821"/>
      <c r="CC3637" s="1821"/>
      <c r="CD3637" s="1821"/>
      <c r="CE3637" s="1821"/>
      <c r="CF3637" s="1821"/>
      <c r="CG3637" s="1821"/>
      <c r="CH3637" s="1821"/>
      <c r="CI3637" s="1821"/>
      <c r="CJ3637" s="1821"/>
      <c r="CK3637" s="1821"/>
    </row>
    <row r="3638" spans="1:89" s="675" customFormat="1" ht="16.5" customHeight="1" x14ac:dyDescent="0.25">
      <c r="A3638" s="710"/>
      <c r="B3638" s="1002"/>
      <c r="C3638" s="1007"/>
      <c r="D3638" s="1005"/>
      <c r="E3638" s="1010"/>
      <c r="F3638" s="758"/>
      <c r="G3638" s="758"/>
      <c r="H3638" s="700"/>
      <c r="I3638" s="700"/>
      <c r="J3638" s="758"/>
      <c r="K3638" s="700"/>
      <c r="L3638" s="758"/>
      <c r="M3638" s="758"/>
      <c r="N3638" s="700"/>
      <c r="O3638" s="974"/>
      <c r="P3638" s="956"/>
      <c r="Q3638" s="1821"/>
      <c r="R3638" s="1821"/>
      <c r="S3638" s="1821"/>
      <c r="T3638" s="1821"/>
      <c r="U3638" s="1821"/>
      <c r="V3638" s="1821"/>
      <c r="W3638" s="1821"/>
      <c r="X3638" s="1821"/>
      <c r="Y3638" s="1821"/>
      <c r="Z3638" s="1821"/>
      <c r="AA3638" s="1821"/>
      <c r="AB3638" s="1821"/>
      <c r="AC3638" s="1821"/>
      <c r="AD3638" s="1821"/>
      <c r="AE3638" s="1821"/>
      <c r="AF3638" s="1821"/>
      <c r="AG3638" s="1821"/>
      <c r="AH3638" s="1821"/>
      <c r="AI3638" s="1821"/>
      <c r="AJ3638" s="1821"/>
      <c r="AK3638" s="1821"/>
      <c r="AL3638" s="1821"/>
      <c r="AM3638" s="1821"/>
      <c r="AN3638" s="1821"/>
      <c r="AO3638" s="1821"/>
      <c r="AP3638" s="1821"/>
      <c r="AQ3638" s="1821"/>
      <c r="AR3638" s="1821"/>
      <c r="AS3638" s="1821"/>
      <c r="AT3638" s="1821"/>
      <c r="AU3638" s="1821"/>
      <c r="AV3638" s="1821"/>
      <c r="AW3638" s="1821"/>
      <c r="AX3638" s="1821"/>
      <c r="AY3638" s="1821"/>
      <c r="AZ3638" s="1821"/>
      <c r="BA3638" s="1821"/>
      <c r="BB3638" s="1821"/>
      <c r="BC3638" s="1821"/>
      <c r="BD3638" s="1821"/>
      <c r="BE3638" s="1821"/>
      <c r="BF3638" s="1821"/>
      <c r="BG3638" s="1821"/>
      <c r="BH3638" s="1821"/>
      <c r="BI3638" s="1821"/>
      <c r="BJ3638" s="1821"/>
      <c r="BK3638" s="1821"/>
      <c r="BL3638" s="1821"/>
      <c r="BM3638" s="1821"/>
      <c r="BN3638" s="1821"/>
      <c r="BO3638" s="1821"/>
      <c r="BP3638" s="1821"/>
      <c r="BQ3638" s="1821"/>
      <c r="BR3638" s="1821"/>
      <c r="BS3638" s="1821"/>
      <c r="BT3638" s="1821"/>
      <c r="BU3638" s="1821"/>
      <c r="BV3638" s="1821"/>
      <c r="BW3638" s="1821"/>
      <c r="BX3638" s="1821"/>
      <c r="BY3638" s="1821"/>
      <c r="BZ3638" s="1821"/>
      <c r="CA3638" s="1821"/>
      <c r="CB3638" s="1821"/>
      <c r="CC3638" s="1821"/>
      <c r="CD3638" s="1821"/>
      <c r="CE3638" s="1821"/>
      <c r="CF3638" s="1821"/>
      <c r="CG3638" s="1821"/>
      <c r="CH3638" s="1821"/>
      <c r="CI3638" s="1821"/>
      <c r="CJ3638" s="1821"/>
      <c r="CK3638" s="1821"/>
    </row>
    <row r="3639" spans="1:89" s="675" customFormat="1" ht="16.5" customHeight="1" x14ac:dyDescent="0.25">
      <c r="A3639" s="710">
        <v>12</v>
      </c>
      <c r="B3639" s="1002" t="s">
        <v>384</v>
      </c>
      <c r="C3639" s="1007"/>
      <c r="D3639" s="1005"/>
      <c r="E3639" s="1010"/>
      <c r="F3639" s="758"/>
      <c r="G3639" s="758"/>
      <c r="H3639" s="700"/>
      <c r="I3639" s="700"/>
      <c r="J3639" s="758"/>
      <c r="K3639" s="700"/>
      <c r="L3639" s="758"/>
      <c r="M3639" s="758"/>
      <c r="N3639" s="700"/>
      <c r="O3639" s="974"/>
      <c r="P3639" s="956"/>
      <c r="Q3639" s="1821"/>
      <c r="R3639" s="1821"/>
      <c r="S3639" s="1821"/>
      <c r="T3639" s="1821"/>
      <c r="U3639" s="1821"/>
      <c r="V3639" s="1821"/>
      <c r="W3639" s="1821"/>
      <c r="X3639" s="1821"/>
      <c r="Y3639" s="1821"/>
      <c r="Z3639" s="1821"/>
      <c r="AA3639" s="1821"/>
      <c r="AB3639" s="1821"/>
      <c r="AC3639" s="1821"/>
      <c r="AD3639" s="1821"/>
      <c r="AE3639" s="1821"/>
      <c r="AF3639" s="1821"/>
      <c r="AG3639" s="1821"/>
      <c r="AH3639" s="1821"/>
      <c r="AI3639" s="1821"/>
      <c r="AJ3639" s="1821"/>
      <c r="AK3639" s="1821"/>
      <c r="AL3639" s="1821"/>
      <c r="AM3639" s="1821"/>
      <c r="AN3639" s="1821"/>
      <c r="AO3639" s="1821"/>
      <c r="AP3639" s="1821"/>
      <c r="AQ3639" s="1821"/>
      <c r="AR3639" s="1821"/>
      <c r="AS3639" s="1821"/>
      <c r="AT3639" s="1821"/>
      <c r="AU3639" s="1821"/>
      <c r="AV3639" s="1821"/>
      <c r="AW3639" s="1821"/>
      <c r="AX3639" s="1821"/>
      <c r="AY3639" s="1821"/>
      <c r="AZ3639" s="1821"/>
      <c r="BA3639" s="1821"/>
      <c r="BB3639" s="1821"/>
      <c r="BC3639" s="1821"/>
      <c r="BD3639" s="1821"/>
      <c r="BE3639" s="1821"/>
      <c r="BF3639" s="1821"/>
      <c r="BG3639" s="1821"/>
      <c r="BH3639" s="1821"/>
      <c r="BI3639" s="1821"/>
      <c r="BJ3639" s="1821"/>
      <c r="BK3639" s="1821"/>
      <c r="BL3639" s="1821"/>
      <c r="BM3639" s="1821"/>
      <c r="BN3639" s="1821"/>
      <c r="BO3639" s="1821"/>
      <c r="BP3639" s="1821"/>
      <c r="BQ3639" s="1821"/>
      <c r="BR3639" s="1821"/>
      <c r="BS3639" s="1821"/>
      <c r="BT3639" s="1821"/>
      <c r="BU3639" s="1821"/>
      <c r="BV3639" s="1821"/>
      <c r="BW3639" s="1821"/>
      <c r="BX3639" s="1821"/>
      <c r="BY3639" s="1821"/>
      <c r="BZ3639" s="1821"/>
      <c r="CA3639" s="1821"/>
      <c r="CB3639" s="1821"/>
      <c r="CC3639" s="1821"/>
      <c r="CD3639" s="1821"/>
      <c r="CE3639" s="1821"/>
      <c r="CF3639" s="1821"/>
      <c r="CG3639" s="1821"/>
      <c r="CH3639" s="1821"/>
      <c r="CI3639" s="1821"/>
      <c r="CJ3639" s="1821"/>
      <c r="CK3639" s="1821"/>
    </row>
    <row r="3640" spans="1:89" s="675" customFormat="1" ht="16.5" customHeight="1" x14ac:dyDescent="0.25">
      <c r="A3640" s="710"/>
      <c r="B3640" s="1002" t="s">
        <v>1265</v>
      </c>
      <c r="C3640" s="1007">
        <f>SUM(O3641:O3647)</f>
        <v>336880</v>
      </c>
      <c r="D3640" s="1005"/>
      <c r="E3640" s="1010"/>
      <c r="F3640" s="758"/>
      <c r="G3640" s="758"/>
      <c r="H3640" s="700"/>
      <c r="I3640" s="700"/>
      <c r="J3640" s="758"/>
      <c r="K3640" s="700"/>
      <c r="L3640" s="758"/>
      <c r="M3640" s="758"/>
      <c r="N3640" s="700"/>
      <c r="O3640" s="974"/>
      <c r="P3640" s="956"/>
      <c r="Q3640" s="1821"/>
      <c r="R3640" s="1821"/>
      <c r="S3640" s="1821"/>
      <c r="T3640" s="1821"/>
      <c r="U3640" s="1821"/>
      <c r="V3640" s="1821"/>
      <c r="W3640" s="1821"/>
      <c r="X3640" s="1821"/>
      <c r="Y3640" s="1821"/>
      <c r="Z3640" s="1821"/>
      <c r="AA3640" s="1821"/>
      <c r="AB3640" s="1821"/>
      <c r="AC3640" s="1821"/>
      <c r="AD3640" s="1821"/>
      <c r="AE3640" s="1821"/>
      <c r="AF3640" s="1821"/>
      <c r="AG3640" s="1821"/>
      <c r="AH3640" s="1821"/>
      <c r="AI3640" s="1821"/>
      <c r="AJ3640" s="1821"/>
      <c r="AK3640" s="1821"/>
      <c r="AL3640" s="1821"/>
      <c r="AM3640" s="1821"/>
      <c r="AN3640" s="1821"/>
      <c r="AO3640" s="1821"/>
      <c r="AP3640" s="1821"/>
      <c r="AQ3640" s="1821"/>
      <c r="AR3640" s="1821"/>
      <c r="AS3640" s="1821"/>
      <c r="AT3640" s="1821"/>
      <c r="AU3640" s="1821"/>
      <c r="AV3640" s="1821"/>
      <c r="AW3640" s="1821"/>
      <c r="AX3640" s="1821"/>
      <c r="AY3640" s="1821"/>
      <c r="AZ3640" s="1821"/>
      <c r="BA3640" s="1821"/>
      <c r="BB3640" s="1821"/>
      <c r="BC3640" s="1821"/>
      <c r="BD3640" s="1821"/>
      <c r="BE3640" s="1821"/>
      <c r="BF3640" s="1821"/>
      <c r="BG3640" s="1821"/>
      <c r="BH3640" s="1821"/>
      <c r="BI3640" s="1821"/>
      <c r="BJ3640" s="1821"/>
      <c r="BK3640" s="1821"/>
      <c r="BL3640" s="1821"/>
      <c r="BM3640" s="1821"/>
      <c r="BN3640" s="1821"/>
      <c r="BO3640" s="1821"/>
      <c r="BP3640" s="1821"/>
      <c r="BQ3640" s="1821"/>
      <c r="BR3640" s="1821"/>
      <c r="BS3640" s="1821"/>
      <c r="BT3640" s="1821"/>
      <c r="BU3640" s="1821"/>
      <c r="BV3640" s="1821"/>
      <c r="BW3640" s="1821"/>
      <c r="BX3640" s="1821"/>
      <c r="BY3640" s="1821"/>
      <c r="BZ3640" s="1821"/>
      <c r="CA3640" s="1821"/>
      <c r="CB3640" s="1821"/>
      <c r="CC3640" s="1821"/>
      <c r="CD3640" s="1821"/>
      <c r="CE3640" s="1821"/>
      <c r="CF3640" s="1821"/>
      <c r="CG3640" s="1821"/>
      <c r="CH3640" s="1821"/>
      <c r="CI3640" s="1821"/>
      <c r="CJ3640" s="1821"/>
      <c r="CK3640" s="1821"/>
    </row>
    <row r="3641" spans="1:89" s="675" customFormat="1" ht="16.5" customHeight="1" x14ac:dyDescent="0.25">
      <c r="A3641" s="710"/>
      <c r="B3641" s="1002" t="s">
        <v>359</v>
      </c>
      <c r="C3641" s="1007">
        <v>30</v>
      </c>
      <c r="D3641" s="1005" t="s">
        <v>51</v>
      </c>
      <c r="E3641" s="1010">
        <v>100</v>
      </c>
      <c r="F3641" s="758"/>
      <c r="G3641" s="758"/>
      <c r="H3641" s="700"/>
      <c r="I3641" s="700"/>
      <c r="J3641" s="758">
        <f>C3641*E3641</f>
        <v>3000</v>
      </c>
      <c r="K3641" s="700">
        <f t="shared" ref="K3641:K3684" si="396">J3641+I3641</f>
        <v>3000</v>
      </c>
      <c r="L3641" s="758"/>
      <c r="M3641" s="758"/>
      <c r="N3641" s="700"/>
      <c r="O3641" s="974">
        <f>C3641*E3641</f>
        <v>3000</v>
      </c>
      <c r="P3641" s="956"/>
      <c r="Q3641" s="1821"/>
      <c r="R3641" s="1821"/>
      <c r="S3641" s="1821"/>
      <c r="T3641" s="1821"/>
      <c r="U3641" s="1821"/>
      <c r="V3641" s="1821"/>
      <c r="W3641" s="1821"/>
      <c r="X3641" s="1821"/>
      <c r="Y3641" s="1821"/>
      <c r="Z3641" s="1821"/>
      <c r="AA3641" s="1821"/>
      <c r="AB3641" s="1821"/>
      <c r="AC3641" s="1821"/>
      <c r="AD3641" s="1821"/>
      <c r="AE3641" s="1821"/>
      <c r="AF3641" s="1821"/>
      <c r="AG3641" s="1821"/>
      <c r="AH3641" s="1821"/>
      <c r="AI3641" s="1821"/>
      <c r="AJ3641" s="1821"/>
      <c r="AK3641" s="1821"/>
      <c r="AL3641" s="1821"/>
      <c r="AM3641" s="1821"/>
      <c r="AN3641" s="1821"/>
      <c r="AO3641" s="1821"/>
      <c r="AP3641" s="1821"/>
      <c r="AQ3641" s="1821"/>
      <c r="AR3641" s="1821"/>
      <c r="AS3641" s="1821"/>
      <c r="AT3641" s="1821"/>
      <c r="AU3641" s="1821"/>
      <c r="AV3641" s="1821"/>
      <c r="AW3641" s="1821"/>
      <c r="AX3641" s="1821"/>
      <c r="AY3641" s="1821"/>
      <c r="AZ3641" s="1821"/>
      <c r="BA3641" s="1821"/>
      <c r="BB3641" s="1821"/>
      <c r="BC3641" s="1821"/>
      <c r="BD3641" s="1821"/>
      <c r="BE3641" s="1821"/>
      <c r="BF3641" s="1821"/>
      <c r="BG3641" s="1821"/>
      <c r="BH3641" s="1821"/>
      <c r="BI3641" s="1821"/>
      <c r="BJ3641" s="1821"/>
      <c r="BK3641" s="1821"/>
      <c r="BL3641" s="1821"/>
      <c r="BM3641" s="1821"/>
      <c r="BN3641" s="1821"/>
      <c r="BO3641" s="1821"/>
      <c r="BP3641" s="1821"/>
      <c r="BQ3641" s="1821"/>
      <c r="BR3641" s="1821"/>
      <c r="BS3641" s="1821"/>
      <c r="BT3641" s="1821"/>
      <c r="BU3641" s="1821"/>
      <c r="BV3641" s="1821"/>
      <c r="BW3641" s="1821"/>
      <c r="BX3641" s="1821"/>
      <c r="BY3641" s="1821"/>
      <c r="BZ3641" s="1821"/>
      <c r="CA3641" s="1821"/>
      <c r="CB3641" s="1821"/>
      <c r="CC3641" s="1821"/>
      <c r="CD3641" s="1821"/>
      <c r="CE3641" s="1821"/>
      <c r="CF3641" s="1821"/>
      <c r="CG3641" s="1821"/>
      <c r="CH3641" s="1821"/>
      <c r="CI3641" s="1821"/>
      <c r="CJ3641" s="1821"/>
      <c r="CK3641" s="1821"/>
    </row>
    <row r="3642" spans="1:89" s="675" customFormat="1" ht="16.5" customHeight="1" x14ac:dyDescent="0.25">
      <c r="A3642" s="697"/>
      <c r="B3642" s="1002" t="s">
        <v>1272</v>
      </c>
      <c r="C3642" s="1007">
        <v>180</v>
      </c>
      <c r="D3642" s="1005" t="s">
        <v>51</v>
      </c>
      <c r="E3642" s="1006">
        <v>130</v>
      </c>
      <c r="F3642" s="758"/>
      <c r="G3642" s="758"/>
      <c r="H3642" s="700"/>
      <c r="I3642" s="758"/>
      <c r="J3642" s="758">
        <f>C3642*E3642</f>
        <v>23400</v>
      </c>
      <c r="K3642" s="700">
        <f t="shared" si="396"/>
        <v>23400</v>
      </c>
      <c r="L3642" s="758"/>
      <c r="M3642" s="758"/>
      <c r="N3642" s="700"/>
      <c r="O3642" s="974">
        <f>C3642*E3642</f>
        <v>23400</v>
      </c>
      <c r="P3642" s="956"/>
      <c r="Q3642" s="1821"/>
      <c r="R3642" s="1821"/>
      <c r="S3642" s="1821"/>
      <c r="T3642" s="1821"/>
      <c r="U3642" s="1821"/>
      <c r="V3642" s="1821"/>
      <c r="W3642" s="1821"/>
      <c r="X3642" s="1821"/>
      <c r="Y3642" s="1821"/>
      <c r="Z3642" s="1821"/>
      <c r="AA3642" s="1821"/>
      <c r="AB3642" s="1821"/>
      <c r="AC3642" s="1821"/>
      <c r="AD3642" s="1821"/>
      <c r="AE3642" s="1821"/>
      <c r="AF3642" s="1821"/>
      <c r="AG3642" s="1821"/>
      <c r="AH3642" s="1821"/>
      <c r="AI3642" s="1821"/>
      <c r="AJ3642" s="1821"/>
      <c r="AK3642" s="1821"/>
      <c r="AL3642" s="1821"/>
      <c r="AM3642" s="1821"/>
      <c r="AN3642" s="1821"/>
      <c r="AO3642" s="1821"/>
      <c r="AP3642" s="1821"/>
      <c r="AQ3642" s="1821"/>
      <c r="AR3642" s="1821"/>
      <c r="AS3642" s="1821"/>
      <c r="AT3642" s="1821"/>
      <c r="AU3642" s="1821"/>
      <c r="AV3642" s="1821"/>
      <c r="AW3642" s="1821"/>
      <c r="AX3642" s="1821"/>
      <c r="AY3642" s="1821"/>
      <c r="AZ3642" s="1821"/>
      <c r="BA3642" s="1821"/>
      <c r="BB3642" s="1821"/>
      <c r="BC3642" s="1821"/>
      <c r="BD3642" s="1821"/>
      <c r="BE3642" s="1821"/>
      <c r="BF3642" s="1821"/>
      <c r="BG3642" s="1821"/>
      <c r="BH3642" s="1821"/>
      <c r="BI3642" s="1821"/>
      <c r="BJ3642" s="1821"/>
      <c r="BK3642" s="1821"/>
      <c r="BL3642" s="1821"/>
      <c r="BM3642" s="1821"/>
      <c r="BN3642" s="1821"/>
      <c r="BO3642" s="1821"/>
      <c r="BP3642" s="1821"/>
      <c r="BQ3642" s="1821"/>
      <c r="BR3642" s="1821"/>
      <c r="BS3642" s="1821"/>
      <c r="BT3642" s="1821"/>
      <c r="BU3642" s="1821"/>
      <c r="BV3642" s="1821"/>
      <c r="BW3642" s="1821"/>
      <c r="BX3642" s="1821"/>
      <c r="BY3642" s="1821"/>
      <c r="BZ3642" s="1821"/>
      <c r="CA3642" s="1821"/>
      <c r="CB3642" s="1821"/>
      <c r="CC3642" s="1821"/>
      <c r="CD3642" s="1821"/>
      <c r="CE3642" s="1821"/>
      <c r="CF3642" s="1821"/>
      <c r="CG3642" s="1821"/>
      <c r="CH3642" s="1821"/>
      <c r="CI3642" s="1821"/>
      <c r="CJ3642" s="1821"/>
      <c r="CK3642" s="1821"/>
    </row>
    <row r="3643" spans="1:89" s="675" customFormat="1" ht="16.5" customHeight="1" x14ac:dyDescent="0.25">
      <c r="A3643" s="697"/>
      <c r="B3643" s="1002" t="s">
        <v>1278</v>
      </c>
      <c r="C3643" s="1007">
        <v>5</v>
      </c>
      <c r="D3643" s="1005" t="s">
        <v>978</v>
      </c>
      <c r="E3643" s="1006">
        <v>4000</v>
      </c>
      <c r="F3643" s="758"/>
      <c r="G3643" s="758"/>
      <c r="H3643" s="700"/>
      <c r="I3643" s="758"/>
      <c r="J3643" s="758">
        <f>C3643*E3643</f>
        <v>20000</v>
      </c>
      <c r="K3643" s="700">
        <f t="shared" si="396"/>
        <v>20000</v>
      </c>
      <c r="L3643" s="758"/>
      <c r="M3643" s="758"/>
      <c r="N3643" s="700"/>
      <c r="O3643" s="974">
        <f>C3643*E3643</f>
        <v>20000</v>
      </c>
      <c r="P3643" s="956"/>
      <c r="Q3643" s="1821"/>
      <c r="R3643" s="1821"/>
      <c r="S3643" s="1821"/>
      <c r="T3643" s="1821"/>
      <c r="U3643" s="1821"/>
      <c r="V3643" s="1821"/>
      <c r="W3643" s="1821"/>
      <c r="X3643" s="1821"/>
      <c r="Y3643" s="1821"/>
      <c r="Z3643" s="1821"/>
      <c r="AA3643" s="1821"/>
      <c r="AB3643" s="1821"/>
      <c r="AC3643" s="1821"/>
      <c r="AD3643" s="1821"/>
      <c r="AE3643" s="1821"/>
      <c r="AF3643" s="1821"/>
      <c r="AG3643" s="1821"/>
      <c r="AH3643" s="1821"/>
      <c r="AI3643" s="1821"/>
      <c r="AJ3643" s="1821"/>
      <c r="AK3643" s="1821"/>
      <c r="AL3643" s="1821"/>
      <c r="AM3643" s="1821"/>
      <c r="AN3643" s="1821"/>
      <c r="AO3643" s="1821"/>
      <c r="AP3643" s="1821"/>
      <c r="AQ3643" s="1821"/>
      <c r="AR3643" s="1821"/>
      <c r="AS3643" s="1821"/>
      <c r="AT3643" s="1821"/>
      <c r="AU3643" s="1821"/>
      <c r="AV3643" s="1821"/>
      <c r="AW3643" s="1821"/>
      <c r="AX3643" s="1821"/>
      <c r="AY3643" s="1821"/>
      <c r="AZ3643" s="1821"/>
      <c r="BA3643" s="1821"/>
      <c r="BB3643" s="1821"/>
      <c r="BC3643" s="1821"/>
      <c r="BD3643" s="1821"/>
      <c r="BE3643" s="1821"/>
      <c r="BF3643" s="1821"/>
      <c r="BG3643" s="1821"/>
      <c r="BH3643" s="1821"/>
      <c r="BI3643" s="1821"/>
      <c r="BJ3643" s="1821"/>
      <c r="BK3643" s="1821"/>
      <c r="BL3643" s="1821"/>
      <c r="BM3643" s="1821"/>
      <c r="BN3643" s="1821"/>
      <c r="BO3643" s="1821"/>
      <c r="BP3643" s="1821"/>
      <c r="BQ3643" s="1821"/>
      <c r="BR3643" s="1821"/>
      <c r="BS3643" s="1821"/>
      <c r="BT3643" s="1821"/>
      <c r="BU3643" s="1821"/>
      <c r="BV3643" s="1821"/>
      <c r="BW3643" s="1821"/>
      <c r="BX3643" s="1821"/>
      <c r="BY3643" s="1821"/>
      <c r="BZ3643" s="1821"/>
      <c r="CA3643" s="1821"/>
      <c r="CB3643" s="1821"/>
      <c r="CC3643" s="1821"/>
      <c r="CD3643" s="1821"/>
      <c r="CE3643" s="1821"/>
      <c r="CF3643" s="1821"/>
      <c r="CG3643" s="1821"/>
      <c r="CH3643" s="1821"/>
      <c r="CI3643" s="1821"/>
      <c r="CJ3643" s="1821"/>
      <c r="CK3643" s="1821"/>
    </row>
    <row r="3644" spans="1:89" s="675" customFormat="1" ht="16.5" customHeight="1" x14ac:dyDescent="0.25">
      <c r="A3644" s="697"/>
      <c r="B3644" s="1002" t="s">
        <v>349</v>
      </c>
      <c r="C3644" s="1007"/>
      <c r="D3644" s="1005"/>
      <c r="E3644" s="1006"/>
      <c r="F3644" s="758"/>
      <c r="G3644" s="758"/>
      <c r="H3644" s="700">
        <f t="shared" ref="H3644:H3683" si="397">G3644+F3644</f>
        <v>0</v>
      </c>
      <c r="I3644" s="758"/>
      <c r="J3644" s="758"/>
      <c r="K3644" s="700">
        <f t="shared" si="396"/>
        <v>0</v>
      </c>
      <c r="L3644" s="758"/>
      <c r="M3644" s="758"/>
      <c r="N3644" s="700">
        <f t="shared" ref="N3644:N3683" si="398">M3644+L3644</f>
        <v>0</v>
      </c>
      <c r="O3644" s="974">
        <f>N3644+K3644+H3644</f>
        <v>0</v>
      </c>
      <c r="P3644" s="956"/>
      <c r="Q3644" s="1821"/>
      <c r="R3644" s="1821"/>
      <c r="S3644" s="1821"/>
      <c r="T3644" s="1821"/>
      <c r="U3644" s="1821"/>
      <c r="V3644" s="1821"/>
      <c r="W3644" s="1821"/>
      <c r="X3644" s="1821"/>
      <c r="Y3644" s="1821"/>
      <c r="Z3644" s="1821"/>
      <c r="AA3644" s="1821"/>
      <c r="AB3644" s="1821"/>
      <c r="AC3644" s="1821"/>
      <c r="AD3644" s="1821"/>
      <c r="AE3644" s="1821"/>
      <c r="AF3644" s="1821"/>
      <c r="AG3644" s="1821"/>
      <c r="AH3644" s="1821"/>
      <c r="AI3644" s="1821"/>
      <c r="AJ3644" s="1821"/>
      <c r="AK3644" s="1821"/>
      <c r="AL3644" s="1821"/>
      <c r="AM3644" s="1821"/>
      <c r="AN3644" s="1821"/>
      <c r="AO3644" s="1821"/>
      <c r="AP3644" s="1821"/>
      <c r="AQ3644" s="1821"/>
      <c r="AR3644" s="1821"/>
      <c r="AS3644" s="1821"/>
      <c r="AT3644" s="1821"/>
      <c r="AU3644" s="1821"/>
      <c r="AV3644" s="1821"/>
      <c r="AW3644" s="1821"/>
      <c r="AX3644" s="1821"/>
      <c r="AY3644" s="1821"/>
      <c r="AZ3644" s="1821"/>
      <c r="BA3644" s="1821"/>
      <c r="BB3644" s="1821"/>
      <c r="BC3644" s="1821"/>
      <c r="BD3644" s="1821"/>
      <c r="BE3644" s="1821"/>
      <c r="BF3644" s="1821"/>
      <c r="BG3644" s="1821"/>
      <c r="BH3644" s="1821"/>
      <c r="BI3644" s="1821"/>
      <c r="BJ3644" s="1821"/>
      <c r="BK3644" s="1821"/>
      <c r="BL3644" s="1821"/>
      <c r="BM3644" s="1821"/>
      <c r="BN3644" s="1821"/>
      <c r="BO3644" s="1821"/>
      <c r="BP3644" s="1821"/>
      <c r="BQ3644" s="1821"/>
      <c r="BR3644" s="1821"/>
      <c r="BS3644" s="1821"/>
      <c r="BT3644" s="1821"/>
      <c r="BU3644" s="1821"/>
      <c r="BV3644" s="1821"/>
      <c r="BW3644" s="1821"/>
      <c r="BX3644" s="1821"/>
      <c r="BY3644" s="1821"/>
      <c r="BZ3644" s="1821"/>
      <c r="CA3644" s="1821"/>
      <c r="CB3644" s="1821"/>
      <c r="CC3644" s="1821"/>
      <c r="CD3644" s="1821"/>
      <c r="CE3644" s="1821"/>
      <c r="CF3644" s="1821"/>
      <c r="CG3644" s="1821"/>
      <c r="CH3644" s="1821"/>
      <c r="CI3644" s="1821"/>
      <c r="CJ3644" s="1821"/>
      <c r="CK3644" s="1821"/>
    </row>
    <row r="3645" spans="1:89" s="675" customFormat="1" ht="16.5" customHeight="1" x14ac:dyDescent="0.25">
      <c r="A3645" s="697"/>
      <c r="B3645" s="1002" t="s">
        <v>359</v>
      </c>
      <c r="C3645" s="1007">
        <v>40</v>
      </c>
      <c r="D3645" s="1005" t="s">
        <v>51</v>
      </c>
      <c r="E3645" s="1006">
        <v>100</v>
      </c>
      <c r="F3645" s="758"/>
      <c r="G3645" s="758"/>
      <c r="H3645" s="700">
        <f t="shared" si="397"/>
        <v>0</v>
      </c>
      <c r="I3645" s="758"/>
      <c r="J3645" s="758">
        <f>C3645*E3645</f>
        <v>4000</v>
      </c>
      <c r="K3645" s="700">
        <f t="shared" si="396"/>
        <v>4000</v>
      </c>
      <c r="L3645" s="758"/>
      <c r="M3645" s="758"/>
      <c r="N3645" s="700">
        <f t="shared" si="398"/>
        <v>0</v>
      </c>
      <c r="O3645" s="974">
        <f>C3645*E3645</f>
        <v>4000</v>
      </c>
      <c r="P3645" s="956"/>
      <c r="Q3645" s="1821"/>
      <c r="R3645" s="1821"/>
      <c r="S3645" s="1821"/>
      <c r="T3645" s="1821"/>
      <c r="U3645" s="1821"/>
      <c r="V3645" s="1821"/>
      <c r="W3645" s="1821"/>
      <c r="X3645" s="1821"/>
      <c r="Y3645" s="1821"/>
      <c r="Z3645" s="1821"/>
      <c r="AA3645" s="1821"/>
      <c r="AB3645" s="1821"/>
      <c r="AC3645" s="1821"/>
      <c r="AD3645" s="1821"/>
      <c r="AE3645" s="1821"/>
      <c r="AF3645" s="1821"/>
      <c r="AG3645" s="1821"/>
      <c r="AH3645" s="1821"/>
      <c r="AI3645" s="1821"/>
      <c r="AJ3645" s="1821"/>
      <c r="AK3645" s="1821"/>
      <c r="AL3645" s="1821"/>
      <c r="AM3645" s="1821"/>
      <c r="AN3645" s="1821"/>
      <c r="AO3645" s="1821"/>
      <c r="AP3645" s="1821"/>
      <c r="AQ3645" s="1821"/>
      <c r="AR3645" s="1821"/>
      <c r="AS3645" s="1821"/>
      <c r="AT3645" s="1821"/>
      <c r="AU3645" s="1821"/>
      <c r="AV3645" s="1821"/>
      <c r="AW3645" s="1821"/>
      <c r="AX3645" s="1821"/>
      <c r="AY3645" s="1821"/>
      <c r="AZ3645" s="1821"/>
      <c r="BA3645" s="1821"/>
      <c r="BB3645" s="1821"/>
      <c r="BC3645" s="1821"/>
      <c r="BD3645" s="1821"/>
      <c r="BE3645" s="1821"/>
      <c r="BF3645" s="1821"/>
      <c r="BG3645" s="1821"/>
      <c r="BH3645" s="1821"/>
      <c r="BI3645" s="1821"/>
      <c r="BJ3645" s="1821"/>
      <c r="BK3645" s="1821"/>
      <c r="BL3645" s="1821"/>
      <c r="BM3645" s="1821"/>
      <c r="BN3645" s="1821"/>
      <c r="BO3645" s="1821"/>
      <c r="BP3645" s="1821"/>
      <c r="BQ3645" s="1821"/>
      <c r="BR3645" s="1821"/>
      <c r="BS3645" s="1821"/>
      <c r="BT3645" s="1821"/>
      <c r="BU3645" s="1821"/>
      <c r="BV3645" s="1821"/>
      <c r="BW3645" s="1821"/>
      <c r="BX3645" s="1821"/>
      <c r="BY3645" s="1821"/>
      <c r="BZ3645" s="1821"/>
      <c r="CA3645" s="1821"/>
      <c r="CB3645" s="1821"/>
      <c r="CC3645" s="1821"/>
      <c r="CD3645" s="1821"/>
      <c r="CE3645" s="1821"/>
      <c r="CF3645" s="1821"/>
      <c r="CG3645" s="1821"/>
      <c r="CH3645" s="1821"/>
      <c r="CI3645" s="1821"/>
      <c r="CJ3645" s="1821"/>
      <c r="CK3645" s="1821"/>
    </row>
    <row r="3646" spans="1:89" s="675" customFormat="1" ht="16.5" customHeight="1" x14ac:dyDescent="0.25">
      <c r="A3646" s="697"/>
      <c r="B3646" s="1002" t="s">
        <v>350</v>
      </c>
      <c r="C3646" s="1007">
        <v>40</v>
      </c>
      <c r="D3646" s="1005" t="s">
        <v>51</v>
      </c>
      <c r="E3646" s="1006">
        <v>3262</v>
      </c>
      <c r="F3646" s="758"/>
      <c r="G3646" s="758"/>
      <c r="H3646" s="700"/>
      <c r="I3646" s="758"/>
      <c r="J3646" s="758">
        <f>C3646*E3646</f>
        <v>130480</v>
      </c>
      <c r="K3646" s="700">
        <f t="shared" si="396"/>
        <v>130480</v>
      </c>
      <c r="L3646" s="758"/>
      <c r="M3646" s="758"/>
      <c r="N3646" s="700"/>
      <c r="O3646" s="974">
        <f>C3646*E3646</f>
        <v>130480</v>
      </c>
      <c r="P3646" s="956"/>
      <c r="Q3646" s="1821"/>
      <c r="R3646" s="1821"/>
      <c r="S3646" s="1821"/>
      <c r="T3646" s="1821"/>
      <c r="U3646" s="1821"/>
      <c r="V3646" s="1821"/>
      <c r="W3646" s="1821"/>
      <c r="X3646" s="1821"/>
      <c r="Y3646" s="1821"/>
      <c r="Z3646" s="1821"/>
      <c r="AA3646" s="1821"/>
      <c r="AB3646" s="1821"/>
      <c r="AC3646" s="1821"/>
      <c r="AD3646" s="1821"/>
      <c r="AE3646" s="1821"/>
      <c r="AF3646" s="1821"/>
      <c r="AG3646" s="1821"/>
      <c r="AH3646" s="1821"/>
      <c r="AI3646" s="1821"/>
      <c r="AJ3646" s="1821"/>
      <c r="AK3646" s="1821"/>
      <c r="AL3646" s="1821"/>
      <c r="AM3646" s="1821"/>
      <c r="AN3646" s="1821"/>
      <c r="AO3646" s="1821"/>
      <c r="AP3646" s="1821"/>
      <c r="AQ3646" s="1821"/>
      <c r="AR3646" s="1821"/>
      <c r="AS3646" s="1821"/>
      <c r="AT3646" s="1821"/>
      <c r="AU3646" s="1821"/>
      <c r="AV3646" s="1821"/>
      <c r="AW3646" s="1821"/>
      <c r="AX3646" s="1821"/>
      <c r="AY3646" s="1821"/>
      <c r="AZ3646" s="1821"/>
      <c r="BA3646" s="1821"/>
      <c r="BB3646" s="1821"/>
      <c r="BC3646" s="1821"/>
      <c r="BD3646" s="1821"/>
      <c r="BE3646" s="1821"/>
      <c r="BF3646" s="1821"/>
      <c r="BG3646" s="1821"/>
      <c r="BH3646" s="1821"/>
      <c r="BI3646" s="1821"/>
      <c r="BJ3646" s="1821"/>
      <c r="BK3646" s="1821"/>
      <c r="BL3646" s="1821"/>
      <c r="BM3646" s="1821"/>
      <c r="BN3646" s="1821"/>
      <c r="BO3646" s="1821"/>
      <c r="BP3646" s="1821"/>
      <c r="BQ3646" s="1821"/>
      <c r="BR3646" s="1821"/>
      <c r="BS3646" s="1821"/>
      <c r="BT3646" s="1821"/>
      <c r="BU3646" s="1821"/>
      <c r="BV3646" s="1821"/>
      <c r="BW3646" s="1821"/>
      <c r="BX3646" s="1821"/>
      <c r="BY3646" s="1821"/>
      <c r="BZ3646" s="1821"/>
      <c r="CA3646" s="1821"/>
      <c r="CB3646" s="1821"/>
      <c r="CC3646" s="1821"/>
      <c r="CD3646" s="1821"/>
      <c r="CE3646" s="1821"/>
      <c r="CF3646" s="1821"/>
      <c r="CG3646" s="1821"/>
      <c r="CH3646" s="1821"/>
      <c r="CI3646" s="1821"/>
      <c r="CJ3646" s="1821"/>
      <c r="CK3646" s="1821"/>
    </row>
    <row r="3647" spans="1:89" s="675" customFormat="1" ht="16.5" customHeight="1" x14ac:dyDescent="0.25">
      <c r="A3647" s="697"/>
      <c r="B3647" s="1002" t="s">
        <v>54</v>
      </c>
      <c r="C3647" s="1007">
        <v>1200</v>
      </c>
      <c r="D3647" s="1005" t="s">
        <v>55</v>
      </c>
      <c r="E3647" s="1006">
        <v>130</v>
      </c>
      <c r="F3647" s="758"/>
      <c r="G3647" s="758"/>
      <c r="H3647" s="700">
        <f t="shared" si="397"/>
        <v>0</v>
      </c>
      <c r="I3647" s="758"/>
      <c r="J3647" s="758">
        <f>C3647*E3647</f>
        <v>156000</v>
      </c>
      <c r="K3647" s="700">
        <f t="shared" si="396"/>
        <v>156000</v>
      </c>
      <c r="L3647" s="758"/>
      <c r="M3647" s="758"/>
      <c r="N3647" s="700">
        <f t="shared" si="398"/>
        <v>0</v>
      </c>
      <c r="O3647" s="974">
        <f>C3647*E3647</f>
        <v>156000</v>
      </c>
      <c r="P3647" s="956"/>
      <c r="Q3647" s="1821"/>
      <c r="R3647" s="1821"/>
      <c r="S3647" s="1821"/>
      <c r="T3647" s="1821"/>
      <c r="U3647" s="1821"/>
      <c r="V3647" s="1821"/>
      <c r="W3647" s="1821"/>
      <c r="X3647" s="1821"/>
      <c r="Y3647" s="1821"/>
      <c r="Z3647" s="1821"/>
      <c r="AA3647" s="1821"/>
      <c r="AB3647" s="1821"/>
      <c r="AC3647" s="1821"/>
      <c r="AD3647" s="1821"/>
      <c r="AE3647" s="1821"/>
      <c r="AF3647" s="1821"/>
      <c r="AG3647" s="1821"/>
      <c r="AH3647" s="1821"/>
      <c r="AI3647" s="1821"/>
      <c r="AJ3647" s="1821"/>
      <c r="AK3647" s="1821"/>
      <c r="AL3647" s="1821"/>
      <c r="AM3647" s="1821"/>
      <c r="AN3647" s="1821"/>
      <c r="AO3647" s="1821"/>
      <c r="AP3647" s="1821"/>
      <c r="AQ3647" s="1821"/>
      <c r="AR3647" s="1821"/>
      <c r="AS3647" s="1821"/>
      <c r="AT3647" s="1821"/>
      <c r="AU3647" s="1821"/>
      <c r="AV3647" s="1821"/>
      <c r="AW3647" s="1821"/>
      <c r="AX3647" s="1821"/>
      <c r="AY3647" s="1821"/>
      <c r="AZ3647" s="1821"/>
      <c r="BA3647" s="1821"/>
      <c r="BB3647" s="1821"/>
      <c r="BC3647" s="1821"/>
      <c r="BD3647" s="1821"/>
      <c r="BE3647" s="1821"/>
      <c r="BF3647" s="1821"/>
      <c r="BG3647" s="1821"/>
      <c r="BH3647" s="1821"/>
      <c r="BI3647" s="1821"/>
      <c r="BJ3647" s="1821"/>
      <c r="BK3647" s="1821"/>
      <c r="BL3647" s="1821"/>
      <c r="BM3647" s="1821"/>
      <c r="BN3647" s="1821"/>
      <c r="BO3647" s="1821"/>
      <c r="BP3647" s="1821"/>
      <c r="BQ3647" s="1821"/>
      <c r="BR3647" s="1821"/>
      <c r="BS3647" s="1821"/>
      <c r="BT3647" s="1821"/>
      <c r="BU3647" s="1821"/>
      <c r="BV3647" s="1821"/>
      <c r="BW3647" s="1821"/>
      <c r="BX3647" s="1821"/>
      <c r="BY3647" s="1821"/>
      <c r="BZ3647" s="1821"/>
      <c r="CA3647" s="1821"/>
      <c r="CB3647" s="1821"/>
      <c r="CC3647" s="1821"/>
      <c r="CD3647" s="1821"/>
      <c r="CE3647" s="1821"/>
      <c r="CF3647" s="1821"/>
      <c r="CG3647" s="1821"/>
      <c r="CH3647" s="1821"/>
      <c r="CI3647" s="1821"/>
      <c r="CJ3647" s="1821"/>
      <c r="CK3647" s="1821"/>
    </row>
    <row r="3648" spans="1:89" s="675" customFormat="1" ht="16.5" customHeight="1" x14ac:dyDescent="0.25">
      <c r="A3648" s="697"/>
      <c r="B3648" s="1002"/>
      <c r="C3648" s="1007"/>
      <c r="D3648" s="1005"/>
      <c r="E3648" s="1006"/>
      <c r="F3648" s="758"/>
      <c r="G3648" s="758"/>
      <c r="H3648" s="700">
        <f t="shared" si="397"/>
        <v>0</v>
      </c>
      <c r="I3648" s="758"/>
      <c r="J3648" s="758"/>
      <c r="K3648" s="700">
        <f t="shared" si="396"/>
        <v>0</v>
      </c>
      <c r="L3648" s="758"/>
      <c r="M3648" s="758"/>
      <c r="N3648" s="700">
        <f t="shared" si="398"/>
        <v>0</v>
      </c>
      <c r="O3648" s="974">
        <f>N3648+K3648+H3648</f>
        <v>0</v>
      </c>
      <c r="P3648" s="956"/>
      <c r="Q3648" s="1821"/>
      <c r="R3648" s="1821"/>
      <c r="S3648" s="1821"/>
      <c r="T3648" s="1821"/>
      <c r="U3648" s="1821"/>
      <c r="V3648" s="1821"/>
      <c r="W3648" s="1821"/>
      <c r="X3648" s="1821"/>
      <c r="Y3648" s="1821"/>
      <c r="Z3648" s="1821"/>
      <c r="AA3648" s="1821"/>
      <c r="AB3648" s="1821"/>
      <c r="AC3648" s="1821"/>
      <c r="AD3648" s="1821"/>
      <c r="AE3648" s="1821"/>
      <c r="AF3648" s="1821"/>
      <c r="AG3648" s="1821"/>
      <c r="AH3648" s="1821"/>
      <c r="AI3648" s="1821"/>
      <c r="AJ3648" s="1821"/>
      <c r="AK3648" s="1821"/>
      <c r="AL3648" s="1821"/>
      <c r="AM3648" s="1821"/>
      <c r="AN3648" s="1821"/>
      <c r="AO3648" s="1821"/>
      <c r="AP3648" s="1821"/>
      <c r="AQ3648" s="1821"/>
      <c r="AR3648" s="1821"/>
      <c r="AS3648" s="1821"/>
      <c r="AT3648" s="1821"/>
      <c r="AU3648" s="1821"/>
      <c r="AV3648" s="1821"/>
      <c r="AW3648" s="1821"/>
      <c r="AX3648" s="1821"/>
      <c r="AY3648" s="1821"/>
      <c r="AZ3648" s="1821"/>
      <c r="BA3648" s="1821"/>
      <c r="BB3648" s="1821"/>
      <c r="BC3648" s="1821"/>
      <c r="BD3648" s="1821"/>
      <c r="BE3648" s="1821"/>
      <c r="BF3648" s="1821"/>
      <c r="BG3648" s="1821"/>
      <c r="BH3648" s="1821"/>
      <c r="BI3648" s="1821"/>
      <c r="BJ3648" s="1821"/>
      <c r="BK3648" s="1821"/>
      <c r="BL3648" s="1821"/>
      <c r="BM3648" s="1821"/>
      <c r="BN3648" s="1821"/>
      <c r="BO3648" s="1821"/>
      <c r="BP3648" s="1821"/>
      <c r="BQ3648" s="1821"/>
      <c r="BR3648" s="1821"/>
      <c r="BS3648" s="1821"/>
      <c r="BT3648" s="1821"/>
      <c r="BU3648" s="1821"/>
      <c r="BV3648" s="1821"/>
      <c r="BW3648" s="1821"/>
      <c r="BX3648" s="1821"/>
      <c r="BY3648" s="1821"/>
      <c r="BZ3648" s="1821"/>
      <c r="CA3648" s="1821"/>
      <c r="CB3648" s="1821"/>
      <c r="CC3648" s="1821"/>
      <c r="CD3648" s="1821"/>
      <c r="CE3648" s="1821"/>
      <c r="CF3648" s="1821"/>
      <c r="CG3648" s="1821"/>
      <c r="CH3648" s="1821"/>
      <c r="CI3648" s="1821"/>
      <c r="CJ3648" s="1821"/>
      <c r="CK3648" s="1821"/>
    </row>
    <row r="3649" spans="1:89" s="675" customFormat="1" ht="16.5" customHeight="1" x14ac:dyDescent="0.25">
      <c r="A3649" s="697" t="s">
        <v>385</v>
      </c>
      <c r="B3649" s="1002" t="s">
        <v>386</v>
      </c>
      <c r="C3649" s="1007"/>
      <c r="D3649" s="1005"/>
      <c r="E3649" s="1006"/>
      <c r="F3649" s="758"/>
      <c r="G3649" s="758"/>
      <c r="H3649" s="700">
        <f t="shared" si="397"/>
        <v>0</v>
      </c>
      <c r="I3649" s="758"/>
      <c r="J3649" s="758"/>
      <c r="K3649" s="700">
        <f t="shared" si="396"/>
        <v>0</v>
      </c>
      <c r="L3649" s="758"/>
      <c r="M3649" s="758"/>
      <c r="N3649" s="700">
        <f t="shared" si="398"/>
        <v>0</v>
      </c>
      <c r="O3649" s="974">
        <f>N3649+K3649+H3649</f>
        <v>0</v>
      </c>
      <c r="P3649" s="956"/>
      <c r="Q3649" s="1821"/>
      <c r="R3649" s="1821"/>
      <c r="S3649" s="1821"/>
      <c r="T3649" s="1821"/>
      <c r="U3649" s="1821"/>
      <c r="V3649" s="1821"/>
      <c r="W3649" s="1821"/>
      <c r="X3649" s="1821"/>
      <c r="Y3649" s="1821"/>
      <c r="Z3649" s="1821"/>
      <c r="AA3649" s="1821"/>
      <c r="AB3649" s="1821"/>
      <c r="AC3649" s="1821"/>
      <c r="AD3649" s="1821"/>
      <c r="AE3649" s="1821"/>
      <c r="AF3649" s="1821"/>
      <c r="AG3649" s="1821"/>
      <c r="AH3649" s="1821"/>
      <c r="AI3649" s="1821"/>
      <c r="AJ3649" s="1821"/>
      <c r="AK3649" s="1821"/>
      <c r="AL3649" s="1821"/>
      <c r="AM3649" s="1821"/>
      <c r="AN3649" s="1821"/>
      <c r="AO3649" s="1821"/>
      <c r="AP3649" s="1821"/>
      <c r="AQ3649" s="1821"/>
      <c r="AR3649" s="1821"/>
      <c r="AS3649" s="1821"/>
      <c r="AT3649" s="1821"/>
      <c r="AU3649" s="1821"/>
      <c r="AV3649" s="1821"/>
      <c r="AW3649" s="1821"/>
      <c r="AX3649" s="1821"/>
      <c r="AY3649" s="1821"/>
      <c r="AZ3649" s="1821"/>
      <c r="BA3649" s="1821"/>
      <c r="BB3649" s="1821"/>
      <c r="BC3649" s="1821"/>
      <c r="BD3649" s="1821"/>
      <c r="BE3649" s="1821"/>
      <c r="BF3649" s="1821"/>
      <c r="BG3649" s="1821"/>
      <c r="BH3649" s="1821"/>
      <c r="BI3649" s="1821"/>
      <c r="BJ3649" s="1821"/>
      <c r="BK3649" s="1821"/>
      <c r="BL3649" s="1821"/>
      <c r="BM3649" s="1821"/>
      <c r="BN3649" s="1821"/>
      <c r="BO3649" s="1821"/>
      <c r="BP3649" s="1821"/>
      <c r="BQ3649" s="1821"/>
      <c r="BR3649" s="1821"/>
      <c r="BS3649" s="1821"/>
      <c r="BT3649" s="1821"/>
      <c r="BU3649" s="1821"/>
      <c r="BV3649" s="1821"/>
      <c r="BW3649" s="1821"/>
      <c r="BX3649" s="1821"/>
      <c r="BY3649" s="1821"/>
      <c r="BZ3649" s="1821"/>
      <c r="CA3649" s="1821"/>
      <c r="CB3649" s="1821"/>
      <c r="CC3649" s="1821"/>
      <c r="CD3649" s="1821"/>
      <c r="CE3649" s="1821"/>
      <c r="CF3649" s="1821"/>
      <c r="CG3649" s="1821"/>
      <c r="CH3649" s="1821"/>
      <c r="CI3649" s="1821"/>
      <c r="CJ3649" s="1821"/>
      <c r="CK3649" s="1821"/>
    </row>
    <row r="3650" spans="1:89" s="675" customFormat="1" ht="16.5" customHeight="1" x14ac:dyDescent="0.25">
      <c r="A3650" s="697"/>
      <c r="B3650" s="1002"/>
      <c r="C3650" s="1007"/>
      <c r="D3650" s="1005"/>
      <c r="E3650" s="1006"/>
      <c r="F3650" s="758"/>
      <c r="G3650" s="758"/>
      <c r="H3650" s="700"/>
      <c r="I3650" s="758"/>
      <c r="J3650" s="758"/>
      <c r="K3650" s="700"/>
      <c r="L3650" s="758"/>
      <c r="M3650" s="758"/>
      <c r="N3650" s="700"/>
      <c r="O3650" s="974"/>
      <c r="P3650" s="956"/>
      <c r="Q3650" s="1821"/>
      <c r="R3650" s="1821"/>
      <c r="S3650" s="1821"/>
      <c r="T3650" s="1821"/>
      <c r="U3650" s="1821"/>
      <c r="V3650" s="1821"/>
      <c r="W3650" s="1821"/>
      <c r="X3650" s="1821"/>
      <c r="Y3650" s="1821"/>
      <c r="Z3650" s="1821"/>
      <c r="AA3650" s="1821"/>
      <c r="AB3650" s="1821"/>
      <c r="AC3650" s="1821"/>
      <c r="AD3650" s="1821"/>
      <c r="AE3650" s="1821"/>
      <c r="AF3650" s="1821"/>
      <c r="AG3650" s="1821"/>
      <c r="AH3650" s="1821"/>
      <c r="AI3650" s="1821"/>
      <c r="AJ3650" s="1821"/>
      <c r="AK3650" s="1821"/>
      <c r="AL3650" s="1821"/>
      <c r="AM3650" s="1821"/>
      <c r="AN3650" s="1821"/>
      <c r="AO3650" s="1821"/>
      <c r="AP3650" s="1821"/>
      <c r="AQ3650" s="1821"/>
      <c r="AR3650" s="1821"/>
      <c r="AS3650" s="1821"/>
      <c r="AT3650" s="1821"/>
      <c r="AU3650" s="1821"/>
      <c r="AV3650" s="1821"/>
      <c r="AW3650" s="1821"/>
      <c r="AX3650" s="1821"/>
      <c r="AY3650" s="1821"/>
      <c r="AZ3650" s="1821"/>
      <c r="BA3650" s="1821"/>
      <c r="BB3650" s="1821"/>
      <c r="BC3650" s="1821"/>
      <c r="BD3650" s="1821"/>
      <c r="BE3650" s="1821"/>
      <c r="BF3650" s="1821"/>
      <c r="BG3650" s="1821"/>
      <c r="BH3650" s="1821"/>
      <c r="BI3650" s="1821"/>
      <c r="BJ3650" s="1821"/>
      <c r="BK3650" s="1821"/>
      <c r="BL3650" s="1821"/>
      <c r="BM3650" s="1821"/>
      <c r="BN3650" s="1821"/>
      <c r="BO3650" s="1821"/>
      <c r="BP3650" s="1821"/>
      <c r="BQ3650" s="1821"/>
      <c r="BR3650" s="1821"/>
      <c r="BS3650" s="1821"/>
      <c r="BT3650" s="1821"/>
      <c r="BU3650" s="1821"/>
      <c r="BV3650" s="1821"/>
      <c r="BW3650" s="1821"/>
      <c r="BX3650" s="1821"/>
      <c r="BY3650" s="1821"/>
      <c r="BZ3650" s="1821"/>
      <c r="CA3650" s="1821"/>
      <c r="CB3650" s="1821"/>
      <c r="CC3650" s="1821"/>
      <c r="CD3650" s="1821"/>
      <c r="CE3650" s="1821"/>
      <c r="CF3650" s="1821"/>
      <c r="CG3650" s="1821"/>
      <c r="CH3650" s="1821"/>
      <c r="CI3650" s="1821"/>
      <c r="CJ3650" s="1821"/>
      <c r="CK3650" s="1821"/>
    </row>
    <row r="3651" spans="1:89" s="675" customFormat="1" ht="16.5" customHeight="1" x14ac:dyDescent="0.25">
      <c r="A3651" s="697">
        <v>11</v>
      </c>
      <c r="B3651" s="1002" t="s">
        <v>1279</v>
      </c>
      <c r="C3651" s="1007">
        <f>SUM(O3652:O3659)</f>
        <v>374900</v>
      </c>
      <c r="D3651" s="1005"/>
      <c r="E3651" s="1006"/>
      <c r="F3651" s="758"/>
      <c r="G3651" s="758"/>
      <c r="H3651" s="700"/>
      <c r="I3651" s="758"/>
      <c r="J3651" s="758"/>
      <c r="K3651" s="700"/>
      <c r="L3651" s="758"/>
      <c r="M3651" s="758"/>
      <c r="N3651" s="700"/>
      <c r="O3651" s="974"/>
      <c r="P3651" s="956"/>
      <c r="Q3651" s="1821"/>
      <c r="R3651" s="1821"/>
      <c r="S3651" s="1821"/>
      <c r="T3651" s="1821"/>
      <c r="U3651" s="1821"/>
      <c r="V3651" s="1821"/>
      <c r="W3651" s="1821"/>
      <c r="X3651" s="1821"/>
      <c r="Y3651" s="1821"/>
      <c r="Z3651" s="1821"/>
      <c r="AA3651" s="1821"/>
      <c r="AB3651" s="1821"/>
      <c r="AC3651" s="1821"/>
      <c r="AD3651" s="1821"/>
      <c r="AE3651" s="1821"/>
      <c r="AF3651" s="1821"/>
      <c r="AG3651" s="1821"/>
      <c r="AH3651" s="1821"/>
      <c r="AI3651" s="1821"/>
      <c r="AJ3651" s="1821"/>
      <c r="AK3651" s="1821"/>
      <c r="AL3651" s="1821"/>
      <c r="AM3651" s="1821"/>
      <c r="AN3651" s="1821"/>
      <c r="AO3651" s="1821"/>
      <c r="AP3651" s="1821"/>
      <c r="AQ3651" s="1821"/>
      <c r="AR3651" s="1821"/>
      <c r="AS3651" s="1821"/>
      <c r="AT3651" s="1821"/>
      <c r="AU3651" s="1821"/>
      <c r="AV3651" s="1821"/>
      <c r="AW3651" s="1821"/>
      <c r="AX3651" s="1821"/>
      <c r="AY3651" s="1821"/>
      <c r="AZ3651" s="1821"/>
      <c r="BA3651" s="1821"/>
      <c r="BB3651" s="1821"/>
      <c r="BC3651" s="1821"/>
      <c r="BD3651" s="1821"/>
      <c r="BE3651" s="1821"/>
      <c r="BF3651" s="1821"/>
      <c r="BG3651" s="1821"/>
      <c r="BH3651" s="1821"/>
      <c r="BI3651" s="1821"/>
      <c r="BJ3651" s="1821"/>
      <c r="BK3651" s="1821"/>
      <c r="BL3651" s="1821"/>
      <c r="BM3651" s="1821"/>
      <c r="BN3651" s="1821"/>
      <c r="BO3651" s="1821"/>
      <c r="BP3651" s="1821"/>
      <c r="BQ3651" s="1821"/>
      <c r="BR3651" s="1821"/>
      <c r="BS3651" s="1821"/>
      <c r="BT3651" s="1821"/>
      <c r="BU3651" s="1821"/>
      <c r="BV3651" s="1821"/>
      <c r="BW3651" s="1821"/>
      <c r="BX3651" s="1821"/>
      <c r="BY3651" s="1821"/>
      <c r="BZ3651" s="1821"/>
      <c r="CA3651" s="1821"/>
      <c r="CB3651" s="1821"/>
      <c r="CC3651" s="1821"/>
      <c r="CD3651" s="1821"/>
      <c r="CE3651" s="1821"/>
      <c r="CF3651" s="1821"/>
      <c r="CG3651" s="1821"/>
      <c r="CH3651" s="1821"/>
      <c r="CI3651" s="1821"/>
      <c r="CJ3651" s="1821"/>
      <c r="CK3651" s="1821"/>
    </row>
    <row r="3652" spans="1:89" s="675" customFormat="1" ht="16.5" customHeight="1" x14ac:dyDescent="0.25">
      <c r="A3652" s="697"/>
      <c r="B3652" s="1002" t="s">
        <v>387</v>
      </c>
      <c r="C3652" s="1007">
        <v>1</v>
      </c>
      <c r="D3652" s="1005" t="s">
        <v>25</v>
      </c>
      <c r="E3652" s="1006">
        <v>59500</v>
      </c>
      <c r="F3652" s="758"/>
      <c r="G3652" s="758"/>
      <c r="H3652" s="700">
        <f t="shared" si="397"/>
        <v>0</v>
      </c>
      <c r="I3652" s="758">
        <f>C3652*E3652</f>
        <v>59500</v>
      </c>
      <c r="J3652" s="758"/>
      <c r="K3652" s="700">
        <f t="shared" si="396"/>
        <v>59500</v>
      </c>
      <c r="L3652" s="758"/>
      <c r="M3652" s="758"/>
      <c r="N3652" s="700">
        <f t="shared" si="398"/>
        <v>0</v>
      </c>
      <c r="O3652" s="974">
        <f>C3652*E3652</f>
        <v>59500</v>
      </c>
      <c r="P3652" s="956"/>
      <c r="Q3652" s="1821"/>
      <c r="R3652" s="1821"/>
      <c r="S3652" s="1821"/>
      <c r="T3652" s="1821"/>
      <c r="U3652" s="1821"/>
      <c r="V3652" s="1821"/>
      <c r="W3652" s="1821"/>
      <c r="X3652" s="1821"/>
      <c r="Y3652" s="1821"/>
      <c r="Z3652" s="1821"/>
      <c r="AA3652" s="1821"/>
      <c r="AB3652" s="1821"/>
      <c r="AC3652" s="1821"/>
      <c r="AD3652" s="1821"/>
      <c r="AE3652" s="1821"/>
      <c r="AF3652" s="1821"/>
      <c r="AG3652" s="1821"/>
      <c r="AH3652" s="1821"/>
      <c r="AI3652" s="1821"/>
      <c r="AJ3652" s="1821"/>
      <c r="AK3652" s="1821"/>
      <c r="AL3652" s="1821"/>
      <c r="AM3652" s="1821"/>
      <c r="AN3652" s="1821"/>
      <c r="AO3652" s="1821"/>
      <c r="AP3652" s="1821"/>
      <c r="AQ3652" s="1821"/>
      <c r="AR3652" s="1821"/>
      <c r="AS3652" s="1821"/>
      <c r="AT3652" s="1821"/>
      <c r="AU3652" s="1821"/>
      <c r="AV3652" s="1821"/>
      <c r="AW3652" s="1821"/>
      <c r="AX3652" s="1821"/>
      <c r="AY3652" s="1821"/>
      <c r="AZ3652" s="1821"/>
      <c r="BA3652" s="1821"/>
      <c r="BB3652" s="1821"/>
      <c r="BC3652" s="1821"/>
      <c r="BD3652" s="1821"/>
      <c r="BE3652" s="1821"/>
      <c r="BF3652" s="1821"/>
      <c r="BG3652" s="1821"/>
      <c r="BH3652" s="1821"/>
      <c r="BI3652" s="1821"/>
      <c r="BJ3652" s="1821"/>
      <c r="BK3652" s="1821"/>
      <c r="BL3652" s="1821"/>
      <c r="BM3652" s="1821"/>
      <c r="BN3652" s="1821"/>
      <c r="BO3652" s="1821"/>
      <c r="BP3652" s="1821"/>
      <c r="BQ3652" s="1821"/>
      <c r="BR3652" s="1821"/>
      <c r="BS3652" s="1821"/>
      <c r="BT3652" s="1821"/>
      <c r="BU3652" s="1821"/>
      <c r="BV3652" s="1821"/>
      <c r="BW3652" s="1821"/>
      <c r="BX3652" s="1821"/>
      <c r="BY3652" s="1821"/>
      <c r="BZ3652" s="1821"/>
      <c r="CA3652" s="1821"/>
      <c r="CB3652" s="1821"/>
      <c r="CC3652" s="1821"/>
      <c r="CD3652" s="1821"/>
      <c r="CE3652" s="1821"/>
      <c r="CF3652" s="1821"/>
      <c r="CG3652" s="1821"/>
      <c r="CH3652" s="1821"/>
      <c r="CI3652" s="1821"/>
      <c r="CJ3652" s="1821"/>
      <c r="CK3652" s="1821"/>
    </row>
    <row r="3653" spans="1:89" s="675" customFormat="1" ht="16.5" customHeight="1" x14ac:dyDescent="0.25">
      <c r="A3653" s="697"/>
      <c r="B3653" s="1002" t="s">
        <v>365</v>
      </c>
      <c r="C3653" s="1007"/>
      <c r="D3653" s="1005"/>
      <c r="E3653" s="1006"/>
      <c r="F3653" s="758"/>
      <c r="G3653" s="758"/>
      <c r="H3653" s="700"/>
      <c r="I3653" s="758"/>
      <c r="J3653" s="758"/>
      <c r="K3653" s="700"/>
      <c r="L3653" s="758"/>
      <c r="M3653" s="758"/>
      <c r="N3653" s="700"/>
      <c r="O3653" s="974"/>
      <c r="P3653" s="956"/>
      <c r="Q3653" s="1821"/>
      <c r="R3653" s="1821"/>
      <c r="S3653" s="1821"/>
      <c r="T3653" s="1821"/>
      <c r="U3653" s="1821"/>
      <c r="V3653" s="1821"/>
      <c r="W3653" s="1821"/>
      <c r="X3653" s="1821"/>
      <c r="Y3653" s="1821"/>
      <c r="Z3653" s="1821"/>
      <c r="AA3653" s="1821"/>
      <c r="AB3653" s="1821"/>
      <c r="AC3653" s="1821"/>
      <c r="AD3653" s="1821"/>
      <c r="AE3653" s="1821"/>
      <c r="AF3653" s="1821"/>
      <c r="AG3653" s="1821"/>
      <c r="AH3653" s="1821"/>
      <c r="AI3653" s="1821"/>
      <c r="AJ3653" s="1821"/>
      <c r="AK3653" s="1821"/>
      <c r="AL3653" s="1821"/>
      <c r="AM3653" s="1821"/>
      <c r="AN3653" s="1821"/>
      <c r="AO3653" s="1821"/>
      <c r="AP3653" s="1821"/>
      <c r="AQ3653" s="1821"/>
      <c r="AR3653" s="1821"/>
      <c r="AS3653" s="1821"/>
      <c r="AT3653" s="1821"/>
      <c r="AU3653" s="1821"/>
      <c r="AV3653" s="1821"/>
      <c r="AW3653" s="1821"/>
      <c r="AX3653" s="1821"/>
      <c r="AY3653" s="1821"/>
      <c r="AZ3653" s="1821"/>
      <c r="BA3653" s="1821"/>
      <c r="BB3653" s="1821"/>
      <c r="BC3653" s="1821"/>
      <c r="BD3653" s="1821"/>
      <c r="BE3653" s="1821"/>
      <c r="BF3653" s="1821"/>
      <c r="BG3653" s="1821"/>
      <c r="BH3653" s="1821"/>
      <c r="BI3653" s="1821"/>
      <c r="BJ3653" s="1821"/>
      <c r="BK3653" s="1821"/>
      <c r="BL3653" s="1821"/>
      <c r="BM3653" s="1821"/>
      <c r="BN3653" s="1821"/>
      <c r="BO3653" s="1821"/>
      <c r="BP3653" s="1821"/>
      <c r="BQ3653" s="1821"/>
      <c r="BR3653" s="1821"/>
      <c r="BS3653" s="1821"/>
      <c r="BT3653" s="1821"/>
      <c r="BU3653" s="1821"/>
      <c r="BV3653" s="1821"/>
      <c r="BW3653" s="1821"/>
      <c r="BX3653" s="1821"/>
      <c r="BY3653" s="1821"/>
      <c r="BZ3653" s="1821"/>
      <c r="CA3653" s="1821"/>
      <c r="CB3653" s="1821"/>
      <c r="CC3653" s="1821"/>
      <c r="CD3653" s="1821"/>
      <c r="CE3653" s="1821"/>
      <c r="CF3653" s="1821"/>
      <c r="CG3653" s="1821"/>
      <c r="CH3653" s="1821"/>
      <c r="CI3653" s="1821"/>
      <c r="CJ3653" s="1821"/>
      <c r="CK3653" s="1821"/>
    </row>
    <row r="3654" spans="1:89" s="675" customFormat="1" ht="16.5" customHeight="1" x14ac:dyDescent="0.25">
      <c r="A3654" s="697"/>
      <c r="B3654" s="1002"/>
      <c r="C3654" s="1007"/>
      <c r="D3654" s="1005"/>
      <c r="E3654" s="1006"/>
      <c r="F3654" s="758"/>
      <c r="G3654" s="758"/>
      <c r="H3654" s="700"/>
      <c r="I3654" s="758"/>
      <c r="J3654" s="758"/>
      <c r="K3654" s="700"/>
      <c r="L3654" s="758"/>
      <c r="M3654" s="758"/>
      <c r="N3654" s="700"/>
      <c r="O3654" s="974"/>
      <c r="P3654" s="956"/>
      <c r="Q3654" s="1821"/>
      <c r="R3654" s="1821"/>
      <c r="S3654" s="1821"/>
      <c r="T3654" s="1821"/>
      <c r="U3654" s="1821"/>
      <c r="V3654" s="1821"/>
      <c r="W3654" s="1821"/>
      <c r="X3654" s="1821"/>
      <c r="Y3654" s="1821"/>
      <c r="Z3654" s="1821"/>
      <c r="AA3654" s="1821"/>
      <c r="AB3654" s="1821"/>
      <c r="AC3654" s="1821"/>
      <c r="AD3654" s="1821"/>
      <c r="AE3654" s="1821"/>
      <c r="AF3654" s="1821"/>
      <c r="AG3654" s="1821"/>
      <c r="AH3654" s="1821"/>
      <c r="AI3654" s="1821"/>
      <c r="AJ3654" s="1821"/>
      <c r="AK3654" s="1821"/>
      <c r="AL3654" s="1821"/>
      <c r="AM3654" s="1821"/>
      <c r="AN3654" s="1821"/>
      <c r="AO3654" s="1821"/>
      <c r="AP3654" s="1821"/>
      <c r="AQ3654" s="1821"/>
      <c r="AR3654" s="1821"/>
      <c r="AS3654" s="1821"/>
      <c r="AT3654" s="1821"/>
      <c r="AU3654" s="1821"/>
      <c r="AV3654" s="1821"/>
      <c r="AW3654" s="1821"/>
      <c r="AX3654" s="1821"/>
      <c r="AY3654" s="1821"/>
      <c r="AZ3654" s="1821"/>
      <c r="BA3654" s="1821"/>
      <c r="BB3654" s="1821"/>
      <c r="BC3654" s="1821"/>
      <c r="BD3654" s="1821"/>
      <c r="BE3654" s="1821"/>
      <c r="BF3654" s="1821"/>
      <c r="BG3654" s="1821"/>
      <c r="BH3654" s="1821"/>
      <c r="BI3654" s="1821"/>
      <c r="BJ3654" s="1821"/>
      <c r="BK3654" s="1821"/>
      <c r="BL3654" s="1821"/>
      <c r="BM3654" s="1821"/>
      <c r="BN3654" s="1821"/>
      <c r="BO3654" s="1821"/>
      <c r="BP3654" s="1821"/>
      <c r="BQ3654" s="1821"/>
      <c r="BR3654" s="1821"/>
      <c r="BS3654" s="1821"/>
      <c r="BT3654" s="1821"/>
      <c r="BU3654" s="1821"/>
      <c r="BV3654" s="1821"/>
      <c r="BW3654" s="1821"/>
      <c r="BX3654" s="1821"/>
      <c r="BY3654" s="1821"/>
      <c r="BZ3654" s="1821"/>
      <c r="CA3654" s="1821"/>
      <c r="CB3654" s="1821"/>
      <c r="CC3654" s="1821"/>
      <c r="CD3654" s="1821"/>
      <c r="CE3654" s="1821"/>
      <c r="CF3654" s="1821"/>
      <c r="CG3654" s="1821"/>
      <c r="CH3654" s="1821"/>
      <c r="CI3654" s="1821"/>
      <c r="CJ3654" s="1821"/>
      <c r="CK3654" s="1821"/>
    </row>
    <row r="3655" spans="1:89" s="675" customFormat="1" ht="16.5" customHeight="1" x14ac:dyDescent="0.25">
      <c r="A3655" s="697"/>
      <c r="B3655" s="1002" t="s">
        <v>217</v>
      </c>
      <c r="C3655" s="1007"/>
      <c r="D3655" s="1005"/>
      <c r="E3655" s="1006"/>
      <c r="F3655" s="758"/>
      <c r="G3655" s="758"/>
      <c r="H3655" s="700">
        <f t="shared" si="397"/>
        <v>0</v>
      </c>
      <c r="I3655" s="758"/>
      <c r="J3655" s="758"/>
      <c r="K3655" s="700">
        <f t="shared" si="396"/>
        <v>0</v>
      </c>
      <c r="L3655" s="758"/>
      <c r="M3655" s="758"/>
      <c r="N3655" s="700">
        <f t="shared" si="398"/>
        <v>0</v>
      </c>
      <c r="O3655" s="974"/>
      <c r="P3655" s="956"/>
      <c r="Q3655" s="1821"/>
      <c r="R3655" s="1821"/>
      <c r="S3655" s="1821"/>
      <c r="T3655" s="1821"/>
      <c r="U3655" s="1821"/>
      <c r="V3655" s="1821"/>
      <c r="W3655" s="1821"/>
      <c r="X3655" s="1821"/>
      <c r="Y3655" s="1821"/>
      <c r="Z3655" s="1821"/>
      <c r="AA3655" s="1821"/>
      <c r="AB3655" s="1821"/>
      <c r="AC3655" s="1821"/>
      <c r="AD3655" s="1821"/>
      <c r="AE3655" s="1821"/>
      <c r="AF3655" s="1821"/>
      <c r="AG3655" s="1821"/>
      <c r="AH3655" s="1821"/>
      <c r="AI3655" s="1821"/>
      <c r="AJ3655" s="1821"/>
      <c r="AK3655" s="1821"/>
      <c r="AL3655" s="1821"/>
      <c r="AM3655" s="1821"/>
      <c r="AN3655" s="1821"/>
      <c r="AO3655" s="1821"/>
      <c r="AP3655" s="1821"/>
      <c r="AQ3655" s="1821"/>
      <c r="AR3655" s="1821"/>
      <c r="AS3655" s="1821"/>
      <c r="AT3655" s="1821"/>
      <c r="AU3655" s="1821"/>
      <c r="AV3655" s="1821"/>
      <c r="AW3655" s="1821"/>
      <c r="AX3655" s="1821"/>
      <c r="AY3655" s="1821"/>
      <c r="AZ3655" s="1821"/>
      <c r="BA3655" s="1821"/>
      <c r="BB3655" s="1821"/>
      <c r="BC3655" s="1821"/>
      <c r="BD3655" s="1821"/>
      <c r="BE3655" s="1821"/>
      <c r="BF3655" s="1821"/>
      <c r="BG3655" s="1821"/>
      <c r="BH3655" s="1821"/>
      <c r="BI3655" s="1821"/>
      <c r="BJ3655" s="1821"/>
      <c r="BK3655" s="1821"/>
      <c r="BL3655" s="1821"/>
      <c r="BM3655" s="1821"/>
      <c r="BN3655" s="1821"/>
      <c r="BO3655" s="1821"/>
      <c r="BP3655" s="1821"/>
      <c r="BQ3655" s="1821"/>
      <c r="BR3655" s="1821"/>
      <c r="BS3655" s="1821"/>
      <c r="BT3655" s="1821"/>
      <c r="BU3655" s="1821"/>
      <c r="BV3655" s="1821"/>
      <c r="BW3655" s="1821"/>
      <c r="BX3655" s="1821"/>
      <c r="BY3655" s="1821"/>
      <c r="BZ3655" s="1821"/>
      <c r="CA3655" s="1821"/>
      <c r="CB3655" s="1821"/>
      <c r="CC3655" s="1821"/>
      <c r="CD3655" s="1821"/>
      <c r="CE3655" s="1821"/>
      <c r="CF3655" s="1821"/>
      <c r="CG3655" s="1821"/>
      <c r="CH3655" s="1821"/>
      <c r="CI3655" s="1821"/>
      <c r="CJ3655" s="1821"/>
      <c r="CK3655" s="1821"/>
    </row>
    <row r="3656" spans="1:89" s="675" customFormat="1" ht="16.5" customHeight="1" x14ac:dyDescent="0.25">
      <c r="A3656" s="697"/>
      <c r="B3656" s="1002" t="s">
        <v>359</v>
      </c>
      <c r="C3656" s="1007">
        <v>60</v>
      </c>
      <c r="D3656" s="1005" t="s">
        <v>51</v>
      </c>
      <c r="E3656" s="1006">
        <v>150</v>
      </c>
      <c r="F3656" s="758"/>
      <c r="G3656" s="758"/>
      <c r="H3656" s="700">
        <f t="shared" si="397"/>
        <v>0</v>
      </c>
      <c r="I3656" s="758"/>
      <c r="J3656" s="758">
        <f>C3656*E3656</f>
        <v>9000</v>
      </c>
      <c r="K3656" s="700">
        <f t="shared" si="396"/>
        <v>9000</v>
      </c>
      <c r="L3656" s="758"/>
      <c r="M3656" s="758"/>
      <c r="N3656" s="700">
        <f t="shared" si="398"/>
        <v>0</v>
      </c>
      <c r="O3656" s="974">
        <f>N3656+K3656+H3656</f>
        <v>9000</v>
      </c>
      <c r="P3656" s="956"/>
      <c r="Q3656" s="1821"/>
      <c r="R3656" s="1821"/>
      <c r="S3656" s="1821"/>
      <c r="T3656" s="1821"/>
      <c r="U3656" s="1821"/>
      <c r="V3656" s="1821"/>
      <c r="W3656" s="1821"/>
      <c r="X3656" s="1821"/>
      <c r="Y3656" s="1821"/>
      <c r="Z3656" s="1821"/>
      <c r="AA3656" s="1821"/>
      <c r="AB3656" s="1821"/>
      <c r="AC3656" s="1821"/>
      <c r="AD3656" s="1821"/>
      <c r="AE3656" s="1821"/>
      <c r="AF3656" s="1821"/>
      <c r="AG3656" s="1821"/>
      <c r="AH3656" s="1821"/>
      <c r="AI3656" s="1821"/>
      <c r="AJ3656" s="1821"/>
      <c r="AK3656" s="1821"/>
      <c r="AL3656" s="1821"/>
      <c r="AM3656" s="1821"/>
      <c r="AN3656" s="1821"/>
      <c r="AO3656" s="1821"/>
      <c r="AP3656" s="1821"/>
      <c r="AQ3656" s="1821"/>
      <c r="AR3656" s="1821"/>
      <c r="AS3656" s="1821"/>
      <c r="AT3656" s="1821"/>
      <c r="AU3656" s="1821"/>
      <c r="AV3656" s="1821"/>
      <c r="AW3656" s="1821"/>
      <c r="AX3656" s="1821"/>
      <c r="AY3656" s="1821"/>
      <c r="AZ3656" s="1821"/>
      <c r="BA3656" s="1821"/>
      <c r="BB3656" s="1821"/>
      <c r="BC3656" s="1821"/>
      <c r="BD3656" s="1821"/>
      <c r="BE3656" s="1821"/>
      <c r="BF3656" s="1821"/>
      <c r="BG3656" s="1821"/>
      <c r="BH3656" s="1821"/>
      <c r="BI3656" s="1821"/>
      <c r="BJ3656" s="1821"/>
      <c r="BK3656" s="1821"/>
      <c r="BL3656" s="1821"/>
      <c r="BM3656" s="1821"/>
      <c r="BN3656" s="1821"/>
      <c r="BO3656" s="1821"/>
      <c r="BP3656" s="1821"/>
      <c r="BQ3656" s="1821"/>
      <c r="BR3656" s="1821"/>
      <c r="BS3656" s="1821"/>
      <c r="BT3656" s="1821"/>
      <c r="BU3656" s="1821"/>
      <c r="BV3656" s="1821"/>
      <c r="BW3656" s="1821"/>
      <c r="BX3656" s="1821"/>
      <c r="BY3656" s="1821"/>
      <c r="BZ3656" s="1821"/>
      <c r="CA3656" s="1821"/>
      <c r="CB3656" s="1821"/>
      <c r="CC3656" s="1821"/>
      <c r="CD3656" s="1821"/>
      <c r="CE3656" s="1821"/>
      <c r="CF3656" s="1821"/>
      <c r="CG3656" s="1821"/>
      <c r="CH3656" s="1821"/>
      <c r="CI3656" s="1821"/>
      <c r="CJ3656" s="1821"/>
      <c r="CK3656" s="1821"/>
    </row>
    <row r="3657" spans="1:89" s="675" customFormat="1" ht="16.5" customHeight="1" x14ac:dyDescent="0.25">
      <c r="A3657" s="697"/>
      <c r="B3657" s="1002" t="s">
        <v>350</v>
      </c>
      <c r="C3657" s="1007">
        <f>6*7</f>
        <v>42</v>
      </c>
      <c r="D3657" s="1005" t="s">
        <v>51</v>
      </c>
      <c r="E3657" s="1006">
        <v>2500</v>
      </c>
      <c r="F3657" s="758"/>
      <c r="G3657" s="758"/>
      <c r="H3657" s="700"/>
      <c r="I3657" s="758"/>
      <c r="J3657" s="758">
        <f>C3657*E3657</f>
        <v>105000</v>
      </c>
      <c r="K3657" s="700">
        <f t="shared" si="396"/>
        <v>105000</v>
      </c>
      <c r="L3657" s="758"/>
      <c r="M3657" s="758"/>
      <c r="N3657" s="700"/>
      <c r="O3657" s="974">
        <f>C3657*E3657</f>
        <v>105000</v>
      </c>
      <c r="P3657" s="956"/>
      <c r="Q3657" s="1821"/>
      <c r="R3657" s="1821"/>
      <c r="S3657" s="1821"/>
      <c r="T3657" s="1821"/>
      <c r="U3657" s="1821"/>
      <c r="V3657" s="1821"/>
      <c r="W3657" s="1821"/>
      <c r="X3657" s="1821"/>
      <c r="Y3657" s="1821"/>
      <c r="Z3657" s="1821"/>
      <c r="AA3657" s="1821"/>
      <c r="AB3657" s="1821"/>
      <c r="AC3657" s="1821"/>
      <c r="AD3657" s="1821"/>
      <c r="AE3657" s="1821"/>
      <c r="AF3657" s="1821"/>
      <c r="AG3657" s="1821"/>
      <c r="AH3657" s="1821"/>
      <c r="AI3657" s="1821"/>
      <c r="AJ3657" s="1821"/>
      <c r="AK3657" s="1821"/>
      <c r="AL3657" s="1821"/>
      <c r="AM3657" s="1821"/>
      <c r="AN3657" s="1821"/>
      <c r="AO3657" s="1821"/>
      <c r="AP3657" s="1821"/>
      <c r="AQ3657" s="1821"/>
      <c r="AR3657" s="1821"/>
      <c r="AS3657" s="1821"/>
      <c r="AT3657" s="1821"/>
      <c r="AU3657" s="1821"/>
      <c r="AV3657" s="1821"/>
      <c r="AW3657" s="1821"/>
      <c r="AX3657" s="1821"/>
      <c r="AY3657" s="1821"/>
      <c r="AZ3657" s="1821"/>
      <c r="BA3657" s="1821"/>
      <c r="BB3657" s="1821"/>
      <c r="BC3657" s="1821"/>
      <c r="BD3657" s="1821"/>
      <c r="BE3657" s="1821"/>
      <c r="BF3657" s="1821"/>
      <c r="BG3657" s="1821"/>
      <c r="BH3657" s="1821"/>
      <c r="BI3657" s="1821"/>
      <c r="BJ3657" s="1821"/>
      <c r="BK3657" s="1821"/>
      <c r="BL3657" s="1821"/>
      <c r="BM3657" s="1821"/>
      <c r="BN3657" s="1821"/>
      <c r="BO3657" s="1821"/>
      <c r="BP3657" s="1821"/>
      <c r="BQ3657" s="1821"/>
      <c r="BR3657" s="1821"/>
      <c r="BS3657" s="1821"/>
      <c r="BT3657" s="1821"/>
      <c r="BU3657" s="1821"/>
      <c r="BV3657" s="1821"/>
      <c r="BW3657" s="1821"/>
      <c r="BX3657" s="1821"/>
      <c r="BY3657" s="1821"/>
      <c r="BZ3657" s="1821"/>
      <c r="CA3657" s="1821"/>
      <c r="CB3657" s="1821"/>
      <c r="CC3657" s="1821"/>
      <c r="CD3657" s="1821"/>
      <c r="CE3657" s="1821"/>
      <c r="CF3657" s="1821"/>
      <c r="CG3657" s="1821"/>
      <c r="CH3657" s="1821"/>
      <c r="CI3657" s="1821"/>
      <c r="CJ3657" s="1821"/>
      <c r="CK3657" s="1821"/>
    </row>
    <row r="3658" spans="1:89" s="675" customFormat="1" ht="16.5" customHeight="1" x14ac:dyDescent="0.25">
      <c r="A3658" s="697"/>
      <c r="B3658" s="1002" t="s">
        <v>54</v>
      </c>
      <c r="C3658" s="1007">
        <v>340</v>
      </c>
      <c r="D3658" s="1005" t="s">
        <v>55</v>
      </c>
      <c r="E3658" s="1006">
        <v>430</v>
      </c>
      <c r="F3658" s="758"/>
      <c r="G3658" s="758"/>
      <c r="H3658" s="700">
        <f t="shared" si="397"/>
        <v>0</v>
      </c>
      <c r="I3658" s="758"/>
      <c r="J3658" s="758">
        <f>C3658*E3658</f>
        <v>146200</v>
      </c>
      <c r="K3658" s="700">
        <f t="shared" si="396"/>
        <v>146200</v>
      </c>
      <c r="L3658" s="758"/>
      <c r="M3658" s="758"/>
      <c r="N3658" s="700">
        <f t="shared" si="398"/>
        <v>0</v>
      </c>
      <c r="O3658" s="974">
        <f>N3658+K3658+H3658</f>
        <v>146200</v>
      </c>
      <c r="P3658" s="956"/>
      <c r="Q3658" s="1821"/>
      <c r="R3658" s="1821"/>
      <c r="S3658" s="1821"/>
      <c r="T3658" s="1821"/>
      <c r="U3658" s="1821"/>
      <c r="V3658" s="1821"/>
      <c r="W3658" s="1821"/>
      <c r="X3658" s="1821"/>
      <c r="Y3658" s="1821"/>
      <c r="Z3658" s="1821"/>
      <c r="AA3658" s="1821"/>
      <c r="AB3658" s="1821"/>
      <c r="AC3658" s="1821"/>
      <c r="AD3658" s="1821"/>
      <c r="AE3658" s="1821"/>
      <c r="AF3658" s="1821"/>
      <c r="AG3658" s="1821"/>
      <c r="AH3658" s="1821"/>
      <c r="AI3658" s="1821"/>
      <c r="AJ3658" s="1821"/>
      <c r="AK3658" s="1821"/>
      <c r="AL3658" s="1821"/>
      <c r="AM3658" s="1821"/>
      <c r="AN3658" s="1821"/>
      <c r="AO3658" s="1821"/>
      <c r="AP3658" s="1821"/>
      <c r="AQ3658" s="1821"/>
      <c r="AR3658" s="1821"/>
      <c r="AS3658" s="1821"/>
      <c r="AT3658" s="1821"/>
      <c r="AU3658" s="1821"/>
      <c r="AV3658" s="1821"/>
      <c r="AW3658" s="1821"/>
      <c r="AX3658" s="1821"/>
      <c r="AY3658" s="1821"/>
      <c r="AZ3658" s="1821"/>
      <c r="BA3658" s="1821"/>
      <c r="BB3658" s="1821"/>
      <c r="BC3658" s="1821"/>
      <c r="BD3658" s="1821"/>
      <c r="BE3658" s="1821"/>
      <c r="BF3658" s="1821"/>
      <c r="BG3658" s="1821"/>
      <c r="BH3658" s="1821"/>
      <c r="BI3658" s="1821"/>
      <c r="BJ3658" s="1821"/>
      <c r="BK3658" s="1821"/>
      <c r="BL3658" s="1821"/>
      <c r="BM3658" s="1821"/>
      <c r="BN3658" s="1821"/>
      <c r="BO3658" s="1821"/>
      <c r="BP3658" s="1821"/>
      <c r="BQ3658" s="1821"/>
      <c r="BR3658" s="1821"/>
      <c r="BS3658" s="1821"/>
      <c r="BT3658" s="1821"/>
      <c r="BU3658" s="1821"/>
      <c r="BV3658" s="1821"/>
      <c r="BW3658" s="1821"/>
      <c r="BX3658" s="1821"/>
      <c r="BY3658" s="1821"/>
      <c r="BZ3658" s="1821"/>
      <c r="CA3658" s="1821"/>
      <c r="CB3658" s="1821"/>
      <c r="CC3658" s="1821"/>
      <c r="CD3658" s="1821"/>
      <c r="CE3658" s="1821"/>
      <c r="CF3658" s="1821"/>
      <c r="CG3658" s="1821"/>
      <c r="CH3658" s="1821"/>
      <c r="CI3658" s="1821"/>
      <c r="CJ3658" s="1821"/>
      <c r="CK3658" s="1821"/>
    </row>
    <row r="3659" spans="1:89" s="675" customFormat="1" ht="16.5" customHeight="1" x14ac:dyDescent="0.25">
      <c r="A3659" s="697"/>
      <c r="B3659" s="1002" t="s">
        <v>52</v>
      </c>
      <c r="C3659" s="1007">
        <v>120</v>
      </c>
      <c r="D3659" s="1005" t="s">
        <v>55</v>
      </c>
      <c r="E3659" s="1006">
        <v>460</v>
      </c>
      <c r="F3659" s="758"/>
      <c r="G3659" s="758"/>
      <c r="H3659" s="700">
        <f t="shared" si="397"/>
        <v>0</v>
      </c>
      <c r="I3659" s="758"/>
      <c r="J3659" s="758">
        <f>C3659*E3659</f>
        <v>55200</v>
      </c>
      <c r="K3659" s="700">
        <f t="shared" si="396"/>
        <v>55200</v>
      </c>
      <c r="L3659" s="758"/>
      <c r="M3659" s="758"/>
      <c r="N3659" s="700">
        <f t="shared" si="398"/>
        <v>0</v>
      </c>
      <c r="O3659" s="974">
        <f>N3659+K3659+H3659</f>
        <v>55200</v>
      </c>
      <c r="P3659" s="956"/>
      <c r="Q3659" s="1821"/>
      <c r="R3659" s="1821"/>
      <c r="S3659" s="1821"/>
      <c r="T3659" s="1821"/>
      <c r="U3659" s="1821"/>
      <c r="V3659" s="1821"/>
      <c r="W3659" s="1821"/>
      <c r="X3659" s="1821"/>
      <c r="Y3659" s="1821"/>
      <c r="Z3659" s="1821"/>
      <c r="AA3659" s="1821"/>
      <c r="AB3659" s="1821"/>
      <c r="AC3659" s="1821"/>
      <c r="AD3659" s="1821"/>
      <c r="AE3659" s="1821"/>
      <c r="AF3659" s="1821"/>
      <c r="AG3659" s="1821"/>
      <c r="AH3659" s="1821"/>
      <c r="AI3659" s="1821"/>
      <c r="AJ3659" s="1821"/>
      <c r="AK3659" s="1821"/>
      <c r="AL3659" s="1821"/>
      <c r="AM3659" s="1821"/>
      <c r="AN3659" s="1821"/>
      <c r="AO3659" s="1821"/>
      <c r="AP3659" s="1821"/>
      <c r="AQ3659" s="1821"/>
      <c r="AR3659" s="1821"/>
      <c r="AS3659" s="1821"/>
      <c r="AT3659" s="1821"/>
      <c r="AU3659" s="1821"/>
      <c r="AV3659" s="1821"/>
      <c r="AW3659" s="1821"/>
      <c r="AX3659" s="1821"/>
      <c r="AY3659" s="1821"/>
      <c r="AZ3659" s="1821"/>
      <c r="BA3659" s="1821"/>
      <c r="BB3659" s="1821"/>
      <c r="BC3659" s="1821"/>
      <c r="BD3659" s="1821"/>
      <c r="BE3659" s="1821"/>
      <c r="BF3659" s="1821"/>
      <c r="BG3659" s="1821"/>
      <c r="BH3659" s="1821"/>
      <c r="BI3659" s="1821"/>
      <c r="BJ3659" s="1821"/>
      <c r="BK3659" s="1821"/>
      <c r="BL3659" s="1821"/>
      <c r="BM3659" s="1821"/>
      <c r="BN3659" s="1821"/>
      <c r="BO3659" s="1821"/>
      <c r="BP3659" s="1821"/>
      <c r="BQ3659" s="1821"/>
      <c r="BR3659" s="1821"/>
      <c r="BS3659" s="1821"/>
      <c r="BT3659" s="1821"/>
      <c r="BU3659" s="1821"/>
      <c r="BV3659" s="1821"/>
      <c r="BW3659" s="1821"/>
      <c r="BX3659" s="1821"/>
      <c r="BY3659" s="1821"/>
      <c r="BZ3659" s="1821"/>
      <c r="CA3659" s="1821"/>
      <c r="CB3659" s="1821"/>
      <c r="CC3659" s="1821"/>
      <c r="CD3659" s="1821"/>
      <c r="CE3659" s="1821"/>
      <c r="CF3659" s="1821"/>
      <c r="CG3659" s="1821"/>
      <c r="CH3659" s="1821"/>
      <c r="CI3659" s="1821"/>
      <c r="CJ3659" s="1821"/>
      <c r="CK3659" s="1821"/>
    </row>
    <row r="3660" spans="1:89" s="675" customFormat="1" ht="16.5" customHeight="1" x14ac:dyDescent="0.25">
      <c r="A3660" s="697"/>
      <c r="B3660" s="1002"/>
      <c r="C3660" s="1007"/>
      <c r="D3660" s="1005"/>
      <c r="E3660" s="1006"/>
      <c r="F3660" s="758"/>
      <c r="G3660" s="758"/>
      <c r="H3660" s="700">
        <f t="shared" si="397"/>
        <v>0</v>
      </c>
      <c r="I3660" s="758"/>
      <c r="J3660" s="758"/>
      <c r="K3660" s="700">
        <f t="shared" si="396"/>
        <v>0</v>
      </c>
      <c r="L3660" s="758"/>
      <c r="M3660" s="758"/>
      <c r="N3660" s="700">
        <f t="shared" si="398"/>
        <v>0</v>
      </c>
      <c r="O3660" s="974">
        <f>N3660+K3660+H3660</f>
        <v>0</v>
      </c>
      <c r="P3660" s="956"/>
      <c r="Q3660" s="1821"/>
      <c r="R3660" s="1821"/>
      <c r="S3660" s="1821"/>
      <c r="T3660" s="1821"/>
      <c r="U3660" s="1821"/>
      <c r="V3660" s="1821"/>
      <c r="W3660" s="1821"/>
      <c r="X3660" s="1821"/>
      <c r="Y3660" s="1821"/>
      <c r="Z3660" s="1821"/>
      <c r="AA3660" s="1821"/>
      <c r="AB3660" s="1821"/>
      <c r="AC3660" s="1821"/>
      <c r="AD3660" s="1821"/>
      <c r="AE3660" s="1821"/>
      <c r="AF3660" s="1821"/>
      <c r="AG3660" s="1821"/>
      <c r="AH3660" s="1821"/>
      <c r="AI3660" s="1821"/>
      <c r="AJ3660" s="1821"/>
      <c r="AK3660" s="1821"/>
      <c r="AL3660" s="1821"/>
      <c r="AM3660" s="1821"/>
      <c r="AN3660" s="1821"/>
      <c r="AO3660" s="1821"/>
      <c r="AP3660" s="1821"/>
      <c r="AQ3660" s="1821"/>
      <c r="AR3660" s="1821"/>
      <c r="AS3660" s="1821"/>
      <c r="AT3660" s="1821"/>
      <c r="AU3660" s="1821"/>
      <c r="AV3660" s="1821"/>
      <c r="AW3660" s="1821"/>
      <c r="AX3660" s="1821"/>
      <c r="AY3660" s="1821"/>
      <c r="AZ3660" s="1821"/>
      <c r="BA3660" s="1821"/>
      <c r="BB3660" s="1821"/>
      <c r="BC3660" s="1821"/>
      <c r="BD3660" s="1821"/>
      <c r="BE3660" s="1821"/>
      <c r="BF3660" s="1821"/>
      <c r="BG3660" s="1821"/>
      <c r="BH3660" s="1821"/>
      <c r="BI3660" s="1821"/>
      <c r="BJ3660" s="1821"/>
      <c r="BK3660" s="1821"/>
      <c r="BL3660" s="1821"/>
      <c r="BM3660" s="1821"/>
      <c r="BN3660" s="1821"/>
      <c r="BO3660" s="1821"/>
      <c r="BP3660" s="1821"/>
      <c r="BQ3660" s="1821"/>
      <c r="BR3660" s="1821"/>
      <c r="BS3660" s="1821"/>
      <c r="BT3660" s="1821"/>
      <c r="BU3660" s="1821"/>
      <c r="BV3660" s="1821"/>
      <c r="BW3660" s="1821"/>
      <c r="BX3660" s="1821"/>
      <c r="BY3660" s="1821"/>
      <c r="BZ3660" s="1821"/>
      <c r="CA3660" s="1821"/>
      <c r="CB3660" s="1821"/>
      <c r="CC3660" s="1821"/>
      <c r="CD3660" s="1821"/>
      <c r="CE3660" s="1821"/>
      <c r="CF3660" s="1821"/>
      <c r="CG3660" s="1821"/>
      <c r="CH3660" s="1821"/>
      <c r="CI3660" s="1821"/>
      <c r="CJ3660" s="1821"/>
      <c r="CK3660" s="1821"/>
    </row>
    <row r="3661" spans="1:89" s="675" customFormat="1" ht="16.5" customHeight="1" x14ac:dyDescent="0.25">
      <c r="A3661" s="697">
        <v>14</v>
      </c>
      <c r="B3661" s="1002" t="s">
        <v>389</v>
      </c>
      <c r="C3661" s="1007"/>
      <c r="D3661" s="1005"/>
      <c r="E3661" s="1006"/>
      <c r="F3661" s="758"/>
      <c r="G3661" s="758"/>
      <c r="H3661" s="700"/>
      <c r="I3661" s="758"/>
      <c r="J3661" s="758"/>
      <c r="K3661" s="700"/>
      <c r="L3661" s="758"/>
      <c r="M3661" s="758"/>
      <c r="N3661" s="700"/>
      <c r="O3661" s="974"/>
      <c r="P3661" s="956"/>
      <c r="Q3661" s="1821"/>
      <c r="R3661" s="1821"/>
      <c r="S3661" s="1821"/>
      <c r="T3661" s="1821"/>
      <c r="U3661" s="1821"/>
      <c r="V3661" s="1821"/>
      <c r="W3661" s="1821"/>
      <c r="X3661" s="1821"/>
      <c r="Y3661" s="1821"/>
      <c r="Z3661" s="1821"/>
      <c r="AA3661" s="1821"/>
      <c r="AB3661" s="1821"/>
      <c r="AC3661" s="1821"/>
      <c r="AD3661" s="1821"/>
      <c r="AE3661" s="1821"/>
      <c r="AF3661" s="1821"/>
      <c r="AG3661" s="1821"/>
      <c r="AH3661" s="1821"/>
      <c r="AI3661" s="1821"/>
      <c r="AJ3661" s="1821"/>
      <c r="AK3661" s="1821"/>
      <c r="AL3661" s="1821"/>
      <c r="AM3661" s="1821"/>
      <c r="AN3661" s="1821"/>
      <c r="AO3661" s="1821"/>
      <c r="AP3661" s="1821"/>
      <c r="AQ3661" s="1821"/>
      <c r="AR3661" s="1821"/>
      <c r="AS3661" s="1821"/>
      <c r="AT3661" s="1821"/>
      <c r="AU3661" s="1821"/>
      <c r="AV3661" s="1821"/>
      <c r="AW3661" s="1821"/>
      <c r="AX3661" s="1821"/>
      <c r="AY3661" s="1821"/>
      <c r="AZ3661" s="1821"/>
      <c r="BA3661" s="1821"/>
      <c r="BB3661" s="1821"/>
      <c r="BC3661" s="1821"/>
      <c r="BD3661" s="1821"/>
      <c r="BE3661" s="1821"/>
      <c r="BF3661" s="1821"/>
      <c r="BG3661" s="1821"/>
      <c r="BH3661" s="1821"/>
      <c r="BI3661" s="1821"/>
      <c r="BJ3661" s="1821"/>
      <c r="BK3661" s="1821"/>
      <c r="BL3661" s="1821"/>
      <c r="BM3661" s="1821"/>
      <c r="BN3661" s="1821"/>
      <c r="BO3661" s="1821"/>
      <c r="BP3661" s="1821"/>
      <c r="BQ3661" s="1821"/>
      <c r="BR3661" s="1821"/>
      <c r="BS3661" s="1821"/>
      <c r="BT3661" s="1821"/>
      <c r="BU3661" s="1821"/>
      <c r="BV3661" s="1821"/>
      <c r="BW3661" s="1821"/>
      <c r="BX3661" s="1821"/>
      <c r="BY3661" s="1821"/>
      <c r="BZ3661" s="1821"/>
      <c r="CA3661" s="1821"/>
      <c r="CB3661" s="1821"/>
      <c r="CC3661" s="1821"/>
      <c r="CD3661" s="1821"/>
      <c r="CE3661" s="1821"/>
      <c r="CF3661" s="1821"/>
      <c r="CG3661" s="1821"/>
      <c r="CH3661" s="1821"/>
      <c r="CI3661" s="1821"/>
      <c r="CJ3661" s="1821"/>
      <c r="CK3661" s="1821"/>
    </row>
    <row r="3662" spans="1:89" s="675" customFormat="1" ht="16.5" customHeight="1" x14ac:dyDescent="0.25">
      <c r="A3662" s="697"/>
      <c r="B3662" s="1002" t="s">
        <v>387</v>
      </c>
      <c r="C3662" s="1007">
        <f>SUM(O3663:O3668)</f>
        <v>288261</v>
      </c>
      <c r="D3662" s="1005"/>
      <c r="E3662" s="1006"/>
      <c r="F3662" s="758"/>
      <c r="G3662" s="758"/>
      <c r="H3662" s="700">
        <f t="shared" si="397"/>
        <v>0</v>
      </c>
      <c r="I3662" s="758"/>
      <c r="J3662" s="758"/>
      <c r="K3662" s="700">
        <f t="shared" si="396"/>
        <v>0</v>
      </c>
      <c r="L3662" s="758"/>
      <c r="M3662" s="758"/>
      <c r="N3662" s="700">
        <f t="shared" si="398"/>
        <v>0</v>
      </c>
      <c r="O3662" s="974">
        <f t="shared" ref="O3662:O3670" si="399">N3662+K3662+H3662</f>
        <v>0</v>
      </c>
      <c r="P3662" s="956"/>
      <c r="Q3662" s="1821"/>
      <c r="R3662" s="1821"/>
      <c r="S3662" s="1821"/>
      <c r="T3662" s="1821"/>
      <c r="U3662" s="1821"/>
      <c r="V3662" s="1821"/>
      <c r="W3662" s="1821"/>
      <c r="X3662" s="1821"/>
      <c r="Y3662" s="1821"/>
      <c r="Z3662" s="1821"/>
      <c r="AA3662" s="1821"/>
      <c r="AB3662" s="1821"/>
      <c r="AC3662" s="1821"/>
      <c r="AD3662" s="1821"/>
      <c r="AE3662" s="1821"/>
      <c r="AF3662" s="1821"/>
      <c r="AG3662" s="1821"/>
      <c r="AH3662" s="1821"/>
      <c r="AI3662" s="1821"/>
      <c r="AJ3662" s="1821"/>
      <c r="AK3662" s="1821"/>
      <c r="AL3662" s="1821"/>
      <c r="AM3662" s="1821"/>
      <c r="AN3662" s="1821"/>
      <c r="AO3662" s="1821"/>
      <c r="AP3662" s="1821"/>
      <c r="AQ3662" s="1821"/>
      <c r="AR3662" s="1821"/>
      <c r="AS3662" s="1821"/>
      <c r="AT3662" s="1821"/>
      <c r="AU3662" s="1821"/>
      <c r="AV3662" s="1821"/>
      <c r="AW3662" s="1821"/>
      <c r="AX3662" s="1821"/>
      <c r="AY3662" s="1821"/>
      <c r="AZ3662" s="1821"/>
      <c r="BA3662" s="1821"/>
      <c r="BB3662" s="1821"/>
      <c r="BC3662" s="1821"/>
      <c r="BD3662" s="1821"/>
      <c r="BE3662" s="1821"/>
      <c r="BF3662" s="1821"/>
      <c r="BG3662" s="1821"/>
      <c r="BH3662" s="1821"/>
      <c r="BI3662" s="1821"/>
      <c r="BJ3662" s="1821"/>
      <c r="BK3662" s="1821"/>
      <c r="BL3662" s="1821"/>
      <c r="BM3662" s="1821"/>
      <c r="BN3662" s="1821"/>
      <c r="BO3662" s="1821"/>
      <c r="BP3662" s="1821"/>
      <c r="BQ3662" s="1821"/>
      <c r="BR3662" s="1821"/>
      <c r="BS3662" s="1821"/>
      <c r="BT3662" s="1821"/>
      <c r="BU3662" s="1821"/>
      <c r="BV3662" s="1821"/>
      <c r="BW3662" s="1821"/>
      <c r="BX3662" s="1821"/>
      <c r="BY3662" s="1821"/>
      <c r="BZ3662" s="1821"/>
      <c r="CA3662" s="1821"/>
      <c r="CB3662" s="1821"/>
      <c r="CC3662" s="1821"/>
      <c r="CD3662" s="1821"/>
      <c r="CE3662" s="1821"/>
      <c r="CF3662" s="1821"/>
      <c r="CG3662" s="1821"/>
      <c r="CH3662" s="1821"/>
      <c r="CI3662" s="1821"/>
      <c r="CJ3662" s="1821"/>
      <c r="CK3662" s="1821"/>
    </row>
    <row r="3663" spans="1:89" s="675" customFormat="1" ht="16.5" customHeight="1" x14ac:dyDescent="0.25">
      <c r="A3663" s="697"/>
      <c r="B3663" s="1002" t="s">
        <v>365</v>
      </c>
      <c r="C3663" s="1007">
        <v>1</v>
      </c>
      <c r="D3663" s="1005" t="s">
        <v>25</v>
      </c>
      <c r="E3663" s="1006">
        <v>52921</v>
      </c>
      <c r="F3663" s="758"/>
      <c r="G3663" s="758"/>
      <c r="H3663" s="700">
        <f t="shared" si="397"/>
        <v>0</v>
      </c>
      <c r="I3663" s="758">
        <f>C3663*E3663</f>
        <v>52921</v>
      </c>
      <c r="J3663" s="758"/>
      <c r="K3663" s="700">
        <f t="shared" si="396"/>
        <v>52921</v>
      </c>
      <c r="L3663" s="758"/>
      <c r="M3663" s="758"/>
      <c r="N3663" s="700">
        <f t="shared" si="398"/>
        <v>0</v>
      </c>
      <c r="O3663" s="974">
        <f t="shared" si="399"/>
        <v>52921</v>
      </c>
      <c r="P3663" s="956"/>
      <c r="Q3663" s="1821"/>
      <c r="R3663" s="1821"/>
      <c r="S3663" s="1821"/>
      <c r="T3663" s="1821"/>
      <c r="U3663" s="1821"/>
      <c r="V3663" s="1821"/>
      <c r="W3663" s="1821"/>
      <c r="X3663" s="1821"/>
      <c r="Y3663" s="1821"/>
      <c r="Z3663" s="1821"/>
      <c r="AA3663" s="1821"/>
      <c r="AB3663" s="1821"/>
      <c r="AC3663" s="1821"/>
      <c r="AD3663" s="1821"/>
      <c r="AE3663" s="1821"/>
      <c r="AF3663" s="1821"/>
      <c r="AG3663" s="1821"/>
      <c r="AH3663" s="1821"/>
      <c r="AI3663" s="1821"/>
      <c r="AJ3663" s="1821"/>
      <c r="AK3663" s="1821"/>
      <c r="AL3663" s="1821"/>
      <c r="AM3663" s="1821"/>
      <c r="AN3663" s="1821"/>
      <c r="AO3663" s="1821"/>
      <c r="AP3663" s="1821"/>
      <c r="AQ3663" s="1821"/>
      <c r="AR3663" s="1821"/>
      <c r="AS3663" s="1821"/>
      <c r="AT3663" s="1821"/>
      <c r="AU3663" s="1821"/>
      <c r="AV3663" s="1821"/>
      <c r="AW3663" s="1821"/>
      <c r="AX3663" s="1821"/>
      <c r="AY3663" s="1821"/>
      <c r="AZ3663" s="1821"/>
      <c r="BA3663" s="1821"/>
      <c r="BB3663" s="1821"/>
      <c r="BC3663" s="1821"/>
      <c r="BD3663" s="1821"/>
      <c r="BE3663" s="1821"/>
      <c r="BF3663" s="1821"/>
      <c r="BG3663" s="1821"/>
      <c r="BH3663" s="1821"/>
      <c r="BI3663" s="1821"/>
      <c r="BJ3663" s="1821"/>
      <c r="BK3663" s="1821"/>
      <c r="BL3663" s="1821"/>
      <c r="BM3663" s="1821"/>
      <c r="BN3663" s="1821"/>
      <c r="BO3663" s="1821"/>
      <c r="BP3663" s="1821"/>
      <c r="BQ3663" s="1821"/>
      <c r="BR3663" s="1821"/>
      <c r="BS3663" s="1821"/>
      <c r="BT3663" s="1821"/>
      <c r="BU3663" s="1821"/>
      <c r="BV3663" s="1821"/>
      <c r="BW3663" s="1821"/>
      <c r="BX3663" s="1821"/>
      <c r="BY3663" s="1821"/>
      <c r="BZ3663" s="1821"/>
      <c r="CA3663" s="1821"/>
      <c r="CB3663" s="1821"/>
      <c r="CC3663" s="1821"/>
      <c r="CD3663" s="1821"/>
      <c r="CE3663" s="1821"/>
      <c r="CF3663" s="1821"/>
      <c r="CG3663" s="1821"/>
      <c r="CH3663" s="1821"/>
      <c r="CI3663" s="1821"/>
      <c r="CJ3663" s="1821"/>
      <c r="CK3663" s="1821"/>
    </row>
    <row r="3664" spans="1:89" s="675" customFormat="1" ht="16.5" customHeight="1" x14ac:dyDescent="0.25">
      <c r="A3664" s="697"/>
      <c r="B3664" s="1002"/>
      <c r="C3664" s="1004"/>
      <c r="D3664" s="1005"/>
      <c r="E3664" s="1006"/>
      <c r="F3664" s="758"/>
      <c r="G3664" s="758"/>
      <c r="H3664" s="700"/>
      <c r="I3664" s="758"/>
      <c r="J3664" s="758"/>
      <c r="K3664" s="700"/>
      <c r="L3664" s="758"/>
      <c r="M3664" s="758"/>
      <c r="N3664" s="700"/>
      <c r="O3664" s="974"/>
      <c r="P3664" s="956"/>
      <c r="Q3664" s="1821"/>
      <c r="R3664" s="1821"/>
      <c r="S3664" s="1821"/>
      <c r="T3664" s="1821"/>
      <c r="U3664" s="1821"/>
      <c r="V3664" s="1821"/>
      <c r="W3664" s="1821"/>
      <c r="X3664" s="1821"/>
      <c r="Y3664" s="1821"/>
      <c r="Z3664" s="1821"/>
      <c r="AA3664" s="1821"/>
      <c r="AB3664" s="1821"/>
      <c r="AC3664" s="1821"/>
      <c r="AD3664" s="1821"/>
      <c r="AE3664" s="1821"/>
      <c r="AF3664" s="1821"/>
      <c r="AG3664" s="1821"/>
      <c r="AH3664" s="1821"/>
      <c r="AI3664" s="1821"/>
      <c r="AJ3664" s="1821"/>
      <c r="AK3664" s="1821"/>
      <c r="AL3664" s="1821"/>
      <c r="AM3664" s="1821"/>
      <c r="AN3664" s="1821"/>
      <c r="AO3664" s="1821"/>
      <c r="AP3664" s="1821"/>
      <c r="AQ3664" s="1821"/>
      <c r="AR3664" s="1821"/>
      <c r="AS3664" s="1821"/>
      <c r="AT3664" s="1821"/>
      <c r="AU3664" s="1821"/>
      <c r="AV3664" s="1821"/>
      <c r="AW3664" s="1821"/>
      <c r="AX3664" s="1821"/>
      <c r="AY3664" s="1821"/>
      <c r="AZ3664" s="1821"/>
      <c r="BA3664" s="1821"/>
      <c r="BB3664" s="1821"/>
      <c r="BC3664" s="1821"/>
      <c r="BD3664" s="1821"/>
      <c r="BE3664" s="1821"/>
      <c r="BF3664" s="1821"/>
      <c r="BG3664" s="1821"/>
      <c r="BH3664" s="1821"/>
      <c r="BI3664" s="1821"/>
      <c r="BJ3664" s="1821"/>
      <c r="BK3664" s="1821"/>
      <c r="BL3664" s="1821"/>
      <c r="BM3664" s="1821"/>
      <c r="BN3664" s="1821"/>
      <c r="BO3664" s="1821"/>
      <c r="BP3664" s="1821"/>
      <c r="BQ3664" s="1821"/>
      <c r="BR3664" s="1821"/>
      <c r="BS3664" s="1821"/>
      <c r="BT3664" s="1821"/>
      <c r="BU3664" s="1821"/>
      <c r="BV3664" s="1821"/>
      <c r="BW3664" s="1821"/>
      <c r="BX3664" s="1821"/>
      <c r="BY3664" s="1821"/>
      <c r="BZ3664" s="1821"/>
      <c r="CA3664" s="1821"/>
      <c r="CB3664" s="1821"/>
      <c r="CC3664" s="1821"/>
      <c r="CD3664" s="1821"/>
      <c r="CE3664" s="1821"/>
      <c r="CF3664" s="1821"/>
      <c r="CG3664" s="1821"/>
      <c r="CH3664" s="1821"/>
      <c r="CI3664" s="1821"/>
      <c r="CJ3664" s="1821"/>
      <c r="CK3664" s="1821"/>
    </row>
    <row r="3665" spans="1:89" s="675" customFormat="1" ht="16.5" customHeight="1" x14ac:dyDescent="0.25">
      <c r="A3665" s="697"/>
      <c r="B3665" s="1002" t="s">
        <v>343</v>
      </c>
      <c r="C3665" s="1007"/>
      <c r="D3665" s="1005"/>
      <c r="E3665" s="1006"/>
      <c r="F3665" s="758"/>
      <c r="G3665" s="758"/>
      <c r="H3665" s="700">
        <f t="shared" si="397"/>
        <v>0</v>
      </c>
      <c r="I3665" s="758"/>
      <c r="J3665" s="758"/>
      <c r="K3665" s="700">
        <f t="shared" si="396"/>
        <v>0</v>
      </c>
      <c r="L3665" s="758"/>
      <c r="M3665" s="758"/>
      <c r="N3665" s="700">
        <f t="shared" si="398"/>
        <v>0</v>
      </c>
      <c r="O3665" s="974">
        <f t="shared" si="399"/>
        <v>0</v>
      </c>
      <c r="P3665" s="956"/>
      <c r="Q3665" s="1821"/>
      <c r="R3665" s="1821"/>
      <c r="S3665" s="1821"/>
      <c r="T3665" s="1821"/>
      <c r="U3665" s="1821"/>
      <c r="V3665" s="1821"/>
      <c r="W3665" s="1821"/>
      <c r="X3665" s="1821"/>
      <c r="Y3665" s="1821"/>
      <c r="Z3665" s="1821"/>
      <c r="AA3665" s="1821"/>
      <c r="AB3665" s="1821"/>
      <c r="AC3665" s="1821"/>
      <c r="AD3665" s="1821"/>
      <c r="AE3665" s="1821"/>
      <c r="AF3665" s="1821"/>
      <c r="AG3665" s="1821"/>
      <c r="AH3665" s="1821"/>
      <c r="AI3665" s="1821"/>
      <c r="AJ3665" s="1821"/>
      <c r="AK3665" s="1821"/>
      <c r="AL3665" s="1821"/>
      <c r="AM3665" s="1821"/>
      <c r="AN3665" s="1821"/>
      <c r="AO3665" s="1821"/>
      <c r="AP3665" s="1821"/>
      <c r="AQ3665" s="1821"/>
      <c r="AR3665" s="1821"/>
      <c r="AS3665" s="1821"/>
      <c r="AT3665" s="1821"/>
      <c r="AU3665" s="1821"/>
      <c r="AV3665" s="1821"/>
      <c r="AW3665" s="1821"/>
      <c r="AX3665" s="1821"/>
      <c r="AY3665" s="1821"/>
      <c r="AZ3665" s="1821"/>
      <c r="BA3665" s="1821"/>
      <c r="BB3665" s="1821"/>
      <c r="BC3665" s="1821"/>
      <c r="BD3665" s="1821"/>
      <c r="BE3665" s="1821"/>
      <c r="BF3665" s="1821"/>
      <c r="BG3665" s="1821"/>
      <c r="BH3665" s="1821"/>
      <c r="BI3665" s="1821"/>
      <c r="BJ3665" s="1821"/>
      <c r="BK3665" s="1821"/>
      <c r="BL3665" s="1821"/>
      <c r="BM3665" s="1821"/>
      <c r="BN3665" s="1821"/>
      <c r="BO3665" s="1821"/>
      <c r="BP3665" s="1821"/>
      <c r="BQ3665" s="1821"/>
      <c r="BR3665" s="1821"/>
      <c r="BS3665" s="1821"/>
      <c r="BT3665" s="1821"/>
      <c r="BU3665" s="1821"/>
      <c r="BV3665" s="1821"/>
      <c r="BW3665" s="1821"/>
      <c r="BX3665" s="1821"/>
      <c r="BY3665" s="1821"/>
      <c r="BZ3665" s="1821"/>
      <c r="CA3665" s="1821"/>
      <c r="CB3665" s="1821"/>
      <c r="CC3665" s="1821"/>
      <c r="CD3665" s="1821"/>
      <c r="CE3665" s="1821"/>
      <c r="CF3665" s="1821"/>
      <c r="CG3665" s="1821"/>
      <c r="CH3665" s="1821"/>
      <c r="CI3665" s="1821"/>
      <c r="CJ3665" s="1821"/>
      <c r="CK3665" s="1821"/>
    </row>
    <row r="3666" spans="1:89" s="675" customFormat="1" ht="16.5" customHeight="1" x14ac:dyDescent="0.25">
      <c r="A3666" s="697"/>
      <c r="B3666" s="1002" t="s">
        <v>344</v>
      </c>
      <c r="C3666" s="1007">
        <v>35</v>
      </c>
      <c r="D3666" s="1005" t="s">
        <v>51</v>
      </c>
      <c r="E3666" s="1006">
        <v>3624</v>
      </c>
      <c r="F3666" s="758"/>
      <c r="G3666" s="758"/>
      <c r="H3666" s="700">
        <f t="shared" si="397"/>
        <v>0</v>
      </c>
      <c r="I3666" s="758"/>
      <c r="J3666" s="758">
        <f>C3666*E3666</f>
        <v>126840</v>
      </c>
      <c r="K3666" s="700">
        <f t="shared" si="396"/>
        <v>126840</v>
      </c>
      <c r="L3666" s="758"/>
      <c r="M3666" s="758"/>
      <c r="N3666" s="700">
        <f t="shared" si="398"/>
        <v>0</v>
      </c>
      <c r="O3666" s="974">
        <f t="shared" si="399"/>
        <v>126840</v>
      </c>
      <c r="P3666" s="956"/>
      <c r="Q3666" s="1821"/>
      <c r="R3666" s="1821"/>
      <c r="S3666" s="1821"/>
      <c r="T3666" s="1821"/>
      <c r="U3666" s="1821"/>
      <c r="V3666" s="1821"/>
      <c r="W3666" s="1821"/>
      <c r="X3666" s="1821"/>
      <c r="Y3666" s="1821"/>
      <c r="Z3666" s="1821"/>
      <c r="AA3666" s="1821"/>
      <c r="AB3666" s="1821"/>
      <c r="AC3666" s="1821"/>
      <c r="AD3666" s="1821"/>
      <c r="AE3666" s="1821"/>
      <c r="AF3666" s="1821"/>
      <c r="AG3666" s="1821"/>
      <c r="AH3666" s="1821"/>
      <c r="AI3666" s="1821"/>
      <c r="AJ3666" s="1821"/>
      <c r="AK3666" s="1821"/>
      <c r="AL3666" s="1821"/>
      <c r="AM3666" s="1821"/>
      <c r="AN3666" s="1821"/>
      <c r="AO3666" s="1821"/>
      <c r="AP3666" s="1821"/>
      <c r="AQ3666" s="1821"/>
      <c r="AR3666" s="1821"/>
      <c r="AS3666" s="1821"/>
      <c r="AT3666" s="1821"/>
      <c r="AU3666" s="1821"/>
      <c r="AV3666" s="1821"/>
      <c r="AW3666" s="1821"/>
      <c r="AX3666" s="1821"/>
      <c r="AY3666" s="1821"/>
      <c r="AZ3666" s="1821"/>
      <c r="BA3666" s="1821"/>
      <c r="BB3666" s="1821"/>
      <c r="BC3666" s="1821"/>
      <c r="BD3666" s="1821"/>
      <c r="BE3666" s="1821"/>
      <c r="BF3666" s="1821"/>
      <c r="BG3666" s="1821"/>
      <c r="BH3666" s="1821"/>
      <c r="BI3666" s="1821"/>
      <c r="BJ3666" s="1821"/>
      <c r="BK3666" s="1821"/>
      <c r="BL3666" s="1821"/>
      <c r="BM3666" s="1821"/>
      <c r="BN3666" s="1821"/>
      <c r="BO3666" s="1821"/>
      <c r="BP3666" s="1821"/>
      <c r="BQ3666" s="1821"/>
      <c r="BR3666" s="1821"/>
      <c r="BS3666" s="1821"/>
      <c r="BT3666" s="1821"/>
      <c r="BU3666" s="1821"/>
      <c r="BV3666" s="1821"/>
      <c r="BW3666" s="1821"/>
      <c r="BX3666" s="1821"/>
      <c r="BY3666" s="1821"/>
      <c r="BZ3666" s="1821"/>
      <c r="CA3666" s="1821"/>
      <c r="CB3666" s="1821"/>
      <c r="CC3666" s="1821"/>
      <c r="CD3666" s="1821"/>
      <c r="CE3666" s="1821"/>
      <c r="CF3666" s="1821"/>
      <c r="CG3666" s="1821"/>
      <c r="CH3666" s="1821"/>
      <c r="CI3666" s="1821"/>
      <c r="CJ3666" s="1821"/>
      <c r="CK3666" s="1821"/>
    </row>
    <row r="3667" spans="1:89" s="675" customFormat="1" ht="16.5" customHeight="1" x14ac:dyDescent="0.25">
      <c r="A3667" s="697"/>
      <c r="B3667" s="1002" t="s">
        <v>54</v>
      </c>
      <c r="C3667" s="1007">
        <v>140</v>
      </c>
      <c r="D3667" s="1005" t="s">
        <v>55</v>
      </c>
      <c r="E3667" s="1006">
        <v>430</v>
      </c>
      <c r="F3667" s="758"/>
      <c r="G3667" s="758"/>
      <c r="H3667" s="700">
        <f t="shared" si="397"/>
        <v>0</v>
      </c>
      <c r="I3667" s="758"/>
      <c r="J3667" s="758">
        <f>C3667*E3667</f>
        <v>60200</v>
      </c>
      <c r="K3667" s="700">
        <f t="shared" si="396"/>
        <v>60200</v>
      </c>
      <c r="L3667" s="758"/>
      <c r="M3667" s="758"/>
      <c r="N3667" s="700">
        <f t="shared" si="398"/>
        <v>0</v>
      </c>
      <c r="O3667" s="974">
        <f t="shared" si="399"/>
        <v>60200</v>
      </c>
      <c r="P3667" s="956"/>
      <c r="Q3667" s="1821"/>
      <c r="R3667" s="1821"/>
      <c r="S3667" s="1821"/>
      <c r="T3667" s="1821"/>
      <c r="U3667" s="1821"/>
      <c r="V3667" s="1821"/>
      <c r="W3667" s="1821"/>
      <c r="X3667" s="1821"/>
      <c r="Y3667" s="1821"/>
      <c r="Z3667" s="1821"/>
      <c r="AA3667" s="1821"/>
      <c r="AB3667" s="1821"/>
      <c r="AC3667" s="1821"/>
      <c r="AD3667" s="1821"/>
      <c r="AE3667" s="1821"/>
      <c r="AF3667" s="1821"/>
      <c r="AG3667" s="1821"/>
      <c r="AH3667" s="1821"/>
      <c r="AI3667" s="1821"/>
      <c r="AJ3667" s="1821"/>
      <c r="AK3667" s="1821"/>
      <c r="AL3667" s="1821"/>
      <c r="AM3667" s="1821"/>
      <c r="AN3667" s="1821"/>
      <c r="AO3667" s="1821"/>
      <c r="AP3667" s="1821"/>
      <c r="AQ3667" s="1821"/>
      <c r="AR3667" s="1821"/>
      <c r="AS3667" s="1821"/>
      <c r="AT3667" s="1821"/>
      <c r="AU3667" s="1821"/>
      <c r="AV3667" s="1821"/>
      <c r="AW3667" s="1821"/>
      <c r="AX3667" s="1821"/>
      <c r="AY3667" s="1821"/>
      <c r="AZ3667" s="1821"/>
      <c r="BA3667" s="1821"/>
      <c r="BB3667" s="1821"/>
      <c r="BC3667" s="1821"/>
      <c r="BD3667" s="1821"/>
      <c r="BE3667" s="1821"/>
      <c r="BF3667" s="1821"/>
      <c r="BG3667" s="1821"/>
      <c r="BH3667" s="1821"/>
      <c r="BI3667" s="1821"/>
      <c r="BJ3667" s="1821"/>
      <c r="BK3667" s="1821"/>
      <c r="BL3667" s="1821"/>
      <c r="BM3667" s="1821"/>
      <c r="BN3667" s="1821"/>
      <c r="BO3667" s="1821"/>
      <c r="BP3667" s="1821"/>
      <c r="BQ3667" s="1821"/>
      <c r="BR3667" s="1821"/>
      <c r="BS3667" s="1821"/>
      <c r="BT3667" s="1821"/>
      <c r="BU3667" s="1821"/>
      <c r="BV3667" s="1821"/>
      <c r="BW3667" s="1821"/>
      <c r="BX3667" s="1821"/>
      <c r="BY3667" s="1821"/>
      <c r="BZ3667" s="1821"/>
      <c r="CA3667" s="1821"/>
      <c r="CB3667" s="1821"/>
      <c r="CC3667" s="1821"/>
      <c r="CD3667" s="1821"/>
      <c r="CE3667" s="1821"/>
      <c r="CF3667" s="1821"/>
      <c r="CG3667" s="1821"/>
      <c r="CH3667" s="1821"/>
      <c r="CI3667" s="1821"/>
      <c r="CJ3667" s="1821"/>
      <c r="CK3667" s="1821"/>
    </row>
    <row r="3668" spans="1:89" s="675" customFormat="1" ht="16.5" customHeight="1" x14ac:dyDescent="0.25">
      <c r="A3668" s="697"/>
      <c r="B3668" s="1002" t="s">
        <v>52</v>
      </c>
      <c r="C3668" s="1007">
        <v>105</v>
      </c>
      <c r="D3668" s="1005" t="s">
        <v>55</v>
      </c>
      <c r="E3668" s="1006">
        <v>460</v>
      </c>
      <c r="F3668" s="758"/>
      <c r="G3668" s="758"/>
      <c r="H3668" s="700">
        <f t="shared" si="397"/>
        <v>0</v>
      </c>
      <c r="I3668" s="758"/>
      <c r="J3668" s="758">
        <f>C3668*E3668</f>
        <v>48300</v>
      </c>
      <c r="K3668" s="700">
        <f t="shared" si="396"/>
        <v>48300</v>
      </c>
      <c r="L3668" s="758"/>
      <c r="M3668" s="758"/>
      <c r="N3668" s="700">
        <f t="shared" si="398"/>
        <v>0</v>
      </c>
      <c r="O3668" s="974">
        <f t="shared" si="399"/>
        <v>48300</v>
      </c>
      <c r="P3668" s="956"/>
      <c r="Q3668" s="1821"/>
      <c r="R3668" s="1821"/>
      <c r="S3668" s="1821"/>
      <c r="T3668" s="1821"/>
      <c r="U3668" s="1821"/>
      <c r="V3668" s="1821"/>
      <c r="W3668" s="1821"/>
      <c r="X3668" s="1821"/>
      <c r="Y3668" s="1821"/>
      <c r="Z3668" s="1821"/>
      <c r="AA3668" s="1821"/>
      <c r="AB3668" s="1821"/>
      <c r="AC3668" s="1821"/>
      <c r="AD3668" s="1821"/>
      <c r="AE3668" s="1821"/>
      <c r="AF3668" s="1821"/>
      <c r="AG3668" s="1821"/>
      <c r="AH3668" s="1821"/>
      <c r="AI3668" s="1821"/>
      <c r="AJ3668" s="1821"/>
      <c r="AK3668" s="1821"/>
      <c r="AL3668" s="1821"/>
      <c r="AM3668" s="1821"/>
      <c r="AN3668" s="1821"/>
      <c r="AO3668" s="1821"/>
      <c r="AP3668" s="1821"/>
      <c r="AQ3668" s="1821"/>
      <c r="AR3668" s="1821"/>
      <c r="AS3668" s="1821"/>
      <c r="AT3668" s="1821"/>
      <c r="AU3668" s="1821"/>
      <c r="AV3668" s="1821"/>
      <c r="AW3668" s="1821"/>
      <c r="AX3668" s="1821"/>
      <c r="AY3668" s="1821"/>
      <c r="AZ3668" s="1821"/>
      <c r="BA3668" s="1821"/>
      <c r="BB3668" s="1821"/>
      <c r="BC3668" s="1821"/>
      <c r="BD3668" s="1821"/>
      <c r="BE3668" s="1821"/>
      <c r="BF3668" s="1821"/>
      <c r="BG3668" s="1821"/>
      <c r="BH3668" s="1821"/>
      <c r="BI3668" s="1821"/>
      <c r="BJ3668" s="1821"/>
      <c r="BK3668" s="1821"/>
      <c r="BL3668" s="1821"/>
      <c r="BM3668" s="1821"/>
      <c r="BN3668" s="1821"/>
      <c r="BO3668" s="1821"/>
      <c r="BP3668" s="1821"/>
      <c r="BQ3668" s="1821"/>
      <c r="BR3668" s="1821"/>
      <c r="BS3668" s="1821"/>
      <c r="BT3668" s="1821"/>
      <c r="BU3668" s="1821"/>
      <c r="BV3668" s="1821"/>
      <c r="BW3668" s="1821"/>
      <c r="BX3668" s="1821"/>
      <c r="BY3668" s="1821"/>
      <c r="BZ3668" s="1821"/>
      <c r="CA3668" s="1821"/>
      <c r="CB3668" s="1821"/>
      <c r="CC3668" s="1821"/>
      <c r="CD3668" s="1821"/>
      <c r="CE3668" s="1821"/>
      <c r="CF3668" s="1821"/>
      <c r="CG3668" s="1821"/>
      <c r="CH3668" s="1821"/>
      <c r="CI3668" s="1821"/>
      <c r="CJ3668" s="1821"/>
      <c r="CK3668" s="1821"/>
    </row>
    <row r="3669" spans="1:89" s="675" customFormat="1" ht="16.5" customHeight="1" x14ac:dyDescent="0.25">
      <c r="A3669" s="697"/>
      <c r="B3669" s="1002"/>
      <c r="C3669" s="1007"/>
      <c r="D3669" s="1005"/>
      <c r="E3669" s="1006"/>
      <c r="F3669" s="758"/>
      <c r="G3669" s="758"/>
      <c r="H3669" s="700">
        <f t="shared" si="397"/>
        <v>0</v>
      </c>
      <c r="I3669" s="758"/>
      <c r="J3669" s="758"/>
      <c r="K3669" s="700">
        <f t="shared" si="396"/>
        <v>0</v>
      </c>
      <c r="L3669" s="758"/>
      <c r="M3669" s="758"/>
      <c r="N3669" s="700">
        <f t="shared" si="398"/>
        <v>0</v>
      </c>
      <c r="O3669" s="974">
        <f t="shared" si="399"/>
        <v>0</v>
      </c>
      <c r="P3669" s="956"/>
      <c r="Q3669" s="1821"/>
      <c r="R3669" s="1821"/>
      <c r="S3669" s="1821"/>
      <c r="T3669" s="1821"/>
      <c r="U3669" s="1821"/>
      <c r="V3669" s="1821"/>
      <c r="W3669" s="1821"/>
      <c r="X3669" s="1821"/>
      <c r="Y3669" s="1821"/>
      <c r="Z3669" s="1821"/>
      <c r="AA3669" s="1821"/>
      <c r="AB3669" s="1821"/>
      <c r="AC3669" s="1821"/>
      <c r="AD3669" s="1821"/>
      <c r="AE3669" s="1821"/>
      <c r="AF3669" s="1821"/>
      <c r="AG3669" s="1821"/>
      <c r="AH3669" s="1821"/>
      <c r="AI3669" s="1821"/>
      <c r="AJ3669" s="1821"/>
      <c r="AK3669" s="1821"/>
      <c r="AL3669" s="1821"/>
      <c r="AM3669" s="1821"/>
      <c r="AN3669" s="1821"/>
      <c r="AO3669" s="1821"/>
      <c r="AP3669" s="1821"/>
      <c r="AQ3669" s="1821"/>
      <c r="AR3669" s="1821"/>
      <c r="AS3669" s="1821"/>
      <c r="AT3669" s="1821"/>
      <c r="AU3669" s="1821"/>
      <c r="AV3669" s="1821"/>
      <c r="AW3669" s="1821"/>
      <c r="AX3669" s="1821"/>
      <c r="AY3669" s="1821"/>
      <c r="AZ3669" s="1821"/>
      <c r="BA3669" s="1821"/>
      <c r="BB3669" s="1821"/>
      <c r="BC3669" s="1821"/>
      <c r="BD3669" s="1821"/>
      <c r="BE3669" s="1821"/>
      <c r="BF3669" s="1821"/>
      <c r="BG3669" s="1821"/>
      <c r="BH3669" s="1821"/>
      <c r="BI3669" s="1821"/>
      <c r="BJ3669" s="1821"/>
      <c r="BK3669" s="1821"/>
      <c r="BL3669" s="1821"/>
      <c r="BM3669" s="1821"/>
      <c r="BN3669" s="1821"/>
      <c r="BO3669" s="1821"/>
      <c r="BP3669" s="1821"/>
      <c r="BQ3669" s="1821"/>
      <c r="BR3669" s="1821"/>
      <c r="BS3669" s="1821"/>
      <c r="BT3669" s="1821"/>
      <c r="BU3669" s="1821"/>
      <c r="BV3669" s="1821"/>
      <c r="BW3669" s="1821"/>
      <c r="BX3669" s="1821"/>
      <c r="BY3669" s="1821"/>
      <c r="BZ3669" s="1821"/>
      <c r="CA3669" s="1821"/>
      <c r="CB3669" s="1821"/>
      <c r="CC3669" s="1821"/>
      <c r="CD3669" s="1821"/>
      <c r="CE3669" s="1821"/>
      <c r="CF3669" s="1821"/>
      <c r="CG3669" s="1821"/>
      <c r="CH3669" s="1821"/>
      <c r="CI3669" s="1821"/>
      <c r="CJ3669" s="1821"/>
      <c r="CK3669" s="1821"/>
    </row>
    <row r="3670" spans="1:89" s="675" customFormat="1" ht="16.5" customHeight="1" x14ac:dyDescent="0.25">
      <c r="A3670" s="697"/>
      <c r="B3670" s="1002"/>
      <c r="C3670" s="1007"/>
      <c r="D3670" s="1005"/>
      <c r="E3670" s="1006"/>
      <c r="F3670" s="758"/>
      <c r="G3670" s="758"/>
      <c r="H3670" s="700">
        <f t="shared" si="397"/>
        <v>0</v>
      </c>
      <c r="I3670" s="758"/>
      <c r="J3670" s="758"/>
      <c r="K3670" s="700">
        <f t="shared" si="396"/>
        <v>0</v>
      </c>
      <c r="L3670" s="758"/>
      <c r="M3670" s="758"/>
      <c r="N3670" s="700">
        <f t="shared" si="398"/>
        <v>0</v>
      </c>
      <c r="O3670" s="974">
        <f t="shared" si="399"/>
        <v>0</v>
      </c>
      <c r="P3670" s="956"/>
      <c r="Q3670" s="1821"/>
      <c r="R3670" s="1821"/>
      <c r="S3670" s="1821"/>
      <c r="T3670" s="1821"/>
      <c r="U3670" s="1821"/>
      <c r="V3670" s="1821"/>
      <c r="W3670" s="1821"/>
      <c r="X3670" s="1821"/>
      <c r="Y3670" s="1821"/>
      <c r="Z3670" s="1821"/>
      <c r="AA3670" s="1821"/>
      <c r="AB3670" s="1821"/>
      <c r="AC3670" s="1821"/>
      <c r="AD3670" s="1821"/>
      <c r="AE3670" s="1821"/>
      <c r="AF3670" s="1821"/>
      <c r="AG3670" s="1821"/>
      <c r="AH3670" s="1821"/>
      <c r="AI3670" s="1821"/>
      <c r="AJ3670" s="1821"/>
      <c r="AK3670" s="1821"/>
      <c r="AL3670" s="1821"/>
      <c r="AM3670" s="1821"/>
      <c r="AN3670" s="1821"/>
      <c r="AO3670" s="1821"/>
      <c r="AP3670" s="1821"/>
      <c r="AQ3670" s="1821"/>
      <c r="AR3670" s="1821"/>
      <c r="AS3670" s="1821"/>
      <c r="AT3670" s="1821"/>
      <c r="AU3670" s="1821"/>
      <c r="AV3670" s="1821"/>
      <c r="AW3670" s="1821"/>
      <c r="AX3670" s="1821"/>
      <c r="AY3670" s="1821"/>
      <c r="AZ3670" s="1821"/>
      <c r="BA3670" s="1821"/>
      <c r="BB3670" s="1821"/>
      <c r="BC3670" s="1821"/>
      <c r="BD3670" s="1821"/>
      <c r="BE3670" s="1821"/>
      <c r="BF3670" s="1821"/>
      <c r="BG3670" s="1821"/>
      <c r="BH3670" s="1821"/>
      <c r="BI3670" s="1821"/>
      <c r="BJ3670" s="1821"/>
      <c r="BK3670" s="1821"/>
      <c r="BL3670" s="1821"/>
      <c r="BM3670" s="1821"/>
      <c r="BN3670" s="1821"/>
      <c r="BO3670" s="1821"/>
      <c r="BP3670" s="1821"/>
      <c r="BQ3670" s="1821"/>
      <c r="BR3670" s="1821"/>
      <c r="BS3670" s="1821"/>
      <c r="BT3670" s="1821"/>
      <c r="BU3670" s="1821"/>
      <c r="BV3670" s="1821"/>
      <c r="BW3670" s="1821"/>
      <c r="BX3670" s="1821"/>
      <c r="BY3670" s="1821"/>
      <c r="BZ3670" s="1821"/>
      <c r="CA3670" s="1821"/>
      <c r="CB3670" s="1821"/>
      <c r="CC3670" s="1821"/>
      <c r="CD3670" s="1821"/>
      <c r="CE3670" s="1821"/>
      <c r="CF3670" s="1821"/>
      <c r="CG3670" s="1821"/>
      <c r="CH3670" s="1821"/>
      <c r="CI3670" s="1821"/>
      <c r="CJ3670" s="1821"/>
      <c r="CK3670" s="1821"/>
    </row>
    <row r="3671" spans="1:89" s="675" customFormat="1" ht="39" customHeight="1" x14ac:dyDescent="0.25">
      <c r="A3671" s="697">
        <v>15</v>
      </c>
      <c r="B3671" s="1002" t="s">
        <v>390</v>
      </c>
      <c r="C3671" s="1007">
        <f>SUM(O3673:O3680)</f>
        <v>183706</v>
      </c>
      <c r="D3671" s="1005"/>
      <c r="E3671" s="1006"/>
      <c r="F3671" s="758"/>
      <c r="G3671" s="758"/>
      <c r="H3671" s="700">
        <f t="shared" si="397"/>
        <v>0</v>
      </c>
      <c r="I3671" s="758"/>
      <c r="J3671" s="758">
        <f>C3671*O3671</f>
        <v>0</v>
      </c>
      <c r="K3671" s="700">
        <f t="shared" si="396"/>
        <v>0</v>
      </c>
      <c r="L3671" s="758"/>
      <c r="M3671" s="758"/>
      <c r="N3671" s="700">
        <f t="shared" si="398"/>
        <v>0</v>
      </c>
      <c r="O3671" s="974"/>
      <c r="P3671" s="956"/>
      <c r="Q3671" s="1821"/>
      <c r="R3671" s="1821"/>
      <c r="S3671" s="1821"/>
      <c r="T3671" s="1821"/>
      <c r="U3671" s="1821"/>
      <c r="V3671" s="1821"/>
      <c r="W3671" s="1821"/>
      <c r="X3671" s="1821"/>
      <c r="Y3671" s="1821"/>
      <c r="Z3671" s="1821"/>
      <c r="AA3671" s="1821"/>
      <c r="AB3671" s="1821"/>
      <c r="AC3671" s="1821"/>
      <c r="AD3671" s="1821"/>
      <c r="AE3671" s="1821"/>
      <c r="AF3671" s="1821"/>
      <c r="AG3671" s="1821"/>
      <c r="AH3671" s="1821"/>
      <c r="AI3671" s="1821"/>
      <c r="AJ3671" s="1821"/>
      <c r="AK3671" s="1821"/>
      <c r="AL3671" s="1821"/>
      <c r="AM3671" s="1821"/>
      <c r="AN3671" s="1821"/>
      <c r="AO3671" s="1821"/>
      <c r="AP3671" s="1821"/>
      <c r="AQ3671" s="1821"/>
      <c r="AR3671" s="1821"/>
      <c r="AS3671" s="1821"/>
      <c r="AT3671" s="1821"/>
      <c r="AU3671" s="1821"/>
      <c r="AV3671" s="1821"/>
      <c r="AW3671" s="1821"/>
      <c r="AX3671" s="1821"/>
      <c r="AY3671" s="1821"/>
      <c r="AZ3671" s="1821"/>
      <c r="BA3671" s="1821"/>
      <c r="BB3671" s="1821"/>
      <c r="BC3671" s="1821"/>
      <c r="BD3671" s="1821"/>
      <c r="BE3671" s="1821"/>
      <c r="BF3671" s="1821"/>
      <c r="BG3671" s="1821"/>
      <c r="BH3671" s="1821"/>
      <c r="BI3671" s="1821"/>
      <c r="BJ3671" s="1821"/>
      <c r="BK3671" s="1821"/>
      <c r="BL3671" s="1821"/>
      <c r="BM3671" s="1821"/>
      <c r="BN3671" s="1821"/>
      <c r="BO3671" s="1821"/>
      <c r="BP3671" s="1821"/>
      <c r="BQ3671" s="1821"/>
      <c r="BR3671" s="1821"/>
      <c r="BS3671" s="1821"/>
      <c r="BT3671" s="1821"/>
      <c r="BU3671" s="1821"/>
      <c r="BV3671" s="1821"/>
      <c r="BW3671" s="1821"/>
      <c r="BX3671" s="1821"/>
      <c r="BY3671" s="1821"/>
      <c r="BZ3671" s="1821"/>
      <c r="CA3671" s="1821"/>
      <c r="CB3671" s="1821"/>
      <c r="CC3671" s="1821"/>
      <c r="CD3671" s="1821"/>
      <c r="CE3671" s="1821"/>
      <c r="CF3671" s="1821"/>
      <c r="CG3671" s="1821"/>
      <c r="CH3671" s="1821"/>
      <c r="CI3671" s="1821"/>
      <c r="CJ3671" s="1821"/>
      <c r="CK3671" s="1821"/>
    </row>
    <row r="3672" spans="1:89" s="675" customFormat="1" ht="16.5" customHeight="1" x14ac:dyDescent="0.25">
      <c r="A3672" s="697"/>
      <c r="B3672" s="1002" t="s">
        <v>21</v>
      </c>
      <c r="C3672" s="1007"/>
      <c r="D3672" s="1005"/>
      <c r="E3672" s="1006"/>
      <c r="F3672" s="758"/>
      <c r="G3672" s="758"/>
      <c r="H3672" s="700">
        <f t="shared" si="397"/>
        <v>0</v>
      </c>
      <c r="I3672" s="758"/>
      <c r="J3672" s="758">
        <f t="shared" ref="J3672:J3680" si="400">C3672*E3672</f>
        <v>0</v>
      </c>
      <c r="K3672" s="700">
        <f t="shared" si="396"/>
        <v>0</v>
      </c>
      <c r="L3672" s="758"/>
      <c r="M3672" s="758"/>
      <c r="N3672" s="700">
        <f t="shared" si="398"/>
        <v>0</v>
      </c>
      <c r="O3672" s="974">
        <f>N3672+K3672+H3672</f>
        <v>0</v>
      </c>
      <c r="P3672" s="956"/>
      <c r="Q3672" s="1821"/>
      <c r="R3672" s="1821"/>
      <c r="S3672" s="1821"/>
      <c r="T3672" s="1821"/>
      <c r="U3672" s="1821"/>
      <c r="V3672" s="1821"/>
      <c r="W3672" s="1821"/>
      <c r="X3672" s="1821"/>
      <c r="Y3672" s="1821"/>
      <c r="Z3672" s="1821"/>
      <c r="AA3672" s="1821"/>
      <c r="AB3672" s="1821"/>
      <c r="AC3672" s="1821"/>
      <c r="AD3672" s="1821"/>
      <c r="AE3672" s="1821"/>
      <c r="AF3672" s="1821"/>
      <c r="AG3672" s="1821"/>
      <c r="AH3672" s="1821"/>
      <c r="AI3672" s="1821"/>
      <c r="AJ3672" s="1821"/>
      <c r="AK3672" s="1821"/>
      <c r="AL3672" s="1821"/>
      <c r="AM3672" s="1821"/>
      <c r="AN3672" s="1821"/>
      <c r="AO3672" s="1821"/>
      <c r="AP3672" s="1821"/>
      <c r="AQ3672" s="1821"/>
      <c r="AR3672" s="1821"/>
      <c r="AS3672" s="1821"/>
      <c r="AT3672" s="1821"/>
      <c r="AU3672" s="1821"/>
      <c r="AV3672" s="1821"/>
      <c r="AW3672" s="1821"/>
      <c r="AX3672" s="1821"/>
      <c r="AY3672" s="1821"/>
      <c r="AZ3672" s="1821"/>
      <c r="BA3672" s="1821"/>
      <c r="BB3672" s="1821"/>
      <c r="BC3672" s="1821"/>
      <c r="BD3672" s="1821"/>
      <c r="BE3672" s="1821"/>
      <c r="BF3672" s="1821"/>
      <c r="BG3672" s="1821"/>
      <c r="BH3672" s="1821"/>
      <c r="BI3672" s="1821"/>
      <c r="BJ3672" s="1821"/>
      <c r="BK3672" s="1821"/>
      <c r="BL3672" s="1821"/>
      <c r="BM3672" s="1821"/>
      <c r="BN3672" s="1821"/>
      <c r="BO3672" s="1821"/>
      <c r="BP3672" s="1821"/>
      <c r="BQ3672" s="1821"/>
      <c r="BR3672" s="1821"/>
      <c r="BS3672" s="1821"/>
      <c r="BT3672" s="1821"/>
      <c r="BU3672" s="1821"/>
      <c r="BV3672" s="1821"/>
      <c r="BW3672" s="1821"/>
      <c r="BX3672" s="1821"/>
      <c r="BY3672" s="1821"/>
      <c r="BZ3672" s="1821"/>
      <c r="CA3672" s="1821"/>
      <c r="CB3672" s="1821"/>
      <c r="CC3672" s="1821"/>
      <c r="CD3672" s="1821"/>
      <c r="CE3672" s="1821"/>
      <c r="CF3672" s="1821"/>
      <c r="CG3672" s="1821"/>
      <c r="CH3672" s="1821"/>
      <c r="CI3672" s="1821"/>
      <c r="CJ3672" s="1821"/>
      <c r="CK3672" s="1821"/>
    </row>
    <row r="3673" spans="1:89" s="675" customFormat="1" ht="16.5" customHeight="1" x14ac:dyDescent="0.25">
      <c r="A3673" s="697"/>
      <c r="B3673" s="1002" t="s">
        <v>365</v>
      </c>
      <c r="C3673" s="1007">
        <v>1</v>
      </c>
      <c r="D3673" s="1005" t="s">
        <v>25</v>
      </c>
      <c r="E3673" s="1006">
        <v>52950</v>
      </c>
      <c r="F3673" s="758"/>
      <c r="G3673" s="758"/>
      <c r="H3673" s="700"/>
      <c r="I3673" s="758"/>
      <c r="J3673" s="758">
        <f t="shared" si="400"/>
        <v>52950</v>
      </c>
      <c r="K3673" s="700">
        <f t="shared" si="396"/>
        <v>52950</v>
      </c>
      <c r="L3673" s="758"/>
      <c r="M3673" s="758"/>
      <c r="N3673" s="700"/>
      <c r="O3673" s="974">
        <f>N3673+K3673+H3673</f>
        <v>52950</v>
      </c>
      <c r="P3673" s="956"/>
      <c r="Q3673" s="1821"/>
      <c r="R3673" s="1821"/>
      <c r="S3673" s="1821"/>
      <c r="T3673" s="1821"/>
      <c r="U3673" s="1821"/>
      <c r="V3673" s="1821"/>
      <c r="W3673" s="1821"/>
      <c r="X3673" s="1821"/>
      <c r="Y3673" s="1821"/>
      <c r="Z3673" s="1821"/>
      <c r="AA3673" s="1821"/>
      <c r="AB3673" s="1821"/>
      <c r="AC3673" s="1821"/>
      <c r="AD3673" s="1821"/>
      <c r="AE3673" s="1821"/>
      <c r="AF3673" s="1821"/>
      <c r="AG3673" s="1821"/>
      <c r="AH3673" s="1821"/>
      <c r="AI3673" s="1821"/>
      <c r="AJ3673" s="1821"/>
      <c r="AK3673" s="1821"/>
      <c r="AL3673" s="1821"/>
      <c r="AM3673" s="1821"/>
      <c r="AN3673" s="1821"/>
      <c r="AO3673" s="1821"/>
      <c r="AP3673" s="1821"/>
      <c r="AQ3673" s="1821"/>
      <c r="AR3673" s="1821"/>
      <c r="AS3673" s="1821"/>
      <c r="AT3673" s="1821"/>
      <c r="AU3673" s="1821"/>
      <c r="AV3673" s="1821"/>
      <c r="AW3673" s="1821"/>
      <c r="AX3673" s="1821"/>
      <c r="AY3673" s="1821"/>
      <c r="AZ3673" s="1821"/>
      <c r="BA3673" s="1821"/>
      <c r="BB3673" s="1821"/>
      <c r="BC3673" s="1821"/>
      <c r="BD3673" s="1821"/>
      <c r="BE3673" s="1821"/>
      <c r="BF3673" s="1821"/>
      <c r="BG3673" s="1821"/>
      <c r="BH3673" s="1821"/>
      <c r="BI3673" s="1821"/>
      <c r="BJ3673" s="1821"/>
      <c r="BK3673" s="1821"/>
      <c r="BL3673" s="1821"/>
      <c r="BM3673" s="1821"/>
      <c r="BN3673" s="1821"/>
      <c r="BO3673" s="1821"/>
      <c r="BP3673" s="1821"/>
      <c r="BQ3673" s="1821"/>
      <c r="BR3673" s="1821"/>
      <c r="BS3673" s="1821"/>
      <c r="BT3673" s="1821"/>
      <c r="BU3673" s="1821"/>
      <c r="BV3673" s="1821"/>
      <c r="BW3673" s="1821"/>
      <c r="BX3673" s="1821"/>
      <c r="BY3673" s="1821"/>
      <c r="BZ3673" s="1821"/>
      <c r="CA3673" s="1821"/>
      <c r="CB3673" s="1821"/>
      <c r="CC3673" s="1821"/>
      <c r="CD3673" s="1821"/>
      <c r="CE3673" s="1821"/>
      <c r="CF3673" s="1821"/>
      <c r="CG3673" s="1821"/>
      <c r="CH3673" s="1821"/>
      <c r="CI3673" s="1821"/>
      <c r="CJ3673" s="1821"/>
      <c r="CK3673" s="1821"/>
    </row>
    <row r="3674" spans="1:89" s="675" customFormat="1" ht="16.5" customHeight="1" x14ac:dyDescent="0.25">
      <c r="A3674" s="697"/>
      <c r="B3674" s="1002"/>
      <c r="C3674" s="1007"/>
      <c r="D3674" s="1005"/>
      <c r="E3674" s="1006"/>
      <c r="F3674" s="758"/>
      <c r="G3674" s="758"/>
      <c r="H3674" s="700"/>
      <c r="I3674" s="758"/>
      <c r="J3674" s="758"/>
      <c r="K3674" s="700"/>
      <c r="L3674" s="758"/>
      <c r="M3674" s="758"/>
      <c r="N3674" s="700"/>
      <c r="O3674" s="974"/>
      <c r="P3674" s="956"/>
      <c r="Q3674" s="1821"/>
      <c r="R3674" s="1821"/>
      <c r="S3674" s="1821"/>
      <c r="T3674" s="1821"/>
      <c r="U3674" s="1821"/>
      <c r="V3674" s="1821"/>
      <c r="W3674" s="1821"/>
      <c r="X3674" s="1821"/>
      <c r="Y3674" s="1821"/>
      <c r="Z3674" s="1821"/>
      <c r="AA3674" s="1821"/>
      <c r="AB3674" s="1821"/>
      <c r="AC3674" s="1821"/>
      <c r="AD3674" s="1821"/>
      <c r="AE3674" s="1821"/>
      <c r="AF3674" s="1821"/>
      <c r="AG3674" s="1821"/>
      <c r="AH3674" s="1821"/>
      <c r="AI3674" s="1821"/>
      <c r="AJ3674" s="1821"/>
      <c r="AK3674" s="1821"/>
      <c r="AL3674" s="1821"/>
      <c r="AM3674" s="1821"/>
      <c r="AN3674" s="1821"/>
      <c r="AO3674" s="1821"/>
      <c r="AP3674" s="1821"/>
      <c r="AQ3674" s="1821"/>
      <c r="AR3674" s="1821"/>
      <c r="AS3674" s="1821"/>
      <c r="AT3674" s="1821"/>
      <c r="AU3674" s="1821"/>
      <c r="AV3674" s="1821"/>
      <c r="AW3674" s="1821"/>
      <c r="AX3674" s="1821"/>
      <c r="AY3674" s="1821"/>
      <c r="AZ3674" s="1821"/>
      <c r="BA3674" s="1821"/>
      <c r="BB3674" s="1821"/>
      <c r="BC3674" s="1821"/>
      <c r="BD3674" s="1821"/>
      <c r="BE3674" s="1821"/>
      <c r="BF3674" s="1821"/>
      <c r="BG3674" s="1821"/>
      <c r="BH3674" s="1821"/>
      <c r="BI3674" s="1821"/>
      <c r="BJ3674" s="1821"/>
      <c r="BK3674" s="1821"/>
      <c r="BL3674" s="1821"/>
      <c r="BM3674" s="1821"/>
      <c r="BN3674" s="1821"/>
      <c r="BO3674" s="1821"/>
      <c r="BP3674" s="1821"/>
      <c r="BQ3674" s="1821"/>
      <c r="BR3674" s="1821"/>
      <c r="BS3674" s="1821"/>
      <c r="BT3674" s="1821"/>
      <c r="BU3674" s="1821"/>
      <c r="BV3674" s="1821"/>
      <c r="BW3674" s="1821"/>
      <c r="BX3674" s="1821"/>
      <c r="BY3674" s="1821"/>
      <c r="BZ3674" s="1821"/>
      <c r="CA3674" s="1821"/>
      <c r="CB3674" s="1821"/>
      <c r="CC3674" s="1821"/>
      <c r="CD3674" s="1821"/>
      <c r="CE3674" s="1821"/>
      <c r="CF3674" s="1821"/>
      <c r="CG3674" s="1821"/>
      <c r="CH3674" s="1821"/>
      <c r="CI3674" s="1821"/>
      <c r="CJ3674" s="1821"/>
      <c r="CK3674" s="1821"/>
    </row>
    <row r="3675" spans="1:89" s="675" customFormat="1" ht="16.5" customHeight="1" x14ac:dyDescent="0.25">
      <c r="A3675" s="697"/>
      <c r="B3675" s="1002"/>
      <c r="C3675" s="1007"/>
      <c r="D3675" s="1005"/>
      <c r="E3675" s="1006"/>
      <c r="F3675" s="758"/>
      <c r="G3675" s="758"/>
      <c r="H3675" s="700"/>
      <c r="I3675" s="758"/>
      <c r="J3675" s="758"/>
      <c r="K3675" s="700"/>
      <c r="L3675" s="758"/>
      <c r="M3675" s="758"/>
      <c r="N3675" s="700"/>
      <c r="O3675" s="974"/>
      <c r="P3675" s="956"/>
      <c r="Q3675" s="1821"/>
      <c r="R3675" s="1821"/>
      <c r="S3675" s="1821"/>
      <c r="T3675" s="1821"/>
      <c r="U3675" s="1821"/>
      <c r="V3675" s="1821"/>
      <c r="W3675" s="1821"/>
      <c r="X3675" s="1821"/>
      <c r="Y3675" s="1821"/>
      <c r="Z3675" s="1821"/>
      <c r="AA3675" s="1821"/>
      <c r="AB3675" s="1821"/>
      <c r="AC3675" s="1821"/>
      <c r="AD3675" s="1821"/>
      <c r="AE3675" s="1821"/>
      <c r="AF3675" s="1821"/>
      <c r="AG3675" s="1821"/>
      <c r="AH3675" s="1821"/>
      <c r="AI3675" s="1821"/>
      <c r="AJ3675" s="1821"/>
      <c r="AK3675" s="1821"/>
      <c r="AL3675" s="1821"/>
      <c r="AM3675" s="1821"/>
      <c r="AN3675" s="1821"/>
      <c r="AO3675" s="1821"/>
      <c r="AP3675" s="1821"/>
      <c r="AQ3675" s="1821"/>
      <c r="AR3675" s="1821"/>
      <c r="AS3675" s="1821"/>
      <c r="AT3675" s="1821"/>
      <c r="AU3675" s="1821"/>
      <c r="AV3675" s="1821"/>
      <c r="AW3675" s="1821"/>
      <c r="AX3675" s="1821"/>
      <c r="AY3675" s="1821"/>
      <c r="AZ3675" s="1821"/>
      <c r="BA3675" s="1821"/>
      <c r="BB3675" s="1821"/>
      <c r="BC3675" s="1821"/>
      <c r="BD3675" s="1821"/>
      <c r="BE3675" s="1821"/>
      <c r="BF3675" s="1821"/>
      <c r="BG3675" s="1821"/>
      <c r="BH3675" s="1821"/>
      <c r="BI3675" s="1821"/>
      <c r="BJ3675" s="1821"/>
      <c r="BK3675" s="1821"/>
      <c r="BL3675" s="1821"/>
      <c r="BM3675" s="1821"/>
      <c r="BN3675" s="1821"/>
      <c r="BO3675" s="1821"/>
      <c r="BP3675" s="1821"/>
      <c r="BQ3675" s="1821"/>
      <c r="BR3675" s="1821"/>
      <c r="BS3675" s="1821"/>
      <c r="BT3675" s="1821"/>
      <c r="BU3675" s="1821"/>
      <c r="BV3675" s="1821"/>
      <c r="BW3675" s="1821"/>
      <c r="BX3675" s="1821"/>
      <c r="BY3675" s="1821"/>
      <c r="BZ3675" s="1821"/>
      <c r="CA3675" s="1821"/>
      <c r="CB3675" s="1821"/>
      <c r="CC3675" s="1821"/>
      <c r="CD3675" s="1821"/>
      <c r="CE3675" s="1821"/>
      <c r="CF3675" s="1821"/>
      <c r="CG3675" s="1821"/>
      <c r="CH3675" s="1821"/>
      <c r="CI3675" s="1821"/>
      <c r="CJ3675" s="1821"/>
      <c r="CK3675" s="1821"/>
    </row>
    <row r="3676" spans="1:89" s="675" customFormat="1" ht="16.5" customHeight="1" x14ac:dyDescent="0.25">
      <c r="A3676" s="697"/>
      <c r="B3676" s="1002" t="s">
        <v>349</v>
      </c>
      <c r="C3676" s="1007"/>
      <c r="D3676" s="1005"/>
      <c r="E3676" s="1006"/>
      <c r="F3676" s="758"/>
      <c r="G3676" s="758"/>
      <c r="H3676" s="700">
        <f t="shared" si="397"/>
        <v>0</v>
      </c>
      <c r="I3676" s="758"/>
      <c r="J3676" s="758">
        <f t="shared" si="400"/>
        <v>0</v>
      </c>
      <c r="K3676" s="700">
        <f t="shared" si="396"/>
        <v>0</v>
      </c>
      <c r="L3676" s="758"/>
      <c r="M3676" s="758"/>
      <c r="N3676" s="700">
        <f t="shared" si="398"/>
        <v>0</v>
      </c>
      <c r="O3676" s="974"/>
      <c r="P3676" s="956"/>
      <c r="Q3676" s="1821"/>
      <c r="R3676" s="1821"/>
      <c r="S3676" s="1821"/>
      <c r="T3676" s="1821"/>
      <c r="U3676" s="1821"/>
      <c r="V3676" s="1821"/>
      <c r="W3676" s="1821"/>
      <c r="X3676" s="1821"/>
      <c r="Y3676" s="1821"/>
      <c r="Z3676" s="1821"/>
      <c r="AA3676" s="1821"/>
      <c r="AB3676" s="1821"/>
      <c r="AC3676" s="1821"/>
      <c r="AD3676" s="1821"/>
      <c r="AE3676" s="1821"/>
      <c r="AF3676" s="1821"/>
      <c r="AG3676" s="1821"/>
      <c r="AH3676" s="1821"/>
      <c r="AI3676" s="1821"/>
      <c r="AJ3676" s="1821"/>
      <c r="AK3676" s="1821"/>
      <c r="AL3676" s="1821"/>
      <c r="AM3676" s="1821"/>
      <c r="AN3676" s="1821"/>
      <c r="AO3676" s="1821"/>
      <c r="AP3676" s="1821"/>
      <c r="AQ3676" s="1821"/>
      <c r="AR3676" s="1821"/>
      <c r="AS3676" s="1821"/>
      <c r="AT3676" s="1821"/>
      <c r="AU3676" s="1821"/>
      <c r="AV3676" s="1821"/>
      <c r="AW3676" s="1821"/>
      <c r="AX3676" s="1821"/>
      <c r="AY3676" s="1821"/>
      <c r="AZ3676" s="1821"/>
      <c r="BA3676" s="1821"/>
      <c r="BB3676" s="1821"/>
      <c r="BC3676" s="1821"/>
      <c r="BD3676" s="1821"/>
      <c r="BE3676" s="1821"/>
      <c r="BF3676" s="1821"/>
      <c r="BG3676" s="1821"/>
      <c r="BH3676" s="1821"/>
      <c r="BI3676" s="1821"/>
      <c r="BJ3676" s="1821"/>
      <c r="BK3676" s="1821"/>
      <c r="BL3676" s="1821"/>
      <c r="BM3676" s="1821"/>
      <c r="BN3676" s="1821"/>
      <c r="BO3676" s="1821"/>
      <c r="BP3676" s="1821"/>
      <c r="BQ3676" s="1821"/>
      <c r="BR3676" s="1821"/>
      <c r="BS3676" s="1821"/>
      <c r="BT3676" s="1821"/>
      <c r="BU3676" s="1821"/>
      <c r="BV3676" s="1821"/>
      <c r="BW3676" s="1821"/>
      <c r="BX3676" s="1821"/>
      <c r="BY3676" s="1821"/>
      <c r="BZ3676" s="1821"/>
      <c r="CA3676" s="1821"/>
      <c r="CB3676" s="1821"/>
      <c r="CC3676" s="1821"/>
      <c r="CD3676" s="1821"/>
      <c r="CE3676" s="1821"/>
      <c r="CF3676" s="1821"/>
      <c r="CG3676" s="1821"/>
      <c r="CH3676" s="1821"/>
      <c r="CI3676" s="1821"/>
      <c r="CJ3676" s="1821"/>
      <c r="CK3676" s="1821"/>
    </row>
    <row r="3677" spans="1:89" s="675" customFormat="1" ht="16.5" customHeight="1" x14ac:dyDescent="0.25">
      <c r="A3677" s="697"/>
      <c r="B3677" s="1002" t="s">
        <v>344</v>
      </c>
      <c r="C3677" s="1007">
        <v>45</v>
      </c>
      <c r="D3677" s="1005" t="s">
        <v>51</v>
      </c>
      <c r="E3677" s="1006">
        <v>150</v>
      </c>
      <c r="F3677" s="758"/>
      <c r="G3677" s="758"/>
      <c r="H3677" s="700">
        <f t="shared" si="397"/>
        <v>0</v>
      </c>
      <c r="I3677" s="758"/>
      <c r="J3677" s="758">
        <f t="shared" si="400"/>
        <v>6750</v>
      </c>
      <c r="K3677" s="700">
        <f t="shared" si="396"/>
        <v>6750</v>
      </c>
      <c r="L3677" s="758"/>
      <c r="M3677" s="758"/>
      <c r="N3677" s="700">
        <f t="shared" si="398"/>
        <v>0</v>
      </c>
      <c r="O3677" s="974">
        <f>C3677*E3677</f>
        <v>6750</v>
      </c>
      <c r="P3677" s="956"/>
      <c r="Q3677" s="1821"/>
      <c r="R3677" s="1821"/>
      <c r="S3677" s="1821"/>
      <c r="T3677" s="1821"/>
      <c r="U3677" s="1821"/>
      <c r="V3677" s="1821"/>
      <c r="W3677" s="1821"/>
      <c r="X3677" s="1821"/>
      <c r="Y3677" s="1821"/>
      <c r="Z3677" s="1821"/>
      <c r="AA3677" s="1821"/>
      <c r="AB3677" s="1821"/>
      <c r="AC3677" s="1821"/>
      <c r="AD3677" s="1821"/>
      <c r="AE3677" s="1821"/>
      <c r="AF3677" s="1821"/>
      <c r="AG3677" s="1821"/>
      <c r="AH3677" s="1821"/>
      <c r="AI3677" s="1821"/>
      <c r="AJ3677" s="1821"/>
      <c r="AK3677" s="1821"/>
      <c r="AL3677" s="1821"/>
      <c r="AM3677" s="1821"/>
      <c r="AN3677" s="1821"/>
      <c r="AO3677" s="1821"/>
      <c r="AP3677" s="1821"/>
      <c r="AQ3677" s="1821"/>
      <c r="AR3677" s="1821"/>
      <c r="AS3677" s="1821"/>
      <c r="AT3677" s="1821"/>
      <c r="AU3677" s="1821"/>
      <c r="AV3677" s="1821"/>
      <c r="AW3677" s="1821"/>
      <c r="AX3677" s="1821"/>
      <c r="AY3677" s="1821"/>
      <c r="AZ3677" s="1821"/>
      <c r="BA3677" s="1821"/>
      <c r="BB3677" s="1821"/>
      <c r="BC3677" s="1821"/>
      <c r="BD3677" s="1821"/>
      <c r="BE3677" s="1821"/>
      <c r="BF3677" s="1821"/>
      <c r="BG3677" s="1821"/>
      <c r="BH3677" s="1821"/>
      <c r="BI3677" s="1821"/>
      <c r="BJ3677" s="1821"/>
      <c r="BK3677" s="1821"/>
      <c r="BL3677" s="1821"/>
      <c r="BM3677" s="1821"/>
      <c r="BN3677" s="1821"/>
      <c r="BO3677" s="1821"/>
      <c r="BP3677" s="1821"/>
      <c r="BQ3677" s="1821"/>
      <c r="BR3677" s="1821"/>
      <c r="BS3677" s="1821"/>
      <c r="BT3677" s="1821"/>
      <c r="BU3677" s="1821"/>
      <c r="BV3677" s="1821"/>
      <c r="BW3677" s="1821"/>
      <c r="BX3677" s="1821"/>
      <c r="BY3677" s="1821"/>
      <c r="BZ3677" s="1821"/>
      <c r="CA3677" s="1821"/>
      <c r="CB3677" s="1821"/>
      <c r="CC3677" s="1821"/>
      <c r="CD3677" s="1821"/>
      <c r="CE3677" s="1821"/>
      <c r="CF3677" s="1821"/>
      <c r="CG3677" s="1821"/>
      <c r="CH3677" s="1821"/>
      <c r="CI3677" s="1821"/>
      <c r="CJ3677" s="1821"/>
      <c r="CK3677" s="1821"/>
    </row>
    <row r="3678" spans="1:89" s="675" customFormat="1" ht="16.5" customHeight="1" x14ac:dyDescent="0.25">
      <c r="A3678" s="697"/>
      <c r="B3678" s="1002" t="s">
        <v>350</v>
      </c>
      <c r="C3678" s="1007">
        <v>8</v>
      </c>
      <c r="D3678" s="1005" t="s">
        <v>51</v>
      </c>
      <c r="E3678" s="1006">
        <v>3262</v>
      </c>
      <c r="F3678" s="758"/>
      <c r="G3678" s="758"/>
      <c r="H3678" s="700"/>
      <c r="I3678" s="758"/>
      <c r="J3678" s="758">
        <f t="shared" si="400"/>
        <v>26096</v>
      </c>
      <c r="K3678" s="700">
        <f t="shared" si="396"/>
        <v>26096</v>
      </c>
      <c r="L3678" s="758"/>
      <c r="M3678" s="758"/>
      <c r="N3678" s="700"/>
      <c r="O3678" s="974">
        <f>C3678*E3678</f>
        <v>26096</v>
      </c>
      <c r="P3678" s="956"/>
      <c r="Q3678" s="1821"/>
      <c r="R3678" s="1821"/>
      <c r="S3678" s="1821"/>
      <c r="T3678" s="1821"/>
      <c r="U3678" s="1821"/>
      <c r="V3678" s="1821"/>
      <c r="W3678" s="1821"/>
      <c r="X3678" s="1821"/>
      <c r="Y3678" s="1821"/>
      <c r="Z3678" s="1821"/>
      <c r="AA3678" s="1821"/>
      <c r="AB3678" s="1821"/>
      <c r="AC3678" s="1821"/>
      <c r="AD3678" s="1821"/>
      <c r="AE3678" s="1821"/>
      <c r="AF3678" s="1821"/>
      <c r="AG3678" s="1821"/>
      <c r="AH3678" s="1821"/>
      <c r="AI3678" s="1821"/>
      <c r="AJ3678" s="1821"/>
      <c r="AK3678" s="1821"/>
      <c r="AL3678" s="1821"/>
      <c r="AM3678" s="1821"/>
      <c r="AN3678" s="1821"/>
      <c r="AO3678" s="1821"/>
      <c r="AP3678" s="1821"/>
      <c r="AQ3678" s="1821"/>
      <c r="AR3678" s="1821"/>
      <c r="AS3678" s="1821"/>
      <c r="AT3678" s="1821"/>
      <c r="AU3678" s="1821"/>
      <c r="AV3678" s="1821"/>
      <c r="AW3678" s="1821"/>
      <c r="AX3678" s="1821"/>
      <c r="AY3678" s="1821"/>
      <c r="AZ3678" s="1821"/>
      <c r="BA3678" s="1821"/>
      <c r="BB3678" s="1821"/>
      <c r="BC3678" s="1821"/>
      <c r="BD3678" s="1821"/>
      <c r="BE3678" s="1821"/>
      <c r="BF3678" s="1821"/>
      <c r="BG3678" s="1821"/>
      <c r="BH3678" s="1821"/>
      <c r="BI3678" s="1821"/>
      <c r="BJ3678" s="1821"/>
      <c r="BK3678" s="1821"/>
      <c r="BL3678" s="1821"/>
      <c r="BM3678" s="1821"/>
      <c r="BN3678" s="1821"/>
      <c r="BO3678" s="1821"/>
      <c r="BP3678" s="1821"/>
      <c r="BQ3678" s="1821"/>
      <c r="BR3678" s="1821"/>
      <c r="BS3678" s="1821"/>
      <c r="BT3678" s="1821"/>
      <c r="BU3678" s="1821"/>
      <c r="BV3678" s="1821"/>
      <c r="BW3678" s="1821"/>
      <c r="BX3678" s="1821"/>
      <c r="BY3678" s="1821"/>
      <c r="BZ3678" s="1821"/>
      <c r="CA3678" s="1821"/>
      <c r="CB3678" s="1821"/>
      <c r="CC3678" s="1821"/>
      <c r="CD3678" s="1821"/>
      <c r="CE3678" s="1821"/>
      <c r="CF3678" s="1821"/>
      <c r="CG3678" s="1821"/>
      <c r="CH3678" s="1821"/>
      <c r="CI3678" s="1821"/>
      <c r="CJ3678" s="1821"/>
      <c r="CK3678" s="1821"/>
    </row>
    <row r="3679" spans="1:89" s="675" customFormat="1" ht="16.5" customHeight="1" x14ac:dyDescent="0.25">
      <c r="A3679" s="697"/>
      <c r="B3679" s="1002" t="s">
        <v>54</v>
      </c>
      <c r="C3679" s="1007">
        <v>125</v>
      </c>
      <c r="D3679" s="1005" t="s">
        <v>55</v>
      </c>
      <c r="E3679" s="1006">
        <v>430</v>
      </c>
      <c r="F3679" s="758"/>
      <c r="G3679" s="758"/>
      <c r="H3679" s="700">
        <f t="shared" si="397"/>
        <v>0</v>
      </c>
      <c r="I3679" s="758"/>
      <c r="J3679" s="758">
        <f t="shared" si="400"/>
        <v>53750</v>
      </c>
      <c r="K3679" s="700">
        <f t="shared" si="396"/>
        <v>53750</v>
      </c>
      <c r="L3679" s="758"/>
      <c r="M3679" s="758"/>
      <c r="N3679" s="700">
        <f t="shared" si="398"/>
        <v>0</v>
      </c>
      <c r="O3679" s="974">
        <f>C3679*E3679</f>
        <v>53750</v>
      </c>
      <c r="P3679" s="956"/>
      <c r="Q3679" s="1821"/>
      <c r="R3679" s="1821"/>
      <c r="S3679" s="1821"/>
      <c r="T3679" s="1821"/>
      <c r="U3679" s="1821"/>
      <c r="V3679" s="1821"/>
      <c r="W3679" s="1821"/>
      <c r="X3679" s="1821"/>
      <c r="Y3679" s="1821"/>
      <c r="Z3679" s="1821"/>
      <c r="AA3679" s="1821"/>
      <c r="AB3679" s="1821"/>
      <c r="AC3679" s="1821"/>
      <c r="AD3679" s="1821"/>
      <c r="AE3679" s="1821"/>
      <c r="AF3679" s="1821"/>
      <c r="AG3679" s="1821"/>
      <c r="AH3679" s="1821"/>
      <c r="AI3679" s="1821"/>
      <c r="AJ3679" s="1821"/>
      <c r="AK3679" s="1821"/>
      <c r="AL3679" s="1821"/>
      <c r="AM3679" s="1821"/>
      <c r="AN3679" s="1821"/>
      <c r="AO3679" s="1821"/>
      <c r="AP3679" s="1821"/>
      <c r="AQ3679" s="1821"/>
      <c r="AR3679" s="1821"/>
      <c r="AS3679" s="1821"/>
      <c r="AT3679" s="1821"/>
      <c r="AU3679" s="1821"/>
      <c r="AV3679" s="1821"/>
      <c r="AW3679" s="1821"/>
      <c r="AX3679" s="1821"/>
      <c r="AY3679" s="1821"/>
      <c r="AZ3679" s="1821"/>
      <c r="BA3679" s="1821"/>
      <c r="BB3679" s="1821"/>
      <c r="BC3679" s="1821"/>
      <c r="BD3679" s="1821"/>
      <c r="BE3679" s="1821"/>
      <c r="BF3679" s="1821"/>
      <c r="BG3679" s="1821"/>
      <c r="BH3679" s="1821"/>
      <c r="BI3679" s="1821"/>
      <c r="BJ3679" s="1821"/>
      <c r="BK3679" s="1821"/>
      <c r="BL3679" s="1821"/>
      <c r="BM3679" s="1821"/>
      <c r="BN3679" s="1821"/>
      <c r="BO3679" s="1821"/>
      <c r="BP3679" s="1821"/>
      <c r="BQ3679" s="1821"/>
      <c r="BR3679" s="1821"/>
      <c r="BS3679" s="1821"/>
      <c r="BT3679" s="1821"/>
      <c r="BU3679" s="1821"/>
      <c r="BV3679" s="1821"/>
      <c r="BW3679" s="1821"/>
      <c r="BX3679" s="1821"/>
      <c r="BY3679" s="1821"/>
      <c r="BZ3679" s="1821"/>
      <c r="CA3679" s="1821"/>
      <c r="CB3679" s="1821"/>
      <c r="CC3679" s="1821"/>
      <c r="CD3679" s="1821"/>
      <c r="CE3679" s="1821"/>
      <c r="CF3679" s="1821"/>
      <c r="CG3679" s="1821"/>
      <c r="CH3679" s="1821"/>
      <c r="CI3679" s="1821"/>
      <c r="CJ3679" s="1821"/>
      <c r="CK3679" s="1821"/>
    </row>
    <row r="3680" spans="1:89" s="675" customFormat="1" ht="16.5" customHeight="1" x14ac:dyDescent="0.25">
      <c r="A3680" s="697"/>
      <c r="B3680" s="1002" t="s">
        <v>52</v>
      </c>
      <c r="C3680" s="1007">
        <v>96</v>
      </c>
      <c r="D3680" s="1005" t="s">
        <v>55</v>
      </c>
      <c r="E3680" s="1006">
        <v>460</v>
      </c>
      <c r="F3680" s="758"/>
      <c r="G3680" s="758"/>
      <c r="H3680" s="700">
        <f t="shared" si="397"/>
        <v>0</v>
      </c>
      <c r="I3680" s="758"/>
      <c r="J3680" s="758">
        <f t="shared" si="400"/>
        <v>44160</v>
      </c>
      <c r="K3680" s="700">
        <f t="shared" si="396"/>
        <v>44160</v>
      </c>
      <c r="L3680" s="700"/>
      <c r="M3680" s="758"/>
      <c r="N3680" s="700">
        <f t="shared" si="398"/>
        <v>0</v>
      </c>
      <c r="O3680" s="974">
        <f>C3680*E3680</f>
        <v>44160</v>
      </c>
      <c r="P3680" s="956"/>
      <c r="Q3680" s="1821"/>
      <c r="R3680" s="1821"/>
      <c r="S3680" s="1821"/>
      <c r="T3680" s="1821"/>
      <c r="U3680" s="1821"/>
      <c r="V3680" s="1821"/>
      <c r="W3680" s="1821"/>
      <c r="X3680" s="1821"/>
      <c r="Y3680" s="1821"/>
      <c r="Z3680" s="1821"/>
      <c r="AA3680" s="1821"/>
      <c r="AB3680" s="1821"/>
      <c r="AC3680" s="1821"/>
      <c r="AD3680" s="1821"/>
      <c r="AE3680" s="1821"/>
      <c r="AF3680" s="1821"/>
      <c r="AG3680" s="1821"/>
      <c r="AH3680" s="1821"/>
      <c r="AI3680" s="1821"/>
      <c r="AJ3680" s="1821"/>
      <c r="AK3680" s="1821"/>
      <c r="AL3680" s="1821"/>
      <c r="AM3680" s="1821"/>
      <c r="AN3680" s="1821"/>
      <c r="AO3680" s="1821"/>
      <c r="AP3680" s="1821"/>
      <c r="AQ3680" s="1821"/>
      <c r="AR3680" s="1821"/>
      <c r="AS3680" s="1821"/>
      <c r="AT3680" s="1821"/>
      <c r="AU3680" s="1821"/>
      <c r="AV3680" s="1821"/>
      <c r="AW3680" s="1821"/>
      <c r="AX3680" s="1821"/>
      <c r="AY3680" s="1821"/>
      <c r="AZ3680" s="1821"/>
      <c r="BA3680" s="1821"/>
      <c r="BB3680" s="1821"/>
      <c r="BC3680" s="1821"/>
      <c r="BD3680" s="1821"/>
      <c r="BE3680" s="1821"/>
      <c r="BF3680" s="1821"/>
      <c r="BG3680" s="1821"/>
      <c r="BH3680" s="1821"/>
      <c r="BI3680" s="1821"/>
      <c r="BJ3680" s="1821"/>
      <c r="BK3680" s="1821"/>
      <c r="BL3680" s="1821"/>
      <c r="BM3680" s="1821"/>
      <c r="BN3680" s="1821"/>
      <c r="BO3680" s="1821"/>
      <c r="BP3680" s="1821"/>
      <c r="BQ3680" s="1821"/>
      <c r="BR3680" s="1821"/>
      <c r="BS3680" s="1821"/>
      <c r="BT3680" s="1821"/>
      <c r="BU3680" s="1821"/>
      <c r="BV3680" s="1821"/>
      <c r="BW3680" s="1821"/>
      <c r="BX3680" s="1821"/>
      <c r="BY3680" s="1821"/>
      <c r="BZ3680" s="1821"/>
      <c r="CA3680" s="1821"/>
      <c r="CB3680" s="1821"/>
      <c r="CC3680" s="1821"/>
      <c r="CD3680" s="1821"/>
      <c r="CE3680" s="1821"/>
      <c r="CF3680" s="1821"/>
      <c r="CG3680" s="1821"/>
      <c r="CH3680" s="1821"/>
      <c r="CI3680" s="1821"/>
      <c r="CJ3680" s="1821"/>
      <c r="CK3680" s="1821"/>
    </row>
    <row r="3681" spans="1:89" s="675" customFormat="1" ht="16.5" customHeight="1" x14ac:dyDescent="0.25">
      <c r="A3681" s="697"/>
      <c r="B3681" s="1002"/>
      <c r="C3681" s="1007"/>
      <c r="D3681" s="1005"/>
      <c r="E3681" s="1006"/>
      <c r="F3681" s="758"/>
      <c r="G3681" s="758"/>
      <c r="H3681" s="700">
        <f t="shared" si="397"/>
        <v>0</v>
      </c>
      <c r="I3681" s="758"/>
      <c r="J3681" s="758"/>
      <c r="K3681" s="700">
        <f t="shared" si="396"/>
        <v>0</v>
      </c>
      <c r="L3681" s="700"/>
      <c r="M3681" s="758"/>
      <c r="N3681" s="700">
        <f t="shared" si="398"/>
        <v>0</v>
      </c>
      <c r="O3681" s="974"/>
      <c r="P3681" s="956"/>
      <c r="Q3681" s="1821"/>
      <c r="R3681" s="1821"/>
      <c r="S3681" s="1821"/>
      <c r="T3681" s="1821"/>
      <c r="U3681" s="1821"/>
      <c r="V3681" s="1821"/>
      <c r="W3681" s="1821"/>
      <c r="X3681" s="1821"/>
      <c r="Y3681" s="1821"/>
      <c r="Z3681" s="1821"/>
      <c r="AA3681" s="1821"/>
      <c r="AB3681" s="1821"/>
      <c r="AC3681" s="1821"/>
      <c r="AD3681" s="1821"/>
      <c r="AE3681" s="1821"/>
      <c r="AF3681" s="1821"/>
      <c r="AG3681" s="1821"/>
      <c r="AH3681" s="1821"/>
      <c r="AI3681" s="1821"/>
      <c r="AJ3681" s="1821"/>
      <c r="AK3681" s="1821"/>
      <c r="AL3681" s="1821"/>
      <c r="AM3681" s="1821"/>
      <c r="AN3681" s="1821"/>
      <c r="AO3681" s="1821"/>
      <c r="AP3681" s="1821"/>
      <c r="AQ3681" s="1821"/>
      <c r="AR3681" s="1821"/>
      <c r="AS3681" s="1821"/>
      <c r="AT3681" s="1821"/>
      <c r="AU3681" s="1821"/>
      <c r="AV3681" s="1821"/>
      <c r="AW3681" s="1821"/>
      <c r="AX3681" s="1821"/>
      <c r="AY3681" s="1821"/>
      <c r="AZ3681" s="1821"/>
      <c r="BA3681" s="1821"/>
      <c r="BB3681" s="1821"/>
      <c r="BC3681" s="1821"/>
      <c r="BD3681" s="1821"/>
      <c r="BE3681" s="1821"/>
      <c r="BF3681" s="1821"/>
      <c r="BG3681" s="1821"/>
      <c r="BH3681" s="1821"/>
      <c r="BI3681" s="1821"/>
      <c r="BJ3681" s="1821"/>
      <c r="BK3681" s="1821"/>
      <c r="BL3681" s="1821"/>
      <c r="BM3681" s="1821"/>
      <c r="BN3681" s="1821"/>
      <c r="BO3681" s="1821"/>
      <c r="BP3681" s="1821"/>
      <c r="BQ3681" s="1821"/>
      <c r="BR3681" s="1821"/>
      <c r="BS3681" s="1821"/>
      <c r="BT3681" s="1821"/>
      <c r="BU3681" s="1821"/>
      <c r="BV3681" s="1821"/>
      <c r="BW3681" s="1821"/>
      <c r="BX3681" s="1821"/>
      <c r="BY3681" s="1821"/>
      <c r="BZ3681" s="1821"/>
      <c r="CA3681" s="1821"/>
      <c r="CB3681" s="1821"/>
      <c r="CC3681" s="1821"/>
      <c r="CD3681" s="1821"/>
      <c r="CE3681" s="1821"/>
      <c r="CF3681" s="1821"/>
      <c r="CG3681" s="1821"/>
      <c r="CH3681" s="1821"/>
      <c r="CI3681" s="1821"/>
      <c r="CJ3681" s="1821"/>
      <c r="CK3681" s="1821"/>
    </row>
    <row r="3682" spans="1:89" s="675" customFormat="1" ht="16.5" customHeight="1" x14ac:dyDescent="0.25">
      <c r="A3682" s="697">
        <v>16</v>
      </c>
      <c r="B3682" s="1002" t="s">
        <v>391</v>
      </c>
      <c r="C3682" s="1007">
        <f>SUM(O3684:O3689)</f>
        <v>295154</v>
      </c>
      <c r="D3682" s="1005"/>
      <c r="E3682" s="1006"/>
      <c r="F3682" s="758"/>
      <c r="G3682" s="758"/>
      <c r="H3682" s="700">
        <f t="shared" si="397"/>
        <v>0</v>
      </c>
      <c r="I3682" s="758"/>
      <c r="J3682" s="758">
        <f t="shared" ref="J3682:J3689" si="401">C3682*E3682</f>
        <v>0</v>
      </c>
      <c r="K3682" s="700">
        <f t="shared" si="396"/>
        <v>0</v>
      </c>
      <c r="L3682" s="700"/>
      <c r="M3682" s="758"/>
      <c r="N3682" s="700">
        <f t="shared" si="398"/>
        <v>0</v>
      </c>
      <c r="O3682" s="974"/>
      <c r="P3682" s="956"/>
      <c r="Q3682" s="1821"/>
      <c r="R3682" s="1821"/>
      <c r="S3682" s="1821"/>
      <c r="T3682" s="1821"/>
      <c r="U3682" s="1821"/>
      <c r="V3682" s="1821"/>
      <c r="W3682" s="1821"/>
      <c r="X3682" s="1821"/>
      <c r="Y3682" s="1821"/>
      <c r="Z3682" s="1821"/>
      <c r="AA3682" s="1821"/>
      <c r="AB3682" s="1821"/>
      <c r="AC3682" s="1821"/>
      <c r="AD3682" s="1821"/>
      <c r="AE3682" s="1821"/>
      <c r="AF3682" s="1821"/>
      <c r="AG3682" s="1821"/>
      <c r="AH3682" s="1821"/>
      <c r="AI3682" s="1821"/>
      <c r="AJ3682" s="1821"/>
      <c r="AK3682" s="1821"/>
      <c r="AL3682" s="1821"/>
      <c r="AM3682" s="1821"/>
      <c r="AN3682" s="1821"/>
      <c r="AO3682" s="1821"/>
      <c r="AP3682" s="1821"/>
      <c r="AQ3682" s="1821"/>
      <c r="AR3682" s="1821"/>
      <c r="AS3682" s="1821"/>
      <c r="AT3682" s="1821"/>
      <c r="AU3682" s="1821"/>
      <c r="AV3682" s="1821"/>
      <c r="AW3682" s="1821"/>
      <c r="AX3682" s="1821"/>
      <c r="AY3682" s="1821"/>
      <c r="AZ3682" s="1821"/>
      <c r="BA3682" s="1821"/>
      <c r="BB3682" s="1821"/>
      <c r="BC3682" s="1821"/>
      <c r="BD3682" s="1821"/>
      <c r="BE3682" s="1821"/>
      <c r="BF3682" s="1821"/>
      <c r="BG3682" s="1821"/>
      <c r="BH3682" s="1821"/>
      <c r="BI3682" s="1821"/>
      <c r="BJ3682" s="1821"/>
      <c r="BK3682" s="1821"/>
      <c r="BL3682" s="1821"/>
      <c r="BM3682" s="1821"/>
      <c r="BN3682" s="1821"/>
      <c r="BO3682" s="1821"/>
      <c r="BP3682" s="1821"/>
      <c r="BQ3682" s="1821"/>
      <c r="BR3682" s="1821"/>
      <c r="BS3682" s="1821"/>
      <c r="BT3682" s="1821"/>
      <c r="BU3682" s="1821"/>
      <c r="BV3682" s="1821"/>
      <c r="BW3682" s="1821"/>
      <c r="BX3682" s="1821"/>
      <c r="BY3682" s="1821"/>
      <c r="BZ3682" s="1821"/>
      <c r="CA3682" s="1821"/>
      <c r="CB3682" s="1821"/>
      <c r="CC3682" s="1821"/>
      <c r="CD3682" s="1821"/>
      <c r="CE3682" s="1821"/>
      <c r="CF3682" s="1821"/>
      <c r="CG3682" s="1821"/>
      <c r="CH3682" s="1821"/>
      <c r="CI3682" s="1821"/>
      <c r="CJ3682" s="1821"/>
      <c r="CK3682" s="1821"/>
    </row>
    <row r="3683" spans="1:89" s="675" customFormat="1" ht="16.5" customHeight="1" x14ac:dyDescent="0.25">
      <c r="A3683" s="697"/>
      <c r="B3683" s="1002" t="s">
        <v>21</v>
      </c>
      <c r="C3683" s="1007"/>
      <c r="D3683" s="1005"/>
      <c r="E3683" s="1006"/>
      <c r="F3683" s="758"/>
      <c r="G3683" s="758"/>
      <c r="H3683" s="700">
        <f t="shared" si="397"/>
        <v>0</v>
      </c>
      <c r="I3683" s="758"/>
      <c r="J3683" s="758">
        <f t="shared" si="401"/>
        <v>0</v>
      </c>
      <c r="K3683" s="700">
        <f t="shared" si="396"/>
        <v>0</v>
      </c>
      <c r="L3683" s="700"/>
      <c r="M3683" s="758"/>
      <c r="N3683" s="700">
        <f t="shared" si="398"/>
        <v>0</v>
      </c>
      <c r="O3683" s="974"/>
      <c r="P3683" s="956"/>
      <c r="Q3683" s="1821"/>
      <c r="R3683" s="1821"/>
      <c r="S3683" s="1821"/>
      <c r="T3683" s="1821"/>
      <c r="U3683" s="1821"/>
      <c r="V3683" s="1821"/>
      <c r="W3683" s="1821"/>
      <c r="X3683" s="1821"/>
      <c r="Y3683" s="1821"/>
      <c r="Z3683" s="1821"/>
      <c r="AA3683" s="1821"/>
      <c r="AB3683" s="1821"/>
      <c r="AC3683" s="1821"/>
      <c r="AD3683" s="1821"/>
      <c r="AE3683" s="1821"/>
      <c r="AF3683" s="1821"/>
      <c r="AG3683" s="1821"/>
      <c r="AH3683" s="1821"/>
      <c r="AI3683" s="1821"/>
      <c r="AJ3683" s="1821"/>
      <c r="AK3683" s="1821"/>
      <c r="AL3683" s="1821"/>
      <c r="AM3683" s="1821"/>
      <c r="AN3683" s="1821"/>
      <c r="AO3683" s="1821"/>
      <c r="AP3683" s="1821"/>
      <c r="AQ3683" s="1821"/>
      <c r="AR3683" s="1821"/>
      <c r="AS3683" s="1821"/>
      <c r="AT3683" s="1821"/>
      <c r="AU3683" s="1821"/>
      <c r="AV3683" s="1821"/>
      <c r="AW3683" s="1821"/>
      <c r="AX3683" s="1821"/>
      <c r="AY3683" s="1821"/>
      <c r="AZ3683" s="1821"/>
      <c r="BA3683" s="1821"/>
      <c r="BB3683" s="1821"/>
      <c r="BC3683" s="1821"/>
      <c r="BD3683" s="1821"/>
      <c r="BE3683" s="1821"/>
      <c r="BF3683" s="1821"/>
      <c r="BG3683" s="1821"/>
      <c r="BH3683" s="1821"/>
      <c r="BI3683" s="1821"/>
      <c r="BJ3683" s="1821"/>
      <c r="BK3683" s="1821"/>
      <c r="BL3683" s="1821"/>
      <c r="BM3683" s="1821"/>
      <c r="BN3683" s="1821"/>
      <c r="BO3683" s="1821"/>
      <c r="BP3683" s="1821"/>
      <c r="BQ3683" s="1821"/>
      <c r="BR3683" s="1821"/>
      <c r="BS3683" s="1821"/>
      <c r="BT3683" s="1821"/>
      <c r="BU3683" s="1821"/>
      <c r="BV3683" s="1821"/>
      <c r="BW3683" s="1821"/>
      <c r="BX3683" s="1821"/>
      <c r="BY3683" s="1821"/>
      <c r="BZ3683" s="1821"/>
      <c r="CA3683" s="1821"/>
      <c r="CB3683" s="1821"/>
      <c r="CC3683" s="1821"/>
      <c r="CD3683" s="1821"/>
      <c r="CE3683" s="1821"/>
      <c r="CF3683" s="1821"/>
      <c r="CG3683" s="1821"/>
      <c r="CH3683" s="1821"/>
      <c r="CI3683" s="1821"/>
      <c r="CJ3683" s="1821"/>
      <c r="CK3683" s="1821"/>
    </row>
    <row r="3684" spans="1:89" s="675" customFormat="1" ht="16.5" customHeight="1" x14ac:dyDescent="0.25">
      <c r="A3684" s="697"/>
      <c r="B3684" s="1002" t="s">
        <v>365</v>
      </c>
      <c r="C3684" s="1007">
        <v>1</v>
      </c>
      <c r="D3684" s="1005" t="s">
        <v>353</v>
      </c>
      <c r="E3684" s="1006">
        <v>27950</v>
      </c>
      <c r="F3684" s="758"/>
      <c r="G3684" s="758"/>
      <c r="H3684" s="700"/>
      <c r="I3684" s="758"/>
      <c r="J3684" s="758">
        <f t="shared" si="401"/>
        <v>27950</v>
      </c>
      <c r="K3684" s="700">
        <f t="shared" si="396"/>
        <v>27950</v>
      </c>
      <c r="L3684" s="758"/>
      <c r="M3684" s="758"/>
      <c r="N3684" s="700"/>
      <c r="O3684" s="974">
        <f>N3684+K3684+H3684</f>
        <v>27950</v>
      </c>
      <c r="P3684" s="956"/>
      <c r="Q3684" s="1821"/>
      <c r="R3684" s="1821"/>
      <c r="S3684" s="1821"/>
      <c r="T3684" s="1821"/>
      <c r="U3684" s="1821"/>
      <c r="V3684" s="1821"/>
      <c r="W3684" s="1821"/>
      <c r="X3684" s="1821"/>
      <c r="Y3684" s="1821"/>
      <c r="Z3684" s="1821"/>
      <c r="AA3684" s="1821"/>
      <c r="AB3684" s="1821"/>
      <c r="AC3684" s="1821"/>
      <c r="AD3684" s="1821"/>
      <c r="AE3684" s="1821"/>
      <c r="AF3684" s="1821"/>
      <c r="AG3684" s="1821"/>
      <c r="AH3684" s="1821"/>
      <c r="AI3684" s="1821"/>
      <c r="AJ3684" s="1821"/>
      <c r="AK3684" s="1821"/>
      <c r="AL3684" s="1821"/>
      <c r="AM3684" s="1821"/>
      <c r="AN3684" s="1821"/>
      <c r="AO3684" s="1821"/>
      <c r="AP3684" s="1821"/>
      <c r="AQ3684" s="1821"/>
      <c r="AR3684" s="1821"/>
      <c r="AS3684" s="1821"/>
      <c r="AT3684" s="1821"/>
      <c r="AU3684" s="1821"/>
      <c r="AV3684" s="1821"/>
      <c r="AW3684" s="1821"/>
      <c r="AX3684" s="1821"/>
      <c r="AY3684" s="1821"/>
      <c r="AZ3684" s="1821"/>
      <c r="BA3684" s="1821"/>
      <c r="BB3684" s="1821"/>
      <c r="BC3684" s="1821"/>
      <c r="BD3684" s="1821"/>
      <c r="BE3684" s="1821"/>
      <c r="BF3684" s="1821"/>
      <c r="BG3684" s="1821"/>
      <c r="BH3684" s="1821"/>
      <c r="BI3684" s="1821"/>
      <c r="BJ3684" s="1821"/>
      <c r="BK3684" s="1821"/>
      <c r="BL3684" s="1821"/>
      <c r="BM3684" s="1821"/>
      <c r="BN3684" s="1821"/>
      <c r="BO3684" s="1821"/>
      <c r="BP3684" s="1821"/>
      <c r="BQ3684" s="1821"/>
      <c r="BR3684" s="1821"/>
      <c r="BS3684" s="1821"/>
      <c r="BT3684" s="1821"/>
      <c r="BU3684" s="1821"/>
      <c r="BV3684" s="1821"/>
      <c r="BW3684" s="1821"/>
      <c r="BX3684" s="1821"/>
      <c r="BY3684" s="1821"/>
      <c r="BZ3684" s="1821"/>
      <c r="CA3684" s="1821"/>
      <c r="CB3684" s="1821"/>
      <c r="CC3684" s="1821"/>
      <c r="CD3684" s="1821"/>
      <c r="CE3684" s="1821"/>
      <c r="CF3684" s="1821"/>
      <c r="CG3684" s="1821"/>
      <c r="CH3684" s="1821"/>
      <c r="CI3684" s="1821"/>
      <c r="CJ3684" s="1821"/>
      <c r="CK3684" s="1821"/>
    </row>
    <row r="3685" spans="1:89" s="675" customFormat="1" ht="16.5" customHeight="1" x14ac:dyDescent="0.25">
      <c r="A3685" s="697"/>
      <c r="B3685" s="1002"/>
      <c r="C3685" s="1004"/>
      <c r="D3685" s="1005"/>
      <c r="E3685" s="1006"/>
      <c r="F3685" s="758"/>
      <c r="G3685" s="758"/>
      <c r="H3685" s="700"/>
      <c r="I3685" s="758"/>
      <c r="J3685" s="758"/>
      <c r="K3685" s="700"/>
      <c r="L3685" s="758"/>
      <c r="M3685" s="758"/>
      <c r="N3685" s="700"/>
      <c r="O3685" s="974"/>
      <c r="P3685" s="956"/>
      <c r="Q3685" s="1821"/>
      <c r="R3685" s="1821"/>
      <c r="S3685" s="1821"/>
      <c r="T3685" s="1821"/>
      <c r="U3685" s="1821"/>
      <c r="V3685" s="1821"/>
      <c r="W3685" s="1821"/>
      <c r="X3685" s="1821"/>
      <c r="Y3685" s="1821"/>
      <c r="Z3685" s="1821"/>
      <c r="AA3685" s="1821"/>
      <c r="AB3685" s="1821"/>
      <c r="AC3685" s="1821"/>
      <c r="AD3685" s="1821"/>
      <c r="AE3685" s="1821"/>
      <c r="AF3685" s="1821"/>
      <c r="AG3685" s="1821"/>
      <c r="AH3685" s="1821"/>
      <c r="AI3685" s="1821"/>
      <c r="AJ3685" s="1821"/>
      <c r="AK3685" s="1821"/>
      <c r="AL3685" s="1821"/>
      <c r="AM3685" s="1821"/>
      <c r="AN3685" s="1821"/>
      <c r="AO3685" s="1821"/>
      <c r="AP3685" s="1821"/>
      <c r="AQ3685" s="1821"/>
      <c r="AR3685" s="1821"/>
      <c r="AS3685" s="1821"/>
      <c r="AT3685" s="1821"/>
      <c r="AU3685" s="1821"/>
      <c r="AV3685" s="1821"/>
      <c r="AW3685" s="1821"/>
      <c r="AX3685" s="1821"/>
      <c r="AY3685" s="1821"/>
      <c r="AZ3685" s="1821"/>
      <c r="BA3685" s="1821"/>
      <c r="BB3685" s="1821"/>
      <c r="BC3685" s="1821"/>
      <c r="BD3685" s="1821"/>
      <c r="BE3685" s="1821"/>
      <c r="BF3685" s="1821"/>
      <c r="BG3685" s="1821"/>
      <c r="BH3685" s="1821"/>
      <c r="BI3685" s="1821"/>
      <c r="BJ3685" s="1821"/>
      <c r="BK3685" s="1821"/>
      <c r="BL3685" s="1821"/>
      <c r="BM3685" s="1821"/>
      <c r="BN3685" s="1821"/>
      <c r="BO3685" s="1821"/>
      <c r="BP3685" s="1821"/>
      <c r="BQ3685" s="1821"/>
      <c r="BR3685" s="1821"/>
      <c r="BS3685" s="1821"/>
      <c r="BT3685" s="1821"/>
      <c r="BU3685" s="1821"/>
      <c r="BV3685" s="1821"/>
      <c r="BW3685" s="1821"/>
      <c r="BX3685" s="1821"/>
      <c r="BY3685" s="1821"/>
      <c r="BZ3685" s="1821"/>
      <c r="CA3685" s="1821"/>
      <c r="CB3685" s="1821"/>
      <c r="CC3685" s="1821"/>
      <c r="CD3685" s="1821"/>
      <c r="CE3685" s="1821"/>
      <c r="CF3685" s="1821"/>
      <c r="CG3685" s="1821"/>
      <c r="CH3685" s="1821"/>
      <c r="CI3685" s="1821"/>
      <c r="CJ3685" s="1821"/>
      <c r="CK3685" s="1821"/>
    </row>
    <row r="3686" spans="1:89" s="675" customFormat="1" ht="16.5" customHeight="1" x14ac:dyDescent="0.25">
      <c r="A3686" s="697"/>
      <c r="B3686" s="1008" t="s">
        <v>349</v>
      </c>
      <c r="C3686" s="1007"/>
      <c r="D3686" s="1005"/>
      <c r="E3686" s="1006"/>
      <c r="F3686" s="758"/>
      <c r="G3686" s="758"/>
      <c r="H3686" s="700">
        <f t="shared" ref="H3686:H3692" si="402">G3686+F3686</f>
        <v>0</v>
      </c>
      <c r="I3686" s="758"/>
      <c r="J3686" s="758">
        <f t="shared" si="401"/>
        <v>0</v>
      </c>
      <c r="K3686" s="700">
        <f t="shared" ref="K3686:K3708" si="403">J3686+I3686</f>
        <v>0</v>
      </c>
      <c r="L3686" s="758"/>
      <c r="M3686" s="758"/>
      <c r="N3686" s="700">
        <f t="shared" ref="N3686:N3692" si="404">M3686+L3686</f>
        <v>0</v>
      </c>
      <c r="O3686" s="974"/>
      <c r="P3686" s="956"/>
      <c r="Q3686" s="1821"/>
      <c r="R3686" s="1821"/>
      <c r="S3686" s="1821"/>
      <c r="T3686" s="1821"/>
      <c r="U3686" s="1821"/>
      <c r="V3686" s="1821"/>
      <c r="W3686" s="1821"/>
      <c r="X3686" s="1821"/>
      <c r="Y3686" s="1821"/>
      <c r="Z3686" s="1821"/>
      <c r="AA3686" s="1821"/>
      <c r="AB3686" s="1821"/>
      <c r="AC3686" s="1821"/>
      <c r="AD3686" s="1821"/>
      <c r="AE3686" s="1821"/>
      <c r="AF3686" s="1821"/>
      <c r="AG3686" s="1821"/>
      <c r="AH3686" s="1821"/>
      <c r="AI3686" s="1821"/>
      <c r="AJ3686" s="1821"/>
      <c r="AK3686" s="1821"/>
      <c r="AL3686" s="1821"/>
      <c r="AM3686" s="1821"/>
      <c r="AN3686" s="1821"/>
      <c r="AO3686" s="1821"/>
      <c r="AP3686" s="1821"/>
      <c r="AQ3686" s="1821"/>
      <c r="AR3686" s="1821"/>
      <c r="AS3686" s="1821"/>
      <c r="AT3686" s="1821"/>
      <c r="AU3686" s="1821"/>
      <c r="AV3686" s="1821"/>
      <c r="AW3686" s="1821"/>
      <c r="AX3686" s="1821"/>
      <c r="AY3686" s="1821"/>
      <c r="AZ3686" s="1821"/>
      <c r="BA3686" s="1821"/>
      <c r="BB3686" s="1821"/>
      <c r="BC3686" s="1821"/>
      <c r="BD3686" s="1821"/>
      <c r="BE3686" s="1821"/>
      <c r="BF3686" s="1821"/>
      <c r="BG3686" s="1821"/>
      <c r="BH3686" s="1821"/>
      <c r="BI3686" s="1821"/>
      <c r="BJ3686" s="1821"/>
      <c r="BK3686" s="1821"/>
      <c r="BL3686" s="1821"/>
      <c r="BM3686" s="1821"/>
      <c r="BN3686" s="1821"/>
      <c r="BO3686" s="1821"/>
      <c r="BP3686" s="1821"/>
      <c r="BQ3686" s="1821"/>
      <c r="BR3686" s="1821"/>
      <c r="BS3686" s="1821"/>
      <c r="BT3686" s="1821"/>
      <c r="BU3686" s="1821"/>
      <c r="BV3686" s="1821"/>
      <c r="BW3686" s="1821"/>
      <c r="BX3686" s="1821"/>
      <c r="BY3686" s="1821"/>
      <c r="BZ3686" s="1821"/>
      <c r="CA3686" s="1821"/>
      <c r="CB3686" s="1821"/>
      <c r="CC3686" s="1821"/>
      <c r="CD3686" s="1821"/>
      <c r="CE3686" s="1821"/>
      <c r="CF3686" s="1821"/>
      <c r="CG3686" s="1821"/>
      <c r="CH3686" s="1821"/>
      <c r="CI3686" s="1821"/>
      <c r="CJ3686" s="1821"/>
      <c r="CK3686" s="1821"/>
    </row>
    <row r="3687" spans="1:89" s="675" customFormat="1" ht="16.5" customHeight="1" x14ac:dyDescent="0.25">
      <c r="A3687" s="697"/>
      <c r="B3687" s="1008" t="s">
        <v>350</v>
      </c>
      <c r="C3687" s="1007">
        <v>42</v>
      </c>
      <c r="D3687" s="1005" t="s">
        <v>51</v>
      </c>
      <c r="E3687" s="1006">
        <v>3262</v>
      </c>
      <c r="F3687" s="758"/>
      <c r="G3687" s="758"/>
      <c r="H3687" s="700">
        <f>G3687+F3687</f>
        <v>0</v>
      </c>
      <c r="I3687" s="758"/>
      <c r="J3687" s="758">
        <f t="shared" si="401"/>
        <v>137004</v>
      </c>
      <c r="K3687" s="700">
        <f>J3687+I3687</f>
        <v>137004</v>
      </c>
      <c r="L3687" s="758"/>
      <c r="M3687" s="758"/>
      <c r="N3687" s="700">
        <f>M3687+L3687</f>
        <v>0</v>
      </c>
      <c r="O3687" s="974">
        <f>C3687*E3687</f>
        <v>137004</v>
      </c>
      <c r="P3687" s="956"/>
      <c r="Q3687" s="1821"/>
      <c r="R3687" s="1821"/>
      <c r="S3687" s="1821"/>
      <c r="T3687" s="1821"/>
      <c r="U3687" s="1821"/>
      <c r="V3687" s="1821"/>
      <c r="W3687" s="1821"/>
      <c r="X3687" s="1821"/>
      <c r="Y3687" s="1821"/>
      <c r="Z3687" s="1821"/>
      <c r="AA3687" s="1821"/>
      <c r="AB3687" s="1821"/>
      <c r="AC3687" s="1821"/>
      <c r="AD3687" s="1821"/>
      <c r="AE3687" s="1821"/>
      <c r="AF3687" s="1821"/>
      <c r="AG3687" s="1821"/>
      <c r="AH3687" s="1821"/>
      <c r="AI3687" s="1821"/>
      <c r="AJ3687" s="1821"/>
      <c r="AK3687" s="1821"/>
      <c r="AL3687" s="1821"/>
      <c r="AM3687" s="1821"/>
      <c r="AN3687" s="1821"/>
      <c r="AO3687" s="1821"/>
      <c r="AP3687" s="1821"/>
      <c r="AQ3687" s="1821"/>
      <c r="AR3687" s="1821"/>
      <c r="AS3687" s="1821"/>
      <c r="AT3687" s="1821"/>
      <c r="AU3687" s="1821"/>
      <c r="AV3687" s="1821"/>
      <c r="AW3687" s="1821"/>
      <c r="AX3687" s="1821"/>
      <c r="AY3687" s="1821"/>
      <c r="AZ3687" s="1821"/>
      <c r="BA3687" s="1821"/>
      <c r="BB3687" s="1821"/>
      <c r="BC3687" s="1821"/>
      <c r="BD3687" s="1821"/>
      <c r="BE3687" s="1821"/>
      <c r="BF3687" s="1821"/>
      <c r="BG3687" s="1821"/>
      <c r="BH3687" s="1821"/>
      <c r="BI3687" s="1821"/>
      <c r="BJ3687" s="1821"/>
      <c r="BK3687" s="1821"/>
      <c r="BL3687" s="1821"/>
      <c r="BM3687" s="1821"/>
      <c r="BN3687" s="1821"/>
      <c r="BO3687" s="1821"/>
      <c r="BP3687" s="1821"/>
      <c r="BQ3687" s="1821"/>
      <c r="BR3687" s="1821"/>
      <c r="BS3687" s="1821"/>
      <c r="BT3687" s="1821"/>
      <c r="BU3687" s="1821"/>
      <c r="BV3687" s="1821"/>
      <c r="BW3687" s="1821"/>
      <c r="BX3687" s="1821"/>
      <c r="BY3687" s="1821"/>
      <c r="BZ3687" s="1821"/>
      <c r="CA3687" s="1821"/>
      <c r="CB3687" s="1821"/>
      <c r="CC3687" s="1821"/>
      <c r="CD3687" s="1821"/>
      <c r="CE3687" s="1821"/>
      <c r="CF3687" s="1821"/>
      <c r="CG3687" s="1821"/>
      <c r="CH3687" s="1821"/>
      <c r="CI3687" s="1821"/>
      <c r="CJ3687" s="1821"/>
      <c r="CK3687" s="1821"/>
    </row>
    <row r="3688" spans="1:89" s="675" customFormat="1" ht="16.5" customHeight="1" x14ac:dyDescent="0.25">
      <c r="A3688" s="697"/>
      <c r="B3688" s="1002" t="s">
        <v>54</v>
      </c>
      <c r="C3688" s="1004">
        <v>168</v>
      </c>
      <c r="D3688" s="1005" t="s">
        <v>55</v>
      </c>
      <c r="E3688" s="1006">
        <v>430</v>
      </c>
      <c r="F3688" s="758"/>
      <c r="G3688" s="758"/>
      <c r="H3688" s="700">
        <f>G3688+F3688</f>
        <v>0</v>
      </c>
      <c r="I3688" s="758"/>
      <c r="J3688" s="758">
        <f t="shared" si="401"/>
        <v>72240</v>
      </c>
      <c r="K3688" s="700">
        <f>J3688+I3688</f>
        <v>72240</v>
      </c>
      <c r="L3688" s="758"/>
      <c r="M3688" s="758"/>
      <c r="N3688" s="700">
        <f>M3688+L3688</f>
        <v>0</v>
      </c>
      <c r="O3688" s="974">
        <f>C3688*E3688</f>
        <v>72240</v>
      </c>
      <c r="P3688" s="956"/>
      <c r="Q3688" s="1821"/>
      <c r="R3688" s="1821"/>
      <c r="S3688" s="1821"/>
      <c r="T3688" s="1821"/>
      <c r="U3688" s="1821"/>
      <c r="V3688" s="1821"/>
      <c r="W3688" s="1821"/>
      <c r="X3688" s="1821"/>
      <c r="Y3688" s="1821"/>
      <c r="Z3688" s="1821"/>
      <c r="AA3688" s="1821"/>
      <c r="AB3688" s="1821"/>
      <c r="AC3688" s="1821"/>
      <c r="AD3688" s="1821"/>
      <c r="AE3688" s="1821"/>
      <c r="AF3688" s="1821"/>
      <c r="AG3688" s="1821"/>
      <c r="AH3688" s="1821"/>
      <c r="AI3688" s="1821"/>
      <c r="AJ3688" s="1821"/>
      <c r="AK3688" s="1821"/>
      <c r="AL3688" s="1821"/>
      <c r="AM3688" s="1821"/>
      <c r="AN3688" s="1821"/>
      <c r="AO3688" s="1821"/>
      <c r="AP3688" s="1821"/>
      <c r="AQ3688" s="1821"/>
      <c r="AR3688" s="1821"/>
      <c r="AS3688" s="1821"/>
      <c r="AT3688" s="1821"/>
      <c r="AU3688" s="1821"/>
      <c r="AV3688" s="1821"/>
      <c r="AW3688" s="1821"/>
      <c r="AX3688" s="1821"/>
      <c r="AY3688" s="1821"/>
      <c r="AZ3688" s="1821"/>
      <c r="BA3688" s="1821"/>
      <c r="BB3688" s="1821"/>
      <c r="BC3688" s="1821"/>
      <c r="BD3688" s="1821"/>
      <c r="BE3688" s="1821"/>
      <c r="BF3688" s="1821"/>
      <c r="BG3688" s="1821"/>
      <c r="BH3688" s="1821"/>
      <c r="BI3688" s="1821"/>
      <c r="BJ3688" s="1821"/>
      <c r="BK3688" s="1821"/>
      <c r="BL3688" s="1821"/>
      <c r="BM3688" s="1821"/>
      <c r="BN3688" s="1821"/>
      <c r="BO3688" s="1821"/>
      <c r="BP3688" s="1821"/>
      <c r="BQ3688" s="1821"/>
      <c r="BR3688" s="1821"/>
      <c r="BS3688" s="1821"/>
      <c r="BT3688" s="1821"/>
      <c r="BU3688" s="1821"/>
      <c r="BV3688" s="1821"/>
      <c r="BW3688" s="1821"/>
      <c r="BX3688" s="1821"/>
      <c r="BY3688" s="1821"/>
      <c r="BZ3688" s="1821"/>
      <c r="CA3688" s="1821"/>
      <c r="CB3688" s="1821"/>
      <c r="CC3688" s="1821"/>
      <c r="CD3688" s="1821"/>
      <c r="CE3688" s="1821"/>
      <c r="CF3688" s="1821"/>
      <c r="CG3688" s="1821"/>
      <c r="CH3688" s="1821"/>
      <c r="CI3688" s="1821"/>
      <c r="CJ3688" s="1821"/>
      <c r="CK3688" s="1821"/>
    </row>
    <row r="3689" spans="1:89" s="675" customFormat="1" ht="16.5" customHeight="1" x14ac:dyDescent="0.25">
      <c r="A3689" s="697"/>
      <c r="B3689" s="1008" t="s">
        <v>52</v>
      </c>
      <c r="C3689" s="1007">
        <v>126</v>
      </c>
      <c r="D3689" s="1005" t="s">
        <v>55</v>
      </c>
      <c r="E3689" s="1006">
        <v>460</v>
      </c>
      <c r="F3689" s="758"/>
      <c r="G3689" s="758"/>
      <c r="H3689" s="700">
        <f>G3689+F3689</f>
        <v>0</v>
      </c>
      <c r="I3689" s="758"/>
      <c r="J3689" s="758">
        <f t="shared" si="401"/>
        <v>57960</v>
      </c>
      <c r="K3689" s="700">
        <f>J3689+I3689</f>
        <v>57960</v>
      </c>
      <c r="L3689" s="758"/>
      <c r="M3689" s="758"/>
      <c r="N3689" s="700">
        <f>M3689+L3689</f>
        <v>0</v>
      </c>
      <c r="O3689" s="974">
        <f>C3689*E3689</f>
        <v>57960</v>
      </c>
      <c r="P3689" s="956"/>
      <c r="Q3689" s="1821"/>
      <c r="R3689" s="1821"/>
      <c r="S3689" s="1821"/>
      <c r="T3689" s="1821"/>
      <c r="U3689" s="1821"/>
      <c r="V3689" s="1821"/>
      <c r="W3689" s="1821"/>
      <c r="X3689" s="1821"/>
      <c r="Y3689" s="1821"/>
      <c r="Z3689" s="1821"/>
      <c r="AA3689" s="1821"/>
      <c r="AB3689" s="1821"/>
      <c r="AC3689" s="1821"/>
      <c r="AD3689" s="1821"/>
      <c r="AE3689" s="1821"/>
      <c r="AF3689" s="1821"/>
      <c r="AG3689" s="1821"/>
      <c r="AH3689" s="1821"/>
      <c r="AI3689" s="1821"/>
      <c r="AJ3689" s="1821"/>
      <c r="AK3689" s="1821"/>
      <c r="AL3689" s="1821"/>
      <c r="AM3689" s="1821"/>
      <c r="AN3689" s="1821"/>
      <c r="AO3689" s="1821"/>
      <c r="AP3689" s="1821"/>
      <c r="AQ3689" s="1821"/>
      <c r="AR3689" s="1821"/>
      <c r="AS3689" s="1821"/>
      <c r="AT3689" s="1821"/>
      <c r="AU3689" s="1821"/>
      <c r="AV3689" s="1821"/>
      <c r="AW3689" s="1821"/>
      <c r="AX3689" s="1821"/>
      <c r="AY3689" s="1821"/>
      <c r="AZ3689" s="1821"/>
      <c r="BA3689" s="1821"/>
      <c r="BB3689" s="1821"/>
      <c r="BC3689" s="1821"/>
      <c r="BD3689" s="1821"/>
      <c r="BE3689" s="1821"/>
      <c r="BF3689" s="1821"/>
      <c r="BG3689" s="1821"/>
      <c r="BH3689" s="1821"/>
      <c r="BI3689" s="1821"/>
      <c r="BJ3689" s="1821"/>
      <c r="BK3689" s="1821"/>
      <c r="BL3689" s="1821"/>
      <c r="BM3689" s="1821"/>
      <c r="BN3689" s="1821"/>
      <c r="BO3689" s="1821"/>
      <c r="BP3689" s="1821"/>
      <c r="BQ3689" s="1821"/>
      <c r="BR3689" s="1821"/>
      <c r="BS3689" s="1821"/>
      <c r="BT3689" s="1821"/>
      <c r="BU3689" s="1821"/>
      <c r="BV3689" s="1821"/>
      <c r="BW3689" s="1821"/>
      <c r="BX3689" s="1821"/>
      <c r="BY3689" s="1821"/>
      <c r="BZ3689" s="1821"/>
      <c r="CA3689" s="1821"/>
      <c r="CB3689" s="1821"/>
      <c r="CC3689" s="1821"/>
      <c r="CD3689" s="1821"/>
      <c r="CE3689" s="1821"/>
      <c r="CF3689" s="1821"/>
      <c r="CG3689" s="1821"/>
      <c r="CH3689" s="1821"/>
      <c r="CI3689" s="1821"/>
      <c r="CJ3689" s="1821"/>
      <c r="CK3689" s="1821"/>
    </row>
    <row r="3690" spans="1:89" s="675" customFormat="1" ht="16.5" customHeight="1" x14ac:dyDescent="0.25">
      <c r="A3690" s="697"/>
      <c r="B3690" s="1011"/>
      <c r="C3690" s="1007"/>
      <c r="D3690" s="1005"/>
      <c r="E3690" s="1006"/>
      <c r="F3690" s="758"/>
      <c r="G3690" s="758"/>
      <c r="H3690" s="700">
        <f t="shared" si="402"/>
        <v>0</v>
      </c>
      <c r="I3690" s="758"/>
      <c r="J3690" s="758"/>
      <c r="K3690" s="700">
        <f t="shared" si="403"/>
        <v>0</v>
      </c>
      <c r="L3690" s="758"/>
      <c r="M3690" s="758"/>
      <c r="N3690" s="700">
        <f t="shared" si="404"/>
        <v>0</v>
      </c>
      <c r="O3690" s="974">
        <f>N3690+K3690+H3690</f>
        <v>0</v>
      </c>
      <c r="P3690" s="956"/>
      <c r="Q3690" s="1821"/>
      <c r="R3690" s="1821"/>
      <c r="S3690" s="1821"/>
      <c r="T3690" s="1821"/>
      <c r="U3690" s="1821"/>
      <c r="V3690" s="1821"/>
      <c r="W3690" s="1821"/>
      <c r="X3690" s="1821"/>
      <c r="Y3690" s="1821"/>
      <c r="Z3690" s="1821"/>
      <c r="AA3690" s="1821"/>
      <c r="AB3690" s="1821"/>
      <c r="AC3690" s="1821"/>
      <c r="AD3690" s="1821"/>
      <c r="AE3690" s="1821"/>
      <c r="AF3690" s="1821"/>
      <c r="AG3690" s="1821"/>
      <c r="AH3690" s="1821"/>
      <c r="AI3690" s="1821"/>
      <c r="AJ3690" s="1821"/>
      <c r="AK3690" s="1821"/>
      <c r="AL3690" s="1821"/>
      <c r="AM3690" s="1821"/>
      <c r="AN3690" s="1821"/>
      <c r="AO3690" s="1821"/>
      <c r="AP3690" s="1821"/>
      <c r="AQ3690" s="1821"/>
      <c r="AR3690" s="1821"/>
      <c r="AS3690" s="1821"/>
      <c r="AT3690" s="1821"/>
      <c r="AU3690" s="1821"/>
      <c r="AV3690" s="1821"/>
      <c r="AW3690" s="1821"/>
      <c r="AX3690" s="1821"/>
      <c r="AY3690" s="1821"/>
      <c r="AZ3690" s="1821"/>
      <c r="BA3690" s="1821"/>
      <c r="BB3690" s="1821"/>
      <c r="BC3690" s="1821"/>
      <c r="BD3690" s="1821"/>
      <c r="BE3690" s="1821"/>
      <c r="BF3690" s="1821"/>
      <c r="BG3690" s="1821"/>
      <c r="BH3690" s="1821"/>
      <c r="BI3690" s="1821"/>
      <c r="BJ3690" s="1821"/>
      <c r="BK3690" s="1821"/>
      <c r="BL3690" s="1821"/>
      <c r="BM3690" s="1821"/>
      <c r="BN3690" s="1821"/>
      <c r="BO3690" s="1821"/>
      <c r="BP3690" s="1821"/>
      <c r="BQ3690" s="1821"/>
      <c r="BR3690" s="1821"/>
      <c r="BS3690" s="1821"/>
      <c r="BT3690" s="1821"/>
      <c r="BU3690" s="1821"/>
      <c r="BV3690" s="1821"/>
      <c r="BW3690" s="1821"/>
      <c r="BX3690" s="1821"/>
      <c r="BY3690" s="1821"/>
      <c r="BZ3690" s="1821"/>
      <c r="CA3690" s="1821"/>
      <c r="CB3690" s="1821"/>
      <c r="CC3690" s="1821"/>
      <c r="CD3690" s="1821"/>
      <c r="CE3690" s="1821"/>
      <c r="CF3690" s="1821"/>
      <c r="CG3690" s="1821"/>
      <c r="CH3690" s="1821"/>
      <c r="CI3690" s="1821"/>
      <c r="CJ3690" s="1821"/>
      <c r="CK3690" s="1821"/>
    </row>
    <row r="3691" spans="1:89" s="675" customFormat="1" ht="16.5" customHeight="1" x14ac:dyDescent="0.25">
      <c r="A3691" s="697">
        <v>17</v>
      </c>
      <c r="B3691" s="1011" t="s">
        <v>1082</v>
      </c>
      <c r="C3691" s="1007">
        <f>SUM(O3693:O3713)</f>
        <v>185193</v>
      </c>
      <c r="D3691" s="1005"/>
      <c r="E3691" s="1006"/>
      <c r="F3691" s="758"/>
      <c r="G3691" s="758"/>
      <c r="H3691" s="700">
        <f t="shared" si="402"/>
        <v>0</v>
      </c>
      <c r="I3691" s="758"/>
      <c r="J3691" s="758">
        <f>C3691*E3691</f>
        <v>0</v>
      </c>
      <c r="K3691" s="700">
        <f t="shared" si="403"/>
        <v>0</v>
      </c>
      <c r="L3691" s="758"/>
      <c r="M3691" s="758"/>
      <c r="N3691" s="700">
        <f t="shared" si="404"/>
        <v>0</v>
      </c>
      <c r="O3691" s="974"/>
      <c r="P3691" s="956"/>
      <c r="Q3691" s="1821"/>
      <c r="R3691" s="1821"/>
      <c r="S3691" s="1821"/>
      <c r="T3691" s="1821"/>
      <c r="U3691" s="1821"/>
      <c r="V3691" s="1821"/>
      <c r="W3691" s="1821"/>
      <c r="X3691" s="1821"/>
      <c r="Y3691" s="1821"/>
      <c r="Z3691" s="1821"/>
      <c r="AA3691" s="1821"/>
      <c r="AB3691" s="1821"/>
      <c r="AC3691" s="1821"/>
      <c r="AD3691" s="1821"/>
      <c r="AE3691" s="1821"/>
      <c r="AF3691" s="1821"/>
      <c r="AG3691" s="1821"/>
      <c r="AH3691" s="1821"/>
      <c r="AI3691" s="1821"/>
      <c r="AJ3691" s="1821"/>
      <c r="AK3691" s="1821"/>
      <c r="AL3691" s="1821"/>
      <c r="AM3691" s="1821"/>
      <c r="AN3691" s="1821"/>
      <c r="AO3691" s="1821"/>
      <c r="AP3691" s="1821"/>
      <c r="AQ3691" s="1821"/>
      <c r="AR3691" s="1821"/>
      <c r="AS3691" s="1821"/>
      <c r="AT3691" s="1821"/>
      <c r="AU3691" s="1821"/>
      <c r="AV3691" s="1821"/>
      <c r="AW3691" s="1821"/>
      <c r="AX3691" s="1821"/>
      <c r="AY3691" s="1821"/>
      <c r="AZ3691" s="1821"/>
      <c r="BA3691" s="1821"/>
      <c r="BB3691" s="1821"/>
      <c r="BC3691" s="1821"/>
      <c r="BD3691" s="1821"/>
      <c r="BE3691" s="1821"/>
      <c r="BF3691" s="1821"/>
      <c r="BG3691" s="1821"/>
      <c r="BH3691" s="1821"/>
      <c r="BI3691" s="1821"/>
      <c r="BJ3691" s="1821"/>
      <c r="BK3691" s="1821"/>
      <c r="BL3691" s="1821"/>
      <c r="BM3691" s="1821"/>
      <c r="BN3691" s="1821"/>
      <c r="BO3691" s="1821"/>
      <c r="BP3691" s="1821"/>
      <c r="BQ3691" s="1821"/>
      <c r="BR3691" s="1821"/>
      <c r="BS3691" s="1821"/>
      <c r="BT3691" s="1821"/>
      <c r="BU3691" s="1821"/>
      <c r="BV3691" s="1821"/>
      <c r="BW3691" s="1821"/>
      <c r="BX3691" s="1821"/>
      <c r="BY3691" s="1821"/>
      <c r="BZ3691" s="1821"/>
      <c r="CA3691" s="1821"/>
      <c r="CB3691" s="1821"/>
      <c r="CC3691" s="1821"/>
      <c r="CD3691" s="1821"/>
      <c r="CE3691" s="1821"/>
      <c r="CF3691" s="1821"/>
      <c r="CG3691" s="1821"/>
      <c r="CH3691" s="1821"/>
      <c r="CI3691" s="1821"/>
      <c r="CJ3691" s="1821"/>
      <c r="CK3691" s="1821"/>
    </row>
    <row r="3692" spans="1:89" s="673" customFormat="1" ht="16.5" customHeight="1" x14ac:dyDescent="0.25">
      <c r="A3692" s="697"/>
      <c r="B3692" s="1002" t="s">
        <v>40</v>
      </c>
      <c r="C3692" s="1007"/>
      <c r="D3692" s="1005"/>
      <c r="E3692" s="1006"/>
      <c r="F3692" s="758"/>
      <c r="G3692" s="758"/>
      <c r="H3692" s="700">
        <f t="shared" si="402"/>
        <v>0</v>
      </c>
      <c r="I3692" s="758"/>
      <c r="J3692" s="758">
        <f>C3692*E3692</f>
        <v>0</v>
      </c>
      <c r="K3692" s="700">
        <f t="shared" si="403"/>
        <v>0</v>
      </c>
      <c r="L3692" s="758"/>
      <c r="M3692" s="758"/>
      <c r="N3692" s="700">
        <f t="shared" si="404"/>
        <v>0</v>
      </c>
      <c r="O3692" s="974">
        <f>N3692+K3692+H3692</f>
        <v>0</v>
      </c>
      <c r="P3692" s="956"/>
      <c r="Q3692" s="783"/>
      <c r="R3692" s="783"/>
      <c r="S3692" s="783"/>
      <c r="T3692" s="783"/>
      <c r="U3692" s="783"/>
      <c r="V3692" s="783"/>
      <c r="W3692" s="783"/>
      <c r="X3692" s="783"/>
      <c r="Y3692" s="783"/>
      <c r="Z3692" s="783"/>
      <c r="AA3692" s="783"/>
      <c r="AB3692" s="783"/>
      <c r="AC3692" s="783"/>
      <c r="AD3692" s="783"/>
      <c r="AE3692" s="783"/>
      <c r="AF3692" s="783"/>
      <c r="AG3692" s="783"/>
      <c r="AH3692" s="783"/>
      <c r="AI3692" s="783"/>
      <c r="AJ3692" s="783"/>
      <c r="AK3692" s="783"/>
      <c r="AL3692" s="783"/>
      <c r="AM3692" s="783"/>
      <c r="AN3692" s="783"/>
      <c r="AO3692" s="783"/>
      <c r="AP3692" s="783"/>
      <c r="AQ3692" s="783"/>
      <c r="AR3692" s="783"/>
      <c r="AS3692" s="783"/>
      <c r="AT3692" s="783"/>
      <c r="AU3692" s="783"/>
      <c r="AV3692" s="783"/>
      <c r="AW3692" s="783"/>
      <c r="AX3692" s="783"/>
      <c r="AY3692" s="783"/>
      <c r="AZ3692" s="783"/>
      <c r="BA3692" s="783"/>
      <c r="BB3692" s="783"/>
      <c r="BC3692" s="783"/>
      <c r="BD3692" s="783"/>
      <c r="BE3692" s="783"/>
      <c r="BF3692" s="783"/>
      <c r="BG3692" s="783"/>
      <c r="BH3692" s="783"/>
      <c r="BI3692" s="783"/>
      <c r="BJ3692" s="783"/>
      <c r="BK3692" s="783"/>
      <c r="BL3692" s="783"/>
      <c r="BM3692" s="783"/>
      <c r="BN3692" s="783"/>
      <c r="BO3692" s="783"/>
      <c r="BP3692" s="783"/>
      <c r="BQ3692" s="783"/>
      <c r="BR3692" s="783"/>
      <c r="BS3692" s="783"/>
      <c r="BT3692" s="783"/>
      <c r="BU3692" s="783"/>
      <c r="BV3692" s="783"/>
      <c r="BW3692" s="783"/>
      <c r="BX3692" s="783"/>
      <c r="BY3692" s="783"/>
      <c r="BZ3692" s="783"/>
      <c r="CA3692" s="783"/>
      <c r="CB3692" s="783"/>
      <c r="CC3692" s="783"/>
      <c r="CD3692" s="783"/>
      <c r="CE3692" s="783"/>
      <c r="CF3692" s="783"/>
      <c r="CG3692" s="783"/>
      <c r="CH3692" s="783"/>
      <c r="CI3692" s="783"/>
      <c r="CJ3692" s="783"/>
      <c r="CK3692" s="783"/>
    </row>
    <row r="3693" spans="1:89" s="675" customFormat="1" ht="16.5" customHeight="1" x14ac:dyDescent="0.25">
      <c r="A3693" s="697"/>
      <c r="B3693" s="1002" t="s">
        <v>365</v>
      </c>
      <c r="C3693" s="1007">
        <v>1</v>
      </c>
      <c r="D3693" s="1005" t="s">
        <v>353</v>
      </c>
      <c r="E3693" s="1006">
        <v>47963</v>
      </c>
      <c r="F3693" s="758"/>
      <c r="G3693" s="758"/>
      <c r="H3693" s="700"/>
      <c r="I3693" s="758"/>
      <c r="J3693" s="758">
        <f>C3693*E3693</f>
        <v>47963</v>
      </c>
      <c r="K3693" s="700">
        <f t="shared" si="403"/>
        <v>47963</v>
      </c>
      <c r="L3693" s="758"/>
      <c r="M3693" s="758"/>
      <c r="N3693" s="700"/>
      <c r="O3693" s="974">
        <f>N3693+K3693+H3693</f>
        <v>47963</v>
      </c>
      <c r="P3693" s="956"/>
      <c r="Q3693" s="1821"/>
      <c r="R3693" s="1821"/>
      <c r="S3693" s="1821"/>
      <c r="T3693" s="1821"/>
      <c r="U3693" s="1821"/>
      <c r="V3693" s="1821"/>
      <c r="W3693" s="1821"/>
      <c r="X3693" s="1821"/>
      <c r="Y3693" s="1821"/>
      <c r="Z3693" s="1821"/>
      <c r="AA3693" s="1821"/>
      <c r="AB3693" s="1821"/>
      <c r="AC3693" s="1821"/>
      <c r="AD3693" s="1821"/>
      <c r="AE3693" s="1821"/>
      <c r="AF3693" s="1821"/>
      <c r="AG3693" s="1821"/>
      <c r="AH3693" s="1821"/>
      <c r="AI3693" s="1821"/>
      <c r="AJ3693" s="1821"/>
      <c r="AK3693" s="1821"/>
      <c r="AL3693" s="1821"/>
      <c r="AM3693" s="1821"/>
      <c r="AN3693" s="1821"/>
      <c r="AO3693" s="1821"/>
      <c r="AP3693" s="1821"/>
      <c r="AQ3693" s="1821"/>
      <c r="AR3693" s="1821"/>
      <c r="AS3693" s="1821"/>
      <c r="AT3693" s="1821"/>
      <c r="AU3693" s="1821"/>
      <c r="AV3693" s="1821"/>
      <c r="AW3693" s="1821"/>
      <c r="AX3693" s="1821"/>
      <c r="AY3693" s="1821"/>
      <c r="AZ3693" s="1821"/>
      <c r="BA3693" s="1821"/>
      <c r="BB3693" s="1821"/>
      <c r="BC3693" s="1821"/>
      <c r="BD3693" s="1821"/>
      <c r="BE3693" s="1821"/>
      <c r="BF3693" s="1821"/>
      <c r="BG3693" s="1821"/>
      <c r="BH3693" s="1821"/>
      <c r="BI3693" s="1821"/>
      <c r="BJ3693" s="1821"/>
      <c r="BK3693" s="1821"/>
      <c r="BL3693" s="1821"/>
      <c r="BM3693" s="1821"/>
      <c r="BN3693" s="1821"/>
      <c r="BO3693" s="1821"/>
      <c r="BP3693" s="1821"/>
      <c r="BQ3693" s="1821"/>
      <c r="BR3693" s="1821"/>
      <c r="BS3693" s="1821"/>
      <c r="BT3693" s="1821"/>
      <c r="BU3693" s="1821"/>
      <c r="BV3693" s="1821"/>
      <c r="BW3693" s="1821"/>
      <c r="BX3693" s="1821"/>
      <c r="BY3693" s="1821"/>
      <c r="BZ3693" s="1821"/>
      <c r="CA3693" s="1821"/>
      <c r="CB3693" s="1821"/>
      <c r="CC3693" s="1821"/>
      <c r="CD3693" s="1821"/>
      <c r="CE3693" s="1821"/>
      <c r="CF3693" s="1821"/>
      <c r="CG3693" s="1821"/>
      <c r="CH3693" s="1821"/>
      <c r="CI3693" s="1821"/>
      <c r="CJ3693" s="1821"/>
      <c r="CK3693" s="1821"/>
    </row>
    <row r="3694" spans="1:89" s="675" customFormat="1" ht="16.5" customHeight="1" x14ac:dyDescent="0.25">
      <c r="A3694" s="697"/>
      <c r="B3694" s="1002"/>
      <c r="C3694" s="1004"/>
      <c r="D3694" s="1005"/>
      <c r="E3694" s="1006"/>
      <c r="F3694" s="758"/>
      <c r="G3694" s="758"/>
      <c r="H3694" s="700"/>
      <c r="I3694" s="758"/>
      <c r="J3694" s="758"/>
      <c r="K3694" s="700"/>
      <c r="L3694" s="758"/>
      <c r="M3694" s="758"/>
      <c r="N3694" s="700"/>
      <c r="O3694" s="974"/>
      <c r="P3694" s="956"/>
      <c r="Q3694" s="1821"/>
      <c r="R3694" s="1821"/>
      <c r="S3694" s="1821"/>
      <c r="T3694" s="1821"/>
      <c r="U3694" s="1821"/>
      <c r="V3694" s="1821"/>
      <c r="W3694" s="1821"/>
      <c r="X3694" s="1821"/>
      <c r="Y3694" s="1821"/>
      <c r="Z3694" s="1821"/>
      <c r="AA3694" s="1821"/>
      <c r="AB3694" s="1821"/>
      <c r="AC3694" s="1821"/>
      <c r="AD3694" s="1821"/>
      <c r="AE3694" s="1821"/>
      <c r="AF3694" s="1821"/>
      <c r="AG3694" s="1821"/>
      <c r="AH3694" s="1821"/>
      <c r="AI3694" s="1821"/>
      <c r="AJ3694" s="1821"/>
      <c r="AK3694" s="1821"/>
      <c r="AL3694" s="1821"/>
      <c r="AM3694" s="1821"/>
      <c r="AN3694" s="1821"/>
      <c r="AO3694" s="1821"/>
      <c r="AP3694" s="1821"/>
      <c r="AQ3694" s="1821"/>
      <c r="AR3694" s="1821"/>
      <c r="AS3694" s="1821"/>
      <c r="AT3694" s="1821"/>
      <c r="AU3694" s="1821"/>
      <c r="AV3694" s="1821"/>
      <c r="AW3694" s="1821"/>
      <c r="AX3694" s="1821"/>
      <c r="AY3694" s="1821"/>
      <c r="AZ3694" s="1821"/>
      <c r="BA3694" s="1821"/>
      <c r="BB3694" s="1821"/>
      <c r="BC3694" s="1821"/>
      <c r="BD3694" s="1821"/>
      <c r="BE3694" s="1821"/>
      <c r="BF3694" s="1821"/>
      <c r="BG3694" s="1821"/>
      <c r="BH3694" s="1821"/>
      <c r="BI3694" s="1821"/>
      <c r="BJ3694" s="1821"/>
      <c r="BK3694" s="1821"/>
      <c r="BL3694" s="1821"/>
      <c r="BM3694" s="1821"/>
      <c r="BN3694" s="1821"/>
      <c r="BO3694" s="1821"/>
      <c r="BP3694" s="1821"/>
      <c r="BQ3694" s="1821"/>
      <c r="BR3694" s="1821"/>
      <c r="BS3694" s="1821"/>
      <c r="BT3694" s="1821"/>
      <c r="BU3694" s="1821"/>
      <c r="BV3694" s="1821"/>
      <c r="BW3694" s="1821"/>
      <c r="BX3694" s="1821"/>
      <c r="BY3694" s="1821"/>
      <c r="BZ3694" s="1821"/>
      <c r="CA3694" s="1821"/>
      <c r="CB3694" s="1821"/>
      <c r="CC3694" s="1821"/>
      <c r="CD3694" s="1821"/>
      <c r="CE3694" s="1821"/>
      <c r="CF3694" s="1821"/>
      <c r="CG3694" s="1821"/>
      <c r="CH3694" s="1821"/>
      <c r="CI3694" s="1821"/>
      <c r="CJ3694" s="1821"/>
      <c r="CK3694" s="1821"/>
    </row>
    <row r="3695" spans="1:89" s="675" customFormat="1" ht="16.5" customHeight="1" x14ac:dyDescent="0.25">
      <c r="A3695" s="697"/>
      <c r="B3695" s="1008" t="s">
        <v>1280</v>
      </c>
      <c r="C3695" s="1007"/>
      <c r="D3695" s="1005"/>
      <c r="E3695" s="1006"/>
      <c r="F3695" s="758"/>
      <c r="G3695" s="758"/>
      <c r="H3695" s="700"/>
      <c r="I3695" s="758"/>
      <c r="J3695" s="700"/>
      <c r="K3695" s="700"/>
      <c r="L3695" s="758"/>
      <c r="M3695" s="758"/>
      <c r="N3695" s="700"/>
      <c r="O3695" s="974"/>
      <c r="P3695" s="956"/>
      <c r="Q3695" s="1821"/>
      <c r="R3695" s="1821"/>
      <c r="S3695" s="1821"/>
      <c r="T3695" s="1821"/>
      <c r="U3695" s="1821"/>
      <c r="V3695" s="1821"/>
      <c r="W3695" s="1821"/>
      <c r="X3695" s="1821"/>
      <c r="Y3695" s="1821"/>
      <c r="Z3695" s="1821"/>
      <c r="AA3695" s="1821"/>
      <c r="AB3695" s="1821"/>
      <c r="AC3695" s="1821"/>
      <c r="AD3695" s="1821"/>
      <c r="AE3695" s="1821"/>
      <c r="AF3695" s="1821"/>
      <c r="AG3695" s="1821"/>
      <c r="AH3695" s="1821"/>
      <c r="AI3695" s="1821"/>
      <c r="AJ3695" s="1821"/>
      <c r="AK3695" s="1821"/>
      <c r="AL3695" s="1821"/>
      <c r="AM3695" s="1821"/>
      <c r="AN3695" s="1821"/>
      <c r="AO3695" s="1821"/>
      <c r="AP3695" s="1821"/>
      <c r="AQ3695" s="1821"/>
      <c r="AR3695" s="1821"/>
      <c r="AS3695" s="1821"/>
      <c r="AT3695" s="1821"/>
      <c r="AU3695" s="1821"/>
      <c r="AV3695" s="1821"/>
      <c r="AW3695" s="1821"/>
      <c r="AX3695" s="1821"/>
      <c r="AY3695" s="1821"/>
      <c r="AZ3695" s="1821"/>
      <c r="BA3695" s="1821"/>
      <c r="BB3695" s="1821"/>
      <c r="BC3695" s="1821"/>
      <c r="BD3695" s="1821"/>
      <c r="BE3695" s="1821"/>
      <c r="BF3695" s="1821"/>
      <c r="BG3695" s="1821"/>
      <c r="BH3695" s="1821"/>
      <c r="BI3695" s="1821"/>
      <c r="BJ3695" s="1821"/>
      <c r="BK3695" s="1821"/>
      <c r="BL3695" s="1821"/>
      <c r="BM3695" s="1821"/>
      <c r="BN3695" s="1821"/>
      <c r="BO3695" s="1821"/>
      <c r="BP3695" s="1821"/>
      <c r="BQ3695" s="1821"/>
      <c r="BR3695" s="1821"/>
      <c r="BS3695" s="1821"/>
      <c r="BT3695" s="1821"/>
      <c r="BU3695" s="1821"/>
      <c r="BV3695" s="1821"/>
      <c r="BW3695" s="1821"/>
      <c r="BX3695" s="1821"/>
      <c r="BY3695" s="1821"/>
      <c r="BZ3695" s="1821"/>
      <c r="CA3695" s="1821"/>
      <c r="CB3695" s="1821"/>
      <c r="CC3695" s="1821"/>
      <c r="CD3695" s="1821"/>
      <c r="CE3695" s="1821"/>
      <c r="CF3695" s="1821"/>
      <c r="CG3695" s="1821"/>
      <c r="CH3695" s="1821"/>
      <c r="CI3695" s="1821"/>
      <c r="CJ3695" s="1821"/>
      <c r="CK3695" s="1821"/>
    </row>
    <row r="3696" spans="1:89" s="675" customFormat="1" ht="16.5" customHeight="1" x14ac:dyDescent="0.25">
      <c r="A3696" s="697"/>
      <c r="B3696" s="1008" t="s">
        <v>367</v>
      </c>
      <c r="C3696" s="1007">
        <v>32</v>
      </c>
      <c r="D3696" s="1005" t="s">
        <v>210</v>
      </c>
      <c r="E3696" s="1006">
        <v>450</v>
      </c>
      <c r="F3696" s="758"/>
      <c r="G3696" s="758"/>
      <c r="H3696" s="700"/>
      <c r="I3696" s="758"/>
      <c r="J3696" s="700">
        <f>C3696*E3696</f>
        <v>14400</v>
      </c>
      <c r="K3696" s="700">
        <f t="shared" si="403"/>
        <v>14400</v>
      </c>
      <c r="L3696" s="758"/>
      <c r="M3696" s="758"/>
      <c r="N3696" s="700"/>
      <c r="O3696" s="974">
        <f>E3696*C3696</f>
        <v>14400</v>
      </c>
      <c r="P3696" s="956"/>
      <c r="Q3696" s="1821"/>
      <c r="R3696" s="1821"/>
      <c r="S3696" s="1821"/>
      <c r="T3696" s="1821"/>
      <c r="U3696" s="1821"/>
      <c r="V3696" s="1821"/>
      <c r="W3696" s="1821"/>
      <c r="X3696" s="1821"/>
      <c r="Y3696" s="1821"/>
      <c r="Z3696" s="1821"/>
      <c r="AA3696" s="1821"/>
      <c r="AB3696" s="1821"/>
      <c r="AC3696" s="1821"/>
      <c r="AD3696" s="1821"/>
      <c r="AE3696" s="1821"/>
      <c r="AF3696" s="1821"/>
      <c r="AG3696" s="1821"/>
      <c r="AH3696" s="1821"/>
      <c r="AI3696" s="1821"/>
      <c r="AJ3696" s="1821"/>
      <c r="AK3696" s="1821"/>
      <c r="AL3696" s="1821"/>
      <c r="AM3696" s="1821"/>
      <c r="AN3696" s="1821"/>
      <c r="AO3696" s="1821"/>
      <c r="AP3696" s="1821"/>
      <c r="AQ3696" s="1821"/>
      <c r="AR3696" s="1821"/>
      <c r="AS3696" s="1821"/>
      <c r="AT3696" s="1821"/>
      <c r="AU3696" s="1821"/>
      <c r="AV3696" s="1821"/>
      <c r="AW3696" s="1821"/>
      <c r="AX3696" s="1821"/>
      <c r="AY3696" s="1821"/>
      <c r="AZ3696" s="1821"/>
      <c r="BA3696" s="1821"/>
      <c r="BB3696" s="1821"/>
      <c r="BC3696" s="1821"/>
      <c r="BD3696" s="1821"/>
      <c r="BE3696" s="1821"/>
      <c r="BF3696" s="1821"/>
      <c r="BG3696" s="1821"/>
      <c r="BH3696" s="1821"/>
      <c r="BI3696" s="1821"/>
      <c r="BJ3696" s="1821"/>
      <c r="BK3696" s="1821"/>
      <c r="BL3696" s="1821"/>
      <c r="BM3696" s="1821"/>
      <c r="BN3696" s="1821"/>
      <c r="BO3696" s="1821"/>
      <c r="BP3696" s="1821"/>
      <c r="BQ3696" s="1821"/>
      <c r="BR3696" s="1821"/>
      <c r="BS3696" s="1821"/>
      <c r="BT3696" s="1821"/>
      <c r="BU3696" s="1821"/>
      <c r="BV3696" s="1821"/>
      <c r="BW3696" s="1821"/>
      <c r="BX3696" s="1821"/>
      <c r="BY3696" s="1821"/>
      <c r="BZ3696" s="1821"/>
      <c r="CA3696" s="1821"/>
      <c r="CB3696" s="1821"/>
      <c r="CC3696" s="1821"/>
      <c r="CD3696" s="1821"/>
      <c r="CE3696" s="1821"/>
      <c r="CF3696" s="1821"/>
      <c r="CG3696" s="1821"/>
      <c r="CH3696" s="1821"/>
      <c r="CI3696" s="1821"/>
      <c r="CJ3696" s="1821"/>
      <c r="CK3696" s="1821"/>
    </row>
    <row r="3697" spans="1:89" s="675" customFormat="1" ht="16.5" customHeight="1" x14ac:dyDescent="0.25">
      <c r="A3697" s="697"/>
      <c r="B3697" s="1008" t="s">
        <v>1281</v>
      </c>
      <c r="C3697" s="1007">
        <v>2</v>
      </c>
      <c r="D3697" s="1005" t="s">
        <v>55</v>
      </c>
      <c r="E3697" s="1006">
        <v>500</v>
      </c>
      <c r="F3697" s="758"/>
      <c r="G3697" s="758"/>
      <c r="H3697" s="700"/>
      <c r="I3697" s="758"/>
      <c r="J3697" s="700">
        <f>C3697*E3697</f>
        <v>1000</v>
      </c>
      <c r="K3697" s="700">
        <f t="shared" si="403"/>
        <v>1000</v>
      </c>
      <c r="L3697" s="758"/>
      <c r="M3697" s="758"/>
      <c r="N3697" s="700"/>
      <c r="O3697" s="974">
        <f>E3697*C3697</f>
        <v>1000</v>
      </c>
      <c r="P3697" s="956"/>
      <c r="Q3697" s="1821"/>
      <c r="R3697" s="1821"/>
      <c r="S3697" s="1821"/>
      <c r="T3697" s="1821"/>
      <c r="U3697" s="1821"/>
      <c r="V3697" s="1821"/>
      <c r="W3697" s="1821"/>
      <c r="X3697" s="1821"/>
      <c r="Y3697" s="1821"/>
      <c r="Z3697" s="1821"/>
      <c r="AA3697" s="1821"/>
      <c r="AB3697" s="1821"/>
      <c r="AC3697" s="1821"/>
      <c r="AD3697" s="1821"/>
      <c r="AE3697" s="1821"/>
      <c r="AF3697" s="1821"/>
      <c r="AG3697" s="1821"/>
      <c r="AH3697" s="1821"/>
      <c r="AI3697" s="1821"/>
      <c r="AJ3697" s="1821"/>
      <c r="AK3697" s="1821"/>
      <c r="AL3697" s="1821"/>
      <c r="AM3697" s="1821"/>
      <c r="AN3697" s="1821"/>
      <c r="AO3697" s="1821"/>
      <c r="AP3697" s="1821"/>
      <c r="AQ3697" s="1821"/>
      <c r="AR3697" s="1821"/>
      <c r="AS3697" s="1821"/>
      <c r="AT3697" s="1821"/>
      <c r="AU3697" s="1821"/>
      <c r="AV3697" s="1821"/>
      <c r="AW3697" s="1821"/>
      <c r="AX3697" s="1821"/>
      <c r="AY3697" s="1821"/>
      <c r="AZ3697" s="1821"/>
      <c r="BA3697" s="1821"/>
      <c r="BB3697" s="1821"/>
      <c r="BC3697" s="1821"/>
      <c r="BD3697" s="1821"/>
      <c r="BE3697" s="1821"/>
      <c r="BF3697" s="1821"/>
      <c r="BG3697" s="1821"/>
      <c r="BH3697" s="1821"/>
      <c r="BI3697" s="1821"/>
      <c r="BJ3697" s="1821"/>
      <c r="BK3697" s="1821"/>
      <c r="BL3697" s="1821"/>
      <c r="BM3697" s="1821"/>
      <c r="BN3697" s="1821"/>
      <c r="BO3697" s="1821"/>
      <c r="BP3697" s="1821"/>
      <c r="BQ3697" s="1821"/>
      <c r="BR3697" s="1821"/>
      <c r="BS3697" s="1821"/>
      <c r="BT3697" s="1821"/>
      <c r="BU3697" s="1821"/>
      <c r="BV3697" s="1821"/>
      <c r="BW3697" s="1821"/>
      <c r="BX3697" s="1821"/>
      <c r="BY3697" s="1821"/>
      <c r="BZ3697" s="1821"/>
      <c r="CA3697" s="1821"/>
      <c r="CB3697" s="1821"/>
      <c r="CC3697" s="1821"/>
      <c r="CD3697" s="1821"/>
      <c r="CE3697" s="1821"/>
      <c r="CF3697" s="1821"/>
      <c r="CG3697" s="1821"/>
      <c r="CH3697" s="1821"/>
      <c r="CI3697" s="1821"/>
      <c r="CJ3697" s="1821"/>
      <c r="CK3697" s="1821"/>
    </row>
    <row r="3698" spans="1:89" s="675" customFormat="1" ht="16.5" customHeight="1" x14ac:dyDescent="0.25">
      <c r="A3698" s="697"/>
      <c r="B3698" s="1008"/>
      <c r="C3698" s="1007"/>
      <c r="D3698" s="1005"/>
      <c r="E3698" s="1006"/>
      <c r="F3698" s="758"/>
      <c r="G3698" s="758"/>
      <c r="H3698" s="700"/>
      <c r="I3698" s="758"/>
      <c r="J3698" s="700"/>
      <c r="K3698" s="700"/>
      <c r="L3698" s="758"/>
      <c r="M3698" s="758"/>
      <c r="N3698" s="700"/>
      <c r="O3698" s="974"/>
      <c r="P3698" s="956"/>
      <c r="Q3698" s="1821"/>
      <c r="R3698" s="1821"/>
      <c r="S3698" s="1821"/>
      <c r="T3698" s="1821"/>
      <c r="U3698" s="1821"/>
      <c r="V3698" s="1821"/>
      <c r="W3698" s="1821"/>
      <c r="X3698" s="1821"/>
      <c r="Y3698" s="1821"/>
      <c r="Z3698" s="1821"/>
      <c r="AA3698" s="1821"/>
      <c r="AB3698" s="1821"/>
      <c r="AC3698" s="1821"/>
      <c r="AD3698" s="1821"/>
      <c r="AE3698" s="1821"/>
      <c r="AF3698" s="1821"/>
      <c r="AG3698" s="1821"/>
      <c r="AH3698" s="1821"/>
      <c r="AI3698" s="1821"/>
      <c r="AJ3698" s="1821"/>
      <c r="AK3698" s="1821"/>
      <c r="AL3698" s="1821"/>
      <c r="AM3698" s="1821"/>
      <c r="AN3698" s="1821"/>
      <c r="AO3698" s="1821"/>
      <c r="AP3698" s="1821"/>
      <c r="AQ3698" s="1821"/>
      <c r="AR3698" s="1821"/>
      <c r="AS3698" s="1821"/>
      <c r="AT3698" s="1821"/>
      <c r="AU3698" s="1821"/>
      <c r="AV3698" s="1821"/>
      <c r="AW3698" s="1821"/>
      <c r="AX3698" s="1821"/>
      <c r="AY3698" s="1821"/>
      <c r="AZ3698" s="1821"/>
      <c r="BA3698" s="1821"/>
      <c r="BB3698" s="1821"/>
      <c r="BC3698" s="1821"/>
      <c r="BD3698" s="1821"/>
      <c r="BE3698" s="1821"/>
      <c r="BF3698" s="1821"/>
      <c r="BG3698" s="1821"/>
      <c r="BH3698" s="1821"/>
      <c r="BI3698" s="1821"/>
      <c r="BJ3698" s="1821"/>
      <c r="BK3698" s="1821"/>
      <c r="BL3698" s="1821"/>
      <c r="BM3698" s="1821"/>
      <c r="BN3698" s="1821"/>
      <c r="BO3698" s="1821"/>
      <c r="BP3698" s="1821"/>
      <c r="BQ3698" s="1821"/>
      <c r="BR3698" s="1821"/>
      <c r="BS3698" s="1821"/>
      <c r="BT3698" s="1821"/>
      <c r="BU3698" s="1821"/>
      <c r="BV3698" s="1821"/>
      <c r="BW3698" s="1821"/>
      <c r="BX3698" s="1821"/>
      <c r="BY3698" s="1821"/>
      <c r="BZ3698" s="1821"/>
      <c r="CA3698" s="1821"/>
      <c r="CB3698" s="1821"/>
      <c r="CC3698" s="1821"/>
      <c r="CD3698" s="1821"/>
      <c r="CE3698" s="1821"/>
      <c r="CF3698" s="1821"/>
      <c r="CG3698" s="1821"/>
      <c r="CH3698" s="1821"/>
      <c r="CI3698" s="1821"/>
      <c r="CJ3698" s="1821"/>
      <c r="CK3698" s="1821"/>
    </row>
    <row r="3699" spans="1:89" s="675" customFormat="1" ht="16.5" customHeight="1" x14ac:dyDescent="0.25">
      <c r="A3699" s="697"/>
      <c r="B3699" s="1008" t="s">
        <v>206</v>
      </c>
      <c r="C3699" s="1007"/>
      <c r="D3699" s="1005"/>
      <c r="E3699" s="1006"/>
      <c r="F3699" s="758"/>
      <c r="G3699" s="758"/>
      <c r="H3699" s="700"/>
      <c r="I3699" s="758"/>
      <c r="J3699" s="700"/>
      <c r="K3699" s="700"/>
      <c r="L3699" s="758"/>
      <c r="M3699" s="758"/>
      <c r="N3699" s="700"/>
      <c r="O3699" s="974"/>
      <c r="P3699" s="956"/>
      <c r="Q3699" s="1821"/>
      <c r="R3699" s="1821"/>
      <c r="S3699" s="1821"/>
      <c r="T3699" s="1821"/>
      <c r="U3699" s="1821"/>
      <c r="V3699" s="1821"/>
      <c r="W3699" s="1821"/>
      <c r="X3699" s="1821"/>
      <c r="Y3699" s="1821"/>
      <c r="Z3699" s="1821"/>
      <c r="AA3699" s="1821"/>
      <c r="AB3699" s="1821"/>
      <c r="AC3699" s="1821"/>
      <c r="AD3699" s="1821"/>
      <c r="AE3699" s="1821"/>
      <c r="AF3699" s="1821"/>
      <c r="AG3699" s="1821"/>
      <c r="AH3699" s="1821"/>
      <c r="AI3699" s="1821"/>
      <c r="AJ3699" s="1821"/>
      <c r="AK3699" s="1821"/>
      <c r="AL3699" s="1821"/>
      <c r="AM3699" s="1821"/>
      <c r="AN3699" s="1821"/>
      <c r="AO3699" s="1821"/>
      <c r="AP3699" s="1821"/>
      <c r="AQ3699" s="1821"/>
      <c r="AR3699" s="1821"/>
      <c r="AS3699" s="1821"/>
      <c r="AT3699" s="1821"/>
      <c r="AU3699" s="1821"/>
      <c r="AV3699" s="1821"/>
      <c r="AW3699" s="1821"/>
      <c r="AX3699" s="1821"/>
      <c r="AY3699" s="1821"/>
      <c r="AZ3699" s="1821"/>
      <c r="BA3699" s="1821"/>
      <c r="BB3699" s="1821"/>
      <c r="BC3699" s="1821"/>
      <c r="BD3699" s="1821"/>
      <c r="BE3699" s="1821"/>
      <c r="BF3699" s="1821"/>
      <c r="BG3699" s="1821"/>
      <c r="BH3699" s="1821"/>
      <c r="BI3699" s="1821"/>
      <c r="BJ3699" s="1821"/>
      <c r="BK3699" s="1821"/>
      <c r="BL3699" s="1821"/>
      <c r="BM3699" s="1821"/>
      <c r="BN3699" s="1821"/>
      <c r="BO3699" s="1821"/>
      <c r="BP3699" s="1821"/>
      <c r="BQ3699" s="1821"/>
      <c r="BR3699" s="1821"/>
      <c r="BS3699" s="1821"/>
      <c r="BT3699" s="1821"/>
      <c r="BU3699" s="1821"/>
      <c r="BV3699" s="1821"/>
      <c r="BW3699" s="1821"/>
      <c r="BX3699" s="1821"/>
      <c r="BY3699" s="1821"/>
      <c r="BZ3699" s="1821"/>
      <c r="CA3699" s="1821"/>
      <c r="CB3699" s="1821"/>
      <c r="CC3699" s="1821"/>
      <c r="CD3699" s="1821"/>
      <c r="CE3699" s="1821"/>
      <c r="CF3699" s="1821"/>
      <c r="CG3699" s="1821"/>
      <c r="CH3699" s="1821"/>
      <c r="CI3699" s="1821"/>
      <c r="CJ3699" s="1821"/>
      <c r="CK3699" s="1821"/>
    </row>
    <row r="3700" spans="1:89" s="673" customFormat="1" ht="16.5" customHeight="1" x14ac:dyDescent="0.25">
      <c r="A3700" s="697"/>
      <c r="B3700" s="1008" t="s">
        <v>1282</v>
      </c>
      <c r="C3700" s="1007">
        <v>1</v>
      </c>
      <c r="D3700" s="1005" t="s">
        <v>207</v>
      </c>
      <c r="E3700" s="1006">
        <v>450</v>
      </c>
      <c r="F3700" s="758"/>
      <c r="G3700" s="758"/>
      <c r="H3700" s="700"/>
      <c r="I3700" s="758"/>
      <c r="J3700" s="700">
        <f>C3700*E3700</f>
        <v>450</v>
      </c>
      <c r="K3700" s="700">
        <f t="shared" si="403"/>
        <v>450</v>
      </c>
      <c r="L3700" s="758"/>
      <c r="M3700" s="758"/>
      <c r="N3700" s="700"/>
      <c r="O3700" s="974">
        <f t="shared" ref="O3700:O3708" si="405">E3700*C3700</f>
        <v>450</v>
      </c>
      <c r="P3700" s="956"/>
      <c r="Q3700" s="783"/>
      <c r="R3700" s="783"/>
      <c r="S3700" s="783"/>
      <c r="T3700" s="783"/>
      <c r="U3700" s="783"/>
      <c r="V3700" s="783"/>
      <c r="W3700" s="783"/>
      <c r="X3700" s="783"/>
      <c r="Y3700" s="783"/>
      <c r="Z3700" s="783"/>
      <c r="AA3700" s="783"/>
      <c r="AB3700" s="783"/>
      <c r="AC3700" s="783"/>
      <c r="AD3700" s="783"/>
      <c r="AE3700" s="783"/>
      <c r="AF3700" s="783"/>
      <c r="AG3700" s="783"/>
      <c r="AH3700" s="783"/>
      <c r="AI3700" s="783"/>
      <c r="AJ3700" s="783"/>
      <c r="AK3700" s="783"/>
      <c r="AL3700" s="783"/>
      <c r="AM3700" s="783"/>
      <c r="AN3700" s="783"/>
      <c r="AO3700" s="783"/>
      <c r="AP3700" s="783"/>
      <c r="AQ3700" s="783"/>
      <c r="AR3700" s="783"/>
      <c r="AS3700" s="783"/>
      <c r="AT3700" s="783"/>
      <c r="AU3700" s="783"/>
      <c r="AV3700" s="783"/>
      <c r="AW3700" s="783"/>
      <c r="AX3700" s="783"/>
      <c r="AY3700" s="783"/>
      <c r="AZ3700" s="783"/>
      <c r="BA3700" s="783"/>
      <c r="BB3700" s="783"/>
      <c r="BC3700" s="783"/>
      <c r="BD3700" s="783"/>
      <c r="BE3700" s="783"/>
      <c r="BF3700" s="783"/>
      <c r="BG3700" s="783"/>
      <c r="BH3700" s="783"/>
      <c r="BI3700" s="783"/>
      <c r="BJ3700" s="783"/>
      <c r="BK3700" s="783"/>
      <c r="BL3700" s="783"/>
      <c r="BM3700" s="783"/>
      <c r="BN3700" s="783"/>
      <c r="BO3700" s="783"/>
      <c r="BP3700" s="783"/>
      <c r="BQ3700" s="783"/>
      <c r="BR3700" s="783"/>
      <c r="BS3700" s="783"/>
      <c r="BT3700" s="783"/>
      <c r="BU3700" s="783"/>
      <c r="BV3700" s="783"/>
      <c r="BW3700" s="783"/>
      <c r="BX3700" s="783"/>
      <c r="BY3700" s="783"/>
      <c r="BZ3700" s="783"/>
      <c r="CA3700" s="783"/>
      <c r="CB3700" s="783"/>
      <c r="CC3700" s="783"/>
      <c r="CD3700" s="783"/>
      <c r="CE3700" s="783"/>
      <c r="CF3700" s="783"/>
      <c r="CG3700" s="783"/>
      <c r="CH3700" s="783"/>
      <c r="CI3700" s="783"/>
      <c r="CJ3700" s="783"/>
      <c r="CK3700" s="783"/>
    </row>
    <row r="3701" spans="1:89" s="675" customFormat="1" ht="16.5" customHeight="1" x14ac:dyDescent="0.25">
      <c r="A3701" s="697"/>
      <c r="B3701" s="1002" t="s">
        <v>1283</v>
      </c>
      <c r="C3701" s="1004">
        <v>1</v>
      </c>
      <c r="D3701" s="1005" t="s">
        <v>207</v>
      </c>
      <c r="E3701" s="1006">
        <v>400</v>
      </c>
      <c r="F3701" s="758"/>
      <c r="G3701" s="758"/>
      <c r="H3701" s="700"/>
      <c r="I3701" s="758"/>
      <c r="J3701" s="758">
        <f>C3701*E3701</f>
        <v>400</v>
      </c>
      <c r="K3701" s="700">
        <f t="shared" si="403"/>
        <v>400</v>
      </c>
      <c r="L3701" s="758"/>
      <c r="M3701" s="758"/>
      <c r="N3701" s="700"/>
      <c r="O3701" s="974">
        <f t="shared" si="405"/>
        <v>400</v>
      </c>
      <c r="P3701" s="956"/>
      <c r="Q3701" s="1821"/>
      <c r="R3701" s="1821"/>
      <c r="S3701" s="1821"/>
      <c r="T3701" s="1821"/>
      <c r="U3701" s="1821"/>
      <c r="V3701" s="1821"/>
      <c r="W3701" s="1821"/>
      <c r="X3701" s="1821"/>
      <c r="Y3701" s="1821"/>
      <c r="Z3701" s="1821"/>
      <c r="AA3701" s="1821"/>
      <c r="AB3701" s="1821"/>
      <c r="AC3701" s="1821"/>
      <c r="AD3701" s="1821"/>
      <c r="AE3701" s="1821"/>
      <c r="AF3701" s="1821"/>
      <c r="AG3701" s="1821"/>
      <c r="AH3701" s="1821"/>
      <c r="AI3701" s="1821"/>
      <c r="AJ3701" s="1821"/>
      <c r="AK3701" s="1821"/>
      <c r="AL3701" s="1821"/>
      <c r="AM3701" s="1821"/>
      <c r="AN3701" s="1821"/>
      <c r="AO3701" s="1821"/>
      <c r="AP3701" s="1821"/>
      <c r="AQ3701" s="1821"/>
      <c r="AR3701" s="1821"/>
      <c r="AS3701" s="1821"/>
      <c r="AT3701" s="1821"/>
      <c r="AU3701" s="1821"/>
      <c r="AV3701" s="1821"/>
      <c r="AW3701" s="1821"/>
      <c r="AX3701" s="1821"/>
      <c r="AY3701" s="1821"/>
      <c r="AZ3701" s="1821"/>
      <c r="BA3701" s="1821"/>
      <c r="BB3701" s="1821"/>
      <c r="BC3701" s="1821"/>
      <c r="BD3701" s="1821"/>
      <c r="BE3701" s="1821"/>
      <c r="BF3701" s="1821"/>
      <c r="BG3701" s="1821"/>
      <c r="BH3701" s="1821"/>
      <c r="BI3701" s="1821"/>
      <c r="BJ3701" s="1821"/>
      <c r="BK3701" s="1821"/>
      <c r="BL3701" s="1821"/>
      <c r="BM3701" s="1821"/>
      <c r="BN3701" s="1821"/>
      <c r="BO3701" s="1821"/>
      <c r="BP3701" s="1821"/>
      <c r="BQ3701" s="1821"/>
      <c r="BR3701" s="1821"/>
      <c r="BS3701" s="1821"/>
      <c r="BT3701" s="1821"/>
      <c r="BU3701" s="1821"/>
      <c r="BV3701" s="1821"/>
      <c r="BW3701" s="1821"/>
      <c r="BX3701" s="1821"/>
      <c r="BY3701" s="1821"/>
      <c r="BZ3701" s="1821"/>
      <c r="CA3701" s="1821"/>
      <c r="CB3701" s="1821"/>
      <c r="CC3701" s="1821"/>
      <c r="CD3701" s="1821"/>
      <c r="CE3701" s="1821"/>
      <c r="CF3701" s="1821"/>
      <c r="CG3701" s="1821"/>
      <c r="CH3701" s="1821"/>
      <c r="CI3701" s="1821"/>
      <c r="CJ3701" s="1821"/>
      <c r="CK3701" s="1821"/>
    </row>
    <row r="3702" spans="1:89" s="675" customFormat="1" ht="16.5" customHeight="1" x14ac:dyDescent="0.25">
      <c r="A3702" s="697"/>
      <c r="B3702" s="1002" t="s">
        <v>1284</v>
      </c>
      <c r="C3702" s="1007">
        <v>1</v>
      </c>
      <c r="D3702" s="1005" t="s">
        <v>207</v>
      </c>
      <c r="E3702" s="1006">
        <v>300</v>
      </c>
      <c r="F3702" s="700"/>
      <c r="G3702" s="700"/>
      <c r="H3702" s="700"/>
      <c r="I3702" s="700"/>
      <c r="J3702" s="700">
        <f>C3702*E3702</f>
        <v>300</v>
      </c>
      <c r="K3702" s="700">
        <f t="shared" si="403"/>
        <v>300</v>
      </c>
      <c r="L3702" s="700"/>
      <c r="M3702" s="700"/>
      <c r="N3702" s="700"/>
      <c r="O3702" s="974">
        <f t="shared" si="405"/>
        <v>300</v>
      </c>
      <c r="P3702" s="956"/>
      <c r="Q3702" s="1821"/>
      <c r="R3702" s="1821"/>
      <c r="S3702" s="1821"/>
      <c r="T3702" s="1821"/>
      <c r="U3702" s="1821"/>
      <c r="V3702" s="1821"/>
      <c r="W3702" s="1821"/>
      <c r="X3702" s="1821"/>
      <c r="Y3702" s="1821"/>
      <c r="Z3702" s="1821"/>
      <c r="AA3702" s="1821"/>
      <c r="AB3702" s="1821"/>
      <c r="AC3702" s="1821"/>
      <c r="AD3702" s="1821"/>
      <c r="AE3702" s="1821"/>
      <c r="AF3702" s="1821"/>
      <c r="AG3702" s="1821"/>
      <c r="AH3702" s="1821"/>
      <c r="AI3702" s="1821"/>
      <c r="AJ3702" s="1821"/>
      <c r="AK3702" s="1821"/>
      <c r="AL3702" s="1821"/>
      <c r="AM3702" s="1821"/>
      <c r="AN3702" s="1821"/>
      <c r="AO3702" s="1821"/>
      <c r="AP3702" s="1821"/>
      <c r="AQ3702" s="1821"/>
      <c r="AR3702" s="1821"/>
      <c r="AS3702" s="1821"/>
      <c r="AT3702" s="1821"/>
      <c r="AU3702" s="1821"/>
      <c r="AV3702" s="1821"/>
      <c r="AW3702" s="1821"/>
      <c r="AX3702" s="1821"/>
      <c r="AY3702" s="1821"/>
      <c r="AZ3702" s="1821"/>
      <c r="BA3702" s="1821"/>
      <c r="BB3702" s="1821"/>
      <c r="BC3702" s="1821"/>
      <c r="BD3702" s="1821"/>
      <c r="BE3702" s="1821"/>
      <c r="BF3702" s="1821"/>
      <c r="BG3702" s="1821"/>
      <c r="BH3702" s="1821"/>
      <c r="BI3702" s="1821"/>
      <c r="BJ3702" s="1821"/>
      <c r="BK3702" s="1821"/>
      <c r="BL3702" s="1821"/>
      <c r="BM3702" s="1821"/>
      <c r="BN3702" s="1821"/>
      <c r="BO3702" s="1821"/>
      <c r="BP3702" s="1821"/>
      <c r="BQ3702" s="1821"/>
      <c r="BR3702" s="1821"/>
      <c r="BS3702" s="1821"/>
      <c r="BT3702" s="1821"/>
      <c r="BU3702" s="1821"/>
      <c r="BV3702" s="1821"/>
      <c r="BW3702" s="1821"/>
      <c r="BX3702" s="1821"/>
      <c r="BY3702" s="1821"/>
      <c r="BZ3702" s="1821"/>
      <c r="CA3702" s="1821"/>
      <c r="CB3702" s="1821"/>
      <c r="CC3702" s="1821"/>
      <c r="CD3702" s="1821"/>
      <c r="CE3702" s="1821"/>
      <c r="CF3702" s="1821"/>
      <c r="CG3702" s="1821"/>
      <c r="CH3702" s="1821"/>
      <c r="CI3702" s="1821"/>
      <c r="CJ3702" s="1821"/>
      <c r="CK3702" s="1821"/>
    </row>
    <row r="3703" spans="1:89" s="675" customFormat="1" ht="16.5" customHeight="1" x14ac:dyDescent="0.25">
      <c r="A3703" s="697"/>
      <c r="B3703" s="1008" t="s">
        <v>1285</v>
      </c>
      <c r="C3703" s="1007">
        <v>6</v>
      </c>
      <c r="D3703" s="1005" t="s">
        <v>207</v>
      </c>
      <c r="E3703" s="1006">
        <v>300</v>
      </c>
      <c r="F3703" s="758"/>
      <c r="G3703" s="758"/>
      <c r="H3703" s="700"/>
      <c r="I3703" s="758"/>
      <c r="J3703" s="700">
        <f>C3703*E3703</f>
        <v>1800</v>
      </c>
      <c r="K3703" s="700">
        <f t="shared" si="403"/>
        <v>1800</v>
      </c>
      <c r="L3703" s="700"/>
      <c r="M3703" s="700"/>
      <c r="N3703" s="700"/>
      <c r="O3703" s="974">
        <f t="shared" si="405"/>
        <v>1800</v>
      </c>
      <c r="P3703" s="956"/>
      <c r="Q3703" s="1821"/>
      <c r="R3703" s="1821"/>
      <c r="S3703" s="1821"/>
      <c r="T3703" s="1821"/>
      <c r="U3703" s="1821"/>
      <c r="V3703" s="1821"/>
      <c r="W3703" s="1821"/>
      <c r="X3703" s="1821"/>
      <c r="Y3703" s="1821"/>
      <c r="Z3703" s="1821"/>
      <c r="AA3703" s="1821"/>
      <c r="AB3703" s="1821"/>
      <c r="AC3703" s="1821"/>
      <c r="AD3703" s="1821"/>
      <c r="AE3703" s="1821"/>
      <c r="AF3703" s="1821"/>
      <c r="AG3703" s="1821"/>
      <c r="AH3703" s="1821"/>
      <c r="AI3703" s="1821"/>
      <c r="AJ3703" s="1821"/>
      <c r="AK3703" s="1821"/>
      <c r="AL3703" s="1821"/>
      <c r="AM3703" s="1821"/>
      <c r="AN3703" s="1821"/>
      <c r="AO3703" s="1821"/>
      <c r="AP3703" s="1821"/>
      <c r="AQ3703" s="1821"/>
      <c r="AR3703" s="1821"/>
      <c r="AS3703" s="1821"/>
      <c r="AT3703" s="1821"/>
      <c r="AU3703" s="1821"/>
      <c r="AV3703" s="1821"/>
      <c r="AW3703" s="1821"/>
      <c r="AX3703" s="1821"/>
      <c r="AY3703" s="1821"/>
      <c r="AZ3703" s="1821"/>
      <c r="BA3703" s="1821"/>
      <c r="BB3703" s="1821"/>
      <c r="BC3703" s="1821"/>
      <c r="BD3703" s="1821"/>
      <c r="BE3703" s="1821"/>
      <c r="BF3703" s="1821"/>
      <c r="BG3703" s="1821"/>
      <c r="BH3703" s="1821"/>
      <c r="BI3703" s="1821"/>
      <c r="BJ3703" s="1821"/>
      <c r="BK3703" s="1821"/>
      <c r="BL3703" s="1821"/>
      <c r="BM3703" s="1821"/>
      <c r="BN3703" s="1821"/>
      <c r="BO3703" s="1821"/>
      <c r="BP3703" s="1821"/>
      <c r="BQ3703" s="1821"/>
      <c r="BR3703" s="1821"/>
      <c r="BS3703" s="1821"/>
      <c r="BT3703" s="1821"/>
      <c r="BU3703" s="1821"/>
      <c r="BV3703" s="1821"/>
      <c r="BW3703" s="1821"/>
      <c r="BX3703" s="1821"/>
      <c r="BY3703" s="1821"/>
      <c r="BZ3703" s="1821"/>
      <c r="CA3703" s="1821"/>
      <c r="CB3703" s="1821"/>
      <c r="CC3703" s="1821"/>
      <c r="CD3703" s="1821"/>
      <c r="CE3703" s="1821"/>
      <c r="CF3703" s="1821"/>
      <c r="CG3703" s="1821"/>
      <c r="CH3703" s="1821"/>
      <c r="CI3703" s="1821"/>
      <c r="CJ3703" s="1821"/>
      <c r="CK3703" s="1821"/>
    </row>
    <row r="3704" spans="1:89" s="675" customFormat="1" ht="16.5" customHeight="1" x14ac:dyDescent="0.25">
      <c r="A3704" s="697"/>
      <c r="B3704" s="1008"/>
      <c r="C3704" s="1007"/>
      <c r="D3704" s="1005"/>
      <c r="E3704" s="1006"/>
      <c r="F3704" s="758"/>
      <c r="G3704" s="758"/>
      <c r="H3704" s="700"/>
      <c r="I3704" s="758"/>
      <c r="J3704" s="700"/>
      <c r="K3704" s="700"/>
      <c r="L3704" s="700"/>
      <c r="M3704" s="700"/>
      <c r="N3704" s="700"/>
      <c r="O3704" s="974"/>
      <c r="P3704" s="956"/>
      <c r="Q3704" s="1821"/>
      <c r="R3704" s="1821"/>
      <c r="S3704" s="1821"/>
      <c r="T3704" s="1821"/>
      <c r="U3704" s="1821"/>
      <c r="V3704" s="1821"/>
      <c r="W3704" s="1821"/>
      <c r="X3704" s="1821"/>
      <c r="Y3704" s="1821"/>
      <c r="Z3704" s="1821"/>
      <c r="AA3704" s="1821"/>
      <c r="AB3704" s="1821"/>
      <c r="AC3704" s="1821"/>
      <c r="AD3704" s="1821"/>
      <c r="AE3704" s="1821"/>
      <c r="AF3704" s="1821"/>
      <c r="AG3704" s="1821"/>
      <c r="AH3704" s="1821"/>
      <c r="AI3704" s="1821"/>
      <c r="AJ3704" s="1821"/>
      <c r="AK3704" s="1821"/>
      <c r="AL3704" s="1821"/>
      <c r="AM3704" s="1821"/>
      <c r="AN3704" s="1821"/>
      <c r="AO3704" s="1821"/>
      <c r="AP3704" s="1821"/>
      <c r="AQ3704" s="1821"/>
      <c r="AR3704" s="1821"/>
      <c r="AS3704" s="1821"/>
      <c r="AT3704" s="1821"/>
      <c r="AU3704" s="1821"/>
      <c r="AV3704" s="1821"/>
      <c r="AW3704" s="1821"/>
      <c r="AX3704" s="1821"/>
      <c r="AY3704" s="1821"/>
      <c r="AZ3704" s="1821"/>
      <c r="BA3704" s="1821"/>
      <c r="BB3704" s="1821"/>
      <c r="BC3704" s="1821"/>
      <c r="BD3704" s="1821"/>
      <c r="BE3704" s="1821"/>
      <c r="BF3704" s="1821"/>
      <c r="BG3704" s="1821"/>
      <c r="BH3704" s="1821"/>
      <c r="BI3704" s="1821"/>
      <c r="BJ3704" s="1821"/>
      <c r="BK3704" s="1821"/>
      <c r="BL3704" s="1821"/>
      <c r="BM3704" s="1821"/>
      <c r="BN3704" s="1821"/>
      <c r="BO3704" s="1821"/>
      <c r="BP3704" s="1821"/>
      <c r="BQ3704" s="1821"/>
      <c r="BR3704" s="1821"/>
      <c r="BS3704" s="1821"/>
      <c r="BT3704" s="1821"/>
      <c r="BU3704" s="1821"/>
      <c r="BV3704" s="1821"/>
      <c r="BW3704" s="1821"/>
      <c r="BX3704" s="1821"/>
      <c r="BY3704" s="1821"/>
      <c r="BZ3704" s="1821"/>
      <c r="CA3704" s="1821"/>
      <c r="CB3704" s="1821"/>
      <c r="CC3704" s="1821"/>
      <c r="CD3704" s="1821"/>
      <c r="CE3704" s="1821"/>
      <c r="CF3704" s="1821"/>
      <c r="CG3704" s="1821"/>
      <c r="CH3704" s="1821"/>
      <c r="CI3704" s="1821"/>
      <c r="CJ3704" s="1821"/>
      <c r="CK3704" s="1821"/>
    </row>
    <row r="3705" spans="1:89" s="675" customFormat="1" ht="16.5" customHeight="1" x14ac:dyDescent="0.25">
      <c r="A3705" s="697"/>
      <c r="B3705" s="1008" t="s">
        <v>349</v>
      </c>
      <c r="C3705" s="1007"/>
      <c r="D3705" s="1005"/>
      <c r="E3705" s="1006"/>
      <c r="F3705" s="758"/>
      <c r="G3705" s="758"/>
      <c r="H3705" s="700"/>
      <c r="I3705" s="758"/>
      <c r="J3705" s="700"/>
      <c r="K3705" s="700"/>
      <c r="L3705" s="758"/>
      <c r="M3705" s="758"/>
      <c r="N3705" s="700"/>
      <c r="O3705" s="974"/>
      <c r="P3705" s="956"/>
      <c r="Q3705" s="1821"/>
      <c r="R3705" s="1821"/>
      <c r="S3705" s="1821"/>
      <c r="T3705" s="1821"/>
      <c r="U3705" s="1821"/>
      <c r="V3705" s="1821"/>
      <c r="W3705" s="1821"/>
      <c r="X3705" s="1821"/>
      <c r="Y3705" s="1821"/>
      <c r="Z3705" s="1821"/>
      <c r="AA3705" s="1821"/>
      <c r="AB3705" s="1821"/>
      <c r="AC3705" s="1821"/>
      <c r="AD3705" s="1821"/>
      <c r="AE3705" s="1821"/>
      <c r="AF3705" s="1821"/>
      <c r="AG3705" s="1821"/>
      <c r="AH3705" s="1821"/>
      <c r="AI3705" s="1821"/>
      <c r="AJ3705" s="1821"/>
      <c r="AK3705" s="1821"/>
      <c r="AL3705" s="1821"/>
      <c r="AM3705" s="1821"/>
      <c r="AN3705" s="1821"/>
      <c r="AO3705" s="1821"/>
      <c r="AP3705" s="1821"/>
      <c r="AQ3705" s="1821"/>
      <c r="AR3705" s="1821"/>
      <c r="AS3705" s="1821"/>
      <c r="AT3705" s="1821"/>
      <c r="AU3705" s="1821"/>
      <c r="AV3705" s="1821"/>
      <c r="AW3705" s="1821"/>
      <c r="AX3705" s="1821"/>
      <c r="AY3705" s="1821"/>
      <c r="AZ3705" s="1821"/>
      <c r="BA3705" s="1821"/>
      <c r="BB3705" s="1821"/>
      <c r="BC3705" s="1821"/>
      <c r="BD3705" s="1821"/>
      <c r="BE3705" s="1821"/>
      <c r="BF3705" s="1821"/>
      <c r="BG3705" s="1821"/>
      <c r="BH3705" s="1821"/>
      <c r="BI3705" s="1821"/>
      <c r="BJ3705" s="1821"/>
      <c r="BK3705" s="1821"/>
      <c r="BL3705" s="1821"/>
      <c r="BM3705" s="1821"/>
      <c r="BN3705" s="1821"/>
      <c r="BO3705" s="1821"/>
      <c r="BP3705" s="1821"/>
      <c r="BQ3705" s="1821"/>
      <c r="BR3705" s="1821"/>
      <c r="BS3705" s="1821"/>
      <c r="BT3705" s="1821"/>
      <c r="BU3705" s="1821"/>
      <c r="BV3705" s="1821"/>
      <c r="BW3705" s="1821"/>
      <c r="BX3705" s="1821"/>
      <c r="BY3705" s="1821"/>
      <c r="BZ3705" s="1821"/>
      <c r="CA3705" s="1821"/>
      <c r="CB3705" s="1821"/>
      <c r="CC3705" s="1821"/>
      <c r="CD3705" s="1821"/>
      <c r="CE3705" s="1821"/>
      <c r="CF3705" s="1821"/>
      <c r="CG3705" s="1821"/>
      <c r="CH3705" s="1821"/>
      <c r="CI3705" s="1821"/>
      <c r="CJ3705" s="1821"/>
      <c r="CK3705" s="1821"/>
    </row>
    <row r="3706" spans="1:89" s="675" customFormat="1" ht="16.5" customHeight="1" x14ac:dyDescent="0.25">
      <c r="A3706" s="697"/>
      <c r="B3706" s="1008" t="s">
        <v>344</v>
      </c>
      <c r="C3706" s="1007">
        <v>12</v>
      </c>
      <c r="D3706" s="1005" t="s">
        <v>51</v>
      </c>
      <c r="E3706" s="1006">
        <v>150</v>
      </c>
      <c r="F3706" s="758"/>
      <c r="G3706" s="758"/>
      <c r="H3706" s="700"/>
      <c r="I3706" s="758"/>
      <c r="J3706" s="700">
        <f>C3706*E3706</f>
        <v>1800</v>
      </c>
      <c r="K3706" s="700">
        <f t="shared" si="403"/>
        <v>1800</v>
      </c>
      <c r="L3706" s="758"/>
      <c r="M3706" s="758"/>
      <c r="N3706" s="700"/>
      <c r="O3706" s="974">
        <f t="shared" si="405"/>
        <v>1800</v>
      </c>
      <c r="P3706" s="956"/>
      <c r="Q3706" s="1821"/>
      <c r="R3706" s="1821"/>
      <c r="S3706" s="1821"/>
      <c r="T3706" s="1821"/>
      <c r="U3706" s="1821"/>
      <c r="V3706" s="1821"/>
      <c r="W3706" s="1821"/>
      <c r="X3706" s="1821"/>
      <c r="Y3706" s="1821"/>
      <c r="Z3706" s="1821"/>
      <c r="AA3706" s="1821"/>
      <c r="AB3706" s="1821"/>
      <c r="AC3706" s="1821"/>
      <c r="AD3706" s="1821"/>
      <c r="AE3706" s="1821"/>
      <c r="AF3706" s="1821"/>
      <c r="AG3706" s="1821"/>
      <c r="AH3706" s="1821"/>
      <c r="AI3706" s="1821"/>
      <c r="AJ3706" s="1821"/>
      <c r="AK3706" s="1821"/>
      <c r="AL3706" s="1821"/>
      <c r="AM3706" s="1821"/>
      <c r="AN3706" s="1821"/>
      <c r="AO3706" s="1821"/>
      <c r="AP3706" s="1821"/>
      <c r="AQ3706" s="1821"/>
      <c r="AR3706" s="1821"/>
      <c r="AS3706" s="1821"/>
      <c r="AT3706" s="1821"/>
      <c r="AU3706" s="1821"/>
      <c r="AV3706" s="1821"/>
      <c r="AW3706" s="1821"/>
      <c r="AX3706" s="1821"/>
      <c r="AY3706" s="1821"/>
      <c r="AZ3706" s="1821"/>
      <c r="BA3706" s="1821"/>
      <c r="BB3706" s="1821"/>
      <c r="BC3706" s="1821"/>
      <c r="BD3706" s="1821"/>
      <c r="BE3706" s="1821"/>
      <c r="BF3706" s="1821"/>
      <c r="BG3706" s="1821"/>
      <c r="BH3706" s="1821"/>
      <c r="BI3706" s="1821"/>
      <c r="BJ3706" s="1821"/>
      <c r="BK3706" s="1821"/>
      <c r="BL3706" s="1821"/>
      <c r="BM3706" s="1821"/>
      <c r="BN3706" s="1821"/>
      <c r="BO3706" s="1821"/>
      <c r="BP3706" s="1821"/>
      <c r="BQ3706" s="1821"/>
      <c r="BR3706" s="1821"/>
      <c r="BS3706" s="1821"/>
      <c r="BT3706" s="1821"/>
      <c r="BU3706" s="1821"/>
      <c r="BV3706" s="1821"/>
      <c r="BW3706" s="1821"/>
      <c r="BX3706" s="1821"/>
      <c r="BY3706" s="1821"/>
      <c r="BZ3706" s="1821"/>
      <c r="CA3706" s="1821"/>
      <c r="CB3706" s="1821"/>
      <c r="CC3706" s="1821"/>
      <c r="CD3706" s="1821"/>
      <c r="CE3706" s="1821"/>
      <c r="CF3706" s="1821"/>
      <c r="CG3706" s="1821"/>
      <c r="CH3706" s="1821"/>
      <c r="CI3706" s="1821"/>
      <c r="CJ3706" s="1821"/>
      <c r="CK3706" s="1821"/>
    </row>
    <row r="3707" spans="1:89" s="675" customFormat="1" ht="16.5" customHeight="1" x14ac:dyDescent="0.25">
      <c r="A3707" s="697"/>
      <c r="B3707" s="1008" t="s">
        <v>54</v>
      </c>
      <c r="C3707" s="1007">
        <v>48</v>
      </c>
      <c r="D3707" s="1005" t="s">
        <v>55</v>
      </c>
      <c r="E3707" s="1006">
        <v>430</v>
      </c>
      <c r="F3707" s="758"/>
      <c r="G3707" s="758"/>
      <c r="H3707" s="700"/>
      <c r="I3707" s="758"/>
      <c r="J3707" s="700">
        <f>C3707*E3707</f>
        <v>20640</v>
      </c>
      <c r="K3707" s="700">
        <f t="shared" si="403"/>
        <v>20640</v>
      </c>
      <c r="L3707" s="758"/>
      <c r="M3707" s="758"/>
      <c r="N3707" s="700"/>
      <c r="O3707" s="974">
        <f t="shared" si="405"/>
        <v>20640</v>
      </c>
      <c r="P3707" s="956"/>
      <c r="Q3707" s="1821"/>
      <c r="R3707" s="1821"/>
      <c r="S3707" s="1821"/>
      <c r="T3707" s="1821"/>
      <c r="U3707" s="1821"/>
      <c r="V3707" s="1821"/>
      <c r="W3707" s="1821"/>
      <c r="X3707" s="1821"/>
      <c r="Y3707" s="1821"/>
      <c r="Z3707" s="1821"/>
      <c r="AA3707" s="1821"/>
      <c r="AB3707" s="1821"/>
      <c r="AC3707" s="1821"/>
      <c r="AD3707" s="1821"/>
      <c r="AE3707" s="1821"/>
      <c r="AF3707" s="1821"/>
      <c r="AG3707" s="1821"/>
      <c r="AH3707" s="1821"/>
      <c r="AI3707" s="1821"/>
      <c r="AJ3707" s="1821"/>
      <c r="AK3707" s="1821"/>
      <c r="AL3707" s="1821"/>
      <c r="AM3707" s="1821"/>
      <c r="AN3707" s="1821"/>
      <c r="AO3707" s="1821"/>
      <c r="AP3707" s="1821"/>
      <c r="AQ3707" s="1821"/>
      <c r="AR3707" s="1821"/>
      <c r="AS3707" s="1821"/>
      <c r="AT3707" s="1821"/>
      <c r="AU3707" s="1821"/>
      <c r="AV3707" s="1821"/>
      <c r="AW3707" s="1821"/>
      <c r="AX3707" s="1821"/>
      <c r="AY3707" s="1821"/>
      <c r="AZ3707" s="1821"/>
      <c r="BA3707" s="1821"/>
      <c r="BB3707" s="1821"/>
      <c r="BC3707" s="1821"/>
      <c r="BD3707" s="1821"/>
      <c r="BE3707" s="1821"/>
      <c r="BF3707" s="1821"/>
      <c r="BG3707" s="1821"/>
      <c r="BH3707" s="1821"/>
      <c r="BI3707" s="1821"/>
      <c r="BJ3707" s="1821"/>
      <c r="BK3707" s="1821"/>
      <c r="BL3707" s="1821"/>
      <c r="BM3707" s="1821"/>
      <c r="BN3707" s="1821"/>
      <c r="BO3707" s="1821"/>
      <c r="BP3707" s="1821"/>
      <c r="BQ3707" s="1821"/>
      <c r="BR3707" s="1821"/>
      <c r="BS3707" s="1821"/>
      <c r="BT3707" s="1821"/>
      <c r="BU3707" s="1821"/>
      <c r="BV3707" s="1821"/>
      <c r="BW3707" s="1821"/>
      <c r="BX3707" s="1821"/>
      <c r="BY3707" s="1821"/>
      <c r="BZ3707" s="1821"/>
      <c r="CA3707" s="1821"/>
      <c r="CB3707" s="1821"/>
      <c r="CC3707" s="1821"/>
      <c r="CD3707" s="1821"/>
      <c r="CE3707" s="1821"/>
      <c r="CF3707" s="1821"/>
      <c r="CG3707" s="1821"/>
      <c r="CH3707" s="1821"/>
      <c r="CI3707" s="1821"/>
      <c r="CJ3707" s="1821"/>
      <c r="CK3707" s="1821"/>
    </row>
    <row r="3708" spans="1:89" s="675" customFormat="1" ht="16.5" customHeight="1" x14ac:dyDescent="0.25">
      <c r="A3708" s="697"/>
      <c r="B3708" s="1008" t="s">
        <v>52</v>
      </c>
      <c r="C3708" s="1007">
        <v>24</v>
      </c>
      <c r="D3708" s="1005" t="s">
        <v>55</v>
      </c>
      <c r="E3708" s="1006">
        <v>460</v>
      </c>
      <c r="F3708" s="758"/>
      <c r="G3708" s="758"/>
      <c r="H3708" s="700"/>
      <c r="I3708" s="758"/>
      <c r="J3708" s="700">
        <f>C3708*E3708</f>
        <v>11040</v>
      </c>
      <c r="K3708" s="700">
        <f t="shared" si="403"/>
        <v>11040</v>
      </c>
      <c r="L3708" s="758"/>
      <c r="M3708" s="758"/>
      <c r="N3708" s="700"/>
      <c r="O3708" s="974">
        <f t="shared" si="405"/>
        <v>11040</v>
      </c>
      <c r="P3708" s="956"/>
      <c r="Q3708" s="1821"/>
      <c r="R3708" s="1821"/>
      <c r="S3708" s="1821"/>
      <c r="T3708" s="1821"/>
      <c r="U3708" s="1821"/>
      <c r="V3708" s="1821"/>
      <c r="W3708" s="1821"/>
      <c r="X3708" s="1821"/>
      <c r="Y3708" s="1821"/>
      <c r="Z3708" s="1821"/>
      <c r="AA3708" s="1821"/>
      <c r="AB3708" s="1821"/>
      <c r="AC3708" s="1821"/>
      <c r="AD3708" s="1821"/>
      <c r="AE3708" s="1821"/>
      <c r="AF3708" s="1821"/>
      <c r="AG3708" s="1821"/>
      <c r="AH3708" s="1821"/>
      <c r="AI3708" s="1821"/>
      <c r="AJ3708" s="1821"/>
      <c r="AK3708" s="1821"/>
      <c r="AL3708" s="1821"/>
      <c r="AM3708" s="1821"/>
      <c r="AN3708" s="1821"/>
      <c r="AO3708" s="1821"/>
      <c r="AP3708" s="1821"/>
      <c r="AQ3708" s="1821"/>
      <c r="AR3708" s="1821"/>
      <c r="AS3708" s="1821"/>
      <c r="AT3708" s="1821"/>
      <c r="AU3708" s="1821"/>
      <c r="AV3708" s="1821"/>
      <c r="AW3708" s="1821"/>
      <c r="AX3708" s="1821"/>
      <c r="AY3708" s="1821"/>
      <c r="AZ3708" s="1821"/>
      <c r="BA3708" s="1821"/>
      <c r="BB3708" s="1821"/>
      <c r="BC3708" s="1821"/>
      <c r="BD3708" s="1821"/>
      <c r="BE3708" s="1821"/>
      <c r="BF3708" s="1821"/>
      <c r="BG3708" s="1821"/>
      <c r="BH3708" s="1821"/>
      <c r="BI3708" s="1821"/>
      <c r="BJ3708" s="1821"/>
      <c r="BK3708" s="1821"/>
      <c r="BL3708" s="1821"/>
      <c r="BM3708" s="1821"/>
      <c r="BN3708" s="1821"/>
      <c r="BO3708" s="1821"/>
      <c r="BP3708" s="1821"/>
      <c r="BQ3708" s="1821"/>
      <c r="BR3708" s="1821"/>
      <c r="BS3708" s="1821"/>
      <c r="BT3708" s="1821"/>
      <c r="BU3708" s="1821"/>
      <c r="BV3708" s="1821"/>
      <c r="BW3708" s="1821"/>
      <c r="BX3708" s="1821"/>
      <c r="BY3708" s="1821"/>
      <c r="BZ3708" s="1821"/>
      <c r="CA3708" s="1821"/>
      <c r="CB3708" s="1821"/>
      <c r="CC3708" s="1821"/>
      <c r="CD3708" s="1821"/>
      <c r="CE3708" s="1821"/>
      <c r="CF3708" s="1821"/>
      <c r="CG3708" s="1821"/>
      <c r="CH3708" s="1821"/>
      <c r="CI3708" s="1821"/>
      <c r="CJ3708" s="1821"/>
      <c r="CK3708" s="1821"/>
    </row>
    <row r="3709" spans="1:89" s="675" customFormat="1" ht="16.5" customHeight="1" x14ac:dyDescent="0.25">
      <c r="A3709" s="697"/>
      <c r="B3709" s="1002"/>
      <c r="C3709" s="1004"/>
      <c r="D3709" s="1005"/>
      <c r="E3709" s="1006"/>
      <c r="F3709" s="758"/>
      <c r="G3709" s="758"/>
      <c r="H3709" s="700"/>
      <c r="I3709" s="758"/>
      <c r="J3709" s="758"/>
      <c r="K3709" s="700"/>
      <c r="L3709" s="758"/>
      <c r="M3709" s="758"/>
      <c r="N3709" s="700"/>
      <c r="O3709" s="974"/>
      <c r="P3709" s="956"/>
      <c r="Q3709" s="1821"/>
      <c r="R3709" s="1821"/>
      <c r="S3709" s="1821"/>
      <c r="T3709" s="1821"/>
      <c r="U3709" s="1821"/>
      <c r="V3709" s="1821"/>
      <c r="W3709" s="1821"/>
      <c r="X3709" s="1821"/>
      <c r="Y3709" s="1821"/>
      <c r="Z3709" s="1821"/>
      <c r="AA3709" s="1821"/>
      <c r="AB3709" s="1821"/>
      <c r="AC3709" s="1821"/>
      <c r="AD3709" s="1821"/>
      <c r="AE3709" s="1821"/>
      <c r="AF3709" s="1821"/>
      <c r="AG3709" s="1821"/>
      <c r="AH3709" s="1821"/>
      <c r="AI3709" s="1821"/>
      <c r="AJ3709" s="1821"/>
      <c r="AK3709" s="1821"/>
      <c r="AL3709" s="1821"/>
      <c r="AM3709" s="1821"/>
      <c r="AN3709" s="1821"/>
      <c r="AO3709" s="1821"/>
      <c r="AP3709" s="1821"/>
      <c r="AQ3709" s="1821"/>
      <c r="AR3709" s="1821"/>
      <c r="AS3709" s="1821"/>
      <c r="AT3709" s="1821"/>
      <c r="AU3709" s="1821"/>
      <c r="AV3709" s="1821"/>
      <c r="AW3709" s="1821"/>
      <c r="AX3709" s="1821"/>
      <c r="AY3709" s="1821"/>
      <c r="AZ3709" s="1821"/>
      <c r="BA3709" s="1821"/>
      <c r="BB3709" s="1821"/>
      <c r="BC3709" s="1821"/>
      <c r="BD3709" s="1821"/>
      <c r="BE3709" s="1821"/>
      <c r="BF3709" s="1821"/>
      <c r="BG3709" s="1821"/>
      <c r="BH3709" s="1821"/>
      <c r="BI3709" s="1821"/>
      <c r="BJ3709" s="1821"/>
      <c r="BK3709" s="1821"/>
      <c r="BL3709" s="1821"/>
      <c r="BM3709" s="1821"/>
      <c r="BN3709" s="1821"/>
      <c r="BO3709" s="1821"/>
      <c r="BP3709" s="1821"/>
      <c r="BQ3709" s="1821"/>
      <c r="BR3709" s="1821"/>
      <c r="BS3709" s="1821"/>
      <c r="BT3709" s="1821"/>
      <c r="BU3709" s="1821"/>
      <c r="BV3709" s="1821"/>
      <c r="BW3709" s="1821"/>
      <c r="BX3709" s="1821"/>
      <c r="BY3709" s="1821"/>
      <c r="BZ3709" s="1821"/>
      <c r="CA3709" s="1821"/>
      <c r="CB3709" s="1821"/>
      <c r="CC3709" s="1821"/>
      <c r="CD3709" s="1821"/>
      <c r="CE3709" s="1821"/>
      <c r="CF3709" s="1821"/>
      <c r="CG3709" s="1821"/>
      <c r="CH3709" s="1821"/>
      <c r="CI3709" s="1821"/>
      <c r="CJ3709" s="1821"/>
      <c r="CK3709" s="1821"/>
    </row>
    <row r="3710" spans="1:89" s="675" customFormat="1" ht="16.5" customHeight="1" x14ac:dyDescent="0.25">
      <c r="A3710" s="697"/>
      <c r="B3710" s="1008" t="s">
        <v>1286</v>
      </c>
      <c r="C3710" s="1007"/>
      <c r="D3710" s="1005"/>
      <c r="E3710" s="1006"/>
      <c r="F3710" s="700"/>
      <c r="G3710" s="700"/>
      <c r="H3710" s="700"/>
      <c r="I3710" s="700"/>
      <c r="J3710" s="700"/>
      <c r="K3710" s="700"/>
      <c r="L3710" s="700"/>
      <c r="M3710" s="700"/>
      <c r="N3710" s="700"/>
      <c r="O3710" s="974"/>
      <c r="P3710" s="956"/>
      <c r="Q3710" s="1821"/>
      <c r="R3710" s="1821"/>
      <c r="S3710" s="1821"/>
      <c r="T3710" s="1821"/>
      <c r="U3710" s="1821"/>
      <c r="V3710" s="1821"/>
      <c r="W3710" s="1821"/>
      <c r="X3710" s="1821"/>
      <c r="Y3710" s="1821"/>
      <c r="Z3710" s="1821"/>
      <c r="AA3710" s="1821"/>
      <c r="AB3710" s="1821"/>
      <c r="AC3710" s="1821"/>
      <c r="AD3710" s="1821"/>
      <c r="AE3710" s="1821"/>
      <c r="AF3710" s="1821"/>
      <c r="AG3710" s="1821"/>
      <c r="AH3710" s="1821"/>
      <c r="AI3710" s="1821"/>
      <c r="AJ3710" s="1821"/>
      <c r="AK3710" s="1821"/>
      <c r="AL3710" s="1821"/>
      <c r="AM3710" s="1821"/>
      <c r="AN3710" s="1821"/>
      <c r="AO3710" s="1821"/>
      <c r="AP3710" s="1821"/>
      <c r="AQ3710" s="1821"/>
      <c r="AR3710" s="1821"/>
      <c r="AS3710" s="1821"/>
      <c r="AT3710" s="1821"/>
      <c r="AU3710" s="1821"/>
      <c r="AV3710" s="1821"/>
      <c r="AW3710" s="1821"/>
      <c r="AX3710" s="1821"/>
      <c r="AY3710" s="1821"/>
      <c r="AZ3710" s="1821"/>
      <c r="BA3710" s="1821"/>
      <c r="BB3710" s="1821"/>
      <c r="BC3710" s="1821"/>
      <c r="BD3710" s="1821"/>
      <c r="BE3710" s="1821"/>
      <c r="BF3710" s="1821"/>
      <c r="BG3710" s="1821"/>
      <c r="BH3710" s="1821"/>
      <c r="BI3710" s="1821"/>
      <c r="BJ3710" s="1821"/>
      <c r="BK3710" s="1821"/>
      <c r="BL3710" s="1821"/>
      <c r="BM3710" s="1821"/>
      <c r="BN3710" s="1821"/>
      <c r="BO3710" s="1821"/>
      <c r="BP3710" s="1821"/>
      <c r="BQ3710" s="1821"/>
      <c r="BR3710" s="1821"/>
      <c r="BS3710" s="1821"/>
      <c r="BT3710" s="1821"/>
      <c r="BU3710" s="1821"/>
      <c r="BV3710" s="1821"/>
      <c r="BW3710" s="1821"/>
      <c r="BX3710" s="1821"/>
      <c r="BY3710" s="1821"/>
      <c r="BZ3710" s="1821"/>
      <c r="CA3710" s="1821"/>
      <c r="CB3710" s="1821"/>
      <c r="CC3710" s="1821"/>
      <c r="CD3710" s="1821"/>
      <c r="CE3710" s="1821"/>
      <c r="CF3710" s="1821"/>
      <c r="CG3710" s="1821"/>
      <c r="CH3710" s="1821"/>
      <c r="CI3710" s="1821"/>
      <c r="CJ3710" s="1821"/>
      <c r="CK3710" s="1821"/>
    </row>
    <row r="3711" spans="1:89" s="675" customFormat="1" ht="16.5" customHeight="1" x14ac:dyDescent="0.25">
      <c r="A3711" s="697"/>
      <c r="B3711" s="1008" t="s">
        <v>1287</v>
      </c>
      <c r="C3711" s="1007">
        <v>110</v>
      </c>
      <c r="D3711" s="1005" t="s">
        <v>16</v>
      </c>
      <c r="E3711" s="1006">
        <v>640</v>
      </c>
      <c r="F3711" s="758"/>
      <c r="G3711" s="758"/>
      <c r="H3711" s="700"/>
      <c r="I3711" s="758"/>
      <c r="J3711" s="700">
        <f>C3711*E3711</f>
        <v>70400</v>
      </c>
      <c r="K3711" s="700">
        <f>J3711+I3711</f>
        <v>70400</v>
      </c>
      <c r="L3711" s="700"/>
      <c r="M3711" s="700"/>
      <c r="N3711" s="700"/>
      <c r="O3711" s="974">
        <f>E3711*C3711</f>
        <v>70400</v>
      </c>
      <c r="P3711" s="956"/>
      <c r="Q3711" s="1821"/>
      <c r="R3711" s="1821"/>
      <c r="S3711" s="1821"/>
      <c r="T3711" s="1821"/>
      <c r="U3711" s="1821"/>
      <c r="V3711" s="1821"/>
      <c r="W3711" s="1821"/>
      <c r="X3711" s="1821"/>
      <c r="Y3711" s="1821"/>
      <c r="Z3711" s="1821"/>
      <c r="AA3711" s="1821"/>
      <c r="AB3711" s="1821"/>
      <c r="AC3711" s="1821"/>
      <c r="AD3711" s="1821"/>
      <c r="AE3711" s="1821"/>
      <c r="AF3711" s="1821"/>
      <c r="AG3711" s="1821"/>
      <c r="AH3711" s="1821"/>
      <c r="AI3711" s="1821"/>
      <c r="AJ3711" s="1821"/>
      <c r="AK3711" s="1821"/>
      <c r="AL3711" s="1821"/>
      <c r="AM3711" s="1821"/>
      <c r="AN3711" s="1821"/>
      <c r="AO3711" s="1821"/>
      <c r="AP3711" s="1821"/>
      <c r="AQ3711" s="1821"/>
      <c r="AR3711" s="1821"/>
      <c r="AS3711" s="1821"/>
      <c r="AT3711" s="1821"/>
      <c r="AU3711" s="1821"/>
      <c r="AV3711" s="1821"/>
      <c r="AW3711" s="1821"/>
      <c r="AX3711" s="1821"/>
      <c r="AY3711" s="1821"/>
      <c r="AZ3711" s="1821"/>
      <c r="BA3711" s="1821"/>
      <c r="BB3711" s="1821"/>
      <c r="BC3711" s="1821"/>
      <c r="BD3711" s="1821"/>
      <c r="BE3711" s="1821"/>
      <c r="BF3711" s="1821"/>
      <c r="BG3711" s="1821"/>
      <c r="BH3711" s="1821"/>
      <c r="BI3711" s="1821"/>
      <c r="BJ3711" s="1821"/>
      <c r="BK3711" s="1821"/>
      <c r="BL3711" s="1821"/>
      <c r="BM3711" s="1821"/>
      <c r="BN3711" s="1821"/>
      <c r="BO3711" s="1821"/>
      <c r="BP3711" s="1821"/>
      <c r="BQ3711" s="1821"/>
      <c r="BR3711" s="1821"/>
      <c r="BS3711" s="1821"/>
      <c r="BT3711" s="1821"/>
      <c r="BU3711" s="1821"/>
      <c r="BV3711" s="1821"/>
      <c r="BW3711" s="1821"/>
      <c r="BX3711" s="1821"/>
      <c r="BY3711" s="1821"/>
      <c r="BZ3711" s="1821"/>
      <c r="CA3711" s="1821"/>
      <c r="CB3711" s="1821"/>
      <c r="CC3711" s="1821"/>
      <c r="CD3711" s="1821"/>
      <c r="CE3711" s="1821"/>
      <c r="CF3711" s="1821"/>
      <c r="CG3711" s="1821"/>
      <c r="CH3711" s="1821"/>
      <c r="CI3711" s="1821"/>
      <c r="CJ3711" s="1821"/>
      <c r="CK3711" s="1821"/>
    </row>
    <row r="3712" spans="1:89" s="675" customFormat="1" ht="16.5" customHeight="1" x14ac:dyDescent="0.25">
      <c r="A3712" s="697"/>
      <c r="B3712" s="1008" t="s">
        <v>1288</v>
      </c>
      <c r="C3712" s="1007">
        <v>100</v>
      </c>
      <c r="D3712" s="1005" t="s">
        <v>55</v>
      </c>
      <c r="E3712" s="1006">
        <v>150</v>
      </c>
      <c r="F3712" s="758"/>
      <c r="G3712" s="758"/>
      <c r="H3712" s="700"/>
      <c r="I3712" s="758"/>
      <c r="J3712" s="700">
        <f>C3712*E3712</f>
        <v>15000</v>
      </c>
      <c r="K3712" s="700">
        <f>J3712+I3712</f>
        <v>15000</v>
      </c>
      <c r="L3712" s="700"/>
      <c r="M3712" s="700"/>
      <c r="N3712" s="700"/>
      <c r="O3712" s="974">
        <f>E3712*C3712</f>
        <v>15000</v>
      </c>
      <c r="P3712" s="956"/>
      <c r="Q3712" s="1821"/>
      <c r="R3712" s="1821"/>
      <c r="S3712" s="1821"/>
      <c r="T3712" s="1821"/>
      <c r="U3712" s="1821"/>
      <c r="V3712" s="1821"/>
      <c r="W3712" s="1821"/>
      <c r="X3712" s="1821"/>
      <c r="Y3712" s="1821"/>
      <c r="Z3712" s="1821"/>
      <c r="AA3712" s="1821"/>
      <c r="AB3712" s="1821"/>
      <c r="AC3712" s="1821"/>
      <c r="AD3712" s="1821"/>
      <c r="AE3712" s="1821"/>
      <c r="AF3712" s="1821"/>
      <c r="AG3712" s="1821"/>
      <c r="AH3712" s="1821"/>
      <c r="AI3712" s="1821"/>
      <c r="AJ3712" s="1821"/>
      <c r="AK3712" s="1821"/>
      <c r="AL3712" s="1821"/>
      <c r="AM3712" s="1821"/>
      <c r="AN3712" s="1821"/>
      <c r="AO3712" s="1821"/>
      <c r="AP3712" s="1821"/>
      <c r="AQ3712" s="1821"/>
      <c r="AR3712" s="1821"/>
      <c r="AS3712" s="1821"/>
      <c r="AT3712" s="1821"/>
      <c r="AU3712" s="1821"/>
      <c r="AV3712" s="1821"/>
      <c r="AW3712" s="1821"/>
      <c r="AX3712" s="1821"/>
      <c r="AY3712" s="1821"/>
      <c r="AZ3712" s="1821"/>
      <c r="BA3712" s="1821"/>
      <c r="BB3712" s="1821"/>
      <c r="BC3712" s="1821"/>
      <c r="BD3712" s="1821"/>
      <c r="BE3712" s="1821"/>
      <c r="BF3712" s="1821"/>
      <c r="BG3712" s="1821"/>
      <c r="BH3712" s="1821"/>
      <c r="BI3712" s="1821"/>
      <c r="BJ3712" s="1821"/>
      <c r="BK3712" s="1821"/>
      <c r="BL3712" s="1821"/>
      <c r="BM3712" s="1821"/>
      <c r="BN3712" s="1821"/>
      <c r="BO3712" s="1821"/>
      <c r="BP3712" s="1821"/>
      <c r="BQ3712" s="1821"/>
      <c r="BR3712" s="1821"/>
      <c r="BS3712" s="1821"/>
      <c r="BT3712" s="1821"/>
      <c r="BU3712" s="1821"/>
      <c r="BV3712" s="1821"/>
      <c r="BW3712" s="1821"/>
      <c r="BX3712" s="1821"/>
      <c r="BY3712" s="1821"/>
      <c r="BZ3712" s="1821"/>
      <c r="CA3712" s="1821"/>
      <c r="CB3712" s="1821"/>
      <c r="CC3712" s="1821"/>
      <c r="CD3712" s="1821"/>
      <c r="CE3712" s="1821"/>
      <c r="CF3712" s="1821"/>
      <c r="CG3712" s="1821"/>
      <c r="CH3712" s="1821"/>
      <c r="CI3712" s="1821"/>
      <c r="CJ3712" s="1821"/>
      <c r="CK3712" s="1821"/>
    </row>
    <row r="3713" spans="1:89" s="675" customFormat="1" ht="16.5" customHeight="1" x14ac:dyDescent="0.25">
      <c r="A3713" s="697"/>
      <c r="B3713" s="1008"/>
      <c r="C3713" s="1007"/>
      <c r="D3713" s="1005"/>
      <c r="E3713" s="1006"/>
      <c r="F3713" s="758"/>
      <c r="G3713" s="758"/>
      <c r="H3713" s="700"/>
      <c r="I3713" s="758"/>
      <c r="J3713" s="700"/>
      <c r="K3713" s="700"/>
      <c r="L3713" s="700"/>
      <c r="M3713" s="700"/>
      <c r="N3713" s="700"/>
      <c r="O3713" s="974"/>
      <c r="P3713" s="956"/>
      <c r="Q3713" s="1821"/>
      <c r="R3713" s="1821"/>
      <c r="S3713" s="1821"/>
      <c r="T3713" s="1821"/>
      <c r="U3713" s="1821"/>
      <c r="V3713" s="1821"/>
      <c r="W3713" s="1821"/>
      <c r="X3713" s="1821"/>
      <c r="Y3713" s="1821"/>
      <c r="Z3713" s="1821"/>
      <c r="AA3713" s="1821"/>
      <c r="AB3713" s="1821"/>
      <c r="AC3713" s="1821"/>
      <c r="AD3713" s="1821"/>
      <c r="AE3713" s="1821"/>
      <c r="AF3713" s="1821"/>
      <c r="AG3713" s="1821"/>
      <c r="AH3713" s="1821"/>
      <c r="AI3713" s="1821"/>
      <c r="AJ3713" s="1821"/>
      <c r="AK3713" s="1821"/>
      <c r="AL3713" s="1821"/>
      <c r="AM3713" s="1821"/>
      <c r="AN3713" s="1821"/>
      <c r="AO3713" s="1821"/>
      <c r="AP3713" s="1821"/>
      <c r="AQ3713" s="1821"/>
      <c r="AR3713" s="1821"/>
      <c r="AS3713" s="1821"/>
      <c r="AT3713" s="1821"/>
      <c r="AU3713" s="1821"/>
      <c r="AV3713" s="1821"/>
      <c r="AW3713" s="1821"/>
      <c r="AX3713" s="1821"/>
      <c r="AY3713" s="1821"/>
      <c r="AZ3713" s="1821"/>
      <c r="BA3713" s="1821"/>
      <c r="BB3713" s="1821"/>
      <c r="BC3713" s="1821"/>
      <c r="BD3713" s="1821"/>
      <c r="BE3713" s="1821"/>
      <c r="BF3713" s="1821"/>
      <c r="BG3713" s="1821"/>
      <c r="BH3713" s="1821"/>
      <c r="BI3713" s="1821"/>
      <c r="BJ3713" s="1821"/>
      <c r="BK3713" s="1821"/>
      <c r="BL3713" s="1821"/>
      <c r="BM3713" s="1821"/>
      <c r="BN3713" s="1821"/>
      <c r="BO3713" s="1821"/>
      <c r="BP3713" s="1821"/>
      <c r="BQ3713" s="1821"/>
      <c r="BR3713" s="1821"/>
      <c r="BS3713" s="1821"/>
      <c r="BT3713" s="1821"/>
      <c r="BU3713" s="1821"/>
      <c r="BV3713" s="1821"/>
      <c r="BW3713" s="1821"/>
      <c r="BX3713" s="1821"/>
      <c r="BY3713" s="1821"/>
      <c r="BZ3713" s="1821"/>
      <c r="CA3713" s="1821"/>
      <c r="CB3713" s="1821"/>
      <c r="CC3713" s="1821"/>
      <c r="CD3713" s="1821"/>
      <c r="CE3713" s="1821"/>
      <c r="CF3713" s="1821"/>
      <c r="CG3713" s="1821"/>
      <c r="CH3713" s="1821"/>
      <c r="CI3713" s="1821"/>
      <c r="CJ3713" s="1821"/>
      <c r="CK3713" s="1821"/>
    </row>
    <row r="3714" spans="1:89" s="675" customFormat="1" ht="16.5" customHeight="1" x14ac:dyDescent="0.25">
      <c r="A3714" s="697"/>
      <c r="B3714" s="1008" t="s">
        <v>1289</v>
      </c>
      <c r="C3714" s="1007"/>
      <c r="D3714" s="1005"/>
      <c r="E3714" s="1006"/>
      <c r="F3714" s="758"/>
      <c r="G3714" s="758"/>
      <c r="H3714" s="700"/>
      <c r="I3714" s="758"/>
      <c r="J3714" s="700"/>
      <c r="K3714" s="700"/>
      <c r="L3714" s="758"/>
      <c r="M3714" s="758"/>
      <c r="N3714" s="700"/>
      <c r="O3714" s="974"/>
      <c r="P3714" s="956"/>
      <c r="Q3714" s="1821"/>
      <c r="R3714" s="1821"/>
      <c r="S3714" s="1821"/>
      <c r="T3714" s="1821"/>
      <c r="U3714" s="1821"/>
      <c r="V3714" s="1821"/>
      <c r="W3714" s="1821"/>
      <c r="X3714" s="1821"/>
      <c r="Y3714" s="1821"/>
      <c r="Z3714" s="1821"/>
      <c r="AA3714" s="1821"/>
      <c r="AB3714" s="1821"/>
      <c r="AC3714" s="1821"/>
      <c r="AD3714" s="1821"/>
      <c r="AE3714" s="1821"/>
      <c r="AF3714" s="1821"/>
      <c r="AG3714" s="1821"/>
      <c r="AH3714" s="1821"/>
      <c r="AI3714" s="1821"/>
      <c r="AJ3714" s="1821"/>
      <c r="AK3714" s="1821"/>
      <c r="AL3714" s="1821"/>
      <c r="AM3714" s="1821"/>
      <c r="AN3714" s="1821"/>
      <c r="AO3714" s="1821"/>
      <c r="AP3714" s="1821"/>
      <c r="AQ3714" s="1821"/>
      <c r="AR3714" s="1821"/>
      <c r="AS3714" s="1821"/>
      <c r="AT3714" s="1821"/>
      <c r="AU3714" s="1821"/>
      <c r="AV3714" s="1821"/>
      <c r="AW3714" s="1821"/>
      <c r="AX3714" s="1821"/>
      <c r="AY3714" s="1821"/>
      <c r="AZ3714" s="1821"/>
      <c r="BA3714" s="1821"/>
      <c r="BB3714" s="1821"/>
      <c r="BC3714" s="1821"/>
      <c r="BD3714" s="1821"/>
      <c r="BE3714" s="1821"/>
      <c r="BF3714" s="1821"/>
      <c r="BG3714" s="1821"/>
      <c r="BH3714" s="1821"/>
      <c r="BI3714" s="1821"/>
      <c r="BJ3714" s="1821"/>
      <c r="BK3714" s="1821"/>
      <c r="BL3714" s="1821"/>
      <c r="BM3714" s="1821"/>
      <c r="BN3714" s="1821"/>
      <c r="BO3714" s="1821"/>
      <c r="BP3714" s="1821"/>
      <c r="BQ3714" s="1821"/>
      <c r="BR3714" s="1821"/>
      <c r="BS3714" s="1821"/>
      <c r="BT3714" s="1821"/>
      <c r="BU3714" s="1821"/>
      <c r="BV3714" s="1821"/>
      <c r="BW3714" s="1821"/>
      <c r="BX3714" s="1821"/>
      <c r="BY3714" s="1821"/>
      <c r="BZ3714" s="1821"/>
      <c r="CA3714" s="1821"/>
      <c r="CB3714" s="1821"/>
      <c r="CC3714" s="1821"/>
      <c r="CD3714" s="1821"/>
      <c r="CE3714" s="1821"/>
      <c r="CF3714" s="1821"/>
      <c r="CG3714" s="1821"/>
      <c r="CH3714" s="1821"/>
      <c r="CI3714" s="1821"/>
      <c r="CJ3714" s="1821"/>
      <c r="CK3714" s="1821"/>
    </row>
    <row r="3715" spans="1:89" s="675" customFormat="1" ht="16.5" customHeight="1" x14ac:dyDescent="0.25">
      <c r="A3715" s="697">
        <v>18</v>
      </c>
      <c r="B3715" s="1008" t="s">
        <v>21</v>
      </c>
      <c r="C3715" s="1007">
        <f>SUM(O3716:O3727)</f>
        <v>264143</v>
      </c>
      <c r="D3715" s="1005"/>
      <c r="E3715" s="1006"/>
      <c r="F3715" s="758"/>
      <c r="G3715" s="758"/>
      <c r="H3715" s="700"/>
      <c r="I3715" s="758"/>
      <c r="J3715" s="700"/>
      <c r="K3715" s="700"/>
      <c r="L3715" s="758"/>
      <c r="M3715" s="758"/>
      <c r="N3715" s="700"/>
      <c r="O3715" s="974"/>
      <c r="P3715" s="956"/>
      <c r="Q3715" s="1821"/>
      <c r="R3715" s="1821"/>
      <c r="S3715" s="1821"/>
      <c r="T3715" s="1821"/>
      <c r="U3715" s="1821"/>
      <c r="V3715" s="1821"/>
      <c r="W3715" s="1821"/>
      <c r="X3715" s="1821"/>
      <c r="Y3715" s="1821"/>
      <c r="Z3715" s="1821"/>
      <c r="AA3715" s="1821"/>
      <c r="AB3715" s="1821"/>
      <c r="AC3715" s="1821"/>
      <c r="AD3715" s="1821"/>
      <c r="AE3715" s="1821"/>
      <c r="AF3715" s="1821"/>
      <c r="AG3715" s="1821"/>
      <c r="AH3715" s="1821"/>
      <c r="AI3715" s="1821"/>
      <c r="AJ3715" s="1821"/>
      <c r="AK3715" s="1821"/>
      <c r="AL3715" s="1821"/>
      <c r="AM3715" s="1821"/>
      <c r="AN3715" s="1821"/>
      <c r="AO3715" s="1821"/>
      <c r="AP3715" s="1821"/>
      <c r="AQ3715" s="1821"/>
      <c r="AR3715" s="1821"/>
      <c r="AS3715" s="1821"/>
      <c r="AT3715" s="1821"/>
      <c r="AU3715" s="1821"/>
      <c r="AV3715" s="1821"/>
      <c r="AW3715" s="1821"/>
      <c r="AX3715" s="1821"/>
      <c r="AY3715" s="1821"/>
      <c r="AZ3715" s="1821"/>
      <c r="BA3715" s="1821"/>
      <c r="BB3715" s="1821"/>
      <c r="BC3715" s="1821"/>
      <c r="BD3715" s="1821"/>
      <c r="BE3715" s="1821"/>
      <c r="BF3715" s="1821"/>
      <c r="BG3715" s="1821"/>
      <c r="BH3715" s="1821"/>
      <c r="BI3715" s="1821"/>
      <c r="BJ3715" s="1821"/>
      <c r="BK3715" s="1821"/>
      <c r="BL3715" s="1821"/>
      <c r="BM3715" s="1821"/>
      <c r="BN3715" s="1821"/>
      <c r="BO3715" s="1821"/>
      <c r="BP3715" s="1821"/>
      <c r="BQ3715" s="1821"/>
      <c r="BR3715" s="1821"/>
      <c r="BS3715" s="1821"/>
      <c r="BT3715" s="1821"/>
      <c r="BU3715" s="1821"/>
      <c r="BV3715" s="1821"/>
      <c r="BW3715" s="1821"/>
      <c r="BX3715" s="1821"/>
      <c r="BY3715" s="1821"/>
      <c r="BZ3715" s="1821"/>
      <c r="CA3715" s="1821"/>
      <c r="CB3715" s="1821"/>
      <c r="CC3715" s="1821"/>
      <c r="CD3715" s="1821"/>
      <c r="CE3715" s="1821"/>
      <c r="CF3715" s="1821"/>
      <c r="CG3715" s="1821"/>
      <c r="CH3715" s="1821"/>
      <c r="CI3715" s="1821"/>
      <c r="CJ3715" s="1821"/>
      <c r="CK3715" s="1821"/>
    </row>
    <row r="3716" spans="1:89" s="675" customFormat="1" ht="16.5" customHeight="1" x14ac:dyDescent="0.25">
      <c r="A3716" s="697"/>
      <c r="B3716" s="1008" t="s">
        <v>215</v>
      </c>
      <c r="C3716" s="1007">
        <v>1</v>
      </c>
      <c r="D3716" s="1005" t="s">
        <v>353</v>
      </c>
      <c r="E3716" s="1006">
        <v>51893</v>
      </c>
      <c r="F3716" s="758"/>
      <c r="G3716" s="758"/>
      <c r="H3716" s="700"/>
      <c r="I3716" s="758"/>
      <c r="J3716" s="700">
        <f>C3716*E3716</f>
        <v>51893</v>
      </c>
      <c r="K3716" s="700">
        <f>J3716+I3716</f>
        <v>51893</v>
      </c>
      <c r="L3716" s="758"/>
      <c r="M3716" s="758"/>
      <c r="N3716" s="700"/>
      <c r="O3716" s="974">
        <f>N3716+K3716+H3716</f>
        <v>51893</v>
      </c>
      <c r="P3716" s="956"/>
      <c r="Q3716" s="1821"/>
      <c r="R3716" s="1821"/>
      <c r="S3716" s="1821"/>
      <c r="T3716" s="1821"/>
      <c r="U3716" s="1821"/>
      <c r="V3716" s="1821"/>
      <c r="W3716" s="1821"/>
      <c r="X3716" s="1821"/>
      <c r="Y3716" s="1821"/>
      <c r="Z3716" s="1821"/>
      <c r="AA3716" s="1821"/>
      <c r="AB3716" s="1821"/>
      <c r="AC3716" s="1821"/>
      <c r="AD3716" s="1821"/>
      <c r="AE3716" s="1821"/>
      <c r="AF3716" s="1821"/>
      <c r="AG3716" s="1821"/>
      <c r="AH3716" s="1821"/>
      <c r="AI3716" s="1821"/>
      <c r="AJ3716" s="1821"/>
      <c r="AK3716" s="1821"/>
      <c r="AL3716" s="1821"/>
      <c r="AM3716" s="1821"/>
      <c r="AN3716" s="1821"/>
      <c r="AO3716" s="1821"/>
      <c r="AP3716" s="1821"/>
      <c r="AQ3716" s="1821"/>
      <c r="AR3716" s="1821"/>
      <c r="AS3716" s="1821"/>
      <c r="AT3716" s="1821"/>
      <c r="AU3716" s="1821"/>
      <c r="AV3716" s="1821"/>
      <c r="AW3716" s="1821"/>
      <c r="AX3716" s="1821"/>
      <c r="AY3716" s="1821"/>
      <c r="AZ3716" s="1821"/>
      <c r="BA3716" s="1821"/>
      <c r="BB3716" s="1821"/>
      <c r="BC3716" s="1821"/>
      <c r="BD3716" s="1821"/>
      <c r="BE3716" s="1821"/>
      <c r="BF3716" s="1821"/>
      <c r="BG3716" s="1821"/>
      <c r="BH3716" s="1821"/>
      <c r="BI3716" s="1821"/>
      <c r="BJ3716" s="1821"/>
      <c r="BK3716" s="1821"/>
      <c r="BL3716" s="1821"/>
      <c r="BM3716" s="1821"/>
      <c r="BN3716" s="1821"/>
      <c r="BO3716" s="1821"/>
      <c r="BP3716" s="1821"/>
      <c r="BQ3716" s="1821"/>
      <c r="BR3716" s="1821"/>
      <c r="BS3716" s="1821"/>
      <c r="BT3716" s="1821"/>
      <c r="BU3716" s="1821"/>
      <c r="BV3716" s="1821"/>
      <c r="BW3716" s="1821"/>
      <c r="BX3716" s="1821"/>
      <c r="BY3716" s="1821"/>
      <c r="BZ3716" s="1821"/>
      <c r="CA3716" s="1821"/>
      <c r="CB3716" s="1821"/>
      <c r="CC3716" s="1821"/>
      <c r="CD3716" s="1821"/>
      <c r="CE3716" s="1821"/>
      <c r="CF3716" s="1821"/>
      <c r="CG3716" s="1821"/>
      <c r="CH3716" s="1821"/>
      <c r="CI3716" s="1821"/>
      <c r="CJ3716" s="1821"/>
      <c r="CK3716" s="1821"/>
    </row>
    <row r="3717" spans="1:89" s="675" customFormat="1" ht="16.5" customHeight="1" x14ac:dyDescent="0.25">
      <c r="A3717" s="697"/>
      <c r="B3717" s="1008"/>
      <c r="C3717" s="1007"/>
      <c r="D3717" s="1005"/>
      <c r="E3717" s="1006"/>
      <c r="F3717" s="758"/>
      <c r="G3717" s="758"/>
      <c r="H3717" s="700"/>
      <c r="I3717" s="758"/>
      <c r="J3717" s="758"/>
      <c r="K3717" s="700"/>
      <c r="L3717" s="758"/>
      <c r="M3717" s="758"/>
      <c r="N3717" s="700"/>
      <c r="O3717" s="974"/>
      <c r="P3717" s="956"/>
      <c r="Q3717" s="1821"/>
      <c r="R3717" s="1821"/>
      <c r="S3717" s="1821"/>
      <c r="T3717" s="1821"/>
      <c r="U3717" s="1821"/>
      <c r="V3717" s="1821"/>
      <c r="W3717" s="1821"/>
      <c r="X3717" s="1821"/>
      <c r="Y3717" s="1821"/>
      <c r="Z3717" s="1821"/>
      <c r="AA3717" s="1821"/>
      <c r="AB3717" s="1821"/>
      <c r="AC3717" s="1821"/>
      <c r="AD3717" s="1821"/>
      <c r="AE3717" s="1821"/>
      <c r="AF3717" s="1821"/>
      <c r="AG3717" s="1821"/>
      <c r="AH3717" s="1821"/>
      <c r="AI3717" s="1821"/>
      <c r="AJ3717" s="1821"/>
      <c r="AK3717" s="1821"/>
      <c r="AL3717" s="1821"/>
      <c r="AM3717" s="1821"/>
      <c r="AN3717" s="1821"/>
      <c r="AO3717" s="1821"/>
      <c r="AP3717" s="1821"/>
      <c r="AQ3717" s="1821"/>
      <c r="AR3717" s="1821"/>
      <c r="AS3717" s="1821"/>
      <c r="AT3717" s="1821"/>
      <c r="AU3717" s="1821"/>
      <c r="AV3717" s="1821"/>
      <c r="AW3717" s="1821"/>
      <c r="AX3717" s="1821"/>
      <c r="AY3717" s="1821"/>
      <c r="AZ3717" s="1821"/>
      <c r="BA3717" s="1821"/>
      <c r="BB3717" s="1821"/>
      <c r="BC3717" s="1821"/>
      <c r="BD3717" s="1821"/>
      <c r="BE3717" s="1821"/>
      <c r="BF3717" s="1821"/>
      <c r="BG3717" s="1821"/>
      <c r="BH3717" s="1821"/>
      <c r="BI3717" s="1821"/>
      <c r="BJ3717" s="1821"/>
      <c r="BK3717" s="1821"/>
      <c r="BL3717" s="1821"/>
      <c r="BM3717" s="1821"/>
      <c r="BN3717" s="1821"/>
      <c r="BO3717" s="1821"/>
      <c r="BP3717" s="1821"/>
      <c r="BQ3717" s="1821"/>
      <c r="BR3717" s="1821"/>
      <c r="BS3717" s="1821"/>
      <c r="BT3717" s="1821"/>
      <c r="BU3717" s="1821"/>
      <c r="BV3717" s="1821"/>
      <c r="BW3717" s="1821"/>
      <c r="BX3717" s="1821"/>
      <c r="BY3717" s="1821"/>
      <c r="BZ3717" s="1821"/>
      <c r="CA3717" s="1821"/>
      <c r="CB3717" s="1821"/>
      <c r="CC3717" s="1821"/>
      <c r="CD3717" s="1821"/>
      <c r="CE3717" s="1821"/>
      <c r="CF3717" s="1821"/>
      <c r="CG3717" s="1821"/>
      <c r="CH3717" s="1821"/>
      <c r="CI3717" s="1821"/>
      <c r="CJ3717" s="1821"/>
      <c r="CK3717" s="1821"/>
    </row>
    <row r="3718" spans="1:89" s="675" customFormat="1" ht="16.5" customHeight="1" x14ac:dyDescent="0.25">
      <c r="A3718" s="1012"/>
      <c r="B3718" s="1013" t="s">
        <v>206</v>
      </c>
      <c r="C3718" s="1007"/>
      <c r="D3718" s="1014"/>
      <c r="E3718" s="1015"/>
      <c r="F3718" s="758"/>
      <c r="G3718" s="758"/>
      <c r="H3718" s="700"/>
      <c r="I3718" s="758"/>
      <c r="J3718" s="758"/>
      <c r="K3718" s="700"/>
      <c r="L3718" s="758"/>
      <c r="M3718" s="758"/>
      <c r="N3718" s="700"/>
      <c r="O3718" s="974"/>
      <c r="P3718" s="956"/>
      <c r="Q3718" s="1821"/>
      <c r="R3718" s="1821"/>
      <c r="S3718" s="1821"/>
      <c r="T3718" s="1821"/>
      <c r="U3718" s="1821"/>
      <c r="V3718" s="1821"/>
      <c r="W3718" s="1821"/>
      <c r="X3718" s="1821"/>
      <c r="Y3718" s="1821"/>
      <c r="Z3718" s="1821"/>
      <c r="AA3718" s="1821"/>
      <c r="AB3718" s="1821"/>
      <c r="AC3718" s="1821"/>
      <c r="AD3718" s="1821"/>
      <c r="AE3718" s="1821"/>
      <c r="AF3718" s="1821"/>
      <c r="AG3718" s="1821"/>
      <c r="AH3718" s="1821"/>
      <c r="AI3718" s="1821"/>
      <c r="AJ3718" s="1821"/>
      <c r="AK3718" s="1821"/>
      <c r="AL3718" s="1821"/>
      <c r="AM3718" s="1821"/>
      <c r="AN3718" s="1821"/>
      <c r="AO3718" s="1821"/>
      <c r="AP3718" s="1821"/>
      <c r="AQ3718" s="1821"/>
      <c r="AR3718" s="1821"/>
      <c r="AS3718" s="1821"/>
      <c r="AT3718" s="1821"/>
      <c r="AU3718" s="1821"/>
      <c r="AV3718" s="1821"/>
      <c r="AW3718" s="1821"/>
      <c r="AX3718" s="1821"/>
      <c r="AY3718" s="1821"/>
      <c r="AZ3718" s="1821"/>
      <c r="BA3718" s="1821"/>
      <c r="BB3718" s="1821"/>
      <c r="BC3718" s="1821"/>
      <c r="BD3718" s="1821"/>
      <c r="BE3718" s="1821"/>
      <c r="BF3718" s="1821"/>
      <c r="BG3718" s="1821"/>
      <c r="BH3718" s="1821"/>
      <c r="BI3718" s="1821"/>
      <c r="BJ3718" s="1821"/>
      <c r="BK3718" s="1821"/>
      <c r="BL3718" s="1821"/>
      <c r="BM3718" s="1821"/>
      <c r="BN3718" s="1821"/>
      <c r="BO3718" s="1821"/>
      <c r="BP3718" s="1821"/>
      <c r="BQ3718" s="1821"/>
      <c r="BR3718" s="1821"/>
      <c r="BS3718" s="1821"/>
      <c r="BT3718" s="1821"/>
      <c r="BU3718" s="1821"/>
      <c r="BV3718" s="1821"/>
      <c r="BW3718" s="1821"/>
      <c r="BX3718" s="1821"/>
      <c r="BY3718" s="1821"/>
      <c r="BZ3718" s="1821"/>
      <c r="CA3718" s="1821"/>
      <c r="CB3718" s="1821"/>
      <c r="CC3718" s="1821"/>
      <c r="CD3718" s="1821"/>
      <c r="CE3718" s="1821"/>
      <c r="CF3718" s="1821"/>
      <c r="CG3718" s="1821"/>
      <c r="CH3718" s="1821"/>
      <c r="CI3718" s="1821"/>
      <c r="CJ3718" s="1821"/>
      <c r="CK3718" s="1821"/>
    </row>
    <row r="3719" spans="1:89" s="675" customFormat="1" ht="16.5" customHeight="1" x14ac:dyDescent="0.25">
      <c r="A3719" s="1012"/>
      <c r="B3719" s="1013" t="s">
        <v>1282</v>
      </c>
      <c r="C3719" s="1007">
        <v>3</v>
      </c>
      <c r="D3719" s="1014" t="s">
        <v>207</v>
      </c>
      <c r="E3719" s="1015">
        <v>450</v>
      </c>
      <c r="F3719" s="758"/>
      <c r="G3719" s="758"/>
      <c r="H3719" s="700"/>
      <c r="I3719" s="758"/>
      <c r="J3719" s="758">
        <f>C3719*E3719</f>
        <v>1350</v>
      </c>
      <c r="K3719" s="700">
        <f>J3719+I3719</f>
        <v>1350</v>
      </c>
      <c r="L3719" s="758"/>
      <c r="M3719" s="758"/>
      <c r="N3719" s="700"/>
      <c r="O3719" s="974">
        <f>E3719*C3719</f>
        <v>1350</v>
      </c>
      <c r="P3719" s="956"/>
      <c r="Q3719" s="1821"/>
      <c r="R3719" s="1821"/>
      <c r="S3719" s="1821"/>
      <c r="T3719" s="1821"/>
      <c r="U3719" s="1821"/>
      <c r="V3719" s="1821"/>
      <c r="W3719" s="1821"/>
      <c r="X3719" s="1821"/>
      <c r="Y3719" s="1821"/>
      <c r="Z3719" s="1821"/>
      <c r="AA3719" s="1821"/>
      <c r="AB3719" s="1821"/>
      <c r="AC3719" s="1821"/>
      <c r="AD3719" s="1821"/>
      <c r="AE3719" s="1821"/>
      <c r="AF3719" s="1821"/>
      <c r="AG3719" s="1821"/>
      <c r="AH3719" s="1821"/>
      <c r="AI3719" s="1821"/>
      <c r="AJ3719" s="1821"/>
      <c r="AK3719" s="1821"/>
      <c r="AL3719" s="1821"/>
      <c r="AM3719" s="1821"/>
      <c r="AN3719" s="1821"/>
      <c r="AO3719" s="1821"/>
      <c r="AP3719" s="1821"/>
      <c r="AQ3719" s="1821"/>
      <c r="AR3719" s="1821"/>
      <c r="AS3719" s="1821"/>
      <c r="AT3719" s="1821"/>
      <c r="AU3719" s="1821"/>
      <c r="AV3719" s="1821"/>
      <c r="AW3719" s="1821"/>
      <c r="AX3719" s="1821"/>
      <c r="AY3719" s="1821"/>
      <c r="AZ3719" s="1821"/>
      <c r="BA3719" s="1821"/>
      <c r="BB3719" s="1821"/>
      <c r="BC3719" s="1821"/>
      <c r="BD3719" s="1821"/>
      <c r="BE3719" s="1821"/>
      <c r="BF3719" s="1821"/>
      <c r="BG3719" s="1821"/>
      <c r="BH3719" s="1821"/>
      <c r="BI3719" s="1821"/>
      <c r="BJ3719" s="1821"/>
      <c r="BK3719" s="1821"/>
      <c r="BL3719" s="1821"/>
      <c r="BM3719" s="1821"/>
      <c r="BN3719" s="1821"/>
      <c r="BO3719" s="1821"/>
      <c r="BP3719" s="1821"/>
      <c r="BQ3719" s="1821"/>
      <c r="BR3719" s="1821"/>
      <c r="BS3719" s="1821"/>
      <c r="BT3719" s="1821"/>
      <c r="BU3719" s="1821"/>
      <c r="BV3719" s="1821"/>
      <c r="BW3719" s="1821"/>
      <c r="BX3719" s="1821"/>
      <c r="BY3719" s="1821"/>
      <c r="BZ3719" s="1821"/>
      <c r="CA3719" s="1821"/>
      <c r="CB3719" s="1821"/>
      <c r="CC3719" s="1821"/>
      <c r="CD3719" s="1821"/>
      <c r="CE3719" s="1821"/>
      <c r="CF3719" s="1821"/>
      <c r="CG3719" s="1821"/>
      <c r="CH3719" s="1821"/>
      <c r="CI3719" s="1821"/>
      <c r="CJ3719" s="1821"/>
      <c r="CK3719" s="1821"/>
    </row>
    <row r="3720" spans="1:89" s="673" customFormat="1" ht="16.5" customHeight="1" x14ac:dyDescent="0.25">
      <c r="A3720" s="697"/>
      <c r="B3720" s="1008" t="s">
        <v>1283</v>
      </c>
      <c r="C3720" s="1007">
        <v>3</v>
      </c>
      <c r="D3720" s="1005" t="s">
        <v>207</v>
      </c>
      <c r="E3720" s="1006">
        <v>400</v>
      </c>
      <c r="F3720" s="758"/>
      <c r="G3720" s="758"/>
      <c r="H3720" s="700"/>
      <c r="I3720" s="758"/>
      <c r="J3720" s="758">
        <f>C3720*E3720</f>
        <v>1200</v>
      </c>
      <c r="K3720" s="700">
        <f>J3720+I3720</f>
        <v>1200</v>
      </c>
      <c r="L3720" s="758"/>
      <c r="M3720" s="758"/>
      <c r="N3720" s="700"/>
      <c r="O3720" s="974">
        <f>E3720*C3720</f>
        <v>1200</v>
      </c>
      <c r="P3720" s="956"/>
      <c r="Q3720" s="783"/>
      <c r="R3720" s="783"/>
      <c r="S3720" s="783"/>
      <c r="T3720" s="783"/>
      <c r="U3720" s="783"/>
      <c r="V3720" s="783"/>
      <c r="W3720" s="783"/>
      <c r="X3720" s="783"/>
      <c r="Y3720" s="783"/>
      <c r="Z3720" s="783"/>
      <c r="AA3720" s="783"/>
      <c r="AB3720" s="783"/>
      <c r="AC3720" s="783"/>
      <c r="AD3720" s="783"/>
      <c r="AE3720" s="783"/>
      <c r="AF3720" s="783"/>
      <c r="AG3720" s="783"/>
      <c r="AH3720" s="783"/>
      <c r="AI3720" s="783"/>
      <c r="AJ3720" s="783"/>
      <c r="AK3720" s="783"/>
      <c r="AL3720" s="783"/>
      <c r="AM3720" s="783"/>
      <c r="AN3720" s="783"/>
      <c r="AO3720" s="783"/>
      <c r="AP3720" s="783"/>
      <c r="AQ3720" s="783"/>
      <c r="AR3720" s="783"/>
      <c r="AS3720" s="783"/>
      <c r="AT3720" s="783"/>
      <c r="AU3720" s="783"/>
      <c r="AV3720" s="783"/>
      <c r="AW3720" s="783"/>
      <c r="AX3720" s="783"/>
      <c r="AY3720" s="783"/>
      <c r="AZ3720" s="783"/>
      <c r="BA3720" s="783"/>
      <c r="BB3720" s="783"/>
      <c r="BC3720" s="783"/>
      <c r="BD3720" s="783"/>
      <c r="BE3720" s="783"/>
      <c r="BF3720" s="783"/>
      <c r="BG3720" s="783"/>
      <c r="BH3720" s="783"/>
      <c r="BI3720" s="783"/>
      <c r="BJ3720" s="783"/>
      <c r="BK3720" s="783"/>
      <c r="BL3720" s="783"/>
      <c r="BM3720" s="783"/>
      <c r="BN3720" s="783"/>
      <c r="BO3720" s="783"/>
      <c r="BP3720" s="783"/>
      <c r="BQ3720" s="783"/>
      <c r="BR3720" s="783"/>
      <c r="BS3720" s="783"/>
      <c r="BT3720" s="783"/>
      <c r="BU3720" s="783"/>
      <c r="BV3720" s="783"/>
      <c r="BW3720" s="783"/>
      <c r="BX3720" s="783"/>
      <c r="BY3720" s="783"/>
      <c r="BZ3720" s="783"/>
      <c r="CA3720" s="783"/>
      <c r="CB3720" s="783"/>
      <c r="CC3720" s="783"/>
      <c r="CD3720" s="783"/>
      <c r="CE3720" s="783"/>
      <c r="CF3720" s="783"/>
      <c r="CG3720" s="783"/>
      <c r="CH3720" s="783"/>
      <c r="CI3720" s="783"/>
      <c r="CJ3720" s="783"/>
      <c r="CK3720" s="783"/>
    </row>
    <row r="3721" spans="1:89" s="675" customFormat="1" ht="16.5" customHeight="1" x14ac:dyDescent="0.25">
      <c r="A3721" s="710"/>
      <c r="B3721" s="1016" t="s">
        <v>1284</v>
      </c>
      <c r="C3721" s="1017">
        <v>3</v>
      </c>
      <c r="D3721" s="1018" t="s">
        <v>207</v>
      </c>
      <c r="E3721" s="1019">
        <v>300</v>
      </c>
      <c r="F3721" s="1020"/>
      <c r="G3721" s="1020"/>
      <c r="H3721" s="700"/>
      <c r="I3721" s="758"/>
      <c r="J3721" s="758">
        <f>C3721*E3721</f>
        <v>900</v>
      </c>
      <c r="K3721" s="700">
        <f>J3721+I3721</f>
        <v>900</v>
      </c>
      <c r="L3721" s="1020"/>
      <c r="M3721" s="1020"/>
      <c r="N3721" s="700"/>
      <c r="O3721" s="974">
        <f>E3721*C3721</f>
        <v>900</v>
      </c>
      <c r="P3721" s="956"/>
      <c r="Q3721" s="1821"/>
      <c r="R3721" s="1821"/>
      <c r="S3721" s="1821"/>
      <c r="T3721" s="1821"/>
      <c r="U3721" s="1821"/>
      <c r="V3721" s="1821"/>
      <c r="W3721" s="1821"/>
      <c r="X3721" s="1821"/>
      <c r="Y3721" s="1821"/>
      <c r="Z3721" s="1821"/>
      <c r="AA3721" s="1821"/>
      <c r="AB3721" s="1821"/>
      <c r="AC3721" s="1821"/>
      <c r="AD3721" s="1821"/>
      <c r="AE3721" s="1821"/>
      <c r="AF3721" s="1821"/>
      <c r="AG3721" s="1821"/>
      <c r="AH3721" s="1821"/>
      <c r="AI3721" s="1821"/>
      <c r="AJ3721" s="1821"/>
      <c r="AK3721" s="1821"/>
      <c r="AL3721" s="1821"/>
      <c r="AM3721" s="1821"/>
      <c r="AN3721" s="1821"/>
      <c r="AO3721" s="1821"/>
      <c r="AP3721" s="1821"/>
      <c r="AQ3721" s="1821"/>
      <c r="AR3721" s="1821"/>
      <c r="AS3721" s="1821"/>
      <c r="AT3721" s="1821"/>
      <c r="AU3721" s="1821"/>
      <c r="AV3721" s="1821"/>
      <c r="AW3721" s="1821"/>
      <c r="AX3721" s="1821"/>
      <c r="AY3721" s="1821"/>
      <c r="AZ3721" s="1821"/>
      <c r="BA3721" s="1821"/>
      <c r="BB3721" s="1821"/>
      <c r="BC3721" s="1821"/>
      <c r="BD3721" s="1821"/>
      <c r="BE3721" s="1821"/>
      <c r="BF3721" s="1821"/>
      <c r="BG3721" s="1821"/>
      <c r="BH3721" s="1821"/>
      <c r="BI3721" s="1821"/>
      <c r="BJ3721" s="1821"/>
      <c r="BK3721" s="1821"/>
      <c r="BL3721" s="1821"/>
      <c r="BM3721" s="1821"/>
      <c r="BN3721" s="1821"/>
      <c r="BO3721" s="1821"/>
      <c r="BP3721" s="1821"/>
      <c r="BQ3721" s="1821"/>
      <c r="BR3721" s="1821"/>
      <c r="BS3721" s="1821"/>
      <c r="BT3721" s="1821"/>
      <c r="BU3721" s="1821"/>
      <c r="BV3721" s="1821"/>
      <c r="BW3721" s="1821"/>
      <c r="BX3721" s="1821"/>
      <c r="BY3721" s="1821"/>
      <c r="BZ3721" s="1821"/>
      <c r="CA3721" s="1821"/>
      <c r="CB3721" s="1821"/>
      <c r="CC3721" s="1821"/>
      <c r="CD3721" s="1821"/>
      <c r="CE3721" s="1821"/>
      <c r="CF3721" s="1821"/>
      <c r="CG3721" s="1821"/>
      <c r="CH3721" s="1821"/>
      <c r="CI3721" s="1821"/>
      <c r="CJ3721" s="1821"/>
      <c r="CK3721" s="1821"/>
    </row>
    <row r="3722" spans="1:89" s="675" customFormat="1" ht="16.5" customHeight="1" x14ac:dyDescent="0.25">
      <c r="A3722" s="1012"/>
      <c r="B3722" s="1013" t="s">
        <v>1285</v>
      </c>
      <c r="C3722" s="1007">
        <v>18</v>
      </c>
      <c r="D3722" s="1014" t="s">
        <v>20</v>
      </c>
      <c r="E3722" s="955">
        <v>300</v>
      </c>
      <c r="F3722" s="758"/>
      <c r="G3722" s="758"/>
      <c r="H3722" s="700"/>
      <c r="I3722" s="758"/>
      <c r="J3722" s="758">
        <f>C3722*E3722</f>
        <v>5400</v>
      </c>
      <c r="K3722" s="700">
        <f>J3722+I3722</f>
        <v>5400</v>
      </c>
      <c r="L3722" s="758"/>
      <c r="M3722" s="758"/>
      <c r="N3722" s="700"/>
      <c r="O3722" s="974">
        <f>E3722*C3722</f>
        <v>5400</v>
      </c>
      <c r="P3722" s="956"/>
      <c r="Q3722" s="1821"/>
      <c r="R3722" s="1821"/>
      <c r="S3722" s="1821"/>
      <c r="T3722" s="1821"/>
      <c r="U3722" s="1821"/>
      <c r="V3722" s="1821"/>
      <c r="W3722" s="1821"/>
      <c r="X3722" s="1821"/>
      <c r="Y3722" s="1821"/>
      <c r="Z3722" s="1821"/>
      <c r="AA3722" s="1821"/>
      <c r="AB3722" s="1821"/>
      <c r="AC3722" s="1821"/>
      <c r="AD3722" s="1821"/>
      <c r="AE3722" s="1821"/>
      <c r="AF3722" s="1821"/>
      <c r="AG3722" s="1821"/>
      <c r="AH3722" s="1821"/>
      <c r="AI3722" s="1821"/>
      <c r="AJ3722" s="1821"/>
      <c r="AK3722" s="1821"/>
      <c r="AL3722" s="1821"/>
      <c r="AM3722" s="1821"/>
      <c r="AN3722" s="1821"/>
      <c r="AO3722" s="1821"/>
      <c r="AP3722" s="1821"/>
      <c r="AQ3722" s="1821"/>
      <c r="AR3722" s="1821"/>
      <c r="AS3722" s="1821"/>
      <c r="AT3722" s="1821"/>
      <c r="AU3722" s="1821"/>
      <c r="AV3722" s="1821"/>
      <c r="AW3722" s="1821"/>
      <c r="AX3722" s="1821"/>
      <c r="AY3722" s="1821"/>
      <c r="AZ3722" s="1821"/>
      <c r="BA3722" s="1821"/>
      <c r="BB3722" s="1821"/>
      <c r="BC3722" s="1821"/>
      <c r="BD3722" s="1821"/>
      <c r="BE3722" s="1821"/>
      <c r="BF3722" s="1821"/>
      <c r="BG3722" s="1821"/>
      <c r="BH3722" s="1821"/>
      <c r="BI3722" s="1821"/>
      <c r="BJ3722" s="1821"/>
      <c r="BK3722" s="1821"/>
      <c r="BL3722" s="1821"/>
      <c r="BM3722" s="1821"/>
      <c r="BN3722" s="1821"/>
      <c r="BO3722" s="1821"/>
      <c r="BP3722" s="1821"/>
      <c r="BQ3722" s="1821"/>
      <c r="BR3722" s="1821"/>
      <c r="BS3722" s="1821"/>
      <c r="BT3722" s="1821"/>
      <c r="BU3722" s="1821"/>
      <c r="BV3722" s="1821"/>
      <c r="BW3722" s="1821"/>
      <c r="BX3722" s="1821"/>
      <c r="BY3722" s="1821"/>
      <c r="BZ3722" s="1821"/>
      <c r="CA3722" s="1821"/>
      <c r="CB3722" s="1821"/>
      <c r="CC3722" s="1821"/>
      <c r="CD3722" s="1821"/>
      <c r="CE3722" s="1821"/>
      <c r="CF3722" s="1821"/>
      <c r="CG3722" s="1821"/>
      <c r="CH3722" s="1821"/>
      <c r="CI3722" s="1821"/>
      <c r="CJ3722" s="1821"/>
      <c r="CK3722" s="1821"/>
    </row>
    <row r="3723" spans="1:89" s="675" customFormat="1" ht="16.5" customHeight="1" x14ac:dyDescent="0.25">
      <c r="A3723" s="1012"/>
      <c r="B3723" s="1013"/>
      <c r="C3723" s="1007"/>
      <c r="D3723" s="1014"/>
      <c r="E3723" s="955"/>
      <c r="F3723" s="758"/>
      <c r="G3723" s="758"/>
      <c r="H3723" s="700"/>
      <c r="I3723" s="758"/>
      <c r="J3723" s="758"/>
      <c r="K3723" s="700"/>
      <c r="L3723" s="758"/>
      <c r="M3723" s="758"/>
      <c r="N3723" s="700"/>
      <c r="O3723" s="974"/>
      <c r="P3723" s="956"/>
      <c r="Q3723" s="1821"/>
      <c r="R3723" s="1821"/>
      <c r="S3723" s="1821"/>
      <c r="T3723" s="1821"/>
      <c r="U3723" s="1821"/>
      <c r="V3723" s="1821"/>
      <c r="W3723" s="1821"/>
      <c r="X3723" s="1821"/>
      <c r="Y3723" s="1821"/>
      <c r="Z3723" s="1821"/>
      <c r="AA3723" s="1821"/>
      <c r="AB3723" s="1821"/>
      <c r="AC3723" s="1821"/>
      <c r="AD3723" s="1821"/>
      <c r="AE3723" s="1821"/>
      <c r="AF3723" s="1821"/>
      <c r="AG3723" s="1821"/>
      <c r="AH3723" s="1821"/>
      <c r="AI3723" s="1821"/>
      <c r="AJ3723" s="1821"/>
      <c r="AK3723" s="1821"/>
      <c r="AL3723" s="1821"/>
      <c r="AM3723" s="1821"/>
      <c r="AN3723" s="1821"/>
      <c r="AO3723" s="1821"/>
      <c r="AP3723" s="1821"/>
      <c r="AQ3723" s="1821"/>
      <c r="AR3723" s="1821"/>
      <c r="AS3723" s="1821"/>
      <c r="AT3723" s="1821"/>
      <c r="AU3723" s="1821"/>
      <c r="AV3723" s="1821"/>
      <c r="AW3723" s="1821"/>
      <c r="AX3723" s="1821"/>
      <c r="AY3723" s="1821"/>
      <c r="AZ3723" s="1821"/>
      <c r="BA3723" s="1821"/>
      <c r="BB3723" s="1821"/>
      <c r="BC3723" s="1821"/>
      <c r="BD3723" s="1821"/>
      <c r="BE3723" s="1821"/>
      <c r="BF3723" s="1821"/>
      <c r="BG3723" s="1821"/>
      <c r="BH3723" s="1821"/>
      <c r="BI3723" s="1821"/>
      <c r="BJ3723" s="1821"/>
      <c r="BK3723" s="1821"/>
      <c r="BL3723" s="1821"/>
      <c r="BM3723" s="1821"/>
      <c r="BN3723" s="1821"/>
      <c r="BO3723" s="1821"/>
      <c r="BP3723" s="1821"/>
      <c r="BQ3723" s="1821"/>
      <c r="BR3723" s="1821"/>
      <c r="BS3723" s="1821"/>
      <c r="BT3723" s="1821"/>
      <c r="BU3723" s="1821"/>
      <c r="BV3723" s="1821"/>
      <c r="BW3723" s="1821"/>
      <c r="BX3723" s="1821"/>
      <c r="BY3723" s="1821"/>
      <c r="BZ3723" s="1821"/>
      <c r="CA3723" s="1821"/>
      <c r="CB3723" s="1821"/>
      <c r="CC3723" s="1821"/>
      <c r="CD3723" s="1821"/>
      <c r="CE3723" s="1821"/>
      <c r="CF3723" s="1821"/>
      <c r="CG3723" s="1821"/>
      <c r="CH3723" s="1821"/>
      <c r="CI3723" s="1821"/>
      <c r="CJ3723" s="1821"/>
      <c r="CK3723" s="1821"/>
    </row>
    <row r="3724" spans="1:89" s="675" customFormat="1" ht="16.5" customHeight="1" x14ac:dyDescent="0.25">
      <c r="A3724" s="697"/>
      <c r="B3724" s="1011" t="s">
        <v>349</v>
      </c>
      <c r="C3724" s="1007"/>
      <c r="D3724" s="1014"/>
      <c r="E3724" s="955"/>
      <c r="F3724" s="758"/>
      <c r="G3724" s="758"/>
      <c r="H3724" s="700"/>
      <c r="I3724" s="758"/>
      <c r="J3724" s="758"/>
      <c r="K3724" s="700"/>
      <c r="L3724" s="758"/>
      <c r="M3724" s="758"/>
      <c r="N3724" s="700"/>
      <c r="O3724" s="974"/>
      <c r="P3724" s="956"/>
      <c r="Q3724" s="1821"/>
      <c r="R3724" s="1821"/>
      <c r="S3724" s="1821"/>
      <c r="T3724" s="1821"/>
      <c r="U3724" s="1821"/>
      <c r="V3724" s="1821"/>
      <c r="W3724" s="1821"/>
      <c r="X3724" s="1821"/>
      <c r="Y3724" s="1821"/>
      <c r="Z3724" s="1821"/>
      <c r="AA3724" s="1821"/>
      <c r="AB3724" s="1821"/>
      <c r="AC3724" s="1821"/>
      <c r="AD3724" s="1821"/>
      <c r="AE3724" s="1821"/>
      <c r="AF3724" s="1821"/>
      <c r="AG3724" s="1821"/>
      <c r="AH3724" s="1821"/>
      <c r="AI3724" s="1821"/>
      <c r="AJ3724" s="1821"/>
      <c r="AK3724" s="1821"/>
      <c r="AL3724" s="1821"/>
      <c r="AM3724" s="1821"/>
      <c r="AN3724" s="1821"/>
      <c r="AO3724" s="1821"/>
      <c r="AP3724" s="1821"/>
      <c r="AQ3724" s="1821"/>
      <c r="AR3724" s="1821"/>
      <c r="AS3724" s="1821"/>
      <c r="AT3724" s="1821"/>
      <c r="AU3724" s="1821"/>
      <c r="AV3724" s="1821"/>
      <c r="AW3724" s="1821"/>
      <c r="AX3724" s="1821"/>
      <c r="AY3724" s="1821"/>
      <c r="AZ3724" s="1821"/>
      <c r="BA3724" s="1821"/>
      <c r="BB3724" s="1821"/>
      <c r="BC3724" s="1821"/>
      <c r="BD3724" s="1821"/>
      <c r="BE3724" s="1821"/>
      <c r="BF3724" s="1821"/>
      <c r="BG3724" s="1821"/>
      <c r="BH3724" s="1821"/>
      <c r="BI3724" s="1821"/>
      <c r="BJ3724" s="1821"/>
      <c r="BK3724" s="1821"/>
      <c r="BL3724" s="1821"/>
      <c r="BM3724" s="1821"/>
      <c r="BN3724" s="1821"/>
      <c r="BO3724" s="1821"/>
      <c r="BP3724" s="1821"/>
      <c r="BQ3724" s="1821"/>
      <c r="BR3724" s="1821"/>
      <c r="BS3724" s="1821"/>
      <c r="BT3724" s="1821"/>
      <c r="BU3724" s="1821"/>
      <c r="BV3724" s="1821"/>
      <c r="BW3724" s="1821"/>
      <c r="BX3724" s="1821"/>
      <c r="BY3724" s="1821"/>
      <c r="BZ3724" s="1821"/>
      <c r="CA3724" s="1821"/>
      <c r="CB3724" s="1821"/>
      <c r="CC3724" s="1821"/>
      <c r="CD3724" s="1821"/>
      <c r="CE3724" s="1821"/>
      <c r="CF3724" s="1821"/>
      <c r="CG3724" s="1821"/>
      <c r="CH3724" s="1821"/>
      <c r="CI3724" s="1821"/>
      <c r="CJ3724" s="1821"/>
      <c r="CK3724" s="1821"/>
    </row>
    <row r="3725" spans="1:89" s="675" customFormat="1" ht="16.5" customHeight="1" x14ac:dyDescent="0.25">
      <c r="A3725" s="710"/>
      <c r="B3725" s="1016" t="s">
        <v>344</v>
      </c>
      <c r="C3725" s="1017">
        <v>30</v>
      </c>
      <c r="D3725" s="1018" t="s">
        <v>55</v>
      </c>
      <c r="E3725" s="1019">
        <v>150</v>
      </c>
      <c r="F3725" s="1020"/>
      <c r="G3725" s="1020"/>
      <c r="H3725" s="700"/>
      <c r="I3725" s="1020"/>
      <c r="J3725" s="758">
        <f>C3725*E3725</f>
        <v>4500</v>
      </c>
      <c r="K3725" s="700">
        <f>J3725+I3725</f>
        <v>4500</v>
      </c>
      <c r="L3725" s="1020"/>
      <c r="M3725" s="1020"/>
      <c r="N3725" s="700"/>
      <c r="O3725" s="974">
        <f>E3725*C3725</f>
        <v>4500</v>
      </c>
      <c r="P3725" s="956"/>
      <c r="Q3725" s="1821"/>
      <c r="R3725" s="1821"/>
      <c r="S3725" s="1821"/>
      <c r="T3725" s="1821"/>
      <c r="U3725" s="1821"/>
      <c r="V3725" s="1821"/>
      <c r="W3725" s="1821"/>
      <c r="X3725" s="1821"/>
      <c r="Y3725" s="1821"/>
      <c r="Z3725" s="1821"/>
      <c r="AA3725" s="1821"/>
      <c r="AB3725" s="1821"/>
      <c r="AC3725" s="1821"/>
      <c r="AD3725" s="1821"/>
      <c r="AE3725" s="1821"/>
      <c r="AF3725" s="1821"/>
      <c r="AG3725" s="1821"/>
      <c r="AH3725" s="1821"/>
      <c r="AI3725" s="1821"/>
      <c r="AJ3725" s="1821"/>
      <c r="AK3725" s="1821"/>
      <c r="AL3725" s="1821"/>
      <c r="AM3725" s="1821"/>
      <c r="AN3725" s="1821"/>
      <c r="AO3725" s="1821"/>
      <c r="AP3725" s="1821"/>
      <c r="AQ3725" s="1821"/>
      <c r="AR3725" s="1821"/>
      <c r="AS3725" s="1821"/>
      <c r="AT3725" s="1821"/>
      <c r="AU3725" s="1821"/>
      <c r="AV3725" s="1821"/>
      <c r="AW3725" s="1821"/>
      <c r="AX3725" s="1821"/>
      <c r="AY3725" s="1821"/>
      <c r="AZ3725" s="1821"/>
      <c r="BA3725" s="1821"/>
      <c r="BB3725" s="1821"/>
      <c r="BC3725" s="1821"/>
      <c r="BD3725" s="1821"/>
      <c r="BE3725" s="1821"/>
      <c r="BF3725" s="1821"/>
      <c r="BG3725" s="1821"/>
      <c r="BH3725" s="1821"/>
      <c r="BI3725" s="1821"/>
      <c r="BJ3725" s="1821"/>
      <c r="BK3725" s="1821"/>
      <c r="BL3725" s="1821"/>
      <c r="BM3725" s="1821"/>
      <c r="BN3725" s="1821"/>
      <c r="BO3725" s="1821"/>
      <c r="BP3725" s="1821"/>
      <c r="BQ3725" s="1821"/>
      <c r="BR3725" s="1821"/>
      <c r="BS3725" s="1821"/>
      <c r="BT3725" s="1821"/>
      <c r="BU3725" s="1821"/>
      <c r="BV3725" s="1821"/>
      <c r="BW3725" s="1821"/>
      <c r="BX3725" s="1821"/>
      <c r="BY3725" s="1821"/>
      <c r="BZ3725" s="1821"/>
      <c r="CA3725" s="1821"/>
      <c r="CB3725" s="1821"/>
      <c r="CC3725" s="1821"/>
      <c r="CD3725" s="1821"/>
      <c r="CE3725" s="1821"/>
      <c r="CF3725" s="1821"/>
      <c r="CG3725" s="1821"/>
      <c r="CH3725" s="1821"/>
      <c r="CI3725" s="1821"/>
      <c r="CJ3725" s="1821"/>
      <c r="CK3725" s="1821"/>
    </row>
    <row r="3726" spans="1:89" s="675" customFormat="1" ht="16.5" customHeight="1" x14ac:dyDescent="0.25">
      <c r="A3726" s="1021"/>
      <c r="B3726" s="996" t="s">
        <v>54</v>
      </c>
      <c r="C3726" s="1004">
        <v>270</v>
      </c>
      <c r="D3726" s="1022" t="s">
        <v>55</v>
      </c>
      <c r="E3726" s="1023">
        <v>430</v>
      </c>
      <c r="F3726" s="706"/>
      <c r="G3726" s="706"/>
      <c r="H3726" s="700"/>
      <c r="I3726" s="706"/>
      <c r="J3726" s="706">
        <f>C3726*E3726</f>
        <v>116100</v>
      </c>
      <c r="K3726" s="700">
        <f>J3726+I3726</f>
        <v>116100</v>
      </c>
      <c r="L3726" s="706"/>
      <c r="M3726" s="706"/>
      <c r="N3726" s="700"/>
      <c r="O3726" s="974">
        <f>E3726*C3726</f>
        <v>116100</v>
      </c>
      <c r="P3726" s="956"/>
      <c r="Q3726" s="1821"/>
      <c r="R3726" s="1821"/>
      <c r="S3726" s="1821"/>
      <c r="T3726" s="1821"/>
      <c r="U3726" s="1821"/>
      <c r="V3726" s="1821"/>
      <c r="W3726" s="1821"/>
      <c r="X3726" s="1821"/>
      <c r="Y3726" s="1821"/>
      <c r="Z3726" s="1821"/>
      <c r="AA3726" s="1821"/>
      <c r="AB3726" s="1821"/>
      <c r="AC3726" s="1821"/>
      <c r="AD3726" s="1821"/>
      <c r="AE3726" s="1821"/>
      <c r="AF3726" s="1821"/>
      <c r="AG3726" s="1821"/>
      <c r="AH3726" s="1821"/>
      <c r="AI3726" s="1821"/>
      <c r="AJ3726" s="1821"/>
      <c r="AK3726" s="1821"/>
      <c r="AL3726" s="1821"/>
      <c r="AM3726" s="1821"/>
      <c r="AN3726" s="1821"/>
      <c r="AO3726" s="1821"/>
      <c r="AP3726" s="1821"/>
      <c r="AQ3726" s="1821"/>
      <c r="AR3726" s="1821"/>
      <c r="AS3726" s="1821"/>
      <c r="AT3726" s="1821"/>
      <c r="AU3726" s="1821"/>
      <c r="AV3726" s="1821"/>
      <c r="AW3726" s="1821"/>
      <c r="AX3726" s="1821"/>
      <c r="AY3726" s="1821"/>
      <c r="AZ3726" s="1821"/>
      <c r="BA3726" s="1821"/>
      <c r="BB3726" s="1821"/>
      <c r="BC3726" s="1821"/>
      <c r="BD3726" s="1821"/>
      <c r="BE3726" s="1821"/>
      <c r="BF3726" s="1821"/>
      <c r="BG3726" s="1821"/>
      <c r="BH3726" s="1821"/>
      <c r="BI3726" s="1821"/>
      <c r="BJ3726" s="1821"/>
      <c r="BK3726" s="1821"/>
      <c r="BL3726" s="1821"/>
      <c r="BM3726" s="1821"/>
      <c r="BN3726" s="1821"/>
      <c r="BO3726" s="1821"/>
      <c r="BP3726" s="1821"/>
      <c r="BQ3726" s="1821"/>
      <c r="BR3726" s="1821"/>
      <c r="BS3726" s="1821"/>
      <c r="BT3726" s="1821"/>
      <c r="BU3726" s="1821"/>
      <c r="BV3726" s="1821"/>
      <c r="BW3726" s="1821"/>
      <c r="BX3726" s="1821"/>
      <c r="BY3726" s="1821"/>
      <c r="BZ3726" s="1821"/>
      <c r="CA3726" s="1821"/>
      <c r="CB3726" s="1821"/>
      <c r="CC3726" s="1821"/>
      <c r="CD3726" s="1821"/>
      <c r="CE3726" s="1821"/>
      <c r="CF3726" s="1821"/>
      <c r="CG3726" s="1821"/>
      <c r="CH3726" s="1821"/>
      <c r="CI3726" s="1821"/>
      <c r="CJ3726" s="1821"/>
      <c r="CK3726" s="1821"/>
    </row>
    <row r="3727" spans="1:89" s="675" customFormat="1" ht="16.5" customHeight="1" x14ac:dyDescent="0.25">
      <c r="A3727" s="697"/>
      <c r="B3727" s="1002" t="s">
        <v>52</v>
      </c>
      <c r="C3727" s="1007">
        <v>180</v>
      </c>
      <c r="D3727" s="1005" t="s">
        <v>55</v>
      </c>
      <c r="E3727" s="1006">
        <v>460</v>
      </c>
      <c r="F3727" s="758"/>
      <c r="G3727" s="758"/>
      <c r="H3727" s="700"/>
      <c r="I3727" s="758"/>
      <c r="J3727" s="758">
        <f>C3727*E3727</f>
        <v>82800</v>
      </c>
      <c r="K3727" s="700">
        <f>J3727+I3727</f>
        <v>82800</v>
      </c>
      <c r="L3727" s="758"/>
      <c r="M3727" s="758"/>
      <c r="N3727" s="700"/>
      <c r="O3727" s="974">
        <f>E3727*C3727</f>
        <v>82800</v>
      </c>
      <c r="P3727" s="956"/>
      <c r="Q3727" s="1821"/>
      <c r="R3727" s="1821"/>
      <c r="S3727" s="1821"/>
      <c r="T3727" s="1821"/>
      <c r="U3727" s="1821"/>
      <c r="V3727" s="1821"/>
      <c r="W3727" s="1821"/>
      <c r="X3727" s="1821"/>
      <c r="Y3727" s="1821"/>
      <c r="Z3727" s="1821"/>
      <c r="AA3727" s="1821"/>
      <c r="AB3727" s="1821"/>
      <c r="AC3727" s="1821"/>
      <c r="AD3727" s="1821"/>
      <c r="AE3727" s="1821"/>
      <c r="AF3727" s="1821"/>
      <c r="AG3727" s="1821"/>
      <c r="AH3727" s="1821"/>
      <c r="AI3727" s="1821"/>
      <c r="AJ3727" s="1821"/>
      <c r="AK3727" s="1821"/>
      <c r="AL3727" s="1821"/>
      <c r="AM3727" s="1821"/>
      <c r="AN3727" s="1821"/>
      <c r="AO3727" s="1821"/>
      <c r="AP3727" s="1821"/>
      <c r="AQ3727" s="1821"/>
      <c r="AR3727" s="1821"/>
      <c r="AS3727" s="1821"/>
      <c r="AT3727" s="1821"/>
      <c r="AU3727" s="1821"/>
      <c r="AV3727" s="1821"/>
      <c r="AW3727" s="1821"/>
      <c r="AX3727" s="1821"/>
      <c r="AY3727" s="1821"/>
      <c r="AZ3727" s="1821"/>
      <c r="BA3727" s="1821"/>
      <c r="BB3727" s="1821"/>
      <c r="BC3727" s="1821"/>
      <c r="BD3727" s="1821"/>
      <c r="BE3727" s="1821"/>
      <c r="BF3727" s="1821"/>
      <c r="BG3727" s="1821"/>
      <c r="BH3727" s="1821"/>
      <c r="BI3727" s="1821"/>
      <c r="BJ3727" s="1821"/>
      <c r="BK3727" s="1821"/>
      <c r="BL3727" s="1821"/>
      <c r="BM3727" s="1821"/>
      <c r="BN3727" s="1821"/>
      <c r="BO3727" s="1821"/>
      <c r="BP3727" s="1821"/>
      <c r="BQ3727" s="1821"/>
      <c r="BR3727" s="1821"/>
      <c r="BS3727" s="1821"/>
      <c r="BT3727" s="1821"/>
      <c r="BU3727" s="1821"/>
      <c r="BV3727" s="1821"/>
      <c r="BW3727" s="1821"/>
      <c r="BX3727" s="1821"/>
      <c r="BY3727" s="1821"/>
      <c r="BZ3727" s="1821"/>
      <c r="CA3727" s="1821"/>
      <c r="CB3727" s="1821"/>
      <c r="CC3727" s="1821"/>
      <c r="CD3727" s="1821"/>
      <c r="CE3727" s="1821"/>
      <c r="CF3727" s="1821"/>
      <c r="CG3727" s="1821"/>
      <c r="CH3727" s="1821"/>
      <c r="CI3727" s="1821"/>
      <c r="CJ3727" s="1821"/>
      <c r="CK3727" s="1821"/>
    </row>
    <row r="3728" spans="1:89" s="675" customFormat="1" ht="16.5" customHeight="1" x14ac:dyDescent="0.25">
      <c r="A3728" s="697"/>
      <c r="B3728" s="1002"/>
      <c r="C3728" s="1007"/>
      <c r="D3728" s="1005"/>
      <c r="E3728" s="1006"/>
      <c r="F3728" s="758"/>
      <c r="G3728" s="758"/>
      <c r="H3728" s="700"/>
      <c r="I3728" s="758"/>
      <c r="J3728" s="758"/>
      <c r="K3728" s="700"/>
      <c r="L3728" s="758"/>
      <c r="M3728" s="758"/>
      <c r="N3728" s="700"/>
      <c r="O3728" s="974"/>
      <c r="P3728" s="956"/>
      <c r="Q3728" s="1821"/>
      <c r="R3728" s="1821"/>
      <c r="S3728" s="1821"/>
      <c r="T3728" s="1821"/>
      <c r="U3728" s="1821"/>
      <c r="V3728" s="1821"/>
      <c r="W3728" s="1821"/>
      <c r="X3728" s="1821"/>
      <c r="Y3728" s="1821"/>
      <c r="Z3728" s="1821"/>
      <c r="AA3728" s="1821"/>
      <c r="AB3728" s="1821"/>
      <c r="AC3728" s="1821"/>
      <c r="AD3728" s="1821"/>
      <c r="AE3728" s="1821"/>
      <c r="AF3728" s="1821"/>
      <c r="AG3728" s="1821"/>
      <c r="AH3728" s="1821"/>
      <c r="AI3728" s="1821"/>
      <c r="AJ3728" s="1821"/>
      <c r="AK3728" s="1821"/>
      <c r="AL3728" s="1821"/>
      <c r="AM3728" s="1821"/>
      <c r="AN3728" s="1821"/>
      <c r="AO3728" s="1821"/>
      <c r="AP3728" s="1821"/>
      <c r="AQ3728" s="1821"/>
      <c r="AR3728" s="1821"/>
      <c r="AS3728" s="1821"/>
      <c r="AT3728" s="1821"/>
      <c r="AU3728" s="1821"/>
      <c r="AV3728" s="1821"/>
      <c r="AW3728" s="1821"/>
      <c r="AX3728" s="1821"/>
      <c r="AY3728" s="1821"/>
      <c r="AZ3728" s="1821"/>
      <c r="BA3728" s="1821"/>
      <c r="BB3728" s="1821"/>
      <c r="BC3728" s="1821"/>
      <c r="BD3728" s="1821"/>
      <c r="BE3728" s="1821"/>
      <c r="BF3728" s="1821"/>
      <c r="BG3728" s="1821"/>
      <c r="BH3728" s="1821"/>
      <c r="BI3728" s="1821"/>
      <c r="BJ3728" s="1821"/>
      <c r="BK3728" s="1821"/>
      <c r="BL3728" s="1821"/>
      <c r="BM3728" s="1821"/>
      <c r="BN3728" s="1821"/>
      <c r="BO3728" s="1821"/>
      <c r="BP3728" s="1821"/>
      <c r="BQ3728" s="1821"/>
      <c r="BR3728" s="1821"/>
      <c r="BS3728" s="1821"/>
      <c r="BT3728" s="1821"/>
      <c r="BU3728" s="1821"/>
      <c r="BV3728" s="1821"/>
      <c r="BW3728" s="1821"/>
      <c r="BX3728" s="1821"/>
      <c r="BY3728" s="1821"/>
      <c r="BZ3728" s="1821"/>
      <c r="CA3728" s="1821"/>
      <c r="CB3728" s="1821"/>
      <c r="CC3728" s="1821"/>
      <c r="CD3728" s="1821"/>
      <c r="CE3728" s="1821"/>
      <c r="CF3728" s="1821"/>
      <c r="CG3728" s="1821"/>
      <c r="CH3728" s="1821"/>
      <c r="CI3728" s="1821"/>
      <c r="CJ3728" s="1821"/>
      <c r="CK3728" s="1821"/>
    </row>
    <row r="3729" spans="1:89" s="675" customFormat="1" ht="16.5" customHeight="1" x14ac:dyDescent="0.25">
      <c r="A3729" s="697" t="s">
        <v>270</v>
      </c>
      <c r="B3729" s="1002" t="s">
        <v>271</v>
      </c>
      <c r="C3729" s="1007"/>
      <c r="D3729" s="1005"/>
      <c r="E3729" s="1006"/>
      <c r="F3729" s="758"/>
      <c r="G3729" s="758"/>
      <c r="H3729" s="700">
        <f t="shared" ref="H3729:H3792" si="406">G3729+F3729</f>
        <v>0</v>
      </c>
      <c r="I3729" s="758"/>
      <c r="J3729" s="758"/>
      <c r="K3729" s="700">
        <f t="shared" ref="K3729:K3792" si="407">J3729+I3729</f>
        <v>0</v>
      </c>
      <c r="L3729" s="758"/>
      <c r="M3729" s="758"/>
      <c r="N3729" s="700">
        <f t="shared" ref="N3729:N3792" si="408">M3729+L3729</f>
        <v>0</v>
      </c>
      <c r="O3729" s="974">
        <f t="shared" ref="O3729:O3792" si="409">N3729+K3729+H3729</f>
        <v>0</v>
      </c>
      <c r="P3729" s="956"/>
      <c r="Q3729" s="1821"/>
      <c r="R3729" s="1821"/>
      <c r="S3729" s="1821"/>
      <c r="T3729" s="1821"/>
      <c r="U3729" s="1821"/>
      <c r="V3729" s="1821"/>
      <c r="W3729" s="1821"/>
      <c r="X3729" s="1821"/>
      <c r="Y3729" s="1821"/>
      <c r="Z3729" s="1821"/>
      <c r="AA3729" s="1821"/>
      <c r="AB3729" s="1821"/>
      <c r="AC3729" s="1821"/>
      <c r="AD3729" s="1821"/>
      <c r="AE3729" s="1821"/>
      <c r="AF3729" s="1821"/>
      <c r="AG3729" s="1821"/>
      <c r="AH3729" s="1821"/>
      <c r="AI3729" s="1821"/>
      <c r="AJ3729" s="1821"/>
      <c r="AK3729" s="1821"/>
      <c r="AL3729" s="1821"/>
      <c r="AM3729" s="1821"/>
      <c r="AN3729" s="1821"/>
      <c r="AO3729" s="1821"/>
      <c r="AP3729" s="1821"/>
      <c r="AQ3729" s="1821"/>
      <c r="AR3729" s="1821"/>
      <c r="AS3729" s="1821"/>
      <c r="AT3729" s="1821"/>
      <c r="AU3729" s="1821"/>
      <c r="AV3729" s="1821"/>
      <c r="AW3729" s="1821"/>
      <c r="AX3729" s="1821"/>
      <c r="AY3729" s="1821"/>
      <c r="AZ3729" s="1821"/>
      <c r="BA3729" s="1821"/>
      <c r="BB3729" s="1821"/>
      <c r="BC3729" s="1821"/>
      <c r="BD3729" s="1821"/>
      <c r="BE3729" s="1821"/>
      <c r="BF3729" s="1821"/>
      <c r="BG3729" s="1821"/>
      <c r="BH3729" s="1821"/>
      <c r="BI3729" s="1821"/>
      <c r="BJ3729" s="1821"/>
      <c r="BK3729" s="1821"/>
      <c r="BL3729" s="1821"/>
      <c r="BM3729" s="1821"/>
      <c r="BN3729" s="1821"/>
      <c r="BO3729" s="1821"/>
      <c r="BP3729" s="1821"/>
      <c r="BQ3729" s="1821"/>
      <c r="BR3729" s="1821"/>
      <c r="BS3729" s="1821"/>
      <c r="BT3729" s="1821"/>
      <c r="BU3729" s="1821"/>
      <c r="BV3729" s="1821"/>
      <c r="BW3729" s="1821"/>
      <c r="BX3729" s="1821"/>
      <c r="BY3729" s="1821"/>
      <c r="BZ3729" s="1821"/>
      <c r="CA3729" s="1821"/>
      <c r="CB3729" s="1821"/>
      <c r="CC3729" s="1821"/>
      <c r="CD3729" s="1821"/>
      <c r="CE3729" s="1821"/>
      <c r="CF3729" s="1821"/>
      <c r="CG3729" s="1821"/>
      <c r="CH3729" s="1821"/>
      <c r="CI3729" s="1821"/>
      <c r="CJ3729" s="1821"/>
      <c r="CK3729" s="1821"/>
    </row>
    <row r="3730" spans="1:89" s="675" customFormat="1" ht="16.5" customHeight="1" x14ac:dyDescent="0.25">
      <c r="A3730" s="710" t="s">
        <v>272</v>
      </c>
      <c r="B3730" s="1002" t="s">
        <v>273</v>
      </c>
      <c r="C3730" s="1007">
        <f>SUM(O3732:O3738)</f>
        <v>1010000</v>
      </c>
      <c r="D3730" s="1005"/>
      <c r="E3730" s="1010"/>
      <c r="F3730" s="758"/>
      <c r="G3730" s="758"/>
      <c r="H3730" s="700">
        <f t="shared" si="406"/>
        <v>0</v>
      </c>
      <c r="I3730" s="700"/>
      <c r="J3730" s="758"/>
      <c r="K3730" s="700">
        <f t="shared" si="407"/>
        <v>0</v>
      </c>
      <c r="L3730" s="758"/>
      <c r="M3730" s="758"/>
      <c r="N3730" s="700">
        <f t="shared" si="408"/>
        <v>0</v>
      </c>
      <c r="O3730" s="974" t="s">
        <v>1290</v>
      </c>
      <c r="P3730" s="956"/>
      <c r="Q3730" s="1821"/>
      <c r="R3730" s="1821"/>
      <c r="S3730" s="1821"/>
      <c r="T3730" s="1821"/>
      <c r="U3730" s="1821"/>
      <c r="V3730" s="1821"/>
      <c r="W3730" s="1821"/>
      <c r="X3730" s="1821"/>
      <c r="Y3730" s="1821"/>
      <c r="Z3730" s="1821"/>
      <c r="AA3730" s="1821"/>
      <c r="AB3730" s="1821"/>
      <c r="AC3730" s="1821"/>
      <c r="AD3730" s="1821"/>
      <c r="AE3730" s="1821"/>
      <c r="AF3730" s="1821"/>
      <c r="AG3730" s="1821"/>
      <c r="AH3730" s="1821"/>
      <c r="AI3730" s="1821"/>
      <c r="AJ3730" s="1821"/>
      <c r="AK3730" s="1821"/>
      <c r="AL3730" s="1821"/>
      <c r="AM3730" s="1821"/>
      <c r="AN3730" s="1821"/>
      <c r="AO3730" s="1821"/>
      <c r="AP3730" s="1821"/>
      <c r="AQ3730" s="1821"/>
      <c r="AR3730" s="1821"/>
      <c r="AS3730" s="1821"/>
      <c r="AT3730" s="1821"/>
      <c r="AU3730" s="1821"/>
      <c r="AV3730" s="1821"/>
      <c r="AW3730" s="1821"/>
      <c r="AX3730" s="1821"/>
      <c r="AY3730" s="1821"/>
      <c r="AZ3730" s="1821"/>
      <c r="BA3730" s="1821"/>
      <c r="BB3730" s="1821"/>
      <c r="BC3730" s="1821"/>
      <c r="BD3730" s="1821"/>
      <c r="BE3730" s="1821"/>
      <c r="BF3730" s="1821"/>
      <c r="BG3730" s="1821"/>
      <c r="BH3730" s="1821"/>
      <c r="BI3730" s="1821"/>
      <c r="BJ3730" s="1821"/>
      <c r="BK3730" s="1821"/>
      <c r="BL3730" s="1821"/>
      <c r="BM3730" s="1821"/>
      <c r="BN3730" s="1821"/>
      <c r="BO3730" s="1821"/>
      <c r="BP3730" s="1821"/>
      <c r="BQ3730" s="1821"/>
      <c r="BR3730" s="1821"/>
      <c r="BS3730" s="1821"/>
      <c r="BT3730" s="1821"/>
      <c r="BU3730" s="1821"/>
      <c r="BV3730" s="1821"/>
      <c r="BW3730" s="1821"/>
      <c r="BX3730" s="1821"/>
      <c r="BY3730" s="1821"/>
      <c r="BZ3730" s="1821"/>
      <c r="CA3730" s="1821"/>
      <c r="CB3730" s="1821"/>
      <c r="CC3730" s="1821"/>
      <c r="CD3730" s="1821"/>
      <c r="CE3730" s="1821"/>
      <c r="CF3730" s="1821"/>
      <c r="CG3730" s="1821"/>
      <c r="CH3730" s="1821"/>
      <c r="CI3730" s="1821"/>
      <c r="CJ3730" s="1821"/>
      <c r="CK3730" s="1821"/>
    </row>
    <row r="3731" spans="1:89" s="675" customFormat="1" ht="16.5" customHeight="1" x14ac:dyDescent="0.25">
      <c r="A3731" s="697" t="s">
        <v>49</v>
      </c>
      <c r="B3731" s="1002" t="s">
        <v>21</v>
      </c>
      <c r="C3731" s="1007"/>
      <c r="D3731" s="1005"/>
      <c r="E3731" s="1006"/>
      <c r="F3731" s="758"/>
      <c r="G3731" s="758"/>
      <c r="H3731" s="700">
        <f t="shared" si="406"/>
        <v>0</v>
      </c>
      <c r="I3731" s="758"/>
      <c r="J3731" s="758"/>
      <c r="K3731" s="700">
        <f t="shared" si="407"/>
        <v>0</v>
      </c>
      <c r="L3731" s="758"/>
      <c r="M3731" s="758"/>
      <c r="N3731" s="700">
        <f t="shared" si="408"/>
        <v>0</v>
      </c>
      <c r="O3731" s="974">
        <f t="shared" si="409"/>
        <v>0</v>
      </c>
      <c r="P3731" s="956"/>
      <c r="Q3731" s="1821"/>
      <c r="R3731" s="1821"/>
      <c r="S3731" s="1821"/>
      <c r="T3731" s="1821"/>
      <c r="U3731" s="1821"/>
      <c r="V3731" s="1821"/>
      <c r="W3731" s="1821"/>
      <c r="X3731" s="1821"/>
      <c r="Y3731" s="1821"/>
      <c r="Z3731" s="1821"/>
      <c r="AA3731" s="1821"/>
      <c r="AB3731" s="1821"/>
      <c r="AC3731" s="1821"/>
      <c r="AD3731" s="1821"/>
      <c r="AE3731" s="1821"/>
      <c r="AF3731" s="1821"/>
      <c r="AG3731" s="1821"/>
      <c r="AH3731" s="1821"/>
      <c r="AI3731" s="1821"/>
      <c r="AJ3731" s="1821"/>
      <c r="AK3731" s="1821"/>
      <c r="AL3731" s="1821"/>
      <c r="AM3731" s="1821"/>
      <c r="AN3731" s="1821"/>
      <c r="AO3731" s="1821"/>
      <c r="AP3731" s="1821"/>
      <c r="AQ3731" s="1821"/>
      <c r="AR3731" s="1821"/>
      <c r="AS3731" s="1821"/>
      <c r="AT3731" s="1821"/>
      <c r="AU3731" s="1821"/>
      <c r="AV3731" s="1821"/>
      <c r="AW3731" s="1821"/>
      <c r="AX3731" s="1821"/>
      <c r="AY3731" s="1821"/>
      <c r="AZ3731" s="1821"/>
      <c r="BA3731" s="1821"/>
      <c r="BB3731" s="1821"/>
      <c r="BC3731" s="1821"/>
      <c r="BD3731" s="1821"/>
      <c r="BE3731" s="1821"/>
      <c r="BF3731" s="1821"/>
      <c r="BG3731" s="1821"/>
      <c r="BH3731" s="1821"/>
      <c r="BI3731" s="1821"/>
      <c r="BJ3731" s="1821"/>
      <c r="BK3731" s="1821"/>
      <c r="BL3731" s="1821"/>
      <c r="BM3731" s="1821"/>
      <c r="BN3731" s="1821"/>
      <c r="BO3731" s="1821"/>
      <c r="BP3731" s="1821"/>
      <c r="BQ3731" s="1821"/>
      <c r="BR3731" s="1821"/>
      <c r="BS3731" s="1821"/>
      <c r="BT3731" s="1821"/>
      <c r="BU3731" s="1821"/>
      <c r="BV3731" s="1821"/>
      <c r="BW3731" s="1821"/>
      <c r="BX3731" s="1821"/>
      <c r="BY3731" s="1821"/>
      <c r="BZ3731" s="1821"/>
      <c r="CA3731" s="1821"/>
      <c r="CB3731" s="1821"/>
      <c r="CC3731" s="1821"/>
      <c r="CD3731" s="1821"/>
      <c r="CE3731" s="1821"/>
      <c r="CF3731" s="1821"/>
      <c r="CG3731" s="1821"/>
      <c r="CH3731" s="1821"/>
      <c r="CI3731" s="1821"/>
      <c r="CJ3731" s="1821"/>
      <c r="CK3731" s="1821"/>
    </row>
    <row r="3732" spans="1:89" s="675" customFormat="1" ht="16.5" customHeight="1" x14ac:dyDescent="0.25">
      <c r="A3732" s="697">
        <v>1</v>
      </c>
      <c r="B3732" s="1002" t="s">
        <v>1291</v>
      </c>
      <c r="C3732" s="1007">
        <v>1</v>
      </c>
      <c r="D3732" s="1005" t="s">
        <v>47</v>
      </c>
      <c r="E3732" s="1006">
        <v>700000</v>
      </c>
      <c r="F3732" s="758"/>
      <c r="G3732" s="758"/>
      <c r="H3732" s="700">
        <f t="shared" si="406"/>
        <v>0</v>
      </c>
      <c r="I3732" s="758">
        <f>C3732*E3732</f>
        <v>700000</v>
      </c>
      <c r="J3732" s="758"/>
      <c r="K3732" s="700">
        <f>J3732+I3732</f>
        <v>700000</v>
      </c>
      <c r="L3732" s="758"/>
      <c r="M3732" s="758"/>
      <c r="N3732" s="700">
        <f t="shared" si="408"/>
        <v>0</v>
      </c>
      <c r="O3732" s="974">
        <f>N3732+K3732+H3732</f>
        <v>700000</v>
      </c>
      <c r="P3732" s="956"/>
      <c r="Q3732" s="1821"/>
      <c r="R3732" s="1821"/>
      <c r="S3732" s="1821"/>
      <c r="T3732" s="1821"/>
      <c r="U3732" s="1821"/>
      <c r="V3732" s="1821"/>
      <c r="W3732" s="1821"/>
      <c r="X3732" s="1821"/>
      <c r="Y3732" s="1821"/>
      <c r="Z3732" s="1821"/>
      <c r="AA3732" s="1821"/>
      <c r="AB3732" s="1821"/>
      <c r="AC3732" s="1821"/>
      <c r="AD3732" s="1821"/>
      <c r="AE3732" s="1821"/>
      <c r="AF3732" s="1821"/>
      <c r="AG3732" s="1821"/>
      <c r="AH3732" s="1821"/>
      <c r="AI3732" s="1821"/>
      <c r="AJ3732" s="1821"/>
      <c r="AK3732" s="1821"/>
      <c r="AL3732" s="1821"/>
      <c r="AM3732" s="1821"/>
      <c r="AN3732" s="1821"/>
      <c r="AO3732" s="1821"/>
      <c r="AP3732" s="1821"/>
      <c r="AQ3732" s="1821"/>
      <c r="AR3732" s="1821"/>
      <c r="AS3732" s="1821"/>
      <c r="AT3732" s="1821"/>
      <c r="AU3732" s="1821"/>
      <c r="AV3732" s="1821"/>
      <c r="AW3732" s="1821"/>
      <c r="AX3732" s="1821"/>
      <c r="AY3732" s="1821"/>
      <c r="AZ3732" s="1821"/>
      <c r="BA3732" s="1821"/>
      <c r="BB3732" s="1821"/>
      <c r="BC3732" s="1821"/>
      <c r="BD3732" s="1821"/>
      <c r="BE3732" s="1821"/>
      <c r="BF3732" s="1821"/>
      <c r="BG3732" s="1821"/>
      <c r="BH3732" s="1821"/>
      <c r="BI3732" s="1821"/>
      <c r="BJ3732" s="1821"/>
      <c r="BK3732" s="1821"/>
      <c r="BL3732" s="1821"/>
      <c r="BM3732" s="1821"/>
      <c r="BN3732" s="1821"/>
      <c r="BO3732" s="1821"/>
      <c r="BP3732" s="1821"/>
      <c r="BQ3732" s="1821"/>
      <c r="BR3732" s="1821"/>
      <c r="BS3732" s="1821"/>
      <c r="BT3732" s="1821"/>
      <c r="BU3732" s="1821"/>
      <c r="BV3732" s="1821"/>
      <c r="BW3732" s="1821"/>
      <c r="BX3732" s="1821"/>
      <c r="BY3732" s="1821"/>
      <c r="BZ3732" s="1821"/>
      <c r="CA3732" s="1821"/>
      <c r="CB3732" s="1821"/>
      <c r="CC3732" s="1821"/>
      <c r="CD3732" s="1821"/>
      <c r="CE3732" s="1821"/>
      <c r="CF3732" s="1821"/>
      <c r="CG3732" s="1821"/>
      <c r="CH3732" s="1821"/>
      <c r="CI3732" s="1821"/>
      <c r="CJ3732" s="1821"/>
      <c r="CK3732" s="1821"/>
    </row>
    <row r="3733" spans="1:89" s="675" customFormat="1" ht="16.5" customHeight="1" x14ac:dyDescent="0.25">
      <c r="A3733" s="710">
        <v>2</v>
      </c>
      <c r="B3733" s="1002" t="s">
        <v>1292</v>
      </c>
      <c r="C3733" s="1007">
        <v>1</v>
      </c>
      <c r="D3733" s="1005" t="s">
        <v>47</v>
      </c>
      <c r="E3733" s="1006">
        <v>5000</v>
      </c>
      <c r="F3733" s="758"/>
      <c r="G3733" s="758"/>
      <c r="H3733" s="700">
        <f>G3733+F3733</f>
        <v>0</v>
      </c>
      <c r="I3733" s="758">
        <f>C3733*E3733</f>
        <v>5000</v>
      </c>
      <c r="J3733" s="758"/>
      <c r="K3733" s="700">
        <f>J3733+I3733</f>
        <v>5000</v>
      </c>
      <c r="L3733" s="758"/>
      <c r="M3733" s="758"/>
      <c r="N3733" s="700">
        <f>M3733+L3733</f>
        <v>0</v>
      </c>
      <c r="O3733" s="974">
        <f t="shared" si="409"/>
        <v>5000</v>
      </c>
      <c r="P3733" s="956"/>
      <c r="Q3733" s="1821"/>
      <c r="R3733" s="1821"/>
      <c r="S3733" s="1821"/>
      <c r="T3733" s="1821"/>
      <c r="U3733" s="1821"/>
      <c r="V3733" s="1821"/>
      <c r="W3733" s="1821"/>
      <c r="X3733" s="1821"/>
      <c r="Y3733" s="1821"/>
      <c r="Z3733" s="1821"/>
      <c r="AA3733" s="1821"/>
      <c r="AB3733" s="1821"/>
      <c r="AC3733" s="1821"/>
      <c r="AD3733" s="1821"/>
      <c r="AE3733" s="1821"/>
      <c r="AF3733" s="1821"/>
      <c r="AG3733" s="1821"/>
      <c r="AH3733" s="1821"/>
      <c r="AI3733" s="1821"/>
      <c r="AJ3733" s="1821"/>
      <c r="AK3733" s="1821"/>
      <c r="AL3733" s="1821"/>
      <c r="AM3733" s="1821"/>
      <c r="AN3733" s="1821"/>
      <c r="AO3733" s="1821"/>
      <c r="AP3733" s="1821"/>
      <c r="AQ3733" s="1821"/>
      <c r="AR3733" s="1821"/>
      <c r="AS3733" s="1821"/>
      <c r="AT3733" s="1821"/>
      <c r="AU3733" s="1821"/>
      <c r="AV3733" s="1821"/>
      <c r="AW3733" s="1821"/>
      <c r="AX3733" s="1821"/>
      <c r="AY3733" s="1821"/>
      <c r="AZ3733" s="1821"/>
      <c r="BA3733" s="1821"/>
      <c r="BB3733" s="1821"/>
      <c r="BC3733" s="1821"/>
      <c r="BD3733" s="1821"/>
      <c r="BE3733" s="1821"/>
      <c r="BF3733" s="1821"/>
      <c r="BG3733" s="1821"/>
      <c r="BH3733" s="1821"/>
      <c r="BI3733" s="1821"/>
      <c r="BJ3733" s="1821"/>
      <c r="BK3733" s="1821"/>
      <c r="BL3733" s="1821"/>
      <c r="BM3733" s="1821"/>
      <c r="BN3733" s="1821"/>
      <c r="BO3733" s="1821"/>
      <c r="BP3733" s="1821"/>
      <c r="BQ3733" s="1821"/>
      <c r="BR3733" s="1821"/>
      <c r="BS3733" s="1821"/>
      <c r="BT3733" s="1821"/>
      <c r="BU3733" s="1821"/>
      <c r="BV3733" s="1821"/>
      <c r="BW3733" s="1821"/>
      <c r="BX3733" s="1821"/>
      <c r="BY3733" s="1821"/>
      <c r="BZ3733" s="1821"/>
      <c r="CA3733" s="1821"/>
      <c r="CB3733" s="1821"/>
      <c r="CC3733" s="1821"/>
      <c r="CD3733" s="1821"/>
      <c r="CE3733" s="1821"/>
      <c r="CF3733" s="1821"/>
      <c r="CG3733" s="1821"/>
      <c r="CH3733" s="1821"/>
      <c r="CI3733" s="1821"/>
      <c r="CJ3733" s="1821"/>
      <c r="CK3733" s="1821"/>
    </row>
    <row r="3734" spans="1:89" s="675" customFormat="1" ht="16.5" customHeight="1" x14ac:dyDescent="0.25">
      <c r="A3734" s="697" t="s">
        <v>49</v>
      </c>
      <c r="B3734" s="1013" t="s">
        <v>274</v>
      </c>
      <c r="C3734" s="1007"/>
      <c r="D3734" s="1005"/>
      <c r="E3734" s="1006"/>
      <c r="F3734" s="758"/>
      <c r="G3734" s="758"/>
      <c r="H3734" s="700">
        <f t="shared" si="406"/>
        <v>0</v>
      </c>
      <c r="I3734" s="758"/>
      <c r="J3734" s="758"/>
      <c r="K3734" s="700">
        <f t="shared" si="407"/>
        <v>0</v>
      </c>
      <c r="L3734" s="758"/>
      <c r="M3734" s="758"/>
      <c r="N3734" s="700">
        <f t="shared" si="408"/>
        <v>0</v>
      </c>
      <c r="O3734" s="974">
        <f t="shared" si="409"/>
        <v>0</v>
      </c>
      <c r="P3734" s="956"/>
      <c r="Q3734" s="1821"/>
      <c r="R3734" s="1821"/>
      <c r="S3734" s="1821"/>
      <c r="T3734" s="1821"/>
      <c r="U3734" s="1821"/>
      <c r="V3734" s="1821"/>
      <c r="W3734" s="1821"/>
      <c r="X3734" s="1821"/>
      <c r="Y3734" s="1821"/>
      <c r="Z3734" s="1821"/>
      <c r="AA3734" s="1821"/>
      <c r="AB3734" s="1821"/>
      <c r="AC3734" s="1821"/>
      <c r="AD3734" s="1821"/>
      <c r="AE3734" s="1821"/>
      <c r="AF3734" s="1821"/>
      <c r="AG3734" s="1821"/>
      <c r="AH3734" s="1821"/>
      <c r="AI3734" s="1821"/>
      <c r="AJ3734" s="1821"/>
      <c r="AK3734" s="1821"/>
      <c r="AL3734" s="1821"/>
      <c r="AM3734" s="1821"/>
      <c r="AN3734" s="1821"/>
      <c r="AO3734" s="1821"/>
      <c r="AP3734" s="1821"/>
      <c r="AQ3734" s="1821"/>
      <c r="AR3734" s="1821"/>
      <c r="AS3734" s="1821"/>
      <c r="AT3734" s="1821"/>
      <c r="AU3734" s="1821"/>
      <c r="AV3734" s="1821"/>
      <c r="AW3734" s="1821"/>
      <c r="AX3734" s="1821"/>
      <c r="AY3734" s="1821"/>
      <c r="AZ3734" s="1821"/>
      <c r="BA3734" s="1821"/>
      <c r="BB3734" s="1821"/>
      <c r="BC3734" s="1821"/>
      <c r="BD3734" s="1821"/>
      <c r="BE3734" s="1821"/>
      <c r="BF3734" s="1821"/>
      <c r="BG3734" s="1821"/>
      <c r="BH3734" s="1821"/>
      <c r="BI3734" s="1821"/>
      <c r="BJ3734" s="1821"/>
      <c r="BK3734" s="1821"/>
      <c r="BL3734" s="1821"/>
      <c r="BM3734" s="1821"/>
      <c r="BN3734" s="1821"/>
      <c r="BO3734" s="1821"/>
      <c r="BP3734" s="1821"/>
      <c r="BQ3734" s="1821"/>
      <c r="BR3734" s="1821"/>
      <c r="BS3734" s="1821"/>
      <c r="BT3734" s="1821"/>
      <c r="BU3734" s="1821"/>
      <c r="BV3734" s="1821"/>
      <c r="BW3734" s="1821"/>
      <c r="BX3734" s="1821"/>
      <c r="BY3734" s="1821"/>
      <c r="BZ3734" s="1821"/>
      <c r="CA3734" s="1821"/>
      <c r="CB3734" s="1821"/>
      <c r="CC3734" s="1821"/>
      <c r="CD3734" s="1821"/>
      <c r="CE3734" s="1821"/>
      <c r="CF3734" s="1821"/>
      <c r="CG3734" s="1821"/>
      <c r="CH3734" s="1821"/>
      <c r="CI3734" s="1821"/>
      <c r="CJ3734" s="1821"/>
      <c r="CK3734" s="1821"/>
    </row>
    <row r="3735" spans="1:89" s="675" customFormat="1" ht="16.5" customHeight="1" x14ac:dyDescent="0.25">
      <c r="A3735" s="697">
        <v>3</v>
      </c>
      <c r="B3735" s="1013" t="s">
        <v>275</v>
      </c>
      <c r="C3735" s="1007">
        <v>1</v>
      </c>
      <c r="D3735" s="1005" t="s">
        <v>47</v>
      </c>
      <c r="E3735" s="1006">
        <v>5000</v>
      </c>
      <c r="F3735" s="758"/>
      <c r="G3735" s="758"/>
      <c r="H3735" s="700">
        <f t="shared" si="406"/>
        <v>0</v>
      </c>
      <c r="I3735" s="758">
        <f>C3735*E3735</f>
        <v>5000</v>
      </c>
      <c r="J3735" s="758"/>
      <c r="K3735" s="700">
        <f t="shared" si="407"/>
        <v>5000</v>
      </c>
      <c r="L3735" s="758"/>
      <c r="M3735" s="758"/>
      <c r="N3735" s="700">
        <f t="shared" si="408"/>
        <v>0</v>
      </c>
      <c r="O3735" s="974">
        <f t="shared" si="409"/>
        <v>5000</v>
      </c>
      <c r="P3735" s="956"/>
      <c r="Q3735" s="1821"/>
      <c r="R3735" s="1821"/>
      <c r="S3735" s="1821"/>
      <c r="T3735" s="1821"/>
      <c r="U3735" s="1821"/>
      <c r="V3735" s="1821"/>
      <c r="W3735" s="1821"/>
      <c r="X3735" s="1821"/>
      <c r="Y3735" s="1821"/>
      <c r="Z3735" s="1821"/>
      <c r="AA3735" s="1821"/>
      <c r="AB3735" s="1821"/>
      <c r="AC3735" s="1821"/>
      <c r="AD3735" s="1821"/>
      <c r="AE3735" s="1821"/>
      <c r="AF3735" s="1821"/>
      <c r="AG3735" s="1821"/>
      <c r="AH3735" s="1821"/>
      <c r="AI3735" s="1821"/>
      <c r="AJ3735" s="1821"/>
      <c r="AK3735" s="1821"/>
      <c r="AL3735" s="1821"/>
      <c r="AM3735" s="1821"/>
      <c r="AN3735" s="1821"/>
      <c r="AO3735" s="1821"/>
      <c r="AP3735" s="1821"/>
      <c r="AQ3735" s="1821"/>
      <c r="AR3735" s="1821"/>
      <c r="AS3735" s="1821"/>
      <c r="AT3735" s="1821"/>
      <c r="AU3735" s="1821"/>
      <c r="AV3735" s="1821"/>
      <c r="AW3735" s="1821"/>
      <c r="AX3735" s="1821"/>
      <c r="AY3735" s="1821"/>
      <c r="AZ3735" s="1821"/>
      <c r="BA3735" s="1821"/>
      <c r="BB3735" s="1821"/>
      <c r="BC3735" s="1821"/>
      <c r="BD3735" s="1821"/>
      <c r="BE3735" s="1821"/>
      <c r="BF3735" s="1821"/>
      <c r="BG3735" s="1821"/>
      <c r="BH3735" s="1821"/>
      <c r="BI3735" s="1821"/>
      <c r="BJ3735" s="1821"/>
      <c r="BK3735" s="1821"/>
      <c r="BL3735" s="1821"/>
      <c r="BM3735" s="1821"/>
      <c r="BN3735" s="1821"/>
      <c r="BO3735" s="1821"/>
      <c r="BP3735" s="1821"/>
      <c r="BQ3735" s="1821"/>
      <c r="BR3735" s="1821"/>
      <c r="BS3735" s="1821"/>
      <c r="BT3735" s="1821"/>
      <c r="BU3735" s="1821"/>
      <c r="BV3735" s="1821"/>
      <c r="BW3735" s="1821"/>
      <c r="BX3735" s="1821"/>
      <c r="BY3735" s="1821"/>
      <c r="BZ3735" s="1821"/>
      <c r="CA3735" s="1821"/>
      <c r="CB3735" s="1821"/>
      <c r="CC3735" s="1821"/>
      <c r="CD3735" s="1821"/>
      <c r="CE3735" s="1821"/>
      <c r="CF3735" s="1821"/>
      <c r="CG3735" s="1821"/>
      <c r="CH3735" s="1821"/>
      <c r="CI3735" s="1821"/>
      <c r="CJ3735" s="1821"/>
      <c r="CK3735" s="1821"/>
    </row>
    <row r="3736" spans="1:89" s="675" customFormat="1" ht="16.5" customHeight="1" x14ac:dyDescent="0.25">
      <c r="A3736" s="710" t="s">
        <v>49</v>
      </c>
      <c r="B3736" s="1013" t="s">
        <v>1293</v>
      </c>
      <c r="C3736" s="1007"/>
      <c r="D3736" s="1014"/>
      <c r="E3736" s="1006"/>
      <c r="F3736" s="758"/>
      <c r="G3736" s="758"/>
      <c r="H3736" s="700">
        <f t="shared" si="406"/>
        <v>0</v>
      </c>
      <c r="I3736" s="758"/>
      <c r="J3736" s="758"/>
      <c r="K3736" s="700">
        <f t="shared" si="407"/>
        <v>0</v>
      </c>
      <c r="L3736" s="758"/>
      <c r="M3736" s="758"/>
      <c r="N3736" s="700">
        <f t="shared" si="408"/>
        <v>0</v>
      </c>
      <c r="O3736" s="974">
        <f t="shared" si="409"/>
        <v>0</v>
      </c>
      <c r="P3736" s="956"/>
      <c r="Q3736" s="1821"/>
      <c r="R3736" s="1821"/>
      <c r="S3736" s="1821"/>
      <c r="T3736" s="1821"/>
      <c r="U3736" s="1821"/>
      <c r="V3736" s="1821"/>
      <c r="W3736" s="1821"/>
      <c r="X3736" s="1821"/>
      <c r="Y3736" s="1821"/>
      <c r="Z3736" s="1821"/>
      <c r="AA3736" s="1821"/>
      <c r="AB3736" s="1821"/>
      <c r="AC3736" s="1821"/>
      <c r="AD3736" s="1821"/>
      <c r="AE3736" s="1821"/>
      <c r="AF3736" s="1821"/>
      <c r="AG3736" s="1821"/>
      <c r="AH3736" s="1821"/>
      <c r="AI3736" s="1821"/>
      <c r="AJ3736" s="1821"/>
      <c r="AK3736" s="1821"/>
      <c r="AL3736" s="1821"/>
      <c r="AM3736" s="1821"/>
      <c r="AN3736" s="1821"/>
      <c r="AO3736" s="1821"/>
      <c r="AP3736" s="1821"/>
      <c r="AQ3736" s="1821"/>
      <c r="AR3736" s="1821"/>
      <c r="AS3736" s="1821"/>
      <c r="AT3736" s="1821"/>
      <c r="AU3736" s="1821"/>
      <c r="AV3736" s="1821"/>
      <c r="AW3736" s="1821"/>
      <c r="AX3736" s="1821"/>
      <c r="AY3736" s="1821"/>
      <c r="AZ3736" s="1821"/>
      <c r="BA3736" s="1821"/>
      <c r="BB3736" s="1821"/>
      <c r="BC3736" s="1821"/>
      <c r="BD3736" s="1821"/>
      <c r="BE3736" s="1821"/>
      <c r="BF3736" s="1821"/>
      <c r="BG3736" s="1821"/>
      <c r="BH3736" s="1821"/>
      <c r="BI3736" s="1821"/>
      <c r="BJ3736" s="1821"/>
      <c r="BK3736" s="1821"/>
      <c r="BL3736" s="1821"/>
      <c r="BM3736" s="1821"/>
      <c r="BN3736" s="1821"/>
      <c r="BO3736" s="1821"/>
      <c r="BP3736" s="1821"/>
      <c r="BQ3736" s="1821"/>
      <c r="BR3736" s="1821"/>
      <c r="BS3736" s="1821"/>
      <c r="BT3736" s="1821"/>
      <c r="BU3736" s="1821"/>
      <c r="BV3736" s="1821"/>
      <c r="BW3736" s="1821"/>
      <c r="BX3736" s="1821"/>
      <c r="BY3736" s="1821"/>
      <c r="BZ3736" s="1821"/>
      <c r="CA3736" s="1821"/>
      <c r="CB3736" s="1821"/>
      <c r="CC3736" s="1821"/>
      <c r="CD3736" s="1821"/>
      <c r="CE3736" s="1821"/>
      <c r="CF3736" s="1821"/>
      <c r="CG3736" s="1821"/>
      <c r="CH3736" s="1821"/>
      <c r="CI3736" s="1821"/>
      <c r="CJ3736" s="1821"/>
      <c r="CK3736" s="1821"/>
    </row>
    <row r="3737" spans="1:89" s="675" customFormat="1" ht="16.5" customHeight="1" x14ac:dyDescent="0.25">
      <c r="A3737" s="697">
        <v>4</v>
      </c>
      <c r="B3737" s="1013" t="s">
        <v>1294</v>
      </c>
      <c r="C3737" s="1007">
        <v>300</v>
      </c>
      <c r="D3737" s="1014" t="s">
        <v>1295</v>
      </c>
      <c r="E3737" s="1006">
        <v>1000</v>
      </c>
      <c r="F3737" s="758"/>
      <c r="G3737" s="758"/>
      <c r="H3737" s="700"/>
      <c r="I3737" s="758">
        <f>E3737*C3737</f>
        <v>300000</v>
      </c>
      <c r="J3737" s="758"/>
      <c r="K3737" s="700">
        <f>J3737+I3737</f>
        <v>300000</v>
      </c>
      <c r="L3737" s="758"/>
      <c r="M3737" s="758"/>
      <c r="N3737" s="700"/>
      <c r="O3737" s="974">
        <f t="shared" si="409"/>
        <v>300000</v>
      </c>
      <c r="P3737" s="956"/>
      <c r="Q3737" s="1821"/>
      <c r="R3737" s="1821"/>
      <c r="S3737" s="1821"/>
      <c r="T3737" s="1821"/>
      <c r="U3737" s="1821"/>
      <c r="V3737" s="1821"/>
      <c r="W3737" s="1821"/>
      <c r="X3737" s="1821"/>
      <c r="Y3737" s="1821"/>
      <c r="Z3737" s="1821"/>
      <c r="AA3737" s="1821"/>
      <c r="AB3737" s="1821"/>
      <c r="AC3737" s="1821"/>
      <c r="AD3737" s="1821"/>
      <c r="AE3737" s="1821"/>
      <c r="AF3737" s="1821"/>
      <c r="AG3737" s="1821"/>
      <c r="AH3737" s="1821"/>
      <c r="AI3737" s="1821"/>
      <c r="AJ3737" s="1821"/>
      <c r="AK3737" s="1821"/>
      <c r="AL3737" s="1821"/>
      <c r="AM3737" s="1821"/>
      <c r="AN3737" s="1821"/>
      <c r="AO3737" s="1821"/>
      <c r="AP3737" s="1821"/>
      <c r="AQ3737" s="1821"/>
      <c r="AR3737" s="1821"/>
      <c r="AS3737" s="1821"/>
      <c r="AT3737" s="1821"/>
      <c r="AU3737" s="1821"/>
      <c r="AV3737" s="1821"/>
      <c r="AW3737" s="1821"/>
      <c r="AX3737" s="1821"/>
      <c r="AY3737" s="1821"/>
      <c r="AZ3737" s="1821"/>
      <c r="BA3737" s="1821"/>
      <c r="BB3737" s="1821"/>
      <c r="BC3737" s="1821"/>
      <c r="BD3737" s="1821"/>
      <c r="BE3737" s="1821"/>
      <c r="BF3737" s="1821"/>
      <c r="BG3737" s="1821"/>
      <c r="BH3737" s="1821"/>
      <c r="BI3737" s="1821"/>
      <c r="BJ3737" s="1821"/>
      <c r="BK3737" s="1821"/>
      <c r="BL3737" s="1821"/>
      <c r="BM3737" s="1821"/>
      <c r="BN3737" s="1821"/>
      <c r="BO3737" s="1821"/>
      <c r="BP3737" s="1821"/>
      <c r="BQ3737" s="1821"/>
      <c r="BR3737" s="1821"/>
      <c r="BS3737" s="1821"/>
      <c r="BT3737" s="1821"/>
      <c r="BU3737" s="1821"/>
      <c r="BV3737" s="1821"/>
      <c r="BW3737" s="1821"/>
      <c r="BX3737" s="1821"/>
      <c r="BY3737" s="1821"/>
      <c r="BZ3737" s="1821"/>
      <c r="CA3737" s="1821"/>
      <c r="CB3737" s="1821"/>
      <c r="CC3737" s="1821"/>
      <c r="CD3737" s="1821"/>
      <c r="CE3737" s="1821"/>
      <c r="CF3737" s="1821"/>
      <c r="CG3737" s="1821"/>
      <c r="CH3737" s="1821"/>
      <c r="CI3737" s="1821"/>
      <c r="CJ3737" s="1821"/>
      <c r="CK3737" s="1821"/>
    </row>
    <row r="3738" spans="1:89" s="675" customFormat="1" ht="16.5" customHeight="1" x14ac:dyDescent="0.25">
      <c r="A3738" s="697">
        <v>5</v>
      </c>
      <c r="B3738" s="1013" t="s">
        <v>1654</v>
      </c>
      <c r="C3738" s="1007">
        <v>1</v>
      </c>
      <c r="D3738" s="1005" t="s">
        <v>16</v>
      </c>
      <c r="E3738" s="1010"/>
      <c r="F3738" s="758"/>
      <c r="G3738" s="758"/>
      <c r="H3738" s="700"/>
      <c r="I3738" s="700"/>
      <c r="J3738" s="758"/>
      <c r="K3738" s="700"/>
      <c r="L3738" s="758"/>
      <c r="M3738" s="758"/>
      <c r="N3738" s="700"/>
      <c r="O3738" s="974"/>
      <c r="P3738" s="956"/>
      <c r="Q3738" s="1821"/>
      <c r="R3738" s="1821"/>
      <c r="S3738" s="1821"/>
      <c r="T3738" s="1821"/>
      <c r="U3738" s="1821"/>
      <c r="V3738" s="1821"/>
      <c r="W3738" s="1821"/>
      <c r="X3738" s="1821"/>
      <c r="Y3738" s="1821"/>
      <c r="Z3738" s="1821"/>
      <c r="AA3738" s="1821"/>
      <c r="AB3738" s="1821"/>
      <c r="AC3738" s="1821"/>
      <c r="AD3738" s="1821"/>
      <c r="AE3738" s="1821"/>
      <c r="AF3738" s="1821"/>
      <c r="AG3738" s="1821"/>
      <c r="AH3738" s="1821"/>
      <c r="AI3738" s="1821"/>
      <c r="AJ3738" s="1821"/>
      <c r="AK3738" s="1821"/>
      <c r="AL3738" s="1821"/>
      <c r="AM3738" s="1821"/>
      <c r="AN3738" s="1821"/>
      <c r="AO3738" s="1821"/>
      <c r="AP3738" s="1821"/>
      <c r="AQ3738" s="1821"/>
      <c r="AR3738" s="1821"/>
      <c r="AS3738" s="1821"/>
      <c r="AT3738" s="1821"/>
      <c r="AU3738" s="1821"/>
      <c r="AV3738" s="1821"/>
      <c r="AW3738" s="1821"/>
      <c r="AX3738" s="1821"/>
      <c r="AY3738" s="1821"/>
      <c r="AZ3738" s="1821"/>
      <c r="BA3738" s="1821"/>
      <c r="BB3738" s="1821"/>
      <c r="BC3738" s="1821"/>
      <c r="BD3738" s="1821"/>
      <c r="BE3738" s="1821"/>
      <c r="BF3738" s="1821"/>
      <c r="BG3738" s="1821"/>
      <c r="BH3738" s="1821"/>
      <c r="BI3738" s="1821"/>
      <c r="BJ3738" s="1821"/>
      <c r="BK3738" s="1821"/>
      <c r="BL3738" s="1821"/>
      <c r="BM3738" s="1821"/>
      <c r="BN3738" s="1821"/>
      <c r="BO3738" s="1821"/>
      <c r="BP3738" s="1821"/>
      <c r="BQ3738" s="1821"/>
      <c r="BR3738" s="1821"/>
      <c r="BS3738" s="1821"/>
      <c r="BT3738" s="1821"/>
      <c r="BU3738" s="1821"/>
      <c r="BV3738" s="1821"/>
      <c r="BW3738" s="1821"/>
      <c r="BX3738" s="1821"/>
      <c r="BY3738" s="1821"/>
      <c r="BZ3738" s="1821"/>
      <c r="CA3738" s="1821"/>
      <c r="CB3738" s="1821"/>
      <c r="CC3738" s="1821"/>
      <c r="CD3738" s="1821"/>
      <c r="CE3738" s="1821"/>
      <c r="CF3738" s="1821"/>
      <c r="CG3738" s="1821"/>
      <c r="CH3738" s="1821"/>
      <c r="CI3738" s="1821"/>
      <c r="CJ3738" s="1821"/>
      <c r="CK3738" s="1821"/>
    </row>
    <row r="3739" spans="1:89" s="675" customFormat="1" ht="16.5" customHeight="1" x14ac:dyDescent="0.25">
      <c r="A3739" s="710"/>
      <c r="B3739" s="1013"/>
      <c r="C3739" s="1007"/>
      <c r="D3739" s="1005"/>
      <c r="E3739" s="1010"/>
      <c r="F3739" s="758"/>
      <c r="G3739" s="758"/>
      <c r="H3739" s="700">
        <f t="shared" si="406"/>
        <v>0</v>
      </c>
      <c r="I3739" s="700">
        <f t="shared" ref="I3739:I3752" si="410">C3739*E3739</f>
        <v>0</v>
      </c>
      <c r="J3739" s="758"/>
      <c r="K3739" s="700">
        <f t="shared" si="407"/>
        <v>0</v>
      </c>
      <c r="L3739" s="758"/>
      <c r="M3739" s="758"/>
      <c r="N3739" s="700">
        <f t="shared" si="408"/>
        <v>0</v>
      </c>
      <c r="O3739" s="974">
        <f t="shared" si="409"/>
        <v>0</v>
      </c>
      <c r="P3739" s="956"/>
      <c r="Q3739" s="1821"/>
      <c r="R3739" s="1821"/>
      <c r="S3739" s="1821"/>
      <c r="T3739" s="1821"/>
      <c r="U3739" s="1821"/>
      <c r="V3739" s="1821"/>
      <c r="W3739" s="1821"/>
      <c r="X3739" s="1821"/>
      <c r="Y3739" s="1821"/>
      <c r="Z3739" s="1821"/>
      <c r="AA3739" s="1821"/>
      <c r="AB3739" s="1821"/>
      <c r="AC3739" s="1821"/>
      <c r="AD3739" s="1821"/>
      <c r="AE3739" s="1821"/>
      <c r="AF3739" s="1821"/>
      <c r="AG3739" s="1821"/>
      <c r="AH3739" s="1821"/>
      <c r="AI3739" s="1821"/>
      <c r="AJ3739" s="1821"/>
      <c r="AK3739" s="1821"/>
      <c r="AL3739" s="1821"/>
      <c r="AM3739" s="1821"/>
      <c r="AN3739" s="1821"/>
      <c r="AO3739" s="1821"/>
      <c r="AP3739" s="1821"/>
      <c r="AQ3739" s="1821"/>
      <c r="AR3739" s="1821"/>
      <c r="AS3739" s="1821"/>
      <c r="AT3739" s="1821"/>
      <c r="AU3739" s="1821"/>
      <c r="AV3739" s="1821"/>
      <c r="AW3739" s="1821"/>
      <c r="AX3739" s="1821"/>
      <c r="AY3739" s="1821"/>
      <c r="AZ3739" s="1821"/>
      <c r="BA3739" s="1821"/>
      <c r="BB3739" s="1821"/>
      <c r="BC3739" s="1821"/>
      <c r="BD3739" s="1821"/>
      <c r="BE3739" s="1821"/>
      <c r="BF3739" s="1821"/>
      <c r="BG3739" s="1821"/>
      <c r="BH3739" s="1821"/>
      <c r="BI3739" s="1821"/>
      <c r="BJ3739" s="1821"/>
      <c r="BK3739" s="1821"/>
      <c r="BL3739" s="1821"/>
      <c r="BM3739" s="1821"/>
      <c r="BN3739" s="1821"/>
      <c r="BO3739" s="1821"/>
      <c r="BP3739" s="1821"/>
      <c r="BQ3739" s="1821"/>
      <c r="BR3739" s="1821"/>
      <c r="BS3739" s="1821"/>
      <c r="BT3739" s="1821"/>
      <c r="BU3739" s="1821"/>
      <c r="BV3739" s="1821"/>
      <c r="BW3739" s="1821"/>
      <c r="BX3739" s="1821"/>
      <c r="BY3739" s="1821"/>
      <c r="BZ3739" s="1821"/>
      <c r="CA3739" s="1821"/>
      <c r="CB3739" s="1821"/>
      <c r="CC3739" s="1821"/>
      <c r="CD3739" s="1821"/>
      <c r="CE3739" s="1821"/>
      <c r="CF3739" s="1821"/>
      <c r="CG3739" s="1821"/>
      <c r="CH3739" s="1821"/>
      <c r="CI3739" s="1821"/>
      <c r="CJ3739" s="1821"/>
      <c r="CK3739" s="1821"/>
    </row>
    <row r="3740" spans="1:89" s="675" customFormat="1" ht="16.5" customHeight="1" x14ac:dyDescent="0.25">
      <c r="A3740" s="697" t="s">
        <v>276</v>
      </c>
      <c r="B3740" s="1002" t="s">
        <v>277</v>
      </c>
      <c r="C3740" s="1007"/>
      <c r="D3740" s="1005"/>
      <c r="E3740" s="1010"/>
      <c r="F3740" s="758"/>
      <c r="G3740" s="758"/>
      <c r="H3740" s="700">
        <f t="shared" si="406"/>
        <v>0</v>
      </c>
      <c r="I3740" s="700">
        <f t="shared" si="410"/>
        <v>0</v>
      </c>
      <c r="J3740" s="758"/>
      <c r="K3740" s="700">
        <f t="shared" si="407"/>
        <v>0</v>
      </c>
      <c r="L3740" s="758"/>
      <c r="M3740" s="758"/>
      <c r="N3740" s="700">
        <f t="shared" si="408"/>
        <v>0</v>
      </c>
      <c r="O3740" s="974">
        <f t="shared" si="409"/>
        <v>0</v>
      </c>
      <c r="P3740" s="956"/>
      <c r="Q3740" s="1821"/>
      <c r="R3740" s="1821"/>
      <c r="S3740" s="1821"/>
      <c r="T3740" s="1821"/>
      <c r="U3740" s="1821"/>
      <c r="V3740" s="1821"/>
      <c r="W3740" s="1821"/>
      <c r="X3740" s="1821"/>
      <c r="Y3740" s="1821"/>
      <c r="Z3740" s="1821"/>
      <c r="AA3740" s="1821"/>
      <c r="AB3740" s="1821"/>
      <c r="AC3740" s="1821"/>
      <c r="AD3740" s="1821"/>
      <c r="AE3740" s="1821"/>
      <c r="AF3740" s="1821"/>
      <c r="AG3740" s="1821"/>
      <c r="AH3740" s="1821"/>
      <c r="AI3740" s="1821"/>
      <c r="AJ3740" s="1821"/>
      <c r="AK3740" s="1821"/>
      <c r="AL3740" s="1821"/>
      <c r="AM3740" s="1821"/>
      <c r="AN3740" s="1821"/>
      <c r="AO3740" s="1821"/>
      <c r="AP3740" s="1821"/>
      <c r="AQ3740" s="1821"/>
      <c r="AR3740" s="1821"/>
      <c r="AS3740" s="1821"/>
      <c r="AT3740" s="1821"/>
      <c r="AU3740" s="1821"/>
      <c r="AV3740" s="1821"/>
      <c r="AW3740" s="1821"/>
      <c r="AX3740" s="1821"/>
      <c r="AY3740" s="1821"/>
      <c r="AZ3740" s="1821"/>
      <c r="BA3740" s="1821"/>
      <c r="BB3740" s="1821"/>
      <c r="BC3740" s="1821"/>
      <c r="BD3740" s="1821"/>
      <c r="BE3740" s="1821"/>
      <c r="BF3740" s="1821"/>
      <c r="BG3740" s="1821"/>
      <c r="BH3740" s="1821"/>
      <c r="BI3740" s="1821"/>
      <c r="BJ3740" s="1821"/>
      <c r="BK3740" s="1821"/>
      <c r="BL3740" s="1821"/>
      <c r="BM3740" s="1821"/>
      <c r="BN3740" s="1821"/>
      <c r="BO3740" s="1821"/>
      <c r="BP3740" s="1821"/>
      <c r="BQ3740" s="1821"/>
      <c r="BR3740" s="1821"/>
      <c r="BS3740" s="1821"/>
      <c r="BT3740" s="1821"/>
      <c r="BU3740" s="1821"/>
      <c r="BV3740" s="1821"/>
      <c r="BW3740" s="1821"/>
      <c r="BX3740" s="1821"/>
      <c r="BY3740" s="1821"/>
      <c r="BZ3740" s="1821"/>
      <c r="CA3740" s="1821"/>
      <c r="CB3740" s="1821"/>
      <c r="CC3740" s="1821"/>
      <c r="CD3740" s="1821"/>
      <c r="CE3740" s="1821"/>
      <c r="CF3740" s="1821"/>
      <c r="CG3740" s="1821"/>
      <c r="CH3740" s="1821"/>
      <c r="CI3740" s="1821"/>
      <c r="CJ3740" s="1821"/>
      <c r="CK3740" s="1821"/>
    </row>
    <row r="3741" spans="1:89" s="675" customFormat="1" ht="16.5" customHeight="1" x14ac:dyDescent="0.25">
      <c r="A3741" s="697" t="s">
        <v>49</v>
      </c>
      <c r="B3741" s="1002" t="s">
        <v>278</v>
      </c>
      <c r="C3741" s="1007">
        <f>SUM(O3742:O3743)</f>
        <v>399330</v>
      </c>
      <c r="D3741" s="1005"/>
      <c r="E3741" s="1010"/>
      <c r="F3741" s="758"/>
      <c r="G3741" s="758"/>
      <c r="H3741" s="700">
        <f t="shared" si="406"/>
        <v>0</v>
      </c>
      <c r="I3741" s="700">
        <f t="shared" si="410"/>
        <v>0</v>
      </c>
      <c r="J3741" s="758"/>
      <c r="K3741" s="700">
        <f t="shared" si="407"/>
        <v>0</v>
      </c>
      <c r="L3741" s="758"/>
      <c r="M3741" s="758"/>
      <c r="N3741" s="700">
        <f t="shared" si="408"/>
        <v>0</v>
      </c>
      <c r="O3741" s="974">
        <f t="shared" si="409"/>
        <v>0</v>
      </c>
      <c r="P3741" s="956"/>
      <c r="Q3741" s="1821"/>
      <c r="R3741" s="1821"/>
      <c r="S3741" s="1821"/>
      <c r="T3741" s="1821"/>
      <c r="U3741" s="1821"/>
      <c r="V3741" s="1821"/>
      <c r="W3741" s="1821"/>
      <c r="X3741" s="1821"/>
      <c r="Y3741" s="1821"/>
      <c r="Z3741" s="1821"/>
      <c r="AA3741" s="1821"/>
      <c r="AB3741" s="1821"/>
      <c r="AC3741" s="1821"/>
      <c r="AD3741" s="1821"/>
      <c r="AE3741" s="1821"/>
      <c r="AF3741" s="1821"/>
      <c r="AG3741" s="1821"/>
      <c r="AH3741" s="1821"/>
      <c r="AI3741" s="1821"/>
      <c r="AJ3741" s="1821"/>
      <c r="AK3741" s="1821"/>
      <c r="AL3741" s="1821"/>
      <c r="AM3741" s="1821"/>
      <c r="AN3741" s="1821"/>
      <c r="AO3741" s="1821"/>
      <c r="AP3741" s="1821"/>
      <c r="AQ3741" s="1821"/>
      <c r="AR3741" s="1821"/>
      <c r="AS3741" s="1821"/>
      <c r="AT3741" s="1821"/>
      <c r="AU3741" s="1821"/>
      <c r="AV3741" s="1821"/>
      <c r="AW3741" s="1821"/>
      <c r="AX3741" s="1821"/>
      <c r="AY3741" s="1821"/>
      <c r="AZ3741" s="1821"/>
      <c r="BA3741" s="1821"/>
      <c r="BB3741" s="1821"/>
      <c r="BC3741" s="1821"/>
      <c r="BD3741" s="1821"/>
      <c r="BE3741" s="1821"/>
      <c r="BF3741" s="1821"/>
      <c r="BG3741" s="1821"/>
      <c r="BH3741" s="1821"/>
      <c r="BI3741" s="1821"/>
      <c r="BJ3741" s="1821"/>
      <c r="BK3741" s="1821"/>
      <c r="BL3741" s="1821"/>
      <c r="BM3741" s="1821"/>
      <c r="BN3741" s="1821"/>
      <c r="BO3741" s="1821"/>
      <c r="BP3741" s="1821"/>
      <c r="BQ3741" s="1821"/>
      <c r="BR3741" s="1821"/>
      <c r="BS3741" s="1821"/>
      <c r="BT3741" s="1821"/>
      <c r="BU3741" s="1821"/>
      <c r="BV3741" s="1821"/>
      <c r="BW3741" s="1821"/>
      <c r="BX3741" s="1821"/>
      <c r="BY3741" s="1821"/>
      <c r="BZ3741" s="1821"/>
      <c r="CA3741" s="1821"/>
      <c r="CB3741" s="1821"/>
      <c r="CC3741" s="1821"/>
      <c r="CD3741" s="1821"/>
      <c r="CE3741" s="1821"/>
      <c r="CF3741" s="1821"/>
      <c r="CG3741" s="1821"/>
      <c r="CH3741" s="1821"/>
      <c r="CI3741" s="1821"/>
      <c r="CJ3741" s="1821"/>
      <c r="CK3741" s="1821"/>
    </row>
    <row r="3742" spans="1:89" s="675" customFormat="1" ht="16.5" customHeight="1" x14ac:dyDescent="0.25">
      <c r="A3742" s="710">
        <v>1</v>
      </c>
      <c r="B3742" s="1013" t="s">
        <v>279</v>
      </c>
      <c r="C3742" s="1007">
        <v>459</v>
      </c>
      <c r="D3742" s="1005" t="s">
        <v>283</v>
      </c>
      <c r="E3742" s="1010">
        <v>435</v>
      </c>
      <c r="F3742" s="758"/>
      <c r="G3742" s="758"/>
      <c r="H3742" s="700">
        <f t="shared" si="406"/>
        <v>0</v>
      </c>
      <c r="I3742" s="700">
        <f t="shared" si="410"/>
        <v>199665</v>
      </c>
      <c r="J3742" s="758"/>
      <c r="K3742" s="700">
        <f t="shared" si="407"/>
        <v>199665</v>
      </c>
      <c r="L3742" s="758"/>
      <c r="M3742" s="758"/>
      <c r="N3742" s="700">
        <f t="shared" si="408"/>
        <v>0</v>
      </c>
      <c r="O3742" s="974">
        <f t="shared" si="409"/>
        <v>199665</v>
      </c>
      <c r="P3742" s="956"/>
      <c r="Q3742" s="1821"/>
      <c r="R3742" s="1821"/>
      <c r="S3742" s="1821"/>
      <c r="T3742" s="1821"/>
      <c r="U3742" s="1821"/>
      <c r="V3742" s="1821"/>
      <c r="W3742" s="1821"/>
      <c r="X3742" s="1821"/>
      <c r="Y3742" s="1821"/>
      <c r="Z3742" s="1821"/>
      <c r="AA3742" s="1821"/>
      <c r="AB3742" s="1821"/>
      <c r="AC3742" s="1821"/>
      <c r="AD3742" s="1821"/>
      <c r="AE3742" s="1821"/>
      <c r="AF3742" s="1821"/>
      <c r="AG3742" s="1821"/>
      <c r="AH3742" s="1821"/>
      <c r="AI3742" s="1821"/>
      <c r="AJ3742" s="1821"/>
      <c r="AK3742" s="1821"/>
      <c r="AL3742" s="1821"/>
      <c r="AM3742" s="1821"/>
      <c r="AN3742" s="1821"/>
      <c r="AO3742" s="1821"/>
      <c r="AP3742" s="1821"/>
      <c r="AQ3742" s="1821"/>
      <c r="AR3742" s="1821"/>
      <c r="AS3742" s="1821"/>
      <c r="AT3742" s="1821"/>
      <c r="AU3742" s="1821"/>
      <c r="AV3742" s="1821"/>
      <c r="AW3742" s="1821"/>
      <c r="AX3742" s="1821"/>
      <c r="AY3742" s="1821"/>
      <c r="AZ3742" s="1821"/>
      <c r="BA3742" s="1821"/>
      <c r="BB3742" s="1821"/>
      <c r="BC3742" s="1821"/>
      <c r="BD3742" s="1821"/>
      <c r="BE3742" s="1821"/>
      <c r="BF3742" s="1821"/>
      <c r="BG3742" s="1821"/>
      <c r="BH3742" s="1821"/>
      <c r="BI3742" s="1821"/>
      <c r="BJ3742" s="1821"/>
      <c r="BK3742" s="1821"/>
      <c r="BL3742" s="1821"/>
      <c r="BM3742" s="1821"/>
      <c r="BN3742" s="1821"/>
      <c r="BO3742" s="1821"/>
      <c r="BP3742" s="1821"/>
      <c r="BQ3742" s="1821"/>
      <c r="BR3742" s="1821"/>
      <c r="BS3742" s="1821"/>
      <c r="BT3742" s="1821"/>
      <c r="BU3742" s="1821"/>
      <c r="BV3742" s="1821"/>
      <c r="BW3742" s="1821"/>
      <c r="BX3742" s="1821"/>
      <c r="BY3742" s="1821"/>
      <c r="BZ3742" s="1821"/>
      <c r="CA3742" s="1821"/>
      <c r="CB3742" s="1821"/>
      <c r="CC3742" s="1821"/>
      <c r="CD3742" s="1821"/>
      <c r="CE3742" s="1821"/>
      <c r="CF3742" s="1821"/>
      <c r="CG3742" s="1821"/>
      <c r="CH3742" s="1821"/>
      <c r="CI3742" s="1821"/>
      <c r="CJ3742" s="1821"/>
      <c r="CK3742" s="1821"/>
    </row>
    <row r="3743" spans="1:89" s="675" customFormat="1" ht="16.5" customHeight="1" x14ac:dyDescent="0.25">
      <c r="A3743" s="697">
        <v>2</v>
      </c>
      <c r="B3743" s="1002" t="s">
        <v>1077</v>
      </c>
      <c r="C3743" s="1007">
        <v>459</v>
      </c>
      <c r="D3743" s="1014" t="s">
        <v>283</v>
      </c>
      <c r="E3743" s="1006">
        <v>435</v>
      </c>
      <c r="F3743" s="758"/>
      <c r="G3743" s="758"/>
      <c r="H3743" s="700">
        <f t="shared" si="406"/>
        <v>0</v>
      </c>
      <c r="I3743" s="758">
        <f t="shared" si="410"/>
        <v>199665</v>
      </c>
      <c r="J3743" s="758"/>
      <c r="K3743" s="700">
        <f t="shared" si="407"/>
        <v>199665</v>
      </c>
      <c r="L3743" s="758"/>
      <c r="M3743" s="758"/>
      <c r="N3743" s="700">
        <f t="shared" si="408"/>
        <v>0</v>
      </c>
      <c r="O3743" s="974">
        <f t="shared" si="409"/>
        <v>199665</v>
      </c>
      <c r="P3743" s="956"/>
      <c r="Q3743" s="1821"/>
      <c r="R3743" s="1821"/>
      <c r="S3743" s="1821"/>
      <c r="T3743" s="1821"/>
      <c r="U3743" s="1821"/>
      <c r="V3743" s="1821"/>
      <c r="W3743" s="1821"/>
      <c r="X3743" s="1821"/>
      <c r="Y3743" s="1821"/>
      <c r="Z3743" s="1821"/>
      <c r="AA3743" s="1821"/>
      <c r="AB3743" s="1821"/>
      <c r="AC3743" s="1821"/>
      <c r="AD3743" s="1821"/>
      <c r="AE3743" s="1821"/>
      <c r="AF3743" s="1821"/>
      <c r="AG3743" s="1821"/>
      <c r="AH3743" s="1821"/>
      <c r="AI3743" s="1821"/>
      <c r="AJ3743" s="1821"/>
      <c r="AK3743" s="1821"/>
      <c r="AL3743" s="1821"/>
      <c r="AM3743" s="1821"/>
      <c r="AN3743" s="1821"/>
      <c r="AO3743" s="1821"/>
      <c r="AP3743" s="1821"/>
      <c r="AQ3743" s="1821"/>
      <c r="AR3743" s="1821"/>
      <c r="AS3743" s="1821"/>
      <c r="AT3743" s="1821"/>
      <c r="AU3743" s="1821"/>
      <c r="AV3743" s="1821"/>
      <c r="AW3743" s="1821"/>
      <c r="AX3743" s="1821"/>
      <c r="AY3743" s="1821"/>
      <c r="AZ3743" s="1821"/>
      <c r="BA3743" s="1821"/>
      <c r="BB3743" s="1821"/>
      <c r="BC3743" s="1821"/>
      <c r="BD3743" s="1821"/>
      <c r="BE3743" s="1821"/>
      <c r="BF3743" s="1821"/>
      <c r="BG3743" s="1821"/>
      <c r="BH3743" s="1821"/>
      <c r="BI3743" s="1821"/>
      <c r="BJ3743" s="1821"/>
      <c r="BK3743" s="1821"/>
      <c r="BL3743" s="1821"/>
      <c r="BM3743" s="1821"/>
      <c r="BN3743" s="1821"/>
      <c r="BO3743" s="1821"/>
      <c r="BP3743" s="1821"/>
      <c r="BQ3743" s="1821"/>
      <c r="BR3743" s="1821"/>
      <c r="BS3743" s="1821"/>
      <c r="BT3743" s="1821"/>
      <c r="BU3743" s="1821"/>
      <c r="BV3743" s="1821"/>
      <c r="BW3743" s="1821"/>
      <c r="BX3743" s="1821"/>
      <c r="BY3743" s="1821"/>
      <c r="BZ3743" s="1821"/>
      <c r="CA3743" s="1821"/>
      <c r="CB3743" s="1821"/>
      <c r="CC3743" s="1821"/>
      <c r="CD3743" s="1821"/>
      <c r="CE3743" s="1821"/>
      <c r="CF3743" s="1821"/>
      <c r="CG3743" s="1821"/>
      <c r="CH3743" s="1821"/>
      <c r="CI3743" s="1821"/>
      <c r="CJ3743" s="1821"/>
      <c r="CK3743" s="1821"/>
    </row>
    <row r="3744" spans="1:89" s="675" customFormat="1" ht="16.5" customHeight="1" x14ac:dyDescent="0.25">
      <c r="A3744" s="697"/>
      <c r="B3744" s="1013"/>
      <c r="C3744" s="1007"/>
      <c r="D3744" s="1005"/>
      <c r="E3744" s="1006"/>
      <c r="F3744" s="758"/>
      <c r="G3744" s="758"/>
      <c r="H3744" s="700"/>
      <c r="I3744" s="758"/>
      <c r="J3744" s="758"/>
      <c r="K3744" s="700"/>
      <c r="L3744" s="758"/>
      <c r="M3744" s="758"/>
      <c r="N3744" s="700"/>
      <c r="O3744" s="974"/>
      <c r="P3744" s="956"/>
      <c r="Q3744" s="1821"/>
      <c r="R3744" s="1821"/>
      <c r="S3744" s="1821"/>
      <c r="T3744" s="1821"/>
      <c r="U3744" s="1821"/>
      <c r="V3744" s="1821"/>
      <c r="W3744" s="1821"/>
      <c r="X3744" s="1821"/>
      <c r="Y3744" s="1821"/>
      <c r="Z3744" s="1821"/>
      <c r="AA3744" s="1821"/>
      <c r="AB3744" s="1821"/>
      <c r="AC3744" s="1821"/>
      <c r="AD3744" s="1821"/>
      <c r="AE3744" s="1821"/>
      <c r="AF3744" s="1821"/>
      <c r="AG3744" s="1821"/>
      <c r="AH3744" s="1821"/>
      <c r="AI3744" s="1821"/>
      <c r="AJ3744" s="1821"/>
      <c r="AK3744" s="1821"/>
      <c r="AL3744" s="1821"/>
      <c r="AM3744" s="1821"/>
      <c r="AN3744" s="1821"/>
      <c r="AO3744" s="1821"/>
      <c r="AP3744" s="1821"/>
      <c r="AQ3744" s="1821"/>
      <c r="AR3744" s="1821"/>
      <c r="AS3744" s="1821"/>
      <c r="AT3744" s="1821"/>
      <c r="AU3744" s="1821"/>
      <c r="AV3744" s="1821"/>
      <c r="AW3744" s="1821"/>
      <c r="AX3744" s="1821"/>
      <c r="AY3744" s="1821"/>
      <c r="AZ3744" s="1821"/>
      <c r="BA3744" s="1821"/>
      <c r="BB3744" s="1821"/>
      <c r="BC3744" s="1821"/>
      <c r="BD3744" s="1821"/>
      <c r="BE3744" s="1821"/>
      <c r="BF3744" s="1821"/>
      <c r="BG3744" s="1821"/>
      <c r="BH3744" s="1821"/>
      <c r="BI3744" s="1821"/>
      <c r="BJ3744" s="1821"/>
      <c r="BK3744" s="1821"/>
      <c r="BL3744" s="1821"/>
      <c r="BM3744" s="1821"/>
      <c r="BN3744" s="1821"/>
      <c r="BO3744" s="1821"/>
      <c r="BP3744" s="1821"/>
      <c r="BQ3744" s="1821"/>
      <c r="BR3744" s="1821"/>
      <c r="BS3744" s="1821"/>
      <c r="BT3744" s="1821"/>
      <c r="BU3744" s="1821"/>
      <c r="BV3744" s="1821"/>
      <c r="BW3744" s="1821"/>
      <c r="BX3744" s="1821"/>
      <c r="BY3744" s="1821"/>
      <c r="BZ3744" s="1821"/>
      <c r="CA3744" s="1821"/>
      <c r="CB3744" s="1821"/>
      <c r="CC3744" s="1821"/>
      <c r="CD3744" s="1821"/>
      <c r="CE3744" s="1821"/>
      <c r="CF3744" s="1821"/>
      <c r="CG3744" s="1821"/>
      <c r="CH3744" s="1821"/>
      <c r="CI3744" s="1821"/>
      <c r="CJ3744" s="1821"/>
      <c r="CK3744" s="1821"/>
    </row>
    <row r="3745" spans="1:89" s="673" customFormat="1" ht="34.5" customHeight="1" x14ac:dyDescent="0.25">
      <c r="A3745" s="710" t="s">
        <v>280</v>
      </c>
      <c r="B3745" s="1013" t="s">
        <v>281</v>
      </c>
      <c r="C3745" s="1007">
        <f>SUM(O3746:O3750)</f>
        <v>42960</v>
      </c>
      <c r="D3745" s="1014"/>
      <c r="E3745" s="1006"/>
      <c r="F3745" s="758"/>
      <c r="G3745" s="758"/>
      <c r="H3745" s="700">
        <f t="shared" si="406"/>
        <v>0</v>
      </c>
      <c r="I3745" s="758">
        <f t="shared" si="410"/>
        <v>0</v>
      </c>
      <c r="J3745" s="758"/>
      <c r="K3745" s="700">
        <f t="shared" si="407"/>
        <v>0</v>
      </c>
      <c r="L3745" s="758"/>
      <c r="M3745" s="758"/>
      <c r="N3745" s="700">
        <f t="shared" si="408"/>
        <v>0</v>
      </c>
      <c r="O3745" s="974">
        <f t="shared" si="409"/>
        <v>0</v>
      </c>
      <c r="P3745" s="956"/>
      <c r="Q3745" s="783"/>
      <c r="R3745" s="783"/>
      <c r="S3745" s="783"/>
      <c r="T3745" s="783"/>
      <c r="U3745" s="783"/>
      <c r="V3745" s="783"/>
      <c r="W3745" s="783"/>
      <c r="X3745" s="783"/>
      <c r="Y3745" s="783"/>
      <c r="Z3745" s="783"/>
      <c r="AA3745" s="783"/>
      <c r="AB3745" s="783"/>
      <c r="AC3745" s="783"/>
      <c r="AD3745" s="783"/>
      <c r="AE3745" s="783"/>
      <c r="AF3745" s="783"/>
      <c r="AG3745" s="783"/>
      <c r="AH3745" s="783"/>
      <c r="AI3745" s="783"/>
      <c r="AJ3745" s="783"/>
      <c r="AK3745" s="783"/>
      <c r="AL3745" s="783"/>
      <c r="AM3745" s="783"/>
      <c r="AN3745" s="783"/>
      <c r="AO3745" s="783"/>
      <c r="AP3745" s="783"/>
      <c r="AQ3745" s="783"/>
      <c r="AR3745" s="783"/>
      <c r="AS3745" s="783"/>
      <c r="AT3745" s="783"/>
      <c r="AU3745" s="783"/>
      <c r="AV3745" s="783"/>
      <c r="AW3745" s="783"/>
      <c r="AX3745" s="783"/>
      <c r="AY3745" s="783"/>
      <c r="AZ3745" s="783"/>
      <c r="BA3745" s="783"/>
      <c r="BB3745" s="783"/>
      <c r="BC3745" s="783"/>
      <c r="BD3745" s="783"/>
      <c r="BE3745" s="783"/>
      <c r="BF3745" s="783"/>
      <c r="BG3745" s="783"/>
      <c r="BH3745" s="783"/>
      <c r="BI3745" s="783"/>
      <c r="BJ3745" s="783"/>
      <c r="BK3745" s="783"/>
      <c r="BL3745" s="783"/>
      <c r="BM3745" s="783"/>
      <c r="BN3745" s="783"/>
      <c r="BO3745" s="783"/>
      <c r="BP3745" s="783"/>
      <c r="BQ3745" s="783"/>
      <c r="BR3745" s="783"/>
      <c r="BS3745" s="783"/>
      <c r="BT3745" s="783"/>
      <c r="BU3745" s="783"/>
      <c r="BV3745" s="783"/>
      <c r="BW3745" s="783"/>
      <c r="BX3745" s="783"/>
      <c r="BY3745" s="783"/>
      <c r="BZ3745" s="783"/>
      <c r="CA3745" s="783"/>
      <c r="CB3745" s="783"/>
      <c r="CC3745" s="783"/>
      <c r="CD3745" s="783"/>
      <c r="CE3745" s="783"/>
      <c r="CF3745" s="783"/>
      <c r="CG3745" s="783"/>
      <c r="CH3745" s="783"/>
      <c r="CI3745" s="783"/>
      <c r="CJ3745" s="783"/>
      <c r="CK3745" s="783"/>
    </row>
    <row r="3746" spans="1:89" s="675" customFormat="1" ht="16.5" customHeight="1" x14ac:dyDescent="0.25">
      <c r="A3746" s="697">
        <v>1</v>
      </c>
      <c r="B3746" s="1002" t="s">
        <v>282</v>
      </c>
      <c r="C3746" s="1007">
        <v>16</v>
      </c>
      <c r="D3746" s="1014" t="s">
        <v>283</v>
      </c>
      <c r="E3746" s="1006">
        <v>1200</v>
      </c>
      <c r="F3746" s="758"/>
      <c r="G3746" s="758"/>
      <c r="H3746" s="700">
        <f>G3746+F3746</f>
        <v>0</v>
      </c>
      <c r="I3746" s="758">
        <f t="shared" si="410"/>
        <v>19200</v>
      </c>
      <c r="J3746" s="758"/>
      <c r="K3746" s="700">
        <f>J3746+I3746</f>
        <v>19200</v>
      </c>
      <c r="L3746" s="758"/>
      <c r="M3746" s="758"/>
      <c r="N3746" s="700">
        <f>M3746+L3746</f>
        <v>0</v>
      </c>
      <c r="O3746" s="974">
        <f t="shared" si="409"/>
        <v>19200</v>
      </c>
      <c r="P3746" s="956"/>
      <c r="Q3746" s="1821"/>
      <c r="R3746" s="1821"/>
      <c r="S3746" s="1821"/>
      <c r="T3746" s="1821"/>
      <c r="U3746" s="1821"/>
      <c r="V3746" s="1821"/>
      <c r="W3746" s="1821"/>
      <c r="X3746" s="1821"/>
      <c r="Y3746" s="1821"/>
      <c r="Z3746" s="1821"/>
      <c r="AA3746" s="1821"/>
      <c r="AB3746" s="1821"/>
      <c r="AC3746" s="1821"/>
      <c r="AD3746" s="1821"/>
      <c r="AE3746" s="1821"/>
      <c r="AF3746" s="1821"/>
      <c r="AG3746" s="1821"/>
      <c r="AH3746" s="1821"/>
      <c r="AI3746" s="1821"/>
      <c r="AJ3746" s="1821"/>
      <c r="AK3746" s="1821"/>
      <c r="AL3746" s="1821"/>
      <c r="AM3746" s="1821"/>
      <c r="AN3746" s="1821"/>
      <c r="AO3746" s="1821"/>
      <c r="AP3746" s="1821"/>
      <c r="AQ3746" s="1821"/>
      <c r="AR3746" s="1821"/>
      <c r="AS3746" s="1821"/>
      <c r="AT3746" s="1821"/>
      <c r="AU3746" s="1821"/>
      <c r="AV3746" s="1821"/>
      <c r="AW3746" s="1821"/>
      <c r="AX3746" s="1821"/>
      <c r="AY3746" s="1821"/>
      <c r="AZ3746" s="1821"/>
      <c r="BA3746" s="1821"/>
      <c r="BB3746" s="1821"/>
      <c r="BC3746" s="1821"/>
      <c r="BD3746" s="1821"/>
      <c r="BE3746" s="1821"/>
      <c r="BF3746" s="1821"/>
      <c r="BG3746" s="1821"/>
      <c r="BH3746" s="1821"/>
      <c r="BI3746" s="1821"/>
      <c r="BJ3746" s="1821"/>
      <c r="BK3746" s="1821"/>
      <c r="BL3746" s="1821"/>
      <c r="BM3746" s="1821"/>
      <c r="BN3746" s="1821"/>
      <c r="BO3746" s="1821"/>
      <c r="BP3746" s="1821"/>
      <c r="BQ3746" s="1821"/>
      <c r="BR3746" s="1821"/>
      <c r="BS3746" s="1821"/>
      <c r="BT3746" s="1821"/>
      <c r="BU3746" s="1821"/>
      <c r="BV3746" s="1821"/>
      <c r="BW3746" s="1821"/>
      <c r="BX3746" s="1821"/>
      <c r="BY3746" s="1821"/>
      <c r="BZ3746" s="1821"/>
      <c r="CA3746" s="1821"/>
      <c r="CB3746" s="1821"/>
      <c r="CC3746" s="1821"/>
      <c r="CD3746" s="1821"/>
      <c r="CE3746" s="1821"/>
      <c r="CF3746" s="1821"/>
      <c r="CG3746" s="1821"/>
      <c r="CH3746" s="1821"/>
      <c r="CI3746" s="1821"/>
      <c r="CJ3746" s="1821"/>
      <c r="CK3746" s="1821"/>
    </row>
    <row r="3747" spans="1:89" s="675" customFormat="1" ht="16.5" customHeight="1" x14ac:dyDescent="0.25">
      <c r="A3747" s="697">
        <v>2</v>
      </c>
      <c r="B3747" s="763" t="s">
        <v>284</v>
      </c>
      <c r="C3747" s="1007">
        <v>8</v>
      </c>
      <c r="D3747" s="1005" t="s">
        <v>283</v>
      </c>
      <c r="E3747" s="1010">
        <v>1200</v>
      </c>
      <c r="F3747" s="758"/>
      <c r="G3747" s="758"/>
      <c r="H3747" s="700">
        <f>G3747+F3747</f>
        <v>0</v>
      </c>
      <c r="I3747" s="700">
        <f t="shared" si="410"/>
        <v>9600</v>
      </c>
      <c r="J3747" s="758"/>
      <c r="K3747" s="700">
        <f>J3747+I3747</f>
        <v>9600</v>
      </c>
      <c r="L3747" s="758"/>
      <c r="M3747" s="758"/>
      <c r="N3747" s="700">
        <f>M3747+L3747</f>
        <v>0</v>
      </c>
      <c r="O3747" s="974">
        <f t="shared" si="409"/>
        <v>9600</v>
      </c>
      <c r="P3747" s="956"/>
      <c r="Q3747" s="1821"/>
      <c r="R3747" s="1821"/>
      <c r="S3747" s="1821"/>
      <c r="T3747" s="1821"/>
      <c r="U3747" s="1821"/>
      <c r="V3747" s="1821"/>
      <c r="W3747" s="1821"/>
      <c r="X3747" s="1821"/>
      <c r="Y3747" s="1821"/>
      <c r="Z3747" s="1821"/>
      <c r="AA3747" s="1821"/>
      <c r="AB3747" s="1821"/>
      <c r="AC3747" s="1821"/>
      <c r="AD3747" s="1821"/>
      <c r="AE3747" s="1821"/>
      <c r="AF3747" s="1821"/>
      <c r="AG3747" s="1821"/>
      <c r="AH3747" s="1821"/>
      <c r="AI3747" s="1821"/>
      <c r="AJ3747" s="1821"/>
      <c r="AK3747" s="1821"/>
      <c r="AL3747" s="1821"/>
      <c r="AM3747" s="1821"/>
      <c r="AN3747" s="1821"/>
      <c r="AO3747" s="1821"/>
      <c r="AP3747" s="1821"/>
      <c r="AQ3747" s="1821"/>
      <c r="AR3747" s="1821"/>
      <c r="AS3747" s="1821"/>
      <c r="AT3747" s="1821"/>
      <c r="AU3747" s="1821"/>
      <c r="AV3747" s="1821"/>
      <c r="AW3747" s="1821"/>
      <c r="AX3747" s="1821"/>
      <c r="AY3747" s="1821"/>
      <c r="AZ3747" s="1821"/>
      <c r="BA3747" s="1821"/>
      <c r="BB3747" s="1821"/>
      <c r="BC3747" s="1821"/>
      <c r="BD3747" s="1821"/>
      <c r="BE3747" s="1821"/>
      <c r="BF3747" s="1821"/>
      <c r="BG3747" s="1821"/>
      <c r="BH3747" s="1821"/>
      <c r="BI3747" s="1821"/>
      <c r="BJ3747" s="1821"/>
      <c r="BK3747" s="1821"/>
      <c r="BL3747" s="1821"/>
      <c r="BM3747" s="1821"/>
      <c r="BN3747" s="1821"/>
      <c r="BO3747" s="1821"/>
      <c r="BP3747" s="1821"/>
      <c r="BQ3747" s="1821"/>
      <c r="BR3747" s="1821"/>
      <c r="BS3747" s="1821"/>
      <c r="BT3747" s="1821"/>
      <c r="BU3747" s="1821"/>
      <c r="BV3747" s="1821"/>
      <c r="BW3747" s="1821"/>
      <c r="BX3747" s="1821"/>
      <c r="BY3747" s="1821"/>
      <c r="BZ3747" s="1821"/>
      <c r="CA3747" s="1821"/>
      <c r="CB3747" s="1821"/>
      <c r="CC3747" s="1821"/>
      <c r="CD3747" s="1821"/>
      <c r="CE3747" s="1821"/>
      <c r="CF3747" s="1821"/>
      <c r="CG3747" s="1821"/>
      <c r="CH3747" s="1821"/>
      <c r="CI3747" s="1821"/>
      <c r="CJ3747" s="1821"/>
      <c r="CK3747" s="1821"/>
    </row>
    <row r="3748" spans="1:89" s="675" customFormat="1" ht="16.5" customHeight="1" x14ac:dyDescent="0.25">
      <c r="A3748" s="710">
        <v>3</v>
      </c>
      <c r="B3748" s="763" t="s">
        <v>285</v>
      </c>
      <c r="C3748" s="1007">
        <v>12</v>
      </c>
      <c r="D3748" s="1005" t="s">
        <v>283</v>
      </c>
      <c r="E3748" s="1010">
        <v>590</v>
      </c>
      <c r="F3748" s="758"/>
      <c r="G3748" s="758"/>
      <c r="H3748" s="700"/>
      <c r="I3748" s="700">
        <f t="shared" si="410"/>
        <v>7080</v>
      </c>
      <c r="J3748" s="758"/>
      <c r="K3748" s="700">
        <f>J3748+I3748</f>
        <v>7080</v>
      </c>
      <c r="L3748" s="758"/>
      <c r="M3748" s="758"/>
      <c r="N3748" s="700"/>
      <c r="O3748" s="974">
        <f>E3748*C3748</f>
        <v>7080</v>
      </c>
      <c r="P3748" s="956"/>
      <c r="Q3748" s="1821"/>
      <c r="R3748" s="1821"/>
      <c r="S3748" s="1821"/>
      <c r="T3748" s="1821"/>
      <c r="U3748" s="1821"/>
      <c r="V3748" s="1821"/>
      <c r="W3748" s="1821"/>
      <c r="X3748" s="1821"/>
      <c r="Y3748" s="1821"/>
      <c r="Z3748" s="1821"/>
      <c r="AA3748" s="1821"/>
      <c r="AB3748" s="1821"/>
      <c r="AC3748" s="1821"/>
      <c r="AD3748" s="1821"/>
      <c r="AE3748" s="1821"/>
      <c r="AF3748" s="1821"/>
      <c r="AG3748" s="1821"/>
      <c r="AH3748" s="1821"/>
      <c r="AI3748" s="1821"/>
      <c r="AJ3748" s="1821"/>
      <c r="AK3748" s="1821"/>
      <c r="AL3748" s="1821"/>
      <c r="AM3748" s="1821"/>
      <c r="AN3748" s="1821"/>
      <c r="AO3748" s="1821"/>
      <c r="AP3748" s="1821"/>
      <c r="AQ3748" s="1821"/>
      <c r="AR3748" s="1821"/>
      <c r="AS3748" s="1821"/>
      <c r="AT3748" s="1821"/>
      <c r="AU3748" s="1821"/>
      <c r="AV3748" s="1821"/>
      <c r="AW3748" s="1821"/>
      <c r="AX3748" s="1821"/>
      <c r="AY3748" s="1821"/>
      <c r="AZ3748" s="1821"/>
      <c r="BA3748" s="1821"/>
      <c r="BB3748" s="1821"/>
      <c r="BC3748" s="1821"/>
      <c r="BD3748" s="1821"/>
      <c r="BE3748" s="1821"/>
      <c r="BF3748" s="1821"/>
      <c r="BG3748" s="1821"/>
      <c r="BH3748" s="1821"/>
      <c r="BI3748" s="1821"/>
      <c r="BJ3748" s="1821"/>
      <c r="BK3748" s="1821"/>
      <c r="BL3748" s="1821"/>
      <c r="BM3748" s="1821"/>
      <c r="BN3748" s="1821"/>
      <c r="BO3748" s="1821"/>
      <c r="BP3748" s="1821"/>
      <c r="BQ3748" s="1821"/>
      <c r="BR3748" s="1821"/>
      <c r="BS3748" s="1821"/>
      <c r="BT3748" s="1821"/>
      <c r="BU3748" s="1821"/>
      <c r="BV3748" s="1821"/>
      <c r="BW3748" s="1821"/>
      <c r="BX3748" s="1821"/>
      <c r="BY3748" s="1821"/>
      <c r="BZ3748" s="1821"/>
      <c r="CA3748" s="1821"/>
      <c r="CB3748" s="1821"/>
      <c r="CC3748" s="1821"/>
      <c r="CD3748" s="1821"/>
      <c r="CE3748" s="1821"/>
      <c r="CF3748" s="1821"/>
      <c r="CG3748" s="1821"/>
      <c r="CH3748" s="1821"/>
      <c r="CI3748" s="1821"/>
      <c r="CJ3748" s="1821"/>
      <c r="CK3748" s="1821"/>
    </row>
    <row r="3749" spans="1:89" s="675" customFormat="1" ht="16.5" customHeight="1" x14ac:dyDescent="0.25">
      <c r="A3749" s="697">
        <v>4</v>
      </c>
      <c r="B3749" s="1013" t="s">
        <v>1296</v>
      </c>
      <c r="C3749" s="1007">
        <v>4</v>
      </c>
      <c r="D3749" s="1005" t="s">
        <v>283</v>
      </c>
      <c r="E3749" s="1010">
        <v>590</v>
      </c>
      <c r="F3749" s="758"/>
      <c r="G3749" s="758"/>
      <c r="H3749" s="700">
        <f t="shared" si="406"/>
        <v>0</v>
      </c>
      <c r="I3749" s="700">
        <f t="shared" si="410"/>
        <v>2360</v>
      </c>
      <c r="J3749" s="758"/>
      <c r="K3749" s="700">
        <f t="shared" si="407"/>
        <v>2360</v>
      </c>
      <c r="L3749" s="758"/>
      <c r="M3749" s="758"/>
      <c r="N3749" s="700">
        <f t="shared" si="408"/>
        <v>0</v>
      </c>
      <c r="O3749" s="974">
        <f t="shared" si="409"/>
        <v>2360</v>
      </c>
      <c r="P3749" s="956"/>
      <c r="Q3749" s="1821"/>
      <c r="R3749" s="1821"/>
      <c r="S3749" s="1821"/>
      <c r="T3749" s="1821"/>
      <c r="U3749" s="1821"/>
      <c r="V3749" s="1821"/>
      <c r="W3749" s="1821"/>
      <c r="X3749" s="1821"/>
      <c r="Y3749" s="1821"/>
      <c r="Z3749" s="1821"/>
      <c r="AA3749" s="1821"/>
      <c r="AB3749" s="1821"/>
      <c r="AC3749" s="1821"/>
      <c r="AD3749" s="1821"/>
      <c r="AE3749" s="1821"/>
      <c r="AF3749" s="1821"/>
      <c r="AG3749" s="1821"/>
      <c r="AH3749" s="1821"/>
      <c r="AI3749" s="1821"/>
      <c r="AJ3749" s="1821"/>
      <c r="AK3749" s="1821"/>
      <c r="AL3749" s="1821"/>
      <c r="AM3749" s="1821"/>
      <c r="AN3749" s="1821"/>
      <c r="AO3749" s="1821"/>
      <c r="AP3749" s="1821"/>
      <c r="AQ3749" s="1821"/>
      <c r="AR3749" s="1821"/>
      <c r="AS3749" s="1821"/>
      <c r="AT3749" s="1821"/>
      <c r="AU3749" s="1821"/>
      <c r="AV3749" s="1821"/>
      <c r="AW3749" s="1821"/>
      <c r="AX3749" s="1821"/>
      <c r="AY3749" s="1821"/>
      <c r="AZ3749" s="1821"/>
      <c r="BA3749" s="1821"/>
      <c r="BB3749" s="1821"/>
      <c r="BC3749" s="1821"/>
      <c r="BD3749" s="1821"/>
      <c r="BE3749" s="1821"/>
      <c r="BF3749" s="1821"/>
      <c r="BG3749" s="1821"/>
      <c r="BH3749" s="1821"/>
      <c r="BI3749" s="1821"/>
      <c r="BJ3749" s="1821"/>
      <c r="BK3749" s="1821"/>
      <c r="BL3749" s="1821"/>
      <c r="BM3749" s="1821"/>
      <c r="BN3749" s="1821"/>
      <c r="BO3749" s="1821"/>
      <c r="BP3749" s="1821"/>
      <c r="BQ3749" s="1821"/>
      <c r="BR3749" s="1821"/>
      <c r="BS3749" s="1821"/>
      <c r="BT3749" s="1821"/>
      <c r="BU3749" s="1821"/>
      <c r="BV3749" s="1821"/>
      <c r="BW3749" s="1821"/>
      <c r="BX3749" s="1821"/>
      <c r="BY3749" s="1821"/>
      <c r="BZ3749" s="1821"/>
      <c r="CA3749" s="1821"/>
      <c r="CB3749" s="1821"/>
      <c r="CC3749" s="1821"/>
      <c r="CD3749" s="1821"/>
      <c r="CE3749" s="1821"/>
      <c r="CF3749" s="1821"/>
      <c r="CG3749" s="1821"/>
      <c r="CH3749" s="1821"/>
      <c r="CI3749" s="1821"/>
      <c r="CJ3749" s="1821"/>
      <c r="CK3749" s="1821"/>
    </row>
    <row r="3750" spans="1:89" s="744" customFormat="1" ht="16.5" customHeight="1" x14ac:dyDescent="0.25">
      <c r="A3750" s="697">
        <v>5</v>
      </c>
      <c r="B3750" s="1013" t="s">
        <v>1297</v>
      </c>
      <c r="C3750" s="1007">
        <v>8</v>
      </c>
      <c r="D3750" s="1005" t="s">
        <v>283</v>
      </c>
      <c r="E3750" s="1010">
        <v>590</v>
      </c>
      <c r="F3750" s="758"/>
      <c r="G3750" s="758"/>
      <c r="H3750" s="700">
        <f t="shared" si="406"/>
        <v>0</v>
      </c>
      <c r="I3750" s="700">
        <f t="shared" si="410"/>
        <v>4720</v>
      </c>
      <c r="J3750" s="758"/>
      <c r="K3750" s="700">
        <f t="shared" si="407"/>
        <v>4720</v>
      </c>
      <c r="L3750" s="758"/>
      <c r="M3750" s="758"/>
      <c r="N3750" s="700">
        <f t="shared" si="408"/>
        <v>0</v>
      </c>
      <c r="O3750" s="974">
        <f t="shared" si="409"/>
        <v>4720</v>
      </c>
      <c r="P3750" s="956"/>
      <c r="Q3750" s="1821"/>
      <c r="R3750" s="1821"/>
      <c r="S3750" s="1821"/>
      <c r="T3750" s="1821"/>
      <c r="U3750" s="1821"/>
      <c r="V3750" s="1821"/>
      <c r="W3750" s="1821"/>
      <c r="X3750" s="1821"/>
      <c r="Y3750" s="1821"/>
      <c r="Z3750" s="1821"/>
      <c r="AA3750" s="1821"/>
      <c r="AB3750" s="1821"/>
      <c r="AC3750" s="1821"/>
      <c r="AD3750" s="1821"/>
      <c r="AE3750" s="1821"/>
      <c r="AF3750" s="1821"/>
      <c r="AG3750" s="1821"/>
      <c r="AH3750" s="1821"/>
      <c r="AI3750" s="1821"/>
      <c r="AJ3750" s="1821"/>
      <c r="AK3750" s="1821"/>
      <c r="AL3750" s="1821"/>
      <c r="AM3750" s="1821"/>
      <c r="AN3750" s="1821"/>
      <c r="AO3750" s="1821"/>
      <c r="AP3750" s="1821"/>
      <c r="AQ3750" s="1821"/>
      <c r="AR3750" s="1821"/>
      <c r="AS3750" s="1821"/>
      <c r="AT3750" s="1821"/>
      <c r="AU3750" s="1821"/>
      <c r="AV3750" s="1821"/>
      <c r="AW3750" s="1821"/>
      <c r="AX3750" s="1821"/>
      <c r="AY3750" s="1821"/>
      <c r="AZ3750" s="1821"/>
      <c r="BA3750" s="1821"/>
      <c r="BB3750" s="1821"/>
      <c r="BC3750" s="1821"/>
      <c r="BD3750" s="1821"/>
      <c r="BE3750" s="1821"/>
      <c r="BF3750" s="1821"/>
      <c r="BG3750" s="1821"/>
      <c r="BH3750" s="1821"/>
      <c r="BI3750" s="1821"/>
      <c r="BJ3750" s="1821"/>
      <c r="BK3750" s="1821"/>
      <c r="BL3750" s="1821"/>
      <c r="BM3750" s="1821"/>
      <c r="BN3750" s="1821"/>
      <c r="BO3750" s="1821"/>
      <c r="BP3750" s="1821"/>
      <c r="BQ3750" s="1821"/>
      <c r="BR3750" s="1821"/>
      <c r="BS3750" s="1821"/>
      <c r="BT3750" s="1821"/>
      <c r="BU3750" s="1821"/>
      <c r="BV3750" s="1821"/>
      <c r="BW3750" s="1821"/>
      <c r="BX3750" s="1821"/>
      <c r="BY3750" s="1821"/>
      <c r="BZ3750" s="1821"/>
      <c r="CA3750" s="1821"/>
      <c r="CB3750" s="1821"/>
      <c r="CC3750" s="1821"/>
      <c r="CD3750" s="1821"/>
      <c r="CE3750" s="1821"/>
      <c r="CF3750" s="1821"/>
      <c r="CG3750" s="1821"/>
      <c r="CH3750" s="1821"/>
      <c r="CI3750" s="1821"/>
      <c r="CJ3750" s="1821"/>
      <c r="CK3750" s="1821"/>
    </row>
    <row r="3751" spans="1:89" s="744" customFormat="1" ht="16.5" customHeight="1" x14ac:dyDescent="0.25">
      <c r="A3751" s="697"/>
      <c r="B3751" s="1013"/>
      <c r="C3751" s="1007"/>
      <c r="D3751" s="1005"/>
      <c r="E3751" s="1010"/>
      <c r="F3751" s="758"/>
      <c r="G3751" s="758"/>
      <c r="H3751" s="700">
        <f t="shared" si="406"/>
        <v>0</v>
      </c>
      <c r="I3751" s="700">
        <f t="shared" si="410"/>
        <v>0</v>
      </c>
      <c r="J3751" s="758"/>
      <c r="K3751" s="700">
        <f t="shared" si="407"/>
        <v>0</v>
      </c>
      <c r="L3751" s="758"/>
      <c r="M3751" s="758"/>
      <c r="N3751" s="700">
        <f t="shared" si="408"/>
        <v>0</v>
      </c>
      <c r="O3751" s="974">
        <f t="shared" si="409"/>
        <v>0</v>
      </c>
      <c r="P3751" s="956"/>
      <c r="Q3751" s="1821"/>
      <c r="R3751" s="1821"/>
      <c r="S3751" s="1821"/>
      <c r="T3751" s="1821"/>
      <c r="U3751" s="1821"/>
      <c r="V3751" s="1821"/>
      <c r="W3751" s="1821"/>
      <c r="X3751" s="1821"/>
      <c r="Y3751" s="1821"/>
      <c r="Z3751" s="1821"/>
      <c r="AA3751" s="1821"/>
      <c r="AB3751" s="1821"/>
      <c r="AC3751" s="1821"/>
      <c r="AD3751" s="1821"/>
      <c r="AE3751" s="1821"/>
      <c r="AF3751" s="1821"/>
      <c r="AG3751" s="1821"/>
      <c r="AH3751" s="1821"/>
      <c r="AI3751" s="1821"/>
      <c r="AJ3751" s="1821"/>
      <c r="AK3751" s="1821"/>
      <c r="AL3751" s="1821"/>
      <c r="AM3751" s="1821"/>
      <c r="AN3751" s="1821"/>
      <c r="AO3751" s="1821"/>
      <c r="AP3751" s="1821"/>
      <c r="AQ3751" s="1821"/>
      <c r="AR3751" s="1821"/>
      <c r="AS3751" s="1821"/>
      <c r="AT3751" s="1821"/>
      <c r="AU3751" s="1821"/>
      <c r="AV3751" s="1821"/>
      <c r="AW3751" s="1821"/>
      <c r="AX3751" s="1821"/>
      <c r="AY3751" s="1821"/>
      <c r="AZ3751" s="1821"/>
      <c r="BA3751" s="1821"/>
      <c r="BB3751" s="1821"/>
      <c r="BC3751" s="1821"/>
      <c r="BD3751" s="1821"/>
      <c r="BE3751" s="1821"/>
      <c r="BF3751" s="1821"/>
      <c r="BG3751" s="1821"/>
      <c r="BH3751" s="1821"/>
      <c r="BI3751" s="1821"/>
      <c r="BJ3751" s="1821"/>
      <c r="BK3751" s="1821"/>
      <c r="BL3751" s="1821"/>
      <c r="BM3751" s="1821"/>
      <c r="BN3751" s="1821"/>
      <c r="BO3751" s="1821"/>
      <c r="BP3751" s="1821"/>
      <c r="BQ3751" s="1821"/>
      <c r="BR3751" s="1821"/>
      <c r="BS3751" s="1821"/>
      <c r="BT3751" s="1821"/>
      <c r="BU3751" s="1821"/>
      <c r="BV3751" s="1821"/>
      <c r="BW3751" s="1821"/>
      <c r="BX3751" s="1821"/>
      <c r="BY3751" s="1821"/>
      <c r="BZ3751" s="1821"/>
      <c r="CA3751" s="1821"/>
      <c r="CB3751" s="1821"/>
      <c r="CC3751" s="1821"/>
      <c r="CD3751" s="1821"/>
      <c r="CE3751" s="1821"/>
      <c r="CF3751" s="1821"/>
      <c r="CG3751" s="1821"/>
      <c r="CH3751" s="1821"/>
      <c r="CI3751" s="1821"/>
      <c r="CJ3751" s="1821"/>
      <c r="CK3751" s="1821"/>
    </row>
    <row r="3752" spans="1:89" s="744" customFormat="1" ht="16.5" customHeight="1" x14ac:dyDescent="0.25">
      <c r="A3752" s="697" t="s">
        <v>286</v>
      </c>
      <c r="B3752" s="1013" t="s">
        <v>287</v>
      </c>
      <c r="C3752" s="1007"/>
      <c r="D3752" s="1005"/>
      <c r="E3752" s="1010"/>
      <c r="F3752" s="758"/>
      <c r="G3752" s="758"/>
      <c r="H3752" s="700">
        <f t="shared" si="406"/>
        <v>0</v>
      </c>
      <c r="I3752" s="700">
        <f t="shared" si="410"/>
        <v>0</v>
      </c>
      <c r="J3752" s="758"/>
      <c r="K3752" s="700">
        <f t="shared" si="407"/>
        <v>0</v>
      </c>
      <c r="L3752" s="758"/>
      <c r="M3752" s="758"/>
      <c r="N3752" s="700">
        <f t="shared" si="408"/>
        <v>0</v>
      </c>
      <c r="O3752" s="974">
        <f t="shared" si="409"/>
        <v>0</v>
      </c>
      <c r="P3752" s="956"/>
      <c r="Q3752" s="1821"/>
      <c r="R3752" s="1821"/>
      <c r="S3752" s="1821"/>
      <c r="T3752" s="1821"/>
      <c r="U3752" s="1821"/>
      <c r="V3752" s="1821"/>
      <c r="W3752" s="1821"/>
      <c r="X3752" s="1821"/>
      <c r="Y3752" s="1821"/>
      <c r="Z3752" s="1821"/>
      <c r="AA3752" s="1821"/>
      <c r="AB3752" s="1821"/>
      <c r="AC3752" s="1821"/>
      <c r="AD3752" s="1821"/>
      <c r="AE3752" s="1821"/>
      <c r="AF3752" s="1821"/>
      <c r="AG3752" s="1821"/>
      <c r="AH3752" s="1821"/>
      <c r="AI3752" s="1821"/>
      <c r="AJ3752" s="1821"/>
      <c r="AK3752" s="1821"/>
      <c r="AL3752" s="1821"/>
      <c r="AM3752" s="1821"/>
      <c r="AN3752" s="1821"/>
      <c r="AO3752" s="1821"/>
      <c r="AP3752" s="1821"/>
      <c r="AQ3752" s="1821"/>
      <c r="AR3752" s="1821"/>
      <c r="AS3752" s="1821"/>
      <c r="AT3752" s="1821"/>
      <c r="AU3752" s="1821"/>
      <c r="AV3752" s="1821"/>
      <c r="AW3752" s="1821"/>
      <c r="AX3752" s="1821"/>
      <c r="AY3752" s="1821"/>
      <c r="AZ3752" s="1821"/>
      <c r="BA3752" s="1821"/>
      <c r="BB3752" s="1821"/>
      <c r="BC3752" s="1821"/>
      <c r="BD3752" s="1821"/>
      <c r="BE3752" s="1821"/>
      <c r="BF3752" s="1821"/>
      <c r="BG3752" s="1821"/>
      <c r="BH3752" s="1821"/>
      <c r="BI3752" s="1821"/>
      <c r="BJ3752" s="1821"/>
      <c r="BK3752" s="1821"/>
      <c r="BL3752" s="1821"/>
      <c r="BM3752" s="1821"/>
      <c r="BN3752" s="1821"/>
      <c r="BO3752" s="1821"/>
      <c r="BP3752" s="1821"/>
      <c r="BQ3752" s="1821"/>
      <c r="BR3752" s="1821"/>
      <c r="BS3752" s="1821"/>
      <c r="BT3752" s="1821"/>
      <c r="BU3752" s="1821"/>
      <c r="BV3752" s="1821"/>
      <c r="BW3752" s="1821"/>
      <c r="BX3752" s="1821"/>
      <c r="BY3752" s="1821"/>
      <c r="BZ3752" s="1821"/>
      <c r="CA3752" s="1821"/>
      <c r="CB3752" s="1821"/>
      <c r="CC3752" s="1821"/>
      <c r="CD3752" s="1821"/>
      <c r="CE3752" s="1821"/>
      <c r="CF3752" s="1821"/>
      <c r="CG3752" s="1821"/>
      <c r="CH3752" s="1821"/>
      <c r="CI3752" s="1821"/>
      <c r="CJ3752" s="1821"/>
      <c r="CK3752" s="1821"/>
    </row>
    <row r="3753" spans="1:89" s="744" customFormat="1" ht="16.5" customHeight="1" x14ac:dyDescent="0.25">
      <c r="A3753" s="697"/>
      <c r="B3753" s="1013" t="s">
        <v>288</v>
      </c>
      <c r="C3753" s="1007">
        <f>SUM(O3756:O3762)</f>
        <v>1155075</v>
      </c>
      <c r="D3753" s="1005"/>
      <c r="E3753" s="1010"/>
      <c r="F3753" s="758"/>
      <c r="G3753" s="758"/>
      <c r="H3753" s="700">
        <f t="shared" si="406"/>
        <v>0</v>
      </c>
      <c r="I3753" s="700"/>
      <c r="J3753" s="758"/>
      <c r="K3753" s="700">
        <f t="shared" si="407"/>
        <v>0</v>
      </c>
      <c r="L3753" s="758"/>
      <c r="M3753" s="758"/>
      <c r="N3753" s="700">
        <f t="shared" si="408"/>
        <v>0</v>
      </c>
      <c r="O3753" s="974">
        <f t="shared" si="409"/>
        <v>0</v>
      </c>
      <c r="P3753" s="956"/>
      <c r="Q3753" s="1821"/>
      <c r="R3753" s="1821"/>
      <c r="S3753" s="1821"/>
      <c r="T3753" s="1821"/>
      <c r="U3753" s="1821"/>
      <c r="V3753" s="1821"/>
      <c r="W3753" s="1821"/>
      <c r="X3753" s="1821"/>
      <c r="Y3753" s="1821"/>
      <c r="Z3753" s="1821"/>
      <c r="AA3753" s="1821"/>
      <c r="AB3753" s="1821"/>
      <c r="AC3753" s="1821"/>
      <c r="AD3753" s="1821"/>
      <c r="AE3753" s="1821"/>
      <c r="AF3753" s="1821"/>
      <c r="AG3753" s="1821"/>
      <c r="AH3753" s="1821"/>
      <c r="AI3753" s="1821"/>
      <c r="AJ3753" s="1821"/>
      <c r="AK3753" s="1821"/>
      <c r="AL3753" s="1821"/>
      <c r="AM3753" s="1821"/>
      <c r="AN3753" s="1821"/>
      <c r="AO3753" s="1821"/>
      <c r="AP3753" s="1821"/>
      <c r="AQ3753" s="1821"/>
      <c r="AR3753" s="1821"/>
      <c r="AS3753" s="1821"/>
      <c r="AT3753" s="1821"/>
      <c r="AU3753" s="1821"/>
      <c r="AV3753" s="1821"/>
      <c r="AW3753" s="1821"/>
      <c r="AX3753" s="1821"/>
      <c r="AY3753" s="1821"/>
      <c r="AZ3753" s="1821"/>
      <c r="BA3753" s="1821"/>
      <c r="BB3753" s="1821"/>
      <c r="BC3753" s="1821"/>
      <c r="BD3753" s="1821"/>
      <c r="BE3753" s="1821"/>
      <c r="BF3753" s="1821"/>
      <c r="BG3753" s="1821"/>
      <c r="BH3753" s="1821"/>
      <c r="BI3753" s="1821"/>
      <c r="BJ3753" s="1821"/>
      <c r="BK3753" s="1821"/>
      <c r="BL3753" s="1821"/>
      <c r="BM3753" s="1821"/>
      <c r="BN3753" s="1821"/>
      <c r="BO3753" s="1821"/>
      <c r="BP3753" s="1821"/>
      <c r="BQ3753" s="1821"/>
      <c r="BR3753" s="1821"/>
      <c r="BS3753" s="1821"/>
      <c r="BT3753" s="1821"/>
      <c r="BU3753" s="1821"/>
      <c r="BV3753" s="1821"/>
      <c r="BW3753" s="1821"/>
      <c r="BX3753" s="1821"/>
      <c r="BY3753" s="1821"/>
      <c r="BZ3753" s="1821"/>
      <c r="CA3753" s="1821"/>
      <c r="CB3753" s="1821"/>
      <c r="CC3753" s="1821"/>
      <c r="CD3753" s="1821"/>
      <c r="CE3753" s="1821"/>
      <c r="CF3753" s="1821"/>
      <c r="CG3753" s="1821"/>
      <c r="CH3753" s="1821"/>
      <c r="CI3753" s="1821"/>
      <c r="CJ3753" s="1821"/>
      <c r="CK3753" s="1821"/>
    </row>
    <row r="3754" spans="1:89" s="744" customFormat="1" ht="16.5" customHeight="1" x14ac:dyDescent="0.25">
      <c r="A3754" s="697" t="s">
        <v>49</v>
      </c>
      <c r="B3754" s="1013" t="s">
        <v>289</v>
      </c>
      <c r="C3754" s="1007"/>
      <c r="D3754" s="1005"/>
      <c r="E3754" s="1010"/>
      <c r="F3754" s="758"/>
      <c r="G3754" s="758"/>
      <c r="H3754" s="700">
        <f t="shared" si="406"/>
        <v>0</v>
      </c>
      <c r="I3754" s="700">
        <f t="shared" ref="I3754:I3791" si="411">C3754*E3754</f>
        <v>0</v>
      </c>
      <c r="J3754" s="758"/>
      <c r="K3754" s="700">
        <f t="shared" si="407"/>
        <v>0</v>
      </c>
      <c r="L3754" s="758"/>
      <c r="M3754" s="758"/>
      <c r="N3754" s="700">
        <f t="shared" si="408"/>
        <v>0</v>
      </c>
      <c r="O3754" s="974">
        <f t="shared" si="409"/>
        <v>0</v>
      </c>
      <c r="P3754" s="956"/>
      <c r="Q3754" s="1821"/>
      <c r="R3754" s="1821"/>
      <c r="S3754" s="1821"/>
      <c r="T3754" s="1821"/>
      <c r="U3754" s="1821"/>
      <c r="V3754" s="1821"/>
      <c r="W3754" s="1821"/>
      <c r="X3754" s="1821"/>
      <c r="Y3754" s="1821"/>
      <c r="Z3754" s="1821"/>
      <c r="AA3754" s="1821"/>
      <c r="AB3754" s="1821"/>
      <c r="AC3754" s="1821"/>
      <c r="AD3754" s="1821"/>
      <c r="AE3754" s="1821"/>
      <c r="AF3754" s="1821"/>
      <c r="AG3754" s="1821"/>
      <c r="AH3754" s="1821"/>
      <c r="AI3754" s="1821"/>
      <c r="AJ3754" s="1821"/>
      <c r="AK3754" s="1821"/>
      <c r="AL3754" s="1821"/>
      <c r="AM3754" s="1821"/>
      <c r="AN3754" s="1821"/>
      <c r="AO3754" s="1821"/>
      <c r="AP3754" s="1821"/>
      <c r="AQ3754" s="1821"/>
      <c r="AR3754" s="1821"/>
      <c r="AS3754" s="1821"/>
      <c r="AT3754" s="1821"/>
      <c r="AU3754" s="1821"/>
      <c r="AV3754" s="1821"/>
      <c r="AW3754" s="1821"/>
      <c r="AX3754" s="1821"/>
      <c r="AY3754" s="1821"/>
      <c r="AZ3754" s="1821"/>
      <c r="BA3754" s="1821"/>
      <c r="BB3754" s="1821"/>
      <c r="BC3754" s="1821"/>
      <c r="BD3754" s="1821"/>
      <c r="BE3754" s="1821"/>
      <c r="BF3754" s="1821"/>
      <c r="BG3754" s="1821"/>
      <c r="BH3754" s="1821"/>
      <c r="BI3754" s="1821"/>
      <c r="BJ3754" s="1821"/>
      <c r="BK3754" s="1821"/>
      <c r="BL3754" s="1821"/>
      <c r="BM3754" s="1821"/>
      <c r="BN3754" s="1821"/>
      <c r="BO3754" s="1821"/>
      <c r="BP3754" s="1821"/>
      <c r="BQ3754" s="1821"/>
      <c r="BR3754" s="1821"/>
      <c r="BS3754" s="1821"/>
      <c r="BT3754" s="1821"/>
      <c r="BU3754" s="1821"/>
      <c r="BV3754" s="1821"/>
      <c r="BW3754" s="1821"/>
      <c r="BX3754" s="1821"/>
      <c r="BY3754" s="1821"/>
      <c r="BZ3754" s="1821"/>
      <c r="CA3754" s="1821"/>
      <c r="CB3754" s="1821"/>
      <c r="CC3754" s="1821"/>
      <c r="CD3754" s="1821"/>
      <c r="CE3754" s="1821"/>
      <c r="CF3754" s="1821"/>
      <c r="CG3754" s="1821"/>
      <c r="CH3754" s="1821"/>
      <c r="CI3754" s="1821"/>
      <c r="CJ3754" s="1821"/>
      <c r="CK3754" s="1821"/>
    </row>
    <row r="3755" spans="1:89" s="744" customFormat="1" ht="16.5" customHeight="1" x14ac:dyDescent="0.25">
      <c r="A3755" s="1021"/>
      <c r="B3755" s="1024" t="s">
        <v>197</v>
      </c>
      <c r="C3755" s="1004"/>
      <c r="D3755" s="1022"/>
      <c r="E3755" s="1023"/>
      <c r="F3755" s="706"/>
      <c r="G3755" s="706"/>
      <c r="H3755" s="700">
        <f t="shared" si="406"/>
        <v>0</v>
      </c>
      <c r="I3755" s="706">
        <f t="shared" si="411"/>
        <v>0</v>
      </c>
      <c r="J3755" s="706"/>
      <c r="K3755" s="700">
        <f t="shared" si="407"/>
        <v>0</v>
      </c>
      <c r="L3755" s="706"/>
      <c r="M3755" s="706"/>
      <c r="N3755" s="700">
        <f t="shared" si="408"/>
        <v>0</v>
      </c>
      <c r="O3755" s="974">
        <f t="shared" si="409"/>
        <v>0</v>
      </c>
      <c r="P3755" s="956"/>
      <c r="Q3755" s="1821"/>
      <c r="R3755" s="1821"/>
      <c r="S3755" s="1821"/>
      <c r="T3755" s="1821"/>
      <c r="U3755" s="1821"/>
      <c r="V3755" s="1821"/>
      <c r="W3755" s="1821"/>
      <c r="X3755" s="1821"/>
      <c r="Y3755" s="1821"/>
      <c r="Z3755" s="1821"/>
      <c r="AA3755" s="1821"/>
      <c r="AB3755" s="1821"/>
      <c r="AC3755" s="1821"/>
      <c r="AD3755" s="1821"/>
      <c r="AE3755" s="1821"/>
      <c r="AF3755" s="1821"/>
      <c r="AG3755" s="1821"/>
      <c r="AH3755" s="1821"/>
      <c r="AI3755" s="1821"/>
      <c r="AJ3755" s="1821"/>
      <c r="AK3755" s="1821"/>
      <c r="AL3755" s="1821"/>
      <c r="AM3755" s="1821"/>
      <c r="AN3755" s="1821"/>
      <c r="AO3755" s="1821"/>
      <c r="AP3755" s="1821"/>
      <c r="AQ3755" s="1821"/>
      <c r="AR3755" s="1821"/>
      <c r="AS3755" s="1821"/>
      <c r="AT3755" s="1821"/>
      <c r="AU3755" s="1821"/>
      <c r="AV3755" s="1821"/>
      <c r="AW3755" s="1821"/>
      <c r="AX3755" s="1821"/>
      <c r="AY3755" s="1821"/>
      <c r="AZ3755" s="1821"/>
      <c r="BA3755" s="1821"/>
      <c r="BB3755" s="1821"/>
      <c r="BC3755" s="1821"/>
      <c r="BD3755" s="1821"/>
      <c r="BE3755" s="1821"/>
      <c r="BF3755" s="1821"/>
      <c r="BG3755" s="1821"/>
      <c r="BH3755" s="1821"/>
      <c r="BI3755" s="1821"/>
      <c r="BJ3755" s="1821"/>
      <c r="BK3755" s="1821"/>
      <c r="BL3755" s="1821"/>
      <c r="BM3755" s="1821"/>
      <c r="BN3755" s="1821"/>
      <c r="BO3755" s="1821"/>
      <c r="BP3755" s="1821"/>
      <c r="BQ3755" s="1821"/>
      <c r="BR3755" s="1821"/>
      <c r="BS3755" s="1821"/>
      <c r="BT3755" s="1821"/>
      <c r="BU3755" s="1821"/>
      <c r="BV3755" s="1821"/>
      <c r="BW3755" s="1821"/>
      <c r="BX3755" s="1821"/>
      <c r="BY3755" s="1821"/>
      <c r="BZ3755" s="1821"/>
      <c r="CA3755" s="1821"/>
      <c r="CB3755" s="1821"/>
      <c r="CC3755" s="1821"/>
      <c r="CD3755" s="1821"/>
      <c r="CE3755" s="1821"/>
      <c r="CF3755" s="1821"/>
      <c r="CG3755" s="1821"/>
      <c r="CH3755" s="1821"/>
      <c r="CI3755" s="1821"/>
      <c r="CJ3755" s="1821"/>
      <c r="CK3755" s="1821"/>
    </row>
    <row r="3756" spans="1:89" s="1204" customFormat="1" ht="16.5" customHeight="1" x14ac:dyDescent="0.25">
      <c r="A3756" s="697">
        <v>1</v>
      </c>
      <c r="B3756" s="1002" t="s">
        <v>1298</v>
      </c>
      <c r="C3756" s="1007">
        <v>1</v>
      </c>
      <c r="D3756" s="1005" t="s">
        <v>16</v>
      </c>
      <c r="E3756" s="1006">
        <v>150000</v>
      </c>
      <c r="F3756" s="758"/>
      <c r="G3756" s="758"/>
      <c r="H3756" s="700"/>
      <c r="I3756" s="758">
        <f t="shared" si="411"/>
        <v>150000</v>
      </c>
      <c r="J3756" s="758"/>
      <c r="K3756" s="700">
        <f t="shared" si="407"/>
        <v>150000</v>
      </c>
      <c r="L3756" s="758"/>
      <c r="M3756" s="758"/>
      <c r="N3756" s="700"/>
      <c r="O3756" s="974">
        <f t="shared" si="409"/>
        <v>150000</v>
      </c>
      <c r="P3756" s="1202"/>
      <c r="Q3756" s="1838"/>
      <c r="R3756" s="1838"/>
      <c r="S3756" s="1838"/>
      <c r="T3756" s="1838"/>
      <c r="U3756" s="1838"/>
      <c r="V3756" s="1838"/>
      <c r="W3756" s="1838"/>
      <c r="X3756" s="1838"/>
      <c r="Y3756" s="1838"/>
      <c r="Z3756" s="1838"/>
      <c r="AA3756" s="1838"/>
      <c r="AB3756" s="1838"/>
      <c r="AC3756" s="1838"/>
      <c r="AD3756" s="1838"/>
      <c r="AE3756" s="1838"/>
      <c r="AF3756" s="1838"/>
      <c r="AG3756" s="1838"/>
      <c r="AH3756" s="1838"/>
      <c r="AI3756" s="1838"/>
      <c r="AJ3756" s="1838"/>
      <c r="AK3756" s="1838"/>
      <c r="AL3756" s="1838"/>
      <c r="AM3756" s="1838"/>
      <c r="AN3756" s="1838"/>
      <c r="AO3756" s="1838"/>
      <c r="AP3756" s="1838"/>
      <c r="AQ3756" s="1838"/>
      <c r="AR3756" s="1838"/>
      <c r="AS3756" s="1838"/>
      <c r="AT3756" s="1838"/>
      <c r="AU3756" s="1838"/>
      <c r="AV3756" s="1838"/>
      <c r="AW3756" s="1838"/>
      <c r="AX3756" s="1838"/>
      <c r="AY3756" s="1838"/>
      <c r="AZ3756" s="1838"/>
      <c r="BA3756" s="1838"/>
      <c r="BB3756" s="1838"/>
      <c r="BC3756" s="1838"/>
      <c r="BD3756" s="1838"/>
      <c r="BE3756" s="1838"/>
      <c r="BF3756" s="1838"/>
      <c r="BG3756" s="1838"/>
      <c r="BH3756" s="1838"/>
      <c r="BI3756" s="1838"/>
      <c r="BJ3756" s="1838"/>
      <c r="BK3756" s="1838"/>
      <c r="BL3756" s="1838"/>
      <c r="BM3756" s="1838"/>
      <c r="BN3756" s="1838"/>
      <c r="BO3756" s="1838"/>
      <c r="BP3756" s="1838"/>
      <c r="BQ3756" s="1838"/>
      <c r="BR3756" s="1838"/>
      <c r="BS3756" s="1838"/>
      <c r="BT3756" s="1838"/>
      <c r="BU3756" s="1838"/>
      <c r="BV3756" s="1838"/>
      <c r="BW3756" s="1838"/>
      <c r="BX3756" s="1838"/>
      <c r="BY3756" s="1838"/>
      <c r="BZ3756" s="1838"/>
      <c r="CA3756" s="1838"/>
      <c r="CB3756" s="1838"/>
      <c r="CC3756" s="1838"/>
      <c r="CD3756" s="1838"/>
      <c r="CE3756" s="1838"/>
      <c r="CF3756" s="1838"/>
      <c r="CG3756" s="1838"/>
      <c r="CH3756" s="1838"/>
      <c r="CI3756" s="1838"/>
      <c r="CJ3756" s="1838"/>
      <c r="CK3756" s="1838"/>
    </row>
    <row r="3757" spans="1:89" s="1204" customFormat="1" ht="16.5" customHeight="1" x14ac:dyDescent="0.25">
      <c r="A3757" s="697">
        <v>2</v>
      </c>
      <c r="B3757" s="1016" t="s">
        <v>1299</v>
      </c>
      <c r="C3757" s="1017">
        <v>1</v>
      </c>
      <c r="D3757" s="1018" t="s">
        <v>16</v>
      </c>
      <c r="E3757" s="1025">
        <v>199750</v>
      </c>
      <c r="F3757" s="758"/>
      <c r="G3757" s="758"/>
      <c r="H3757" s="700"/>
      <c r="I3757" s="758">
        <f t="shared" si="411"/>
        <v>199750</v>
      </c>
      <c r="J3757" s="758"/>
      <c r="K3757" s="700">
        <f t="shared" si="407"/>
        <v>199750</v>
      </c>
      <c r="L3757" s="758"/>
      <c r="M3757" s="758"/>
      <c r="N3757" s="700"/>
      <c r="O3757" s="974">
        <f t="shared" si="409"/>
        <v>199750</v>
      </c>
      <c r="P3757" s="1202"/>
      <c r="Q3757" s="1838"/>
      <c r="R3757" s="1838"/>
      <c r="S3757" s="1838"/>
      <c r="T3757" s="1838"/>
      <c r="U3757" s="1838"/>
      <c r="V3757" s="1838"/>
      <c r="W3757" s="1838"/>
      <c r="X3757" s="1838"/>
      <c r="Y3757" s="1838"/>
      <c r="Z3757" s="1838"/>
      <c r="AA3757" s="1838"/>
      <c r="AB3757" s="1838"/>
      <c r="AC3757" s="1838"/>
      <c r="AD3757" s="1838"/>
      <c r="AE3757" s="1838"/>
      <c r="AF3757" s="1838"/>
      <c r="AG3757" s="1838"/>
      <c r="AH3757" s="1838"/>
      <c r="AI3757" s="1838"/>
      <c r="AJ3757" s="1838"/>
      <c r="AK3757" s="1838"/>
      <c r="AL3757" s="1838"/>
      <c r="AM3757" s="1838"/>
      <c r="AN3757" s="1838"/>
      <c r="AO3757" s="1838"/>
      <c r="AP3757" s="1838"/>
      <c r="AQ3757" s="1838"/>
      <c r="AR3757" s="1838"/>
      <c r="AS3757" s="1838"/>
      <c r="AT3757" s="1838"/>
      <c r="AU3757" s="1838"/>
      <c r="AV3757" s="1838"/>
      <c r="AW3757" s="1838"/>
      <c r="AX3757" s="1838"/>
      <c r="AY3757" s="1838"/>
      <c r="AZ3757" s="1838"/>
      <c r="BA3757" s="1838"/>
      <c r="BB3757" s="1838"/>
      <c r="BC3757" s="1838"/>
      <c r="BD3757" s="1838"/>
      <c r="BE3757" s="1838"/>
      <c r="BF3757" s="1838"/>
      <c r="BG3757" s="1838"/>
      <c r="BH3757" s="1838"/>
      <c r="BI3757" s="1838"/>
      <c r="BJ3757" s="1838"/>
      <c r="BK3757" s="1838"/>
      <c r="BL3757" s="1838"/>
      <c r="BM3757" s="1838"/>
      <c r="BN3757" s="1838"/>
      <c r="BO3757" s="1838"/>
      <c r="BP3757" s="1838"/>
      <c r="BQ3757" s="1838"/>
      <c r="BR3757" s="1838"/>
      <c r="BS3757" s="1838"/>
      <c r="BT3757" s="1838"/>
      <c r="BU3757" s="1838"/>
      <c r="BV3757" s="1838"/>
      <c r="BW3757" s="1838"/>
      <c r="BX3757" s="1838"/>
      <c r="BY3757" s="1838"/>
      <c r="BZ3757" s="1838"/>
      <c r="CA3757" s="1838"/>
      <c r="CB3757" s="1838"/>
      <c r="CC3757" s="1838"/>
      <c r="CD3757" s="1838"/>
      <c r="CE3757" s="1838"/>
      <c r="CF3757" s="1838"/>
      <c r="CG3757" s="1838"/>
      <c r="CH3757" s="1838"/>
      <c r="CI3757" s="1838"/>
      <c r="CJ3757" s="1838"/>
      <c r="CK3757" s="1838"/>
    </row>
    <row r="3758" spans="1:89" s="1204" customFormat="1" ht="16.5" customHeight="1" x14ac:dyDescent="0.25">
      <c r="A3758" s="697">
        <v>3</v>
      </c>
      <c r="B3758" s="1016" t="s">
        <v>1300</v>
      </c>
      <c r="C3758" s="1017">
        <v>1</v>
      </c>
      <c r="D3758" s="1018" t="s">
        <v>16</v>
      </c>
      <c r="E3758" s="1025">
        <v>188000</v>
      </c>
      <c r="F3758" s="758"/>
      <c r="G3758" s="758"/>
      <c r="H3758" s="700"/>
      <c r="I3758" s="758">
        <f t="shared" si="411"/>
        <v>188000</v>
      </c>
      <c r="J3758" s="758"/>
      <c r="K3758" s="700">
        <f t="shared" si="407"/>
        <v>188000</v>
      </c>
      <c r="L3758" s="758"/>
      <c r="M3758" s="758"/>
      <c r="N3758" s="700"/>
      <c r="O3758" s="974">
        <f t="shared" si="409"/>
        <v>188000</v>
      </c>
      <c r="P3758" s="1202"/>
      <c r="Q3758" s="1838"/>
      <c r="R3758" s="1838"/>
      <c r="S3758" s="1838"/>
      <c r="T3758" s="1838"/>
      <c r="U3758" s="1838"/>
      <c r="V3758" s="1838"/>
      <c r="W3758" s="1838"/>
      <c r="X3758" s="1838"/>
      <c r="Y3758" s="1838"/>
      <c r="Z3758" s="1838"/>
      <c r="AA3758" s="1838"/>
      <c r="AB3758" s="1838"/>
      <c r="AC3758" s="1838"/>
      <c r="AD3758" s="1838"/>
      <c r="AE3758" s="1838"/>
      <c r="AF3758" s="1838"/>
      <c r="AG3758" s="1838"/>
      <c r="AH3758" s="1838"/>
      <c r="AI3758" s="1838"/>
      <c r="AJ3758" s="1838"/>
      <c r="AK3758" s="1838"/>
      <c r="AL3758" s="1838"/>
      <c r="AM3758" s="1838"/>
      <c r="AN3758" s="1838"/>
      <c r="AO3758" s="1838"/>
      <c r="AP3758" s="1838"/>
      <c r="AQ3758" s="1838"/>
      <c r="AR3758" s="1838"/>
      <c r="AS3758" s="1838"/>
      <c r="AT3758" s="1838"/>
      <c r="AU3758" s="1838"/>
      <c r="AV3758" s="1838"/>
      <c r="AW3758" s="1838"/>
      <c r="AX3758" s="1838"/>
      <c r="AY3758" s="1838"/>
      <c r="AZ3758" s="1838"/>
      <c r="BA3758" s="1838"/>
      <c r="BB3758" s="1838"/>
      <c r="BC3758" s="1838"/>
      <c r="BD3758" s="1838"/>
      <c r="BE3758" s="1838"/>
      <c r="BF3758" s="1838"/>
      <c r="BG3758" s="1838"/>
      <c r="BH3758" s="1838"/>
      <c r="BI3758" s="1838"/>
      <c r="BJ3758" s="1838"/>
      <c r="BK3758" s="1838"/>
      <c r="BL3758" s="1838"/>
      <c r="BM3758" s="1838"/>
      <c r="BN3758" s="1838"/>
      <c r="BO3758" s="1838"/>
      <c r="BP3758" s="1838"/>
      <c r="BQ3758" s="1838"/>
      <c r="BR3758" s="1838"/>
      <c r="BS3758" s="1838"/>
      <c r="BT3758" s="1838"/>
      <c r="BU3758" s="1838"/>
      <c r="BV3758" s="1838"/>
      <c r="BW3758" s="1838"/>
      <c r="BX3758" s="1838"/>
      <c r="BY3758" s="1838"/>
      <c r="BZ3758" s="1838"/>
      <c r="CA3758" s="1838"/>
      <c r="CB3758" s="1838"/>
      <c r="CC3758" s="1838"/>
      <c r="CD3758" s="1838"/>
      <c r="CE3758" s="1838"/>
      <c r="CF3758" s="1838"/>
      <c r="CG3758" s="1838"/>
      <c r="CH3758" s="1838"/>
      <c r="CI3758" s="1838"/>
      <c r="CJ3758" s="1838"/>
      <c r="CK3758" s="1838"/>
    </row>
    <row r="3759" spans="1:89" s="1204" customFormat="1" ht="16.5" customHeight="1" x14ac:dyDescent="0.25">
      <c r="A3759" s="697">
        <v>4</v>
      </c>
      <c r="B3759" s="1016" t="s">
        <v>1301</v>
      </c>
      <c r="C3759" s="1017">
        <v>1</v>
      </c>
      <c r="D3759" s="1018" t="s">
        <v>16</v>
      </c>
      <c r="E3759" s="1025">
        <v>188000</v>
      </c>
      <c r="F3759" s="758"/>
      <c r="G3759" s="758"/>
      <c r="H3759" s="700"/>
      <c r="I3759" s="758">
        <f t="shared" si="411"/>
        <v>188000</v>
      </c>
      <c r="J3759" s="758"/>
      <c r="K3759" s="700">
        <f t="shared" si="407"/>
        <v>188000</v>
      </c>
      <c r="L3759" s="758"/>
      <c r="M3759" s="758"/>
      <c r="N3759" s="700"/>
      <c r="O3759" s="974">
        <f t="shared" si="409"/>
        <v>188000</v>
      </c>
      <c r="P3759" s="1202"/>
      <c r="Q3759" s="1838"/>
      <c r="R3759" s="1838"/>
      <c r="S3759" s="1838"/>
      <c r="T3759" s="1838"/>
      <c r="U3759" s="1838"/>
      <c r="V3759" s="1838"/>
      <c r="W3759" s="1838"/>
      <c r="X3759" s="1838"/>
      <c r="Y3759" s="1838"/>
      <c r="Z3759" s="1838"/>
      <c r="AA3759" s="1838"/>
      <c r="AB3759" s="1838"/>
      <c r="AC3759" s="1838"/>
      <c r="AD3759" s="1838"/>
      <c r="AE3759" s="1838"/>
      <c r="AF3759" s="1838"/>
      <c r="AG3759" s="1838"/>
      <c r="AH3759" s="1838"/>
      <c r="AI3759" s="1838"/>
      <c r="AJ3759" s="1838"/>
      <c r="AK3759" s="1838"/>
      <c r="AL3759" s="1838"/>
      <c r="AM3759" s="1838"/>
      <c r="AN3759" s="1838"/>
      <c r="AO3759" s="1838"/>
      <c r="AP3759" s="1838"/>
      <c r="AQ3759" s="1838"/>
      <c r="AR3759" s="1838"/>
      <c r="AS3759" s="1838"/>
      <c r="AT3759" s="1838"/>
      <c r="AU3759" s="1838"/>
      <c r="AV3759" s="1838"/>
      <c r="AW3759" s="1838"/>
      <c r="AX3759" s="1838"/>
      <c r="AY3759" s="1838"/>
      <c r="AZ3759" s="1838"/>
      <c r="BA3759" s="1838"/>
      <c r="BB3759" s="1838"/>
      <c r="BC3759" s="1838"/>
      <c r="BD3759" s="1838"/>
      <c r="BE3759" s="1838"/>
      <c r="BF3759" s="1838"/>
      <c r="BG3759" s="1838"/>
      <c r="BH3759" s="1838"/>
      <c r="BI3759" s="1838"/>
      <c r="BJ3759" s="1838"/>
      <c r="BK3759" s="1838"/>
      <c r="BL3759" s="1838"/>
      <c r="BM3759" s="1838"/>
      <c r="BN3759" s="1838"/>
      <c r="BO3759" s="1838"/>
      <c r="BP3759" s="1838"/>
      <c r="BQ3759" s="1838"/>
      <c r="BR3759" s="1838"/>
      <c r="BS3759" s="1838"/>
      <c r="BT3759" s="1838"/>
      <c r="BU3759" s="1838"/>
      <c r="BV3759" s="1838"/>
      <c r="BW3759" s="1838"/>
      <c r="BX3759" s="1838"/>
      <c r="BY3759" s="1838"/>
      <c r="BZ3759" s="1838"/>
      <c r="CA3759" s="1838"/>
      <c r="CB3759" s="1838"/>
      <c r="CC3759" s="1838"/>
      <c r="CD3759" s="1838"/>
      <c r="CE3759" s="1838"/>
      <c r="CF3759" s="1838"/>
      <c r="CG3759" s="1838"/>
      <c r="CH3759" s="1838"/>
      <c r="CI3759" s="1838"/>
      <c r="CJ3759" s="1838"/>
      <c r="CK3759" s="1838"/>
    </row>
    <row r="3760" spans="1:89" s="1204" customFormat="1" ht="16.5" customHeight="1" x14ac:dyDescent="0.25">
      <c r="A3760" s="710">
        <v>5</v>
      </c>
      <c r="B3760" s="1016" t="s">
        <v>1302</v>
      </c>
      <c r="C3760" s="1017">
        <v>1</v>
      </c>
      <c r="D3760" s="1018" t="s">
        <v>16</v>
      </c>
      <c r="E3760" s="1025">
        <v>174325</v>
      </c>
      <c r="F3760" s="758"/>
      <c r="G3760" s="758"/>
      <c r="H3760" s="700"/>
      <c r="I3760" s="700">
        <f t="shared" si="411"/>
        <v>174325</v>
      </c>
      <c r="J3760" s="758"/>
      <c r="K3760" s="700">
        <f t="shared" si="407"/>
        <v>174325</v>
      </c>
      <c r="L3760" s="758"/>
      <c r="M3760" s="758"/>
      <c r="N3760" s="700"/>
      <c r="O3760" s="974">
        <f t="shared" si="409"/>
        <v>174325</v>
      </c>
      <c r="P3760" s="1202"/>
      <c r="Q3760" s="1838"/>
      <c r="R3760" s="1838"/>
      <c r="S3760" s="1838"/>
      <c r="T3760" s="1838"/>
      <c r="U3760" s="1838"/>
      <c r="V3760" s="1838"/>
      <c r="W3760" s="1838"/>
      <c r="X3760" s="1838"/>
      <c r="Y3760" s="1838"/>
      <c r="Z3760" s="1838"/>
      <c r="AA3760" s="1838"/>
      <c r="AB3760" s="1838"/>
      <c r="AC3760" s="1838"/>
      <c r="AD3760" s="1838"/>
      <c r="AE3760" s="1838"/>
      <c r="AF3760" s="1838"/>
      <c r="AG3760" s="1838"/>
      <c r="AH3760" s="1838"/>
      <c r="AI3760" s="1838"/>
      <c r="AJ3760" s="1838"/>
      <c r="AK3760" s="1838"/>
      <c r="AL3760" s="1838"/>
      <c r="AM3760" s="1838"/>
      <c r="AN3760" s="1838"/>
      <c r="AO3760" s="1838"/>
      <c r="AP3760" s="1838"/>
      <c r="AQ3760" s="1838"/>
      <c r="AR3760" s="1838"/>
      <c r="AS3760" s="1838"/>
      <c r="AT3760" s="1838"/>
      <c r="AU3760" s="1838"/>
      <c r="AV3760" s="1838"/>
      <c r="AW3760" s="1838"/>
      <c r="AX3760" s="1838"/>
      <c r="AY3760" s="1838"/>
      <c r="AZ3760" s="1838"/>
      <c r="BA3760" s="1838"/>
      <c r="BB3760" s="1838"/>
      <c r="BC3760" s="1838"/>
      <c r="BD3760" s="1838"/>
      <c r="BE3760" s="1838"/>
      <c r="BF3760" s="1838"/>
      <c r="BG3760" s="1838"/>
      <c r="BH3760" s="1838"/>
      <c r="BI3760" s="1838"/>
      <c r="BJ3760" s="1838"/>
      <c r="BK3760" s="1838"/>
      <c r="BL3760" s="1838"/>
      <c r="BM3760" s="1838"/>
      <c r="BN3760" s="1838"/>
      <c r="BO3760" s="1838"/>
      <c r="BP3760" s="1838"/>
      <c r="BQ3760" s="1838"/>
      <c r="BR3760" s="1838"/>
      <c r="BS3760" s="1838"/>
      <c r="BT3760" s="1838"/>
      <c r="BU3760" s="1838"/>
      <c r="BV3760" s="1838"/>
      <c r="BW3760" s="1838"/>
      <c r="BX3760" s="1838"/>
      <c r="BY3760" s="1838"/>
      <c r="BZ3760" s="1838"/>
      <c r="CA3760" s="1838"/>
      <c r="CB3760" s="1838"/>
      <c r="CC3760" s="1838"/>
      <c r="CD3760" s="1838"/>
      <c r="CE3760" s="1838"/>
      <c r="CF3760" s="1838"/>
      <c r="CG3760" s="1838"/>
      <c r="CH3760" s="1838"/>
      <c r="CI3760" s="1838"/>
      <c r="CJ3760" s="1838"/>
      <c r="CK3760" s="1838"/>
    </row>
    <row r="3761" spans="1:89" s="1204" customFormat="1" ht="16.5" customHeight="1" x14ac:dyDescent="0.25">
      <c r="A3761" s="697">
        <v>6</v>
      </c>
      <c r="B3761" s="1016" t="s">
        <v>1303</v>
      </c>
      <c r="C3761" s="1017">
        <v>1</v>
      </c>
      <c r="D3761" s="1018" t="s">
        <v>16</v>
      </c>
      <c r="E3761" s="1025">
        <v>180000</v>
      </c>
      <c r="F3761" s="758"/>
      <c r="G3761" s="758"/>
      <c r="H3761" s="700"/>
      <c r="I3761" s="758">
        <f t="shared" si="411"/>
        <v>180000</v>
      </c>
      <c r="J3761" s="758"/>
      <c r="K3761" s="700">
        <f t="shared" si="407"/>
        <v>180000</v>
      </c>
      <c r="L3761" s="758"/>
      <c r="M3761" s="758"/>
      <c r="N3761" s="700"/>
      <c r="O3761" s="974">
        <f t="shared" si="409"/>
        <v>180000</v>
      </c>
      <c r="P3761" s="1202"/>
      <c r="Q3761" s="1838"/>
      <c r="R3761" s="1838"/>
      <c r="S3761" s="1838"/>
      <c r="T3761" s="1838"/>
      <c r="U3761" s="1838"/>
      <c r="V3761" s="1838"/>
      <c r="W3761" s="1838"/>
      <c r="X3761" s="1838"/>
      <c r="Y3761" s="1838"/>
      <c r="Z3761" s="1838"/>
      <c r="AA3761" s="1838"/>
      <c r="AB3761" s="1838"/>
      <c r="AC3761" s="1838"/>
      <c r="AD3761" s="1838"/>
      <c r="AE3761" s="1838"/>
      <c r="AF3761" s="1838"/>
      <c r="AG3761" s="1838"/>
      <c r="AH3761" s="1838"/>
      <c r="AI3761" s="1838"/>
      <c r="AJ3761" s="1838"/>
      <c r="AK3761" s="1838"/>
      <c r="AL3761" s="1838"/>
      <c r="AM3761" s="1838"/>
      <c r="AN3761" s="1838"/>
      <c r="AO3761" s="1838"/>
      <c r="AP3761" s="1838"/>
      <c r="AQ3761" s="1838"/>
      <c r="AR3761" s="1838"/>
      <c r="AS3761" s="1838"/>
      <c r="AT3761" s="1838"/>
      <c r="AU3761" s="1838"/>
      <c r="AV3761" s="1838"/>
      <c r="AW3761" s="1838"/>
      <c r="AX3761" s="1838"/>
      <c r="AY3761" s="1838"/>
      <c r="AZ3761" s="1838"/>
      <c r="BA3761" s="1838"/>
      <c r="BB3761" s="1838"/>
      <c r="BC3761" s="1838"/>
      <c r="BD3761" s="1838"/>
      <c r="BE3761" s="1838"/>
      <c r="BF3761" s="1838"/>
      <c r="BG3761" s="1838"/>
      <c r="BH3761" s="1838"/>
      <c r="BI3761" s="1838"/>
      <c r="BJ3761" s="1838"/>
      <c r="BK3761" s="1838"/>
      <c r="BL3761" s="1838"/>
      <c r="BM3761" s="1838"/>
      <c r="BN3761" s="1838"/>
      <c r="BO3761" s="1838"/>
      <c r="BP3761" s="1838"/>
      <c r="BQ3761" s="1838"/>
      <c r="BR3761" s="1838"/>
      <c r="BS3761" s="1838"/>
      <c r="BT3761" s="1838"/>
      <c r="BU3761" s="1838"/>
      <c r="BV3761" s="1838"/>
      <c r="BW3761" s="1838"/>
      <c r="BX3761" s="1838"/>
      <c r="BY3761" s="1838"/>
      <c r="BZ3761" s="1838"/>
      <c r="CA3761" s="1838"/>
      <c r="CB3761" s="1838"/>
      <c r="CC3761" s="1838"/>
      <c r="CD3761" s="1838"/>
      <c r="CE3761" s="1838"/>
      <c r="CF3761" s="1838"/>
      <c r="CG3761" s="1838"/>
      <c r="CH3761" s="1838"/>
      <c r="CI3761" s="1838"/>
      <c r="CJ3761" s="1838"/>
      <c r="CK3761" s="1838"/>
    </row>
    <row r="3762" spans="1:89" s="1204" customFormat="1" ht="16.5" customHeight="1" x14ac:dyDescent="0.25">
      <c r="A3762" s="697">
        <v>7</v>
      </c>
      <c r="B3762" s="1016" t="s">
        <v>1304</v>
      </c>
      <c r="C3762" s="1017">
        <v>1</v>
      </c>
      <c r="D3762" s="1018" t="s">
        <v>16</v>
      </c>
      <c r="E3762" s="1025">
        <v>75000</v>
      </c>
      <c r="F3762" s="758"/>
      <c r="G3762" s="758"/>
      <c r="H3762" s="700"/>
      <c r="I3762" s="758">
        <f t="shared" si="411"/>
        <v>75000</v>
      </c>
      <c r="J3762" s="758"/>
      <c r="K3762" s="700">
        <f t="shared" si="407"/>
        <v>75000</v>
      </c>
      <c r="L3762" s="758"/>
      <c r="M3762" s="758"/>
      <c r="N3762" s="700"/>
      <c r="O3762" s="974">
        <f t="shared" si="409"/>
        <v>75000</v>
      </c>
      <c r="P3762" s="1202"/>
      <c r="Q3762" s="1838"/>
      <c r="R3762" s="1838"/>
      <c r="S3762" s="1838"/>
      <c r="T3762" s="1838"/>
      <c r="U3762" s="1838"/>
      <c r="V3762" s="1838"/>
      <c r="W3762" s="1838"/>
      <c r="X3762" s="1838"/>
      <c r="Y3762" s="1838"/>
      <c r="Z3762" s="1838"/>
      <c r="AA3762" s="1838"/>
      <c r="AB3762" s="1838"/>
      <c r="AC3762" s="1838"/>
      <c r="AD3762" s="1838"/>
      <c r="AE3762" s="1838"/>
      <c r="AF3762" s="1838"/>
      <c r="AG3762" s="1838"/>
      <c r="AH3762" s="1838"/>
      <c r="AI3762" s="1838"/>
      <c r="AJ3762" s="1838"/>
      <c r="AK3762" s="1838"/>
      <c r="AL3762" s="1838"/>
      <c r="AM3762" s="1838"/>
      <c r="AN3762" s="1838"/>
      <c r="AO3762" s="1838"/>
      <c r="AP3762" s="1838"/>
      <c r="AQ3762" s="1838"/>
      <c r="AR3762" s="1838"/>
      <c r="AS3762" s="1838"/>
      <c r="AT3762" s="1838"/>
      <c r="AU3762" s="1838"/>
      <c r="AV3762" s="1838"/>
      <c r="AW3762" s="1838"/>
      <c r="AX3762" s="1838"/>
      <c r="AY3762" s="1838"/>
      <c r="AZ3762" s="1838"/>
      <c r="BA3762" s="1838"/>
      <c r="BB3762" s="1838"/>
      <c r="BC3762" s="1838"/>
      <c r="BD3762" s="1838"/>
      <c r="BE3762" s="1838"/>
      <c r="BF3762" s="1838"/>
      <c r="BG3762" s="1838"/>
      <c r="BH3762" s="1838"/>
      <c r="BI3762" s="1838"/>
      <c r="BJ3762" s="1838"/>
      <c r="BK3762" s="1838"/>
      <c r="BL3762" s="1838"/>
      <c r="BM3762" s="1838"/>
      <c r="BN3762" s="1838"/>
      <c r="BO3762" s="1838"/>
      <c r="BP3762" s="1838"/>
      <c r="BQ3762" s="1838"/>
      <c r="BR3762" s="1838"/>
      <c r="BS3762" s="1838"/>
      <c r="BT3762" s="1838"/>
      <c r="BU3762" s="1838"/>
      <c r="BV3762" s="1838"/>
      <c r="BW3762" s="1838"/>
      <c r="BX3762" s="1838"/>
      <c r="BY3762" s="1838"/>
      <c r="BZ3762" s="1838"/>
      <c r="CA3762" s="1838"/>
      <c r="CB3762" s="1838"/>
      <c r="CC3762" s="1838"/>
      <c r="CD3762" s="1838"/>
      <c r="CE3762" s="1838"/>
      <c r="CF3762" s="1838"/>
      <c r="CG3762" s="1838"/>
      <c r="CH3762" s="1838"/>
      <c r="CI3762" s="1838"/>
      <c r="CJ3762" s="1838"/>
      <c r="CK3762" s="1838"/>
    </row>
    <row r="3763" spans="1:89" s="744" customFormat="1" ht="16.5" customHeight="1" x14ac:dyDescent="0.25">
      <c r="A3763" s="710"/>
      <c r="B3763" s="1016"/>
      <c r="C3763" s="1017"/>
      <c r="D3763" s="1018"/>
      <c r="E3763" s="1025"/>
      <c r="F3763" s="758"/>
      <c r="G3763" s="758"/>
      <c r="H3763" s="700">
        <f t="shared" si="406"/>
        <v>0</v>
      </c>
      <c r="I3763" s="758">
        <f t="shared" si="411"/>
        <v>0</v>
      </c>
      <c r="J3763" s="758"/>
      <c r="K3763" s="700">
        <f t="shared" si="407"/>
        <v>0</v>
      </c>
      <c r="L3763" s="758"/>
      <c r="M3763" s="758"/>
      <c r="N3763" s="700">
        <f t="shared" si="408"/>
        <v>0</v>
      </c>
      <c r="O3763" s="974">
        <f t="shared" si="409"/>
        <v>0</v>
      </c>
      <c r="P3763" s="956"/>
      <c r="Q3763" s="1821"/>
      <c r="R3763" s="1821"/>
      <c r="S3763" s="1821"/>
      <c r="T3763" s="1821"/>
      <c r="U3763" s="1821"/>
      <c r="V3763" s="1821"/>
      <c r="W3763" s="1821"/>
      <c r="X3763" s="1821"/>
      <c r="Y3763" s="1821"/>
      <c r="Z3763" s="1821"/>
      <c r="AA3763" s="1821"/>
      <c r="AB3763" s="1821"/>
      <c r="AC3763" s="1821"/>
      <c r="AD3763" s="1821"/>
      <c r="AE3763" s="1821"/>
      <c r="AF3763" s="1821"/>
      <c r="AG3763" s="1821"/>
      <c r="AH3763" s="1821"/>
      <c r="AI3763" s="1821"/>
      <c r="AJ3763" s="1821"/>
      <c r="AK3763" s="1821"/>
      <c r="AL3763" s="1821"/>
      <c r="AM3763" s="1821"/>
      <c r="AN3763" s="1821"/>
      <c r="AO3763" s="1821"/>
      <c r="AP3763" s="1821"/>
      <c r="AQ3763" s="1821"/>
      <c r="AR3763" s="1821"/>
      <c r="AS3763" s="1821"/>
      <c r="AT3763" s="1821"/>
      <c r="AU3763" s="1821"/>
      <c r="AV3763" s="1821"/>
      <c r="AW3763" s="1821"/>
      <c r="AX3763" s="1821"/>
      <c r="AY3763" s="1821"/>
      <c r="AZ3763" s="1821"/>
      <c r="BA3763" s="1821"/>
      <c r="BB3763" s="1821"/>
      <c r="BC3763" s="1821"/>
      <c r="BD3763" s="1821"/>
      <c r="BE3763" s="1821"/>
      <c r="BF3763" s="1821"/>
      <c r="BG3763" s="1821"/>
      <c r="BH3763" s="1821"/>
      <c r="BI3763" s="1821"/>
      <c r="BJ3763" s="1821"/>
      <c r="BK3763" s="1821"/>
      <c r="BL3763" s="1821"/>
      <c r="BM3763" s="1821"/>
      <c r="BN3763" s="1821"/>
      <c r="BO3763" s="1821"/>
      <c r="BP3763" s="1821"/>
      <c r="BQ3763" s="1821"/>
      <c r="BR3763" s="1821"/>
      <c r="BS3763" s="1821"/>
      <c r="BT3763" s="1821"/>
      <c r="BU3763" s="1821"/>
      <c r="BV3763" s="1821"/>
      <c r="BW3763" s="1821"/>
      <c r="BX3763" s="1821"/>
      <c r="BY3763" s="1821"/>
      <c r="BZ3763" s="1821"/>
      <c r="CA3763" s="1821"/>
      <c r="CB3763" s="1821"/>
      <c r="CC3763" s="1821"/>
      <c r="CD3763" s="1821"/>
      <c r="CE3763" s="1821"/>
      <c r="CF3763" s="1821"/>
      <c r="CG3763" s="1821"/>
      <c r="CH3763" s="1821"/>
      <c r="CI3763" s="1821"/>
      <c r="CJ3763" s="1821"/>
      <c r="CK3763" s="1821"/>
    </row>
    <row r="3764" spans="1:89" s="744" customFormat="1" ht="16.5" customHeight="1" x14ac:dyDescent="0.25">
      <c r="A3764" s="697" t="s">
        <v>290</v>
      </c>
      <c r="B3764" s="1016" t="s">
        <v>291</v>
      </c>
      <c r="C3764" s="1017"/>
      <c r="D3764" s="1018"/>
      <c r="E3764" s="1025"/>
      <c r="F3764" s="758"/>
      <c r="G3764" s="758"/>
      <c r="H3764" s="700">
        <f t="shared" si="406"/>
        <v>0</v>
      </c>
      <c r="I3764" s="758">
        <f t="shared" si="411"/>
        <v>0</v>
      </c>
      <c r="J3764" s="758"/>
      <c r="K3764" s="700">
        <f t="shared" si="407"/>
        <v>0</v>
      </c>
      <c r="L3764" s="758"/>
      <c r="M3764" s="758"/>
      <c r="N3764" s="700">
        <f t="shared" si="408"/>
        <v>0</v>
      </c>
      <c r="O3764" s="974">
        <f t="shared" si="409"/>
        <v>0</v>
      </c>
      <c r="P3764" s="956"/>
      <c r="Q3764" s="1821"/>
      <c r="R3764" s="1821"/>
      <c r="S3764" s="1821"/>
      <c r="T3764" s="1821"/>
      <c r="U3764" s="1821"/>
      <c r="V3764" s="1821"/>
      <c r="W3764" s="1821"/>
      <c r="X3764" s="1821"/>
      <c r="Y3764" s="1821"/>
      <c r="Z3764" s="1821"/>
      <c r="AA3764" s="1821"/>
      <c r="AB3764" s="1821"/>
      <c r="AC3764" s="1821"/>
      <c r="AD3764" s="1821"/>
      <c r="AE3764" s="1821"/>
      <c r="AF3764" s="1821"/>
      <c r="AG3764" s="1821"/>
      <c r="AH3764" s="1821"/>
      <c r="AI3764" s="1821"/>
      <c r="AJ3764" s="1821"/>
      <c r="AK3764" s="1821"/>
      <c r="AL3764" s="1821"/>
      <c r="AM3764" s="1821"/>
      <c r="AN3764" s="1821"/>
      <c r="AO3764" s="1821"/>
      <c r="AP3764" s="1821"/>
      <c r="AQ3764" s="1821"/>
      <c r="AR3764" s="1821"/>
      <c r="AS3764" s="1821"/>
      <c r="AT3764" s="1821"/>
      <c r="AU3764" s="1821"/>
      <c r="AV3764" s="1821"/>
      <c r="AW3764" s="1821"/>
      <c r="AX3764" s="1821"/>
      <c r="AY3764" s="1821"/>
      <c r="AZ3764" s="1821"/>
      <c r="BA3764" s="1821"/>
      <c r="BB3764" s="1821"/>
      <c r="BC3764" s="1821"/>
      <c r="BD3764" s="1821"/>
      <c r="BE3764" s="1821"/>
      <c r="BF3764" s="1821"/>
      <c r="BG3764" s="1821"/>
      <c r="BH3764" s="1821"/>
      <c r="BI3764" s="1821"/>
      <c r="BJ3764" s="1821"/>
      <c r="BK3764" s="1821"/>
      <c r="BL3764" s="1821"/>
      <c r="BM3764" s="1821"/>
      <c r="BN3764" s="1821"/>
      <c r="BO3764" s="1821"/>
      <c r="BP3764" s="1821"/>
      <c r="BQ3764" s="1821"/>
      <c r="BR3764" s="1821"/>
      <c r="BS3764" s="1821"/>
      <c r="BT3764" s="1821"/>
      <c r="BU3764" s="1821"/>
      <c r="BV3764" s="1821"/>
      <c r="BW3764" s="1821"/>
      <c r="BX3764" s="1821"/>
      <c r="BY3764" s="1821"/>
      <c r="BZ3764" s="1821"/>
      <c r="CA3764" s="1821"/>
      <c r="CB3764" s="1821"/>
      <c r="CC3764" s="1821"/>
      <c r="CD3764" s="1821"/>
      <c r="CE3764" s="1821"/>
      <c r="CF3764" s="1821"/>
      <c r="CG3764" s="1821"/>
      <c r="CH3764" s="1821"/>
      <c r="CI3764" s="1821"/>
      <c r="CJ3764" s="1821"/>
      <c r="CK3764" s="1821"/>
    </row>
    <row r="3765" spans="1:89" s="744" customFormat="1" ht="16.5" customHeight="1" x14ac:dyDescent="0.25">
      <c r="A3765" s="697"/>
      <c r="B3765" s="1016" t="s">
        <v>292</v>
      </c>
      <c r="C3765" s="1017">
        <f>SUM(O3766:O3774)</f>
        <v>259265</v>
      </c>
      <c r="D3765" s="1018"/>
      <c r="E3765" s="1025"/>
      <c r="F3765" s="758"/>
      <c r="G3765" s="758"/>
      <c r="H3765" s="700">
        <f t="shared" si="406"/>
        <v>0</v>
      </c>
      <c r="I3765" s="758">
        <f t="shared" si="411"/>
        <v>0</v>
      </c>
      <c r="J3765" s="758"/>
      <c r="K3765" s="700">
        <f t="shared" si="407"/>
        <v>0</v>
      </c>
      <c r="L3765" s="758"/>
      <c r="M3765" s="758"/>
      <c r="N3765" s="700">
        <f t="shared" si="408"/>
        <v>0</v>
      </c>
      <c r="O3765" s="974">
        <f t="shared" si="409"/>
        <v>0</v>
      </c>
      <c r="P3765" s="956"/>
      <c r="Q3765" s="1821"/>
      <c r="R3765" s="1821"/>
      <c r="S3765" s="1821"/>
      <c r="T3765" s="1821"/>
      <c r="U3765" s="1821"/>
      <c r="V3765" s="1821"/>
      <c r="W3765" s="1821"/>
      <c r="X3765" s="1821"/>
      <c r="Y3765" s="1821"/>
      <c r="Z3765" s="1821"/>
      <c r="AA3765" s="1821"/>
      <c r="AB3765" s="1821"/>
      <c r="AC3765" s="1821"/>
      <c r="AD3765" s="1821"/>
      <c r="AE3765" s="1821"/>
      <c r="AF3765" s="1821"/>
      <c r="AG3765" s="1821"/>
      <c r="AH3765" s="1821"/>
      <c r="AI3765" s="1821"/>
      <c r="AJ3765" s="1821"/>
      <c r="AK3765" s="1821"/>
      <c r="AL3765" s="1821"/>
      <c r="AM3765" s="1821"/>
      <c r="AN3765" s="1821"/>
      <c r="AO3765" s="1821"/>
      <c r="AP3765" s="1821"/>
      <c r="AQ3765" s="1821"/>
      <c r="AR3765" s="1821"/>
      <c r="AS3765" s="1821"/>
      <c r="AT3765" s="1821"/>
      <c r="AU3765" s="1821"/>
      <c r="AV3765" s="1821"/>
      <c r="AW3765" s="1821"/>
      <c r="AX3765" s="1821"/>
      <c r="AY3765" s="1821"/>
      <c r="AZ3765" s="1821"/>
      <c r="BA3765" s="1821"/>
      <c r="BB3765" s="1821"/>
      <c r="BC3765" s="1821"/>
      <c r="BD3765" s="1821"/>
      <c r="BE3765" s="1821"/>
      <c r="BF3765" s="1821"/>
      <c r="BG3765" s="1821"/>
      <c r="BH3765" s="1821"/>
      <c r="BI3765" s="1821"/>
      <c r="BJ3765" s="1821"/>
      <c r="BK3765" s="1821"/>
      <c r="BL3765" s="1821"/>
      <c r="BM3765" s="1821"/>
      <c r="BN3765" s="1821"/>
      <c r="BO3765" s="1821"/>
      <c r="BP3765" s="1821"/>
      <c r="BQ3765" s="1821"/>
      <c r="BR3765" s="1821"/>
      <c r="BS3765" s="1821"/>
      <c r="BT3765" s="1821"/>
      <c r="BU3765" s="1821"/>
      <c r="BV3765" s="1821"/>
      <c r="BW3765" s="1821"/>
      <c r="BX3765" s="1821"/>
      <c r="BY3765" s="1821"/>
      <c r="BZ3765" s="1821"/>
      <c r="CA3765" s="1821"/>
      <c r="CB3765" s="1821"/>
      <c r="CC3765" s="1821"/>
      <c r="CD3765" s="1821"/>
      <c r="CE3765" s="1821"/>
      <c r="CF3765" s="1821"/>
      <c r="CG3765" s="1821"/>
      <c r="CH3765" s="1821"/>
      <c r="CI3765" s="1821"/>
      <c r="CJ3765" s="1821"/>
      <c r="CK3765" s="1821"/>
    </row>
    <row r="3766" spans="1:89" s="744" customFormat="1" ht="16.5" customHeight="1" x14ac:dyDescent="0.25">
      <c r="A3766" s="710">
        <v>1</v>
      </c>
      <c r="B3766" s="885" t="s">
        <v>293</v>
      </c>
      <c r="C3766" s="691">
        <v>1</v>
      </c>
      <c r="D3766" s="716" t="s">
        <v>47</v>
      </c>
      <c r="E3766" s="712">
        <v>65850</v>
      </c>
      <c r="F3766" s="712"/>
      <c r="G3766" s="712"/>
      <c r="H3766" s="700">
        <f t="shared" si="406"/>
        <v>0</v>
      </c>
      <c r="I3766" s="712">
        <f t="shared" si="411"/>
        <v>65850</v>
      </c>
      <c r="J3766" s="712"/>
      <c r="K3766" s="700">
        <f t="shared" si="407"/>
        <v>65850</v>
      </c>
      <c r="L3766" s="700"/>
      <c r="M3766" s="700"/>
      <c r="N3766" s="700">
        <f t="shared" si="408"/>
        <v>0</v>
      </c>
      <c r="O3766" s="974">
        <f t="shared" si="409"/>
        <v>65850</v>
      </c>
      <c r="P3766" s="956"/>
      <c r="Q3766" s="1821"/>
      <c r="R3766" s="1821"/>
      <c r="S3766" s="1821"/>
      <c r="T3766" s="1821"/>
      <c r="U3766" s="1821"/>
      <c r="V3766" s="1821"/>
      <c r="W3766" s="1821"/>
      <c r="X3766" s="1821"/>
      <c r="Y3766" s="1821"/>
      <c r="Z3766" s="1821"/>
      <c r="AA3766" s="1821"/>
      <c r="AB3766" s="1821"/>
      <c r="AC3766" s="1821"/>
      <c r="AD3766" s="1821"/>
      <c r="AE3766" s="1821"/>
      <c r="AF3766" s="1821"/>
      <c r="AG3766" s="1821"/>
      <c r="AH3766" s="1821"/>
      <c r="AI3766" s="1821"/>
      <c r="AJ3766" s="1821"/>
      <c r="AK3766" s="1821"/>
      <c r="AL3766" s="1821"/>
      <c r="AM3766" s="1821"/>
      <c r="AN3766" s="1821"/>
      <c r="AO3766" s="1821"/>
      <c r="AP3766" s="1821"/>
      <c r="AQ3766" s="1821"/>
      <c r="AR3766" s="1821"/>
      <c r="AS3766" s="1821"/>
      <c r="AT3766" s="1821"/>
      <c r="AU3766" s="1821"/>
      <c r="AV3766" s="1821"/>
      <c r="AW3766" s="1821"/>
      <c r="AX3766" s="1821"/>
      <c r="AY3766" s="1821"/>
      <c r="AZ3766" s="1821"/>
      <c r="BA3766" s="1821"/>
      <c r="BB3766" s="1821"/>
      <c r="BC3766" s="1821"/>
      <c r="BD3766" s="1821"/>
      <c r="BE3766" s="1821"/>
      <c r="BF3766" s="1821"/>
      <c r="BG3766" s="1821"/>
      <c r="BH3766" s="1821"/>
      <c r="BI3766" s="1821"/>
      <c r="BJ3766" s="1821"/>
      <c r="BK3766" s="1821"/>
      <c r="BL3766" s="1821"/>
      <c r="BM3766" s="1821"/>
      <c r="BN3766" s="1821"/>
      <c r="BO3766" s="1821"/>
      <c r="BP3766" s="1821"/>
      <c r="BQ3766" s="1821"/>
      <c r="BR3766" s="1821"/>
      <c r="BS3766" s="1821"/>
      <c r="BT3766" s="1821"/>
      <c r="BU3766" s="1821"/>
      <c r="BV3766" s="1821"/>
      <c r="BW3766" s="1821"/>
      <c r="BX3766" s="1821"/>
      <c r="BY3766" s="1821"/>
      <c r="BZ3766" s="1821"/>
      <c r="CA3766" s="1821"/>
      <c r="CB3766" s="1821"/>
      <c r="CC3766" s="1821"/>
      <c r="CD3766" s="1821"/>
      <c r="CE3766" s="1821"/>
      <c r="CF3766" s="1821"/>
      <c r="CG3766" s="1821"/>
      <c r="CH3766" s="1821"/>
      <c r="CI3766" s="1821"/>
      <c r="CJ3766" s="1821"/>
      <c r="CK3766" s="1821"/>
    </row>
    <row r="3767" spans="1:89" s="744" customFormat="1" ht="16.5" customHeight="1" x14ac:dyDescent="0.25">
      <c r="A3767" s="1026">
        <v>2</v>
      </c>
      <c r="B3767" s="1027" t="s">
        <v>295</v>
      </c>
      <c r="C3767" s="691">
        <v>20</v>
      </c>
      <c r="D3767" s="716" t="s">
        <v>1305</v>
      </c>
      <c r="E3767" s="712">
        <v>630</v>
      </c>
      <c r="F3767" s="712"/>
      <c r="G3767" s="712"/>
      <c r="H3767" s="700">
        <f t="shared" si="406"/>
        <v>0</v>
      </c>
      <c r="I3767" s="712">
        <f t="shared" si="411"/>
        <v>12600</v>
      </c>
      <c r="J3767" s="712"/>
      <c r="K3767" s="700">
        <f t="shared" si="407"/>
        <v>12600</v>
      </c>
      <c r="L3767" s="700"/>
      <c r="M3767" s="700"/>
      <c r="N3767" s="700">
        <f t="shared" si="408"/>
        <v>0</v>
      </c>
      <c r="O3767" s="974">
        <f t="shared" si="409"/>
        <v>12600</v>
      </c>
      <c r="P3767" s="956"/>
      <c r="Q3767" s="1821"/>
      <c r="R3767" s="1821"/>
      <c r="S3767" s="1821"/>
      <c r="T3767" s="1821"/>
      <c r="U3767" s="1821"/>
      <c r="V3767" s="1821"/>
      <c r="W3767" s="1821"/>
      <c r="X3767" s="1821"/>
      <c r="Y3767" s="1821"/>
      <c r="Z3767" s="1821"/>
      <c r="AA3767" s="1821"/>
      <c r="AB3767" s="1821"/>
      <c r="AC3767" s="1821"/>
      <c r="AD3767" s="1821"/>
      <c r="AE3767" s="1821"/>
      <c r="AF3767" s="1821"/>
      <c r="AG3767" s="1821"/>
      <c r="AH3767" s="1821"/>
      <c r="AI3767" s="1821"/>
      <c r="AJ3767" s="1821"/>
      <c r="AK3767" s="1821"/>
      <c r="AL3767" s="1821"/>
      <c r="AM3767" s="1821"/>
      <c r="AN3767" s="1821"/>
      <c r="AO3767" s="1821"/>
      <c r="AP3767" s="1821"/>
      <c r="AQ3767" s="1821"/>
      <c r="AR3767" s="1821"/>
      <c r="AS3767" s="1821"/>
      <c r="AT3767" s="1821"/>
      <c r="AU3767" s="1821"/>
      <c r="AV3767" s="1821"/>
      <c r="AW3767" s="1821"/>
      <c r="AX3767" s="1821"/>
      <c r="AY3767" s="1821"/>
      <c r="AZ3767" s="1821"/>
      <c r="BA3767" s="1821"/>
      <c r="BB3767" s="1821"/>
      <c r="BC3767" s="1821"/>
      <c r="BD3767" s="1821"/>
      <c r="BE3767" s="1821"/>
      <c r="BF3767" s="1821"/>
      <c r="BG3767" s="1821"/>
      <c r="BH3767" s="1821"/>
      <c r="BI3767" s="1821"/>
      <c r="BJ3767" s="1821"/>
      <c r="BK3767" s="1821"/>
      <c r="BL3767" s="1821"/>
      <c r="BM3767" s="1821"/>
      <c r="BN3767" s="1821"/>
      <c r="BO3767" s="1821"/>
      <c r="BP3767" s="1821"/>
      <c r="BQ3767" s="1821"/>
      <c r="BR3767" s="1821"/>
      <c r="BS3767" s="1821"/>
      <c r="BT3767" s="1821"/>
      <c r="BU3767" s="1821"/>
      <c r="BV3767" s="1821"/>
      <c r="BW3767" s="1821"/>
      <c r="BX3767" s="1821"/>
      <c r="BY3767" s="1821"/>
      <c r="BZ3767" s="1821"/>
      <c r="CA3767" s="1821"/>
      <c r="CB3767" s="1821"/>
      <c r="CC3767" s="1821"/>
      <c r="CD3767" s="1821"/>
      <c r="CE3767" s="1821"/>
      <c r="CF3767" s="1821"/>
      <c r="CG3767" s="1821"/>
      <c r="CH3767" s="1821"/>
      <c r="CI3767" s="1821"/>
      <c r="CJ3767" s="1821"/>
      <c r="CK3767" s="1821"/>
    </row>
    <row r="3768" spans="1:89" s="744" customFormat="1" ht="16.5" customHeight="1" x14ac:dyDescent="0.25">
      <c r="A3768" s="710">
        <v>3</v>
      </c>
      <c r="B3768" s="763" t="s">
        <v>296</v>
      </c>
      <c r="C3768" s="691">
        <v>33</v>
      </c>
      <c r="D3768" s="716" t="s">
        <v>1305</v>
      </c>
      <c r="E3768" s="712">
        <v>630</v>
      </c>
      <c r="F3768" s="712"/>
      <c r="G3768" s="712"/>
      <c r="H3768" s="700">
        <f t="shared" si="406"/>
        <v>0</v>
      </c>
      <c r="I3768" s="712">
        <f t="shared" si="411"/>
        <v>20790</v>
      </c>
      <c r="J3768" s="712"/>
      <c r="K3768" s="700">
        <f t="shared" si="407"/>
        <v>20790</v>
      </c>
      <c r="L3768" s="700"/>
      <c r="M3768" s="700"/>
      <c r="N3768" s="700">
        <f t="shared" si="408"/>
        <v>0</v>
      </c>
      <c r="O3768" s="974">
        <f t="shared" si="409"/>
        <v>20790</v>
      </c>
      <c r="P3768" s="956"/>
      <c r="Q3768" s="1821"/>
      <c r="R3768" s="1821"/>
      <c r="S3768" s="1821"/>
      <c r="T3768" s="1821"/>
      <c r="U3768" s="1821"/>
      <c r="V3768" s="1821"/>
      <c r="W3768" s="1821"/>
      <c r="X3768" s="1821"/>
      <c r="Y3768" s="1821"/>
      <c r="Z3768" s="1821"/>
      <c r="AA3768" s="1821"/>
      <c r="AB3768" s="1821"/>
      <c r="AC3768" s="1821"/>
      <c r="AD3768" s="1821"/>
      <c r="AE3768" s="1821"/>
      <c r="AF3768" s="1821"/>
      <c r="AG3768" s="1821"/>
      <c r="AH3768" s="1821"/>
      <c r="AI3768" s="1821"/>
      <c r="AJ3768" s="1821"/>
      <c r="AK3768" s="1821"/>
      <c r="AL3768" s="1821"/>
      <c r="AM3768" s="1821"/>
      <c r="AN3768" s="1821"/>
      <c r="AO3768" s="1821"/>
      <c r="AP3768" s="1821"/>
      <c r="AQ3768" s="1821"/>
      <c r="AR3768" s="1821"/>
      <c r="AS3768" s="1821"/>
      <c r="AT3768" s="1821"/>
      <c r="AU3768" s="1821"/>
      <c r="AV3768" s="1821"/>
      <c r="AW3768" s="1821"/>
      <c r="AX3768" s="1821"/>
      <c r="AY3768" s="1821"/>
      <c r="AZ3768" s="1821"/>
      <c r="BA3768" s="1821"/>
      <c r="BB3768" s="1821"/>
      <c r="BC3768" s="1821"/>
      <c r="BD3768" s="1821"/>
      <c r="BE3768" s="1821"/>
      <c r="BF3768" s="1821"/>
      <c r="BG3768" s="1821"/>
      <c r="BH3768" s="1821"/>
      <c r="BI3768" s="1821"/>
      <c r="BJ3768" s="1821"/>
      <c r="BK3768" s="1821"/>
      <c r="BL3768" s="1821"/>
      <c r="BM3768" s="1821"/>
      <c r="BN3768" s="1821"/>
      <c r="BO3768" s="1821"/>
      <c r="BP3768" s="1821"/>
      <c r="BQ3768" s="1821"/>
      <c r="BR3768" s="1821"/>
      <c r="BS3768" s="1821"/>
      <c r="BT3768" s="1821"/>
      <c r="BU3768" s="1821"/>
      <c r="BV3768" s="1821"/>
      <c r="BW3768" s="1821"/>
      <c r="BX3768" s="1821"/>
      <c r="BY3768" s="1821"/>
      <c r="BZ3768" s="1821"/>
      <c r="CA3768" s="1821"/>
      <c r="CB3768" s="1821"/>
      <c r="CC3768" s="1821"/>
      <c r="CD3768" s="1821"/>
      <c r="CE3768" s="1821"/>
      <c r="CF3768" s="1821"/>
      <c r="CG3768" s="1821"/>
      <c r="CH3768" s="1821"/>
      <c r="CI3768" s="1821"/>
      <c r="CJ3768" s="1821"/>
      <c r="CK3768" s="1821"/>
    </row>
    <row r="3769" spans="1:89" s="744" customFormat="1" ht="16.5" customHeight="1" x14ac:dyDescent="0.25">
      <c r="A3769" s="710">
        <v>4</v>
      </c>
      <c r="B3769" s="711" t="s">
        <v>297</v>
      </c>
      <c r="C3769" s="713">
        <v>15</v>
      </c>
      <c r="D3769" s="757" t="s">
        <v>1305</v>
      </c>
      <c r="E3769" s="714">
        <v>600</v>
      </c>
      <c r="F3769" s="714"/>
      <c r="G3769" s="714"/>
      <c r="H3769" s="700">
        <f t="shared" si="406"/>
        <v>0</v>
      </c>
      <c r="I3769" s="714">
        <f t="shared" si="411"/>
        <v>9000</v>
      </c>
      <c r="J3769" s="714"/>
      <c r="K3769" s="700">
        <f t="shared" si="407"/>
        <v>9000</v>
      </c>
      <c r="L3769" s="714"/>
      <c r="M3769" s="714"/>
      <c r="N3769" s="700">
        <f t="shared" si="408"/>
        <v>0</v>
      </c>
      <c r="O3769" s="974">
        <f t="shared" si="409"/>
        <v>9000</v>
      </c>
      <c r="P3769" s="956"/>
      <c r="Q3769" s="1821"/>
      <c r="R3769" s="1821"/>
      <c r="S3769" s="1821"/>
      <c r="T3769" s="1821"/>
      <c r="U3769" s="1821"/>
      <c r="V3769" s="1821"/>
      <c r="W3769" s="1821"/>
      <c r="X3769" s="1821"/>
      <c r="Y3769" s="1821"/>
      <c r="Z3769" s="1821"/>
      <c r="AA3769" s="1821"/>
      <c r="AB3769" s="1821"/>
      <c r="AC3769" s="1821"/>
      <c r="AD3769" s="1821"/>
      <c r="AE3769" s="1821"/>
      <c r="AF3769" s="1821"/>
      <c r="AG3769" s="1821"/>
      <c r="AH3769" s="1821"/>
      <c r="AI3769" s="1821"/>
      <c r="AJ3769" s="1821"/>
      <c r="AK3769" s="1821"/>
      <c r="AL3769" s="1821"/>
      <c r="AM3769" s="1821"/>
      <c r="AN3769" s="1821"/>
      <c r="AO3769" s="1821"/>
      <c r="AP3769" s="1821"/>
      <c r="AQ3769" s="1821"/>
      <c r="AR3769" s="1821"/>
      <c r="AS3769" s="1821"/>
      <c r="AT3769" s="1821"/>
      <c r="AU3769" s="1821"/>
      <c r="AV3769" s="1821"/>
      <c r="AW3769" s="1821"/>
      <c r="AX3769" s="1821"/>
      <c r="AY3769" s="1821"/>
      <c r="AZ3769" s="1821"/>
      <c r="BA3769" s="1821"/>
      <c r="BB3769" s="1821"/>
      <c r="BC3769" s="1821"/>
      <c r="BD3769" s="1821"/>
      <c r="BE3769" s="1821"/>
      <c r="BF3769" s="1821"/>
      <c r="BG3769" s="1821"/>
      <c r="BH3769" s="1821"/>
      <c r="BI3769" s="1821"/>
      <c r="BJ3769" s="1821"/>
      <c r="BK3769" s="1821"/>
      <c r="BL3769" s="1821"/>
      <c r="BM3769" s="1821"/>
      <c r="BN3769" s="1821"/>
      <c r="BO3769" s="1821"/>
      <c r="BP3769" s="1821"/>
      <c r="BQ3769" s="1821"/>
      <c r="BR3769" s="1821"/>
      <c r="BS3769" s="1821"/>
      <c r="BT3769" s="1821"/>
      <c r="BU3769" s="1821"/>
      <c r="BV3769" s="1821"/>
      <c r="BW3769" s="1821"/>
      <c r="BX3769" s="1821"/>
      <c r="BY3769" s="1821"/>
      <c r="BZ3769" s="1821"/>
      <c r="CA3769" s="1821"/>
      <c r="CB3769" s="1821"/>
      <c r="CC3769" s="1821"/>
      <c r="CD3769" s="1821"/>
      <c r="CE3769" s="1821"/>
      <c r="CF3769" s="1821"/>
      <c r="CG3769" s="1821"/>
      <c r="CH3769" s="1821"/>
      <c r="CI3769" s="1821"/>
      <c r="CJ3769" s="1821"/>
      <c r="CK3769" s="1821"/>
    </row>
    <row r="3770" spans="1:89" s="744" customFormat="1" ht="16.5" customHeight="1" x14ac:dyDescent="0.25">
      <c r="A3770" s="1012">
        <v>5</v>
      </c>
      <c r="B3770" s="1011" t="s">
        <v>298</v>
      </c>
      <c r="C3770" s="1007">
        <v>30</v>
      </c>
      <c r="D3770" s="1014" t="s">
        <v>1305</v>
      </c>
      <c r="E3770" s="1028">
        <v>630</v>
      </c>
      <c r="F3770" s="714"/>
      <c r="G3770" s="714"/>
      <c r="H3770" s="700">
        <f t="shared" si="406"/>
        <v>0</v>
      </c>
      <c r="I3770" s="714">
        <f t="shared" si="411"/>
        <v>18900</v>
      </c>
      <c r="J3770" s="714"/>
      <c r="K3770" s="700">
        <f t="shared" si="407"/>
        <v>18900</v>
      </c>
      <c r="L3770" s="714"/>
      <c r="M3770" s="714"/>
      <c r="N3770" s="700">
        <f t="shared" si="408"/>
        <v>0</v>
      </c>
      <c r="O3770" s="974">
        <f t="shared" si="409"/>
        <v>18900</v>
      </c>
      <c r="P3770" s="956"/>
      <c r="Q3770" s="1821"/>
      <c r="R3770" s="1821"/>
      <c r="S3770" s="1821"/>
      <c r="T3770" s="1821"/>
      <c r="U3770" s="1821"/>
      <c r="V3770" s="1821"/>
      <c r="W3770" s="1821"/>
      <c r="X3770" s="1821"/>
      <c r="Y3770" s="1821"/>
      <c r="Z3770" s="1821"/>
      <c r="AA3770" s="1821"/>
      <c r="AB3770" s="1821"/>
      <c r="AC3770" s="1821"/>
      <c r="AD3770" s="1821"/>
      <c r="AE3770" s="1821"/>
      <c r="AF3770" s="1821"/>
      <c r="AG3770" s="1821"/>
      <c r="AH3770" s="1821"/>
      <c r="AI3770" s="1821"/>
      <c r="AJ3770" s="1821"/>
      <c r="AK3770" s="1821"/>
      <c r="AL3770" s="1821"/>
      <c r="AM3770" s="1821"/>
      <c r="AN3770" s="1821"/>
      <c r="AO3770" s="1821"/>
      <c r="AP3770" s="1821"/>
      <c r="AQ3770" s="1821"/>
      <c r="AR3770" s="1821"/>
      <c r="AS3770" s="1821"/>
      <c r="AT3770" s="1821"/>
      <c r="AU3770" s="1821"/>
      <c r="AV3770" s="1821"/>
      <c r="AW3770" s="1821"/>
      <c r="AX3770" s="1821"/>
      <c r="AY3770" s="1821"/>
      <c r="AZ3770" s="1821"/>
      <c r="BA3770" s="1821"/>
      <c r="BB3770" s="1821"/>
      <c r="BC3770" s="1821"/>
      <c r="BD3770" s="1821"/>
      <c r="BE3770" s="1821"/>
      <c r="BF3770" s="1821"/>
      <c r="BG3770" s="1821"/>
      <c r="BH3770" s="1821"/>
      <c r="BI3770" s="1821"/>
      <c r="BJ3770" s="1821"/>
      <c r="BK3770" s="1821"/>
      <c r="BL3770" s="1821"/>
      <c r="BM3770" s="1821"/>
      <c r="BN3770" s="1821"/>
      <c r="BO3770" s="1821"/>
      <c r="BP3770" s="1821"/>
      <c r="BQ3770" s="1821"/>
      <c r="BR3770" s="1821"/>
      <c r="BS3770" s="1821"/>
      <c r="BT3770" s="1821"/>
      <c r="BU3770" s="1821"/>
      <c r="BV3770" s="1821"/>
      <c r="BW3770" s="1821"/>
      <c r="BX3770" s="1821"/>
      <c r="BY3770" s="1821"/>
      <c r="BZ3770" s="1821"/>
      <c r="CA3770" s="1821"/>
      <c r="CB3770" s="1821"/>
      <c r="CC3770" s="1821"/>
      <c r="CD3770" s="1821"/>
      <c r="CE3770" s="1821"/>
      <c r="CF3770" s="1821"/>
      <c r="CG3770" s="1821"/>
      <c r="CH3770" s="1821"/>
      <c r="CI3770" s="1821"/>
      <c r="CJ3770" s="1821"/>
      <c r="CK3770" s="1821"/>
    </row>
    <row r="3771" spans="1:89" s="1204" customFormat="1" ht="16.5" customHeight="1" x14ac:dyDescent="0.25">
      <c r="A3771" s="710">
        <v>6</v>
      </c>
      <c r="B3771" s="711" t="s">
        <v>1078</v>
      </c>
      <c r="C3771" s="713">
        <f>19+1</f>
        <v>20</v>
      </c>
      <c r="D3771" s="757" t="s">
        <v>1305</v>
      </c>
      <c r="E3771" s="714">
        <f>530+155</f>
        <v>685</v>
      </c>
      <c r="F3771" s="714"/>
      <c r="G3771" s="714"/>
      <c r="H3771" s="700">
        <f t="shared" si="406"/>
        <v>0</v>
      </c>
      <c r="I3771" s="714">
        <f t="shared" si="411"/>
        <v>13700</v>
      </c>
      <c r="J3771" s="714"/>
      <c r="K3771" s="700">
        <f t="shared" si="407"/>
        <v>13700</v>
      </c>
      <c r="L3771" s="714"/>
      <c r="M3771" s="714"/>
      <c r="N3771" s="700">
        <f t="shared" si="408"/>
        <v>0</v>
      </c>
      <c r="O3771" s="974">
        <f t="shared" si="409"/>
        <v>13700</v>
      </c>
      <c r="P3771" s="1202"/>
      <c r="Q3771" s="1838"/>
      <c r="R3771" s="1838"/>
      <c r="S3771" s="1838"/>
      <c r="T3771" s="1838"/>
      <c r="U3771" s="1838"/>
      <c r="V3771" s="1838"/>
      <c r="W3771" s="1838"/>
      <c r="X3771" s="1838"/>
      <c r="Y3771" s="1838"/>
      <c r="Z3771" s="1838"/>
      <c r="AA3771" s="1838"/>
      <c r="AB3771" s="1838"/>
      <c r="AC3771" s="1838"/>
      <c r="AD3771" s="1838"/>
      <c r="AE3771" s="1838"/>
      <c r="AF3771" s="1838"/>
      <c r="AG3771" s="1838"/>
      <c r="AH3771" s="1838"/>
      <c r="AI3771" s="1838"/>
      <c r="AJ3771" s="1838"/>
      <c r="AK3771" s="1838"/>
      <c r="AL3771" s="1838"/>
      <c r="AM3771" s="1838"/>
      <c r="AN3771" s="1838"/>
      <c r="AO3771" s="1838"/>
      <c r="AP3771" s="1838"/>
      <c r="AQ3771" s="1838"/>
      <c r="AR3771" s="1838"/>
      <c r="AS3771" s="1838"/>
      <c r="AT3771" s="1838"/>
      <c r="AU3771" s="1838"/>
      <c r="AV3771" s="1838"/>
      <c r="AW3771" s="1838"/>
      <c r="AX3771" s="1838"/>
      <c r="AY3771" s="1838"/>
      <c r="AZ3771" s="1838"/>
      <c r="BA3771" s="1838"/>
      <c r="BB3771" s="1838"/>
      <c r="BC3771" s="1838"/>
      <c r="BD3771" s="1838"/>
      <c r="BE3771" s="1838"/>
      <c r="BF3771" s="1838"/>
      <c r="BG3771" s="1838"/>
      <c r="BH3771" s="1838"/>
      <c r="BI3771" s="1838"/>
      <c r="BJ3771" s="1838"/>
      <c r="BK3771" s="1838"/>
      <c r="BL3771" s="1838"/>
      <c r="BM3771" s="1838"/>
      <c r="BN3771" s="1838"/>
      <c r="BO3771" s="1838"/>
      <c r="BP3771" s="1838"/>
      <c r="BQ3771" s="1838"/>
      <c r="BR3771" s="1838"/>
      <c r="BS3771" s="1838"/>
      <c r="BT3771" s="1838"/>
      <c r="BU3771" s="1838"/>
      <c r="BV3771" s="1838"/>
      <c r="BW3771" s="1838"/>
      <c r="BX3771" s="1838"/>
      <c r="BY3771" s="1838"/>
      <c r="BZ3771" s="1838"/>
      <c r="CA3771" s="1838"/>
      <c r="CB3771" s="1838"/>
      <c r="CC3771" s="1838"/>
      <c r="CD3771" s="1838"/>
      <c r="CE3771" s="1838"/>
      <c r="CF3771" s="1838"/>
      <c r="CG3771" s="1838"/>
      <c r="CH3771" s="1838"/>
      <c r="CI3771" s="1838"/>
      <c r="CJ3771" s="1838"/>
      <c r="CK3771" s="1838"/>
    </row>
    <row r="3772" spans="1:89" s="744" customFormat="1" ht="16.5" customHeight="1" x14ac:dyDescent="0.25">
      <c r="A3772" s="710">
        <v>7</v>
      </c>
      <c r="B3772" s="726" t="s">
        <v>299</v>
      </c>
      <c r="C3772" s="713">
        <v>37</v>
      </c>
      <c r="D3772" s="1014" t="s">
        <v>1305</v>
      </c>
      <c r="E3772" s="1028">
        <v>750</v>
      </c>
      <c r="F3772" s="714"/>
      <c r="G3772" s="714"/>
      <c r="H3772" s="700">
        <f t="shared" si="406"/>
        <v>0</v>
      </c>
      <c r="I3772" s="714">
        <f t="shared" si="411"/>
        <v>27750</v>
      </c>
      <c r="J3772" s="714"/>
      <c r="K3772" s="700">
        <f t="shared" si="407"/>
        <v>27750</v>
      </c>
      <c r="L3772" s="714"/>
      <c r="M3772" s="714"/>
      <c r="N3772" s="700">
        <f t="shared" si="408"/>
        <v>0</v>
      </c>
      <c r="O3772" s="974">
        <f t="shared" si="409"/>
        <v>27750</v>
      </c>
      <c r="P3772" s="956"/>
      <c r="Q3772" s="1821"/>
      <c r="R3772" s="1821"/>
      <c r="S3772" s="1821"/>
      <c r="T3772" s="1821"/>
      <c r="U3772" s="1821"/>
      <c r="V3772" s="1821"/>
      <c r="W3772" s="1821"/>
      <c r="X3772" s="1821"/>
      <c r="Y3772" s="1821"/>
      <c r="Z3772" s="1821"/>
      <c r="AA3772" s="1821"/>
      <c r="AB3772" s="1821"/>
      <c r="AC3772" s="1821"/>
      <c r="AD3772" s="1821"/>
      <c r="AE3772" s="1821"/>
      <c r="AF3772" s="1821"/>
      <c r="AG3772" s="1821"/>
      <c r="AH3772" s="1821"/>
      <c r="AI3772" s="1821"/>
      <c r="AJ3772" s="1821"/>
      <c r="AK3772" s="1821"/>
      <c r="AL3772" s="1821"/>
      <c r="AM3772" s="1821"/>
      <c r="AN3772" s="1821"/>
      <c r="AO3772" s="1821"/>
      <c r="AP3772" s="1821"/>
      <c r="AQ3772" s="1821"/>
      <c r="AR3772" s="1821"/>
      <c r="AS3772" s="1821"/>
      <c r="AT3772" s="1821"/>
      <c r="AU3772" s="1821"/>
      <c r="AV3772" s="1821"/>
      <c r="AW3772" s="1821"/>
      <c r="AX3772" s="1821"/>
      <c r="AY3772" s="1821"/>
      <c r="AZ3772" s="1821"/>
      <c r="BA3772" s="1821"/>
      <c r="BB3772" s="1821"/>
      <c r="BC3772" s="1821"/>
      <c r="BD3772" s="1821"/>
      <c r="BE3772" s="1821"/>
      <c r="BF3772" s="1821"/>
      <c r="BG3772" s="1821"/>
      <c r="BH3772" s="1821"/>
      <c r="BI3772" s="1821"/>
      <c r="BJ3772" s="1821"/>
      <c r="BK3772" s="1821"/>
      <c r="BL3772" s="1821"/>
      <c r="BM3772" s="1821"/>
      <c r="BN3772" s="1821"/>
      <c r="BO3772" s="1821"/>
      <c r="BP3772" s="1821"/>
      <c r="BQ3772" s="1821"/>
      <c r="BR3772" s="1821"/>
      <c r="BS3772" s="1821"/>
      <c r="BT3772" s="1821"/>
      <c r="BU3772" s="1821"/>
      <c r="BV3772" s="1821"/>
      <c r="BW3772" s="1821"/>
      <c r="BX3772" s="1821"/>
      <c r="BY3772" s="1821"/>
      <c r="BZ3772" s="1821"/>
      <c r="CA3772" s="1821"/>
      <c r="CB3772" s="1821"/>
      <c r="CC3772" s="1821"/>
      <c r="CD3772" s="1821"/>
      <c r="CE3772" s="1821"/>
      <c r="CF3772" s="1821"/>
      <c r="CG3772" s="1821"/>
      <c r="CH3772" s="1821"/>
      <c r="CI3772" s="1821"/>
      <c r="CJ3772" s="1821"/>
      <c r="CK3772" s="1821"/>
    </row>
    <row r="3773" spans="1:89" s="1204" customFormat="1" ht="16.5" customHeight="1" x14ac:dyDescent="0.25">
      <c r="A3773" s="1012">
        <v>8</v>
      </c>
      <c r="B3773" s="1013" t="s">
        <v>300</v>
      </c>
      <c r="C3773" s="1007">
        <v>1</v>
      </c>
      <c r="D3773" s="1014" t="s">
        <v>47</v>
      </c>
      <c r="E3773" s="955">
        <f>8500+2190</f>
        <v>10690</v>
      </c>
      <c r="F3773" s="714"/>
      <c r="G3773" s="714"/>
      <c r="H3773" s="700">
        <f t="shared" si="406"/>
        <v>0</v>
      </c>
      <c r="I3773" s="714">
        <f t="shared" si="411"/>
        <v>10690</v>
      </c>
      <c r="J3773" s="714"/>
      <c r="K3773" s="700">
        <f t="shared" si="407"/>
        <v>10690</v>
      </c>
      <c r="L3773" s="714"/>
      <c r="M3773" s="714"/>
      <c r="N3773" s="700">
        <f t="shared" si="408"/>
        <v>0</v>
      </c>
      <c r="O3773" s="974">
        <f t="shared" si="409"/>
        <v>10690</v>
      </c>
      <c r="P3773" s="1202"/>
      <c r="Q3773" s="1838"/>
      <c r="R3773" s="1838"/>
      <c r="S3773" s="1838"/>
      <c r="T3773" s="1838"/>
      <c r="U3773" s="1838"/>
      <c r="V3773" s="1838"/>
      <c r="W3773" s="1838"/>
      <c r="X3773" s="1838"/>
      <c r="Y3773" s="1838"/>
      <c r="Z3773" s="1838"/>
      <c r="AA3773" s="1838"/>
      <c r="AB3773" s="1838"/>
      <c r="AC3773" s="1838"/>
      <c r="AD3773" s="1838"/>
      <c r="AE3773" s="1838"/>
      <c r="AF3773" s="1838"/>
      <c r="AG3773" s="1838"/>
      <c r="AH3773" s="1838"/>
      <c r="AI3773" s="1838"/>
      <c r="AJ3773" s="1838"/>
      <c r="AK3773" s="1838"/>
      <c r="AL3773" s="1838"/>
      <c r="AM3773" s="1838"/>
      <c r="AN3773" s="1838"/>
      <c r="AO3773" s="1838"/>
      <c r="AP3773" s="1838"/>
      <c r="AQ3773" s="1838"/>
      <c r="AR3773" s="1838"/>
      <c r="AS3773" s="1838"/>
      <c r="AT3773" s="1838"/>
      <c r="AU3773" s="1838"/>
      <c r="AV3773" s="1838"/>
      <c r="AW3773" s="1838"/>
      <c r="AX3773" s="1838"/>
      <c r="AY3773" s="1838"/>
      <c r="AZ3773" s="1838"/>
      <c r="BA3773" s="1838"/>
      <c r="BB3773" s="1838"/>
      <c r="BC3773" s="1838"/>
      <c r="BD3773" s="1838"/>
      <c r="BE3773" s="1838"/>
      <c r="BF3773" s="1838"/>
      <c r="BG3773" s="1838"/>
      <c r="BH3773" s="1838"/>
      <c r="BI3773" s="1838"/>
      <c r="BJ3773" s="1838"/>
      <c r="BK3773" s="1838"/>
      <c r="BL3773" s="1838"/>
      <c r="BM3773" s="1838"/>
      <c r="BN3773" s="1838"/>
      <c r="BO3773" s="1838"/>
      <c r="BP3773" s="1838"/>
      <c r="BQ3773" s="1838"/>
      <c r="BR3773" s="1838"/>
      <c r="BS3773" s="1838"/>
      <c r="BT3773" s="1838"/>
      <c r="BU3773" s="1838"/>
      <c r="BV3773" s="1838"/>
      <c r="BW3773" s="1838"/>
      <c r="BX3773" s="1838"/>
      <c r="BY3773" s="1838"/>
      <c r="BZ3773" s="1838"/>
      <c r="CA3773" s="1838"/>
      <c r="CB3773" s="1838"/>
      <c r="CC3773" s="1838"/>
      <c r="CD3773" s="1838"/>
      <c r="CE3773" s="1838"/>
      <c r="CF3773" s="1838"/>
      <c r="CG3773" s="1838"/>
      <c r="CH3773" s="1838"/>
      <c r="CI3773" s="1838"/>
      <c r="CJ3773" s="1838"/>
      <c r="CK3773" s="1838"/>
    </row>
    <row r="3774" spans="1:89" s="744" customFormat="1" ht="16.5" customHeight="1" x14ac:dyDescent="0.25">
      <c r="A3774" s="710">
        <v>9</v>
      </c>
      <c r="B3774" s="1016" t="s">
        <v>301</v>
      </c>
      <c r="C3774" s="827">
        <v>1</v>
      </c>
      <c r="D3774" s="836" t="s">
        <v>47</v>
      </c>
      <c r="E3774" s="1028">
        <v>79985</v>
      </c>
      <c r="F3774" s="714"/>
      <c r="G3774" s="714"/>
      <c r="H3774" s="700">
        <f t="shared" si="406"/>
        <v>0</v>
      </c>
      <c r="I3774" s="714">
        <f t="shared" si="411"/>
        <v>79985</v>
      </c>
      <c r="J3774" s="714"/>
      <c r="K3774" s="700">
        <f t="shared" si="407"/>
        <v>79985</v>
      </c>
      <c r="L3774" s="714"/>
      <c r="M3774" s="714"/>
      <c r="N3774" s="700">
        <f t="shared" si="408"/>
        <v>0</v>
      </c>
      <c r="O3774" s="974">
        <f t="shared" si="409"/>
        <v>79985</v>
      </c>
      <c r="P3774" s="956"/>
      <c r="Q3774" s="1821"/>
      <c r="R3774" s="1821"/>
      <c r="S3774" s="1821"/>
      <c r="T3774" s="1821"/>
      <c r="U3774" s="1821"/>
      <c r="V3774" s="1821"/>
      <c r="W3774" s="1821"/>
      <c r="X3774" s="1821"/>
      <c r="Y3774" s="1821"/>
      <c r="Z3774" s="1821"/>
      <c r="AA3774" s="1821"/>
      <c r="AB3774" s="1821"/>
      <c r="AC3774" s="1821"/>
      <c r="AD3774" s="1821"/>
      <c r="AE3774" s="1821"/>
      <c r="AF3774" s="1821"/>
      <c r="AG3774" s="1821"/>
      <c r="AH3774" s="1821"/>
      <c r="AI3774" s="1821"/>
      <c r="AJ3774" s="1821"/>
      <c r="AK3774" s="1821"/>
      <c r="AL3774" s="1821"/>
      <c r="AM3774" s="1821"/>
      <c r="AN3774" s="1821"/>
      <c r="AO3774" s="1821"/>
      <c r="AP3774" s="1821"/>
      <c r="AQ3774" s="1821"/>
      <c r="AR3774" s="1821"/>
      <c r="AS3774" s="1821"/>
      <c r="AT3774" s="1821"/>
      <c r="AU3774" s="1821"/>
      <c r="AV3774" s="1821"/>
      <c r="AW3774" s="1821"/>
      <c r="AX3774" s="1821"/>
      <c r="AY3774" s="1821"/>
      <c r="AZ3774" s="1821"/>
      <c r="BA3774" s="1821"/>
      <c r="BB3774" s="1821"/>
      <c r="BC3774" s="1821"/>
      <c r="BD3774" s="1821"/>
      <c r="BE3774" s="1821"/>
      <c r="BF3774" s="1821"/>
      <c r="BG3774" s="1821"/>
      <c r="BH3774" s="1821"/>
      <c r="BI3774" s="1821"/>
      <c r="BJ3774" s="1821"/>
      <c r="BK3774" s="1821"/>
      <c r="BL3774" s="1821"/>
      <c r="BM3774" s="1821"/>
      <c r="BN3774" s="1821"/>
      <c r="BO3774" s="1821"/>
      <c r="BP3774" s="1821"/>
      <c r="BQ3774" s="1821"/>
      <c r="BR3774" s="1821"/>
      <c r="BS3774" s="1821"/>
      <c r="BT3774" s="1821"/>
      <c r="BU3774" s="1821"/>
      <c r="BV3774" s="1821"/>
      <c r="BW3774" s="1821"/>
      <c r="BX3774" s="1821"/>
      <c r="BY3774" s="1821"/>
      <c r="BZ3774" s="1821"/>
      <c r="CA3774" s="1821"/>
      <c r="CB3774" s="1821"/>
      <c r="CC3774" s="1821"/>
      <c r="CD3774" s="1821"/>
      <c r="CE3774" s="1821"/>
      <c r="CF3774" s="1821"/>
      <c r="CG3774" s="1821"/>
      <c r="CH3774" s="1821"/>
      <c r="CI3774" s="1821"/>
      <c r="CJ3774" s="1821"/>
      <c r="CK3774" s="1821"/>
    </row>
    <row r="3775" spans="1:89" s="744" customFormat="1" ht="16.5" customHeight="1" x14ac:dyDescent="0.25">
      <c r="A3775" s="710"/>
      <c r="B3775" s="1016"/>
      <c r="C3775" s="827"/>
      <c r="D3775" s="836"/>
      <c r="E3775" s="1028"/>
      <c r="F3775" s="714"/>
      <c r="G3775" s="714"/>
      <c r="H3775" s="700">
        <f t="shared" si="406"/>
        <v>0</v>
      </c>
      <c r="I3775" s="714">
        <f t="shared" si="411"/>
        <v>0</v>
      </c>
      <c r="J3775" s="714"/>
      <c r="K3775" s="700">
        <f t="shared" si="407"/>
        <v>0</v>
      </c>
      <c r="L3775" s="714"/>
      <c r="M3775" s="714"/>
      <c r="N3775" s="700">
        <f t="shared" si="408"/>
        <v>0</v>
      </c>
      <c r="O3775" s="974">
        <f t="shared" si="409"/>
        <v>0</v>
      </c>
      <c r="P3775" s="956"/>
      <c r="Q3775" s="1821"/>
      <c r="R3775" s="1821"/>
      <c r="S3775" s="1821"/>
      <c r="T3775" s="1821"/>
      <c r="U3775" s="1821"/>
      <c r="V3775" s="1821"/>
      <c r="W3775" s="1821"/>
      <c r="X3775" s="1821"/>
      <c r="Y3775" s="1821"/>
      <c r="Z3775" s="1821"/>
      <c r="AA3775" s="1821"/>
      <c r="AB3775" s="1821"/>
      <c r="AC3775" s="1821"/>
      <c r="AD3775" s="1821"/>
      <c r="AE3775" s="1821"/>
      <c r="AF3775" s="1821"/>
      <c r="AG3775" s="1821"/>
      <c r="AH3775" s="1821"/>
      <c r="AI3775" s="1821"/>
      <c r="AJ3775" s="1821"/>
      <c r="AK3775" s="1821"/>
      <c r="AL3775" s="1821"/>
      <c r="AM3775" s="1821"/>
      <c r="AN3775" s="1821"/>
      <c r="AO3775" s="1821"/>
      <c r="AP3775" s="1821"/>
      <c r="AQ3775" s="1821"/>
      <c r="AR3775" s="1821"/>
      <c r="AS3775" s="1821"/>
      <c r="AT3775" s="1821"/>
      <c r="AU3775" s="1821"/>
      <c r="AV3775" s="1821"/>
      <c r="AW3775" s="1821"/>
      <c r="AX3775" s="1821"/>
      <c r="AY3775" s="1821"/>
      <c r="AZ3775" s="1821"/>
      <c r="BA3775" s="1821"/>
      <c r="BB3775" s="1821"/>
      <c r="BC3775" s="1821"/>
      <c r="BD3775" s="1821"/>
      <c r="BE3775" s="1821"/>
      <c r="BF3775" s="1821"/>
      <c r="BG3775" s="1821"/>
      <c r="BH3775" s="1821"/>
      <c r="BI3775" s="1821"/>
      <c r="BJ3775" s="1821"/>
      <c r="BK3775" s="1821"/>
      <c r="BL3775" s="1821"/>
      <c r="BM3775" s="1821"/>
      <c r="BN3775" s="1821"/>
      <c r="BO3775" s="1821"/>
      <c r="BP3775" s="1821"/>
      <c r="BQ3775" s="1821"/>
      <c r="BR3775" s="1821"/>
      <c r="BS3775" s="1821"/>
      <c r="BT3775" s="1821"/>
      <c r="BU3775" s="1821"/>
      <c r="BV3775" s="1821"/>
      <c r="BW3775" s="1821"/>
      <c r="BX3775" s="1821"/>
      <c r="BY3775" s="1821"/>
      <c r="BZ3775" s="1821"/>
      <c r="CA3775" s="1821"/>
      <c r="CB3775" s="1821"/>
      <c r="CC3775" s="1821"/>
      <c r="CD3775" s="1821"/>
      <c r="CE3775" s="1821"/>
      <c r="CF3775" s="1821"/>
      <c r="CG3775" s="1821"/>
      <c r="CH3775" s="1821"/>
      <c r="CI3775" s="1821"/>
      <c r="CJ3775" s="1821"/>
      <c r="CK3775" s="1821"/>
    </row>
    <row r="3776" spans="1:89" s="744" customFormat="1" ht="16.5" customHeight="1" x14ac:dyDescent="0.25">
      <c r="A3776" s="710" t="s">
        <v>302</v>
      </c>
      <c r="B3776" s="1016" t="s">
        <v>303</v>
      </c>
      <c r="C3776" s="827"/>
      <c r="D3776" s="836"/>
      <c r="E3776" s="1028"/>
      <c r="F3776" s="714"/>
      <c r="G3776" s="714"/>
      <c r="H3776" s="700">
        <f t="shared" si="406"/>
        <v>0</v>
      </c>
      <c r="I3776" s="714">
        <f t="shared" si="411"/>
        <v>0</v>
      </c>
      <c r="J3776" s="714"/>
      <c r="K3776" s="700">
        <f t="shared" si="407"/>
        <v>0</v>
      </c>
      <c r="L3776" s="714"/>
      <c r="M3776" s="714"/>
      <c r="N3776" s="700">
        <f t="shared" si="408"/>
        <v>0</v>
      </c>
      <c r="O3776" s="974">
        <f t="shared" si="409"/>
        <v>0</v>
      </c>
      <c r="P3776" s="956"/>
      <c r="Q3776" s="1821"/>
      <c r="R3776" s="1821"/>
      <c r="S3776" s="1821"/>
      <c r="T3776" s="1821"/>
      <c r="U3776" s="1821"/>
      <c r="V3776" s="1821"/>
      <c r="W3776" s="1821"/>
      <c r="X3776" s="1821"/>
      <c r="Y3776" s="1821"/>
      <c r="Z3776" s="1821"/>
      <c r="AA3776" s="1821"/>
      <c r="AB3776" s="1821"/>
      <c r="AC3776" s="1821"/>
      <c r="AD3776" s="1821"/>
      <c r="AE3776" s="1821"/>
      <c r="AF3776" s="1821"/>
      <c r="AG3776" s="1821"/>
      <c r="AH3776" s="1821"/>
      <c r="AI3776" s="1821"/>
      <c r="AJ3776" s="1821"/>
      <c r="AK3776" s="1821"/>
      <c r="AL3776" s="1821"/>
      <c r="AM3776" s="1821"/>
      <c r="AN3776" s="1821"/>
      <c r="AO3776" s="1821"/>
      <c r="AP3776" s="1821"/>
      <c r="AQ3776" s="1821"/>
      <c r="AR3776" s="1821"/>
      <c r="AS3776" s="1821"/>
      <c r="AT3776" s="1821"/>
      <c r="AU3776" s="1821"/>
      <c r="AV3776" s="1821"/>
      <c r="AW3776" s="1821"/>
      <c r="AX3776" s="1821"/>
      <c r="AY3776" s="1821"/>
      <c r="AZ3776" s="1821"/>
      <c r="BA3776" s="1821"/>
      <c r="BB3776" s="1821"/>
      <c r="BC3776" s="1821"/>
      <c r="BD3776" s="1821"/>
      <c r="BE3776" s="1821"/>
      <c r="BF3776" s="1821"/>
      <c r="BG3776" s="1821"/>
      <c r="BH3776" s="1821"/>
      <c r="BI3776" s="1821"/>
      <c r="BJ3776" s="1821"/>
      <c r="BK3776" s="1821"/>
      <c r="BL3776" s="1821"/>
      <c r="BM3776" s="1821"/>
      <c r="BN3776" s="1821"/>
      <c r="BO3776" s="1821"/>
      <c r="BP3776" s="1821"/>
      <c r="BQ3776" s="1821"/>
      <c r="BR3776" s="1821"/>
      <c r="BS3776" s="1821"/>
      <c r="BT3776" s="1821"/>
      <c r="BU3776" s="1821"/>
      <c r="BV3776" s="1821"/>
      <c r="BW3776" s="1821"/>
      <c r="BX3776" s="1821"/>
      <c r="BY3776" s="1821"/>
      <c r="BZ3776" s="1821"/>
      <c r="CA3776" s="1821"/>
      <c r="CB3776" s="1821"/>
      <c r="CC3776" s="1821"/>
      <c r="CD3776" s="1821"/>
      <c r="CE3776" s="1821"/>
      <c r="CF3776" s="1821"/>
      <c r="CG3776" s="1821"/>
      <c r="CH3776" s="1821"/>
      <c r="CI3776" s="1821"/>
      <c r="CJ3776" s="1821"/>
      <c r="CK3776" s="1821"/>
    </row>
    <row r="3777" spans="1:89" s="744" customFormat="1" ht="16.5" customHeight="1" x14ac:dyDescent="0.25">
      <c r="A3777" s="710" t="s">
        <v>49</v>
      </c>
      <c r="B3777" s="1016" t="s">
        <v>292</v>
      </c>
      <c r="C3777" s="827">
        <f>SUM(O3778:O3787)</f>
        <v>875700</v>
      </c>
      <c r="D3777" s="836"/>
      <c r="E3777" s="1028"/>
      <c r="F3777" s="714"/>
      <c r="G3777" s="714"/>
      <c r="H3777" s="700">
        <f t="shared" si="406"/>
        <v>0</v>
      </c>
      <c r="I3777" s="714">
        <f t="shared" si="411"/>
        <v>0</v>
      </c>
      <c r="J3777" s="714"/>
      <c r="K3777" s="700">
        <f t="shared" si="407"/>
        <v>0</v>
      </c>
      <c r="L3777" s="714"/>
      <c r="M3777" s="714"/>
      <c r="N3777" s="700">
        <f t="shared" si="408"/>
        <v>0</v>
      </c>
      <c r="O3777" s="974">
        <f t="shared" si="409"/>
        <v>0</v>
      </c>
      <c r="P3777" s="956"/>
      <c r="Q3777" s="1821"/>
      <c r="R3777" s="1821"/>
      <c r="S3777" s="1821"/>
      <c r="T3777" s="1821"/>
      <c r="U3777" s="1821"/>
      <c r="V3777" s="1821"/>
      <c r="W3777" s="1821"/>
      <c r="X3777" s="1821"/>
      <c r="Y3777" s="1821"/>
      <c r="Z3777" s="1821"/>
      <c r="AA3777" s="1821"/>
      <c r="AB3777" s="1821"/>
      <c r="AC3777" s="1821"/>
      <c r="AD3777" s="1821"/>
      <c r="AE3777" s="1821"/>
      <c r="AF3777" s="1821"/>
      <c r="AG3777" s="1821"/>
      <c r="AH3777" s="1821"/>
      <c r="AI3777" s="1821"/>
      <c r="AJ3777" s="1821"/>
      <c r="AK3777" s="1821"/>
      <c r="AL3777" s="1821"/>
      <c r="AM3777" s="1821"/>
      <c r="AN3777" s="1821"/>
      <c r="AO3777" s="1821"/>
      <c r="AP3777" s="1821"/>
      <c r="AQ3777" s="1821"/>
      <c r="AR3777" s="1821"/>
      <c r="AS3777" s="1821"/>
      <c r="AT3777" s="1821"/>
      <c r="AU3777" s="1821"/>
      <c r="AV3777" s="1821"/>
      <c r="AW3777" s="1821"/>
      <c r="AX3777" s="1821"/>
      <c r="AY3777" s="1821"/>
      <c r="AZ3777" s="1821"/>
      <c r="BA3777" s="1821"/>
      <c r="BB3777" s="1821"/>
      <c r="BC3777" s="1821"/>
      <c r="BD3777" s="1821"/>
      <c r="BE3777" s="1821"/>
      <c r="BF3777" s="1821"/>
      <c r="BG3777" s="1821"/>
      <c r="BH3777" s="1821"/>
      <c r="BI3777" s="1821"/>
      <c r="BJ3777" s="1821"/>
      <c r="BK3777" s="1821"/>
      <c r="BL3777" s="1821"/>
      <c r="BM3777" s="1821"/>
      <c r="BN3777" s="1821"/>
      <c r="BO3777" s="1821"/>
      <c r="BP3777" s="1821"/>
      <c r="BQ3777" s="1821"/>
      <c r="BR3777" s="1821"/>
      <c r="BS3777" s="1821"/>
      <c r="BT3777" s="1821"/>
      <c r="BU3777" s="1821"/>
      <c r="BV3777" s="1821"/>
      <c r="BW3777" s="1821"/>
      <c r="BX3777" s="1821"/>
      <c r="BY3777" s="1821"/>
      <c r="BZ3777" s="1821"/>
      <c r="CA3777" s="1821"/>
      <c r="CB3777" s="1821"/>
      <c r="CC3777" s="1821"/>
      <c r="CD3777" s="1821"/>
      <c r="CE3777" s="1821"/>
      <c r="CF3777" s="1821"/>
      <c r="CG3777" s="1821"/>
      <c r="CH3777" s="1821"/>
      <c r="CI3777" s="1821"/>
      <c r="CJ3777" s="1821"/>
      <c r="CK3777" s="1821"/>
    </row>
    <row r="3778" spans="1:89" s="744" customFormat="1" ht="16.5" customHeight="1" x14ac:dyDescent="0.25">
      <c r="A3778" s="710">
        <v>1</v>
      </c>
      <c r="B3778" s="885" t="s">
        <v>1306</v>
      </c>
      <c r="C3778" s="691">
        <v>1</v>
      </c>
      <c r="D3778" s="716" t="s">
        <v>1307</v>
      </c>
      <c r="E3778" s="712">
        <v>37470</v>
      </c>
      <c r="F3778" s="712"/>
      <c r="G3778" s="712"/>
      <c r="H3778" s="700">
        <f t="shared" si="406"/>
        <v>0</v>
      </c>
      <c r="I3778" s="712">
        <f t="shared" si="411"/>
        <v>37470</v>
      </c>
      <c r="J3778" s="712"/>
      <c r="K3778" s="700">
        <f t="shared" si="407"/>
        <v>37470</v>
      </c>
      <c r="L3778" s="700"/>
      <c r="M3778" s="700"/>
      <c r="N3778" s="700">
        <f t="shared" si="408"/>
        <v>0</v>
      </c>
      <c r="O3778" s="974">
        <f t="shared" si="409"/>
        <v>37470</v>
      </c>
      <c r="P3778" s="956"/>
      <c r="Q3778" s="1821"/>
      <c r="R3778" s="1821"/>
      <c r="S3778" s="1821"/>
      <c r="T3778" s="1821"/>
      <c r="U3778" s="1821"/>
      <c r="V3778" s="1821"/>
      <c r="W3778" s="1821"/>
      <c r="X3778" s="1821"/>
      <c r="Y3778" s="1821"/>
      <c r="Z3778" s="1821"/>
      <c r="AA3778" s="1821"/>
      <c r="AB3778" s="1821"/>
      <c r="AC3778" s="1821"/>
      <c r="AD3778" s="1821"/>
      <c r="AE3778" s="1821"/>
      <c r="AF3778" s="1821"/>
      <c r="AG3778" s="1821"/>
      <c r="AH3778" s="1821"/>
      <c r="AI3778" s="1821"/>
      <c r="AJ3778" s="1821"/>
      <c r="AK3778" s="1821"/>
      <c r="AL3778" s="1821"/>
      <c r="AM3778" s="1821"/>
      <c r="AN3778" s="1821"/>
      <c r="AO3778" s="1821"/>
      <c r="AP3778" s="1821"/>
      <c r="AQ3778" s="1821"/>
      <c r="AR3778" s="1821"/>
      <c r="AS3778" s="1821"/>
      <c r="AT3778" s="1821"/>
      <c r="AU3778" s="1821"/>
      <c r="AV3778" s="1821"/>
      <c r="AW3778" s="1821"/>
      <c r="AX3778" s="1821"/>
      <c r="AY3778" s="1821"/>
      <c r="AZ3778" s="1821"/>
      <c r="BA3778" s="1821"/>
      <c r="BB3778" s="1821"/>
      <c r="BC3778" s="1821"/>
      <c r="BD3778" s="1821"/>
      <c r="BE3778" s="1821"/>
      <c r="BF3778" s="1821"/>
      <c r="BG3778" s="1821"/>
      <c r="BH3778" s="1821"/>
      <c r="BI3778" s="1821"/>
      <c r="BJ3778" s="1821"/>
      <c r="BK3778" s="1821"/>
      <c r="BL3778" s="1821"/>
      <c r="BM3778" s="1821"/>
      <c r="BN3778" s="1821"/>
      <c r="BO3778" s="1821"/>
      <c r="BP3778" s="1821"/>
      <c r="BQ3778" s="1821"/>
      <c r="BR3778" s="1821"/>
      <c r="BS3778" s="1821"/>
      <c r="BT3778" s="1821"/>
      <c r="BU3778" s="1821"/>
      <c r="BV3778" s="1821"/>
      <c r="BW3778" s="1821"/>
      <c r="BX3778" s="1821"/>
      <c r="BY3778" s="1821"/>
      <c r="BZ3778" s="1821"/>
      <c r="CA3778" s="1821"/>
      <c r="CB3778" s="1821"/>
      <c r="CC3778" s="1821"/>
      <c r="CD3778" s="1821"/>
      <c r="CE3778" s="1821"/>
      <c r="CF3778" s="1821"/>
      <c r="CG3778" s="1821"/>
      <c r="CH3778" s="1821"/>
      <c r="CI3778" s="1821"/>
      <c r="CJ3778" s="1821"/>
      <c r="CK3778" s="1821"/>
    </row>
    <row r="3779" spans="1:89" s="744" customFormat="1" ht="16.5" customHeight="1" x14ac:dyDescent="0.25">
      <c r="A3779" s="1026">
        <v>2</v>
      </c>
      <c r="B3779" s="1027" t="s">
        <v>1308</v>
      </c>
      <c r="C3779" s="691">
        <v>1</v>
      </c>
      <c r="D3779" s="716" t="s">
        <v>1307</v>
      </c>
      <c r="E3779" s="712">
        <v>37470</v>
      </c>
      <c r="F3779" s="712"/>
      <c r="G3779" s="712"/>
      <c r="H3779" s="700">
        <f t="shared" si="406"/>
        <v>0</v>
      </c>
      <c r="I3779" s="712">
        <f t="shared" si="411"/>
        <v>37470</v>
      </c>
      <c r="J3779" s="712"/>
      <c r="K3779" s="700">
        <f t="shared" si="407"/>
        <v>37470</v>
      </c>
      <c r="L3779" s="700"/>
      <c r="M3779" s="700"/>
      <c r="N3779" s="700">
        <f t="shared" si="408"/>
        <v>0</v>
      </c>
      <c r="O3779" s="974">
        <f t="shared" si="409"/>
        <v>37470</v>
      </c>
      <c r="P3779" s="956"/>
      <c r="Q3779" s="1821"/>
      <c r="R3779" s="1821"/>
      <c r="S3779" s="1821"/>
      <c r="T3779" s="1821"/>
      <c r="U3779" s="1821"/>
      <c r="V3779" s="1821"/>
      <c r="W3779" s="1821"/>
      <c r="X3779" s="1821"/>
      <c r="Y3779" s="1821"/>
      <c r="Z3779" s="1821"/>
      <c r="AA3779" s="1821"/>
      <c r="AB3779" s="1821"/>
      <c r="AC3779" s="1821"/>
      <c r="AD3779" s="1821"/>
      <c r="AE3779" s="1821"/>
      <c r="AF3779" s="1821"/>
      <c r="AG3779" s="1821"/>
      <c r="AH3779" s="1821"/>
      <c r="AI3779" s="1821"/>
      <c r="AJ3779" s="1821"/>
      <c r="AK3779" s="1821"/>
      <c r="AL3779" s="1821"/>
      <c r="AM3779" s="1821"/>
      <c r="AN3779" s="1821"/>
      <c r="AO3779" s="1821"/>
      <c r="AP3779" s="1821"/>
      <c r="AQ3779" s="1821"/>
      <c r="AR3779" s="1821"/>
      <c r="AS3779" s="1821"/>
      <c r="AT3779" s="1821"/>
      <c r="AU3779" s="1821"/>
      <c r="AV3779" s="1821"/>
      <c r="AW3779" s="1821"/>
      <c r="AX3779" s="1821"/>
      <c r="AY3779" s="1821"/>
      <c r="AZ3779" s="1821"/>
      <c r="BA3779" s="1821"/>
      <c r="BB3779" s="1821"/>
      <c r="BC3779" s="1821"/>
      <c r="BD3779" s="1821"/>
      <c r="BE3779" s="1821"/>
      <c r="BF3779" s="1821"/>
      <c r="BG3779" s="1821"/>
      <c r="BH3779" s="1821"/>
      <c r="BI3779" s="1821"/>
      <c r="BJ3779" s="1821"/>
      <c r="BK3779" s="1821"/>
      <c r="BL3779" s="1821"/>
      <c r="BM3779" s="1821"/>
      <c r="BN3779" s="1821"/>
      <c r="BO3779" s="1821"/>
      <c r="BP3779" s="1821"/>
      <c r="BQ3779" s="1821"/>
      <c r="BR3779" s="1821"/>
      <c r="BS3779" s="1821"/>
      <c r="BT3779" s="1821"/>
      <c r="BU3779" s="1821"/>
      <c r="BV3779" s="1821"/>
      <c r="BW3779" s="1821"/>
      <c r="BX3779" s="1821"/>
      <c r="BY3779" s="1821"/>
      <c r="BZ3779" s="1821"/>
      <c r="CA3779" s="1821"/>
      <c r="CB3779" s="1821"/>
      <c r="CC3779" s="1821"/>
      <c r="CD3779" s="1821"/>
      <c r="CE3779" s="1821"/>
      <c r="CF3779" s="1821"/>
      <c r="CG3779" s="1821"/>
      <c r="CH3779" s="1821"/>
      <c r="CI3779" s="1821"/>
      <c r="CJ3779" s="1821"/>
      <c r="CK3779" s="1821"/>
    </row>
    <row r="3780" spans="1:89" s="1204" customFormat="1" ht="16.5" customHeight="1" x14ac:dyDescent="0.25">
      <c r="A3780" s="1012">
        <v>3</v>
      </c>
      <c r="B3780" s="1029" t="s">
        <v>304</v>
      </c>
      <c r="C3780" s="1007">
        <f>19-1</f>
        <v>18</v>
      </c>
      <c r="D3780" s="1030" t="s">
        <v>1307</v>
      </c>
      <c r="E3780" s="955">
        <v>32740</v>
      </c>
      <c r="F3780" s="714"/>
      <c r="G3780" s="714"/>
      <c r="H3780" s="700"/>
      <c r="I3780" s="714">
        <f t="shared" si="411"/>
        <v>589320</v>
      </c>
      <c r="J3780" s="714"/>
      <c r="K3780" s="700">
        <f>J3780+I3780</f>
        <v>589320</v>
      </c>
      <c r="L3780" s="714"/>
      <c r="M3780" s="714"/>
      <c r="N3780" s="700"/>
      <c r="O3780" s="974">
        <f>E3780*C3780</f>
        <v>589320</v>
      </c>
      <c r="P3780" s="1202"/>
      <c r="Q3780" s="1838"/>
      <c r="R3780" s="1838"/>
      <c r="S3780" s="1838"/>
      <c r="T3780" s="1838"/>
      <c r="U3780" s="1838"/>
      <c r="V3780" s="1838"/>
      <c r="W3780" s="1838"/>
      <c r="X3780" s="1838"/>
      <c r="Y3780" s="1838"/>
      <c r="Z3780" s="1838"/>
      <c r="AA3780" s="1838"/>
      <c r="AB3780" s="1838"/>
      <c r="AC3780" s="1838"/>
      <c r="AD3780" s="1838"/>
      <c r="AE3780" s="1838"/>
      <c r="AF3780" s="1838"/>
      <c r="AG3780" s="1838"/>
      <c r="AH3780" s="1838"/>
      <c r="AI3780" s="1838"/>
      <c r="AJ3780" s="1838"/>
      <c r="AK3780" s="1838"/>
      <c r="AL3780" s="1838"/>
      <c r="AM3780" s="1838"/>
      <c r="AN3780" s="1838"/>
      <c r="AO3780" s="1838"/>
      <c r="AP3780" s="1838"/>
      <c r="AQ3780" s="1838"/>
      <c r="AR3780" s="1838"/>
      <c r="AS3780" s="1838"/>
      <c r="AT3780" s="1838"/>
      <c r="AU3780" s="1838"/>
      <c r="AV3780" s="1838"/>
      <c r="AW3780" s="1838"/>
      <c r="AX3780" s="1838"/>
      <c r="AY3780" s="1838"/>
      <c r="AZ3780" s="1838"/>
      <c r="BA3780" s="1838"/>
      <c r="BB3780" s="1838"/>
      <c r="BC3780" s="1838"/>
      <c r="BD3780" s="1838"/>
      <c r="BE3780" s="1838"/>
      <c r="BF3780" s="1838"/>
      <c r="BG3780" s="1838"/>
      <c r="BH3780" s="1838"/>
      <c r="BI3780" s="1838"/>
      <c r="BJ3780" s="1838"/>
      <c r="BK3780" s="1838"/>
      <c r="BL3780" s="1838"/>
      <c r="BM3780" s="1838"/>
      <c r="BN3780" s="1838"/>
      <c r="BO3780" s="1838"/>
      <c r="BP3780" s="1838"/>
      <c r="BQ3780" s="1838"/>
      <c r="BR3780" s="1838"/>
      <c r="BS3780" s="1838"/>
      <c r="BT3780" s="1838"/>
      <c r="BU3780" s="1838"/>
      <c r="BV3780" s="1838"/>
      <c r="BW3780" s="1838"/>
      <c r="BX3780" s="1838"/>
      <c r="BY3780" s="1838"/>
      <c r="BZ3780" s="1838"/>
      <c r="CA3780" s="1838"/>
      <c r="CB3780" s="1838"/>
      <c r="CC3780" s="1838"/>
      <c r="CD3780" s="1838"/>
      <c r="CE3780" s="1838"/>
      <c r="CF3780" s="1838"/>
      <c r="CG3780" s="1838"/>
      <c r="CH3780" s="1838"/>
      <c r="CI3780" s="1838"/>
      <c r="CJ3780" s="1838"/>
      <c r="CK3780" s="1838"/>
    </row>
    <row r="3781" spans="1:89" s="1204" customFormat="1" ht="16.5" customHeight="1" x14ac:dyDescent="0.25">
      <c r="A3781" s="710">
        <v>4</v>
      </c>
      <c r="B3781" s="711" t="s">
        <v>305</v>
      </c>
      <c r="C3781" s="713">
        <f>5+1</f>
        <v>6</v>
      </c>
      <c r="D3781" s="757" t="s">
        <v>1307</v>
      </c>
      <c r="E3781" s="714">
        <v>21970</v>
      </c>
      <c r="F3781" s="714"/>
      <c r="G3781" s="714"/>
      <c r="H3781" s="700"/>
      <c r="I3781" s="714">
        <f t="shared" si="411"/>
        <v>131820</v>
      </c>
      <c r="J3781" s="714"/>
      <c r="K3781" s="700">
        <f t="shared" si="407"/>
        <v>131820</v>
      </c>
      <c r="L3781" s="714"/>
      <c r="M3781" s="714"/>
      <c r="N3781" s="700"/>
      <c r="O3781" s="974">
        <f>E3781*C3781</f>
        <v>131820</v>
      </c>
      <c r="P3781" s="1202"/>
      <c r="Q3781" s="1838"/>
      <c r="R3781" s="1838"/>
      <c r="S3781" s="1838"/>
      <c r="T3781" s="1838"/>
      <c r="U3781" s="1838"/>
      <c r="V3781" s="1838"/>
      <c r="W3781" s="1838"/>
      <c r="X3781" s="1838"/>
      <c r="Y3781" s="1838"/>
      <c r="Z3781" s="1838"/>
      <c r="AA3781" s="1838"/>
      <c r="AB3781" s="1838"/>
      <c r="AC3781" s="1838"/>
      <c r="AD3781" s="1838"/>
      <c r="AE3781" s="1838"/>
      <c r="AF3781" s="1838"/>
      <c r="AG3781" s="1838"/>
      <c r="AH3781" s="1838"/>
      <c r="AI3781" s="1838"/>
      <c r="AJ3781" s="1838"/>
      <c r="AK3781" s="1838"/>
      <c r="AL3781" s="1838"/>
      <c r="AM3781" s="1838"/>
      <c r="AN3781" s="1838"/>
      <c r="AO3781" s="1838"/>
      <c r="AP3781" s="1838"/>
      <c r="AQ3781" s="1838"/>
      <c r="AR3781" s="1838"/>
      <c r="AS3781" s="1838"/>
      <c r="AT3781" s="1838"/>
      <c r="AU3781" s="1838"/>
      <c r="AV3781" s="1838"/>
      <c r="AW3781" s="1838"/>
      <c r="AX3781" s="1838"/>
      <c r="AY3781" s="1838"/>
      <c r="AZ3781" s="1838"/>
      <c r="BA3781" s="1838"/>
      <c r="BB3781" s="1838"/>
      <c r="BC3781" s="1838"/>
      <c r="BD3781" s="1838"/>
      <c r="BE3781" s="1838"/>
      <c r="BF3781" s="1838"/>
      <c r="BG3781" s="1838"/>
      <c r="BH3781" s="1838"/>
      <c r="BI3781" s="1838"/>
      <c r="BJ3781" s="1838"/>
      <c r="BK3781" s="1838"/>
      <c r="BL3781" s="1838"/>
      <c r="BM3781" s="1838"/>
      <c r="BN3781" s="1838"/>
      <c r="BO3781" s="1838"/>
      <c r="BP3781" s="1838"/>
      <c r="BQ3781" s="1838"/>
      <c r="BR3781" s="1838"/>
      <c r="BS3781" s="1838"/>
      <c r="BT3781" s="1838"/>
      <c r="BU3781" s="1838"/>
      <c r="BV3781" s="1838"/>
      <c r="BW3781" s="1838"/>
      <c r="BX3781" s="1838"/>
      <c r="BY3781" s="1838"/>
      <c r="BZ3781" s="1838"/>
      <c r="CA3781" s="1838"/>
      <c r="CB3781" s="1838"/>
      <c r="CC3781" s="1838"/>
      <c r="CD3781" s="1838"/>
      <c r="CE3781" s="1838"/>
      <c r="CF3781" s="1838"/>
      <c r="CG3781" s="1838"/>
      <c r="CH3781" s="1838"/>
      <c r="CI3781" s="1838"/>
      <c r="CJ3781" s="1838"/>
      <c r="CK3781" s="1838"/>
    </row>
    <row r="3782" spans="1:89" s="744" customFormat="1" ht="16.5" customHeight="1" x14ac:dyDescent="0.25">
      <c r="A3782" s="1012">
        <v>5</v>
      </c>
      <c r="B3782" s="1011" t="s">
        <v>306</v>
      </c>
      <c r="C3782" s="1007">
        <v>9</v>
      </c>
      <c r="D3782" s="1014" t="s">
        <v>1307</v>
      </c>
      <c r="E3782" s="955">
        <v>3430</v>
      </c>
      <c r="F3782" s="714"/>
      <c r="G3782" s="714"/>
      <c r="H3782" s="700"/>
      <c r="I3782" s="714">
        <f t="shared" si="411"/>
        <v>30870</v>
      </c>
      <c r="J3782" s="714"/>
      <c r="K3782" s="700">
        <f t="shared" si="407"/>
        <v>30870</v>
      </c>
      <c r="L3782" s="714"/>
      <c r="M3782" s="714"/>
      <c r="N3782" s="700"/>
      <c r="O3782" s="974">
        <f>E3782*C3782</f>
        <v>30870</v>
      </c>
      <c r="P3782" s="956"/>
      <c r="Q3782" s="1821"/>
      <c r="R3782" s="1821"/>
      <c r="S3782" s="1821"/>
      <c r="T3782" s="1821"/>
      <c r="U3782" s="1821"/>
      <c r="V3782" s="1821"/>
      <c r="W3782" s="1821"/>
      <c r="X3782" s="1821"/>
      <c r="Y3782" s="1821"/>
      <c r="Z3782" s="1821"/>
      <c r="AA3782" s="1821"/>
      <c r="AB3782" s="1821"/>
      <c r="AC3782" s="1821"/>
      <c r="AD3782" s="1821"/>
      <c r="AE3782" s="1821"/>
      <c r="AF3782" s="1821"/>
      <c r="AG3782" s="1821"/>
      <c r="AH3782" s="1821"/>
      <c r="AI3782" s="1821"/>
      <c r="AJ3782" s="1821"/>
      <c r="AK3782" s="1821"/>
      <c r="AL3782" s="1821"/>
      <c r="AM3782" s="1821"/>
      <c r="AN3782" s="1821"/>
      <c r="AO3782" s="1821"/>
      <c r="AP3782" s="1821"/>
      <c r="AQ3782" s="1821"/>
      <c r="AR3782" s="1821"/>
      <c r="AS3782" s="1821"/>
      <c r="AT3782" s="1821"/>
      <c r="AU3782" s="1821"/>
      <c r="AV3782" s="1821"/>
      <c r="AW3782" s="1821"/>
      <c r="AX3782" s="1821"/>
      <c r="AY3782" s="1821"/>
      <c r="AZ3782" s="1821"/>
      <c r="BA3782" s="1821"/>
      <c r="BB3782" s="1821"/>
      <c r="BC3782" s="1821"/>
      <c r="BD3782" s="1821"/>
      <c r="BE3782" s="1821"/>
      <c r="BF3782" s="1821"/>
      <c r="BG3782" s="1821"/>
      <c r="BH3782" s="1821"/>
      <c r="BI3782" s="1821"/>
      <c r="BJ3782" s="1821"/>
      <c r="BK3782" s="1821"/>
      <c r="BL3782" s="1821"/>
      <c r="BM3782" s="1821"/>
      <c r="BN3782" s="1821"/>
      <c r="BO3782" s="1821"/>
      <c r="BP3782" s="1821"/>
      <c r="BQ3782" s="1821"/>
      <c r="BR3782" s="1821"/>
      <c r="BS3782" s="1821"/>
      <c r="BT3782" s="1821"/>
      <c r="BU3782" s="1821"/>
      <c r="BV3782" s="1821"/>
      <c r="BW3782" s="1821"/>
      <c r="BX3782" s="1821"/>
      <c r="BY3782" s="1821"/>
      <c r="BZ3782" s="1821"/>
      <c r="CA3782" s="1821"/>
      <c r="CB3782" s="1821"/>
      <c r="CC3782" s="1821"/>
      <c r="CD3782" s="1821"/>
      <c r="CE3782" s="1821"/>
      <c r="CF3782" s="1821"/>
      <c r="CG3782" s="1821"/>
      <c r="CH3782" s="1821"/>
      <c r="CI3782" s="1821"/>
      <c r="CJ3782" s="1821"/>
      <c r="CK3782" s="1821"/>
    </row>
    <row r="3783" spans="1:89" s="744" customFormat="1" ht="16.5" customHeight="1" x14ac:dyDescent="0.25">
      <c r="A3783" s="710">
        <v>6</v>
      </c>
      <c r="B3783" s="711" t="s">
        <v>1309</v>
      </c>
      <c r="C3783" s="713">
        <v>1</v>
      </c>
      <c r="D3783" s="757" t="s">
        <v>1307</v>
      </c>
      <c r="E3783" s="714">
        <v>2500</v>
      </c>
      <c r="F3783" s="714"/>
      <c r="G3783" s="714"/>
      <c r="H3783" s="700">
        <f t="shared" si="406"/>
        <v>0</v>
      </c>
      <c r="I3783" s="714">
        <f t="shared" si="411"/>
        <v>2500</v>
      </c>
      <c r="J3783" s="714"/>
      <c r="K3783" s="700">
        <f t="shared" si="407"/>
        <v>2500</v>
      </c>
      <c r="L3783" s="714"/>
      <c r="M3783" s="714"/>
      <c r="N3783" s="700">
        <f t="shared" si="408"/>
        <v>0</v>
      </c>
      <c r="O3783" s="974">
        <f t="shared" si="409"/>
        <v>2500</v>
      </c>
      <c r="P3783" s="956"/>
      <c r="Q3783" s="1821"/>
      <c r="R3783" s="1821"/>
      <c r="S3783" s="1821"/>
      <c r="T3783" s="1821"/>
      <c r="U3783" s="1821"/>
      <c r="V3783" s="1821"/>
      <c r="W3783" s="1821"/>
      <c r="X3783" s="1821"/>
      <c r="Y3783" s="1821"/>
      <c r="Z3783" s="1821"/>
      <c r="AA3783" s="1821"/>
      <c r="AB3783" s="1821"/>
      <c r="AC3783" s="1821"/>
      <c r="AD3783" s="1821"/>
      <c r="AE3783" s="1821"/>
      <c r="AF3783" s="1821"/>
      <c r="AG3783" s="1821"/>
      <c r="AH3783" s="1821"/>
      <c r="AI3783" s="1821"/>
      <c r="AJ3783" s="1821"/>
      <c r="AK3783" s="1821"/>
      <c r="AL3783" s="1821"/>
      <c r="AM3783" s="1821"/>
      <c r="AN3783" s="1821"/>
      <c r="AO3783" s="1821"/>
      <c r="AP3783" s="1821"/>
      <c r="AQ3783" s="1821"/>
      <c r="AR3783" s="1821"/>
      <c r="AS3783" s="1821"/>
      <c r="AT3783" s="1821"/>
      <c r="AU3783" s="1821"/>
      <c r="AV3783" s="1821"/>
      <c r="AW3783" s="1821"/>
      <c r="AX3783" s="1821"/>
      <c r="AY3783" s="1821"/>
      <c r="AZ3783" s="1821"/>
      <c r="BA3783" s="1821"/>
      <c r="BB3783" s="1821"/>
      <c r="BC3783" s="1821"/>
      <c r="BD3783" s="1821"/>
      <c r="BE3783" s="1821"/>
      <c r="BF3783" s="1821"/>
      <c r="BG3783" s="1821"/>
      <c r="BH3783" s="1821"/>
      <c r="BI3783" s="1821"/>
      <c r="BJ3783" s="1821"/>
      <c r="BK3783" s="1821"/>
      <c r="BL3783" s="1821"/>
      <c r="BM3783" s="1821"/>
      <c r="BN3783" s="1821"/>
      <c r="BO3783" s="1821"/>
      <c r="BP3783" s="1821"/>
      <c r="BQ3783" s="1821"/>
      <c r="BR3783" s="1821"/>
      <c r="BS3783" s="1821"/>
      <c r="BT3783" s="1821"/>
      <c r="BU3783" s="1821"/>
      <c r="BV3783" s="1821"/>
      <c r="BW3783" s="1821"/>
      <c r="BX3783" s="1821"/>
      <c r="BY3783" s="1821"/>
      <c r="BZ3783" s="1821"/>
      <c r="CA3783" s="1821"/>
      <c r="CB3783" s="1821"/>
      <c r="CC3783" s="1821"/>
      <c r="CD3783" s="1821"/>
      <c r="CE3783" s="1821"/>
      <c r="CF3783" s="1821"/>
      <c r="CG3783" s="1821"/>
      <c r="CH3783" s="1821"/>
      <c r="CI3783" s="1821"/>
      <c r="CJ3783" s="1821"/>
      <c r="CK3783" s="1821"/>
    </row>
    <row r="3784" spans="1:89" s="744" customFormat="1" ht="16.5" customHeight="1" x14ac:dyDescent="0.25">
      <c r="A3784" s="710">
        <v>7</v>
      </c>
      <c r="B3784" s="1011" t="s">
        <v>1310</v>
      </c>
      <c r="C3784" s="1007">
        <v>1</v>
      </c>
      <c r="D3784" s="1014" t="s">
        <v>1307</v>
      </c>
      <c r="E3784" s="955">
        <v>2000</v>
      </c>
      <c r="F3784" s="714"/>
      <c r="G3784" s="714"/>
      <c r="H3784" s="700"/>
      <c r="I3784" s="714">
        <f t="shared" si="411"/>
        <v>2000</v>
      </c>
      <c r="J3784" s="714"/>
      <c r="K3784" s="700">
        <f t="shared" si="407"/>
        <v>2000</v>
      </c>
      <c r="L3784" s="714"/>
      <c r="M3784" s="714"/>
      <c r="N3784" s="700"/>
      <c r="O3784" s="974">
        <f>E3784*C3784</f>
        <v>2000</v>
      </c>
      <c r="P3784" s="956"/>
      <c r="Q3784" s="1821"/>
      <c r="R3784" s="1821"/>
      <c r="S3784" s="1821"/>
      <c r="T3784" s="1821"/>
      <c r="U3784" s="1821"/>
      <c r="V3784" s="1821"/>
      <c r="W3784" s="1821"/>
      <c r="X3784" s="1821"/>
      <c r="Y3784" s="1821"/>
      <c r="Z3784" s="1821"/>
      <c r="AA3784" s="1821"/>
      <c r="AB3784" s="1821"/>
      <c r="AC3784" s="1821"/>
      <c r="AD3784" s="1821"/>
      <c r="AE3784" s="1821"/>
      <c r="AF3784" s="1821"/>
      <c r="AG3784" s="1821"/>
      <c r="AH3784" s="1821"/>
      <c r="AI3784" s="1821"/>
      <c r="AJ3784" s="1821"/>
      <c r="AK3784" s="1821"/>
      <c r="AL3784" s="1821"/>
      <c r="AM3784" s="1821"/>
      <c r="AN3784" s="1821"/>
      <c r="AO3784" s="1821"/>
      <c r="AP3784" s="1821"/>
      <c r="AQ3784" s="1821"/>
      <c r="AR3784" s="1821"/>
      <c r="AS3784" s="1821"/>
      <c r="AT3784" s="1821"/>
      <c r="AU3784" s="1821"/>
      <c r="AV3784" s="1821"/>
      <c r="AW3784" s="1821"/>
      <c r="AX3784" s="1821"/>
      <c r="AY3784" s="1821"/>
      <c r="AZ3784" s="1821"/>
      <c r="BA3784" s="1821"/>
      <c r="BB3784" s="1821"/>
      <c r="BC3784" s="1821"/>
      <c r="BD3784" s="1821"/>
      <c r="BE3784" s="1821"/>
      <c r="BF3784" s="1821"/>
      <c r="BG3784" s="1821"/>
      <c r="BH3784" s="1821"/>
      <c r="BI3784" s="1821"/>
      <c r="BJ3784" s="1821"/>
      <c r="BK3784" s="1821"/>
      <c r="BL3784" s="1821"/>
      <c r="BM3784" s="1821"/>
      <c r="BN3784" s="1821"/>
      <c r="BO3784" s="1821"/>
      <c r="BP3784" s="1821"/>
      <c r="BQ3784" s="1821"/>
      <c r="BR3784" s="1821"/>
      <c r="BS3784" s="1821"/>
      <c r="BT3784" s="1821"/>
      <c r="BU3784" s="1821"/>
      <c r="BV3784" s="1821"/>
      <c r="BW3784" s="1821"/>
      <c r="BX3784" s="1821"/>
      <c r="BY3784" s="1821"/>
      <c r="BZ3784" s="1821"/>
      <c r="CA3784" s="1821"/>
      <c r="CB3784" s="1821"/>
      <c r="CC3784" s="1821"/>
      <c r="CD3784" s="1821"/>
      <c r="CE3784" s="1821"/>
      <c r="CF3784" s="1821"/>
      <c r="CG3784" s="1821"/>
      <c r="CH3784" s="1821"/>
      <c r="CI3784" s="1821"/>
      <c r="CJ3784" s="1821"/>
      <c r="CK3784" s="1821"/>
    </row>
    <row r="3785" spans="1:89" s="1204" customFormat="1" ht="16.5" customHeight="1" x14ac:dyDescent="0.25">
      <c r="A3785" s="710">
        <v>8</v>
      </c>
      <c r="B3785" s="1011" t="s">
        <v>1311</v>
      </c>
      <c r="C3785" s="1007">
        <f>19-1</f>
        <v>18</v>
      </c>
      <c r="D3785" s="1014" t="s">
        <v>1307</v>
      </c>
      <c r="E3785" s="955">
        <v>1500</v>
      </c>
      <c r="F3785" s="714"/>
      <c r="G3785" s="714"/>
      <c r="H3785" s="700"/>
      <c r="I3785" s="714">
        <f t="shared" si="411"/>
        <v>27000</v>
      </c>
      <c r="J3785" s="714"/>
      <c r="K3785" s="700">
        <f t="shared" si="407"/>
        <v>27000</v>
      </c>
      <c r="L3785" s="714"/>
      <c r="M3785" s="714"/>
      <c r="N3785" s="700"/>
      <c r="O3785" s="974">
        <f>E3785*C3785</f>
        <v>27000</v>
      </c>
      <c r="P3785" s="1202"/>
      <c r="Q3785" s="1838"/>
      <c r="R3785" s="1838"/>
      <c r="S3785" s="1838"/>
      <c r="T3785" s="1838"/>
      <c r="U3785" s="1838"/>
      <c r="V3785" s="1838"/>
      <c r="W3785" s="1838"/>
      <c r="X3785" s="1838"/>
      <c r="Y3785" s="1838"/>
      <c r="Z3785" s="1838"/>
      <c r="AA3785" s="1838"/>
      <c r="AB3785" s="1838"/>
      <c r="AC3785" s="1838"/>
      <c r="AD3785" s="1838"/>
      <c r="AE3785" s="1838"/>
      <c r="AF3785" s="1838"/>
      <c r="AG3785" s="1838"/>
      <c r="AH3785" s="1838"/>
      <c r="AI3785" s="1838"/>
      <c r="AJ3785" s="1838"/>
      <c r="AK3785" s="1838"/>
      <c r="AL3785" s="1838"/>
      <c r="AM3785" s="1838"/>
      <c r="AN3785" s="1838"/>
      <c r="AO3785" s="1838"/>
      <c r="AP3785" s="1838"/>
      <c r="AQ3785" s="1838"/>
      <c r="AR3785" s="1838"/>
      <c r="AS3785" s="1838"/>
      <c r="AT3785" s="1838"/>
      <c r="AU3785" s="1838"/>
      <c r="AV3785" s="1838"/>
      <c r="AW3785" s="1838"/>
      <c r="AX3785" s="1838"/>
      <c r="AY3785" s="1838"/>
      <c r="AZ3785" s="1838"/>
      <c r="BA3785" s="1838"/>
      <c r="BB3785" s="1838"/>
      <c r="BC3785" s="1838"/>
      <c r="BD3785" s="1838"/>
      <c r="BE3785" s="1838"/>
      <c r="BF3785" s="1838"/>
      <c r="BG3785" s="1838"/>
      <c r="BH3785" s="1838"/>
      <c r="BI3785" s="1838"/>
      <c r="BJ3785" s="1838"/>
      <c r="BK3785" s="1838"/>
      <c r="BL3785" s="1838"/>
      <c r="BM3785" s="1838"/>
      <c r="BN3785" s="1838"/>
      <c r="BO3785" s="1838"/>
      <c r="BP3785" s="1838"/>
      <c r="BQ3785" s="1838"/>
      <c r="BR3785" s="1838"/>
      <c r="BS3785" s="1838"/>
      <c r="BT3785" s="1838"/>
      <c r="BU3785" s="1838"/>
      <c r="BV3785" s="1838"/>
      <c r="BW3785" s="1838"/>
      <c r="BX3785" s="1838"/>
      <c r="BY3785" s="1838"/>
      <c r="BZ3785" s="1838"/>
      <c r="CA3785" s="1838"/>
      <c r="CB3785" s="1838"/>
      <c r="CC3785" s="1838"/>
      <c r="CD3785" s="1838"/>
      <c r="CE3785" s="1838"/>
      <c r="CF3785" s="1838"/>
      <c r="CG3785" s="1838"/>
      <c r="CH3785" s="1838"/>
      <c r="CI3785" s="1838"/>
      <c r="CJ3785" s="1838"/>
      <c r="CK3785" s="1838"/>
    </row>
    <row r="3786" spans="1:89" s="1204" customFormat="1" ht="16.5" customHeight="1" x14ac:dyDescent="0.25">
      <c r="A3786" s="710">
        <v>9</v>
      </c>
      <c r="B3786" s="1011" t="s">
        <v>1312</v>
      </c>
      <c r="C3786" s="1007">
        <f>5+1</f>
        <v>6</v>
      </c>
      <c r="D3786" s="1014" t="s">
        <v>1307</v>
      </c>
      <c r="E3786" s="955">
        <v>2500</v>
      </c>
      <c r="F3786" s="714"/>
      <c r="G3786" s="714"/>
      <c r="H3786" s="700"/>
      <c r="I3786" s="714">
        <f t="shared" si="411"/>
        <v>15000</v>
      </c>
      <c r="J3786" s="714"/>
      <c r="K3786" s="700">
        <f t="shared" si="407"/>
        <v>15000</v>
      </c>
      <c r="L3786" s="714"/>
      <c r="M3786" s="714"/>
      <c r="N3786" s="700"/>
      <c r="O3786" s="974">
        <f>E3786*C3786</f>
        <v>15000</v>
      </c>
      <c r="P3786" s="1202"/>
      <c r="Q3786" s="1838"/>
      <c r="R3786" s="1838"/>
      <c r="S3786" s="1838"/>
      <c r="T3786" s="1838"/>
      <c r="U3786" s="1838"/>
      <c r="V3786" s="1838"/>
      <c r="W3786" s="1838"/>
      <c r="X3786" s="1838"/>
      <c r="Y3786" s="1838"/>
      <c r="Z3786" s="1838"/>
      <c r="AA3786" s="1838"/>
      <c r="AB3786" s="1838"/>
      <c r="AC3786" s="1838"/>
      <c r="AD3786" s="1838"/>
      <c r="AE3786" s="1838"/>
      <c r="AF3786" s="1838"/>
      <c r="AG3786" s="1838"/>
      <c r="AH3786" s="1838"/>
      <c r="AI3786" s="1838"/>
      <c r="AJ3786" s="1838"/>
      <c r="AK3786" s="1838"/>
      <c r="AL3786" s="1838"/>
      <c r="AM3786" s="1838"/>
      <c r="AN3786" s="1838"/>
      <c r="AO3786" s="1838"/>
      <c r="AP3786" s="1838"/>
      <c r="AQ3786" s="1838"/>
      <c r="AR3786" s="1838"/>
      <c r="AS3786" s="1838"/>
      <c r="AT3786" s="1838"/>
      <c r="AU3786" s="1838"/>
      <c r="AV3786" s="1838"/>
      <c r="AW3786" s="1838"/>
      <c r="AX3786" s="1838"/>
      <c r="AY3786" s="1838"/>
      <c r="AZ3786" s="1838"/>
      <c r="BA3786" s="1838"/>
      <c r="BB3786" s="1838"/>
      <c r="BC3786" s="1838"/>
      <c r="BD3786" s="1838"/>
      <c r="BE3786" s="1838"/>
      <c r="BF3786" s="1838"/>
      <c r="BG3786" s="1838"/>
      <c r="BH3786" s="1838"/>
      <c r="BI3786" s="1838"/>
      <c r="BJ3786" s="1838"/>
      <c r="BK3786" s="1838"/>
      <c r="BL3786" s="1838"/>
      <c r="BM3786" s="1838"/>
      <c r="BN3786" s="1838"/>
      <c r="BO3786" s="1838"/>
      <c r="BP3786" s="1838"/>
      <c r="BQ3786" s="1838"/>
      <c r="BR3786" s="1838"/>
      <c r="BS3786" s="1838"/>
      <c r="BT3786" s="1838"/>
      <c r="BU3786" s="1838"/>
      <c r="BV3786" s="1838"/>
      <c r="BW3786" s="1838"/>
      <c r="BX3786" s="1838"/>
      <c r="BY3786" s="1838"/>
      <c r="BZ3786" s="1838"/>
      <c r="CA3786" s="1838"/>
      <c r="CB3786" s="1838"/>
      <c r="CC3786" s="1838"/>
      <c r="CD3786" s="1838"/>
      <c r="CE3786" s="1838"/>
      <c r="CF3786" s="1838"/>
      <c r="CG3786" s="1838"/>
      <c r="CH3786" s="1838"/>
      <c r="CI3786" s="1838"/>
      <c r="CJ3786" s="1838"/>
      <c r="CK3786" s="1838"/>
    </row>
    <row r="3787" spans="1:89" s="744" customFormat="1" ht="16.5" customHeight="1" x14ac:dyDescent="0.25">
      <c r="A3787" s="710">
        <v>10</v>
      </c>
      <c r="B3787" s="1011" t="s">
        <v>1313</v>
      </c>
      <c r="C3787" s="1007">
        <v>9</v>
      </c>
      <c r="D3787" s="1014" t="s">
        <v>1307</v>
      </c>
      <c r="E3787" s="955">
        <v>250</v>
      </c>
      <c r="F3787" s="714"/>
      <c r="G3787" s="714"/>
      <c r="H3787" s="700"/>
      <c r="I3787" s="714">
        <f t="shared" si="411"/>
        <v>2250</v>
      </c>
      <c r="J3787" s="714"/>
      <c r="K3787" s="700">
        <f t="shared" si="407"/>
        <v>2250</v>
      </c>
      <c r="L3787" s="714"/>
      <c r="M3787" s="714"/>
      <c r="N3787" s="700"/>
      <c r="O3787" s="974">
        <f>E3787*C3787</f>
        <v>2250</v>
      </c>
      <c r="P3787" s="956"/>
      <c r="Q3787" s="1821"/>
      <c r="R3787" s="1821"/>
      <c r="S3787" s="1821"/>
      <c r="T3787" s="1821"/>
      <c r="U3787" s="1821"/>
      <c r="V3787" s="1821"/>
      <c r="W3787" s="1821"/>
      <c r="X3787" s="1821"/>
      <c r="Y3787" s="1821"/>
      <c r="Z3787" s="1821"/>
      <c r="AA3787" s="1821"/>
      <c r="AB3787" s="1821"/>
      <c r="AC3787" s="1821"/>
      <c r="AD3787" s="1821"/>
      <c r="AE3787" s="1821"/>
      <c r="AF3787" s="1821"/>
      <c r="AG3787" s="1821"/>
      <c r="AH3787" s="1821"/>
      <c r="AI3787" s="1821"/>
      <c r="AJ3787" s="1821"/>
      <c r="AK3787" s="1821"/>
      <c r="AL3787" s="1821"/>
      <c r="AM3787" s="1821"/>
      <c r="AN3787" s="1821"/>
      <c r="AO3787" s="1821"/>
      <c r="AP3787" s="1821"/>
      <c r="AQ3787" s="1821"/>
      <c r="AR3787" s="1821"/>
      <c r="AS3787" s="1821"/>
      <c r="AT3787" s="1821"/>
      <c r="AU3787" s="1821"/>
      <c r="AV3787" s="1821"/>
      <c r="AW3787" s="1821"/>
      <c r="AX3787" s="1821"/>
      <c r="AY3787" s="1821"/>
      <c r="AZ3787" s="1821"/>
      <c r="BA3787" s="1821"/>
      <c r="BB3787" s="1821"/>
      <c r="BC3787" s="1821"/>
      <c r="BD3787" s="1821"/>
      <c r="BE3787" s="1821"/>
      <c r="BF3787" s="1821"/>
      <c r="BG3787" s="1821"/>
      <c r="BH3787" s="1821"/>
      <c r="BI3787" s="1821"/>
      <c r="BJ3787" s="1821"/>
      <c r="BK3787" s="1821"/>
      <c r="BL3787" s="1821"/>
      <c r="BM3787" s="1821"/>
      <c r="BN3787" s="1821"/>
      <c r="BO3787" s="1821"/>
      <c r="BP3787" s="1821"/>
      <c r="BQ3787" s="1821"/>
      <c r="BR3787" s="1821"/>
      <c r="BS3787" s="1821"/>
      <c r="BT3787" s="1821"/>
      <c r="BU3787" s="1821"/>
      <c r="BV3787" s="1821"/>
      <c r="BW3787" s="1821"/>
      <c r="BX3787" s="1821"/>
      <c r="BY3787" s="1821"/>
      <c r="BZ3787" s="1821"/>
      <c r="CA3787" s="1821"/>
      <c r="CB3787" s="1821"/>
      <c r="CC3787" s="1821"/>
      <c r="CD3787" s="1821"/>
      <c r="CE3787" s="1821"/>
      <c r="CF3787" s="1821"/>
      <c r="CG3787" s="1821"/>
      <c r="CH3787" s="1821"/>
      <c r="CI3787" s="1821"/>
      <c r="CJ3787" s="1821"/>
      <c r="CK3787" s="1821"/>
    </row>
    <row r="3788" spans="1:89" s="744" customFormat="1" ht="16.5" customHeight="1" x14ac:dyDescent="0.25">
      <c r="A3788" s="1012"/>
      <c r="B3788" s="1013"/>
      <c r="C3788" s="1007"/>
      <c r="D3788" s="1014"/>
      <c r="E3788" s="955"/>
      <c r="F3788" s="714"/>
      <c r="G3788" s="714"/>
      <c r="H3788" s="700">
        <f t="shared" si="406"/>
        <v>0</v>
      </c>
      <c r="I3788" s="714">
        <f t="shared" si="411"/>
        <v>0</v>
      </c>
      <c r="J3788" s="714"/>
      <c r="K3788" s="700">
        <f t="shared" si="407"/>
        <v>0</v>
      </c>
      <c r="L3788" s="714"/>
      <c r="M3788" s="714"/>
      <c r="N3788" s="700">
        <f t="shared" si="408"/>
        <v>0</v>
      </c>
      <c r="O3788" s="974">
        <f t="shared" si="409"/>
        <v>0</v>
      </c>
      <c r="P3788" s="956"/>
      <c r="Q3788" s="1821"/>
      <c r="R3788" s="1821"/>
      <c r="S3788" s="1821"/>
      <c r="T3788" s="1821"/>
      <c r="U3788" s="1821"/>
      <c r="V3788" s="1821"/>
      <c r="W3788" s="1821"/>
      <c r="X3788" s="1821"/>
      <c r="Y3788" s="1821"/>
      <c r="Z3788" s="1821"/>
      <c r="AA3788" s="1821"/>
      <c r="AB3788" s="1821"/>
      <c r="AC3788" s="1821"/>
      <c r="AD3788" s="1821"/>
      <c r="AE3788" s="1821"/>
      <c r="AF3788" s="1821"/>
      <c r="AG3788" s="1821"/>
      <c r="AH3788" s="1821"/>
      <c r="AI3788" s="1821"/>
      <c r="AJ3788" s="1821"/>
      <c r="AK3788" s="1821"/>
      <c r="AL3788" s="1821"/>
      <c r="AM3788" s="1821"/>
      <c r="AN3788" s="1821"/>
      <c r="AO3788" s="1821"/>
      <c r="AP3788" s="1821"/>
      <c r="AQ3788" s="1821"/>
      <c r="AR3788" s="1821"/>
      <c r="AS3788" s="1821"/>
      <c r="AT3788" s="1821"/>
      <c r="AU3788" s="1821"/>
      <c r="AV3788" s="1821"/>
      <c r="AW3788" s="1821"/>
      <c r="AX3788" s="1821"/>
      <c r="AY3788" s="1821"/>
      <c r="AZ3788" s="1821"/>
      <c r="BA3788" s="1821"/>
      <c r="BB3788" s="1821"/>
      <c r="BC3788" s="1821"/>
      <c r="BD3788" s="1821"/>
      <c r="BE3788" s="1821"/>
      <c r="BF3788" s="1821"/>
      <c r="BG3788" s="1821"/>
      <c r="BH3788" s="1821"/>
      <c r="BI3788" s="1821"/>
      <c r="BJ3788" s="1821"/>
      <c r="BK3788" s="1821"/>
      <c r="BL3788" s="1821"/>
      <c r="BM3788" s="1821"/>
      <c r="BN3788" s="1821"/>
      <c r="BO3788" s="1821"/>
      <c r="BP3788" s="1821"/>
      <c r="BQ3788" s="1821"/>
      <c r="BR3788" s="1821"/>
      <c r="BS3788" s="1821"/>
      <c r="BT3788" s="1821"/>
      <c r="BU3788" s="1821"/>
      <c r="BV3788" s="1821"/>
      <c r="BW3788" s="1821"/>
      <c r="BX3788" s="1821"/>
      <c r="BY3788" s="1821"/>
      <c r="BZ3788" s="1821"/>
      <c r="CA3788" s="1821"/>
      <c r="CB3788" s="1821"/>
      <c r="CC3788" s="1821"/>
      <c r="CD3788" s="1821"/>
      <c r="CE3788" s="1821"/>
      <c r="CF3788" s="1821"/>
      <c r="CG3788" s="1821"/>
      <c r="CH3788" s="1821"/>
      <c r="CI3788" s="1821"/>
      <c r="CJ3788" s="1821"/>
      <c r="CK3788" s="1821"/>
    </row>
    <row r="3789" spans="1:89" s="744" customFormat="1" ht="16.5" customHeight="1" x14ac:dyDescent="0.25">
      <c r="A3789" s="710"/>
      <c r="B3789" s="1709"/>
      <c r="C3789" s="1017"/>
      <c r="D3789" s="1018"/>
      <c r="E3789" s="1019"/>
      <c r="F3789" s="714"/>
      <c r="G3789" s="714"/>
      <c r="H3789" s="700">
        <f t="shared" si="406"/>
        <v>0</v>
      </c>
      <c r="I3789" s="714">
        <f t="shared" si="411"/>
        <v>0</v>
      </c>
      <c r="J3789" s="714"/>
      <c r="K3789" s="700">
        <f t="shared" si="407"/>
        <v>0</v>
      </c>
      <c r="L3789" s="714"/>
      <c r="M3789" s="714"/>
      <c r="N3789" s="700">
        <f t="shared" si="408"/>
        <v>0</v>
      </c>
      <c r="O3789" s="974">
        <f t="shared" si="409"/>
        <v>0</v>
      </c>
      <c r="P3789" s="956"/>
      <c r="Q3789" s="1821"/>
      <c r="R3789" s="1821"/>
      <c r="S3789" s="1821"/>
      <c r="T3789" s="1821"/>
      <c r="U3789" s="1821"/>
      <c r="V3789" s="1821"/>
      <c r="W3789" s="1821"/>
      <c r="X3789" s="1821"/>
      <c r="Y3789" s="1821"/>
      <c r="Z3789" s="1821"/>
      <c r="AA3789" s="1821"/>
      <c r="AB3789" s="1821"/>
      <c r="AC3789" s="1821"/>
      <c r="AD3789" s="1821"/>
      <c r="AE3789" s="1821"/>
      <c r="AF3789" s="1821"/>
      <c r="AG3789" s="1821"/>
      <c r="AH3789" s="1821"/>
      <c r="AI3789" s="1821"/>
      <c r="AJ3789" s="1821"/>
      <c r="AK3789" s="1821"/>
      <c r="AL3789" s="1821"/>
      <c r="AM3789" s="1821"/>
      <c r="AN3789" s="1821"/>
      <c r="AO3789" s="1821"/>
      <c r="AP3789" s="1821"/>
      <c r="AQ3789" s="1821"/>
      <c r="AR3789" s="1821"/>
      <c r="AS3789" s="1821"/>
      <c r="AT3789" s="1821"/>
      <c r="AU3789" s="1821"/>
      <c r="AV3789" s="1821"/>
      <c r="AW3789" s="1821"/>
      <c r="AX3789" s="1821"/>
      <c r="AY3789" s="1821"/>
      <c r="AZ3789" s="1821"/>
      <c r="BA3789" s="1821"/>
      <c r="BB3789" s="1821"/>
      <c r="BC3789" s="1821"/>
      <c r="BD3789" s="1821"/>
      <c r="BE3789" s="1821"/>
      <c r="BF3789" s="1821"/>
      <c r="BG3789" s="1821"/>
      <c r="BH3789" s="1821"/>
      <c r="BI3789" s="1821"/>
      <c r="BJ3789" s="1821"/>
      <c r="BK3789" s="1821"/>
      <c r="BL3789" s="1821"/>
      <c r="BM3789" s="1821"/>
      <c r="BN3789" s="1821"/>
      <c r="BO3789" s="1821"/>
      <c r="BP3789" s="1821"/>
      <c r="BQ3789" s="1821"/>
      <c r="BR3789" s="1821"/>
      <c r="BS3789" s="1821"/>
      <c r="BT3789" s="1821"/>
      <c r="BU3789" s="1821"/>
      <c r="BV3789" s="1821"/>
      <c r="BW3789" s="1821"/>
      <c r="BX3789" s="1821"/>
      <c r="BY3789" s="1821"/>
      <c r="BZ3789" s="1821"/>
      <c r="CA3789" s="1821"/>
      <c r="CB3789" s="1821"/>
      <c r="CC3789" s="1821"/>
      <c r="CD3789" s="1821"/>
      <c r="CE3789" s="1821"/>
      <c r="CF3789" s="1821"/>
      <c r="CG3789" s="1821"/>
      <c r="CH3789" s="1821"/>
      <c r="CI3789" s="1821"/>
      <c r="CJ3789" s="1821"/>
      <c r="CK3789" s="1821"/>
    </row>
    <row r="3790" spans="1:89" s="744" customFormat="1" ht="16.5" customHeight="1" x14ac:dyDescent="0.25">
      <c r="A3790" s="710" t="s">
        <v>312</v>
      </c>
      <c r="B3790" s="1709" t="s">
        <v>313</v>
      </c>
      <c r="C3790" s="1017"/>
      <c r="D3790" s="1018"/>
      <c r="E3790" s="1019"/>
      <c r="F3790" s="714"/>
      <c r="G3790" s="714"/>
      <c r="H3790" s="700">
        <f t="shared" si="406"/>
        <v>0</v>
      </c>
      <c r="I3790" s="714">
        <f t="shared" si="411"/>
        <v>0</v>
      </c>
      <c r="J3790" s="714"/>
      <c r="K3790" s="700">
        <f t="shared" si="407"/>
        <v>0</v>
      </c>
      <c r="L3790" s="714"/>
      <c r="M3790" s="714"/>
      <c r="N3790" s="700">
        <f t="shared" si="408"/>
        <v>0</v>
      </c>
      <c r="O3790" s="974">
        <f t="shared" si="409"/>
        <v>0</v>
      </c>
      <c r="P3790" s="956"/>
      <c r="Q3790" s="1821"/>
      <c r="R3790" s="1821"/>
      <c r="S3790" s="1821"/>
      <c r="T3790" s="1821"/>
      <c r="U3790" s="1821"/>
      <c r="V3790" s="1821"/>
      <c r="W3790" s="1821"/>
      <c r="X3790" s="1821"/>
      <c r="Y3790" s="1821"/>
      <c r="Z3790" s="1821"/>
      <c r="AA3790" s="1821"/>
      <c r="AB3790" s="1821"/>
      <c r="AC3790" s="1821"/>
      <c r="AD3790" s="1821"/>
      <c r="AE3790" s="1821"/>
      <c r="AF3790" s="1821"/>
      <c r="AG3790" s="1821"/>
      <c r="AH3790" s="1821"/>
      <c r="AI3790" s="1821"/>
      <c r="AJ3790" s="1821"/>
      <c r="AK3790" s="1821"/>
      <c r="AL3790" s="1821"/>
      <c r="AM3790" s="1821"/>
      <c r="AN3790" s="1821"/>
      <c r="AO3790" s="1821"/>
      <c r="AP3790" s="1821"/>
      <c r="AQ3790" s="1821"/>
      <c r="AR3790" s="1821"/>
      <c r="AS3790" s="1821"/>
      <c r="AT3790" s="1821"/>
      <c r="AU3790" s="1821"/>
      <c r="AV3790" s="1821"/>
      <c r="AW3790" s="1821"/>
      <c r="AX3790" s="1821"/>
      <c r="AY3790" s="1821"/>
      <c r="AZ3790" s="1821"/>
      <c r="BA3790" s="1821"/>
      <c r="BB3790" s="1821"/>
      <c r="BC3790" s="1821"/>
      <c r="BD3790" s="1821"/>
      <c r="BE3790" s="1821"/>
      <c r="BF3790" s="1821"/>
      <c r="BG3790" s="1821"/>
      <c r="BH3790" s="1821"/>
      <c r="BI3790" s="1821"/>
      <c r="BJ3790" s="1821"/>
      <c r="BK3790" s="1821"/>
      <c r="BL3790" s="1821"/>
      <c r="BM3790" s="1821"/>
      <c r="BN3790" s="1821"/>
      <c r="BO3790" s="1821"/>
      <c r="BP3790" s="1821"/>
      <c r="BQ3790" s="1821"/>
      <c r="BR3790" s="1821"/>
      <c r="BS3790" s="1821"/>
      <c r="BT3790" s="1821"/>
      <c r="BU3790" s="1821"/>
      <c r="BV3790" s="1821"/>
      <c r="BW3790" s="1821"/>
      <c r="BX3790" s="1821"/>
      <c r="BY3790" s="1821"/>
      <c r="BZ3790" s="1821"/>
      <c r="CA3790" s="1821"/>
      <c r="CB3790" s="1821"/>
      <c r="CC3790" s="1821"/>
      <c r="CD3790" s="1821"/>
      <c r="CE3790" s="1821"/>
      <c r="CF3790" s="1821"/>
      <c r="CG3790" s="1821"/>
      <c r="CH3790" s="1821"/>
      <c r="CI3790" s="1821"/>
      <c r="CJ3790" s="1821"/>
      <c r="CK3790" s="1821"/>
    </row>
    <row r="3791" spans="1:89" s="744" customFormat="1" ht="16.5" customHeight="1" x14ac:dyDescent="0.25">
      <c r="A3791" s="710"/>
      <c r="B3791" s="1709" t="s">
        <v>314</v>
      </c>
      <c r="C3791" s="1017">
        <f>SUM(O3792:O3800)</f>
        <v>1578080</v>
      </c>
      <c r="D3791" s="1018"/>
      <c r="E3791" s="1019"/>
      <c r="F3791" s="714"/>
      <c r="G3791" s="714"/>
      <c r="H3791" s="700">
        <f t="shared" si="406"/>
        <v>0</v>
      </c>
      <c r="I3791" s="714">
        <f t="shared" si="411"/>
        <v>0</v>
      </c>
      <c r="J3791" s="714"/>
      <c r="K3791" s="700">
        <f t="shared" si="407"/>
        <v>0</v>
      </c>
      <c r="L3791" s="714"/>
      <c r="M3791" s="714"/>
      <c r="N3791" s="700">
        <f t="shared" si="408"/>
        <v>0</v>
      </c>
      <c r="O3791" s="974">
        <f t="shared" si="409"/>
        <v>0</v>
      </c>
      <c r="P3791" s="956"/>
      <c r="Q3791" s="1821"/>
      <c r="R3791" s="1821"/>
      <c r="S3791" s="1821"/>
      <c r="T3791" s="1821"/>
      <c r="U3791" s="1821"/>
      <c r="V3791" s="1821"/>
      <c r="W3791" s="1821"/>
      <c r="X3791" s="1821"/>
      <c r="Y3791" s="1821"/>
      <c r="Z3791" s="1821"/>
      <c r="AA3791" s="1821"/>
      <c r="AB3791" s="1821"/>
      <c r="AC3791" s="1821"/>
      <c r="AD3791" s="1821"/>
      <c r="AE3791" s="1821"/>
      <c r="AF3791" s="1821"/>
      <c r="AG3791" s="1821"/>
      <c r="AH3791" s="1821"/>
      <c r="AI3791" s="1821"/>
      <c r="AJ3791" s="1821"/>
      <c r="AK3791" s="1821"/>
      <c r="AL3791" s="1821"/>
      <c r="AM3791" s="1821"/>
      <c r="AN3791" s="1821"/>
      <c r="AO3791" s="1821"/>
      <c r="AP3791" s="1821"/>
      <c r="AQ3791" s="1821"/>
      <c r="AR3791" s="1821"/>
      <c r="AS3791" s="1821"/>
      <c r="AT3791" s="1821"/>
      <c r="AU3791" s="1821"/>
      <c r="AV3791" s="1821"/>
      <c r="AW3791" s="1821"/>
      <c r="AX3791" s="1821"/>
      <c r="AY3791" s="1821"/>
      <c r="AZ3791" s="1821"/>
      <c r="BA3791" s="1821"/>
      <c r="BB3791" s="1821"/>
      <c r="BC3791" s="1821"/>
      <c r="BD3791" s="1821"/>
      <c r="BE3791" s="1821"/>
      <c r="BF3791" s="1821"/>
      <c r="BG3791" s="1821"/>
      <c r="BH3791" s="1821"/>
      <c r="BI3791" s="1821"/>
      <c r="BJ3791" s="1821"/>
      <c r="BK3791" s="1821"/>
      <c r="BL3791" s="1821"/>
      <c r="BM3791" s="1821"/>
      <c r="BN3791" s="1821"/>
      <c r="BO3791" s="1821"/>
      <c r="BP3791" s="1821"/>
      <c r="BQ3791" s="1821"/>
      <c r="BR3791" s="1821"/>
      <c r="BS3791" s="1821"/>
      <c r="BT3791" s="1821"/>
      <c r="BU3791" s="1821"/>
      <c r="BV3791" s="1821"/>
      <c r="BW3791" s="1821"/>
      <c r="BX3791" s="1821"/>
      <c r="BY3791" s="1821"/>
      <c r="BZ3791" s="1821"/>
      <c r="CA3791" s="1821"/>
      <c r="CB3791" s="1821"/>
      <c r="CC3791" s="1821"/>
      <c r="CD3791" s="1821"/>
      <c r="CE3791" s="1821"/>
      <c r="CF3791" s="1821"/>
      <c r="CG3791" s="1821"/>
      <c r="CH3791" s="1821"/>
      <c r="CI3791" s="1821"/>
      <c r="CJ3791" s="1821"/>
      <c r="CK3791" s="1821"/>
    </row>
    <row r="3792" spans="1:89" s="1204" customFormat="1" ht="16.5" customHeight="1" x14ac:dyDescent="0.25">
      <c r="A3792" s="710">
        <v>1</v>
      </c>
      <c r="B3792" s="1710" t="s">
        <v>1314</v>
      </c>
      <c r="C3792" s="691">
        <f>5*12</f>
        <v>60</v>
      </c>
      <c r="D3792" s="716" t="s">
        <v>20</v>
      </c>
      <c r="E3792" s="712">
        <v>2500</v>
      </c>
      <c r="F3792" s="712"/>
      <c r="G3792" s="712"/>
      <c r="H3792" s="700">
        <f t="shared" si="406"/>
        <v>0</v>
      </c>
      <c r="I3792" s="712"/>
      <c r="J3792" s="712">
        <f t="shared" ref="J3792:J3800" si="412">C3792*E3792</f>
        <v>150000</v>
      </c>
      <c r="K3792" s="700">
        <f t="shared" si="407"/>
        <v>150000</v>
      </c>
      <c r="L3792" s="700"/>
      <c r="M3792" s="700"/>
      <c r="N3792" s="700">
        <f t="shared" si="408"/>
        <v>0</v>
      </c>
      <c r="O3792" s="974">
        <f t="shared" si="409"/>
        <v>150000</v>
      </c>
      <c r="P3792" s="1202"/>
      <c r="Q3792" s="1838"/>
      <c r="R3792" s="1838"/>
      <c r="S3792" s="1838"/>
      <c r="T3792" s="1838"/>
      <c r="U3792" s="1838"/>
      <c r="V3792" s="1838"/>
      <c r="W3792" s="1838"/>
      <c r="X3792" s="1838"/>
      <c r="Y3792" s="1838"/>
      <c r="Z3792" s="1838"/>
      <c r="AA3792" s="1838"/>
      <c r="AB3792" s="1838"/>
      <c r="AC3792" s="1838"/>
      <c r="AD3792" s="1838"/>
      <c r="AE3792" s="1838"/>
      <c r="AF3792" s="1838"/>
      <c r="AG3792" s="1838"/>
      <c r="AH3792" s="1838"/>
      <c r="AI3792" s="1838"/>
      <c r="AJ3792" s="1838"/>
      <c r="AK3792" s="1838"/>
      <c r="AL3792" s="1838"/>
      <c r="AM3792" s="1838"/>
      <c r="AN3792" s="1838"/>
      <c r="AO3792" s="1838"/>
      <c r="AP3792" s="1838"/>
      <c r="AQ3792" s="1838"/>
      <c r="AR3792" s="1838"/>
      <c r="AS3792" s="1838"/>
      <c r="AT3792" s="1838"/>
      <c r="AU3792" s="1838"/>
      <c r="AV3792" s="1838"/>
      <c r="AW3792" s="1838"/>
      <c r="AX3792" s="1838"/>
      <c r="AY3792" s="1838"/>
      <c r="AZ3792" s="1838"/>
      <c r="BA3792" s="1838"/>
      <c r="BB3792" s="1838"/>
      <c r="BC3792" s="1838"/>
      <c r="BD3792" s="1838"/>
      <c r="BE3792" s="1838"/>
      <c r="BF3792" s="1838"/>
      <c r="BG3792" s="1838"/>
      <c r="BH3792" s="1838"/>
      <c r="BI3792" s="1838"/>
      <c r="BJ3792" s="1838"/>
      <c r="BK3792" s="1838"/>
      <c r="BL3792" s="1838"/>
      <c r="BM3792" s="1838"/>
      <c r="BN3792" s="1838"/>
      <c r="BO3792" s="1838"/>
      <c r="BP3792" s="1838"/>
      <c r="BQ3792" s="1838"/>
      <c r="BR3792" s="1838"/>
      <c r="BS3792" s="1838"/>
      <c r="BT3792" s="1838"/>
      <c r="BU3792" s="1838"/>
      <c r="BV3792" s="1838"/>
      <c r="BW3792" s="1838"/>
      <c r="BX3792" s="1838"/>
      <c r="BY3792" s="1838"/>
      <c r="BZ3792" s="1838"/>
      <c r="CA3792" s="1838"/>
      <c r="CB3792" s="1838"/>
      <c r="CC3792" s="1838"/>
      <c r="CD3792" s="1838"/>
      <c r="CE3792" s="1838"/>
      <c r="CF3792" s="1838"/>
      <c r="CG3792" s="1838"/>
      <c r="CH3792" s="1838"/>
      <c r="CI3792" s="1838"/>
      <c r="CJ3792" s="1838"/>
      <c r="CK3792" s="1838"/>
    </row>
    <row r="3793" spans="1:89" s="1204" customFormat="1" ht="16.5" customHeight="1" x14ac:dyDescent="0.25">
      <c r="A3793" s="1012">
        <v>2</v>
      </c>
      <c r="B3793" s="1711" t="s">
        <v>1315</v>
      </c>
      <c r="C3793" s="1007">
        <v>96</v>
      </c>
      <c r="D3793" s="1014" t="s">
        <v>20</v>
      </c>
      <c r="E3793" s="955">
        <v>2080</v>
      </c>
      <c r="F3793" s="714"/>
      <c r="G3793" s="714"/>
      <c r="H3793" s="700">
        <f t="shared" ref="H3793:H3798" si="413">G3793+F3793</f>
        <v>0</v>
      </c>
      <c r="I3793" s="714"/>
      <c r="J3793" s="714">
        <f t="shared" si="412"/>
        <v>199680</v>
      </c>
      <c r="K3793" s="700">
        <f t="shared" ref="K3793:K3800" si="414">J3793+I3793</f>
        <v>199680</v>
      </c>
      <c r="L3793" s="714"/>
      <c r="M3793" s="714"/>
      <c r="N3793" s="700">
        <f t="shared" ref="N3793:N3856" si="415">M3793+L3793</f>
        <v>0</v>
      </c>
      <c r="O3793" s="974">
        <f t="shared" ref="O3793:O3798" si="416">N3793+K3793+H3793</f>
        <v>199680</v>
      </c>
      <c r="P3793" s="1202"/>
      <c r="Q3793" s="1838"/>
      <c r="R3793" s="1838"/>
      <c r="S3793" s="1838"/>
      <c r="T3793" s="1838"/>
      <c r="U3793" s="1838"/>
      <c r="V3793" s="1838"/>
      <c r="W3793" s="1838"/>
      <c r="X3793" s="1838"/>
      <c r="Y3793" s="1838"/>
      <c r="Z3793" s="1838"/>
      <c r="AA3793" s="1838"/>
      <c r="AB3793" s="1838"/>
      <c r="AC3793" s="1838"/>
      <c r="AD3793" s="1838"/>
      <c r="AE3793" s="1838"/>
      <c r="AF3793" s="1838"/>
      <c r="AG3793" s="1838"/>
      <c r="AH3793" s="1838"/>
      <c r="AI3793" s="1838"/>
      <c r="AJ3793" s="1838"/>
      <c r="AK3793" s="1838"/>
      <c r="AL3793" s="1838"/>
      <c r="AM3793" s="1838"/>
      <c r="AN3793" s="1838"/>
      <c r="AO3793" s="1838"/>
      <c r="AP3793" s="1838"/>
      <c r="AQ3793" s="1838"/>
      <c r="AR3793" s="1838"/>
      <c r="AS3793" s="1838"/>
      <c r="AT3793" s="1838"/>
      <c r="AU3793" s="1838"/>
      <c r="AV3793" s="1838"/>
      <c r="AW3793" s="1838"/>
      <c r="AX3793" s="1838"/>
      <c r="AY3793" s="1838"/>
      <c r="AZ3793" s="1838"/>
      <c r="BA3793" s="1838"/>
      <c r="BB3793" s="1838"/>
      <c r="BC3793" s="1838"/>
      <c r="BD3793" s="1838"/>
      <c r="BE3793" s="1838"/>
      <c r="BF3793" s="1838"/>
      <c r="BG3793" s="1838"/>
      <c r="BH3793" s="1838"/>
      <c r="BI3793" s="1838"/>
      <c r="BJ3793" s="1838"/>
      <c r="BK3793" s="1838"/>
      <c r="BL3793" s="1838"/>
      <c r="BM3793" s="1838"/>
      <c r="BN3793" s="1838"/>
      <c r="BO3793" s="1838"/>
      <c r="BP3793" s="1838"/>
      <c r="BQ3793" s="1838"/>
      <c r="BR3793" s="1838"/>
      <c r="BS3793" s="1838"/>
      <c r="BT3793" s="1838"/>
      <c r="BU3793" s="1838"/>
      <c r="BV3793" s="1838"/>
      <c r="BW3793" s="1838"/>
      <c r="BX3793" s="1838"/>
      <c r="BY3793" s="1838"/>
      <c r="BZ3793" s="1838"/>
      <c r="CA3793" s="1838"/>
      <c r="CB3793" s="1838"/>
      <c r="CC3793" s="1838"/>
      <c r="CD3793" s="1838"/>
      <c r="CE3793" s="1838"/>
      <c r="CF3793" s="1838"/>
      <c r="CG3793" s="1838"/>
      <c r="CH3793" s="1838"/>
      <c r="CI3793" s="1838"/>
      <c r="CJ3793" s="1838"/>
      <c r="CK3793" s="1838"/>
    </row>
    <row r="3794" spans="1:89" s="1204" customFormat="1" ht="16.5" customHeight="1" x14ac:dyDescent="0.25">
      <c r="A3794" s="710">
        <v>3</v>
      </c>
      <c r="B3794" s="711" t="s">
        <v>1316</v>
      </c>
      <c r="C3794" s="713">
        <v>48</v>
      </c>
      <c r="D3794" s="757" t="s">
        <v>47</v>
      </c>
      <c r="E3794" s="714">
        <v>2080</v>
      </c>
      <c r="F3794" s="714"/>
      <c r="G3794" s="714"/>
      <c r="H3794" s="700">
        <f t="shared" si="413"/>
        <v>0</v>
      </c>
      <c r="I3794" s="714"/>
      <c r="J3794" s="714">
        <f t="shared" si="412"/>
        <v>99840</v>
      </c>
      <c r="K3794" s="700">
        <f t="shared" si="414"/>
        <v>99840</v>
      </c>
      <c r="L3794" s="714"/>
      <c r="M3794" s="714"/>
      <c r="N3794" s="700">
        <f>M3794+L3794</f>
        <v>0</v>
      </c>
      <c r="O3794" s="974">
        <f t="shared" si="416"/>
        <v>99840</v>
      </c>
      <c r="P3794" s="1202"/>
      <c r="Q3794" s="1838"/>
      <c r="R3794" s="1838"/>
      <c r="S3794" s="1838"/>
      <c r="T3794" s="1838"/>
      <c r="U3794" s="1838"/>
      <c r="V3794" s="1838"/>
      <c r="W3794" s="1838"/>
      <c r="X3794" s="1838"/>
      <c r="Y3794" s="1838"/>
      <c r="Z3794" s="1838"/>
      <c r="AA3794" s="1838"/>
      <c r="AB3794" s="1838"/>
      <c r="AC3794" s="1838"/>
      <c r="AD3794" s="1838"/>
      <c r="AE3794" s="1838"/>
      <c r="AF3794" s="1838"/>
      <c r="AG3794" s="1838"/>
      <c r="AH3794" s="1838"/>
      <c r="AI3794" s="1838"/>
      <c r="AJ3794" s="1838"/>
      <c r="AK3794" s="1838"/>
      <c r="AL3794" s="1838"/>
      <c r="AM3794" s="1838"/>
      <c r="AN3794" s="1838"/>
      <c r="AO3794" s="1838"/>
      <c r="AP3794" s="1838"/>
      <c r="AQ3794" s="1838"/>
      <c r="AR3794" s="1838"/>
      <c r="AS3794" s="1838"/>
      <c r="AT3794" s="1838"/>
      <c r="AU3794" s="1838"/>
      <c r="AV3794" s="1838"/>
      <c r="AW3794" s="1838"/>
      <c r="AX3794" s="1838"/>
      <c r="AY3794" s="1838"/>
      <c r="AZ3794" s="1838"/>
      <c r="BA3794" s="1838"/>
      <c r="BB3794" s="1838"/>
      <c r="BC3794" s="1838"/>
      <c r="BD3794" s="1838"/>
      <c r="BE3794" s="1838"/>
      <c r="BF3794" s="1838"/>
      <c r="BG3794" s="1838"/>
      <c r="BH3794" s="1838"/>
      <c r="BI3794" s="1838"/>
      <c r="BJ3794" s="1838"/>
      <c r="BK3794" s="1838"/>
      <c r="BL3794" s="1838"/>
      <c r="BM3794" s="1838"/>
      <c r="BN3794" s="1838"/>
      <c r="BO3794" s="1838"/>
      <c r="BP3794" s="1838"/>
      <c r="BQ3794" s="1838"/>
      <c r="BR3794" s="1838"/>
      <c r="BS3794" s="1838"/>
      <c r="BT3794" s="1838"/>
      <c r="BU3794" s="1838"/>
      <c r="BV3794" s="1838"/>
      <c r="BW3794" s="1838"/>
      <c r="BX3794" s="1838"/>
      <c r="BY3794" s="1838"/>
      <c r="BZ3794" s="1838"/>
      <c r="CA3794" s="1838"/>
      <c r="CB3794" s="1838"/>
      <c r="CC3794" s="1838"/>
      <c r="CD3794" s="1838"/>
      <c r="CE3794" s="1838"/>
      <c r="CF3794" s="1838"/>
      <c r="CG3794" s="1838"/>
      <c r="CH3794" s="1838"/>
      <c r="CI3794" s="1838"/>
      <c r="CJ3794" s="1838"/>
      <c r="CK3794" s="1838"/>
    </row>
    <row r="3795" spans="1:89" s="1204" customFormat="1" ht="16.5" customHeight="1" x14ac:dyDescent="0.25">
      <c r="A3795" s="1012">
        <v>4</v>
      </c>
      <c r="B3795" s="1712" t="s">
        <v>1317</v>
      </c>
      <c r="C3795" s="1007">
        <v>72</v>
      </c>
      <c r="D3795" s="1014" t="s">
        <v>20</v>
      </c>
      <c r="E3795" s="955">
        <v>2460</v>
      </c>
      <c r="F3795" s="714"/>
      <c r="G3795" s="714"/>
      <c r="H3795" s="700">
        <f t="shared" si="413"/>
        <v>0</v>
      </c>
      <c r="I3795" s="714"/>
      <c r="J3795" s="714">
        <f t="shared" si="412"/>
        <v>177120</v>
      </c>
      <c r="K3795" s="700">
        <f t="shared" si="414"/>
        <v>177120</v>
      </c>
      <c r="L3795" s="714"/>
      <c r="M3795" s="714"/>
      <c r="N3795" s="700">
        <f>M3795+L3795</f>
        <v>0</v>
      </c>
      <c r="O3795" s="974">
        <f t="shared" si="416"/>
        <v>177120</v>
      </c>
      <c r="P3795" s="1202"/>
      <c r="Q3795" s="1838"/>
      <c r="R3795" s="1838"/>
      <c r="S3795" s="1838"/>
      <c r="T3795" s="1838"/>
      <c r="U3795" s="1838"/>
      <c r="V3795" s="1838"/>
      <c r="W3795" s="1838"/>
      <c r="X3795" s="1838"/>
      <c r="Y3795" s="1838"/>
      <c r="Z3795" s="1838"/>
      <c r="AA3795" s="1838"/>
      <c r="AB3795" s="1838"/>
      <c r="AC3795" s="1838"/>
      <c r="AD3795" s="1838"/>
      <c r="AE3795" s="1838"/>
      <c r="AF3795" s="1838"/>
      <c r="AG3795" s="1838"/>
      <c r="AH3795" s="1838"/>
      <c r="AI3795" s="1838"/>
      <c r="AJ3795" s="1838"/>
      <c r="AK3795" s="1838"/>
      <c r="AL3795" s="1838"/>
      <c r="AM3795" s="1838"/>
      <c r="AN3795" s="1838"/>
      <c r="AO3795" s="1838"/>
      <c r="AP3795" s="1838"/>
      <c r="AQ3795" s="1838"/>
      <c r="AR3795" s="1838"/>
      <c r="AS3795" s="1838"/>
      <c r="AT3795" s="1838"/>
      <c r="AU3795" s="1838"/>
      <c r="AV3795" s="1838"/>
      <c r="AW3795" s="1838"/>
      <c r="AX3795" s="1838"/>
      <c r="AY3795" s="1838"/>
      <c r="AZ3795" s="1838"/>
      <c r="BA3795" s="1838"/>
      <c r="BB3795" s="1838"/>
      <c r="BC3795" s="1838"/>
      <c r="BD3795" s="1838"/>
      <c r="BE3795" s="1838"/>
      <c r="BF3795" s="1838"/>
      <c r="BG3795" s="1838"/>
      <c r="BH3795" s="1838"/>
      <c r="BI3795" s="1838"/>
      <c r="BJ3795" s="1838"/>
      <c r="BK3795" s="1838"/>
      <c r="BL3795" s="1838"/>
      <c r="BM3795" s="1838"/>
      <c r="BN3795" s="1838"/>
      <c r="BO3795" s="1838"/>
      <c r="BP3795" s="1838"/>
      <c r="BQ3795" s="1838"/>
      <c r="BR3795" s="1838"/>
      <c r="BS3795" s="1838"/>
      <c r="BT3795" s="1838"/>
      <c r="BU3795" s="1838"/>
      <c r="BV3795" s="1838"/>
      <c r="BW3795" s="1838"/>
      <c r="BX3795" s="1838"/>
      <c r="BY3795" s="1838"/>
      <c r="BZ3795" s="1838"/>
      <c r="CA3795" s="1838"/>
      <c r="CB3795" s="1838"/>
      <c r="CC3795" s="1838"/>
      <c r="CD3795" s="1838"/>
      <c r="CE3795" s="1838"/>
      <c r="CF3795" s="1838"/>
      <c r="CG3795" s="1838"/>
      <c r="CH3795" s="1838"/>
      <c r="CI3795" s="1838"/>
      <c r="CJ3795" s="1838"/>
      <c r="CK3795" s="1838"/>
    </row>
    <row r="3796" spans="1:89" s="1204" customFormat="1" ht="16.5" customHeight="1" x14ac:dyDescent="0.25">
      <c r="A3796" s="1012">
        <v>5</v>
      </c>
      <c r="B3796" s="1713" t="s">
        <v>1318</v>
      </c>
      <c r="C3796" s="1007">
        <v>24</v>
      </c>
      <c r="D3796" s="1014" t="s">
        <v>20</v>
      </c>
      <c r="E3796" s="955">
        <v>2460</v>
      </c>
      <c r="F3796" s="714"/>
      <c r="G3796" s="714"/>
      <c r="H3796" s="700">
        <f t="shared" si="413"/>
        <v>0</v>
      </c>
      <c r="I3796" s="714"/>
      <c r="J3796" s="714">
        <f t="shared" si="412"/>
        <v>59040</v>
      </c>
      <c r="K3796" s="700">
        <f t="shared" si="414"/>
        <v>59040</v>
      </c>
      <c r="L3796" s="714"/>
      <c r="M3796" s="714"/>
      <c r="N3796" s="700">
        <f>M3796+L3796</f>
        <v>0</v>
      </c>
      <c r="O3796" s="974">
        <f t="shared" si="416"/>
        <v>59040</v>
      </c>
      <c r="P3796" s="1202"/>
      <c r="Q3796" s="1838"/>
      <c r="R3796" s="1838"/>
      <c r="S3796" s="1838"/>
      <c r="T3796" s="1838"/>
      <c r="U3796" s="1838"/>
      <c r="V3796" s="1838"/>
      <c r="W3796" s="1838"/>
      <c r="X3796" s="1838"/>
      <c r="Y3796" s="1838"/>
      <c r="Z3796" s="1838"/>
      <c r="AA3796" s="1838"/>
      <c r="AB3796" s="1838"/>
      <c r="AC3796" s="1838"/>
      <c r="AD3796" s="1838"/>
      <c r="AE3796" s="1838"/>
      <c r="AF3796" s="1838"/>
      <c r="AG3796" s="1838"/>
      <c r="AH3796" s="1838"/>
      <c r="AI3796" s="1838"/>
      <c r="AJ3796" s="1838"/>
      <c r="AK3796" s="1838"/>
      <c r="AL3796" s="1838"/>
      <c r="AM3796" s="1838"/>
      <c r="AN3796" s="1838"/>
      <c r="AO3796" s="1838"/>
      <c r="AP3796" s="1838"/>
      <c r="AQ3796" s="1838"/>
      <c r="AR3796" s="1838"/>
      <c r="AS3796" s="1838"/>
      <c r="AT3796" s="1838"/>
      <c r="AU3796" s="1838"/>
      <c r="AV3796" s="1838"/>
      <c r="AW3796" s="1838"/>
      <c r="AX3796" s="1838"/>
      <c r="AY3796" s="1838"/>
      <c r="AZ3796" s="1838"/>
      <c r="BA3796" s="1838"/>
      <c r="BB3796" s="1838"/>
      <c r="BC3796" s="1838"/>
      <c r="BD3796" s="1838"/>
      <c r="BE3796" s="1838"/>
      <c r="BF3796" s="1838"/>
      <c r="BG3796" s="1838"/>
      <c r="BH3796" s="1838"/>
      <c r="BI3796" s="1838"/>
      <c r="BJ3796" s="1838"/>
      <c r="BK3796" s="1838"/>
      <c r="BL3796" s="1838"/>
      <c r="BM3796" s="1838"/>
      <c r="BN3796" s="1838"/>
      <c r="BO3796" s="1838"/>
      <c r="BP3796" s="1838"/>
      <c r="BQ3796" s="1838"/>
      <c r="BR3796" s="1838"/>
      <c r="BS3796" s="1838"/>
      <c r="BT3796" s="1838"/>
      <c r="BU3796" s="1838"/>
      <c r="BV3796" s="1838"/>
      <c r="BW3796" s="1838"/>
      <c r="BX3796" s="1838"/>
      <c r="BY3796" s="1838"/>
      <c r="BZ3796" s="1838"/>
      <c r="CA3796" s="1838"/>
      <c r="CB3796" s="1838"/>
      <c r="CC3796" s="1838"/>
      <c r="CD3796" s="1838"/>
      <c r="CE3796" s="1838"/>
      <c r="CF3796" s="1838"/>
      <c r="CG3796" s="1838"/>
      <c r="CH3796" s="1838"/>
      <c r="CI3796" s="1838"/>
      <c r="CJ3796" s="1838"/>
      <c r="CK3796" s="1838"/>
    </row>
    <row r="3797" spans="1:89" s="1204" customFormat="1" ht="16.5" customHeight="1" x14ac:dyDescent="0.25">
      <c r="A3797" s="710">
        <v>6</v>
      </c>
      <c r="B3797" s="1034" t="s">
        <v>1319</v>
      </c>
      <c r="C3797" s="1031">
        <f>12*4</f>
        <v>48</v>
      </c>
      <c r="D3797" s="1032" t="s">
        <v>20</v>
      </c>
      <c r="E3797" s="1036">
        <v>2000</v>
      </c>
      <c r="F3797" s="1222"/>
      <c r="G3797" s="714"/>
      <c r="H3797" s="700">
        <f t="shared" si="413"/>
        <v>0</v>
      </c>
      <c r="I3797" s="714"/>
      <c r="J3797" s="714">
        <f t="shared" si="412"/>
        <v>96000</v>
      </c>
      <c r="K3797" s="700">
        <f t="shared" si="414"/>
        <v>96000</v>
      </c>
      <c r="L3797" s="714"/>
      <c r="M3797" s="714"/>
      <c r="N3797" s="700">
        <f>M3797+L3797</f>
        <v>0</v>
      </c>
      <c r="O3797" s="974">
        <f t="shared" si="416"/>
        <v>96000</v>
      </c>
      <c r="P3797" s="1202"/>
      <c r="Q3797" s="1838"/>
      <c r="R3797" s="1838"/>
      <c r="S3797" s="1838"/>
      <c r="T3797" s="1838"/>
      <c r="U3797" s="1838"/>
      <c r="V3797" s="1838"/>
      <c r="W3797" s="1838"/>
      <c r="X3797" s="1838"/>
      <c r="Y3797" s="1838"/>
      <c r="Z3797" s="1838"/>
      <c r="AA3797" s="1838"/>
      <c r="AB3797" s="1838"/>
      <c r="AC3797" s="1838"/>
      <c r="AD3797" s="1838"/>
      <c r="AE3797" s="1838"/>
      <c r="AF3797" s="1838"/>
      <c r="AG3797" s="1838"/>
      <c r="AH3797" s="1838"/>
      <c r="AI3797" s="1838"/>
      <c r="AJ3797" s="1838"/>
      <c r="AK3797" s="1838"/>
      <c r="AL3797" s="1838"/>
      <c r="AM3797" s="1838"/>
      <c r="AN3797" s="1838"/>
      <c r="AO3797" s="1838"/>
      <c r="AP3797" s="1838"/>
      <c r="AQ3797" s="1838"/>
      <c r="AR3797" s="1838"/>
      <c r="AS3797" s="1838"/>
      <c r="AT3797" s="1838"/>
      <c r="AU3797" s="1838"/>
      <c r="AV3797" s="1838"/>
      <c r="AW3797" s="1838"/>
      <c r="AX3797" s="1838"/>
      <c r="AY3797" s="1838"/>
      <c r="AZ3797" s="1838"/>
      <c r="BA3797" s="1838"/>
      <c r="BB3797" s="1838"/>
      <c r="BC3797" s="1838"/>
      <c r="BD3797" s="1838"/>
      <c r="BE3797" s="1838"/>
      <c r="BF3797" s="1838"/>
      <c r="BG3797" s="1838"/>
      <c r="BH3797" s="1838"/>
      <c r="BI3797" s="1838"/>
      <c r="BJ3797" s="1838"/>
      <c r="BK3797" s="1838"/>
      <c r="BL3797" s="1838"/>
      <c r="BM3797" s="1838"/>
      <c r="BN3797" s="1838"/>
      <c r="BO3797" s="1838"/>
      <c r="BP3797" s="1838"/>
      <c r="BQ3797" s="1838"/>
      <c r="BR3797" s="1838"/>
      <c r="BS3797" s="1838"/>
      <c r="BT3797" s="1838"/>
      <c r="BU3797" s="1838"/>
      <c r="BV3797" s="1838"/>
      <c r="BW3797" s="1838"/>
      <c r="BX3797" s="1838"/>
      <c r="BY3797" s="1838"/>
      <c r="BZ3797" s="1838"/>
      <c r="CA3797" s="1838"/>
      <c r="CB3797" s="1838"/>
      <c r="CC3797" s="1838"/>
      <c r="CD3797" s="1838"/>
      <c r="CE3797" s="1838"/>
      <c r="CF3797" s="1838"/>
      <c r="CG3797" s="1838"/>
      <c r="CH3797" s="1838"/>
      <c r="CI3797" s="1838"/>
      <c r="CJ3797" s="1838"/>
      <c r="CK3797" s="1838"/>
    </row>
    <row r="3798" spans="1:89" s="744" customFormat="1" ht="16.5" customHeight="1" x14ac:dyDescent="0.25">
      <c r="A3798" s="710">
        <v>7</v>
      </c>
      <c r="B3798" s="1034" t="s">
        <v>1320</v>
      </c>
      <c r="C3798" s="1031">
        <v>1</v>
      </c>
      <c r="D3798" s="1032" t="s">
        <v>47</v>
      </c>
      <c r="E3798" s="1036">
        <v>296400</v>
      </c>
      <c r="F3798" s="1222"/>
      <c r="G3798" s="714"/>
      <c r="H3798" s="700">
        <f t="shared" si="413"/>
        <v>0</v>
      </c>
      <c r="I3798" s="714"/>
      <c r="J3798" s="714">
        <f t="shared" si="412"/>
        <v>296400</v>
      </c>
      <c r="K3798" s="700">
        <f t="shared" si="414"/>
        <v>296400</v>
      </c>
      <c r="L3798" s="714"/>
      <c r="M3798" s="714"/>
      <c r="N3798" s="700">
        <f t="shared" si="415"/>
        <v>0</v>
      </c>
      <c r="O3798" s="974">
        <f t="shared" si="416"/>
        <v>296400</v>
      </c>
      <c r="P3798" s="956"/>
      <c r="Q3798" s="1821"/>
      <c r="R3798" s="1821"/>
      <c r="S3798" s="1821"/>
      <c r="T3798" s="1821"/>
      <c r="U3798" s="1821"/>
      <c r="V3798" s="1821"/>
      <c r="W3798" s="1821"/>
      <c r="X3798" s="1821"/>
      <c r="Y3798" s="1821"/>
      <c r="Z3798" s="1821"/>
      <c r="AA3798" s="1821"/>
      <c r="AB3798" s="1821"/>
      <c r="AC3798" s="1821"/>
      <c r="AD3798" s="1821"/>
      <c r="AE3798" s="1821"/>
      <c r="AF3798" s="1821"/>
      <c r="AG3798" s="1821"/>
      <c r="AH3798" s="1821"/>
      <c r="AI3798" s="1821"/>
      <c r="AJ3798" s="1821"/>
      <c r="AK3798" s="1821"/>
      <c r="AL3798" s="1821"/>
      <c r="AM3798" s="1821"/>
      <c r="AN3798" s="1821"/>
      <c r="AO3798" s="1821"/>
      <c r="AP3798" s="1821"/>
      <c r="AQ3798" s="1821"/>
      <c r="AR3798" s="1821"/>
      <c r="AS3798" s="1821"/>
      <c r="AT3798" s="1821"/>
      <c r="AU3798" s="1821"/>
      <c r="AV3798" s="1821"/>
      <c r="AW3798" s="1821"/>
      <c r="AX3798" s="1821"/>
      <c r="AY3798" s="1821"/>
      <c r="AZ3798" s="1821"/>
      <c r="BA3798" s="1821"/>
      <c r="BB3798" s="1821"/>
      <c r="BC3798" s="1821"/>
      <c r="BD3798" s="1821"/>
      <c r="BE3798" s="1821"/>
      <c r="BF3798" s="1821"/>
      <c r="BG3798" s="1821"/>
      <c r="BH3798" s="1821"/>
      <c r="BI3798" s="1821"/>
      <c r="BJ3798" s="1821"/>
      <c r="BK3798" s="1821"/>
      <c r="BL3798" s="1821"/>
      <c r="BM3798" s="1821"/>
      <c r="BN3798" s="1821"/>
      <c r="BO3798" s="1821"/>
      <c r="BP3798" s="1821"/>
      <c r="BQ3798" s="1821"/>
      <c r="BR3798" s="1821"/>
      <c r="BS3798" s="1821"/>
      <c r="BT3798" s="1821"/>
      <c r="BU3798" s="1821"/>
      <c r="BV3798" s="1821"/>
      <c r="BW3798" s="1821"/>
      <c r="BX3798" s="1821"/>
      <c r="BY3798" s="1821"/>
      <c r="BZ3798" s="1821"/>
      <c r="CA3798" s="1821"/>
      <c r="CB3798" s="1821"/>
      <c r="CC3798" s="1821"/>
      <c r="CD3798" s="1821"/>
      <c r="CE3798" s="1821"/>
      <c r="CF3798" s="1821"/>
      <c r="CG3798" s="1821"/>
      <c r="CH3798" s="1821"/>
      <c r="CI3798" s="1821"/>
      <c r="CJ3798" s="1821"/>
      <c r="CK3798" s="1821"/>
    </row>
    <row r="3799" spans="1:89" s="1204" customFormat="1" ht="16.5" customHeight="1" x14ac:dyDescent="0.25">
      <c r="A3799" s="710">
        <v>8</v>
      </c>
      <c r="B3799" s="1034" t="s">
        <v>1321</v>
      </c>
      <c r="C3799" s="1031">
        <v>1</v>
      </c>
      <c r="D3799" s="1032" t="s">
        <v>47</v>
      </c>
      <c r="E3799" s="1036">
        <f>193800+106200</f>
        <v>300000</v>
      </c>
      <c r="F3799" s="1222"/>
      <c r="G3799" s="714"/>
      <c r="H3799" s="700"/>
      <c r="I3799" s="714"/>
      <c r="J3799" s="714">
        <f t="shared" si="412"/>
        <v>300000</v>
      </c>
      <c r="K3799" s="700">
        <f t="shared" si="414"/>
        <v>300000</v>
      </c>
      <c r="L3799" s="714"/>
      <c r="M3799" s="714"/>
      <c r="N3799" s="700"/>
      <c r="O3799" s="974">
        <f>E3799*C3799</f>
        <v>300000</v>
      </c>
      <c r="P3799" s="1202"/>
      <c r="Q3799" s="1838"/>
      <c r="R3799" s="1838"/>
      <c r="S3799" s="1838"/>
      <c r="T3799" s="1838"/>
      <c r="U3799" s="1838"/>
      <c r="V3799" s="1838"/>
      <c r="W3799" s="1838"/>
      <c r="X3799" s="1838"/>
      <c r="Y3799" s="1838"/>
      <c r="Z3799" s="1838"/>
      <c r="AA3799" s="1838"/>
      <c r="AB3799" s="1838"/>
      <c r="AC3799" s="1838"/>
      <c r="AD3799" s="1838"/>
      <c r="AE3799" s="1838"/>
      <c r="AF3799" s="1838"/>
      <c r="AG3799" s="1838"/>
      <c r="AH3799" s="1838"/>
      <c r="AI3799" s="1838"/>
      <c r="AJ3799" s="1838"/>
      <c r="AK3799" s="1838"/>
      <c r="AL3799" s="1838"/>
      <c r="AM3799" s="1838"/>
      <c r="AN3799" s="1838"/>
      <c r="AO3799" s="1838"/>
      <c r="AP3799" s="1838"/>
      <c r="AQ3799" s="1838"/>
      <c r="AR3799" s="1838"/>
      <c r="AS3799" s="1838"/>
      <c r="AT3799" s="1838"/>
      <c r="AU3799" s="1838"/>
      <c r="AV3799" s="1838"/>
      <c r="AW3799" s="1838"/>
      <c r="AX3799" s="1838"/>
      <c r="AY3799" s="1838"/>
      <c r="AZ3799" s="1838"/>
      <c r="BA3799" s="1838"/>
      <c r="BB3799" s="1838"/>
      <c r="BC3799" s="1838"/>
      <c r="BD3799" s="1838"/>
      <c r="BE3799" s="1838"/>
      <c r="BF3799" s="1838"/>
      <c r="BG3799" s="1838"/>
      <c r="BH3799" s="1838"/>
      <c r="BI3799" s="1838"/>
      <c r="BJ3799" s="1838"/>
      <c r="BK3799" s="1838"/>
      <c r="BL3799" s="1838"/>
      <c r="BM3799" s="1838"/>
      <c r="BN3799" s="1838"/>
      <c r="BO3799" s="1838"/>
      <c r="BP3799" s="1838"/>
      <c r="BQ3799" s="1838"/>
      <c r="BR3799" s="1838"/>
      <c r="BS3799" s="1838"/>
      <c r="BT3799" s="1838"/>
      <c r="BU3799" s="1838"/>
      <c r="BV3799" s="1838"/>
      <c r="BW3799" s="1838"/>
      <c r="BX3799" s="1838"/>
      <c r="BY3799" s="1838"/>
      <c r="BZ3799" s="1838"/>
      <c r="CA3799" s="1838"/>
      <c r="CB3799" s="1838"/>
      <c r="CC3799" s="1838"/>
      <c r="CD3799" s="1838"/>
      <c r="CE3799" s="1838"/>
      <c r="CF3799" s="1838"/>
      <c r="CG3799" s="1838"/>
      <c r="CH3799" s="1838"/>
      <c r="CI3799" s="1838"/>
      <c r="CJ3799" s="1838"/>
      <c r="CK3799" s="1838"/>
    </row>
    <row r="3800" spans="1:89" s="744" customFormat="1" ht="16.5" customHeight="1" x14ac:dyDescent="0.25">
      <c r="A3800" s="710">
        <v>9</v>
      </c>
      <c r="B3800" s="1034" t="s">
        <v>1322</v>
      </c>
      <c r="C3800" s="1031">
        <v>1</v>
      </c>
      <c r="D3800" s="1032" t="s">
        <v>47</v>
      </c>
      <c r="E3800" s="1036">
        <v>200000</v>
      </c>
      <c r="F3800" s="1222"/>
      <c r="G3800" s="714"/>
      <c r="H3800" s="700">
        <f>G3800+F3800</f>
        <v>0</v>
      </c>
      <c r="I3800" s="714"/>
      <c r="J3800" s="714">
        <f t="shared" si="412"/>
        <v>200000</v>
      </c>
      <c r="K3800" s="700">
        <f t="shared" si="414"/>
        <v>200000</v>
      </c>
      <c r="L3800" s="714"/>
      <c r="M3800" s="714"/>
      <c r="N3800" s="700">
        <f>M3800+L3800</f>
        <v>0</v>
      </c>
      <c r="O3800" s="974">
        <f>N3800+K3800+H3800</f>
        <v>200000</v>
      </c>
      <c r="P3800" s="956"/>
      <c r="Q3800" s="1821"/>
      <c r="R3800" s="1821"/>
      <c r="S3800" s="1821"/>
      <c r="T3800" s="1821"/>
      <c r="U3800" s="1821"/>
      <c r="V3800" s="1821"/>
      <c r="W3800" s="1821"/>
      <c r="X3800" s="1821"/>
      <c r="Y3800" s="1821"/>
      <c r="Z3800" s="1821"/>
      <c r="AA3800" s="1821"/>
      <c r="AB3800" s="1821"/>
      <c r="AC3800" s="1821"/>
      <c r="AD3800" s="1821"/>
      <c r="AE3800" s="1821"/>
      <c r="AF3800" s="1821"/>
      <c r="AG3800" s="1821"/>
      <c r="AH3800" s="1821"/>
      <c r="AI3800" s="1821"/>
      <c r="AJ3800" s="1821"/>
      <c r="AK3800" s="1821"/>
      <c r="AL3800" s="1821"/>
      <c r="AM3800" s="1821"/>
      <c r="AN3800" s="1821"/>
      <c r="AO3800" s="1821"/>
      <c r="AP3800" s="1821"/>
      <c r="AQ3800" s="1821"/>
      <c r="AR3800" s="1821"/>
      <c r="AS3800" s="1821"/>
      <c r="AT3800" s="1821"/>
      <c r="AU3800" s="1821"/>
      <c r="AV3800" s="1821"/>
      <c r="AW3800" s="1821"/>
      <c r="AX3800" s="1821"/>
      <c r="AY3800" s="1821"/>
      <c r="AZ3800" s="1821"/>
      <c r="BA3800" s="1821"/>
      <c r="BB3800" s="1821"/>
      <c r="BC3800" s="1821"/>
      <c r="BD3800" s="1821"/>
      <c r="BE3800" s="1821"/>
      <c r="BF3800" s="1821"/>
      <c r="BG3800" s="1821"/>
      <c r="BH3800" s="1821"/>
      <c r="BI3800" s="1821"/>
      <c r="BJ3800" s="1821"/>
      <c r="BK3800" s="1821"/>
      <c r="BL3800" s="1821"/>
      <c r="BM3800" s="1821"/>
      <c r="BN3800" s="1821"/>
      <c r="BO3800" s="1821"/>
      <c r="BP3800" s="1821"/>
      <c r="BQ3800" s="1821"/>
      <c r="BR3800" s="1821"/>
      <c r="BS3800" s="1821"/>
      <c r="BT3800" s="1821"/>
      <c r="BU3800" s="1821"/>
      <c r="BV3800" s="1821"/>
      <c r="BW3800" s="1821"/>
      <c r="BX3800" s="1821"/>
      <c r="BY3800" s="1821"/>
      <c r="BZ3800" s="1821"/>
      <c r="CA3800" s="1821"/>
      <c r="CB3800" s="1821"/>
      <c r="CC3800" s="1821"/>
      <c r="CD3800" s="1821"/>
      <c r="CE3800" s="1821"/>
      <c r="CF3800" s="1821"/>
      <c r="CG3800" s="1821"/>
      <c r="CH3800" s="1821"/>
      <c r="CI3800" s="1821"/>
      <c r="CJ3800" s="1821"/>
      <c r="CK3800" s="1821"/>
    </row>
    <row r="3801" spans="1:89" s="744" customFormat="1" ht="16.5" customHeight="1" x14ac:dyDescent="0.25">
      <c r="A3801" s="710"/>
      <c r="B3801" s="1034"/>
      <c r="C3801" s="1031"/>
      <c r="D3801" s="1032"/>
      <c r="E3801" s="1036"/>
      <c r="F3801" s="1222"/>
      <c r="G3801" s="714"/>
      <c r="H3801" s="700"/>
      <c r="I3801" s="714"/>
      <c r="J3801" s="714"/>
      <c r="K3801" s="700"/>
      <c r="L3801" s="714"/>
      <c r="M3801" s="714"/>
      <c r="N3801" s="700"/>
      <c r="O3801" s="974"/>
      <c r="P3801" s="956"/>
      <c r="Q3801" s="1821"/>
      <c r="R3801" s="1821"/>
      <c r="S3801" s="1821"/>
      <c r="T3801" s="1821"/>
      <c r="U3801" s="1821"/>
      <c r="V3801" s="1821"/>
      <c r="W3801" s="1821"/>
      <c r="X3801" s="1821"/>
      <c r="Y3801" s="1821"/>
      <c r="Z3801" s="1821"/>
      <c r="AA3801" s="1821"/>
      <c r="AB3801" s="1821"/>
      <c r="AC3801" s="1821"/>
      <c r="AD3801" s="1821"/>
      <c r="AE3801" s="1821"/>
      <c r="AF3801" s="1821"/>
      <c r="AG3801" s="1821"/>
      <c r="AH3801" s="1821"/>
      <c r="AI3801" s="1821"/>
      <c r="AJ3801" s="1821"/>
      <c r="AK3801" s="1821"/>
      <c r="AL3801" s="1821"/>
      <c r="AM3801" s="1821"/>
      <c r="AN3801" s="1821"/>
      <c r="AO3801" s="1821"/>
      <c r="AP3801" s="1821"/>
      <c r="AQ3801" s="1821"/>
      <c r="AR3801" s="1821"/>
      <c r="AS3801" s="1821"/>
      <c r="AT3801" s="1821"/>
      <c r="AU3801" s="1821"/>
      <c r="AV3801" s="1821"/>
      <c r="AW3801" s="1821"/>
      <c r="AX3801" s="1821"/>
      <c r="AY3801" s="1821"/>
      <c r="AZ3801" s="1821"/>
      <c r="BA3801" s="1821"/>
      <c r="BB3801" s="1821"/>
      <c r="BC3801" s="1821"/>
      <c r="BD3801" s="1821"/>
      <c r="BE3801" s="1821"/>
      <c r="BF3801" s="1821"/>
      <c r="BG3801" s="1821"/>
      <c r="BH3801" s="1821"/>
      <c r="BI3801" s="1821"/>
      <c r="BJ3801" s="1821"/>
      <c r="BK3801" s="1821"/>
      <c r="BL3801" s="1821"/>
      <c r="BM3801" s="1821"/>
      <c r="BN3801" s="1821"/>
      <c r="BO3801" s="1821"/>
      <c r="BP3801" s="1821"/>
      <c r="BQ3801" s="1821"/>
      <c r="BR3801" s="1821"/>
      <c r="BS3801" s="1821"/>
      <c r="BT3801" s="1821"/>
      <c r="BU3801" s="1821"/>
      <c r="BV3801" s="1821"/>
      <c r="BW3801" s="1821"/>
      <c r="BX3801" s="1821"/>
      <c r="BY3801" s="1821"/>
      <c r="BZ3801" s="1821"/>
      <c r="CA3801" s="1821"/>
      <c r="CB3801" s="1821"/>
      <c r="CC3801" s="1821"/>
      <c r="CD3801" s="1821"/>
      <c r="CE3801" s="1821"/>
      <c r="CF3801" s="1821"/>
      <c r="CG3801" s="1821"/>
      <c r="CH3801" s="1821"/>
      <c r="CI3801" s="1821"/>
      <c r="CJ3801" s="1821"/>
      <c r="CK3801" s="1821"/>
    </row>
    <row r="3802" spans="1:89" s="1203" customFormat="1" ht="16.5" customHeight="1" x14ac:dyDescent="0.25">
      <c r="A3802" s="849" t="s">
        <v>2140</v>
      </c>
      <c r="B3802" s="1061" t="s">
        <v>511</v>
      </c>
      <c r="C3802" s="835"/>
      <c r="D3802" s="1062"/>
      <c r="E3802" s="825"/>
      <c r="F3802" s="825"/>
      <c r="G3802" s="825"/>
      <c r="H3802" s="825"/>
      <c r="I3802" s="825"/>
      <c r="J3802" s="825"/>
      <c r="K3802" s="825"/>
      <c r="L3802" s="825"/>
      <c r="M3802" s="825"/>
      <c r="N3802" s="825"/>
      <c r="O3802" s="826"/>
      <c r="P3802" s="1774"/>
      <c r="Q3802" s="1838"/>
      <c r="R3802" s="1838"/>
      <c r="S3802" s="1838"/>
      <c r="T3802" s="1838"/>
      <c r="U3802" s="1838"/>
      <c r="V3802" s="1838"/>
      <c r="W3802" s="1838"/>
      <c r="X3802" s="1838"/>
      <c r="Y3802" s="1838"/>
      <c r="Z3802" s="1838"/>
      <c r="AA3802" s="1838"/>
      <c r="AB3802" s="1838"/>
      <c r="AC3802" s="1838"/>
      <c r="AD3802" s="1838"/>
      <c r="AE3802" s="1838"/>
      <c r="AF3802" s="1838"/>
      <c r="AG3802" s="1838"/>
      <c r="AH3802" s="1838"/>
      <c r="AI3802" s="1838"/>
      <c r="AJ3802" s="1838"/>
      <c r="AK3802" s="1838"/>
      <c r="AL3802" s="1838"/>
      <c r="AM3802" s="1838"/>
      <c r="AN3802" s="1838"/>
      <c r="AO3802" s="1838"/>
      <c r="AP3802" s="1838"/>
      <c r="AQ3802" s="1838"/>
      <c r="AR3802" s="1838"/>
      <c r="AS3802" s="1838"/>
      <c r="AT3802" s="1838"/>
      <c r="AU3802" s="1838"/>
      <c r="AV3802" s="1838"/>
      <c r="AW3802" s="1838"/>
      <c r="AX3802" s="1838"/>
      <c r="AY3802" s="1838"/>
      <c r="AZ3802" s="1838"/>
      <c r="BA3802" s="1838"/>
      <c r="BB3802" s="1838"/>
      <c r="BC3802" s="1838"/>
      <c r="BD3802" s="1838"/>
      <c r="BE3802" s="1838"/>
      <c r="BF3802" s="1838"/>
      <c r="BG3802" s="1838"/>
      <c r="BH3802" s="1838"/>
      <c r="BI3802" s="1838"/>
      <c r="BJ3802" s="1838"/>
      <c r="BK3802" s="1838"/>
      <c r="BL3802" s="1838"/>
      <c r="BM3802" s="1838"/>
      <c r="BN3802" s="1838"/>
      <c r="BO3802" s="1838"/>
      <c r="BP3802" s="1838"/>
      <c r="BQ3802" s="1838"/>
      <c r="BR3802" s="1838"/>
      <c r="BS3802" s="1838"/>
      <c r="BT3802" s="1838"/>
      <c r="BU3802" s="1838"/>
      <c r="BV3802" s="1838"/>
      <c r="BW3802" s="1838"/>
      <c r="BX3802" s="1838"/>
      <c r="BY3802" s="1838"/>
      <c r="BZ3802" s="1838"/>
      <c r="CA3802" s="1838"/>
      <c r="CB3802" s="1838"/>
      <c r="CC3802" s="1838"/>
      <c r="CD3802" s="1838"/>
      <c r="CE3802" s="1838"/>
      <c r="CF3802" s="1838"/>
      <c r="CG3802" s="1838"/>
      <c r="CH3802" s="1838"/>
      <c r="CI3802" s="1838"/>
      <c r="CJ3802" s="1838"/>
      <c r="CK3802" s="1838"/>
    </row>
    <row r="3803" spans="1:89" s="1203" customFormat="1" ht="16.5" customHeight="1" x14ac:dyDescent="0.25">
      <c r="A3803" s="849"/>
      <c r="B3803" s="1061" t="s">
        <v>541</v>
      </c>
      <c r="C3803" s="835"/>
      <c r="D3803" s="1062"/>
      <c r="E3803" s="825"/>
      <c r="F3803" s="825"/>
      <c r="G3803" s="825"/>
      <c r="H3803" s="825"/>
      <c r="I3803" s="825"/>
      <c r="J3803" s="825"/>
      <c r="K3803" s="825">
        <f t="shared" ref="K3803:K3810" si="417">J3803+I3803</f>
        <v>0</v>
      </c>
      <c r="L3803" s="825"/>
      <c r="M3803" s="825"/>
      <c r="N3803" s="825"/>
      <c r="O3803" s="826">
        <f t="shared" ref="O3803:O3810" si="418">N3803+K3803+H3803</f>
        <v>0</v>
      </c>
      <c r="P3803" s="1774"/>
      <c r="Q3803" s="1838"/>
      <c r="R3803" s="1838"/>
      <c r="S3803" s="1838"/>
      <c r="T3803" s="1838"/>
      <c r="U3803" s="1838"/>
      <c r="V3803" s="1838"/>
      <c r="W3803" s="1838"/>
      <c r="X3803" s="1838"/>
      <c r="Y3803" s="1838"/>
      <c r="Z3803" s="1838"/>
      <c r="AA3803" s="1838"/>
      <c r="AB3803" s="1838"/>
      <c r="AC3803" s="1838"/>
      <c r="AD3803" s="1838"/>
      <c r="AE3803" s="1838"/>
      <c r="AF3803" s="1838"/>
      <c r="AG3803" s="1838"/>
      <c r="AH3803" s="1838"/>
      <c r="AI3803" s="1838"/>
      <c r="AJ3803" s="1838"/>
      <c r="AK3803" s="1838"/>
      <c r="AL3803" s="1838"/>
      <c r="AM3803" s="1838"/>
      <c r="AN3803" s="1838"/>
      <c r="AO3803" s="1838"/>
      <c r="AP3803" s="1838"/>
      <c r="AQ3803" s="1838"/>
      <c r="AR3803" s="1838"/>
      <c r="AS3803" s="1838"/>
      <c r="AT3803" s="1838"/>
      <c r="AU3803" s="1838"/>
      <c r="AV3803" s="1838"/>
      <c r="AW3803" s="1838"/>
      <c r="AX3803" s="1838"/>
      <c r="AY3803" s="1838"/>
      <c r="AZ3803" s="1838"/>
      <c r="BA3803" s="1838"/>
      <c r="BB3803" s="1838"/>
      <c r="BC3803" s="1838"/>
      <c r="BD3803" s="1838"/>
      <c r="BE3803" s="1838"/>
      <c r="BF3803" s="1838"/>
      <c r="BG3803" s="1838"/>
      <c r="BH3803" s="1838"/>
      <c r="BI3803" s="1838"/>
      <c r="BJ3803" s="1838"/>
      <c r="BK3803" s="1838"/>
      <c r="BL3803" s="1838"/>
      <c r="BM3803" s="1838"/>
      <c r="BN3803" s="1838"/>
      <c r="BO3803" s="1838"/>
      <c r="BP3803" s="1838"/>
      <c r="BQ3803" s="1838"/>
      <c r="BR3803" s="1838"/>
      <c r="BS3803" s="1838"/>
      <c r="BT3803" s="1838"/>
      <c r="BU3803" s="1838"/>
      <c r="BV3803" s="1838"/>
      <c r="BW3803" s="1838"/>
      <c r="BX3803" s="1838"/>
      <c r="BY3803" s="1838"/>
      <c r="BZ3803" s="1838"/>
      <c r="CA3803" s="1838"/>
      <c r="CB3803" s="1838"/>
      <c r="CC3803" s="1838"/>
      <c r="CD3803" s="1838"/>
      <c r="CE3803" s="1838"/>
      <c r="CF3803" s="1838"/>
      <c r="CG3803" s="1838"/>
      <c r="CH3803" s="1838"/>
      <c r="CI3803" s="1838"/>
      <c r="CJ3803" s="1838"/>
      <c r="CK3803" s="1838"/>
    </row>
    <row r="3804" spans="1:89" s="1203" customFormat="1" ht="16.5" customHeight="1" x14ac:dyDescent="0.25">
      <c r="A3804" s="849"/>
      <c r="B3804" s="1061" t="s">
        <v>2247</v>
      </c>
      <c r="C3804" s="835"/>
      <c r="D3804" s="1062"/>
      <c r="E3804" s="825"/>
      <c r="F3804" s="825"/>
      <c r="G3804" s="825"/>
      <c r="H3804" s="825"/>
      <c r="I3804" s="825"/>
      <c r="J3804" s="825"/>
      <c r="K3804" s="825">
        <f t="shared" si="417"/>
        <v>0</v>
      </c>
      <c r="L3804" s="825"/>
      <c r="M3804" s="825"/>
      <c r="N3804" s="825"/>
      <c r="O3804" s="826">
        <f t="shared" si="418"/>
        <v>0</v>
      </c>
      <c r="P3804" s="1774"/>
      <c r="Q3804" s="1838"/>
      <c r="R3804" s="1838"/>
      <c r="S3804" s="1838"/>
      <c r="T3804" s="1838"/>
      <c r="U3804" s="1838"/>
      <c r="V3804" s="1838"/>
      <c r="W3804" s="1838"/>
      <c r="X3804" s="1838"/>
      <c r="Y3804" s="1838"/>
      <c r="Z3804" s="1838"/>
      <c r="AA3804" s="1838"/>
      <c r="AB3804" s="1838"/>
      <c r="AC3804" s="1838"/>
      <c r="AD3804" s="1838"/>
      <c r="AE3804" s="1838"/>
      <c r="AF3804" s="1838"/>
      <c r="AG3804" s="1838"/>
      <c r="AH3804" s="1838"/>
      <c r="AI3804" s="1838"/>
      <c r="AJ3804" s="1838"/>
      <c r="AK3804" s="1838"/>
      <c r="AL3804" s="1838"/>
      <c r="AM3804" s="1838"/>
      <c r="AN3804" s="1838"/>
      <c r="AO3804" s="1838"/>
      <c r="AP3804" s="1838"/>
      <c r="AQ3804" s="1838"/>
      <c r="AR3804" s="1838"/>
      <c r="AS3804" s="1838"/>
      <c r="AT3804" s="1838"/>
      <c r="AU3804" s="1838"/>
      <c r="AV3804" s="1838"/>
      <c r="AW3804" s="1838"/>
      <c r="AX3804" s="1838"/>
      <c r="AY3804" s="1838"/>
      <c r="AZ3804" s="1838"/>
      <c r="BA3804" s="1838"/>
      <c r="BB3804" s="1838"/>
      <c r="BC3804" s="1838"/>
      <c r="BD3804" s="1838"/>
      <c r="BE3804" s="1838"/>
      <c r="BF3804" s="1838"/>
      <c r="BG3804" s="1838"/>
      <c r="BH3804" s="1838"/>
      <c r="BI3804" s="1838"/>
      <c r="BJ3804" s="1838"/>
      <c r="BK3804" s="1838"/>
      <c r="BL3804" s="1838"/>
      <c r="BM3804" s="1838"/>
      <c r="BN3804" s="1838"/>
      <c r="BO3804" s="1838"/>
      <c r="BP3804" s="1838"/>
      <c r="BQ3804" s="1838"/>
      <c r="BR3804" s="1838"/>
      <c r="BS3804" s="1838"/>
      <c r="BT3804" s="1838"/>
      <c r="BU3804" s="1838"/>
      <c r="BV3804" s="1838"/>
      <c r="BW3804" s="1838"/>
      <c r="BX3804" s="1838"/>
      <c r="BY3804" s="1838"/>
      <c r="BZ3804" s="1838"/>
      <c r="CA3804" s="1838"/>
      <c r="CB3804" s="1838"/>
      <c r="CC3804" s="1838"/>
      <c r="CD3804" s="1838"/>
      <c r="CE3804" s="1838"/>
      <c r="CF3804" s="1838"/>
      <c r="CG3804" s="1838"/>
      <c r="CH3804" s="1838"/>
      <c r="CI3804" s="1838"/>
      <c r="CJ3804" s="1838"/>
      <c r="CK3804" s="1838"/>
    </row>
    <row r="3805" spans="1:89" s="1203" customFormat="1" ht="16.5" customHeight="1" x14ac:dyDescent="0.25">
      <c r="A3805" s="849"/>
      <c r="B3805" s="1061" t="s">
        <v>542</v>
      </c>
      <c r="C3805" s="835">
        <v>12</v>
      </c>
      <c r="D3805" s="1062" t="s">
        <v>20</v>
      </c>
      <c r="E3805" s="825">
        <v>2500</v>
      </c>
      <c r="F3805" s="825"/>
      <c r="G3805" s="825"/>
      <c r="H3805" s="825"/>
      <c r="I3805" s="825"/>
      <c r="J3805" s="825">
        <f>E3805*C3805</f>
        <v>30000</v>
      </c>
      <c r="K3805" s="825">
        <f t="shared" si="417"/>
        <v>30000</v>
      </c>
      <c r="L3805" s="825"/>
      <c r="M3805" s="825"/>
      <c r="N3805" s="825"/>
      <c r="O3805" s="826">
        <f t="shared" si="418"/>
        <v>30000</v>
      </c>
      <c r="P3805" s="1774"/>
      <c r="Q3805" s="1838"/>
      <c r="R3805" s="1838"/>
      <c r="S3805" s="1838"/>
      <c r="T3805" s="1838"/>
      <c r="U3805" s="1838"/>
      <c r="V3805" s="1838"/>
      <c r="W3805" s="1838"/>
      <c r="X3805" s="1838"/>
      <c r="Y3805" s="1838"/>
      <c r="Z3805" s="1838"/>
      <c r="AA3805" s="1838"/>
      <c r="AB3805" s="1838"/>
      <c r="AC3805" s="1838"/>
      <c r="AD3805" s="1838"/>
      <c r="AE3805" s="1838"/>
      <c r="AF3805" s="1838"/>
      <c r="AG3805" s="1838"/>
      <c r="AH3805" s="1838"/>
      <c r="AI3805" s="1838"/>
      <c r="AJ3805" s="1838"/>
      <c r="AK3805" s="1838"/>
      <c r="AL3805" s="1838"/>
      <c r="AM3805" s="1838"/>
      <c r="AN3805" s="1838"/>
      <c r="AO3805" s="1838"/>
      <c r="AP3805" s="1838"/>
      <c r="AQ3805" s="1838"/>
      <c r="AR3805" s="1838"/>
      <c r="AS3805" s="1838"/>
      <c r="AT3805" s="1838"/>
      <c r="AU3805" s="1838"/>
      <c r="AV3805" s="1838"/>
      <c r="AW3805" s="1838"/>
      <c r="AX3805" s="1838"/>
      <c r="AY3805" s="1838"/>
      <c r="AZ3805" s="1838"/>
      <c r="BA3805" s="1838"/>
      <c r="BB3805" s="1838"/>
      <c r="BC3805" s="1838"/>
      <c r="BD3805" s="1838"/>
      <c r="BE3805" s="1838"/>
      <c r="BF3805" s="1838"/>
      <c r="BG3805" s="1838"/>
      <c r="BH3805" s="1838"/>
      <c r="BI3805" s="1838"/>
      <c r="BJ3805" s="1838"/>
      <c r="BK3805" s="1838"/>
      <c r="BL3805" s="1838"/>
      <c r="BM3805" s="1838"/>
      <c r="BN3805" s="1838"/>
      <c r="BO3805" s="1838"/>
      <c r="BP3805" s="1838"/>
      <c r="BQ3805" s="1838"/>
      <c r="BR3805" s="1838"/>
      <c r="BS3805" s="1838"/>
      <c r="BT3805" s="1838"/>
      <c r="BU3805" s="1838"/>
      <c r="BV3805" s="1838"/>
      <c r="BW3805" s="1838"/>
      <c r="BX3805" s="1838"/>
      <c r="BY3805" s="1838"/>
      <c r="BZ3805" s="1838"/>
      <c r="CA3805" s="1838"/>
      <c r="CB3805" s="1838"/>
      <c r="CC3805" s="1838"/>
      <c r="CD3805" s="1838"/>
      <c r="CE3805" s="1838"/>
      <c r="CF3805" s="1838"/>
      <c r="CG3805" s="1838"/>
      <c r="CH3805" s="1838"/>
      <c r="CI3805" s="1838"/>
      <c r="CJ3805" s="1838"/>
      <c r="CK3805" s="1838"/>
    </row>
    <row r="3806" spans="1:89" s="1203" customFormat="1" ht="16.5" customHeight="1" x14ac:dyDescent="0.25">
      <c r="A3806" s="849"/>
      <c r="B3806" s="1714" t="s">
        <v>2298</v>
      </c>
      <c r="C3806" s="835">
        <v>12</v>
      </c>
      <c r="D3806" s="1062" t="s">
        <v>20</v>
      </c>
      <c r="E3806" s="825">
        <v>2000</v>
      </c>
      <c r="F3806" s="825"/>
      <c r="G3806" s="825"/>
      <c r="H3806" s="825"/>
      <c r="I3806" s="825"/>
      <c r="J3806" s="825">
        <f t="shared" ref="J3806:J3815" si="419">E3806*C3806</f>
        <v>24000</v>
      </c>
      <c r="K3806" s="825">
        <f t="shared" si="417"/>
        <v>24000</v>
      </c>
      <c r="L3806" s="825"/>
      <c r="M3806" s="825"/>
      <c r="N3806" s="825"/>
      <c r="O3806" s="826">
        <f t="shared" si="418"/>
        <v>24000</v>
      </c>
      <c r="P3806" s="1774"/>
      <c r="Q3806" s="1838"/>
      <c r="R3806" s="1838"/>
      <c r="S3806" s="1838"/>
      <c r="T3806" s="1838"/>
      <c r="U3806" s="1838"/>
      <c r="V3806" s="1838"/>
      <c r="W3806" s="1838"/>
      <c r="X3806" s="1838"/>
      <c r="Y3806" s="1838"/>
      <c r="Z3806" s="1838"/>
      <c r="AA3806" s="1838"/>
      <c r="AB3806" s="1838"/>
      <c r="AC3806" s="1838"/>
      <c r="AD3806" s="1838"/>
      <c r="AE3806" s="1838"/>
      <c r="AF3806" s="1838"/>
      <c r="AG3806" s="1838"/>
      <c r="AH3806" s="1838"/>
      <c r="AI3806" s="1838"/>
      <c r="AJ3806" s="1838"/>
      <c r="AK3806" s="1838"/>
      <c r="AL3806" s="1838"/>
      <c r="AM3806" s="1838"/>
      <c r="AN3806" s="1838"/>
      <c r="AO3806" s="1838"/>
      <c r="AP3806" s="1838"/>
      <c r="AQ3806" s="1838"/>
      <c r="AR3806" s="1838"/>
      <c r="AS3806" s="1838"/>
      <c r="AT3806" s="1838"/>
      <c r="AU3806" s="1838"/>
      <c r="AV3806" s="1838"/>
      <c r="AW3806" s="1838"/>
      <c r="AX3806" s="1838"/>
      <c r="AY3806" s="1838"/>
      <c r="AZ3806" s="1838"/>
      <c r="BA3806" s="1838"/>
      <c r="BB3806" s="1838"/>
      <c r="BC3806" s="1838"/>
      <c r="BD3806" s="1838"/>
      <c r="BE3806" s="1838"/>
      <c r="BF3806" s="1838"/>
      <c r="BG3806" s="1838"/>
      <c r="BH3806" s="1838"/>
      <c r="BI3806" s="1838"/>
      <c r="BJ3806" s="1838"/>
      <c r="BK3806" s="1838"/>
      <c r="BL3806" s="1838"/>
      <c r="BM3806" s="1838"/>
      <c r="BN3806" s="1838"/>
      <c r="BO3806" s="1838"/>
      <c r="BP3806" s="1838"/>
      <c r="BQ3806" s="1838"/>
      <c r="BR3806" s="1838"/>
      <c r="BS3806" s="1838"/>
      <c r="BT3806" s="1838"/>
      <c r="BU3806" s="1838"/>
      <c r="BV3806" s="1838"/>
      <c r="BW3806" s="1838"/>
      <c r="BX3806" s="1838"/>
      <c r="BY3806" s="1838"/>
      <c r="BZ3806" s="1838"/>
      <c r="CA3806" s="1838"/>
      <c r="CB3806" s="1838"/>
      <c r="CC3806" s="1838"/>
      <c r="CD3806" s="1838"/>
      <c r="CE3806" s="1838"/>
      <c r="CF3806" s="1838"/>
      <c r="CG3806" s="1838"/>
      <c r="CH3806" s="1838"/>
      <c r="CI3806" s="1838"/>
      <c r="CJ3806" s="1838"/>
      <c r="CK3806" s="1838"/>
    </row>
    <row r="3807" spans="1:89" s="1203" customFormat="1" ht="16.5" customHeight="1" x14ac:dyDescent="0.25">
      <c r="A3807" s="849"/>
      <c r="B3807" s="1714" t="s">
        <v>2299</v>
      </c>
      <c r="C3807" s="835">
        <v>12</v>
      </c>
      <c r="D3807" s="1062" t="s">
        <v>20</v>
      </c>
      <c r="E3807" s="825">
        <v>2000</v>
      </c>
      <c r="F3807" s="825"/>
      <c r="G3807" s="825"/>
      <c r="H3807" s="825"/>
      <c r="I3807" s="825"/>
      <c r="J3807" s="825">
        <f t="shared" si="419"/>
        <v>24000</v>
      </c>
      <c r="K3807" s="825">
        <f t="shared" si="417"/>
        <v>24000</v>
      </c>
      <c r="L3807" s="825"/>
      <c r="M3807" s="825"/>
      <c r="N3807" s="825"/>
      <c r="O3807" s="826">
        <f t="shared" si="418"/>
        <v>24000</v>
      </c>
      <c r="P3807" s="1774"/>
      <c r="Q3807" s="1838"/>
      <c r="R3807" s="1838"/>
      <c r="S3807" s="1838"/>
      <c r="T3807" s="1838"/>
      <c r="U3807" s="1838"/>
      <c r="V3807" s="1838"/>
      <c r="W3807" s="1838"/>
      <c r="X3807" s="1838"/>
      <c r="Y3807" s="1838"/>
      <c r="Z3807" s="1838"/>
      <c r="AA3807" s="1838"/>
      <c r="AB3807" s="1838"/>
      <c r="AC3807" s="1838"/>
      <c r="AD3807" s="1838"/>
      <c r="AE3807" s="1838"/>
      <c r="AF3807" s="1838"/>
      <c r="AG3807" s="1838"/>
      <c r="AH3807" s="1838"/>
      <c r="AI3807" s="1838"/>
      <c r="AJ3807" s="1838"/>
      <c r="AK3807" s="1838"/>
      <c r="AL3807" s="1838"/>
      <c r="AM3807" s="1838"/>
      <c r="AN3807" s="1838"/>
      <c r="AO3807" s="1838"/>
      <c r="AP3807" s="1838"/>
      <c r="AQ3807" s="1838"/>
      <c r="AR3807" s="1838"/>
      <c r="AS3807" s="1838"/>
      <c r="AT3807" s="1838"/>
      <c r="AU3807" s="1838"/>
      <c r="AV3807" s="1838"/>
      <c r="AW3807" s="1838"/>
      <c r="AX3807" s="1838"/>
      <c r="AY3807" s="1838"/>
      <c r="AZ3807" s="1838"/>
      <c r="BA3807" s="1838"/>
      <c r="BB3807" s="1838"/>
      <c r="BC3807" s="1838"/>
      <c r="BD3807" s="1838"/>
      <c r="BE3807" s="1838"/>
      <c r="BF3807" s="1838"/>
      <c r="BG3807" s="1838"/>
      <c r="BH3807" s="1838"/>
      <c r="BI3807" s="1838"/>
      <c r="BJ3807" s="1838"/>
      <c r="BK3807" s="1838"/>
      <c r="BL3807" s="1838"/>
      <c r="BM3807" s="1838"/>
      <c r="BN3807" s="1838"/>
      <c r="BO3807" s="1838"/>
      <c r="BP3807" s="1838"/>
      <c r="BQ3807" s="1838"/>
      <c r="BR3807" s="1838"/>
      <c r="BS3807" s="1838"/>
      <c r="BT3807" s="1838"/>
      <c r="BU3807" s="1838"/>
      <c r="BV3807" s="1838"/>
      <c r="BW3807" s="1838"/>
      <c r="BX3807" s="1838"/>
      <c r="BY3807" s="1838"/>
      <c r="BZ3807" s="1838"/>
      <c r="CA3807" s="1838"/>
      <c r="CB3807" s="1838"/>
      <c r="CC3807" s="1838"/>
      <c r="CD3807" s="1838"/>
      <c r="CE3807" s="1838"/>
      <c r="CF3807" s="1838"/>
      <c r="CG3807" s="1838"/>
      <c r="CH3807" s="1838"/>
      <c r="CI3807" s="1838"/>
      <c r="CJ3807" s="1838"/>
      <c r="CK3807" s="1838"/>
    </row>
    <row r="3808" spans="1:89" s="1203" customFormat="1" ht="16.5" customHeight="1" x14ac:dyDescent="0.25">
      <c r="A3808" s="849"/>
      <c r="B3808" s="1061" t="s">
        <v>545</v>
      </c>
      <c r="C3808" s="835">
        <v>12</v>
      </c>
      <c r="D3808" s="1062" t="s">
        <v>20</v>
      </c>
      <c r="E3808" s="825">
        <v>1800</v>
      </c>
      <c r="F3808" s="825"/>
      <c r="G3808" s="825"/>
      <c r="H3808" s="825"/>
      <c r="I3808" s="825"/>
      <c r="J3808" s="825">
        <f t="shared" si="419"/>
        <v>21600</v>
      </c>
      <c r="K3808" s="825">
        <f t="shared" si="417"/>
        <v>21600</v>
      </c>
      <c r="L3808" s="825"/>
      <c r="M3808" s="825"/>
      <c r="N3808" s="825"/>
      <c r="O3808" s="826">
        <f t="shared" si="418"/>
        <v>21600</v>
      </c>
      <c r="P3808" s="1774"/>
      <c r="Q3808" s="1838"/>
      <c r="R3808" s="1838"/>
      <c r="S3808" s="1838"/>
      <c r="T3808" s="1838"/>
      <c r="U3808" s="1838"/>
      <c r="V3808" s="1838"/>
      <c r="W3808" s="1838"/>
      <c r="X3808" s="1838"/>
      <c r="Y3808" s="1838"/>
      <c r="Z3808" s="1838"/>
      <c r="AA3808" s="1838"/>
      <c r="AB3808" s="1838"/>
      <c r="AC3808" s="1838"/>
      <c r="AD3808" s="1838"/>
      <c r="AE3808" s="1838"/>
      <c r="AF3808" s="1838"/>
      <c r="AG3808" s="1838"/>
      <c r="AH3808" s="1838"/>
      <c r="AI3808" s="1838"/>
      <c r="AJ3808" s="1838"/>
      <c r="AK3808" s="1838"/>
      <c r="AL3808" s="1838"/>
      <c r="AM3808" s="1838"/>
      <c r="AN3808" s="1838"/>
      <c r="AO3808" s="1838"/>
      <c r="AP3808" s="1838"/>
      <c r="AQ3808" s="1838"/>
      <c r="AR3808" s="1838"/>
      <c r="AS3808" s="1838"/>
      <c r="AT3808" s="1838"/>
      <c r="AU3808" s="1838"/>
      <c r="AV3808" s="1838"/>
      <c r="AW3808" s="1838"/>
      <c r="AX3808" s="1838"/>
      <c r="AY3808" s="1838"/>
      <c r="AZ3808" s="1838"/>
      <c r="BA3808" s="1838"/>
      <c r="BB3808" s="1838"/>
      <c r="BC3808" s="1838"/>
      <c r="BD3808" s="1838"/>
      <c r="BE3808" s="1838"/>
      <c r="BF3808" s="1838"/>
      <c r="BG3808" s="1838"/>
      <c r="BH3808" s="1838"/>
      <c r="BI3808" s="1838"/>
      <c r="BJ3808" s="1838"/>
      <c r="BK3808" s="1838"/>
      <c r="BL3808" s="1838"/>
      <c r="BM3808" s="1838"/>
      <c r="BN3808" s="1838"/>
      <c r="BO3808" s="1838"/>
      <c r="BP3808" s="1838"/>
      <c r="BQ3808" s="1838"/>
      <c r="BR3808" s="1838"/>
      <c r="BS3808" s="1838"/>
      <c r="BT3808" s="1838"/>
      <c r="BU3808" s="1838"/>
      <c r="BV3808" s="1838"/>
      <c r="BW3808" s="1838"/>
      <c r="BX3808" s="1838"/>
      <c r="BY3808" s="1838"/>
      <c r="BZ3808" s="1838"/>
      <c r="CA3808" s="1838"/>
      <c r="CB3808" s="1838"/>
      <c r="CC3808" s="1838"/>
      <c r="CD3808" s="1838"/>
      <c r="CE3808" s="1838"/>
      <c r="CF3808" s="1838"/>
      <c r="CG3808" s="1838"/>
      <c r="CH3808" s="1838"/>
      <c r="CI3808" s="1838"/>
      <c r="CJ3808" s="1838"/>
      <c r="CK3808" s="1838"/>
    </row>
    <row r="3809" spans="1:89" s="1203" customFormat="1" ht="16.5" customHeight="1" x14ac:dyDescent="0.25">
      <c r="A3809" s="849"/>
      <c r="B3809" s="1714" t="s">
        <v>2300</v>
      </c>
      <c r="C3809" s="835">
        <v>12</v>
      </c>
      <c r="D3809" s="1062" t="s">
        <v>20</v>
      </c>
      <c r="E3809" s="825">
        <v>1600</v>
      </c>
      <c r="F3809" s="825"/>
      <c r="G3809" s="825"/>
      <c r="H3809" s="825"/>
      <c r="I3809" s="825"/>
      <c r="J3809" s="825">
        <f t="shared" si="419"/>
        <v>19200</v>
      </c>
      <c r="K3809" s="825">
        <f t="shared" si="417"/>
        <v>19200</v>
      </c>
      <c r="L3809" s="825"/>
      <c r="M3809" s="825"/>
      <c r="N3809" s="825"/>
      <c r="O3809" s="826">
        <f t="shared" si="418"/>
        <v>19200</v>
      </c>
      <c r="P3809" s="1774"/>
      <c r="Q3809" s="1838"/>
      <c r="R3809" s="1838"/>
      <c r="S3809" s="1838"/>
      <c r="T3809" s="1838"/>
      <c r="U3809" s="1838"/>
      <c r="V3809" s="1838"/>
      <c r="W3809" s="1838"/>
      <c r="X3809" s="1838"/>
      <c r="Y3809" s="1838"/>
      <c r="Z3809" s="1838"/>
      <c r="AA3809" s="1838"/>
      <c r="AB3809" s="1838"/>
      <c r="AC3809" s="1838"/>
      <c r="AD3809" s="1838"/>
      <c r="AE3809" s="1838"/>
      <c r="AF3809" s="1838"/>
      <c r="AG3809" s="1838"/>
      <c r="AH3809" s="1838"/>
      <c r="AI3809" s="1838"/>
      <c r="AJ3809" s="1838"/>
      <c r="AK3809" s="1838"/>
      <c r="AL3809" s="1838"/>
      <c r="AM3809" s="1838"/>
      <c r="AN3809" s="1838"/>
      <c r="AO3809" s="1838"/>
      <c r="AP3809" s="1838"/>
      <c r="AQ3809" s="1838"/>
      <c r="AR3809" s="1838"/>
      <c r="AS3809" s="1838"/>
      <c r="AT3809" s="1838"/>
      <c r="AU3809" s="1838"/>
      <c r="AV3809" s="1838"/>
      <c r="AW3809" s="1838"/>
      <c r="AX3809" s="1838"/>
      <c r="AY3809" s="1838"/>
      <c r="AZ3809" s="1838"/>
      <c r="BA3809" s="1838"/>
      <c r="BB3809" s="1838"/>
      <c r="BC3809" s="1838"/>
      <c r="BD3809" s="1838"/>
      <c r="BE3809" s="1838"/>
      <c r="BF3809" s="1838"/>
      <c r="BG3809" s="1838"/>
      <c r="BH3809" s="1838"/>
      <c r="BI3809" s="1838"/>
      <c r="BJ3809" s="1838"/>
      <c r="BK3809" s="1838"/>
      <c r="BL3809" s="1838"/>
      <c r="BM3809" s="1838"/>
      <c r="BN3809" s="1838"/>
      <c r="BO3809" s="1838"/>
      <c r="BP3809" s="1838"/>
      <c r="BQ3809" s="1838"/>
      <c r="BR3809" s="1838"/>
      <c r="BS3809" s="1838"/>
      <c r="BT3809" s="1838"/>
      <c r="BU3809" s="1838"/>
      <c r="BV3809" s="1838"/>
      <c r="BW3809" s="1838"/>
      <c r="BX3809" s="1838"/>
      <c r="BY3809" s="1838"/>
      <c r="BZ3809" s="1838"/>
      <c r="CA3809" s="1838"/>
      <c r="CB3809" s="1838"/>
      <c r="CC3809" s="1838"/>
      <c r="CD3809" s="1838"/>
      <c r="CE3809" s="1838"/>
      <c r="CF3809" s="1838"/>
      <c r="CG3809" s="1838"/>
      <c r="CH3809" s="1838"/>
      <c r="CI3809" s="1838"/>
      <c r="CJ3809" s="1838"/>
      <c r="CK3809" s="1838"/>
    </row>
    <row r="3810" spans="1:89" s="1203" customFormat="1" ht="16.5" customHeight="1" x14ac:dyDescent="0.25">
      <c r="A3810" s="849"/>
      <c r="B3810" s="1714" t="s">
        <v>2301</v>
      </c>
      <c r="C3810" s="835">
        <v>60</v>
      </c>
      <c r="D3810" s="1062" t="s">
        <v>20</v>
      </c>
      <c r="E3810" s="825">
        <v>1200</v>
      </c>
      <c r="F3810" s="825"/>
      <c r="G3810" s="825"/>
      <c r="H3810" s="825"/>
      <c r="I3810" s="825"/>
      <c r="J3810" s="825">
        <f t="shared" si="419"/>
        <v>72000</v>
      </c>
      <c r="K3810" s="825">
        <f t="shared" si="417"/>
        <v>72000</v>
      </c>
      <c r="L3810" s="825"/>
      <c r="M3810" s="825"/>
      <c r="N3810" s="825"/>
      <c r="O3810" s="826">
        <f t="shared" si="418"/>
        <v>72000</v>
      </c>
      <c r="P3810" s="1774"/>
      <c r="Q3810" s="1838"/>
      <c r="R3810" s="1838"/>
      <c r="S3810" s="1838"/>
      <c r="T3810" s="1838"/>
      <c r="U3810" s="1838"/>
      <c r="V3810" s="1838"/>
      <c r="W3810" s="1838"/>
      <c r="X3810" s="1838"/>
      <c r="Y3810" s="1838"/>
      <c r="Z3810" s="1838"/>
      <c r="AA3810" s="1838"/>
      <c r="AB3810" s="1838"/>
      <c r="AC3810" s="1838"/>
      <c r="AD3810" s="1838"/>
      <c r="AE3810" s="1838"/>
      <c r="AF3810" s="1838"/>
      <c r="AG3810" s="1838"/>
      <c r="AH3810" s="1838"/>
      <c r="AI3810" s="1838"/>
      <c r="AJ3810" s="1838"/>
      <c r="AK3810" s="1838"/>
      <c r="AL3810" s="1838"/>
      <c r="AM3810" s="1838"/>
      <c r="AN3810" s="1838"/>
      <c r="AO3810" s="1838"/>
      <c r="AP3810" s="1838"/>
      <c r="AQ3810" s="1838"/>
      <c r="AR3810" s="1838"/>
      <c r="AS3810" s="1838"/>
      <c r="AT3810" s="1838"/>
      <c r="AU3810" s="1838"/>
      <c r="AV3810" s="1838"/>
      <c r="AW3810" s="1838"/>
      <c r="AX3810" s="1838"/>
      <c r="AY3810" s="1838"/>
      <c r="AZ3810" s="1838"/>
      <c r="BA3810" s="1838"/>
      <c r="BB3810" s="1838"/>
      <c r="BC3810" s="1838"/>
      <c r="BD3810" s="1838"/>
      <c r="BE3810" s="1838"/>
      <c r="BF3810" s="1838"/>
      <c r="BG3810" s="1838"/>
      <c r="BH3810" s="1838"/>
      <c r="BI3810" s="1838"/>
      <c r="BJ3810" s="1838"/>
      <c r="BK3810" s="1838"/>
      <c r="BL3810" s="1838"/>
      <c r="BM3810" s="1838"/>
      <c r="BN3810" s="1838"/>
      <c r="BO3810" s="1838"/>
      <c r="BP3810" s="1838"/>
      <c r="BQ3810" s="1838"/>
      <c r="BR3810" s="1838"/>
      <c r="BS3810" s="1838"/>
      <c r="BT3810" s="1838"/>
      <c r="BU3810" s="1838"/>
      <c r="BV3810" s="1838"/>
      <c r="BW3810" s="1838"/>
      <c r="BX3810" s="1838"/>
      <c r="BY3810" s="1838"/>
      <c r="BZ3810" s="1838"/>
      <c r="CA3810" s="1838"/>
      <c r="CB3810" s="1838"/>
      <c r="CC3810" s="1838"/>
      <c r="CD3810" s="1838"/>
      <c r="CE3810" s="1838"/>
      <c r="CF3810" s="1838"/>
      <c r="CG3810" s="1838"/>
      <c r="CH3810" s="1838"/>
      <c r="CI3810" s="1838"/>
      <c r="CJ3810" s="1838"/>
      <c r="CK3810" s="1838"/>
    </row>
    <row r="3811" spans="1:89" s="1203" customFormat="1" ht="16.5" customHeight="1" x14ac:dyDescent="0.25">
      <c r="A3811" s="849"/>
      <c r="B3811" s="1061"/>
      <c r="C3811" s="835"/>
      <c r="D3811" s="1062"/>
      <c r="E3811" s="825"/>
      <c r="F3811" s="825"/>
      <c r="G3811" s="825"/>
      <c r="H3811" s="825"/>
      <c r="I3811" s="825"/>
      <c r="J3811" s="825">
        <f t="shared" si="419"/>
        <v>0</v>
      </c>
      <c r="K3811" s="825"/>
      <c r="L3811" s="825"/>
      <c r="M3811" s="825"/>
      <c r="N3811" s="825"/>
      <c r="O3811" s="826"/>
      <c r="P3811" s="1774"/>
      <c r="Q3811" s="1838"/>
      <c r="R3811" s="1838"/>
      <c r="S3811" s="1838"/>
      <c r="T3811" s="1838"/>
      <c r="U3811" s="1838"/>
      <c r="V3811" s="1838"/>
      <c r="W3811" s="1838"/>
      <c r="X3811" s="1838"/>
      <c r="Y3811" s="1838"/>
      <c r="Z3811" s="1838"/>
      <c r="AA3811" s="1838"/>
      <c r="AB3811" s="1838"/>
      <c r="AC3811" s="1838"/>
      <c r="AD3811" s="1838"/>
      <c r="AE3811" s="1838"/>
      <c r="AF3811" s="1838"/>
      <c r="AG3811" s="1838"/>
      <c r="AH3811" s="1838"/>
      <c r="AI3811" s="1838"/>
      <c r="AJ3811" s="1838"/>
      <c r="AK3811" s="1838"/>
      <c r="AL3811" s="1838"/>
      <c r="AM3811" s="1838"/>
      <c r="AN3811" s="1838"/>
      <c r="AO3811" s="1838"/>
      <c r="AP3811" s="1838"/>
      <c r="AQ3811" s="1838"/>
      <c r="AR3811" s="1838"/>
      <c r="AS3811" s="1838"/>
      <c r="AT3811" s="1838"/>
      <c r="AU3811" s="1838"/>
      <c r="AV3811" s="1838"/>
      <c r="AW3811" s="1838"/>
      <c r="AX3811" s="1838"/>
      <c r="AY3811" s="1838"/>
      <c r="AZ3811" s="1838"/>
      <c r="BA3811" s="1838"/>
      <c r="BB3811" s="1838"/>
      <c r="BC3811" s="1838"/>
      <c r="BD3811" s="1838"/>
      <c r="BE3811" s="1838"/>
      <c r="BF3811" s="1838"/>
      <c r="BG3811" s="1838"/>
      <c r="BH3811" s="1838"/>
      <c r="BI3811" s="1838"/>
      <c r="BJ3811" s="1838"/>
      <c r="BK3811" s="1838"/>
      <c r="BL3811" s="1838"/>
      <c r="BM3811" s="1838"/>
      <c r="BN3811" s="1838"/>
      <c r="BO3811" s="1838"/>
      <c r="BP3811" s="1838"/>
      <c r="BQ3811" s="1838"/>
      <c r="BR3811" s="1838"/>
      <c r="BS3811" s="1838"/>
      <c r="BT3811" s="1838"/>
      <c r="BU3811" s="1838"/>
      <c r="BV3811" s="1838"/>
      <c r="BW3811" s="1838"/>
      <c r="BX3811" s="1838"/>
      <c r="BY3811" s="1838"/>
      <c r="BZ3811" s="1838"/>
      <c r="CA3811" s="1838"/>
      <c r="CB3811" s="1838"/>
      <c r="CC3811" s="1838"/>
      <c r="CD3811" s="1838"/>
      <c r="CE3811" s="1838"/>
      <c r="CF3811" s="1838"/>
      <c r="CG3811" s="1838"/>
      <c r="CH3811" s="1838"/>
      <c r="CI3811" s="1838"/>
      <c r="CJ3811" s="1838"/>
      <c r="CK3811" s="1838"/>
    </row>
    <row r="3812" spans="1:89" s="1203" customFormat="1" ht="16.5" customHeight="1" x14ac:dyDescent="0.25">
      <c r="A3812" s="849"/>
      <c r="B3812" s="1061" t="s">
        <v>1419</v>
      </c>
      <c r="C3812" s="835"/>
      <c r="D3812" s="1062"/>
      <c r="E3812" s="825"/>
      <c r="F3812" s="825"/>
      <c r="G3812" s="825"/>
      <c r="H3812" s="825"/>
      <c r="I3812" s="825"/>
      <c r="J3812" s="825">
        <f t="shared" si="419"/>
        <v>0</v>
      </c>
      <c r="K3812" s="825"/>
      <c r="L3812" s="825"/>
      <c r="M3812" s="825"/>
      <c r="N3812" s="825"/>
      <c r="O3812" s="826"/>
      <c r="P3812" s="1774"/>
      <c r="Q3812" s="1838"/>
      <c r="R3812" s="1838"/>
      <c r="S3812" s="1838"/>
      <c r="T3812" s="1838"/>
      <c r="U3812" s="1838"/>
      <c r="V3812" s="1838"/>
      <c r="W3812" s="1838"/>
      <c r="X3812" s="1838"/>
      <c r="Y3812" s="1838"/>
      <c r="Z3812" s="1838"/>
      <c r="AA3812" s="1838"/>
      <c r="AB3812" s="1838"/>
      <c r="AC3812" s="1838"/>
      <c r="AD3812" s="1838"/>
      <c r="AE3812" s="1838"/>
      <c r="AF3812" s="1838"/>
      <c r="AG3812" s="1838"/>
      <c r="AH3812" s="1838"/>
      <c r="AI3812" s="1838"/>
      <c r="AJ3812" s="1838"/>
      <c r="AK3812" s="1838"/>
      <c r="AL3812" s="1838"/>
      <c r="AM3812" s="1838"/>
      <c r="AN3812" s="1838"/>
      <c r="AO3812" s="1838"/>
      <c r="AP3812" s="1838"/>
      <c r="AQ3812" s="1838"/>
      <c r="AR3812" s="1838"/>
      <c r="AS3812" s="1838"/>
      <c r="AT3812" s="1838"/>
      <c r="AU3812" s="1838"/>
      <c r="AV3812" s="1838"/>
      <c r="AW3812" s="1838"/>
      <c r="AX3812" s="1838"/>
      <c r="AY3812" s="1838"/>
      <c r="AZ3812" s="1838"/>
      <c r="BA3812" s="1838"/>
      <c r="BB3812" s="1838"/>
      <c r="BC3812" s="1838"/>
      <c r="BD3812" s="1838"/>
      <c r="BE3812" s="1838"/>
      <c r="BF3812" s="1838"/>
      <c r="BG3812" s="1838"/>
      <c r="BH3812" s="1838"/>
      <c r="BI3812" s="1838"/>
      <c r="BJ3812" s="1838"/>
      <c r="BK3812" s="1838"/>
      <c r="BL3812" s="1838"/>
      <c r="BM3812" s="1838"/>
      <c r="BN3812" s="1838"/>
      <c r="BO3812" s="1838"/>
      <c r="BP3812" s="1838"/>
      <c r="BQ3812" s="1838"/>
      <c r="BR3812" s="1838"/>
      <c r="BS3812" s="1838"/>
      <c r="BT3812" s="1838"/>
      <c r="BU3812" s="1838"/>
      <c r="BV3812" s="1838"/>
      <c r="BW3812" s="1838"/>
      <c r="BX3812" s="1838"/>
      <c r="BY3812" s="1838"/>
      <c r="BZ3812" s="1838"/>
      <c r="CA3812" s="1838"/>
      <c r="CB3812" s="1838"/>
      <c r="CC3812" s="1838"/>
      <c r="CD3812" s="1838"/>
      <c r="CE3812" s="1838"/>
      <c r="CF3812" s="1838"/>
      <c r="CG3812" s="1838"/>
      <c r="CH3812" s="1838"/>
      <c r="CI3812" s="1838"/>
      <c r="CJ3812" s="1838"/>
      <c r="CK3812" s="1838"/>
    </row>
    <row r="3813" spans="1:89" s="1203" customFormat="1" ht="16.5" customHeight="1" x14ac:dyDescent="0.25">
      <c r="A3813" s="849"/>
      <c r="B3813" s="1061" t="s">
        <v>2247</v>
      </c>
      <c r="C3813" s="835"/>
      <c r="D3813" s="1062"/>
      <c r="E3813" s="825"/>
      <c r="F3813" s="825"/>
      <c r="G3813" s="825"/>
      <c r="H3813" s="825"/>
      <c r="I3813" s="825"/>
      <c r="J3813" s="825">
        <f t="shared" si="419"/>
        <v>0</v>
      </c>
      <c r="K3813" s="825"/>
      <c r="L3813" s="825"/>
      <c r="M3813" s="825"/>
      <c r="N3813" s="825"/>
      <c r="O3813" s="826"/>
      <c r="P3813" s="1774"/>
      <c r="Q3813" s="1838"/>
      <c r="R3813" s="1838"/>
      <c r="S3813" s="1838"/>
      <c r="T3813" s="1838"/>
      <c r="U3813" s="1838"/>
      <c r="V3813" s="1838"/>
      <c r="W3813" s="1838"/>
      <c r="X3813" s="1838"/>
      <c r="Y3813" s="1838"/>
      <c r="Z3813" s="1838"/>
      <c r="AA3813" s="1838"/>
      <c r="AB3813" s="1838"/>
      <c r="AC3813" s="1838"/>
      <c r="AD3813" s="1838"/>
      <c r="AE3813" s="1838"/>
      <c r="AF3813" s="1838"/>
      <c r="AG3813" s="1838"/>
      <c r="AH3813" s="1838"/>
      <c r="AI3813" s="1838"/>
      <c r="AJ3813" s="1838"/>
      <c r="AK3813" s="1838"/>
      <c r="AL3813" s="1838"/>
      <c r="AM3813" s="1838"/>
      <c r="AN3813" s="1838"/>
      <c r="AO3813" s="1838"/>
      <c r="AP3813" s="1838"/>
      <c r="AQ3813" s="1838"/>
      <c r="AR3813" s="1838"/>
      <c r="AS3813" s="1838"/>
      <c r="AT3813" s="1838"/>
      <c r="AU3813" s="1838"/>
      <c r="AV3813" s="1838"/>
      <c r="AW3813" s="1838"/>
      <c r="AX3813" s="1838"/>
      <c r="AY3813" s="1838"/>
      <c r="AZ3813" s="1838"/>
      <c r="BA3813" s="1838"/>
      <c r="BB3813" s="1838"/>
      <c r="BC3813" s="1838"/>
      <c r="BD3813" s="1838"/>
      <c r="BE3813" s="1838"/>
      <c r="BF3813" s="1838"/>
      <c r="BG3813" s="1838"/>
      <c r="BH3813" s="1838"/>
      <c r="BI3813" s="1838"/>
      <c r="BJ3813" s="1838"/>
      <c r="BK3813" s="1838"/>
      <c r="BL3813" s="1838"/>
      <c r="BM3813" s="1838"/>
      <c r="BN3813" s="1838"/>
      <c r="BO3813" s="1838"/>
      <c r="BP3813" s="1838"/>
      <c r="BQ3813" s="1838"/>
      <c r="BR3813" s="1838"/>
      <c r="BS3813" s="1838"/>
      <c r="BT3813" s="1838"/>
      <c r="BU3813" s="1838"/>
      <c r="BV3813" s="1838"/>
      <c r="BW3813" s="1838"/>
      <c r="BX3813" s="1838"/>
      <c r="BY3813" s="1838"/>
      <c r="BZ3813" s="1838"/>
      <c r="CA3813" s="1838"/>
      <c r="CB3813" s="1838"/>
      <c r="CC3813" s="1838"/>
      <c r="CD3813" s="1838"/>
      <c r="CE3813" s="1838"/>
      <c r="CF3813" s="1838"/>
      <c r="CG3813" s="1838"/>
      <c r="CH3813" s="1838"/>
      <c r="CI3813" s="1838"/>
      <c r="CJ3813" s="1838"/>
      <c r="CK3813" s="1838"/>
    </row>
    <row r="3814" spans="1:89" s="1203" customFormat="1" ht="16.5" customHeight="1" x14ac:dyDescent="0.25">
      <c r="A3814" s="849"/>
      <c r="B3814" s="1714" t="s">
        <v>2302</v>
      </c>
      <c r="C3814" s="835">
        <v>24</v>
      </c>
      <c r="D3814" s="1062" t="s">
        <v>20</v>
      </c>
      <c r="E3814" s="825">
        <v>300</v>
      </c>
      <c r="F3814" s="825"/>
      <c r="G3814" s="825"/>
      <c r="H3814" s="825"/>
      <c r="I3814" s="825"/>
      <c r="J3814" s="825">
        <f t="shared" si="419"/>
        <v>7200</v>
      </c>
      <c r="K3814" s="825">
        <f>J3814+I3814</f>
        <v>7200</v>
      </c>
      <c r="L3814" s="825"/>
      <c r="M3814" s="825"/>
      <c r="N3814" s="825"/>
      <c r="O3814" s="826">
        <f>N3814+K3814+H3814</f>
        <v>7200</v>
      </c>
      <c r="P3814" s="1774"/>
      <c r="Q3814" s="1838"/>
      <c r="R3814" s="1838"/>
      <c r="S3814" s="1838"/>
      <c r="T3814" s="1838"/>
      <c r="U3814" s="1838"/>
      <c r="V3814" s="1838"/>
      <c r="W3814" s="1838"/>
      <c r="X3814" s="1838"/>
      <c r="Y3814" s="1838"/>
      <c r="Z3814" s="1838"/>
      <c r="AA3814" s="1838"/>
      <c r="AB3814" s="1838"/>
      <c r="AC3814" s="1838"/>
      <c r="AD3814" s="1838"/>
      <c r="AE3814" s="1838"/>
      <c r="AF3814" s="1838"/>
      <c r="AG3814" s="1838"/>
      <c r="AH3814" s="1838"/>
      <c r="AI3814" s="1838"/>
      <c r="AJ3814" s="1838"/>
      <c r="AK3814" s="1838"/>
      <c r="AL3814" s="1838"/>
      <c r="AM3814" s="1838"/>
      <c r="AN3814" s="1838"/>
      <c r="AO3814" s="1838"/>
      <c r="AP3814" s="1838"/>
      <c r="AQ3814" s="1838"/>
      <c r="AR3814" s="1838"/>
      <c r="AS3814" s="1838"/>
      <c r="AT3814" s="1838"/>
      <c r="AU3814" s="1838"/>
      <c r="AV3814" s="1838"/>
      <c r="AW3814" s="1838"/>
      <c r="AX3814" s="1838"/>
      <c r="AY3814" s="1838"/>
      <c r="AZ3814" s="1838"/>
      <c r="BA3814" s="1838"/>
      <c r="BB3814" s="1838"/>
      <c r="BC3814" s="1838"/>
      <c r="BD3814" s="1838"/>
      <c r="BE3814" s="1838"/>
      <c r="BF3814" s="1838"/>
      <c r="BG3814" s="1838"/>
      <c r="BH3814" s="1838"/>
      <c r="BI3814" s="1838"/>
      <c r="BJ3814" s="1838"/>
      <c r="BK3814" s="1838"/>
      <c r="BL3814" s="1838"/>
      <c r="BM3814" s="1838"/>
      <c r="BN3814" s="1838"/>
      <c r="BO3814" s="1838"/>
      <c r="BP3814" s="1838"/>
      <c r="BQ3814" s="1838"/>
      <c r="BR3814" s="1838"/>
      <c r="BS3814" s="1838"/>
      <c r="BT3814" s="1838"/>
      <c r="BU3814" s="1838"/>
      <c r="BV3814" s="1838"/>
      <c r="BW3814" s="1838"/>
      <c r="BX3814" s="1838"/>
      <c r="BY3814" s="1838"/>
      <c r="BZ3814" s="1838"/>
      <c r="CA3814" s="1838"/>
      <c r="CB3814" s="1838"/>
      <c r="CC3814" s="1838"/>
      <c r="CD3814" s="1838"/>
      <c r="CE3814" s="1838"/>
      <c r="CF3814" s="1838"/>
      <c r="CG3814" s="1838"/>
      <c r="CH3814" s="1838"/>
      <c r="CI3814" s="1838"/>
      <c r="CJ3814" s="1838"/>
      <c r="CK3814" s="1838"/>
    </row>
    <row r="3815" spans="1:89" s="1203" customFormat="1" ht="16.5" customHeight="1" x14ac:dyDescent="0.25">
      <c r="A3815" s="849"/>
      <c r="B3815" s="1714" t="s">
        <v>2303</v>
      </c>
      <c r="C3815" s="835">
        <v>83</v>
      </c>
      <c r="D3815" s="1062" t="s">
        <v>66</v>
      </c>
      <c r="E3815" s="825">
        <v>600</v>
      </c>
      <c r="F3815" s="825"/>
      <c r="G3815" s="825"/>
      <c r="H3815" s="825"/>
      <c r="I3815" s="825"/>
      <c r="J3815" s="825">
        <f t="shared" si="419"/>
        <v>49800</v>
      </c>
      <c r="K3815" s="825">
        <f>J3815+I3815</f>
        <v>49800</v>
      </c>
      <c r="L3815" s="825"/>
      <c r="M3815" s="825"/>
      <c r="N3815" s="825"/>
      <c r="O3815" s="826">
        <f>N3815+K3815+H3815</f>
        <v>49800</v>
      </c>
      <c r="P3815" s="1774"/>
      <c r="Q3815" s="1838"/>
      <c r="R3815" s="1838"/>
      <c r="S3815" s="1838"/>
      <c r="T3815" s="1838"/>
      <c r="U3815" s="1838"/>
      <c r="V3815" s="1838"/>
      <c r="W3815" s="1838"/>
      <c r="X3815" s="1838"/>
      <c r="Y3815" s="1838"/>
      <c r="Z3815" s="1838"/>
      <c r="AA3815" s="1838"/>
      <c r="AB3815" s="1838"/>
      <c r="AC3815" s="1838"/>
      <c r="AD3815" s="1838"/>
      <c r="AE3815" s="1838"/>
      <c r="AF3815" s="1838"/>
      <c r="AG3815" s="1838"/>
      <c r="AH3815" s="1838"/>
      <c r="AI3815" s="1838"/>
      <c r="AJ3815" s="1838"/>
      <c r="AK3815" s="1838"/>
      <c r="AL3815" s="1838"/>
      <c r="AM3815" s="1838"/>
      <c r="AN3815" s="1838"/>
      <c r="AO3815" s="1838"/>
      <c r="AP3815" s="1838"/>
      <c r="AQ3815" s="1838"/>
      <c r="AR3815" s="1838"/>
      <c r="AS3815" s="1838"/>
      <c r="AT3815" s="1838"/>
      <c r="AU3815" s="1838"/>
      <c r="AV3815" s="1838"/>
      <c r="AW3815" s="1838"/>
      <c r="AX3815" s="1838"/>
      <c r="AY3815" s="1838"/>
      <c r="AZ3815" s="1838"/>
      <c r="BA3815" s="1838"/>
      <c r="BB3815" s="1838"/>
      <c r="BC3815" s="1838"/>
      <c r="BD3815" s="1838"/>
      <c r="BE3815" s="1838"/>
      <c r="BF3815" s="1838"/>
      <c r="BG3815" s="1838"/>
      <c r="BH3815" s="1838"/>
      <c r="BI3815" s="1838"/>
      <c r="BJ3815" s="1838"/>
      <c r="BK3815" s="1838"/>
      <c r="BL3815" s="1838"/>
      <c r="BM3815" s="1838"/>
      <c r="BN3815" s="1838"/>
      <c r="BO3815" s="1838"/>
      <c r="BP3815" s="1838"/>
      <c r="BQ3815" s="1838"/>
      <c r="BR3815" s="1838"/>
      <c r="BS3815" s="1838"/>
      <c r="BT3815" s="1838"/>
      <c r="BU3815" s="1838"/>
      <c r="BV3815" s="1838"/>
      <c r="BW3815" s="1838"/>
      <c r="BX3815" s="1838"/>
      <c r="BY3815" s="1838"/>
      <c r="BZ3815" s="1838"/>
      <c r="CA3815" s="1838"/>
      <c r="CB3815" s="1838"/>
      <c r="CC3815" s="1838"/>
      <c r="CD3815" s="1838"/>
      <c r="CE3815" s="1838"/>
      <c r="CF3815" s="1838"/>
      <c r="CG3815" s="1838"/>
      <c r="CH3815" s="1838"/>
      <c r="CI3815" s="1838"/>
      <c r="CJ3815" s="1838"/>
      <c r="CK3815" s="1838"/>
    </row>
    <row r="3816" spans="1:89" s="1203" customFormat="1" ht="16.5" customHeight="1" x14ac:dyDescent="0.25">
      <c r="A3816" s="849"/>
      <c r="B3816" s="1714" t="s">
        <v>2304</v>
      </c>
      <c r="C3816" s="835">
        <v>100</v>
      </c>
      <c r="D3816" s="1062" t="s">
        <v>66</v>
      </c>
      <c r="E3816" s="825">
        <v>300</v>
      </c>
      <c r="F3816" s="825"/>
      <c r="G3816" s="825"/>
      <c r="H3816" s="825"/>
      <c r="I3816" s="825"/>
      <c r="J3816" s="825">
        <f>E3816*C3816</f>
        <v>30000</v>
      </c>
      <c r="K3816" s="825">
        <f>J3816+I3816</f>
        <v>30000</v>
      </c>
      <c r="L3816" s="825"/>
      <c r="M3816" s="825"/>
      <c r="N3816" s="825"/>
      <c r="O3816" s="826">
        <f>N3816+K3816+H3816</f>
        <v>30000</v>
      </c>
      <c r="P3816" s="1774"/>
      <c r="Q3816" s="1838"/>
      <c r="R3816" s="1838"/>
      <c r="S3816" s="1838"/>
      <c r="T3816" s="1838"/>
      <c r="U3816" s="1838"/>
      <c r="V3816" s="1838"/>
      <c r="W3816" s="1838"/>
      <c r="X3816" s="1838"/>
      <c r="Y3816" s="1838"/>
      <c r="Z3816" s="1838"/>
      <c r="AA3816" s="1838"/>
      <c r="AB3816" s="1838"/>
      <c r="AC3816" s="1838"/>
      <c r="AD3816" s="1838"/>
      <c r="AE3816" s="1838"/>
      <c r="AF3816" s="1838"/>
      <c r="AG3816" s="1838"/>
      <c r="AH3816" s="1838"/>
      <c r="AI3816" s="1838"/>
      <c r="AJ3816" s="1838"/>
      <c r="AK3816" s="1838"/>
      <c r="AL3816" s="1838"/>
      <c r="AM3816" s="1838"/>
      <c r="AN3816" s="1838"/>
      <c r="AO3816" s="1838"/>
      <c r="AP3816" s="1838"/>
      <c r="AQ3816" s="1838"/>
      <c r="AR3816" s="1838"/>
      <c r="AS3816" s="1838"/>
      <c r="AT3816" s="1838"/>
      <c r="AU3816" s="1838"/>
      <c r="AV3816" s="1838"/>
      <c r="AW3816" s="1838"/>
      <c r="AX3816" s="1838"/>
      <c r="AY3816" s="1838"/>
      <c r="AZ3816" s="1838"/>
      <c r="BA3816" s="1838"/>
      <c r="BB3816" s="1838"/>
      <c r="BC3816" s="1838"/>
      <c r="BD3816" s="1838"/>
      <c r="BE3816" s="1838"/>
      <c r="BF3816" s="1838"/>
      <c r="BG3816" s="1838"/>
      <c r="BH3816" s="1838"/>
      <c r="BI3816" s="1838"/>
      <c r="BJ3816" s="1838"/>
      <c r="BK3816" s="1838"/>
      <c r="BL3816" s="1838"/>
      <c r="BM3816" s="1838"/>
      <c r="BN3816" s="1838"/>
      <c r="BO3816" s="1838"/>
      <c r="BP3816" s="1838"/>
      <c r="BQ3816" s="1838"/>
      <c r="BR3816" s="1838"/>
      <c r="BS3816" s="1838"/>
      <c r="BT3816" s="1838"/>
      <c r="BU3816" s="1838"/>
      <c r="BV3816" s="1838"/>
      <c r="BW3816" s="1838"/>
      <c r="BX3816" s="1838"/>
      <c r="BY3816" s="1838"/>
      <c r="BZ3816" s="1838"/>
      <c r="CA3816" s="1838"/>
      <c r="CB3816" s="1838"/>
      <c r="CC3816" s="1838"/>
      <c r="CD3816" s="1838"/>
      <c r="CE3816" s="1838"/>
      <c r="CF3816" s="1838"/>
      <c r="CG3816" s="1838"/>
      <c r="CH3816" s="1838"/>
      <c r="CI3816" s="1838"/>
      <c r="CJ3816" s="1838"/>
      <c r="CK3816" s="1838"/>
    </row>
    <row r="3817" spans="1:89" s="744" customFormat="1" ht="16.5" customHeight="1" x14ac:dyDescent="0.25">
      <c r="A3817" s="710"/>
      <c r="B3817" s="1034"/>
      <c r="C3817" s="1031"/>
      <c r="D3817" s="1032"/>
      <c r="E3817" s="1036"/>
      <c r="F3817" s="1222"/>
      <c r="G3817" s="714"/>
      <c r="H3817" s="700"/>
      <c r="I3817" s="714"/>
      <c r="J3817" s="714"/>
      <c r="K3817" s="700"/>
      <c r="L3817" s="714"/>
      <c r="M3817" s="714"/>
      <c r="N3817" s="700"/>
      <c r="O3817" s="974"/>
      <c r="P3817" s="956"/>
      <c r="Q3817" s="1821"/>
      <c r="R3817" s="1821"/>
      <c r="S3817" s="1821"/>
      <c r="T3817" s="1821"/>
      <c r="U3817" s="1821"/>
      <c r="V3817" s="1821"/>
      <c r="W3817" s="1821"/>
      <c r="X3817" s="1821"/>
      <c r="Y3817" s="1821"/>
      <c r="Z3817" s="1821"/>
      <c r="AA3817" s="1821"/>
      <c r="AB3817" s="1821"/>
      <c r="AC3817" s="1821"/>
      <c r="AD3817" s="1821"/>
      <c r="AE3817" s="1821"/>
      <c r="AF3817" s="1821"/>
      <c r="AG3817" s="1821"/>
      <c r="AH3817" s="1821"/>
      <c r="AI3817" s="1821"/>
      <c r="AJ3817" s="1821"/>
      <c r="AK3817" s="1821"/>
      <c r="AL3817" s="1821"/>
      <c r="AM3817" s="1821"/>
      <c r="AN3817" s="1821"/>
      <c r="AO3817" s="1821"/>
      <c r="AP3817" s="1821"/>
      <c r="AQ3817" s="1821"/>
      <c r="AR3817" s="1821"/>
      <c r="AS3817" s="1821"/>
      <c r="AT3817" s="1821"/>
      <c r="AU3817" s="1821"/>
      <c r="AV3817" s="1821"/>
      <c r="AW3817" s="1821"/>
      <c r="AX3817" s="1821"/>
      <c r="AY3817" s="1821"/>
      <c r="AZ3817" s="1821"/>
      <c r="BA3817" s="1821"/>
      <c r="BB3817" s="1821"/>
      <c r="BC3817" s="1821"/>
      <c r="BD3817" s="1821"/>
      <c r="BE3817" s="1821"/>
      <c r="BF3817" s="1821"/>
      <c r="BG3817" s="1821"/>
      <c r="BH3817" s="1821"/>
      <c r="BI3817" s="1821"/>
      <c r="BJ3817" s="1821"/>
      <c r="BK3817" s="1821"/>
      <c r="BL3817" s="1821"/>
      <c r="BM3817" s="1821"/>
      <c r="BN3817" s="1821"/>
      <c r="BO3817" s="1821"/>
      <c r="BP3817" s="1821"/>
      <c r="BQ3817" s="1821"/>
      <c r="BR3817" s="1821"/>
      <c r="BS3817" s="1821"/>
      <c r="BT3817" s="1821"/>
      <c r="BU3817" s="1821"/>
      <c r="BV3817" s="1821"/>
      <c r="BW3817" s="1821"/>
      <c r="BX3817" s="1821"/>
      <c r="BY3817" s="1821"/>
      <c r="BZ3817" s="1821"/>
      <c r="CA3817" s="1821"/>
      <c r="CB3817" s="1821"/>
      <c r="CC3817" s="1821"/>
      <c r="CD3817" s="1821"/>
      <c r="CE3817" s="1821"/>
      <c r="CF3817" s="1821"/>
      <c r="CG3817" s="1821"/>
      <c r="CH3817" s="1821"/>
      <c r="CI3817" s="1821"/>
      <c r="CJ3817" s="1821"/>
      <c r="CK3817" s="1821"/>
    </row>
    <row r="3818" spans="1:89" s="744" customFormat="1" ht="16.5" customHeight="1" x14ac:dyDescent="0.25">
      <c r="A3818" s="710"/>
      <c r="B3818" s="1034"/>
      <c r="C3818" s="1031"/>
      <c r="D3818" s="1032"/>
      <c r="E3818" s="1036"/>
      <c r="F3818" s="1222"/>
      <c r="G3818" s="714"/>
      <c r="H3818" s="700"/>
      <c r="I3818" s="714"/>
      <c r="J3818" s="714"/>
      <c r="K3818" s="700"/>
      <c r="L3818" s="714"/>
      <c r="M3818" s="714"/>
      <c r="N3818" s="700"/>
      <c r="O3818" s="974"/>
      <c r="P3818" s="956"/>
      <c r="Q3818" s="1821"/>
      <c r="R3818" s="1821"/>
      <c r="S3818" s="1821"/>
      <c r="T3818" s="1821"/>
      <c r="U3818" s="1821"/>
      <c r="V3818" s="1821"/>
      <c r="W3818" s="1821"/>
      <c r="X3818" s="1821"/>
      <c r="Y3818" s="1821"/>
      <c r="Z3818" s="1821"/>
      <c r="AA3818" s="1821"/>
      <c r="AB3818" s="1821"/>
      <c r="AC3818" s="1821"/>
      <c r="AD3818" s="1821"/>
      <c r="AE3818" s="1821"/>
      <c r="AF3818" s="1821"/>
      <c r="AG3818" s="1821"/>
      <c r="AH3818" s="1821"/>
      <c r="AI3818" s="1821"/>
      <c r="AJ3818" s="1821"/>
      <c r="AK3818" s="1821"/>
      <c r="AL3818" s="1821"/>
      <c r="AM3818" s="1821"/>
      <c r="AN3818" s="1821"/>
      <c r="AO3818" s="1821"/>
      <c r="AP3818" s="1821"/>
      <c r="AQ3818" s="1821"/>
      <c r="AR3818" s="1821"/>
      <c r="AS3818" s="1821"/>
      <c r="AT3818" s="1821"/>
      <c r="AU3818" s="1821"/>
      <c r="AV3818" s="1821"/>
      <c r="AW3818" s="1821"/>
      <c r="AX3818" s="1821"/>
      <c r="AY3818" s="1821"/>
      <c r="AZ3818" s="1821"/>
      <c r="BA3818" s="1821"/>
      <c r="BB3818" s="1821"/>
      <c r="BC3818" s="1821"/>
      <c r="BD3818" s="1821"/>
      <c r="BE3818" s="1821"/>
      <c r="BF3818" s="1821"/>
      <c r="BG3818" s="1821"/>
      <c r="BH3818" s="1821"/>
      <c r="BI3818" s="1821"/>
      <c r="BJ3818" s="1821"/>
      <c r="BK3818" s="1821"/>
      <c r="BL3818" s="1821"/>
      <c r="BM3818" s="1821"/>
      <c r="BN3818" s="1821"/>
      <c r="BO3818" s="1821"/>
      <c r="BP3818" s="1821"/>
      <c r="BQ3818" s="1821"/>
      <c r="BR3818" s="1821"/>
      <c r="BS3818" s="1821"/>
      <c r="BT3818" s="1821"/>
      <c r="BU3818" s="1821"/>
      <c r="BV3818" s="1821"/>
      <c r="BW3818" s="1821"/>
      <c r="BX3818" s="1821"/>
      <c r="BY3818" s="1821"/>
      <c r="BZ3818" s="1821"/>
      <c r="CA3818" s="1821"/>
      <c r="CB3818" s="1821"/>
      <c r="CC3818" s="1821"/>
      <c r="CD3818" s="1821"/>
      <c r="CE3818" s="1821"/>
      <c r="CF3818" s="1821"/>
      <c r="CG3818" s="1821"/>
      <c r="CH3818" s="1821"/>
      <c r="CI3818" s="1821"/>
      <c r="CJ3818" s="1821"/>
      <c r="CK3818" s="1821"/>
    </row>
    <row r="3819" spans="1:89" s="744" customFormat="1" ht="16.5" customHeight="1" x14ac:dyDescent="0.25">
      <c r="A3819" s="710"/>
      <c r="B3819" s="1034"/>
      <c r="C3819" s="1031"/>
      <c r="D3819" s="1032"/>
      <c r="E3819" s="1036"/>
      <c r="F3819" s="1222"/>
      <c r="G3819" s="714"/>
      <c r="H3819" s="700"/>
      <c r="I3819" s="714"/>
      <c r="J3819" s="714"/>
      <c r="K3819" s="700"/>
      <c r="L3819" s="714"/>
      <c r="M3819" s="714"/>
      <c r="N3819" s="700"/>
      <c r="O3819" s="974"/>
      <c r="P3819" s="956"/>
      <c r="Q3819" s="1821"/>
      <c r="R3819" s="1821"/>
      <c r="S3819" s="1821"/>
      <c r="T3819" s="1821"/>
      <c r="U3819" s="1821"/>
      <c r="V3819" s="1821"/>
      <c r="W3819" s="1821"/>
      <c r="X3819" s="1821"/>
      <c r="Y3819" s="1821"/>
      <c r="Z3819" s="1821"/>
      <c r="AA3819" s="1821"/>
      <c r="AB3819" s="1821"/>
      <c r="AC3819" s="1821"/>
      <c r="AD3819" s="1821"/>
      <c r="AE3819" s="1821"/>
      <c r="AF3819" s="1821"/>
      <c r="AG3819" s="1821"/>
      <c r="AH3819" s="1821"/>
      <c r="AI3819" s="1821"/>
      <c r="AJ3819" s="1821"/>
      <c r="AK3819" s="1821"/>
      <c r="AL3819" s="1821"/>
      <c r="AM3819" s="1821"/>
      <c r="AN3819" s="1821"/>
      <c r="AO3819" s="1821"/>
      <c r="AP3819" s="1821"/>
      <c r="AQ3819" s="1821"/>
      <c r="AR3819" s="1821"/>
      <c r="AS3819" s="1821"/>
      <c r="AT3819" s="1821"/>
      <c r="AU3819" s="1821"/>
      <c r="AV3819" s="1821"/>
      <c r="AW3819" s="1821"/>
      <c r="AX3819" s="1821"/>
      <c r="AY3819" s="1821"/>
      <c r="AZ3819" s="1821"/>
      <c r="BA3819" s="1821"/>
      <c r="BB3819" s="1821"/>
      <c r="BC3819" s="1821"/>
      <c r="BD3819" s="1821"/>
      <c r="BE3819" s="1821"/>
      <c r="BF3819" s="1821"/>
      <c r="BG3819" s="1821"/>
      <c r="BH3819" s="1821"/>
      <c r="BI3819" s="1821"/>
      <c r="BJ3819" s="1821"/>
      <c r="BK3819" s="1821"/>
      <c r="BL3819" s="1821"/>
      <c r="BM3819" s="1821"/>
      <c r="BN3819" s="1821"/>
      <c r="BO3819" s="1821"/>
      <c r="BP3819" s="1821"/>
      <c r="BQ3819" s="1821"/>
      <c r="BR3819" s="1821"/>
      <c r="BS3819" s="1821"/>
      <c r="BT3819" s="1821"/>
      <c r="BU3819" s="1821"/>
      <c r="BV3819" s="1821"/>
      <c r="BW3819" s="1821"/>
      <c r="BX3819" s="1821"/>
      <c r="BY3819" s="1821"/>
      <c r="BZ3819" s="1821"/>
      <c r="CA3819" s="1821"/>
      <c r="CB3819" s="1821"/>
      <c r="CC3819" s="1821"/>
      <c r="CD3819" s="1821"/>
      <c r="CE3819" s="1821"/>
      <c r="CF3819" s="1821"/>
      <c r="CG3819" s="1821"/>
      <c r="CH3819" s="1821"/>
      <c r="CI3819" s="1821"/>
      <c r="CJ3819" s="1821"/>
      <c r="CK3819" s="1821"/>
    </row>
    <row r="3820" spans="1:89" s="744" customFormat="1" ht="16.5" customHeight="1" x14ac:dyDescent="0.25">
      <c r="A3820" s="1012"/>
      <c r="B3820" s="703"/>
      <c r="C3820" s="827"/>
      <c r="D3820" s="961"/>
      <c r="E3820" s="758"/>
      <c r="F3820" s="1222"/>
      <c r="G3820" s="714"/>
      <c r="H3820" s="700">
        <f t="shared" ref="H3820:H3827" si="420">G3820+F3820</f>
        <v>0</v>
      </c>
      <c r="I3820" s="714"/>
      <c r="J3820" s="714"/>
      <c r="K3820" s="700">
        <f t="shared" ref="K3820:K3827" si="421">J3820+I3820</f>
        <v>0</v>
      </c>
      <c r="L3820" s="714"/>
      <c r="M3820" s="714"/>
      <c r="N3820" s="700">
        <f t="shared" si="415"/>
        <v>0</v>
      </c>
      <c r="O3820" s="974">
        <f>N3820+K3820+H3820</f>
        <v>0</v>
      </c>
      <c r="P3820" s="956"/>
      <c r="Q3820" s="1821"/>
      <c r="R3820" s="1821"/>
      <c r="S3820" s="1821"/>
      <c r="T3820" s="1821"/>
      <c r="U3820" s="1821"/>
      <c r="V3820" s="1821"/>
      <c r="W3820" s="1821"/>
      <c r="X3820" s="1821"/>
      <c r="Y3820" s="1821"/>
      <c r="Z3820" s="1821"/>
      <c r="AA3820" s="1821"/>
      <c r="AB3820" s="1821"/>
      <c r="AC3820" s="1821"/>
      <c r="AD3820" s="1821"/>
      <c r="AE3820" s="1821"/>
      <c r="AF3820" s="1821"/>
      <c r="AG3820" s="1821"/>
      <c r="AH3820" s="1821"/>
      <c r="AI3820" s="1821"/>
      <c r="AJ3820" s="1821"/>
      <c r="AK3820" s="1821"/>
      <c r="AL3820" s="1821"/>
      <c r="AM3820" s="1821"/>
      <c r="AN3820" s="1821"/>
      <c r="AO3820" s="1821"/>
      <c r="AP3820" s="1821"/>
      <c r="AQ3820" s="1821"/>
      <c r="AR3820" s="1821"/>
      <c r="AS3820" s="1821"/>
      <c r="AT3820" s="1821"/>
      <c r="AU3820" s="1821"/>
      <c r="AV3820" s="1821"/>
      <c r="AW3820" s="1821"/>
      <c r="AX3820" s="1821"/>
      <c r="AY3820" s="1821"/>
      <c r="AZ3820" s="1821"/>
      <c r="BA3820" s="1821"/>
      <c r="BB3820" s="1821"/>
      <c r="BC3820" s="1821"/>
      <c r="BD3820" s="1821"/>
      <c r="BE3820" s="1821"/>
      <c r="BF3820" s="1821"/>
      <c r="BG3820" s="1821"/>
      <c r="BH3820" s="1821"/>
      <c r="BI3820" s="1821"/>
      <c r="BJ3820" s="1821"/>
      <c r="BK3820" s="1821"/>
      <c r="BL3820" s="1821"/>
      <c r="BM3820" s="1821"/>
      <c r="BN3820" s="1821"/>
      <c r="BO3820" s="1821"/>
      <c r="BP3820" s="1821"/>
      <c r="BQ3820" s="1821"/>
      <c r="BR3820" s="1821"/>
      <c r="BS3820" s="1821"/>
      <c r="BT3820" s="1821"/>
      <c r="BU3820" s="1821"/>
      <c r="BV3820" s="1821"/>
      <c r="BW3820" s="1821"/>
      <c r="BX3820" s="1821"/>
      <c r="BY3820" s="1821"/>
      <c r="BZ3820" s="1821"/>
      <c r="CA3820" s="1821"/>
      <c r="CB3820" s="1821"/>
      <c r="CC3820" s="1821"/>
      <c r="CD3820" s="1821"/>
      <c r="CE3820" s="1821"/>
      <c r="CF3820" s="1821"/>
      <c r="CG3820" s="1821"/>
      <c r="CH3820" s="1821"/>
      <c r="CI3820" s="1821"/>
      <c r="CJ3820" s="1821"/>
      <c r="CK3820" s="1821"/>
    </row>
    <row r="3821" spans="1:89" s="744" customFormat="1" ht="16.5" customHeight="1" x14ac:dyDescent="0.25">
      <c r="A3821" s="710" t="s">
        <v>325</v>
      </c>
      <c r="B3821" s="711" t="s">
        <v>326</v>
      </c>
      <c r="C3821" s="691">
        <f>SUM(O3823:O3861)</f>
        <v>2447840</v>
      </c>
      <c r="D3821" s="715"/>
      <c r="E3821" s="714"/>
      <c r="F3821" s="1222"/>
      <c r="G3821" s="714"/>
      <c r="H3821" s="700">
        <f t="shared" si="420"/>
        <v>0</v>
      </c>
      <c r="I3821" s="714"/>
      <c r="J3821" s="714"/>
      <c r="K3821" s="700">
        <f t="shared" si="421"/>
        <v>0</v>
      </c>
      <c r="L3821" s="714"/>
      <c r="M3821" s="714"/>
      <c r="N3821" s="700">
        <f t="shared" si="415"/>
        <v>0</v>
      </c>
      <c r="O3821" s="974">
        <f>N3821+K3821+H3821</f>
        <v>0</v>
      </c>
      <c r="P3821" s="956"/>
      <c r="Q3821" s="1821"/>
      <c r="R3821" s="1821"/>
      <c r="S3821" s="1821"/>
      <c r="T3821" s="1821"/>
      <c r="U3821" s="1821"/>
      <c r="V3821" s="1821"/>
      <c r="W3821" s="1821"/>
      <c r="X3821" s="1821"/>
      <c r="Y3821" s="1821"/>
      <c r="Z3821" s="1821"/>
      <c r="AA3821" s="1821"/>
      <c r="AB3821" s="1821"/>
      <c r="AC3821" s="1821"/>
      <c r="AD3821" s="1821"/>
      <c r="AE3821" s="1821"/>
      <c r="AF3821" s="1821"/>
      <c r="AG3821" s="1821"/>
      <c r="AH3821" s="1821"/>
      <c r="AI3821" s="1821"/>
      <c r="AJ3821" s="1821"/>
      <c r="AK3821" s="1821"/>
      <c r="AL3821" s="1821"/>
      <c r="AM3821" s="1821"/>
      <c r="AN3821" s="1821"/>
      <c r="AO3821" s="1821"/>
      <c r="AP3821" s="1821"/>
      <c r="AQ3821" s="1821"/>
      <c r="AR3821" s="1821"/>
      <c r="AS3821" s="1821"/>
      <c r="AT3821" s="1821"/>
      <c r="AU3821" s="1821"/>
      <c r="AV3821" s="1821"/>
      <c r="AW3821" s="1821"/>
      <c r="AX3821" s="1821"/>
      <c r="AY3821" s="1821"/>
      <c r="AZ3821" s="1821"/>
      <c r="BA3821" s="1821"/>
      <c r="BB3821" s="1821"/>
      <c r="BC3821" s="1821"/>
      <c r="BD3821" s="1821"/>
      <c r="BE3821" s="1821"/>
      <c r="BF3821" s="1821"/>
      <c r="BG3821" s="1821"/>
      <c r="BH3821" s="1821"/>
      <c r="BI3821" s="1821"/>
      <c r="BJ3821" s="1821"/>
      <c r="BK3821" s="1821"/>
      <c r="BL3821" s="1821"/>
      <c r="BM3821" s="1821"/>
      <c r="BN3821" s="1821"/>
      <c r="BO3821" s="1821"/>
      <c r="BP3821" s="1821"/>
      <c r="BQ3821" s="1821"/>
      <c r="BR3821" s="1821"/>
      <c r="BS3821" s="1821"/>
      <c r="BT3821" s="1821"/>
      <c r="BU3821" s="1821"/>
      <c r="BV3821" s="1821"/>
      <c r="BW3821" s="1821"/>
      <c r="BX3821" s="1821"/>
      <c r="BY3821" s="1821"/>
      <c r="BZ3821" s="1821"/>
      <c r="CA3821" s="1821"/>
      <c r="CB3821" s="1821"/>
      <c r="CC3821" s="1821"/>
      <c r="CD3821" s="1821"/>
      <c r="CE3821" s="1821"/>
      <c r="CF3821" s="1821"/>
      <c r="CG3821" s="1821"/>
      <c r="CH3821" s="1821"/>
      <c r="CI3821" s="1821"/>
      <c r="CJ3821" s="1821"/>
      <c r="CK3821" s="1821"/>
    </row>
    <row r="3822" spans="1:89" s="744" customFormat="1" ht="16.5" customHeight="1" x14ac:dyDescent="0.25">
      <c r="A3822" s="1012"/>
      <c r="B3822" s="709" t="s">
        <v>57</v>
      </c>
      <c r="C3822" s="827"/>
      <c r="D3822" s="961"/>
      <c r="E3822" s="758"/>
      <c r="F3822" s="1222"/>
      <c r="G3822" s="714"/>
      <c r="H3822" s="700">
        <f t="shared" si="420"/>
        <v>0</v>
      </c>
      <c r="I3822" s="714"/>
      <c r="J3822" s="714"/>
      <c r="K3822" s="700">
        <f t="shared" si="421"/>
        <v>0</v>
      </c>
      <c r="L3822" s="714"/>
      <c r="M3822" s="714"/>
      <c r="N3822" s="700">
        <f t="shared" si="415"/>
        <v>0</v>
      </c>
      <c r="O3822" s="974">
        <f>N3822+K3822+H3822</f>
        <v>0</v>
      </c>
      <c r="P3822" s="956"/>
      <c r="Q3822" s="1821"/>
      <c r="R3822" s="1821"/>
      <c r="S3822" s="1821"/>
      <c r="T3822" s="1821"/>
      <c r="U3822" s="1821"/>
      <c r="V3822" s="1821"/>
      <c r="W3822" s="1821"/>
      <c r="X3822" s="1821"/>
      <c r="Y3822" s="1821"/>
      <c r="Z3822" s="1821"/>
      <c r="AA3822" s="1821"/>
      <c r="AB3822" s="1821"/>
      <c r="AC3822" s="1821"/>
      <c r="AD3822" s="1821"/>
      <c r="AE3822" s="1821"/>
      <c r="AF3822" s="1821"/>
      <c r="AG3822" s="1821"/>
      <c r="AH3822" s="1821"/>
      <c r="AI3822" s="1821"/>
      <c r="AJ3822" s="1821"/>
      <c r="AK3822" s="1821"/>
      <c r="AL3822" s="1821"/>
      <c r="AM3822" s="1821"/>
      <c r="AN3822" s="1821"/>
      <c r="AO3822" s="1821"/>
      <c r="AP3822" s="1821"/>
      <c r="AQ3822" s="1821"/>
      <c r="AR3822" s="1821"/>
      <c r="AS3822" s="1821"/>
      <c r="AT3822" s="1821"/>
      <c r="AU3822" s="1821"/>
      <c r="AV3822" s="1821"/>
      <c r="AW3822" s="1821"/>
      <c r="AX3822" s="1821"/>
      <c r="AY3822" s="1821"/>
      <c r="AZ3822" s="1821"/>
      <c r="BA3822" s="1821"/>
      <c r="BB3822" s="1821"/>
      <c r="BC3822" s="1821"/>
      <c r="BD3822" s="1821"/>
      <c r="BE3822" s="1821"/>
      <c r="BF3822" s="1821"/>
      <c r="BG3822" s="1821"/>
      <c r="BH3822" s="1821"/>
      <c r="BI3822" s="1821"/>
      <c r="BJ3822" s="1821"/>
      <c r="BK3822" s="1821"/>
      <c r="BL3822" s="1821"/>
      <c r="BM3822" s="1821"/>
      <c r="BN3822" s="1821"/>
      <c r="BO3822" s="1821"/>
      <c r="BP3822" s="1821"/>
      <c r="BQ3822" s="1821"/>
      <c r="BR3822" s="1821"/>
      <c r="BS3822" s="1821"/>
      <c r="BT3822" s="1821"/>
      <c r="BU3822" s="1821"/>
      <c r="BV3822" s="1821"/>
      <c r="BW3822" s="1821"/>
      <c r="BX3822" s="1821"/>
      <c r="BY3822" s="1821"/>
      <c r="BZ3822" s="1821"/>
      <c r="CA3822" s="1821"/>
      <c r="CB3822" s="1821"/>
      <c r="CC3822" s="1821"/>
      <c r="CD3822" s="1821"/>
      <c r="CE3822" s="1821"/>
      <c r="CF3822" s="1821"/>
      <c r="CG3822" s="1821"/>
      <c r="CH3822" s="1821"/>
      <c r="CI3822" s="1821"/>
      <c r="CJ3822" s="1821"/>
      <c r="CK3822" s="1821"/>
    </row>
    <row r="3823" spans="1:89" s="744" customFormat="1" ht="16.5" customHeight="1" x14ac:dyDescent="0.25">
      <c r="A3823" s="1012">
        <v>1</v>
      </c>
      <c r="B3823" s="709" t="s">
        <v>327</v>
      </c>
      <c r="C3823" s="827">
        <f>15-5</f>
        <v>10</v>
      </c>
      <c r="D3823" s="961" t="s">
        <v>76</v>
      </c>
      <c r="E3823" s="758">
        <f>11500+3500</f>
        <v>15000</v>
      </c>
      <c r="F3823" s="1222"/>
      <c r="G3823" s="714"/>
      <c r="H3823" s="700">
        <f t="shared" si="420"/>
        <v>0</v>
      </c>
      <c r="I3823" s="714"/>
      <c r="J3823" s="714"/>
      <c r="K3823" s="700">
        <f t="shared" si="421"/>
        <v>0</v>
      </c>
      <c r="L3823" s="714">
        <f t="shared" ref="L3823:L3861" si="422">C3823*E3823</f>
        <v>150000</v>
      </c>
      <c r="M3823" s="714"/>
      <c r="N3823" s="700">
        <f t="shared" si="415"/>
        <v>150000</v>
      </c>
      <c r="O3823" s="974">
        <f>N3823+K3823+H3823</f>
        <v>150000</v>
      </c>
      <c r="P3823" s="1202"/>
      <c r="Q3823" s="1821"/>
      <c r="R3823" s="1821"/>
      <c r="S3823" s="1821"/>
      <c r="T3823" s="1821"/>
      <c r="U3823" s="1821"/>
      <c r="V3823" s="1821"/>
      <c r="W3823" s="1821"/>
      <c r="X3823" s="1821"/>
      <c r="Y3823" s="1821"/>
      <c r="Z3823" s="1821"/>
      <c r="AA3823" s="1821"/>
      <c r="AB3823" s="1821"/>
      <c r="AC3823" s="1821"/>
      <c r="AD3823" s="1821"/>
      <c r="AE3823" s="1821"/>
      <c r="AF3823" s="1821"/>
      <c r="AG3823" s="1821"/>
      <c r="AH3823" s="1821"/>
      <c r="AI3823" s="1821"/>
      <c r="AJ3823" s="1821"/>
      <c r="AK3823" s="1821"/>
      <c r="AL3823" s="1821"/>
      <c r="AM3823" s="1821"/>
      <c r="AN3823" s="1821"/>
      <c r="AO3823" s="1821"/>
      <c r="AP3823" s="1821"/>
      <c r="AQ3823" s="1821"/>
      <c r="AR3823" s="1821"/>
      <c r="AS3823" s="1821"/>
      <c r="AT3823" s="1821"/>
      <c r="AU3823" s="1821"/>
      <c r="AV3823" s="1821"/>
      <c r="AW3823" s="1821"/>
      <c r="AX3823" s="1821"/>
      <c r="AY3823" s="1821"/>
      <c r="AZ3823" s="1821"/>
      <c r="BA3823" s="1821"/>
      <c r="BB3823" s="1821"/>
      <c r="BC3823" s="1821"/>
      <c r="BD3823" s="1821"/>
      <c r="BE3823" s="1821"/>
      <c r="BF3823" s="1821"/>
      <c r="BG3823" s="1821"/>
      <c r="BH3823" s="1821"/>
      <c r="BI3823" s="1821"/>
      <c r="BJ3823" s="1821"/>
      <c r="BK3823" s="1821"/>
      <c r="BL3823" s="1821"/>
      <c r="BM3823" s="1821"/>
      <c r="BN3823" s="1821"/>
      <c r="BO3823" s="1821"/>
      <c r="BP3823" s="1821"/>
      <c r="BQ3823" s="1821"/>
      <c r="BR3823" s="1821"/>
      <c r="BS3823" s="1821"/>
      <c r="BT3823" s="1821"/>
      <c r="BU3823" s="1821"/>
      <c r="BV3823" s="1821"/>
      <c r="BW3823" s="1821"/>
      <c r="BX3823" s="1821"/>
      <c r="BY3823" s="1821"/>
      <c r="BZ3823" s="1821"/>
      <c r="CA3823" s="1821"/>
      <c r="CB3823" s="1821"/>
      <c r="CC3823" s="1821"/>
      <c r="CD3823" s="1821"/>
      <c r="CE3823" s="1821"/>
      <c r="CF3823" s="1821"/>
      <c r="CG3823" s="1821"/>
      <c r="CH3823" s="1821"/>
      <c r="CI3823" s="1821"/>
      <c r="CJ3823" s="1821"/>
      <c r="CK3823" s="1821"/>
    </row>
    <row r="3824" spans="1:89" s="1204" customFormat="1" ht="16.5" customHeight="1" x14ac:dyDescent="0.25">
      <c r="A3824" s="1012">
        <v>2</v>
      </c>
      <c r="B3824" s="703" t="s">
        <v>218</v>
      </c>
      <c r="C3824" s="827">
        <f>16-8</f>
        <v>8</v>
      </c>
      <c r="D3824" s="1040" t="s">
        <v>76</v>
      </c>
      <c r="E3824" s="758">
        <f>12500*2</f>
        <v>25000</v>
      </c>
      <c r="F3824" s="1222"/>
      <c r="G3824" s="714"/>
      <c r="H3824" s="700">
        <f t="shared" si="420"/>
        <v>0</v>
      </c>
      <c r="I3824" s="714"/>
      <c r="J3824" s="714"/>
      <c r="K3824" s="700">
        <f t="shared" si="421"/>
        <v>0</v>
      </c>
      <c r="L3824" s="714">
        <f t="shared" si="422"/>
        <v>200000</v>
      </c>
      <c r="M3824" s="714"/>
      <c r="N3824" s="700">
        <f t="shared" si="415"/>
        <v>200000</v>
      </c>
      <c r="O3824" s="974">
        <f t="shared" ref="O3824:O3861" si="423">N3824+K3824+H3824</f>
        <v>200000</v>
      </c>
      <c r="P3824" s="1202"/>
      <c r="Q3824" s="1838"/>
      <c r="R3824" s="1838"/>
      <c r="S3824" s="1838"/>
      <c r="T3824" s="1838"/>
      <c r="U3824" s="1838"/>
      <c r="V3824" s="1838"/>
      <c r="W3824" s="1838"/>
      <c r="X3824" s="1838"/>
      <c r="Y3824" s="1838"/>
      <c r="Z3824" s="1838"/>
      <c r="AA3824" s="1838"/>
      <c r="AB3824" s="1838"/>
      <c r="AC3824" s="1838"/>
      <c r="AD3824" s="1838"/>
      <c r="AE3824" s="1838"/>
      <c r="AF3824" s="1838"/>
      <c r="AG3824" s="1838"/>
      <c r="AH3824" s="1838"/>
      <c r="AI3824" s="1838"/>
      <c r="AJ3824" s="1838"/>
      <c r="AK3824" s="1838"/>
      <c r="AL3824" s="1838"/>
      <c r="AM3824" s="1838"/>
      <c r="AN3824" s="1838"/>
      <c r="AO3824" s="1838"/>
      <c r="AP3824" s="1838"/>
      <c r="AQ3824" s="1838"/>
      <c r="AR3824" s="1838"/>
      <c r="AS3824" s="1838"/>
      <c r="AT3824" s="1838"/>
      <c r="AU3824" s="1838"/>
      <c r="AV3824" s="1838"/>
      <c r="AW3824" s="1838"/>
      <c r="AX3824" s="1838"/>
      <c r="AY3824" s="1838"/>
      <c r="AZ3824" s="1838"/>
      <c r="BA3824" s="1838"/>
      <c r="BB3824" s="1838"/>
      <c r="BC3824" s="1838"/>
      <c r="BD3824" s="1838"/>
      <c r="BE3824" s="1838"/>
      <c r="BF3824" s="1838"/>
      <c r="BG3824" s="1838"/>
      <c r="BH3824" s="1838"/>
      <c r="BI3824" s="1838"/>
      <c r="BJ3824" s="1838"/>
      <c r="BK3824" s="1838"/>
      <c r="BL3824" s="1838"/>
      <c r="BM3824" s="1838"/>
      <c r="BN3824" s="1838"/>
      <c r="BO3824" s="1838"/>
      <c r="BP3824" s="1838"/>
      <c r="BQ3824" s="1838"/>
      <c r="BR3824" s="1838"/>
      <c r="BS3824" s="1838"/>
      <c r="BT3824" s="1838"/>
      <c r="BU3824" s="1838"/>
      <c r="BV3824" s="1838"/>
      <c r="BW3824" s="1838"/>
      <c r="BX3824" s="1838"/>
      <c r="BY3824" s="1838"/>
      <c r="BZ3824" s="1838"/>
      <c r="CA3824" s="1838"/>
      <c r="CB3824" s="1838"/>
      <c r="CC3824" s="1838"/>
      <c r="CD3824" s="1838"/>
      <c r="CE3824" s="1838"/>
      <c r="CF3824" s="1838"/>
      <c r="CG3824" s="1838"/>
      <c r="CH3824" s="1838"/>
      <c r="CI3824" s="1838"/>
      <c r="CJ3824" s="1838"/>
      <c r="CK3824" s="1838"/>
    </row>
    <row r="3825" spans="1:89" s="1204" customFormat="1" ht="16.5" customHeight="1" x14ac:dyDescent="0.25">
      <c r="A3825" s="1012">
        <v>3</v>
      </c>
      <c r="B3825" s="1013" t="s">
        <v>328</v>
      </c>
      <c r="C3825" s="1007">
        <f>2-1</f>
        <v>1</v>
      </c>
      <c r="D3825" s="1040" t="s">
        <v>76</v>
      </c>
      <c r="E3825" s="758">
        <f>25000*2</f>
        <v>50000</v>
      </c>
      <c r="F3825" s="1222"/>
      <c r="G3825" s="714"/>
      <c r="H3825" s="700">
        <f t="shared" si="420"/>
        <v>0</v>
      </c>
      <c r="I3825" s="714"/>
      <c r="J3825" s="714"/>
      <c r="K3825" s="700">
        <f t="shared" si="421"/>
        <v>0</v>
      </c>
      <c r="L3825" s="714">
        <f t="shared" si="422"/>
        <v>50000</v>
      </c>
      <c r="M3825" s="714"/>
      <c r="N3825" s="700">
        <f t="shared" si="415"/>
        <v>50000</v>
      </c>
      <c r="O3825" s="974">
        <f t="shared" si="423"/>
        <v>50000</v>
      </c>
      <c r="P3825" s="1202"/>
      <c r="Q3825" s="1838"/>
      <c r="R3825" s="1838"/>
      <c r="S3825" s="1838"/>
      <c r="T3825" s="1838"/>
      <c r="U3825" s="1838"/>
      <c r="V3825" s="1838"/>
      <c r="W3825" s="1838"/>
      <c r="X3825" s="1838"/>
      <c r="Y3825" s="1838"/>
      <c r="Z3825" s="1838"/>
      <c r="AA3825" s="1838"/>
      <c r="AB3825" s="1838"/>
      <c r="AC3825" s="1838"/>
      <c r="AD3825" s="1838"/>
      <c r="AE3825" s="1838"/>
      <c r="AF3825" s="1838"/>
      <c r="AG3825" s="1838"/>
      <c r="AH3825" s="1838"/>
      <c r="AI3825" s="1838"/>
      <c r="AJ3825" s="1838"/>
      <c r="AK3825" s="1838"/>
      <c r="AL3825" s="1838"/>
      <c r="AM3825" s="1838"/>
      <c r="AN3825" s="1838"/>
      <c r="AO3825" s="1838"/>
      <c r="AP3825" s="1838"/>
      <c r="AQ3825" s="1838"/>
      <c r="AR3825" s="1838"/>
      <c r="AS3825" s="1838"/>
      <c r="AT3825" s="1838"/>
      <c r="AU3825" s="1838"/>
      <c r="AV3825" s="1838"/>
      <c r="AW3825" s="1838"/>
      <c r="AX3825" s="1838"/>
      <c r="AY3825" s="1838"/>
      <c r="AZ3825" s="1838"/>
      <c r="BA3825" s="1838"/>
      <c r="BB3825" s="1838"/>
      <c r="BC3825" s="1838"/>
      <c r="BD3825" s="1838"/>
      <c r="BE3825" s="1838"/>
      <c r="BF3825" s="1838"/>
      <c r="BG3825" s="1838"/>
      <c r="BH3825" s="1838"/>
      <c r="BI3825" s="1838"/>
      <c r="BJ3825" s="1838"/>
      <c r="BK3825" s="1838"/>
      <c r="BL3825" s="1838"/>
      <c r="BM3825" s="1838"/>
      <c r="BN3825" s="1838"/>
      <c r="BO3825" s="1838"/>
      <c r="BP3825" s="1838"/>
      <c r="BQ3825" s="1838"/>
      <c r="BR3825" s="1838"/>
      <c r="BS3825" s="1838"/>
      <c r="BT3825" s="1838"/>
      <c r="BU3825" s="1838"/>
      <c r="BV3825" s="1838"/>
      <c r="BW3825" s="1838"/>
      <c r="BX3825" s="1838"/>
      <c r="BY3825" s="1838"/>
      <c r="BZ3825" s="1838"/>
      <c r="CA3825" s="1838"/>
      <c r="CB3825" s="1838"/>
      <c r="CC3825" s="1838"/>
      <c r="CD3825" s="1838"/>
      <c r="CE3825" s="1838"/>
      <c r="CF3825" s="1838"/>
      <c r="CG3825" s="1838"/>
      <c r="CH3825" s="1838"/>
      <c r="CI3825" s="1838"/>
      <c r="CJ3825" s="1838"/>
      <c r="CK3825" s="1838"/>
    </row>
    <row r="3826" spans="1:89" s="1204" customFormat="1" ht="16.5" customHeight="1" x14ac:dyDescent="0.25">
      <c r="A3826" s="1012">
        <v>4</v>
      </c>
      <c r="B3826" s="1013" t="s">
        <v>329</v>
      </c>
      <c r="C3826" s="1007">
        <f>10*0</f>
        <v>0</v>
      </c>
      <c r="D3826" s="961" t="s">
        <v>76</v>
      </c>
      <c r="E3826" s="758">
        <f>5000*0</f>
        <v>0</v>
      </c>
      <c r="F3826" s="1222"/>
      <c r="G3826" s="714"/>
      <c r="H3826" s="700">
        <f t="shared" si="420"/>
        <v>0</v>
      </c>
      <c r="I3826" s="714"/>
      <c r="J3826" s="714"/>
      <c r="K3826" s="700">
        <f t="shared" si="421"/>
        <v>0</v>
      </c>
      <c r="L3826" s="714">
        <f t="shared" si="422"/>
        <v>0</v>
      </c>
      <c r="M3826" s="714"/>
      <c r="N3826" s="700">
        <f t="shared" si="415"/>
        <v>0</v>
      </c>
      <c r="O3826" s="974">
        <f>N3826+K3826+H3826</f>
        <v>0</v>
      </c>
      <c r="P3826" s="1202"/>
      <c r="Q3826" s="1838"/>
      <c r="R3826" s="1838"/>
      <c r="S3826" s="1838"/>
      <c r="T3826" s="1838"/>
      <c r="U3826" s="1838"/>
      <c r="V3826" s="1838"/>
      <c r="W3826" s="1838"/>
      <c r="X3826" s="1838"/>
      <c r="Y3826" s="1838"/>
      <c r="Z3826" s="1838"/>
      <c r="AA3826" s="1838"/>
      <c r="AB3826" s="1838"/>
      <c r="AC3826" s="1838"/>
      <c r="AD3826" s="1838"/>
      <c r="AE3826" s="1838"/>
      <c r="AF3826" s="1838"/>
      <c r="AG3826" s="1838"/>
      <c r="AH3826" s="1838"/>
      <c r="AI3826" s="1838"/>
      <c r="AJ3826" s="1838"/>
      <c r="AK3826" s="1838"/>
      <c r="AL3826" s="1838"/>
      <c r="AM3826" s="1838"/>
      <c r="AN3826" s="1838"/>
      <c r="AO3826" s="1838"/>
      <c r="AP3826" s="1838"/>
      <c r="AQ3826" s="1838"/>
      <c r="AR3826" s="1838"/>
      <c r="AS3826" s="1838"/>
      <c r="AT3826" s="1838"/>
      <c r="AU3826" s="1838"/>
      <c r="AV3826" s="1838"/>
      <c r="AW3826" s="1838"/>
      <c r="AX3826" s="1838"/>
      <c r="AY3826" s="1838"/>
      <c r="AZ3826" s="1838"/>
      <c r="BA3826" s="1838"/>
      <c r="BB3826" s="1838"/>
      <c r="BC3826" s="1838"/>
      <c r="BD3826" s="1838"/>
      <c r="BE3826" s="1838"/>
      <c r="BF3826" s="1838"/>
      <c r="BG3826" s="1838"/>
      <c r="BH3826" s="1838"/>
      <c r="BI3826" s="1838"/>
      <c r="BJ3826" s="1838"/>
      <c r="BK3826" s="1838"/>
      <c r="BL3826" s="1838"/>
      <c r="BM3826" s="1838"/>
      <c r="BN3826" s="1838"/>
      <c r="BO3826" s="1838"/>
      <c r="BP3826" s="1838"/>
      <c r="BQ3826" s="1838"/>
      <c r="BR3826" s="1838"/>
      <c r="BS3826" s="1838"/>
      <c r="BT3826" s="1838"/>
      <c r="BU3826" s="1838"/>
      <c r="BV3826" s="1838"/>
      <c r="BW3826" s="1838"/>
      <c r="BX3826" s="1838"/>
      <c r="BY3826" s="1838"/>
      <c r="BZ3826" s="1838"/>
      <c r="CA3826" s="1838"/>
      <c r="CB3826" s="1838"/>
      <c r="CC3826" s="1838"/>
      <c r="CD3826" s="1838"/>
      <c r="CE3826" s="1838"/>
      <c r="CF3826" s="1838"/>
      <c r="CG3826" s="1838"/>
      <c r="CH3826" s="1838"/>
      <c r="CI3826" s="1838"/>
      <c r="CJ3826" s="1838"/>
      <c r="CK3826" s="1838"/>
    </row>
    <row r="3827" spans="1:89" s="1204" customFormat="1" ht="16.5" customHeight="1" x14ac:dyDescent="0.25">
      <c r="A3827" s="1715">
        <f>5-1</f>
        <v>4</v>
      </c>
      <c r="B3827" s="1016" t="s">
        <v>1323</v>
      </c>
      <c r="C3827" s="1017">
        <f>5-1</f>
        <v>4</v>
      </c>
      <c r="D3827" s="1018" t="s">
        <v>76</v>
      </c>
      <c r="E3827" s="1019">
        <v>5000</v>
      </c>
      <c r="F3827" s="714"/>
      <c r="G3827" s="714"/>
      <c r="H3827" s="700">
        <f t="shared" si="420"/>
        <v>0</v>
      </c>
      <c r="I3827" s="714"/>
      <c r="J3827" s="714"/>
      <c r="K3827" s="700">
        <f t="shared" si="421"/>
        <v>0</v>
      </c>
      <c r="L3827" s="714">
        <f t="shared" si="422"/>
        <v>20000</v>
      </c>
      <c r="M3827" s="714"/>
      <c r="N3827" s="700">
        <f t="shared" si="415"/>
        <v>20000</v>
      </c>
      <c r="O3827" s="974">
        <f t="shared" si="423"/>
        <v>20000</v>
      </c>
      <c r="P3827" s="1202"/>
      <c r="Q3827" s="1838"/>
      <c r="R3827" s="1838"/>
      <c r="S3827" s="1838"/>
      <c r="T3827" s="1838"/>
      <c r="U3827" s="1838"/>
      <c r="V3827" s="1838"/>
      <c r="W3827" s="1838"/>
      <c r="X3827" s="1838"/>
      <c r="Y3827" s="1838"/>
      <c r="Z3827" s="1838"/>
      <c r="AA3827" s="1838"/>
      <c r="AB3827" s="1838"/>
      <c r="AC3827" s="1838"/>
      <c r="AD3827" s="1838"/>
      <c r="AE3827" s="1838"/>
      <c r="AF3827" s="1838"/>
      <c r="AG3827" s="1838"/>
      <c r="AH3827" s="1838"/>
      <c r="AI3827" s="1838"/>
      <c r="AJ3827" s="1838"/>
      <c r="AK3827" s="1838"/>
      <c r="AL3827" s="1838"/>
      <c r="AM3827" s="1838"/>
      <c r="AN3827" s="1838"/>
      <c r="AO3827" s="1838"/>
      <c r="AP3827" s="1838"/>
      <c r="AQ3827" s="1838"/>
      <c r="AR3827" s="1838"/>
      <c r="AS3827" s="1838"/>
      <c r="AT3827" s="1838"/>
      <c r="AU3827" s="1838"/>
      <c r="AV3827" s="1838"/>
      <c r="AW3827" s="1838"/>
      <c r="AX3827" s="1838"/>
      <c r="AY3827" s="1838"/>
      <c r="AZ3827" s="1838"/>
      <c r="BA3827" s="1838"/>
      <c r="BB3827" s="1838"/>
      <c r="BC3827" s="1838"/>
      <c r="BD3827" s="1838"/>
      <c r="BE3827" s="1838"/>
      <c r="BF3827" s="1838"/>
      <c r="BG3827" s="1838"/>
      <c r="BH3827" s="1838"/>
      <c r="BI3827" s="1838"/>
      <c r="BJ3827" s="1838"/>
      <c r="BK3827" s="1838"/>
      <c r="BL3827" s="1838"/>
      <c r="BM3827" s="1838"/>
      <c r="BN3827" s="1838"/>
      <c r="BO3827" s="1838"/>
      <c r="BP3827" s="1838"/>
      <c r="BQ3827" s="1838"/>
      <c r="BR3827" s="1838"/>
      <c r="BS3827" s="1838"/>
      <c r="BT3827" s="1838"/>
      <c r="BU3827" s="1838"/>
      <c r="BV3827" s="1838"/>
      <c r="BW3827" s="1838"/>
      <c r="BX3827" s="1838"/>
      <c r="BY3827" s="1838"/>
      <c r="BZ3827" s="1838"/>
      <c r="CA3827" s="1838"/>
      <c r="CB3827" s="1838"/>
      <c r="CC3827" s="1838"/>
      <c r="CD3827" s="1838"/>
      <c r="CE3827" s="1838"/>
      <c r="CF3827" s="1838"/>
      <c r="CG3827" s="1838"/>
      <c r="CH3827" s="1838"/>
      <c r="CI3827" s="1838"/>
      <c r="CJ3827" s="1838"/>
      <c r="CK3827" s="1838"/>
    </row>
    <row r="3828" spans="1:89" s="1204" customFormat="1" ht="16.5" customHeight="1" x14ac:dyDescent="0.25">
      <c r="A3828" s="1715">
        <v>6</v>
      </c>
      <c r="B3828" s="1016" t="s">
        <v>1324</v>
      </c>
      <c r="C3828" s="1017">
        <f>1*0</f>
        <v>0</v>
      </c>
      <c r="D3828" s="1018" t="s">
        <v>76</v>
      </c>
      <c r="E3828" s="1019">
        <f>15000*0</f>
        <v>0</v>
      </c>
      <c r="F3828" s="714"/>
      <c r="G3828" s="714"/>
      <c r="H3828" s="700"/>
      <c r="I3828" s="714"/>
      <c r="J3828" s="714"/>
      <c r="K3828" s="700"/>
      <c r="L3828" s="714">
        <f t="shared" si="422"/>
        <v>0</v>
      </c>
      <c r="M3828" s="714"/>
      <c r="N3828" s="700">
        <f t="shared" si="415"/>
        <v>0</v>
      </c>
      <c r="O3828" s="974">
        <f>E3828*C3828</f>
        <v>0</v>
      </c>
      <c r="P3828" s="1202"/>
      <c r="Q3828" s="1838"/>
      <c r="R3828" s="1838"/>
      <c r="S3828" s="1838"/>
      <c r="T3828" s="1838"/>
      <c r="U3828" s="1838"/>
      <c r="V3828" s="1838"/>
      <c r="W3828" s="1838"/>
      <c r="X3828" s="1838"/>
      <c r="Y3828" s="1838"/>
      <c r="Z3828" s="1838"/>
      <c r="AA3828" s="1838"/>
      <c r="AB3828" s="1838"/>
      <c r="AC3828" s="1838"/>
      <c r="AD3828" s="1838"/>
      <c r="AE3828" s="1838"/>
      <c r="AF3828" s="1838"/>
      <c r="AG3828" s="1838"/>
      <c r="AH3828" s="1838"/>
      <c r="AI3828" s="1838"/>
      <c r="AJ3828" s="1838"/>
      <c r="AK3828" s="1838"/>
      <c r="AL3828" s="1838"/>
      <c r="AM3828" s="1838"/>
      <c r="AN3828" s="1838"/>
      <c r="AO3828" s="1838"/>
      <c r="AP3828" s="1838"/>
      <c r="AQ3828" s="1838"/>
      <c r="AR3828" s="1838"/>
      <c r="AS3828" s="1838"/>
      <c r="AT3828" s="1838"/>
      <c r="AU3828" s="1838"/>
      <c r="AV3828" s="1838"/>
      <c r="AW3828" s="1838"/>
      <c r="AX3828" s="1838"/>
      <c r="AY3828" s="1838"/>
      <c r="AZ3828" s="1838"/>
      <c r="BA3828" s="1838"/>
      <c r="BB3828" s="1838"/>
      <c r="BC3828" s="1838"/>
      <c r="BD3828" s="1838"/>
      <c r="BE3828" s="1838"/>
      <c r="BF3828" s="1838"/>
      <c r="BG3828" s="1838"/>
      <c r="BH3828" s="1838"/>
      <c r="BI3828" s="1838"/>
      <c r="BJ3828" s="1838"/>
      <c r="BK3828" s="1838"/>
      <c r="BL3828" s="1838"/>
      <c r="BM3828" s="1838"/>
      <c r="BN3828" s="1838"/>
      <c r="BO3828" s="1838"/>
      <c r="BP3828" s="1838"/>
      <c r="BQ3828" s="1838"/>
      <c r="BR3828" s="1838"/>
      <c r="BS3828" s="1838"/>
      <c r="BT3828" s="1838"/>
      <c r="BU3828" s="1838"/>
      <c r="BV3828" s="1838"/>
      <c r="BW3828" s="1838"/>
      <c r="BX3828" s="1838"/>
      <c r="BY3828" s="1838"/>
      <c r="BZ3828" s="1838"/>
      <c r="CA3828" s="1838"/>
      <c r="CB3828" s="1838"/>
      <c r="CC3828" s="1838"/>
      <c r="CD3828" s="1838"/>
      <c r="CE3828" s="1838"/>
      <c r="CF3828" s="1838"/>
      <c r="CG3828" s="1838"/>
      <c r="CH3828" s="1838"/>
      <c r="CI3828" s="1838"/>
      <c r="CJ3828" s="1838"/>
      <c r="CK3828" s="1838"/>
    </row>
    <row r="3829" spans="1:89" s="744" customFormat="1" ht="16.5" customHeight="1" x14ac:dyDescent="0.25">
      <c r="A3829" s="1715">
        <v>7</v>
      </c>
      <c r="B3829" s="1016" t="s">
        <v>1325</v>
      </c>
      <c r="C3829" s="1017">
        <v>60</v>
      </c>
      <c r="D3829" s="1018" t="s">
        <v>1216</v>
      </c>
      <c r="E3829" s="1019">
        <v>3000</v>
      </c>
      <c r="F3829" s="714"/>
      <c r="G3829" s="714"/>
      <c r="H3829" s="700">
        <f t="shared" ref="H3829:H3837" si="424">G3829+F3829</f>
        <v>0</v>
      </c>
      <c r="I3829" s="714"/>
      <c r="J3829" s="714"/>
      <c r="K3829" s="700">
        <f t="shared" ref="K3829:K3837" si="425">J3829+I3829</f>
        <v>0</v>
      </c>
      <c r="L3829" s="714">
        <f t="shared" si="422"/>
        <v>180000</v>
      </c>
      <c r="M3829" s="714"/>
      <c r="N3829" s="700">
        <f t="shared" si="415"/>
        <v>180000</v>
      </c>
      <c r="O3829" s="974">
        <f t="shared" si="423"/>
        <v>180000</v>
      </c>
      <c r="P3829" s="956"/>
      <c r="Q3829" s="1821"/>
      <c r="R3829" s="1821"/>
      <c r="S3829" s="1821"/>
      <c r="T3829" s="1821"/>
      <c r="U3829" s="1821"/>
      <c r="V3829" s="1821"/>
      <c r="W3829" s="1821"/>
      <c r="X3829" s="1821"/>
      <c r="Y3829" s="1821"/>
      <c r="Z3829" s="1821"/>
      <c r="AA3829" s="1821"/>
      <c r="AB3829" s="1821"/>
      <c r="AC3829" s="1821"/>
      <c r="AD3829" s="1821"/>
      <c r="AE3829" s="1821"/>
      <c r="AF3829" s="1821"/>
      <c r="AG3829" s="1821"/>
      <c r="AH3829" s="1821"/>
      <c r="AI3829" s="1821"/>
      <c r="AJ3829" s="1821"/>
      <c r="AK3829" s="1821"/>
      <c r="AL3829" s="1821"/>
      <c r="AM3829" s="1821"/>
      <c r="AN3829" s="1821"/>
      <c r="AO3829" s="1821"/>
      <c r="AP3829" s="1821"/>
      <c r="AQ3829" s="1821"/>
      <c r="AR3829" s="1821"/>
      <c r="AS3829" s="1821"/>
      <c r="AT3829" s="1821"/>
      <c r="AU3829" s="1821"/>
      <c r="AV3829" s="1821"/>
      <c r="AW3829" s="1821"/>
      <c r="AX3829" s="1821"/>
      <c r="AY3829" s="1821"/>
      <c r="AZ3829" s="1821"/>
      <c r="BA3829" s="1821"/>
      <c r="BB3829" s="1821"/>
      <c r="BC3829" s="1821"/>
      <c r="BD3829" s="1821"/>
      <c r="BE3829" s="1821"/>
      <c r="BF3829" s="1821"/>
      <c r="BG3829" s="1821"/>
      <c r="BH3829" s="1821"/>
      <c r="BI3829" s="1821"/>
      <c r="BJ3829" s="1821"/>
      <c r="BK3829" s="1821"/>
      <c r="BL3829" s="1821"/>
      <c r="BM3829" s="1821"/>
      <c r="BN3829" s="1821"/>
      <c r="BO3829" s="1821"/>
      <c r="BP3829" s="1821"/>
      <c r="BQ3829" s="1821"/>
      <c r="BR3829" s="1821"/>
      <c r="BS3829" s="1821"/>
      <c r="BT3829" s="1821"/>
      <c r="BU3829" s="1821"/>
      <c r="BV3829" s="1821"/>
      <c r="BW3829" s="1821"/>
      <c r="BX3829" s="1821"/>
      <c r="BY3829" s="1821"/>
      <c r="BZ3829" s="1821"/>
      <c r="CA3829" s="1821"/>
      <c r="CB3829" s="1821"/>
      <c r="CC3829" s="1821"/>
      <c r="CD3829" s="1821"/>
      <c r="CE3829" s="1821"/>
      <c r="CF3829" s="1821"/>
      <c r="CG3829" s="1821"/>
      <c r="CH3829" s="1821"/>
      <c r="CI3829" s="1821"/>
      <c r="CJ3829" s="1821"/>
      <c r="CK3829" s="1821"/>
    </row>
    <row r="3830" spans="1:89" s="1204" customFormat="1" ht="16.5" customHeight="1" x14ac:dyDescent="0.25">
      <c r="A3830" s="1012">
        <v>8</v>
      </c>
      <c r="B3830" s="1013" t="s">
        <v>331</v>
      </c>
      <c r="C3830" s="1007">
        <f>5*0</f>
        <v>0</v>
      </c>
      <c r="D3830" s="1030" t="s">
        <v>76</v>
      </c>
      <c r="E3830" s="955">
        <f>20000*0</f>
        <v>0</v>
      </c>
      <c r="F3830" s="714"/>
      <c r="G3830" s="714"/>
      <c r="H3830" s="700">
        <f t="shared" si="424"/>
        <v>0</v>
      </c>
      <c r="I3830" s="714"/>
      <c r="J3830" s="714"/>
      <c r="K3830" s="700">
        <f t="shared" si="425"/>
        <v>0</v>
      </c>
      <c r="L3830" s="714">
        <f t="shared" si="422"/>
        <v>0</v>
      </c>
      <c r="M3830" s="714"/>
      <c r="N3830" s="700">
        <f t="shared" si="415"/>
        <v>0</v>
      </c>
      <c r="O3830" s="974">
        <f t="shared" si="423"/>
        <v>0</v>
      </c>
      <c r="P3830" s="1202"/>
      <c r="Q3830" s="1838"/>
      <c r="R3830" s="1838"/>
      <c r="S3830" s="1838"/>
      <c r="T3830" s="1838"/>
      <c r="U3830" s="1838"/>
      <c r="V3830" s="1838"/>
      <c r="W3830" s="1838"/>
      <c r="X3830" s="1838"/>
      <c r="Y3830" s="1838"/>
      <c r="Z3830" s="1838"/>
      <c r="AA3830" s="1838"/>
      <c r="AB3830" s="1838"/>
      <c r="AC3830" s="1838"/>
      <c r="AD3830" s="1838"/>
      <c r="AE3830" s="1838"/>
      <c r="AF3830" s="1838"/>
      <c r="AG3830" s="1838"/>
      <c r="AH3830" s="1838"/>
      <c r="AI3830" s="1838"/>
      <c r="AJ3830" s="1838"/>
      <c r="AK3830" s="1838"/>
      <c r="AL3830" s="1838"/>
      <c r="AM3830" s="1838"/>
      <c r="AN3830" s="1838"/>
      <c r="AO3830" s="1838"/>
      <c r="AP3830" s="1838"/>
      <c r="AQ3830" s="1838"/>
      <c r="AR3830" s="1838"/>
      <c r="AS3830" s="1838"/>
      <c r="AT3830" s="1838"/>
      <c r="AU3830" s="1838"/>
      <c r="AV3830" s="1838"/>
      <c r="AW3830" s="1838"/>
      <c r="AX3830" s="1838"/>
      <c r="AY3830" s="1838"/>
      <c r="AZ3830" s="1838"/>
      <c r="BA3830" s="1838"/>
      <c r="BB3830" s="1838"/>
      <c r="BC3830" s="1838"/>
      <c r="BD3830" s="1838"/>
      <c r="BE3830" s="1838"/>
      <c r="BF3830" s="1838"/>
      <c r="BG3830" s="1838"/>
      <c r="BH3830" s="1838"/>
      <c r="BI3830" s="1838"/>
      <c r="BJ3830" s="1838"/>
      <c r="BK3830" s="1838"/>
      <c r="BL3830" s="1838"/>
      <c r="BM3830" s="1838"/>
      <c r="BN3830" s="1838"/>
      <c r="BO3830" s="1838"/>
      <c r="BP3830" s="1838"/>
      <c r="BQ3830" s="1838"/>
      <c r="BR3830" s="1838"/>
      <c r="BS3830" s="1838"/>
      <c r="BT3830" s="1838"/>
      <c r="BU3830" s="1838"/>
      <c r="BV3830" s="1838"/>
      <c r="BW3830" s="1838"/>
      <c r="BX3830" s="1838"/>
      <c r="BY3830" s="1838"/>
      <c r="BZ3830" s="1838"/>
      <c r="CA3830" s="1838"/>
      <c r="CB3830" s="1838"/>
      <c r="CC3830" s="1838"/>
      <c r="CD3830" s="1838"/>
      <c r="CE3830" s="1838"/>
      <c r="CF3830" s="1838"/>
      <c r="CG3830" s="1838"/>
      <c r="CH3830" s="1838"/>
      <c r="CI3830" s="1838"/>
      <c r="CJ3830" s="1838"/>
      <c r="CK3830" s="1838"/>
    </row>
    <row r="3831" spans="1:89" s="744" customFormat="1" ht="16.5" customHeight="1" x14ac:dyDescent="0.25">
      <c r="A3831" s="1012">
        <v>9</v>
      </c>
      <c r="B3831" s="1013" t="s">
        <v>332</v>
      </c>
      <c r="C3831" s="1007">
        <v>5</v>
      </c>
      <c r="D3831" s="1014" t="s">
        <v>76</v>
      </c>
      <c r="E3831" s="955">
        <v>2500</v>
      </c>
      <c r="F3831" s="714"/>
      <c r="G3831" s="714"/>
      <c r="H3831" s="700">
        <f t="shared" si="424"/>
        <v>0</v>
      </c>
      <c r="I3831" s="714"/>
      <c r="J3831" s="714"/>
      <c r="K3831" s="700">
        <f t="shared" si="425"/>
        <v>0</v>
      </c>
      <c r="L3831" s="714">
        <f t="shared" si="422"/>
        <v>12500</v>
      </c>
      <c r="M3831" s="714"/>
      <c r="N3831" s="700">
        <f t="shared" si="415"/>
        <v>12500</v>
      </c>
      <c r="O3831" s="974">
        <f t="shared" si="423"/>
        <v>12500</v>
      </c>
      <c r="P3831" s="956"/>
      <c r="Q3831" s="1821"/>
      <c r="R3831" s="1821"/>
      <c r="S3831" s="1821"/>
      <c r="T3831" s="1821"/>
      <c r="U3831" s="1821"/>
      <c r="V3831" s="1821"/>
      <c r="W3831" s="1821"/>
      <c r="X3831" s="1821"/>
      <c r="Y3831" s="1821"/>
      <c r="Z3831" s="1821"/>
      <c r="AA3831" s="1821"/>
      <c r="AB3831" s="1821"/>
      <c r="AC3831" s="1821"/>
      <c r="AD3831" s="1821"/>
      <c r="AE3831" s="1821"/>
      <c r="AF3831" s="1821"/>
      <c r="AG3831" s="1821"/>
      <c r="AH3831" s="1821"/>
      <c r="AI3831" s="1821"/>
      <c r="AJ3831" s="1821"/>
      <c r="AK3831" s="1821"/>
      <c r="AL3831" s="1821"/>
      <c r="AM3831" s="1821"/>
      <c r="AN3831" s="1821"/>
      <c r="AO3831" s="1821"/>
      <c r="AP3831" s="1821"/>
      <c r="AQ3831" s="1821"/>
      <c r="AR3831" s="1821"/>
      <c r="AS3831" s="1821"/>
      <c r="AT3831" s="1821"/>
      <c r="AU3831" s="1821"/>
      <c r="AV3831" s="1821"/>
      <c r="AW3831" s="1821"/>
      <c r="AX3831" s="1821"/>
      <c r="AY3831" s="1821"/>
      <c r="AZ3831" s="1821"/>
      <c r="BA3831" s="1821"/>
      <c r="BB3831" s="1821"/>
      <c r="BC3831" s="1821"/>
      <c r="BD3831" s="1821"/>
      <c r="BE3831" s="1821"/>
      <c r="BF3831" s="1821"/>
      <c r="BG3831" s="1821"/>
      <c r="BH3831" s="1821"/>
      <c r="BI3831" s="1821"/>
      <c r="BJ3831" s="1821"/>
      <c r="BK3831" s="1821"/>
      <c r="BL3831" s="1821"/>
      <c r="BM3831" s="1821"/>
      <c r="BN3831" s="1821"/>
      <c r="BO3831" s="1821"/>
      <c r="BP3831" s="1821"/>
      <c r="BQ3831" s="1821"/>
      <c r="BR3831" s="1821"/>
      <c r="BS3831" s="1821"/>
      <c r="BT3831" s="1821"/>
      <c r="BU3831" s="1821"/>
      <c r="BV3831" s="1821"/>
      <c r="BW3831" s="1821"/>
      <c r="BX3831" s="1821"/>
      <c r="BY3831" s="1821"/>
      <c r="BZ3831" s="1821"/>
      <c r="CA3831" s="1821"/>
      <c r="CB3831" s="1821"/>
      <c r="CC3831" s="1821"/>
      <c r="CD3831" s="1821"/>
      <c r="CE3831" s="1821"/>
      <c r="CF3831" s="1821"/>
      <c r="CG3831" s="1821"/>
      <c r="CH3831" s="1821"/>
      <c r="CI3831" s="1821"/>
      <c r="CJ3831" s="1821"/>
      <c r="CK3831" s="1821"/>
    </row>
    <row r="3832" spans="1:89" s="744" customFormat="1" ht="16.5" customHeight="1" x14ac:dyDescent="0.25">
      <c r="A3832" s="1715">
        <v>10</v>
      </c>
      <c r="B3832" s="1016" t="s">
        <v>333</v>
      </c>
      <c r="C3832" s="1017">
        <v>10</v>
      </c>
      <c r="D3832" s="1018" t="s">
        <v>76</v>
      </c>
      <c r="E3832" s="1019">
        <v>500</v>
      </c>
      <c r="F3832" s="714"/>
      <c r="G3832" s="714"/>
      <c r="H3832" s="700">
        <f t="shared" si="424"/>
        <v>0</v>
      </c>
      <c r="I3832" s="714"/>
      <c r="J3832" s="714"/>
      <c r="K3832" s="700">
        <f t="shared" si="425"/>
        <v>0</v>
      </c>
      <c r="L3832" s="714">
        <f t="shared" si="422"/>
        <v>5000</v>
      </c>
      <c r="M3832" s="714"/>
      <c r="N3832" s="700">
        <f t="shared" si="415"/>
        <v>5000</v>
      </c>
      <c r="O3832" s="974">
        <f t="shared" si="423"/>
        <v>5000</v>
      </c>
      <c r="P3832" s="956"/>
      <c r="Q3832" s="1821"/>
      <c r="R3832" s="1821"/>
      <c r="S3832" s="1821"/>
      <c r="T3832" s="1821"/>
      <c r="U3832" s="1821"/>
      <c r="V3832" s="1821"/>
      <c r="W3832" s="1821"/>
      <c r="X3832" s="1821"/>
      <c r="Y3832" s="1821"/>
      <c r="Z3832" s="1821"/>
      <c r="AA3832" s="1821"/>
      <c r="AB3832" s="1821"/>
      <c r="AC3832" s="1821"/>
      <c r="AD3832" s="1821"/>
      <c r="AE3832" s="1821"/>
      <c r="AF3832" s="1821"/>
      <c r="AG3832" s="1821"/>
      <c r="AH3832" s="1821"/>
      <c r="AI3832" s="1821"/>
      <c r="AJ3832" s="1821"/>
      <c r="AK3832" s="1821"/>
      <c r="AL3832" s="1821"/>
      <c r="AM3832" s="1821"/>
      <c r="AN3832" s="1821"/>
      <c r="AO3832" s="1821"/>
      <c r="AP3832" s="1821"/>
      <c r="AQ3832" s="1821"/>
      <c r="AR3832" s="1821"/>
      <c r="AS3832" s="1821"/>
      <c r="AT3832" s="1821"/>
      <c r="AU3832" s="1821"/>
      <c r="AV3832" s="1821"/>
      <c r="AW3832" s="1821"/>
      <c r="AX3832" s="1821"/>
      <c r="AY3832" s="1821"/>
      <c r="AZ3832" s="1821"/>
      <c r="BA3832" s="1821"/>
      <c r="BB3832" s="1821"/>
      <c r="BC3832" s="1821"/>
      <c r="BD3832" s="1821"/>
      <c r="BE3832" s="1821"/>
      <c r="BF3832" s="1821"/>
      <c r="BG3832" s="1821"/>
      <c r="BH3832" s="1821"/>
      <c r="BI3832" s="1821"/>
      <c r="BJ3832" s="1821"/>
      <c r="BK3832" s="1821"/>
      <c r="BL3832" s="1821"/>
      <c r="BM3832" s="1821"/>
      <c r="BN3832" s="1821"/>
      <c r="BO3832" s="1821"/>
      <c r="BP3832" s="1821"/>
      <c r="BQ3832" s="1821"/>
      <c r="BR3832" s="1821"/>
      <c r="BS3832" s="1821"/>
      <c r="BT3832" s="1821"/>
      <c r="BU3832" s="1821"/>
      <c r="BV3832" s="1821"/>
      <c r="BW3832" s="1821"/>
      <c r="BX3832" s="1821"/>
      <c r="BY3832" s="1821"/>
      <c r="BZ3832" s="1821"/>
      <c r="CA3832" s="1821"/>
      <c r="CB3832" s="1821"/>
      <c r="CC3832" s="1821"/>
      <c r="CD3832" s="1821"/>
      <c r="CE3832" s="1821"/>
      <c r="CF3832" s="1821"/>
      <c r="CG3832" s="1821"/>
      <c r="CH3832" s="1821"/>
      <c r="CI3832" s="1821"/>
      <c r="CJ3832" s="1821"/>
      <c r="CK3832" s="1821"/>
    </row>
    <row r="3833" spans="1:89" s="744" customFormat="1" ht="16.5" customHeight="1" x14ac:dyDescent="0.25">
      <c r="A3833" s="1715">
        <v>11</v>
      </c>
      <c r="B3833" s="1016" t="s">
        <v>334</v>
      </c>
      <c r="C3833" s="1017">
        <v>5</v>
      </c>
      <c r="D3833" s="1018" t="s">
        <v>76</v>
      </c>
      <c r="E3833" s="1019">
        <v>12000</v>
      </c>
      <c r="F3833" s="714"/>
      <c r="G3833" s="714"/>
      <c r="H3833" s="700">
        <f t="shared" si="424"/>
        <v>0</v>
      </c>
      <c r="I3833" s="714"/>
      <c r="J3833" s="714"/>
      <c r="K3833" s="700">
        <f t="shared" si="425"/>
        <v>0</v>
      </c>
      <c r="L3833" s="714">
        <f t="shared" si="422"/>
        <v>60000</v>
      </c>
      <c r="M3833" s="714"/>
      <c r="N3833" s="700">
        <f t="shared" si="415"/>
        <v>60000</v>
      </c>
      <c r="O3833" s="974">
        <f t="shared" si="423"/>
        <v>60000</v>
      </c>
      <c r="P3833" s="956"/>
      <c r="Q3833" s="1821"/>
      <c r="R3833" s="1821"/>
      <c r="S3833" s="1821"/>
      <c r="T3833" s="1821"/>
      <c r="U3833" s="1821"/>
      <c r="V3833" s="1821"/>
      <c r="W3833" s="1821"/>
      <c r="X3833" s="1821"/>
      <c r="Y3833" s="1821"/>
      <c r="Z3833" s="1821"/>
      <c r="AA3833" s="1821"/>
      <c r="AB3833" s="1821"/>
      <c r="AC3833" s="1821"/>
      <c r="AD3833" s="1821"/>
      <c r="AE3833" s="1821"/>
      <c r="AF3833" s="1821"/>
      <c r="AG3833" s="1821"/>
      <c r="AH3833" s="1821"/>
      <c r="AI3833" s="1821"/>
      <c r="AJ3833" s="1821"/>
      <c r="AK3833" s="1821"/>
      <c r="AL3833" s="1821"/>
      <c r="AM3833" s="1821"/>
      <c r="AN3833" s="1821"/>
      <c r="AO3833" s="1821"/>
      <c r="AP3833" s="1821"/>
      <c r="AQ3833" s="1821"/>
      <c r="AR3833" s="1821"/>
      <c r="AS3833" s="1821"/>
      <c r="AT3833" s="1821"/>
      <c r="AU3833" s="1821"/>
      <c r="AV3833" s="1821"/>
      <c r="AW3833" s="1821"/>
      <c r="AX3833" s="1821"/>
      <c r="AY3833" s="1821"/>
      <c r="AZ3833" s="1821"/>
      <c r="BA3833" s="1821"/>
      <c r="BB3833" s="1821"/>
      <c r="BC3833" s="1821"/>
      <c r="BD3833" s="1821"/>
      <c r="BE3833" s="1821"/>
      <c r="BF3833" s="1821"/>
      <c r="BG3833" s="1821"/>
      <c r="BH3833" s="1821"/>
      <c r="BI3833" s="1821"/>
      <c r="BJ3833" s="1821"/>
      <c r="BK3833" s="1821"/>
      <c r="BL3833" s="1821"/>
      <c r="BM3833" s="1821"/>
      <c r="BN3833" s="1821"/>
      <c r="BO3833" s="1821"/>
      <c r="BP3833" s="1821"/>
      <c r="BQ3833" s="1821"/>
      <c r="BR3833" s="1821"/>
      <c r="BS3833" s="1821"/>
      <c r="BT3833" s="1821"/>
      <c r="BU3833" s="1821"/>
      <c r="BV3833" s="1821"/>
      <c r="BW3833" s="1821"/>
      <c r="BX3833" s="1821"/>
      <c r="BY3833" s="1821"/>
      <c r="BZ3833" s="1821"/>
      <c r="CA3833" s="1821"/>
      <c r="CB3833" s="1821"/>
      <c r="CC3833" s="1821"/>
      <c r="CD3833" s="1821"/>
      <c r="CE3833" s="1821"/>
      <c r="CF3833" s="1821"/>
      <c r="CG3833" s="1821"/>
      <c r="CH3833" s="1821"/>
      <c r="CI3833" s="1821"/>
      <c r="CJ3833" s="1821"/>
      <c r="CK3833" s="1821"/>
    </row>
    <row r="3834" spans="1:89" s="744" customFormat="1" ht="16.5" customHeight="1" x14ac:dyDescent="0.25">
      <c r="A3834" s="1715">
        <v>12</v>
      </c>
      <c r="B3834" s="1016" t="s">
        <v>1326</v>
      </c>
      <c r="C3834" s="1017">
        <v>4</v>
      </c>
      <c r="D3834" s="1018" t="s">
        <v>76</v>
      </c>
      <c r="E3834" s="1019">
        <v>17810</v>
      </c>
      <c r="F3834" s="714"/>
      <c r="G3834" s="714"/>
      <c r="H3834" s="700">
        <f t="shared" si="424"/>
        <v>0</v>
      </c>
      <c r="I3834" s="714"/>
      <c r="J3834" s="714"/>
      <c r="K3834" s="700">
        <f t="shared" si="425"/>
        <v>0</v>
      </c>
      <c r="L3834" s="714">
        <f t="shared" si="422"/>
        <v>71240</v>
      </c>
      <c r="M3834" s="714"/>
      <c r="N3834" s="700">
        <f t="shared" si="415"/>
        <v>71240</v>
      </c>
      <c r="O3834" s="974">
        <f t="shared" si="423"/>
        <v>71240</v>
      </c>
      <c r="P3834" s="956"/>
      <c r="Q3834" s="1821"/>
      <c r="R3834" s="1821"/>
      <c r="S3834" s="1821"/>
      <c r="T3834" s="1821"/>
      <c r="U3834" s="1821"/>
      <c r="V3834" s="1821"/>
      <c r="W3834" s="1821"/>
      <c r="X3834" s="1821"/>
      <c r="Y3834" s="1821"/>
      <c r="Z3834" s="1821"/>
      <c r="AA3834" s="1821"/>
      <c r="AB3834" s="1821"/>
      <c r="AC3834" s="1821"/>
      <c r="AD3834" s="1821"/>
      <c r="AE3834" s="1821"/>
      <c r="AF3834" s="1821"/>
      <c r="AG3834" s="1821"/>
      <c r="AH3834" s="1821"/>
      <c r="AI3834" s="1821"/>
      <c r="AJ3834" s="1821"/>
      <c r="AK3834" s="1821"/>
      <c r="AL3834" s="1821"/>
      <c r="AM3834" s="1821"/>
      <c r="AN3834" s="1821"/>
      <c r="AO3834" s="1821"/>
      <c r="AP3834" s="1821"/>
      <c r="AQ3834" s="1821"/>
      <c r="AR3834" s="1821"/>
      <c r="AS3834" s="1821"/>
      <c r="AT3834" s="1821"/>
      <c r="AU3834" s="1821"/>
      <c r="AV3834" s="1821"/>
      <c r="AW3834" s="1821"/>
      <c r="AX3834" s="1821"/>
      <c r="AY3834" s="1821"/>
      <c r="AZ3834" s="1821"/>
      <c r="BA3834" s="1821"/>
      <c r="BB3834" s="1821"/>
      <c r="BC3834" s="1821"/>
      <c r="BD3834" s="1821"/>
      <c r="BE3834" s="1821"/>
      <c r="BF3834" s="1821"/>
      <c r="BG3834" s="1821"/>
      <c r="BH3834" s="1821"/>
      <c r="BI3834" s="1821"/>
      <c r="BJ3834" s="1821"/>
      <c r="BK3834" s="1821"/>
      <c r="BL3834" s="1821"/>
      <c r="BM3834" s="1821"/>
      <c r="BN3834" s="1821"/>
      <c r="BO3834" s="1821"/>
      <c r="BP3834" s="1821"/>
      <c r="BQ3834" s="1821"/>
      <c r="BR3834" s="1821"/>
      <c r="BS3834" s="1821"/>
      <c r="BT3834" s="1821"/>
      <c r="BU3834" s="1821"/>
      <c r="BV3834" s="1821"/>
      <c r="BW3834" s="1821"/>
      <c r="BX3834" s="1821"/>
      <c r="BY3834" s="1821"/>
      <c r="BZ3834" s="1821"/>
      <c r="CA3834" s="1821"/>
      <c r="CB3834" s="1821"/>
      <c r="CC3834" s="1821"/>
      <c r="CD3834" s="1821"/>
      <c r="CE3834" s="1821"/>
      <c r="CF3834" s="1821"/>
      <c r="CG3834" s="1821"/>
      <c r="CH3834" s="1821"/>
      <c r="CI3834" s="1821"/>
      <c r="CJ3834" s="1821"/>
      <c r="CK3834" s="1821"/>
    </row>
    <row r="3835" spans="1:89" s="744" customFormat="1" ht="16.5" customHeight="1" x14ac:dyDescent="0.25">
      <c r="A3835" s="1715">
        <v>13</v>
      </c>
      <c r="B3835" s="1013" t="s">
        <v>336</v>
      </c>
      <c r="C3835" s="1007">
        <v>1</v>
      </c>
      <c r="D3835" s="1030" t="s">
        <v>76</v>
      </c>
      <c r="E3835" s="955">
        <v>275100</v>
      </c>
      <c r="F3835" s="714"/>
      <c r="G3835" s="714"/>
      <c r="H3835" s="700">
        <f t="shared" si="424"/>
        <v>0</v>
      </c>
      <c r="I3835" s="714"/>
      <c r="J3835" s="714"/>
      <c r="K3835" s="700">
        <f t="shared" si="425"/>
        <v>0</v>
      </c>
      <c r="L3835" s="714">
        <f t="shared" si="422"/>
        <v>275100</v>
      </c>
      <c r="M3835" s="714"/>
      <c r="N3835" s="700">
        <f t="shared" si="415"/>
        <v>275100</v>
      </c>
      <c r="O3835" s="974">
        <f t="shared" si="423"/>
        <v>275100</v>
      </c>
      <c r="P3835" s="956"/>
      <c r="Q3835" s="1821"/>
      <c r="R3835" s="1821"/>
      <c r="S3835" s="1821"/>
      <c r="T3835" s="1821"/>
      <c r="U3835" s="1821"/>
      <c r="V3835" s="1821"/>
      <c r="W3835" s="1821"/>
      <c r="X3835" s="1821"/>
      <c r="Y3835" s="1821"/>
      <c r="Z3835" s="1821"/>
      <c r="AA3835" s="1821"/>
      <c r="AB3835" s="1821"/>
      <c r="AC3835" s="1821"/>
      <c r="AD3835" s="1821"/>
      <c r="AE3835" s="1821"/>
      <c r="AF3835" s="1821"/>
      <c r="AG3835" s="1821"/>
      <c r="AH3835" s="1821"/>
      <c r="AI3835" s="1821"/>
      <c r="AJ3835" s="1821"/>
      <c r="AK3835" s="1821"/>
      <c r="AL3835" s="1821"/>
      <c r="AM3835" s="1821"/>
      <c r="AN3835" s="1821"/>
      <c r="AO3835" s="1821"/>
      <c r="AP3835" s="1821"/>
      <c r="AQ3835" s="1821"/>
      <c r="AR3835" s="1821"/>
      <c r="AS3835" s="1821"/>
      <c r="AT3835" s="1821"/>
      <c r="AU3835" s="1821"/>
      <c r="AV3835" s="1821"/>
      <c r="AW3835" s="1821"/>
      <c r="AX3835" s="1821"/>
      <c r="AY3835" s="1821"/>
      <c r="AZ3835" s="1821"/>
      <c r="BA3835" s="1821"/>
      <c r="BB3835" s="1821"/>
      <c r="BC3835" s="1821"/>
      <c r="BD3835" s="1821"/>
      <c r="BE3835" s="1821"/>
      <c r="BF3835" s="1821"/>
      <c r="BG3835" s="1821"/>
      <c r="BH3835" s="1821"/>
      <c r="BI3835" s="1821"/>
      <c r="BJ3835" s="1821"/>
      <c r="BK3835" s="1821"/>
      <c r="BL3835" s="1821"/>
      <c r="BM3835" s="1821"/>
      <c r="BN3835" s="1821"/>
      <c r="BO3835" s="1821"/>
      <c r="BP3835" s="1821"/>
      <c r="BQ3835" s="1821"/>
      <c r="BR3835" s="1821"/>
      <c r="BS3835" s="1821"/>
      <c r="BT3835" s="1821"/>
      <c r="BU3835" s="1821"/>
      <c r="BV3835" s="1821"/>
      <c r="BW3835" s="1821"/>
      <c r="BX3835" s="1821"/>
      <c r="BY3835" s="1821"/>
      <c r="BZ3835" s="1821"/>
      <c r="CA3835" s="1821"/>
      <c r="CB3835" s="1821"/>
      <c r="CC3835" s="1821"/>
      <c r="CD3835" s="1821"/>
      <c r="CE3835" s="1821"/>
      <c r="CF3835" s="1821"/>
      <c r="CG3835" s="1821"/>
      <c r="CH3835" s="1821"/>
      <c r="CI3835" s="1821"/>
      <c r="CJ3835" s="1821"/>
      <c r="CK3835" s="1821"/>
    </row>
    <row r="3836" spans="1:89" s="1204" customFormat="1" ht="16.5" customHeight="1" x14ac:dyDescent="0.25">
      <c r="A3836" s="1715">
        <v>14</v>
      </c>
      <c r="B3836" s="1013" t="s">
        <v>2305</v>
      </c>
      <c r="C3836" s="1007">
        <v>1</v>
      </c>
      <c r="D3836" s="1030" t="s">
        <v>76</v>
      </c>
      <c r="E3836" s="955">
        <v>650000</v>
      </c>
      <c r="F3836" s="714"/>
      <c r="G3836" s="714"/>
      <c r="H3836" s="700">
        <f t="shared" si="424"/>
        <v>0</v>
      </c>
      <c r="I3836" s="714"/>
      <c r="J3836" s="714"/>
      <c r="K3836" s="700">
        <f t="shared" si="425"/>
        <v>0</v>
      </c>
      <c r="L3836" s="714">
        <f>C3836*E3836</f>
        <v>650000</v>
      </c>
      <c r="M3836" s="714"/>
      <c r="N3836" s="700">
        <f>M3836+L3836</f>
        <v>650000</v>
      </c>
      <c r="O3836" s="974">
        <f>N3836+K3836+H3836</f>
        <v>650000</v>
      </c>
      <c r="P3836" s="1202"/>
      <c r="Q3836" s="1838"/>
      <c r="R3836" s="1838"/>
      <c r="S3836" s="1838"/>
      <c r="T3836" s="1838"/>
      <c r="U3836" s="1838"/>
      <c r="V3836" s="1838"/>
      <c r="W3836" s="1838"/>
      <c r="X3836" s="1838"/>
      <c r="Y3836" s="1838"/>
      <c r="Z3836" s="1838"/>
      <c r="AA3836" s="1838"/>
      <c r="AB3836" s="1838"/>
      <c r="AC3836" s="1838"/>
      <c r="AD3836" s="1838"/>
      <c r="AE3836" s="1838"/>
      <c r="AF3836" s="1838"/>
      <c r="AG3836" s="1838"/>
      <c r="AH3836" s="1838"/>
      <c r="AI3836" s="1838"/>
      <c r="AJ3836" s="1838"/>
      <c r="AK3836" s="1838"/>
      <c r="AL3836" s="1838"/>
      <c r="AM3836" s="1838"/>
      <c r="AN3836" s="1838"/>
      <c r="AO3836" s="1838"/>
      <c r="AP3836" s="1838"/>
      <c r="AQ3836" s="1838"/>
      <c r="AR3836" s="1838"/>
      <c r="AS3836" s="1838"/>
      <c r="AT3836" s="1838"/>
      <c r="AU3836" s="1838"/>
      <c r="AV3836" s="1838"/>
      <c r="AW3836" s="1838"/>
      <c r="AX3836" s="1838"/>
      <c r="AY3836" s="1838"/>
      <c r="AZ3836" s="1838"/>
      <c r="BA3836" s="1838"/>
      <c r="BB3836" s="1838"/>
      <c r="BC3836" s="1838"/>
      <c r="BD3836" s="1838"/>
      <c r="BE3836" s="1838"/>
      <c r="BF3836" s="1838"/>
      <c r="BG3836" s="1838"/>
      <c r="BH3836" s="1838"/>
      <c r="BI3836" s="1838"/>
      <c r="BJ3836" s="1838"/>
      <c r="BK3836" s="1838"/>
      <c r="BL3836" s="1838"/>
      <c r="BM3836" s="1838"/>
      <c r="BN3836" s="1838"/>
      <c r="BO3836" s="1838"/>
      <c r="BP3836" s="1838"/>
      <c r="BQ3836" s="1838"/>
      <c r="BR3836" s="1838"/>
      <c r="BS3836" s="1838"/>
      <c r="BT3836" s="1838"/>
      <c r="BU3836" s="1838"/>
      <c r="BV3836" s="1838"/>
      <c r="BW3836" s="1838"/>
      <c r="BX3836" s="1838"/>
      <c r="BY3836" s="1838"/>
      <c r="BZ3836" s="1838"/>
      <c r="CA3836" s="1838"/>
      <c r="CB3836" s="1838"/>
      <c r="CC3836" s="1838"/>
      <c r="CD3836" s="1838"/>
      <c r="CE3836" s="1838"/>
      <c r="CF3836" s="1838"/>
      <c r="CG3836" s="1838"/>
      <c r="CH3836" s="1838"/>
      <c r="CI3836" s="1838"/>
      <c r="CJ3836" s="1838"/>
      <c r="CK3836" s="1838"/>
    </row>
    <row r="3837" spans="1:89" s="1204" customFormat="1" ht="16.5" customHeight="1" x14ac:dyDescent="0.25">
      <c r="A3837" s="1715">
        <v>15</v>
      </c>
      <c r="B3837" s="1013" t="s">
        <v>335</v>
      </c>
      <c r="C3837" s="1007">
        <f>2-1</f>
        <v>1</v>
      </c>
      <c r="D3837" s="1014" t="s">
        <v>76</v>
      </c>
      <c r="E3837" s="955">
        <f>25000*2</f>
        <v>50000</v>
      </c>
      <c r="F3837" s="714"/>
      <c r="G3837" s="714"/>
      <c r="H3837" s="700">
        <f t="shared" si="424"/>
        <v>0</v>
      </c>
      <c r="I3837" s="714"/>
      <c r="J3837" s="714"/>
      <c r="K3837" s="700">
        <f t="shared" si="425"/>
        <v>0</v>
      </c>
      <c r="L3837" s="714">
        <f t="shared" si="422"/>
        <v>50000</v>
      </c>
      <c r="M3837" s="714"/>
      <c r="N3837" s="700">
        <f t="shared" si="415"/>
        <v>50000</v>
      </c>
      <c r="O3837" s="974">
        <f t="shared" si="423"/>
        <v>50000</v>
      </c>
      <c r="P3837" s="1202"/>
      <c r="Q3837" s="1838"/>
      <c r="R3837" s="1838"/>
      <c r="S3837" s="1838"/>
      <c r="T3837" s="1838"/>
      <c r="U3837" s="1838"/>
      <c r="V3837" s="1838"/>
      <c r="W3837" s="1838"/>
      <c r="X3837" s="1838"/>
      <c r="Y3837" s="1838"/>
      <c r="Z3837" s="1838"/>
      <c r="AA3837" s="1838"/>
      <c r="AB3837" s="1838"/>
      <c r="AC3837" s="1838"/>
      <c r="AD3837" s="1838"/>
      <c r="AE3837" s="1838"/>
      <c r="AF3837" s="1838"/>
      <c r="AG3837" s="1838"/>
      <c r="AH3837" s="1838"/>
      <c r="AI3837" s="1838"/>
      <c r="AJ3837" s="1838"/>
      <c r="AK3837" s="1838"/>
      <c r="AL3837" s="1838"/>
      <c r="AM3837" s="1838"/>
      <c r="AN3837" s="1838"/>
      <c r="AO3837" s="1838"/>
      <c r="AP3837" s="1838"/>
      <c r="AQ3837" s="1838"/>
      <c r="AR3837" s="1838"/>
      <c r="AS3837" s="1838"/>
      <c r="AT3837" s="1838"/>
      <c r="AU3837" s="1838"/>
      <c r="AV3837" s="1838"/>
      <c r="AW3837" s="1838"/>
      <c r="AX3837" s="1838"/>
      <c r="AY3837" s="1838"/>
      <c r="AZ3837" s="1838"/>
      <c r="BA3837" s="1838"/>
      <c r="BB3837" s="1838"/>
      <c r="BC3837" s="1838"/>
      <c r="BD3837" s="1838"/>
      <c r="BE3837" s="1838"/>
      <c r="BF3837" s="1838"/>
      <c r="BG3837" s="1838"/>
      <c r="BH3837" s="1838"/>
      <c r="BI3837" s="1838"/>
      <c r="BJ3837" s="1838"/>
      <c r="BK3837" s="1838"/>
      <c r="BL3837" s="1838"/>
      <c r="BM3837" s="1838"/>
      <c r="BN3837" s="1838"/>
      <c r="BO3837" s="1838"/>
      <c r="BP3837" s="1838"/>
      <c r="BQ3837" s="1838"/>
      <c r="BR3837" s="1838"/>
      <c r="BS3837" s="1838"/>
      <c r="BT3837" s="1838"/>
      <c r="BU3837" s="1838"/>
      <c r="BV3837" s="1838"/>
      <c r="BW3837" s="1838"/>
      <c r="BX3837" s="1838"/>
      <c r="BY3837" s="1838"/>
      <c r="BZ3837" s="1838"/>
      <c r="CA3837" s="1838"/>
      <c r="CB3837" s="1838"/>
      <c r="CC3837" s="1838"/>
      <c r="CD3837" s="1838"/>
      <c r="CE3837" s="1838"/>
      <c r="CF3837" s="1838"/>
      <c r="CG3837" s="1838"/>
      <c r="CH3837" s="1838"/>
      <c r="CI3837" s="1838"/>
      <c r="CJ3837" s="1838"/>
      <c r="CK3837" s="1838"/>
    </row>
    <row r="3838" spans="1:89" s="1204" customFormat="1" ht="16.5" customHeight="1" x14ac:dyDescent="0.25">
      <c r="A3838" s="1715">
        <v>16</v>
      </c>
      <c r="B3838" s="1016" t="s">
        <v>1327</v>
      </c>
      <c r="C3838" s="1017">
        <v>1</v>
      </c>
      <c r="D3838" s="1018" t="s">
        <v>222</v>
      </c>
      <c r="E3838" s="1019">
        <f>10000+5000</f>
        <v>15000</v>
      </c>
      <c r="F3838" s="714"/>
      <c r="G3838" s="714"/>
      <c r="H3838" s="700"/>
      <c r="I3838" s="714"/>
      <c r="J3838" s="714"/>
      <c r="K3838" s="700"/>
      <c r="L3838" s="714">
        <f t="shared" si="422"/>
        <v>15000</v>
      </c>
      <c r="M3838" s="714"/>
      <c r="N3838" s="700">
        <f t="shared" si="415"/>
        <v>15000</v>
      </c>
      <c r="O3838" s="974">
        <f t="shared" si="423"/>
        <v>15000</v>
      </c>
      <c r="P3838" s="1202"/>
      <c r="Q3838" s="1838"/>
      <c r="R3838" s="1838"/>
      <c r="S3838" s="1838"/>
      <c r="T3838" s="1838"/>
      <c r="U3838" s="1838"/>
      <c r="V3838" s="1838"/>
      <c r="W3838" s="1838"/>
      <c r="X3838" s="1838"/>
      <c r="Y3838" s="1838"/>
      <c r="Z3838" s="1838"/>
      <c r="AA3838" s="1838"/>
      <c r="AB3838" s="1838"/>
      <c r="AC3838" s="1838"/>
      <c r="AD3838" s="1838"/>
      <c r="AE3838" s="1838"/>
      <c r="AF3838" s="1838"/>
      <c r="AG3838" s="1838"/>
      <c r="AH3838" s="1838"/>
      <c r="AI3838" s="1838"/>
      <c r="AJ3838" s="1838"/>
      <c r="AK3838" s="1838"/>
      <c r="AL3838" s="1838"/>
      <c r="AM3838" s="1838"/>
      <c r="AN3838" s="1838"/>
      <c r="AO3838" s="1838"/>
      <c r="AP3838" s="1838"/>
      <c r="AQ3838" s="1838"/>
      <c r="AR3838" s="1838"/>
      <c r="AS3838" s="1838"/>
      <c r="AT3838" s="1838"/>
      <c r="AU3838" s="1838"/>
      <c r="AV3838" s="1838"/>
      <c r="AW3838" s="1838"/>
      <c r="AX3838" s="1838"/>
      <c r="AY3838" s="1838"/>
      <c r="AZ3838" s="1838"/>
      <c r="BA3838" s="1838"/>
      <c r="BB3838" s="1838"/>
      <c r="BC3838" s="1838"/>
      <c r="BD3838" s="1838"/>
      <c r="BE3838" s="1838"/>
      <c r="BF3838" s="1838"/>
      <c r="BG3838" s="1838"/>
      <c r="BH3838" s="1838"/>
      <c r="BI3838" s="1838"/>
      <c r="BJ3838" s="1838"/>
      <c r="BK3838" s="1838"/>
      <c r="BL3838" s="1838"/>
      <c r="BM3838" s="1838"/>
      <c r="BN3838" s="1838"/>
      <c r="BO3838" s="1838"/>
      <c r="BP3838" s="1838"/>
      <c r="BQ3838" s="1838"/>
      <c r="BR3838" s="1838"/>
      <c r="BS3838" s="1838"/>
      <c r="BT3838" s="1838"/>
      <c r="BU3838" s="1838"/>
      <c r="BV3838" s="1838"/>
      <c r="BW3838" s="1838"/>
      <c r="BX3838" s="1838"/>
      <c r="BY3838" s="1838"/>
      <c r="BZ3838" s="1838"/>
      <c r="CA3838" s="1838"/>
      <c r="CB3838" s="1838"/>
      <c r="CC3838" s="1838"/>
      <c r="CD3838" s="1838"/>
      <c r="CE3838" s="1838"/>
      <c r="CF3838" s="1838"/>
      <c r="CG3838" s="1838"/>
      <c r="CH3838" s="1838"/>
      <c r="CI3838" s="1838"/>
      <c r="CJ3838" s="1838"/>
      <c r="CK3838" s="1838"/>
    </row>
    <row r="3839" spans="1:89" s="744" customFormat="1" ht="16.5" customHeight="1" x14ac:dyDescent="0.25">
      <c r="A3839" s="1715">
        <v>17</v>
      </c>
      <c r="B3839" s="1016" t="s">
        <v>1328</v>
      </c>
      <c r="C3839" s="1017">
        <v>1</v>
      </c>
      <c r="D3839" s="1018" t="s">
        <v>222</v>
      </c>
      <c r="E3839" s="1019">
        <v>7500</v>
      </c>
      <c r="F3839" s="714"/>
      <c r="G3839" s="714"/>
      <c r="H3839" s="700"/>
      <c r="I3839" s="714"/>
      <c r="J3839" s="714"/>
      <c r="K3839" s="700"/>
      <c r="L3839" s="714">
        <f t="shared" si="422"/>
        <v>7500</v>
      </c>
      <c r="M3839" s="714"/>
      <c r="N3839" s="700">
        <f t="shared" si="415"/>
        <v>7500</v>
      </c>
      <c r="O3839" s="974">
        <f t="shared" si="423"/>
        <v>7500</v>
      </c>
      <c r="P3839" s="956"/>
      <c r="Q3839" s="1821"/>
      <c r="R3839" s="1821"/>
      <c r="S3839" s="1821"/>
      <c r="T3839" s="1821"/>
      <c r="U3839" s="1821"/>
      <c r="V3839" s="1821"/>
      <c r="W3839" s="1821"/>
      <c r="X3839" s="1821"/>
      <c r="Y3839" s="1821"/>
      <c r="Z3839" s="1821"/>
      <c r="AA3839" s="1821"/>
      <c r="AB3839" s="1821"/>
      <c r="AC3839" s="1821"/>
      <c r="AD3839" s="1821"/>
      <c r="AE3839" s="1821"/>
      <c r="AF3839" s="1821"/>
      <c r="AG3839" s="1821"/>
      <c r="AH3839" s="1821"/>
      <c r="AI3839" s="1821"/>
      <c r="AJ3839" s="1821"/>
      <c r="AK3839" s="1821"/>
      <c r="AL3839" s="1821"/>
      <c r="AM3839" s="1821"/>
      <c r="AN3839" s="1821"/>
      <c r="AO3839" s="1821"/>
      <c r="AP3839" s="1821"/>
      <c r="AQ3839" s="1821"/>
      <c r="AR3839" s="1821"/>
      <c r="AS3839" s="1821"/>
      <c r="AT3839" s="1821"/>
      <c r="AU3839" s="1821"/>
      <c r="AV3839" s="1821"/>
      <c r="AW3839" s="1821"/>
      <c r="AX3839" s="1821"/>
      <c r="AY3839" s="1821"/>
      <c r="AZ3839" s="1821"/>
      <c r="BA3839" s="1821"/>
      <c r="BB3839" s="1821"/>
      <c r="BC3839" s="1821"/>
      <c r="BD3839" s="1821"/>
      <c r="BE3839" s="1821"/>
      <c r="BF3839" s="1821"/>
      <c r="BG3839" s="1821"/>
      <c r="BH3839" s="1821"/>
      <c r="BI3839" s="1821"/>
      <c r="BJ3839" s="1821"/>
      <c r="BK3839" s="1821"/>
      <c r="BL3839" s="1821"/>
      <c r="BM3839" s="1821"/>
      <c r="BN3839" s="1821"/>
      <c r="BO3839" s="1821"/>
      <c r="BP3839" s="1821"/>
      <c r="BQ3839" s="1821"/>
      <c r="BR3839" s="1821"/>
      <c r="BS3839" s="1821"/>
      <c r="BT3839" s="1821"/>
      <c r="BU3839" s="1821"/>
      <c r="BV3839" s="1821"/>
      <c r="BW3839" s="1821"/>
      <c r="BX3839" s="1821"/>
      <c r="BY3839" s="1821"/>
      <c r="BZ3839" s="1821"/>
      <c r="CA3839" s="1821"/>
      <c r="CB3839" s="1821"/>
      <c r="CC3839" s="1821"/>
      <c r="CD3839" s="1821"/>
      <c r="CE3839" s="1821"/>
      <c r="CF3839" s="1821"/>
      <c r="CG3839" s="1821"/>
      <c r="CH3839" s="1821"/>
      <c r="CI3839" s="1821"/>
      <c r="CJ3839" s="1821"/>
      <c r="CK3839" s="1821"/>
    </row>
    <row r="3840" spans="1:89" s="744" customFormat="1" ht="16.5" customHeight="1" x14ac:dyDescent="0.25">
      <c r="A3840" s="1715">
        <v>18</v>
      </c>
      <c r="B3840" s="1016" t="s">
        <v>1329</v>
      </c>
      <c r="C3840" s="1017">
        <v>1</v>
      </c>
      <c r="D3840" s="1018" t="s">
        <v>222</v>
      </c>
      <c r="E3840" s="1019">
        <v>1000</v>
      </c>
      <c r="F3840" s="714"/>
      <c r="G3840" s="714"/>
      <c r="H3840" s="700"/>
      <c r="I3840" s="714"/>
      <c r="J3840" s="714"/>
      <c r="K3840" s="700"/>
      <c r="L3840" s="714">
        <f t="shared" si="422"/>
        <v>1000</v>
      </c>
      <c r="M3840" s="714"/>
      <c r="N3840" s="700">
        <f t="shared" si="415"/>
        <v>1000</v>
      </c>
      <c r="O3840" s="974">
        <f t="shared" si="423"/>
        <v>1000</v>
      </c>
      <c r="P3840" s="956"/>
      <c r="Q3840" s="1821"/>
      <c r="R3840" s="1821"/>
      <c r="S3840" s="1821"/>
      <c r="T3840" s="1821"/>
      <c r="U3840" s="1821"/>
      <c r="V3840" s="1821"/>
      <c r="W3840" s="1821"/>
      <c r="X3840" s="1821"/>
      <c r="Y3840" s="1821"/>
      <c r="Z3840" s="1821"/>
      <c r="AA3840" s="1821"/>
      <c r="AB3840" s="1821"/>
      <c r="AC3840" s="1821"/>
      <c r="AD3840" s="1821"/>
      <c r="AE3840" s="1821"/>
      <c r="AF3840" s="1821"/>
      <c r="AG3840" s="1821"/>
      <c r="AH3840" s="1821"/>
      <c r="AI3840" s="1821"/>
      <c r="AJ3840" s="1821"/>
      <c r="AK3840" s="1821"/>
      <c r="AL3840" s="1821"/>
      <c r="AM3840" s="1821"/>
      <c r="AN3840" s="1821"/>
      <c r="AO3840" s="1821"/>
      <c r="AP3840" s="1821"/>
      <c r="AQ3840" s="1821"/>
      <c r="AR3840" s="1821"/>
      <c r="AS3840" s="1821"/>
      <c r="AT3840" s="1821"/>
      <c r="AU3840" s="1821"/>
      <c r="AV3840" s="1821"/>
      <c r="AW3840" s="1821"/>
      <c r="AX3840" s="1821"/>
      <c r="AY3840" s="1821"/>
      <c r="AZ3840" s="1821"/>
      <c r="BA3840" s="1821"/>
      <c r="BB3840" s="1821"/>
      <c r="BC3840" s="1821"/>
      <c r="BD3840" s="1821"/>
      <c r="BE3840" s="1821"/>
      <c r="BF3840" s="1821"/>
      <c r="BG3840" s="1821"/>
      <c r="BH3840" s="1821"/>
      <c r="BI3840" s="1821"/>
      <c r="BJ3840" s="1821"/>
      <c r="BK3840" s="1821"/>
      <c r="BL3840" s="1821"/>
      <c r="BM3840" s="1821"/>
      <c r="BN3840" s="1821"/>
      <c r="BO3840" s="1821"/>
      <c r="BP3840" s="1821"/>
      <c r="BQ3840" s="1821"/>
      <c r="BR3840" s="1821"/>
      <c r="BS3840" s="1821"/>
      <c r="BT3840" s="1821"/>
      <c r="BU3840" s="1821"/>
      <c r="BV3840" s="1821"/>
      <c r="BW3840" s="1821"/>
      <c r="BX3840" s="1821"/>
      <c r="BY3840" s="1821"/>
      <c r="BZ3840" s="1821"/>
      <c r="CA3840" s="1821"/>
      <c r="CB3840" s="1821"/>
      <c r="CC3840" s="1821"/>
      <c r="CD3840" s="1821"/>
      <c r="CE3840" s="1821"/>
      <c r="CF3840" s="1821"/>
      <c r="CG3840" s="1821"/>
      <c r="CH3840" s="1821"/>
      <c r="CI3840" s="1821"/>
      <c r="CJ3840" s="1821"/>
      <c r="CK3840" s="1821"/>
    </row>
    <row r="3841" spans="1:89" s="744" customFormat="1" ht="16.5" customHeight="1" x14ac:dyDescent="0.25">
      <c r="A3841" s="1715">
        <v>19</v>
      </c>
      <c r="B3841" s="1016" t="s">
        <v>1330</v>
      </c>
      <c r="C3841" s="1017">
        <v>2</v>
      </c>
      <c r="D3841" s="1018" t="s">
        <v>222</v>
      </c>
      <c r="E3841" s="1019">
        <v>1000</v>
      </c>
      <c r="F3841" s="714"/>
      <c r="G3841" s="714"/>
      <c r="H3841" s="700"/>
      <c r="I3841" s="714"/>
      <c r="J3841" s="714"/>
      <c r="K3841" s="700"/>
      <c r="L3841" s="714">
        <f t="shared" si="422"/>
        <v>2000</v>
      </c>
      <c r="M3841" s="714"/>
      <c r="N3841" s="700">
        <f t="shared" si="415"/>
        <v>2000</v>
      </c>
      <c r="O3841" s="974">
        <f t="shared" si="423"/>
        <v>2000</v>
      </c>
      <c r="P3841" s="956"/>
      <c r="Q3841" s="1821"/>
      <c r="R3841" s="1821"/>
      <c r="S3841" s="1821"/>
      <c r="T3841" s="1821"/>
      <c r="U3841" s="1821"/>
      <c r="V3841" s="1821"/>
      <c r="W3841" s="1821"/>
      <c r="X3841" s="1821"/>
      <c r="Y3841" s="1821"/>
      <c r="Z3841" s="1821"/>
      <c r="AA3841" s="1821"/>
      <c r="AB3841" s="1821"/>
      <c r="AC3841" s="1821"/>
      <c r="AD3841" s="1821"/>
      <c r="AE3841" s="1821"/>
      <c r="AF3841" s="1821"/>
      <c r="AG3841" s="1821"/>
      <c r="AH3841" s="1821"/>
      <c r="AI3841" s="1821"/>
      <c r="AJ3841" s="1821"/>
      <c r="AK3841" s="1821"/>
      <c r="AL3841" s="1821"/>
      <c r="AM3841" s="1821"/>
      <c r="AN3841" s="1821"/>
      <c r="AO3841" s="1821"/>
      <c r="AP3841" s="1821"/>
      <c r="AQ3841" s="1821"/>
      <c r="AR3841" s="1821"/>
      <c r="AS3841" s="1821"/>
      <c r="AT3841" s="1821"/>
      <c r="AU3841" s="1821"/>
      <c r="AV3841" s="1821"/>
      <c r="AW3841" s="1821"/>
      <c r="AX3841" s="1821"/>
      <c r="AY3841" s="1821"/>
      <c r="AZ3841" s="1821"/>
      <c r="BA3841" s="1821"/>
      <c r="BB3841" s="1821"/>
      <c r="BC3841" s="1821"/>
      <c r="BD3841" s="1821"/>
      <c r="BE3841" s="1821"/>
      <c r="BF3841" s="1821"/>
      <c r="BG3841" s="1821"/>
      <c r="BH3841" s="1821"/>
      <c r="BI3841" s="1821"/>
      <c r="BJ3841" s="1821"/>
      <c r="BK3841" s="1821"/>
      <c r="BL3841" s="1821"/>
      <c r="BM3841" s="1821"/>
      <c r="BN3841" s="1821"/>
      <c r="BO3841" s="1821"/>
      <c r="BP3841" s="1821"/>
      <c r="BQ3841" s="1821"/>
      <c r="BR3841" s="1821"/>
      <c r="BS3841" s="1821"/>
      <c r="BT3841" s="1821"/>
      <c r="BU3841" s="1821"/>
      <c r="BV3841" s="1821"/>
      <c r="BW3841" s="1821"/>
      <c r="BX3841" s="1821"/>
      <c r="BY3841" s="1821"/>
      <c r="BZ3841" s="1821"/>
      <c r="CA3841" s="1821"/>
      <c r="CB3841" s="1821"/>
      <c r="CC3841" s="1821"/>
      <c r="CD3841" s="1821"/>
      <c r="CE3841" s="1821"/>
      <c r="CF3841" s="1821"/>
      <c r="CG3841" s="1821"/>
      <c r="CH3841" s="1821"/>
      <c r="CI3841" s="1821"/>
      <c r="CJ3841" s="1821"/>
      <c r="CK3841" s="1821"/>
    </row>
    <row r="3842" spans="1:89" s="744" customFormat="1" ht="16.5" customHeight="1" x14ac:dyDescent="0.25">
      <c r="A3842" s="1715">
        <v>20</v>
      </c>
      <c r="B3842" s="698" t="s">
        <v>1331</v>
      </c>
      <c r="C3842" s="827">
        <v>4</v>
      </c>
      <c r="D3842" s="1014" t="s">
        <v>222</v>
      </c>
      <c r="E3842" s="955">
        <v>1200</v>
      </c>
      <c r="F3842" s="714"/>
      <c r="G3842" s="714"/>
      <c r="H3842" s="700"/>
      <c r="I3842" s="714"/>
      <c r="J3842" s="714"/>
      <c r="K3842" s="700"/>
      <c r="L3842" s="714">
        <f t="shared" si="422"/>
        <v>4800</v>
      </c>
      <c r="M3842" s="714"/>
      <c r="N3842" s="700">
        <f t="shared" si="415"/>
        <v>4800</v>
      </c>
      <c r="O3842" s="974">
        <f t="shared" si="423"/>
        <v>4800</v>
      </c>
      <c r="P3842" s="956"/>
      <c r="Q3842" s="1821"/>
      <c r="R3842" s="1821"/>
      <c r="S3842" s="1821"/>
      <c r="T3842" s="1821"/>
      <c r="U3842" s="1821"/>
      <c r="V3842" s="1821"/>
      <c r="W3842" s="1821"/>
      <c r="X3842" s="1821"/>
      <c r="Y3842" s="1821"/>
      <c r="Z3842" s="1821"/>
      <c r="AA3842" s="1821"/>
      <c r="AB3842" s="1821"/>
      <c r="AC3842" s="1821"/>
      <c r="AD3842" s="1821"/>
      <c r="AE3842" s="1821"/>
      <c r="AF3842" s="1821"/>
      <c r="AG3842" s="1821"/>
      <c r="AH3842" s="1821"/>
      <c r="AI3842" s="1821"/>
      <c r="AJ3842" s="1821"/>
      <c r="AK3842" s="1821"/>
      <c r="AL3842" s="1821"/>
      <c r="AM3842" s="1821"/>
      <c r="AN3842" s="1821"/>
      <c r="AO3842" s="1821"/>
      <c r="AP3842" s="1821"/>
      <c r="AQ3842" s="1821"/>
      <c r="AR3842" s="1821"/>
      <c r="AS3842" s="1821"/>
      <c r="AT3842" s="1821"/>
      <c r="AU3842" s="1821"/>
      <c r="AV3842" s="1821"/>
      <c r="AW3842" s="1821"/>
      <c r="AX3842" s="1821"/>
      <c r="AY3842" s="1821"/>
      <c r="AZ3842" s="1821"/>
      <c r="BA3842" s="1821"/>
      <c r="BB3842" s="1821"/>
      <c r="BC3842" s="1821"/>
      <c r="BD3842" s="1821"/>
      <c r="BE3842" s="1821"/>
      <c r="BF3842" s="1821"/>
      <c r="BG3842" s="1821"/>
      <c r="BH3842" s="1821"/>
      <c r="BI3842" s="1821"/>
      <c r="BJ3842" s="1821"/>
      <c r="BK3842" s="1821"/>
      <c r="BL3842" s="1821"/>
      <c r="BM3842" s="1821"/>
      <c r="BN3842" s="1821"/>
      <c r="BO3842" s="1821"/>
      <c r="BP3842" s="1821"/>
      <c r="BQ3842" s="1821"/>
      <c r="BR3842" s="1821"/>
      <c r="BS3842" s="1821"/>
      <c r="BT3842" s="1821"/>
      <c r="BU3842" s="1821"/>
      <c r="BV3842" s="1821"/>
      <c r="BW3842" s="1821"/>
      <c r="BX3842" s="1821"/>
      <c r="BY3842" s="1821"/>
      <c r="BZ3842" s="1821"/>
      <c r="CA3842" s="1821"/>
      <c r="CB3842" s="1821"/>
      <c r="CC3842" s="1821"/>
      <c r="CD3842" s="1821"/>
      <c r="CE3842" s="1821"/>
      <c r="CF3842" s="1821"/>
      <c r="CG3842" s="1821"/>
      <c r="CH3842" s="1821"/>
      <c r="CI3842" s="1821"/>
      <c r="CJ3842" s="1821"/>
      <c r="CK3842" s="1821"/>
    </row>
    <row r="3843" spans="1:89" s="744" customFormat="1" ht="16.5" customHeight="1" x14ac:dyDescent="0.25">
      <c r="A3843" s="1715">
        <v>21</v>
      </c>
      <c r="B3843" s="711" t="s">
        <v>1332</v>
      </c>
      <c r="C3843" s="691">
        <v>1</v>
      </c>
      <c r="D3843" s="757" t="s">
        <v>76</v>
      </c>
      <c r="E3843" s="714">
        <v>26000</v>
      </c>
      <c r="F3843" s="714"/>
      <c r="G3843" s="714"/>
      <c r="H3843" s="700"/>
      <c r="I3843" s="714"/>
      <c r="J3843" s="714"/>
      <c r="K3843" s="700"/>
      <c r="L3843" s="714">
        <f t="shared" si="422"/>
        <v>26000</v>
      </c>
      <c r="M3843" s="714"/>
      <c r="N3843" s="700">
        <f t="shared" si="415"/>
        <v>26000</v>
      </c>
      <c r="O3843" s="974">
        <f t="shared" si="423"/>
        <v>26000</v>
      </c>
      <c r="P3843" s="956"/>
      <c r="Q3843" s="1821"/>
      <c r="R3843" s="1821"/>
      <c r="S3843" s="1821"/>
      <c r="T3843" s="1821"/>
      <c r="U3843" s="1821"/>
      <c r="V3843" s="1821"/>
      <c r="W3843" s="1821"/>
      <c r="X3843" s="1821"/>
      <c r="Y3843" s="1821"/>
      <c r="Z3843" s="1821"/>
      <c r="AA3843" s="1821"/>
      <c r="AB3843" s="1821"/>
      <c r="AC3843" s="1821"/>
      <c r="AD3843" s="1821"/>
      <c r="AE3843" s="1821"/>
      <c r="AF3843" s="1821"/>
      <c r="AG3843" s="1821"/>
      <c r="AH3843" s="1821"/>
      <c r="AI3843" s="1821"/>
      <c r="AJ3843" s="1821"/>
      <c r="AK3843" s="1821"/>
      <c r="AL3843" s="1821"/>
      <c r="AM3843" s="1821"/>
      <c r="AN3843" s="1821"/>
      <c r="AO3843" s="1821"/>
      <c r="AP3843" s="1821"/>
      <c r="AQ3843" s="1821"/>
      <c r="AR3843" s="1821"/>
      <c r="AS3843" s="1821"/>
      <c r="AT3843" s="1821"/>
      <c r="AU3843" s="1821"/>
      <c r="AV3843" s="1821"/>
      <c r="AW3843" s="1821"/>
      <c r="AX3843" s="1821"/>
      <c r="AY3843" s="1821"/>
      <c r="AZ3843" s="1821"/>
      <c r="BA3843" s="1821"/>
      <c r="BB3843" s="1821"/>
      <c r="BC3843" s="1821"/>
      <c r="BD3843" s="1821"/>
      <c r="BE3843" s="1821"/>
      <c r="BF3843" s="1821"/>
      <c r="BG3843" s="1821"/>
      <c r="BH3843" s="1821"/>
      <c r="BI3843" s="1821"/>
      <c r="BJ3843" s="1821"/>
      <c r="BK3843" s="1821"/>
      <c r="BL3843" s="1821"/>
      <c r="BM3843" s="1821"/>
      <c r="BN3843" s="1821"/>
      <c r="BO3843" s="1821"/>
      <c r="BP3843" s="1821"/>
      <c r="BQ3843" s="1821"/>
      <c r="BR3843" s="1821"/>
      <c r="BS3843" s="1821"/>
      <c r="BT3843" s="1821"/>
      <c r="BU3843" s="1821"/>
      <c r="BV3843" s="1821"/>
      <c r="BW3843" s="1821"/>
      <c r="BX3843" s="1821"/>
      <c r="BY3843" s="1821"/>
      <c r="BZ3843" s="1821"/>
      <c r="CA3843" s="1821"/>
      <c r="CB3843" s="1821"/>
      <c r="CC3843" s="1821"/>
      <c r="CD3843" s="1821"/>
      <c r="CE3843" s="1821"/>
      <c r="CF3843" s="1821"/>
      <c r="CG3843" s="1821"/>
      <c r="CH3843" s="1821"/>
      <c r="CI3843" s="1821"/>
      <c r="CJ3843" s="1821"/>
      <c r="CK3843" s="1821"/>
    </row>
    <row r="3844" spans="1:89" s="744" customFormat="1" ht="16.5" customHeight="1" x14ac:dyDescent="0.25">
      <c r="A3844" s="1715">
        <v>22</v>
      </c>
      <c r="B3844" s="709" t="s">
        <v>1079</v>
      </c>
      <c r="C3844" s="827">
        <v>7</v>
      </c>
      <c r="D3844" s="1014" t="s">
        <v>76</v>
      </c>
      <c r="E3844" s="955">
        <v>2500</v>
      </c>
      <c r="F3844" s="714"/>
      <c r="G3844" s="714"/>
      <c r="H3844" s="700"/>
      <c r="I3844" s="714"/>
      <c r="J3844" s="714"/>
      <c r="K3844" s="700"/>
      <c r="L3844" s="714">
        <f t="shared" si="422"/>
        <v>17500</v>
      </c>
      <c r="M3844" s="714"/>
      <c r="N3844" s="700">
        <f t="shared" si="415"/>
        <v>17500</v>
      </c>
      <c r="O3844" s="974">
        <f t="shared" si="423"/>
        <v>17500</v>
      </c>
      <c r="P3844" s="956"/>
      <c r="Q3844" s="1821"/>
      <c r="R3844" s="1821"/>
      <c r="S3844" s="1821"/>
      <c r="T3844" s="1821"/>
      <c r="U3844" s="1821"/>
      <c r="V3844" s="1821"/>
      <c r="W3844" s="1821"/>
      <c r="X3844" s="1821"/>
      <c r="Y3844" s="1821"/>
      <c r="Z3844" s="1821"/>
      <c r="AA3844" s="1821"/>
      <c r="AB3844" s="1821"/>
      <c r="AC3844" s="1821"/>
      <c r="AD3844" s="1821"/>
      <c r="AE3844" s="1821"/>
      <c r="AF3844" s="1821"/>
      <c r="AG3844" s="1821"/>
      <c r="AH3844" s="1821"/>
      <c r="AI3844" s="1821"/>
      <c r="AJ3844" s="1821"/>
      <c r="AK3844" s="1821"/>
      <c r="AL3844" s="1821"/>
      <c r="AM3844" s="1821"/>
      <c r="AN3844" s="1821"/>
      <c r="AO3844" s="1821"/>
      <c r="AP3844" s="1821"/>
      <c r="AQ3844" s="1821"/>
      <c r="AR3844" s="1821"/>
      <c r="AS3844" s="1821"/>
      <c r="AT3844" s="1821"/>
      <c r="AU3844" s="1821"/>
      <c r="AV3844" s="1821"/>
      <c r="AW3844" s="1821"/>
      <c r="AX3844" s="1821"/>
      <c r="AY3844" s="1821"/>
      <c r="AZ3844" s="1821"/>
      <c r="BA3844" s="1821"/>
      <c r="BB3844" s="1821"/>
      <c r="BC3844" s="1821"/>
      <c r="BD3844" s="1821"/>
      <c r="BE3844" s="1821"/>
      <c r="BF3844" s="1821"/>
      <c r="BG3844" s="1821"/>
      <c r="BH3844" s="1821"/>
      <c r="BI3844" s="1821"/>
      <c r="BJ3844" s="1821"/>
      <c r="BK3844" s="1821"/>
      <c r="BL3844" s="1821"/>
      <c r="BM3844" s="1821"/>
      <c r="BN3844" s="1821"/>
      <c r="BO3844" s="1821"/>
      <c r="BP3844" s="1821"/>
      <c r="BQ3844" s="1821"/>
      <c r="BR3844" s="1821"/>
      <c r="BS3844" s="1821"/>
      <c r="BT3844" s="1821"/>
      <c r="BU3844" s="1821"/>
      <c r="BV3844" s="1821"/>
      <c r="BW3844" s="1821"/>
      <c r="BX3844" s="1821"/>
      <c r="BY3844" s="1821"/>
      <c r="BZ3844" s="1821"/>
      <c r="CA3844" s="1821"/>
      <c r="CB3844" s="1821"/>
      <c r="CC3844" s="1821"/>
      <c r="CD3844" s="1821"/>
      <c r="CE3844" s="1821"/>
      <c r="CF3844" s="1821"/>
      <c r="CG3844" s="1821"/>
      <c r="CH3844" s="1821"/>
      <c r="CI3844" s="1821"/>
      <c r="CJ3844" s="1821"/>
      <c r="CK3844" s="1821"/>
    </row>
    <row r="3845" spans="1:89" s="744" customFormat="1" ht="16.5" customHeight="1" x14ac:dyDescent="0.25">
      <c r="A3845" s="1715">
        <v>23</v>
      </c>
      <c r="B3845" s="698" t="s">
        <v>1333</v>
      </c>
      <c r="C3845" s="827">
        <v>3</v>
      </c>
      <c r="D3845" s="1014" t="s">
        <v>76</v>
      </c>
      <c r="E3845" s="955">
        <v>6000</v>
      </c>
      <c r="F3845" s="714"/>
      <c r="G3845" s="714"/>
      <c r="H3845" s="700"/>
      <c r="I3845" s="714"/>
      <c r="J3845" s="714"/>
      <c r="K3845" s="700"/>
      <c r="L3845" s="714">
        <f t="shared" si="422"/>
        <v>18000</v>
      </c>
      <c r="M3845" s="714"/>
      <c r="N3845" s="700">
        <f t="shared" si="415"/>
        <v>18000</v>
      </c>
      <c r="O3845" s="974">
        <f t="shared" si="423"/>
        <v>18000</v>
      </c>
      <c r="P3845" s="956"/>
      <c r="Q3845" s="1821"/>
      <c r="R3845" s="1821"/>
      <c r="S3845" s="1821"/>
      <c r="T3845" s="1821"/>
      <c r="U3845" s="1821"/>
      <c r="V3845" s="1821"/>
      <c r="W3845" s="1821"/>
      <c r="X3845" s="1821"/>
      <c r="Y3845" s="1821"/>
      <c r="Z3845" s="1821"/>
      <c r="AA3845" s="1821"/>
      <c r="AB3845" s="1821"/>
      <c r="AC3845" s="1821"/>
      <c r="AD3845" s="1821"/>
      <c r="AE3845" s="1821"/>
      <c r="AF3845" s="1821"/>
      <c r="AG3845" s="1821"/>
      <c r="AH3845" s="1821"/>
      <c r="AI3845" s="1821"/>
      <c r="AJ3845" s="1821"/>
      <c r="AK3845" s="1821"/>
      <c r="AL3845" s="1821"/>
      <c r="AM3845" s="1821"/>
      <c r="AN3845" s="1821"/>
      <c r="AO3845" s="1821"/>
      <c r="AP3845" s="1821"/>
      <c r="AQ3845" s="1821"/>
      <c r="AR3845" s="1821"/>
      <c r="AS3845" s="1821"/>
      <c r="AT3845" s="1821"/>
      <c r="AU3845" s="1821"/>
      <c r="AV3845" s="1821"/>
      <c r="AW3845" s="1821"/>
      <c r="AX3845" s="1821"/>
      <c r="AY3845" s="1821"/>
      <c r="AZ3845" s="1821"/>
      <c r="BA3845" s="1821"/>
      <c r="BB3845" s="1821"/>
      <c r="BC3845" s="1821"/>
      <c r="BD3845" s="1821"/>
      <c r="BE3845" s="1821"/>
      <c r="BF3845" s="1821"/>
      <c r="BG3845" s="1821"/>
      <c r="BH3845" s="1821"/>
      <c r="BI3845" s="1821"/>
      <c r="BJ3845" s="1821"/>
      <c r="BK3845" s="1821"/>
      <c r="BL3845" s="1821"/>
      <c r="BM3845" s="1821"/>
      <c r="BN3845" s="1821"/>
      <c r="BO3845" s="1821"/>
      <c r="BP3845" s="1821"/>
      <c r="BQ3845" s="1821"/>
      <c r="BR3845" s="1821"/>
      <c r="BS3845" s="1821"/>
      <c r="BT3845" s="1821"/>
      <c r="BU3845" s="1821"/>
      <c r="BV3845" s="1821"/>
      <c r="BW3845" s="1821"/>
      <c r="BX3845" s="1821"/>
      <c r="BY3845" s="1821"/>
      <c r="BZ3845" s="1821"/>
      <c r="CA3845" s="1821"/>
      <c r="CB3845" s="1821"/>
      <c r="CC3845" s="1821"/>
      <c r="CD3845" s="1821"/>
      <c r="CE3845" s="1821"/>
      <c r="CF3845" s="1821"/>
      <c r="CG3845" s="1821"/>
      <c r="CH3845" s="1821"/>
      <c r="CI3845" s="1821"/>
      <c r="CJ3845" s="1821"/>
      <c r="CK3845" s="1821"/>
    </row>
    <row r="3846" spans="1:89" s="744" customFormat="1" ht="16.5" customHeight="1" x14ac:dyDescent="0.25">
      <c r="A3846" s="1715">
        <v>24</v>
      </c>
      <c r="B3846" s="1034" t="s">
        <v>1334</v>
      </c>
      <c r="C3846" s="1031">
        <v>3</v>
      </c>
      <c r="D3846" s="1018" t="s">
        <v>76</v>
      </c>
      <c r="E3846" s="1019">
        <v>2900</v>
      </c>
      <c r="F3846" s="714"/>
      <c r="G3846" s="714"/>
      <c r="H3846" s="700"/>
      <c r="I3846" s="714"/>
      <c r="J3846" s="714"/>
      <c r="K3846" s="700"/>
      <c r="L3846" s="714">
        <f t="shared" si="422"/>
        <v>8700</v>
      </c>
      <c r="M3846" s="714"/>
      <c r="N3846" s="700">
        <f t="shared" si="415"/>
        <v>8700</v>
      </c>
      <c r="O3846" s="974">
        <f t="shared" si="423"/>
        <v>8700</v>
      </c>
      <c r="P3846" s="956"/>
      <c r="Q3846" s="1821"/>
      <c r="R3846" s="1821"/>
      <c r="S3846" s="1821"/>
      <c r="T3846" s="1821"/>
      <c r="U3846" s="1821"/>
      <c r="V3846" s="1821"/>
      <c r="W3846" s="1821"/>
      <c r="X3846" s="1821"/>
      <c r="Y3846" s="1821"/>
      <c r="Z3846" s="1821"/>
      <c r="AA3846" s="1821"/>
      <c r="AB3846" s="1821"/>
      <c r="AC3846" s="1821"/>
      <c r="AD3846" s="1821"/>
      <c r="AE3846" s="1821"/>
      <c r="AF3846" s="1821"/>
      <c r="AG3846" s="1821"/>
      <c r="AH3846" s="1821"/>
      <c r="AI3846" s="1821"/>
      <c r="AJ3846" s="1821"/>
      <c r="AK3846" s="1821"/>
      <c r="AL3846" s="1821"/>
      <c r="AM3846" s="1821"/>
      <c r="AN3846" s="1821"/>
      <c r="AO3846" s="1821"/>
      <c r="AP3846" s="1821"/>
      <c r="AQ3846" s="1821"/>
      <c r="AR3846" s="1821"/>
      <c r="AS3846" s="1821"/>
      <c r="AT3846" s="1821"/>
      <c r="AU3846" s="1821"/>
      <c r="AV3846" s="1821"/>
      <c r="AW3846" s="1821"/>
      <c r="AX3846" s="1821"/>
      <c r="AY3846" s="1821"/>
      <c r="AZ3846" s="1821"/>
      <c r="BA3846" s="1821"/>
      <c r="BB3846" s="1821"/>
      <c r="BC3846" s="1821"/>
      <c r="BD3846" s="1821"/>
      <c r="BE3846" s="1821"/>
      <c r="BF3846" s="1821"/>
      <c r="BG3846" s="1821"/>
      <c r="BH3846" s="1821"/>
      <c r="BI3846" s="1821"/>
      <c r="BJ3846" s="1821"/>
      <c r="BK3846" s="1821"/>
      <c r="BL3846" s="1821"/>
      <c r="BM3846" s="1821"/>
      <c r="BN3846" s="1821"/>
      <c r="BO3846" s="1821"/>
      <c r="BP3846" s="1821"/>
      <c r="BQ3846" s="1821"/>
      <c r="BR3846" s="1821"/>
      <c r="BS3846" s="1821"/>
      <c r="BT3846" s="1821"/>
      <c r="BU3846" s="1821"/>
      <c r="BV3846" s="1821"/>
      <c r="BW3846" s="1821"/>
      <c r="BX3846" s="1821"/>
      <c r="BY3846" s="1821"/>
      <c r="BZ3846" s="1821"/>
      <c r="CA3846" s="1821"/>
      <c r="CB3846" s="1821"/>
      <c r="CC3846" s="1821"/>
      <c r="CD3846" s="1821"/>
      <c r="CE3846" s="1821"/>
      <c r="CF3846" s="1821"/>
      <c r="CG3846" s="1821"/>
      <c r="CH3846" s="1821"/>
      <c r="CI3846" s="1821"/>
      <c r="CJ3846" s="1821"/>
      <c r="CK3846" s="1821"/>
    </row>
    <row r="3847" spans="1:89" s="744" customFormat="1" ht="16.5" customHeight="1" x14ac:dyDescent="0.25">
      <c r="A3847" s="1715">
        <v>25</v>
      </c>
      <c r="B3847" s="1034" t="s">
        <v>1335</v>
      </c>
      <c r="C3847" s="1031">
        <v>2</v>
      </c>
      <c r="D3847" s="1018" t="s">
        <v>76</v>
      </c>
      <c r="E3847" s="1019">
        <v>2500</v>
      </c>
      <c r="F3847" s="714"/>
      <c r="G3847" s="714"/>
      <c r="H3847" s="700"/>
      <c r="I3847" s="714"/>
      <c r="J3847" s="714"/>
      <c r="K3847" s="700"/>
      <c r="L3847" s="714">
        <f t="shared" si="422"/>
        <v>5000</v>
      </c>
      <c r="M3847" s="714"/>
      <c r="N3847" s="700">
        <f t="shared" si="415"/>
        <v>5000</v>
      </c>
      <c r="O3847" s="974">
        <f t="shared" si="423"/>
        <v>5000</v>
      </c>
      <c r="P3847" s="956"/>
      <c r="Q3847" s="1821"/>
      <c r="R3847" s="1821"/>
      <c r="S3847" s="1821"/>
      <c r="T3847" s="1821"/>
      <c r="U3847" s="1821"/>
      <c r="V3847" s="1821"/>
      <c r="W3847" s="1821"/>
      <c r="X3847" s="1821"/>
      <c r="Y3847" s="1821"/>
      <c r="Z3847" s="1821"/>
      <c r="AA3847" s="1821"/>
      <c r="AB3847" s="1821"/>
      <c r="AC3847" s="1821"/>
      <c r="AD3847" s="1821"/>
      <c r="AE3847" s="1821"/>
      <c r="AF3847" s="1821"/>
      <c r="AG3847" s="1821"/>
      <c r="AH3847" s="1821"/>
      <c r="AI3847" s="1821"/>
      <c r="AJ3847" s="1821"/>
      <c r="AK3847" s="1821"/>
      <c r="AL3847" s="1821"/>
      <c r="AM3847" s="1821"/>
      <c r="AN3847" s="1821"/>
      <c r="AO3847" s="1821"/>
      <c r="AP3847" s="1821"/>
      <c r="AQ3847" s="1821"/>
      <c r="AR3847" s="1821"/>
      <c r="AS3847" s="1821"/>
      <c r="AT3847" s="1821"/>
      <c r="AU3847" s="1821"/>
      <c r="AV3847" s="1821"/>
      <c r="AW3847" s="1821"/>
      <c r="AX3847" s="1821"/>
      <c r="AY3847" s="1821"/>
      <c r="AZ3847" s="1821"/>
      <c r="BA3847" s="1821"/>
      <c r="BB3847" s="1821"/>
      <c r="BC3847" s="1821"/>
      <c r="BD3847" s="1821"/>
      <c r="BE3847" s="1821"/>
      <c r="BF3847" s="1821"/>
      <c r="BG3847" s="1821"/>
      <c r="BH3847" s="1821"/>
      <c r="BI3847" s="1821"/>
      <c r="BJ3847" s="1821"/>
      <c r="BK3847" s="1821"/>
      <c r="BL3847" s="1821"/>
      <c r="BM3847" s="1821"/>
      <c r="BN3847" s="1821"/>
      <c r="BO3847" s="1821"/>
      <c r="BP3847" s="1821"/>
      <c r="BQ3847" s="1821"/>
      <c r="BR3847" s="1821"/>
      <c r="BS3847" s="1821"/>
      <c r="BT3847" s="1821"/>
      <c r="BU3847" s="1821"/>
      <c r="BV3847" s="1821"/>
      <c r="BW3847" s="1821"/>
      <c r="BX3847" s="1821"/>
      <c r="BY3847" s="1821"/>
      <c r="BZ3847" s="1821"/>
      <c r="CA3847" s="1821"/>
      <c r="CB3847" s="1821"/>
      <c r="CC3847" s="1821"/>
      <c r="CD3847" s="1821"/>
      <c r="CE3847" s="1821"/>
      <c r="CF3847" s="1821"/>
      <c r="CG3847" s="1821"/>
      <c r="CH3847" s="1821"/>
      <c r="CI3847" s="1821"/>
      <c r="CJ3847" s="1821"/>
      <c r="CK3847" s="1821"/>
    </row>
    <row r="3848" spans="1:89" s="744" customFormat="1" ht="16.5" customHeight="1" x14ac:dyDescent="0.25">
      <c r="A3848" s="1715">
        <v>26</v>
      </c>
      <c r="B3848" s="1034" t="s">
        <v>1336</v>
      </c>
      <c r="C3848" s="1031">
        <v>50</v>
      </c>
      <c r="D3848" s="1018" t="s">
        <v>76</v>
      </c>
      <c r="E3848" s="1019">
        <v>1250</v>
      </c>
      <c r="F3848" s="714"/>
      <c r="G3848" s="714"/>
      <c r="H3848" s="700"/>
      <c r="I3848" s="714"/>
      <c r="J3848" s="714"/>
      <c r="K3848" s="700"/>
      <c r="L3848" s="714">
        <f t="shared" si="422"/>
        <v>62500</v>
      </c>
      <c r="M3848" s="714"/>
      <c r="N3848" s="700">
        <f t="shared" si="415"/>
        <v>62500</v>
      </c>
      <c r="O3848" s="974">
        <f t="shared" si="423"/>
        <v>62500</v>
      </c>
      <c r="P3848" s="956"/>
      <c r="Q3848" s="1821"/>
      <c r="R3848" s="1821"/>
      <c r="S3848" s="1821"/>
      <c r="T3848" s="1821"/>
      <c r="U3848" s="1821"/>
      <c r="V3848" s="1821"/>
      <c r="W3848" s="1821"/>
      <c r="X3848" s="1821"/>
      <c r="Y3848" s="1821"/>
      <c r="Z3848" s="1821"/>
      <c r="AA3848" s="1821"/>
      <c r="AB3848" s="1821"/>
      <c r="AC3848" s="1821"/>
      <c r="AD3848" s="1821"/>
      <c r="AE3848" s="1821"/>
      <c r="AF3848" s="1821"/>
      <c r="AG3848" s="1821"/>
      <c r="AH3848" s="1821"/>
      <c r="AI3848" s="1821"/>
      <c r="AJ3848" s="1821"/>
      <c r="AK3848" s="1821"/>
      <c r="AL3848" s="1821"/>
      <c r="AM3848" s="1821"/>
      <c r="AN3848" s="1821"/>
      <c r="AO3848" s="1821"/>
      <c r="AP3848" s="1821"/>
      <c r="AQ3848" s="1821"/>
      <c r="AR3848" s="1821"/>
      <c r="AS3848" s="1821"/>
      <c r="AT3848" s="1821"/>
      <c r="AU3848" s="1821"/>
      <c r="AV3848" s="1821"/>
      <c r="AW3848" s="1821"/>
      <c r="AX3848" s="1821"/>
      <c r="AY3848" s="1821"/>
      <c r="AZ3848" s="1821"/>
      <c r="BA3848" s="1821"/>
      <c r="BB3848" s="1821"/>
      <c r="BC3848" s="1821"/>
      <c r="BD3848" s="1821"/>
      <c r="BE3848" s="1821"/>
      <c r="BF3848" s="1821"/>
      <c r="BG3848" s="1821"/>
      <c r="BH3848" s="1821"/>
      <c r="BI3848" s="1821"/>
      <c r="BJ3848" s="1821"/>
      <c r="BK3848" s="1821"/>
      <c r="BL3848" s="1821"/>
      <c r="BM3848" s="1821"/>
      <c r="BN3848" s="1821"/>
      <c r="BO3848" s="1821"/>
      <c r="BP3848" s="1821"/>
      <c r="BQ3848" s="1821"/>
      <c r="BR3848" s="1821"/>
      <c r="BS3848" s="1821"/>
      <c r="BT3848" s="1821"/>
      <c r="BU3848" s="1821"/>
      <c r="BV3848" s="1821"/>
      <c r="BW3848" s="1821"/>
      <c r="BX3848" s="1821"/>
      <c r="BY3848" s="1821"/>
      <c r="BZ3848" s="1821"/>
      <c r="CA3848" s="1821"/>
      <c r="CB3848" s="1821"/>
      <c r="CC3848" s="1821"/>
      <c r="CD3848" s="1821"/>
      <c r="CE3848" s="1821"/>
      <c r="CF3848" s="1821"/>
      <c r="CG3848" s="1821"/>
      <c r="CH3848" s="1821"/>
      <c r="CI3848" s="1821"/>
      <c r="CJ3848" s="1821"/>
      <c r="CK3848" s="1821"/>
    </row>
    <row r="3849" spans="1:89" s="744" customFormat="1" ht="16.5" customHeight="1" x14ac:dyDescent="0.25">
      <c r="A3849" s="1715">
        <v>27</v>
      </c>
      <c r="B3849" s="1035" t="s">
        <v>1337</v>
      </c>
      <c r="C3849" s="1031">
        <v>19</v>
      </c>
      <c r="D3849" s="1018" t="s">
        <v>76</v>
      </c>
      <c r="E3849" s="1025">
        <v>7000</v>
      </c>
      <c r="F3849" s="714"/>
      <c r="G3849" s="714"/>
      <c r="H3849" s="700"/>
      <c r="I3849" s="714"/>
      <c r="J3849" s="714"/>
      <c r="K3849" s="700"/>
      <c r="L3849" s="714">
        <f t="shared" si="422"/>
        <v>133000</v>
      </c>
      <c r="M3849" s="714"/>
      <c r="N3849" s="700">
        <f t="shared" si="415"/>
        <v>133000</v>
      </c>
      <c r="O3849" s="974">
        <f t="shared" si="423"/>
        <v>133000</v>
      </c>
      <c r="P3849" s="956"/>
      <c r="Q3849" s="1821"/>
      <c r="R3849" s="1821"/>
      <c r="S3849" s="1821"/>
      <c r="T3849" s="1821"/>
      <c r="U3849" s="1821"/>
      <c r="V3849" s="1821"/>
      <c r="W3849" s="1821"/>
      <c r="X3849" s="1821"/>
      <c r="Y3849" s="1821"/>
      <c r="Z3849" s="1821"/>
      <c r="AA3849" s="1821"/>
      <c r="AB3849" s="1821"/>
      <c r="AC3849" s="1821"/>
      <c r="AD3849" s="1821"/>
      <c r="AE3849" s="1821"/>
      <c r="AF3849" s="1821"/>
      <c r="AG3849" s="1821"/>
      <c r="AH3849" s="1821"/>
      <c r="AI3849" s="1821"/>
      <c r="AJ3849" s="1821"/>
      <c r="AK3849" s="1821"/>
      <c r="AL3849" s="1821"/>
      <c r="AM3849" s="1821"/>
      <c r="AN3849" s="1821"/>
      <c r="AO3849" s="1821"/>
      <c r="AP3849" s="1821"/>
      <c r="AQ3849" s="1821"/>
      <c r="AR3849" s="1821"/>
      <c r="AS3849" s="1821"/>
      <c r="AT3849" s="1821"/>
      <c r="AU3849" s="1821"/>
      <c r="AV3849" s="1821"/>
      <c r="AW3849" s="1821"/>
      <c r="AX3849" s="1821"/>
      <c r="AY3849" s="1821"/>
      <c r="AZ3849" s="1821"/>
      <c r="BA3849" s="1821"/>
      <c r="BB3849" s="1821"/>
      <c r="BC3849" s="1821"/>
      <c r="BD3849" s="1821"/>
      <c r="BE3849" s="1821"/>
      <c r="BF3849" s="1821"/>
      <c r="BG3849" s="1821"/>
      <c r="BH3849" s="1821"/>
      <c r="BI3849" s="1821"/>
      <c r="BJ3849" s="1821"/>
      <c r="BK3849" s="1821"/>
      <c r="BL3849" s="1821"/>
      <c r="BM3849" s="1821"/>
      <c r="BN3849" s="1821"/>
      <c r="BO3849" s="1821"/>
      <c r="BP3849" s="1821"/>
      <c r="BQ3849" s="1821"/>
      <c r="BR3849" s="1821"/>
      <c r="BS3849" s="1821"/>
      <c r="BT3849" s="1821"/>
      <c r="BU3849" s="1821"/>
      <c r="BV3849" s="1821"/>
      <c r="BW3849" s="1821"/>
      <c r="BX3849" s="1821"/>
      <c r="BY3849" s="1821"/>
      <c r="BZ3849" s="1821"/>
      <c r="CA3849" s="1821"/>
      <c r="CB3849" s="1821"/>
      <c r="CC3849" s="1821"/>
      <c r="CD3849" s="1821"/>
      <c r="CE3849" s="1821"/>
      <c r="CF3849" s="1821"/>
      <c r="CG3849" s="1821"/>
      <c r="CH3849" s="1821"/>
      <c r="CI3849" s="1821"/>
      <c r="CJ3849" s="1821"/>
      <c r="CK3849" s="1821"/>
    </row>
    <row r="3850" spans="1:89" s="744" customFormat="1" ht="16.5" customHeight="1" x14ac:dyDescent="0.25">
      <c r="A3850" s="1715">
        <v>28</v>
      </c>
      <c r="B3850" s="1035" t="s">
        <v>1338</v>
      </c>
      <c r="C3850" s="1031">
        <v>46</v>
      </c>
      <c r="D3850" s="1018" t="s">
        <v>76</v>
      </c>
      <c r="E3850" s="1025">
        <v>4000</v>
      </c>
      <c r="F3850" s="714"/>
      <c r="G3850" s="714"/>
      <c r="H3850" s="700"/>
      <c r="I3850" s="714"/>
      <c r="J3850" s="714"/>
      <c r="K3850" s="700"/>
      <c r="L3850" s="714">
        <f t="shared" si="422"/>
        <v>184000</v>
      </c>
      <c r="M3850" s="714"/>
      <c r="N3850" s="700">
        <f t="shared" si="415"/>
        <v>184000</v>
      </c>
      <c r="O3850" s="974">
        <f t="shared" si="423"/>
        <v>184000</v>
      </c>
      <c r="P3850" s="956"/>
      <c r="Q3850" s="1821"/>
      <c r="R3850" s="1821"/>
      <c r="S3850" s="1821"/>
      <c r="T3850" s="1821"/>
      <c r="U3850" s="1821"/>
      <c r="V3850" s="1821"/>
      <c r="W3850" s="1821"/>
      <c r="X3850" s="1821"/>
      <c r="Y3850" s="1821"/>
      <c r="Z3850" s="1821"/>
      <c r="AA3850" s="1821"/>
      <c r="AB3850" s="1821"/>
      <c r="AC3850" s="1821"/>
      <c r="AD3850" s="1821"/>
      <c r="AE3850" s="1821"/>
      <c r="AF3850" s="1821"/>
      <c r="AG3850" s="1821"/>
      <c r="AH3850" s="1821"/>
      <c r="AI3850" s="1821"/>
      <c r="AJ3850" s="1821"/>
      <c r="AK3850" s="1821"/>
      <c r="AL3850" s="1821"/>
      <c r="AM3850" s="1821"/>
      <c r="AN3850" s="1821"/>
      <c r="AO3850" s="1821"/>
      <c r="AP3850" s="1821"/>
      <c r="AQ3850" s="1821"/>
      <c r="AR3850" s="1821"/>
      <c r="AS3850" s="1821"/>
      <c r="AT3850" s="1821"/>
      <c r="AU3850" s="1821"/>
      <c r="AV3850" s="1821"/>
      <c r="AW3850" s="1821"/>
      <c r="AX3850" s="1821"/>
      <c r="AY3850" s="1821"/>
      <c r="AZ3850" s="1821"/>
      <c r="BA3850" s="1821"/>
      <c r="BB3850" s="1821"/>
      <c r="BC3850" s="1821"/>
      <c r="BD3850" s="1821"/>
      <c r="BE3850" s="1821"/>
      <c r="BF3850" s="1821"/>
      <c r="BG3850" s="1821"/>
      <c r="BH3850" s="1821"/>
      <c r="BI3850" s="1821"/>
      <c r="BJ3850" s="1821"/>
      <c r="BK3850" s="1821"/>
      <c r="BL3850" s="1821"/>
      <c r="BM3850" s="1821"/>
      <c r="BN3850" s="1821"/>
      <c r="BO3850" s="1821"/>
      <c r="BP3850" s="1821"/>
      <c r="BQ3850" s="1821"/>
      <c r="BR3850" s="1821"/>
      <c r="BS3850" s="1821"/>
      <c r="BT3850" s="1821"/>
      <c r="BU3850" s="1821"/>
      <c r="BV3850" s="1821"/>
      <c r="BW3850" s="1821"/>
      <c r="BX3850" s="1821"/>
      <c r="BY3850" s="1821"/>
      <c r="BZ3850" s="1821"/>
      <c r="CA3850" s="1821"/>
      <c r="CB3850" s="1821"/>
      <c r="CC3850" s="1821"/>
      <c r="CD3850" s="1821"/>
      <c r="CE3850" s="1821"/>
      <c r="CF3850" s="1821"/>
      <c r="CG3850" s="1821"/>
      <c r="CH3850" s="1821"/>
      <c r="CI3850" s="1821"/>
      <c r="CJ3850" s="1821"/>
      <c r="CK3850" s="1821"/>
    </row>
    <row r="3851" spans="1:89" s="744" customFormat="1" ht="16.5" customHeight="1" x14ac:dyDescent="0.25">
      <c r="A3851" s="1715">
        <v>29</v>
      </c>
      <c r="B3851" s="1034" t="s">
        <v>1339</v>
      </c>
      <c r="C3851" s="1031">
        <v>15</v>
      </c>
      <c r="D3851" s="1018" t="s">
        <v>76</v>
      </c>
      <c r="E3851" s="1025">
        <v>1800</v>
      </c>
      <c r="F3851" s="714"/>
      <c r="G3851" s="714"/>
      <c r="H3851" s="700"/>
      <c r="I3851" s="714"/>
      <c r="J3851" s="714"/>
      <c r="K3851" s="700"/>
      <c r="L3851" s="714">
        <f t="shared" si="422"/>
        <v>27000</v>
      </c>
      <c r="M3851" s="714"/>
      <c r="N3851" s="700">
        <f t="shared" si="415"/>
        <v>27000</v>
      </c>
      <c r="O3851" s="974">
        <f t="shared" si="423"/>
        <v>27000</v>
      </c>
      <c r="P3851" s="956"/>
      <c r="Q3851" s="1821"/>
      <c r="R3851" s="1821"/>
      <c r="S3851" s="1821"/>
      <c r="T3851" s="1821"/>
      <c r="U3851" s="1821"/>
      <c r="V3851" s="1821"/>
      <c r="W3851" s="1821"/>
      <c r="X3851" s="1821"/>
      <c r="Y3851" s="1821"/>
      <c r="Z3851" s="1821"/>
      <c r="AA3851" s="1821"/>
      <c r="AB3851" s="1821"/>
      <c r="AC3851" s="1821"/>
      <c r="AD3851" s="1821"/>
      <c r="AE3851" s="1821"/>
      <c r="AF3851" s="1821"/>
      <c r="AG3851" s="1821"/>
      <c r="AH3851" s="1821"/>
      <c r="AI3851" s="1821"/>
      <c r="AJ3851" s="1821"/>
      <c r="AK3851" s="1821"/>
      <c r="AL3851" s="1821"/>
      <c r="AM3851" s="1821"/>
      <c r="AN3851" s="1821"/>
      <c r="AO3851" s="1821"/>
      <c r="AP3851" s="1821"/>
      <c r="AQ3851" s="1821"/>
      <c r="AR3851" s="1821"/>
      <c r="AS3851" s="1821"/>
      <c r="AT3851" s="1821"/>
      <c r="AU3851" s="1821"/>
      <c r="AV3851" s="1821"/>
      <c r="AW3851" s="1821"/>
      <c r="AX3851" s="1821"/>
      <c r="AY3851" s="1821"/>
      <c r="AZ3851" s="1821"/>
      <c r="BA3851" s="1821"/>
      <c r="BB3851" s="1821"/>
      <c r="BC3851" s="1821"/>
      <c r="BD3851" s="1821"/>
      <c r="BE3851" s="1821"/>
      <c r="BF3851" s="1821"/>
      <c r="BG3851" s="1821"/>
      <c r="BH3851" s="1821"/>
      <c r="BI3851" s="1821"/>
      <c r="BJ3851" s="1821"/>
      <c r="BK3851" s="1821"/>
      <c r="BL3851" s="1821"/>
      <c r="BM3851" s="1821"/>
      <c r="BN3851" s="1821"/>
      <c r="BO3851" s="1821"/>
      <c r="BP3851" s="1821"/>
      <c r="BQ3851" s="1821"/>
      <c r="BR3851" s="1821"/>
      <c r="BS3851" s="1821"/>
      <c r="BT3851" s="1821"/>
      <c r="BU3851" s="1821"/>
      <c r="BV3851" s="1821"/>
      <c r="BW3851" s="1821"/>
      <c r="BX3851" s="1821"/>
      <c r="BY3851" s="1821"/>
      <c r="BZ3851" s="1821"/>
      <c r="CA3851" s="1821"/>
      <c r="CB3851" s="1821"/>
      <c r="CC3851" s="1821"/>
      <c r="CD3851" s="1821"/>
      <c r="CE3851" s="1821"/>
      <c r="CF3851" s="1821"/>
      <c r="CG3851" s="1821"/>
      <c r="CH3851" s="1821"/>
      <c r="CI3851" s="1821"/>
      <c r="CJ3851" s="1821"/>
      <c r="CK3851" s="1821"/>
    </row>
    <row r="3852" spans="1:89" s="1204" customFormat="1" ht="16.5" customHeight="1" x14ac:dyDescent="0.25">
      <c r="A3852" s="1715">
        <v>30</v>
      </c>
      <c r="B3852" s="1035" t="s">
        <v>330</v>
      </c>
      <c r="C3852" s="1031">
        <v>10</v>
      </c>
      <c r="D3852" s="1018" t="s">
        <v>76</v>
      </c>
      <c r="E3852" s="1025">
        <f>2500+350</f>
        <v>2850</v>
      </c>
      <c r="F3852" s="714"/>
      <c r="G3852" s="714"/>
      <c r="H3852" s="700"/>
      <c r="I3852" s="714"/>
      <c r="J3852" s="714"/>
      <c r="K3852" s="700"/>
      <c r="L3852" s="714">
        <f t="shared" si="422"/>
        <v>28500</v>
      </c>
      <c r="M3852" s="714"/>
      <c r="N3852" s="700">
        <f t="shared" si="415"/>
        <v>28500</v>
      </c>
      <c r="O3852" s="974">
        <f t="shared" si="423"/>
        <v>28500</v>
      </c>
      <c r="P3852" s="1202"/>
      <c r="Q3852" s="1838"/>
      <c r="R3852" s="1838"/>
      <c r="S3852" s="1838"/>
      <c r="T3852" s="1838"/>
      <c r="U3852" s="1838"/>
      <c r="V3852" s="1838"/>
      <c r="W3852" s="1838"/>
      <c r="X3852" s="1838"/>
      <c r="Y3852" s="1838"/>
      <c r="Z3852" s="1838"/>
      <c r="AA3852" s="1838"/>
      <c r="AB3852" s="1838"/>
      <c r="AC3852" s="1838"/>
      <c r="AD3852" s="1838"/>
      <c r="AE3852" s="1838"/>
      <c r="AF3852" s="1838"/>
      <c r="AG3852" s="1838"/>
      <c r="AH3852" s="1838"/>
      <c r="AI3852" s="1838"/>
      <c r="AJ3852" s="1838"/>
      <c r="AK3852" s="1838"/>
      <c r="AL3852" s="1838"/>
      <c r="AM3852" s="1838"/>
      <c r="AN3852" s="1838"/>
      <c r="AO3852" s="1838"/>
      <c r="AP3852" s="1838"/>
      <c r="AQ3852" s="1838"/>
      <c r="AR3852" s="1838"/>
      <c r="AS3852" s="1838"/>
      <c r="AT3852" s="1838"/>
      <c r="AU3852" s="1838"/>
      <c r="AV3852" s="1838"/>
      <c r="AW3852" s="1838"/>
      <c r="AX3852" s="1838"/>
      <c r="AY3852" s="1838"/>
      <c r="AZ3852" s="1838"/>
      <c r="BA3852" s="1838"/>
      <c r="BB3852" s="1838"/>
      <c r="BC3852" s="1838"/>
      <c r="BD3852" s="1838"/>
      <c r="BE3852" s="1838"/>
      <c r="BF3852" s="1838"/>
      <c r="BG3852" s="1838"/>
      <c r="BH3852" s="1838"/>
      <c r="BI3852" s="1838"/>
      <c r="BJ3852" s="1838"/>
      <c r="BK3852" s="1838"/>
      <c r="BL3852" s="1838"/>
      <c r="BM3852" s="1838"/>
      <c r="BN3852" s="1838"/>
      <c r="BO3852" s="1838"/>
      <c r="BP3852" s="1838"/>
      <c r="BQ3852" s="1838"/>
      <c r="BR3852" s="1838"/>
      <c r="BS3852" s="1838"/>
      <c r="BT3852" s="1838"/>
      <c r="BU3852" s="1838"/>
      <c r="BV3852" s="1838"/>
      <c r="BW3852" s="1838"/>
      <c r="BX3852" s="1838"/>
      <c r="BY3852" s="1838"/>
      <c r="BZ3852" s="1838"/>
      <c r="CA3852" s="1838"/>
      <c r="CB3852" s="1838"/>
      <c r="CC3852" s="1838"/>
      <c r="CD3852" s="1838"/>
      <c r="CE3852" s="1838"/>
      <c r="CF3852" s="1838"/>
      <c r="CG3852" s="1838"/>
      <c r="CH3852" s="1838"/>
      <c r="CI3852" s="1838"/>
      <c r="CJ3852" s="1838"/>
      <c r="CK3852" s="1838"/>
    </row>
    <row r="3853" spans="1:89" s="1204" customFormat="1" ht="16.5" customHeight="1" x14ac:dyDescent="0.25">
      <c r="A3853" s="1715">
        <v>31</v>
      </c>
      <c r="B3853" s="1035" t="s">
        <v>2096</v>
      </c>
      <c r="C3853" s="1031">
        <v>2</v>
      </c>
      <c r="D3853" s="1018" t="s">
        <v>222</v>
      </c>
      <c r="E3853" s="1025">
        <v>10700</v>
      </c>
      <c r="F3853" s="714"/>
      <c r="G3853" s="714"/>
      <c r="H3853" s="700"/>
      <c r="I3853" s="714"/>
      <c r="J3853" s="714"/>
      <c r="K3853" s="700"/>
      <c r="L3853" s="714">
        <f t="shared" si="422"/>
        <v>21400</v>
      </c>
      <c r="M3853" s="714"/>
      <c r="N3853" s="700">
        <f t="shared" si="415"/>
        <v>21400</v>
      </c>
      <c r="O3853" s="974">
        <f t="shared" si="423"/>
        <v>21400</v>
      </c>
      <c r="P3853" s="1202"/>
      <c r="Q3853" s="1838"/>
      <c r="R3853" s="1838"/>
      <c r="S3853" s="1838"/>
      <c r="T3853" s="1838"/>
      <c r="U3853" s="1838"/>
      <c r="V3853" s="1838"/>
      <c r="W3853" s="1838"/>
      <c r="X3853" s="1838"/>
      <c r="Y3853" s="1838"/>
      <c r="Z3853" s="1838"/>
      <c r="AA3853" s="1838"/>
      <c r="AB3853" s="1838"/>
      <c r="AC3853" s="1838"/>
      <c r="AD3853" s="1838"/>
      <c r="AE3853" s="1838"/>
      <c r="AF3853" s="1838"/>
      <c r="AG3853" s="1838"/>
      <c r="AH3853" s="1838"/>
      <c r="AI3853" s="1838"/>
      <c r="AJ3853" s="1838"/>
      <c r="AK3853" s="1838"/>
      <c r="AL3853" s="1838"/>
      <c r="AM3853" s="1838"/>
      <c r="AN3853" s="1838"/>
      <c r="AO3853" s="1838"/>
      <c r="AP3853" s="1838"/>
      <c r="AQ3853" s="1838"/>
      <c r="AR3853" s="1838"/>
      <c r="AS3853" s="1838"/>
      <c r="AT3853" s="1838"/>
      <c r="AU3853" s="1838"/>
      <c r="AV3853" s="1838"/>
      <c r="AW3853" s="1838"/>
      <c r="AX3853" s="1838"/>
      <c r="AY3853" s="1838"/>
      <c r="AZ3853" s="1838"/>
      <c r="BA3853" s="1838"/>
      <c r="BB3853" s="1838"/>
      <c r="BC3853" s="1838"/>
      <c r="BD3853" s="1838"/>
      <c r="BE3853" s="1838"/>
      <c r="BF3853" s="1838"/>
      <c r="BG3853" s="1838"/>
      <c r="BH3853" s="1838"/>
      <c r="BI3853" s="1838"/>
      <c r="BJ3853" s="1838"/>
      <c r="BK3853" s="1838"/>
      <c r="BL3853" s="1838"/>
      <c r="BM3853" s="1838"/>
      <c r="BN3853" s="1838"/>
      <c r="BO3853" s="1838"/>
      <c r="BP3853" s="1838"/>
      <c r="BQ3853" s="1838"/>
      <c r="BR3853" s="1838"/>
      <c r="BS3853" s="1838"/>
      <c r="BT3853" s="1838"/>
      <c r="BU3853" s="1838"/>
      <c r="BV3853" s="1838"/>
      <c r="BW3853" s="1838"/>
      <c r="BX3853" s="1838"/>
      <c r="BY3853" s="1838"/>
      <c r="BZ3853" s="1838"/>
      <c r="CA3853" s="1838"/>
      <c r="CB3853" s="1838"/>
      <c r="CC3853" s="1838"/>
      <c r="CD3853" s="1838"/>
      <c r="CE3853" s="1838"/>
      <c r="CF3853" s="1838"/>
      <c r="CG3853" s="1838"/>
      <c r="CH3853" s="1838"/>
      <c r="CI3853" s="1838"/>
      <c r="CJ3853" s="1838"/>
      <c r="CK3853" s="1838"/>
    </row>
    <row r="3854" spans="1:89" s="1204" customFormat="1" ht="16.5" customHeight="1" x14ac:dyDescent="0.25">
      <c r="A3854" s="1715">
        <v>32</v>
      </c>
      <c r="B3854" s="1035" t="s">
        <v>2097</v>
      </c>
      <c r="C3854" s="1031">
        <v>1</v>
      </c>
      <c r="D3854" s="1018" t="s">
        <v>222</v>
      </c>
      <c r="E3854" s="1025">
        <v>5500</v>
      </c>
      <c r="F3854" s="714"/>
      <c r="G3854" s="714"/>
      <c r="H3854" s="700"/>
      <c r="I3854" s="714"/>
      <c r="J3854" s="714"/>
      <c r="K3854" s="700"/>
      <c r="L3854" s="714">
        <f t="shared" si="422"/>
        <v>5500</v>
      </c>
      <c r="M3854" s="714"/>
      <c r="N3854" s="700">
        <f t="shared" si="415"/>
        <v>5500</v>
      </c>
      <c r="O3854" s="974">
        <f t="shared" si="423"/>
        <v>5500</v>
      </c>
      <c r="P3854" s="1202"/>
      <c r="Q3854" s="1838"/>
      <c r="R3854" s="1838"/>
      <c r="S3854" s="1838"/>
      <c r="T3854" s="1838"/>
      <c r="U3854" s="1838"/>
      <c r="V3854" s="1838"/>
      <c r="W3854" s="1838"/>
      <c r="X3854" s="1838"/>
      <c r="Y3854" s="1838"/>
      <c r="Z3854" s="1838"/>
      <c r="AA3854" s="1838"/>
      <c r="AB3854" s="1838"/>
      <c r="AC3854" s="1838"/>
      <c r="AD3854" s="1838"/>
      <c r="AE3854" s="1838"/>
      <c r="AF3854" s="1838"/>
      <c r="AG3854" s="1838"/>
      <c r="AH3854" s="1838"/>
      <c r="AI3854" s="1838"/>
      <c r="AJ3854" s="1838"/>
      <c r="AK3854" s="1838"/>
      <c r="AL3854" s="1838"/>
      <c r="AM3854" s="1838"/>
      <c r="AN3854" s="1838"/>
      <c r="AO3854" s="1838"/>
      <c r="AP3854" s="1838"/>
      <c r="AQ3854" s="1838"/>
      <c r="AR3854" s="1838"/>
      <c r="AS3854" s="1838"/>
      <c r="AT3854" s="1838"/>
      <c r="AU3854" s="1838"/>
      <c r="AV3854" s="1838"/>
      <c r="AW3854" s="1838"/>
      <c r="AX3854" s="1838"/>
      <c r="AY3854" s="1838"/>
      <c r="AZ3854" s="1838"/>
      <c r="BA3854" s="1838"/>
      <c r="BB3854" s="1838"/>
      <c r="BC3854" s="1838"/>
      <c r="BD3854" s="1838"/>
      <c r="BE3854" s="1838"/>
      <c r="BF3854" s="1838"/>
      <c r="BG3854" s="1838"/>
      <c r="BH3854" s="1838"/>
      <c r="BI3854" s="1838"/>
      <c r="BJ3854" s="1838"/>
      <c r="BK3854" s="1838"/>
      <c r="BL3854" s="1838"/>
      <c r="BM3854" s="1838"/>
      <c r="BN3854" s="1838"/>
      <c r="BO3854" s="1838"/>
      <c r="BP3854" s="1838"/>
      <c r="BQ3854" s="1838"/>
      <c r="BR3854" s="1838"/>
      <c r="BS3854" s="1838"/>
      <c r="BT3854" s="1838"/>
      <c r="BU3854" s="1838"/>
      <c r="BV3854" s="1838"/>
      <c r="BW3854" s="1838"/>
      <c r="BX3854" s="1838"/>
      <c r="BY3854" s="1838"/>
      <c r="BZ3854" s="1838"/>
      <c r="CA3854" s="1838"/>
      <c r="CB3854" s="1838"/>
      <c r="CC3854" s="1838"/>
      <c r="CD3854" s="1838"/>
      <c r="CE3854" s="1838"/>
      <c r="CF3854" s="1838"/>
      <c r="CG3854" s="1838"/>
      <c r="CH3854" s="1838"/>
      <c r="CI3854" s="1838"/>
      <c r="CJ3854" s="1838"/>
      <c r="CK3854" s="1838"/>
    </row>
    <row r="3855" spans="1:89" s="1204" customFormat="1" ht="16.5" customHeight="1" x14ac:dyDescent="0.25">
      <c r="A3855" s="1715">
        <v>33</v>
      </c>
      <c r="B3855" s="1035" t="s">
        <v>2098</v>
      </c>
      <c r="C3855" s="1031">
        <v>1</v>
      </c>
      <c r="D3855" s="1018" t="s">
        <v>76</v>
      </c>
      <c r="E3855" s="1025">
        <v>5500</v>
      </c>
      <c r="F3855" s="714"/>
      <c r="G3855" s="714"/>
      <c r="H3855" s="700"/>
      <c r="I3855" s="714"/>
      <c r="J3855" s="714"/>
      <c r="K3855" s="700"/>
      <c r="L3855" s="714">
        <f t="shared" si="422"/>
        <v>5500</v>
      </c>
      <c r="M3855" s="714"/>
      <c r="N3855" s="700">
        <f t="shared" si="415"/>
        <v>5500</v>
      </c>
      <c r="O3855" s="974">
        <f t="shared" si="423"/>
        <v>5500</v>
      </c>
      <c r="P3855" s="1202"/>
      <c r="Q3855" s="1838"/>
      <c r="R3855" s="1838"/>
      <c r="S3855" s="1838"/>
      <c r="T3855" s="1838"/>
      <c r="U3855" s="1838"/>
      <c r="V3855" s="1838"/>
      <c r="W3855" s="1838"/>
      <c r="X3855" s="1838"/>
      <c r="Y3855" s="1838"/>
      <c r="Z3855" s="1838"/>
      <c r="AA3855" s="1838"/>
      <c r="AB3855" s="1838"/>
      <c r="AC3855" s="1838"/>
      <c r="AD3855" s="1838"/>
      <c r="AE3855" s="1838"/>
      <c r="AF3855" s="1838"/>
      <c r="AG3855" s="1838"/>
      <c r="AH3855" s="1838"/>
      <c r="AI3855" s="1838"/>
      <c r="AJ3855" s="1838"/>
      <c r="AK3855" s="1838"/>
      <c r="AL3855" s="1838"/>
      <c r="AM3855" s="1838"/>
      <c r="AN3855" s="1838"/>
      <c r="AO3855" s="1838"/>
      <c r="AP3855" s="1838"/>
      <c r="AQ3855" s="1838"/>
      <c r="AR3855" s="1838"/>
      <c r="AS3855" s="1838"/>
      <c r="AT3855" s="1838"/>
      <c r="AU3855" s="1838"/>
      <c r="AV3855" s="1838"/>
      <c r="AW3855" s="1838"/>
      <c r="AX3855" s="1838"/>
      <c r="AY3855" s="1838"/>
      <c r="AZ3855" s="1838"/>
      <c r="BA3855" s="1838"/>
      <c r="BB3855" s="1838"/>
      <c r="BC3855" s="1838"/>
      <c r="BD3855" s="1838"/>
      <c r="BE3855" s="1838"/>
      <c r="BF3855" s="1838"/>
      <c r="BG3855" s="1838"/>
      <c r="BH3855" s="1838"/>
      <c r="BI3855" s="1838"/>
      <c r="BJ3855" s="1838"/>
      <c r="BK3855" s="1838"/>
      <c r="BL3855" s="1838"/>
      <c r="BM3855" s="1838"/>
      <c r="BN3855" s="1838"/>
      <c r="BO3855" s="1838"/>
      <c r="BP3855" s="1838"/>
      <c r="BQ3855" s="1838"/>
      <c r="BR3855" s="1838"/>
      <c r="BS3855" s="1838"/>
      <c r="BT3855" s="1838"/>
      <c r="BU3855" s="1838"/>
      <c r="BV3855" s="1838"/>
      <c r="BW3855" s="1838"/>
      <c r="BX3855" s="1838"/>
      <c r="BY3855" s="1838"/>
      <c r="BZ3855" s="1838"/>
      <c r="CA3855" s="1838"/>
      <c r="CB3855" s="1838"/>
      <c r="CC3855" s="1838"/>
      <c r="CD3855" s="1838"/>
      <c r="CE3855" s="1838"/>
      <c r="CF3855" s="1838"/>
      <c r="CG3855" s="1838"/>
      <c r="CH3855" s="1838"/>
      <c r="CI3855" s="1838"/>
      <c r="CJ3855" s="1838"/>
      <c r="CK3855" s="1838"/>
    </row>
    <row r="3856" spans="1:89" s="1204" customFormat="1" ht="16.5" customHeight="1" x14ac:dyDescent="0.25">
      <c r="A3856" s="1715">
        <v>34</v>
      </c>
      <c r="B3856" s="1035" t="s">
        <v>2099</v>
      </c>
      <c r="C3856" s="1031">
        <v>1</v>
      </c>
      <c r="D3856" s="1018" t="s">
        <v>76</v>
      </c>
      <c r="E3856" s="1025">
        <v>1100</v>
      </c>
      <c r="F3856" s="714"/>
      <c r="G3856" s="714"/>
      <c r="H3856" s="700"/>
      <c r="I3856" s="714"/>
      <c r="J3856" s="714"/>
      <c r="K3856" s="700"/>
      <c r="L3856" s="714">
        <f t="shared" si="422"/>
        <v>1100</v>
      </c>
      <c r="M3856" s="714"/>
      <c r="N3856" s="700">
        <f t="shared" si="415"/>
        <v>1100</v>
      </c>
      <c r="O3856" s="974">
        <f t="shared" si="423"/>
        <v>1100</v>
      </c>
      <c r="P3856" s="1202"/>
      <c r="Q3856" s="1838"/>
      <c r="R3856" s="1838"/>
      <c r="S3856" s="1838"/>
      <c r="T3856" s="1838"/>
      <c r="U3856" s="1838"/>
      <c r="V3856" s="1838"/>
      <c r="W3856" s="1838"/>
      <c r="X3856" s="1838"/>
      <c r="Y3856" s="1838"/>
      <c r="Z3856" s="1838"/>
      <c r="AA3856" s="1838"/>
      <c r="AB3856" s="1838"/>
      <c r="AC3856" s="1838"/>
      <c r="AD3856" s="1838"/>
      <c r="AE3856" s="1838"/>
      <c r="AF3856" s="1838"/>
      <c r="AG3856" s="1838"/>
      <c r="AH3856" s="1838"/>
      <c r="AI3856" s="1838"/>
      <c r="AJ3856" s="1838"/>
      <c r="AK3856" s="1838"/>
      <c r="AL3856" s="1838"/>
      <c r="AM3856" s="1838"/>
      <c r="AN3856" s="1838"/>
      <c r="AO3856" s="1838"/>
      <c r="AP3856" s="1838"/>
      <c r="AQ3856" s="1838"/>
      <c r="AR3856" s="1838"/>
      <c r="AS3856" s="1838"/>
      <c r="AT3856" s="1838"/>
      <c r="AU3856" s="1838"/>
      <c r="AV3856" s="1838"/>
      <c r="AW3856" s="1838"/>
      <c r="AX3856" s="1838"/>
      <c r="AY3856" s="1838"/>
      <c r="AZ3856" s="1838"/>
      <c r="BA3856" s="1838"/>
      <c r="BB3856" s="1838"/>
      <c r="BC3856" s="1838"/>
      <c r="BD3856" s="1838"/>
      <c r="BE3856" s="1838"/>
      <c r="BF3856" s="1838"/>
      <c r="BG3856" s="1838"/>
      <c r="BH3856" s="1838"/>
      <c r="BI3856" s="1838"/>
      <c r="BJ3856" s="1838"/>
      <c r="BK3856" s="1838"/>
      <c r="BL3856" s="1838"/>
      <c r="BM3856" s="1838"/>
      <c r="BN3856" s="1838"/>
      <c r="BO3856" s="1838"/>
      <c r="BP3856" s="1838"/>
      <c r="BQ3856" s="1838"/>
      <c r="BR3856" s="1838"/>
      <c r="BS3856" s="1838"/>
      <c r="BT3856" s="1838"/>
      <c r="BU3856" s="1838"/>
      <c r="BV3856" s="1838"/>
      <c r="BW3856" s="1838"/>
      <c r="BX3856" s="1838"/>
      <c r="BY3856" s="1838"/>
      <c r="BZ3856" s="1838"/>
      <c r="CA3856" s="1838"/>
      <c r="CB3856" s="1838"/>
      <c r="CC3856" s="1838"/>
      <c r="CD3856" s="1838"/>
      <c r="CE3856" s="1838"/>
      <c r="CF3856" s="1838"/>
      <c r="CG3856" s="1838"/>
      <c r="CH3856" s="1838"/>
      <c r="CI3856" s="1838"/>
      <c r="CJ3856" s="1838"/>
      <c r="CK3856" s="1838"/>
    </row>
    <row r="3857" spans="1:89" s="1204" customFormat="1" ht="16.5" customHeight="1" x14ac:dyDescent="0.25">
      <c r="A3857" s="1715">
        <v>35</v>
      </c>
      <c r="B3857" s="1035" t="s">
        <v>2100</v>
      </c>
      <c r="C3857" s="1031">
        <v>1</v>
      </c>
      <c r="D3857" s="1018" t="s">
        <v>76</v>
      </c>
      <c r="E3857" s="1025">
        <v>82000</v>
      </c>
      <c r="F3857" s="714"/>
      <c r="G3857" s="714"/>
      <c r="H3857" s="700"/>
      <c r="I3857" s="714"/>
      <c r="J3857" s="714"/>
      <c r="K3857" s="700"/>
      <c r="L3857" s="714">
        <f t="shared" si="422"/>
        <v>82000</v>
      </c>
      <c r="M3857" s="714"/>
      <c r="N3857" s="700">
        <f>M3857+L3857</f>
        <v>82000</v>
      </c>
      <c r="O3857" s="974">
        <f t="shared" si="423"/>
        <v>82000</v>
      </c>
      <c r="P3857" s="1202"/>
      <c r="Q3857" s="1838"/>
      <c r="R3857" s="1838"/>
      <c r="S3857" s="1838"/>
      <c r="T3857" s="1838"/>
      <c r="U3857" s="1838"/>
      <c r="V3857" s="1838"/>
      <c r="W3857" s="1838"/>
      <c r="X3857" s="1838"/>
      <c r="Y3857" s="1838"/>
      <c r="Z3857" s="1838"/>
      <c r="AA3857" s="1838"/>
      <c r="AB3857" s="1838"/>
      <c r="AC3857" s="1838"/>
      <c r="AD3857" s="1838"/>
      <c r="AE3857" s="1838"/>
      <c r="AF3857" s="1838"/>
      <c r="AG3857" s="1838"/>
      <c r="AH3857" s="1838"/>
      <c r="AI3857" s="1838"/>
      <c r="AJ3857" s="1838"/>
      <c r="AK3857" s="1838"/>
      <c r="AL3857" s="1838"/>
      <c r="AM3857" s="1838"/>
      <c r="AN3857" s="1838"/>
      <c r="AO3857" s="1838"/>
      <c r="AP3857" s="1838"/>
      <c r="AQ3857" s="1838"/>
      <c r="AR3857" s="1838"/>
      <c r="AS3857" s="1838"/>
      <c r="AT3857" s="1838"/>
      <c r="AU3857" s="1838"/>
      <c r="AV3857" s="1838"/>
      <c r="AW3857" s="1838"/>
      <c r="AX3857" s="1838"/>
      <c r="AY3857" s="1838"/>
      <c r="AZ3857" s="1838"/>
      <c r="BA3857" s="1838"/>
      <c r="BB3857" s="1838"/>
      <c r="BC3857" s="1838"/>
      <c r="BD3857" s="1838"/>
      <c r="BE3857" s="1838"/>
      <c r="BF3857" s="1838"/>
      <c r="BG3857" s="1838"/>
      <c r="BH3857" s="1838"/>
      <c r="BI3857" s="1838"/>
      <c r="BJ3857" s="1838"/>
      <c r="BK3857" s="1838"/>
      <c r="BL3857" s="1838"/>
      <c r="BM3857" s="1838"/>
      <c r="BN3857" s="1838"/>
      <c r="BO3857" s="1838"/>
      <c r="BP3857" s="1838"/>
      <c r="BQ3857" s="1838"/>
      <c r="BR3857" s="1838"/>
      <c r="BS3857" s="1838"/>
      <c r="BT3857" s="1838"/>
      <c r="BU3857" s="1838"/>
      <c r="BV3857" s="1838"/>
      <c r="BW3857" s="1838"/>
      <c r="BX3857" s="1838"/>
      <c r="BY3857" s="1838"/>
      <c r="BZ3857" s="1838"/>
      <c r="CA3857" s="1838"/>
      <c r="CB3857" s="1838"/>
      <c r="CC3857" s="1838"/>
      <c r="CD3857" s="1838"/>
      <c r="CE3857" s="1838"/>
      <c r="CF3857" s="1838"/>
      <c r="CG3857" s="1838"/>
      <c r="CH3857" s="1838"/>
      <c r="CI3857" s="1838"/>
      <c r="CJ3857" s="1838"/>
      <c r="CK3857" s="1838"/>
    </row>
    <row r="3858" spans="1:89" s="1204" customFormat="1" ht="16.5" customHeight="1" x14ac:dyDescent="0.25">
      <c r="A3858" s="1715">
        <v>36</v>
      </c>
      <c r="B3858" s="1035" t="s">
        <v>2101</v>
      </c>
      <c r="C3858" s="1031">
        <v>1</v>
      </c>
      <c r="D3858" s="1018" t="s">
        <v>76</v>
      </c>
      <c r="E3858" s="1025">
        <v>13000</v>
      </c>
      <c r="F3858" s="714"/>
      <c r="G3858" s="714"/>
      <c r="H3858" s="700"/>
      <c r="I3858" s="714"/>
      <c r="J3858" s="714"/>
      <c r="K3858" s="700"/>
      <c r="L3858" s="714">
        <f t="shared" si="422"/>
        <v>13000</v>
      </c>
      <c r="M3858" s="714"/>
      <c r="N3858" s="700">
        <f>M3858+L3858</f>
        <v>13000</v>
      </c>
      <c r="O3858" s="974">
        <f t="shared" si="423"/>
        <v>13000</v>
      </c>
      <c r="P3858" s="1202"/>
      <c r="Q3858" s="1838"/>
      <c r="R3858" s="1838"/>
      <c r="S3858" s="1838"/>
      <c r="T3858" s="1838"/>
      <c r="U3858" s="1838"/>
      <c r="V3858" s="1838"/>
      <c r="W3858" s="1838"/>
      <c r="X3858" s="1838"/>
      <c r="Y3858" s="1838"/>
      <c r="Z3858" s="1838"/>
      <c r="AA3858" s="1838"/>
      <c r="AB3858" s="1838"/>
      <c r="AC3858" s="1838"/>
      <c r="AD3858" s="1838"/>
      <c r="AE3858" s="1838"/>
      <c r="AF3858" s="1838"/>
      <c r="AG3858" s="1838"/>
      <c r="AH3858" s="1838"/>
      <c r="AI3858" s="1838"/>
      <c r="AJ3858" s="1838"/>
      <c r="AK3858" s="1838"/>
      <c r="AL3858" s="1838"/>
      <c r="AM3858" s="1838"/>
      <c r="AN3858" s="1838"/>
      <c r="AO3858" s="1838"/>
      <c r="AP3858" s="1838"/>
      <c r="AQ3858" s="1838"/>
      <c r="AR3858" s="1838"/>
      <c r="AS3858" s="1838"/>
      <c r="AT3858" s="1838"/>
      <c r="AU3858" s="1838"/>
      <c r="AV3858" s="1838"/>
      <c r="AW3858" s="1838"/>
      <c r="AX3858" s="1838"/>
      <c r="AY3858" s="1838"/>
      <c r="AZ3858" s="1838"/>
      <c r="BA3858" s="1838"/>
      <c r="BB3858" s="1838"/>
      <c r="BC3858" s="1838"/>
      <c r="BD3858" s="1838"/>
      <c r="BE3858" s="1838"/>
      <c r="BF3858" s="1838"/>
      <c r="BG3858" s="1838"/>
      <c r="BH3858" s="1838"/>
      <c r="BI3858" s="1838"/>
      <c r="BJ3858" s="1838"/>
      <c r="BK3858" s="1838"/>
      <c r="BL3858" s="1838"/>
      <c r="BM3858" s="1838"/>
      <c r="BN3858" s="1838"/>
      <c r="BO3858" s="1838"/>
      <c r="BP3858" s="1838"/>
      <c r="BQ3858" s="1838"/>
      <c r="BR3858" s="1838"/>
      <c r="BS3858" s="1838"/>
      <c r="BT3858" s="1838"/>
      <c r="BU3858" s="1838"/>
      <c r="BV3858" s="1838"/>
      <c r="BW3858" s="1838"/>
      <c r="BX3858" s="1838"/>
      <c r="BY3858" s="1838"/>
      <c r="BZ3858" s="1838"/>
      <c r="CA3858" s="1838"/>
      <c r="CB3858" s="1838"/>
      <c r="CC3858" s="1838"/>
      <c r="CD3858" s="1838"/>
      <c r="CE3858" s="1838"/>
      <c r="CF3858" s="1838"/>
      <c r="CG3858" s="1838"/>
      <c r="CH3858" s="1838"/>
      <c r="CI3858" s="1838"/>
      <c r="CJ3858" s="1838"/>
      <c r="CK3858" s="1838"/>
    </row>
    <row r="3859" spans="1:89" s="1204" customFormat="1" ht="16.5" customHeight="1" x14ac:dyDescent="0.25">
      <c r="A3859" s="1715">
        <v>37</v>
      </c>
      <c r="B3859" s="1035" t="s">
        <v>2102</v>
      </c>
      <c r="C3859" s="1031">
        <v>1</v>
      </c>
      <c r="D3859" s="1018" t="s">
        <v>76</v>
      </c>
      <c r="E3859" s="1025">
        <v>20000</v>
      </c>
      <c r="F3859" s="714"/>
      <c r="G3859" s="714"/>
      <c r="H3859" s="700"/>
      <c r="I3859" s="714"/>
      <c r="J3859" s="714"/>
      <c r="K3859" s="700"/>
      <c r="L3859" s="714">
        <f t="shared" si="422"/>
        <v>20000</v>
      </c>
      <c r="M3859" s="714"/>
      <c r="N3859" s="700">
        <f>M3859+L3859</f>
        <v>20000</v>
      </c>
      <c r="O3859" s="974">
        <f t="shared" si="423"/>
        <v>20000</v>
      </c>
      <c r="P3859" s="1202"/>
      <c r="Q3859" s="1838"/>
      <c r="R3859" s="1838"/>
      <c r="S3859" s="1838"/>
      <c r="T3859" s="1838"/>
      <c r="U3859" s="1838"/>
      <c r="V3859" s="1838"/>
      <c r="W3859" s="1838"/>
      <c r="X3859" s="1838"/>
      <c r="Y3859" s="1838"/>
      <c r="Z3859" s="1838"/>
      <c r="AA3859" s="1838"/>
      <c r="AB3859" s="1838"/>
      <c r="AC3859" s="1838"/>
      <c r="AD3859" s="1838"/>
      <c r="AE3859" s="1838"/>
      <c r="AF3859" s="1838"/>
      <c r="AG3859" s="1838"/>
      <c r="AH3859" s="1838"/>
      <c r="AI3859" s="1838"/>
      <c r="AJ3859" s="1838"/>
      <c r="AK3859" s="1838"/>
      <c r="AL3859" s="1838"/>
      <c r="AM3859" s="1838"/>
      <c r="AN3859" s="1838"/>
      <c r="AO3859" s="1838"/>
      <c r="AP3859" s="1838"/>
      <c r="AQ3859" s="1838"/>
      <c r="AR3859" s="1838"/>
      <c r="AS3859" s="1838"/>
      <c r="AT3859" s="1838"/>
      <c r="AU3859" s="1838"/>
      <c r="AV3859" s="1838"/>
      <c r="AW3859" s="1838"/>
      <c r="AX3859" s="1838"/>
      <c r="AY3859" s="1838"/>
      <c r="AZ3859" s="1838"/>
      <c r="BA3859" s="1838"/>
      <c r="BB3859" s="1838"/>
      <c r="BC3859" s="1838"/>
      <c r="BD3859" s="1838"/>
      <c r="BE3859" s="1838"/>
      <c r="BF3859" s="1838"/>
      <c r="BG3859" s="1838"/>
      <c r="BH3859" s="1838"/>
      <c r="BI3859" s="1838"/>
      <c r="BJ3859" s="1838"/>
      <c r="BK3859" s="1838"/>
      <c r="BL3859" s="1838"/>
      <c r="BM3859" s="1838"/>
      <c r="BN3859" s="1838"/>
      <c r="BO3859" s="1838"/>
      <c r="BP3859" s="1838"/>
      <c r="BQ3859" s="1838"/>
      <c r="BR3859" s="1838"/>
      <c r="BS3859" s="1838"/>
      <c r="BT3859" s="1838"/>
      <c r="BU3859" s="1838"/>
      <c r="BV3859" s="1838"/>
      <c r="BW3859" s="1838"/>
      <c r="BX3859" s="1838"/>
      <c r="BY3859" s="1838"/>
      <c r="BZ3859" s="1838"/>
      <c r="CA3859" s="1838"/>
      <c r="CB3859" s="1838"/>
      <c r="CC3859" s="1838"/>
      <c r="CD3859" s="1838"/>
      <c r="CE3859" s="1838"/>
      <c r="CF3859" s="1838"/>
      <c r="CG3859" s="1838"/>
      <c r="CH3859" s="1838"/>
      <c r="CI3859" s="1838"/>
      <c r="CJ3859" s="1838"/>
      <c r="CK3859" s="1838"/>
    </row>
    <row r="3860" spans="1:89" s="1204" customFormat="1" ht="16.5" customHeight="1" x14ac:dyDescent="0.25">
      <c r="A3860" s="1715">
        <v>38</v>
      </c>
      <c r="B3860" s="1035" t="s">
        <v>2103</v>
      </c>
      <c r="C3860" s="1031">
        <v>1</v>
      </c>
      <c r="D3860" s="1018" t="s">
        <v>76</v>
      </c>
      <c r="E3860" s="1025">
        <v>3500</v>
      </c>
      <c r="F3860" s="714"/>
      <c r="G3860" s="714"/>
      <c r="H3860" s="700"/>
      <c r="I3860" s="714"/>
      <c r="J3860" s="714"/>
      <c r="K3860" s="700"/>
      <c r="L3860" s="714">
        <f t="shared" si="422"/>
        <v>3500</v>
      </c>
      <c r="M3860" s="714"/>
      <c r="N3860" s="700">
        <f>M3860+L3860</f>
        <v>3500</v>
      </c>
      <c r="O3860" s="974">
        <f t="shared" si="423"/>
        <v>3500</v>
      </c>
      <c r="P3860" s="1202"/>
      <c r="Q3860" s="1838"/>
      <c r="R3860" s="1838"/>
      <c r="S3860" s="1838"/>
      <c r="T3860" s="1838"/>
      <c r="U3860" s="1838"/>
      <c r="V3860" s="1838"/>
      <c r="W3860" s="1838"/>
      <c r="X3860" s="1838"/>
      <c r="Y3860" s="1838"/>
      <c r="Z3860" s="1838"/>
      <c r="AA3860" s="1838"/>
      <c r="AB3860" s="1838"/>
      <c r="AC3860" s="1838"/>
      <c r="AD3860" s="1838"/>
      <c r="AE3860" s="1838"/>
      <c r="AF3860" s="1838"/>
      <c r="AG3860" s="1838"/>
      <c r="AH3860" s="1838"/>
      <c r="AI3860" s="1838"/>
      <c r="AJ3860" s="1838"/>
      <c r="AK3860" s="1838"/>
      <c r="AL3860" s="1838"/>
      <c r="AM3860" s="1838"/>
      <c r="AN3860" s="1838"/>
      <c r="AO3860" s="1838"/>
      <c r="AP3860" s="1838"/>
      <c r="AQ3860" s="1838"/>
      <c r="AR3860" s="1838"/>
      <c r="AS3860" s="1838"/>
      <c r="AT3860" s="1838"/>
      <c r="AU3860" s="1838"/>
      <c r="AV3860" s="1838"/>
      <c r="AW3860" s="1838"/>
      <c r="AX3860" s="1838"/>
      <c r="AY3860" s="1838"/>
      <c r="AZ3860" s="1838"/>
      <c r="BA3860" s="1838"/>
      <c r="BB3860" s="1838"/>
      <c r="BC3860" s="1838"/>
      <c r="BD3860" s="1838"/>
      <c r="BE3860" s="1838"/>
      <c r="BF3860" s="1838"/>
      <c r="BG3860" s="1838"/>
      <c r="BH3860" s="1838"/>
      <c r="BI3860" s="1838"/>
      <c r="BJ3860" s="1838"/>
      <c r="BK3860" s="1838"/>
      <c r="BL3860" s="1838"/>
      <c r="BM3860" s="1838"/>
      <c r="BN3860" s="1838"/>
      <c r="BO3860" s="1838"/>
      <c r="BP3860" s="1838"/>
      <c r="BQ3860" s="1838"/>
      <c r="BR3860" s="1838"/>
      <c r="BS3860" s="1838"/>
      <c r="BT3860" s="1838"/>
      <c r="BU3860" s="1838"/>
      <c r="BV3860" s="1838"/>
      <c r="BW3860" s="1838"/>
      <c r="BX3860" s="1838"/>
      <c r="BY3860" s="1838"/>
      <c r="BZ3860" s="1838"/>
      <c r="CA3860" s="1838"/>
      <c r="CB3860" s="1838"/>
      <c r="CC3860" s="1838"/>
      <c r="CD3860" s="1838"/>
      <c r="CE3860" s="1838"/>
      <c r="CF3860" s="1838"/>
      <c r="CG3860" s="1838"/>
      <c r="CH3860" s="1838"/>
      <c r="CI3860" s="1838"/>
      <c r="CJ3860" s="1838"/>
      <c r="CK3860" s="1838"/>
    </row>
    <row r="3861" spans="1:89" s="1204" customFormat="1" ht="16.5" customHeight="1" x14ac:dyDescent="0.25">
      <c r="A3861" s="1715">
        <v>39</v>
      </c>
      <c r="B3861" s="1035" t="s">
        <v>2104</v>
      </c>
      <c r="C3861" s="1031">
        <v>1</v>
      </c>
      <c r="D3861" s="1018" t="s">
        <v>76</v>
      </c>
      <c r="E3861" s="1025">
        <v>31500</v>
      </c>
      <c r="F3861" s="714"/>
      <c r="G3861" s="714"/>
      <c r="H3861" s="700"/>
      <c r="I3861" s="714"/>
      <c r="J3861" s="714"/>
      <c r="K3861" s="700"/>
      <c r="L3861" s="714">
        <f t="shared" si="422"/>
        <v>31500</v>
      </c>
      <c r="M3861" s="714"/>
      <c r="N3861" s="700">
        <f>M3861+L3861</f>
        <v>31500</v>
      </c>
      <c r="O3861" s="974">
        <f t="shared" si="423"/>
        <v>31500</v>
      </c>
      <c r="P3861" s="1202"/>
      <c r="Q3861" s="1838"/>
      <c r="R3861" s="1838"/>
      <c r="S3861" s="1838"/>
      <c r="T3861" s="1838"/>
      <c r="U3861" s="1838"/>
      <c r="V3861" s="1838"/>
      <c r="W3861" s="1838"/>
      <c r="X3861" s="1838"/>
      <c r="Y3861" s="1838"/>
      <c r="Z3861" s="1838"/>
      <c r="AA3861" s="1838"/>
      <c r="AB3861" s="1838"/>
      <c r="AC3861" s="1838"/>
      <c r="AD3861" s="1838"/>
      <c r="AE3861" s="1838"/>
      <c r="AF3861" s="1838"/>
      <c r="AG3861" s="1838"/>
      <c r="AH3861" s="1838"/>
      <c r="AI3861" s="1838"/>
      <c r="AJ3861" s="1838"/>
      <c r="AK3861" s="1838"/>
      <c r="AL3861" s="1838"/>
      <c r="AM3861" s="1838"/>
      <c r="AN3861" s="1838"/>
      <c r="AO3861" s="1838"/>
      <c r="AP3861" s="1838"/>
      <c r="AQ3861" s="1838"/>
      <c r="AR3861" s="1838"/>
      <c r="AS3861" s="1838"/>
      <c r="AT3861" s="1838"/>
      <c r="AU3861" s="1838"/>
      <c r="AV3861" s="1838"/>
      <c r="AW3861" s="1838"/>
      <c r="AX3861" s="1838"/>
      <c r="AY3861" s="1838"/>
      <c r="AZ3861" s="1838"/>
      <c r="BA3861" s="1838"/>
      <c r="BB3861" s="1838"/>
      <c r="BC3861" s="1838"/>
      <c r="BD3861" s="1838"/>
      <c r="BE3861" s="1838"/>
      <c r="BF3861" s="1838"/>
      <c r="BG3861" s="1838"/>
      <c r="BH3861" s="1838"/>
      <c r="BI3861" s="1838"/>
      <c r="BJ3861" s="1838"/>
      <c r="BK3861" s="1838"/>
      <c r="BL3861" s="1838"/>
      <c r="BM3861" s="1838"/>
      <c r="BN3861" s="1838"/>
      <c r="BO3861" s="1838"/>
      <c r="BP3861" s="1838"/>
      <c r="BQ3861" s="1838"/>
      <c r="BR3861" s="1838"/>
      <c r="BS3861" s="1838"/>
      <c r="BT3861" s="1838"/>
      <c r="BU3861" s="1838"/>
      <c r="BV3861" s="1838"/>
      <c r="BW3861" s="1838"/>
      <c r="BX3861" s="1838"/>
      <c r="BY3861" s="1838"/>
      <c r="BZ3861" s="1838"/>
      <c r="CA3861" s="1838"/>
      <c r="CB3861" s="1838"/>
      <c r="CC3861" s="1838"/>
      <c r="CD3861" s="1838"/>
      <c r="CE3861" s="1838"/>
      <c r="CF3861" s="1838"/>
      <c r="CG3861" s="1838"/>
      <c r="CH3861" s="1838"/>
      <c r="CI3861" s="1838"/>
      <c r="CJ3861" s="1838"/>
      <c r="CK3861" s="1838"/>
    </row>
    <row r="3862" spans="1:89" s="744" customFormat="1" ht="16.5" customHeight="1" x14ac:dyDescent="0.25">
      <c r="A3862" s="1033"/>
      <c r="B3862" s="1035"/>
      <c r="C3862" s="1031"/>
      <c r="D3862" s="1018"/>
      <c r="E3862" s="1025"/>
      <c r="F3862" s="714"/>
      <c r="G3862" s="714"/>
      <c r="H3862" s="700"/>
      <c r="I3862" s="714"/>
      <c r="J3862" s="714"/>
      <c r="K3862" s="700"/>
      <c r="L3862" s="714"/>
      <c r="M3862" s="714"/>
      <c r="N3862" s="700"/>
      <c r="O3862" s="974"/>
      <c r="P3862" s="956"/>
      <c r="Q3862" s="1821"/>
      <c r="R3862" s="1821"/>
      <c r="S3862" s="1821"/>
      <c r="T3862" s="1821"/>
      <c r="U3862" s="1821"/>
      <c r="V3862" s="1821"/>
      <c r="W3862" s="1821"/>
      <c r="X3862" s="1821"/>
      <c r="Y3862" s="1821"/>
      <c r="Z3862" s="1821"/>
      <c r="AA3862" s="1821"/>
      <c r="AB3862" s="1821"/>
      <c r="AC3862" s="1821"/>
      <c r="AD3862" s="1821"/>
      <c r="AE3862" s="1821"/>
      <c r="AF3862" s="1821"/>
      <c r="AG3862" s="1821"/>
      <c r="AH3862" s="1821"/>
      <c r="AI3862" s="1821"/>
      <c r="AJ3862" s="1821"/>
      <c r="AK3862" s="1821"/>
      <c r="AL3862" s="1821"/>
      <c r="AM3862" s="1821"/>
      <c r="AN3862" s="1821"/>
      <c r="AO3862" s="1821"/>
      <c r="AP3862" s="1821"/>
      <c r="AQ3862" s="1821"/>
      <c r="AR3862" s="1821"/>
      <c r="AS3862" s="1821"/>
      <c r="AT3862" s="1821"/>
      <c r="AU3862" s="1821"/>
      <c r="AV3862" s="1821"/>
      <c r="AW3862" s="1821"/>
      <c r="AX3862" s="1821"/>
      <c r="AY3862" s="1821"/>
      <c r="AZ3862" s="1821"/>
      <c r="BA3862" s="1821"/>
      <c r="BB3862" s="1821"/>
      <c r="BC3862" s="1821"/>
      <c r="BD3862" s="1821"/>
      <c r="BE3862" s="1821"/>
      <c r="BF3862" s="1821"/>
      <c r="BG3862" s="1821"/>
      <c r="BH3862" s="1821"/>
      <c r="BI3862" s="1821"/>
      <c r="BJ3862" s="1821"/>
      <c r="BK3862" s="1821"/>
      <c r="BL3862" s="1821"/>
      <c r="BM3862" s="1821"/>
      <c r="BN3862" s="1821"/>
      <c r="BO3862" s="1821"/>
      <c r="BP3862" s="1821"/>
      <c r="BQ3862" s="1821"/>
      <c r="BR3862" s="1821"/>
      <c r="BS3862" s="1821"/>
      <c r="BT3862" s="1821"/>
      <c r="BU3862" s="1821"/>
      <c r="BV3862" s="1821"/>
      <c r="BW3862" s="1821"/>
      <c r="BX3862" s="1821"/>
      <c r="BY3862" s="1821"/>
      <c r="BZ3862" s="1821"/>
      <c r="CA3862" s="1821"/>
      <c r="CB3862" s="1821"/>
      <c r="CC3862" s="1821"/>
      <c r="CD3862" s="1821"/>
      <c r="CE3862" s="1821"/>
      <c r="CF3862" s="1821"/>
      <c r="CG3862" s="1821"/>
      <c r="CH3862" s="1821"/>
      <c r="CI3862" s="1821"/>
      <c r="CJ3862" s="1821"/>
      <c r="CK3862" s="1821"/>
    </row>
    <row r="3863" spans="1:89" s="744" customFormat="1" ht="16.5" customHeight="1" x14ac:dyDescent="0.25">
      <c r="A3863" s="1033"/>
      <c r="B3863" s="1035"/>
      <c r="C3863" s="1031"/>
      <c r="D3863" s="1018"/>
      <c r="E3863" s="1025"/>
      <c r="F3863" s="714"/>
      <c r="G3863" s="714"/>
      <c r="H3863" s="700"/>
      <c r="I3863" s="714"/>
      <c r="J3863" s="714"/>
      <c r="K3863" s="700"/>
      <c r="L3863" s="714"/>
      <c r="M3863" s="714"/>
      <c r="N3863" s="700"/>
      <c r="O3863" s="974"/>
      <c r="P3863" s="956"/>
      <c r="Q3863" s="1821"/>
      <c r="R3863" s="1821"/>
      <c r="S3863" s="1821"/>
      <c r="T3863" s="1821"/>
      <c r="U3863" s="1821"/>
      <c r="V3863" s="1821"/>
      <c r="W3863" s="1821"/>
      <c r="X3863" s="1821"/>
      <c r="Y3863" s="1821"/>
      <c r="Z3863" s="1821"/>
      <c r="AA3863" s="1821"/>
      <c r="AB3863" s="1821"/>
      <c r="AC3863" s="1821"/>
      <c r="AD3863" s="1821"/>
      <c r="AE3863" s="1821"/>
      <c r="AF3863" s="1821"/>
      <c r="AG3863" s="1821"/>
      <c r="AH3863" s="1821"/>
      <c r="AI3863" s="1821"/>
      <c r="AJ3863" s="1821"/>
      <c r="AK3863" s="1821"/>
      <c r="AL3863" s="1821"/>
      <c r="AM3863" s="1821"/>
      <c r="AN3863" s="1821"/>
      <c r="AO3863" s="1821"/>
      <c r="AP3863" s="1821"/>
      <c r="AQ3863" s="1821"/>
      <c r="AR3863" s="1821"/>
      <c r="AS3863" s="1821"/>
      <c r="AT3863" s="1821"/>
      <c r="AU3863" s="1821"/>
      <c r="AV3863" s="1821"/>
      <c r="AW3863" s="1821"/>
      <c r="AX3863" s="1821"/>
      <c r="AY3863" s="1821"/>
      <c r="AZ3863" s="1821"/>
      <c r="BA3863" s="1821"/>
      <c r="BB3863" s="1821"/>
      <c r="BC3863" s="1821"/>
      <c r="BD3863" s="1821"/>
      <c r="BE3863" s="1821"/>
      <c r="BF3863" s="1821"/>
      <c r="BG3863" s="1821"/>
      <c r="BH3863" s="1821"/>
      <c r="BI3863" s="1821"/>
      <c r="BJ3863" s="1821"/>
      <c r="BK3863" s="1821"/>
      <c r="BL3863" s="1821"/>
      <c r="BM3863" s="1821"/>
      <c r="BN3863" s="1821"/>
      <c r="BO3863" s="1821"/>
      <c r="BP3863" s="1821"/>
      <c r="BQ3863" s="1821"/>
      <c r="BR3863" s="1821"/>
      <c r="BS3863" s="1821"/>
      <c r="BT3863" s="1821"/>
      <c r="BU3863" s="1821"/>
      <c r="BV3863" s="1821"/>
      <c r="BW3863" s="1821"/>
      <c r="BX3863" s="1821"/>
      <c r="BY3863" s="1821"/>
      <c r="BZ3863" s="1821"/>
      <c r="CA3863" s="1821"/>
      <c r="CB3863" s="1821"/>
      <c r="CC3863" s="1821"/>
      <c r="CD3863" s="1821"/>
      <c r="CE3863" s="1821"/>
      <c r="CF3863" s="1821"/>
      <c r="CG3863" s="1821"/>
      <c r="CH3863" s="1821"/>
      <c r="CI3863" s="1821"/>
      <c r="CJ3863" s="1821"/>
      <c r="CK3863" s="1821"/>
    </row>
    <row r="3864" spans="1:89" s="744" customFormat="1" ht="16.5" customHeight="1" x14ac:dyDescent="0.25">
      <c r="A3864" s="954"/>
      <c r="B3864" s="1034"/>
      <c r="C3864" s="1031"/>
      <c r="D3864" s="1018"/>
      <c r="E3864" s="1025"/>
      <c r="F3864" s="714"/>
      <c r="G3864" s="714"/>
      <c r="H3864" s="700"/>
      <c r="I3864" s="714"/>
      <c r="J3864" s="714"/>
      <c r="K3864" s="700"/>
      <c r="L3864" s="714"/>
      <c r="M3864" s="714"/>
      <c r="N3864" s="700"/>
      <c r="O3864" s="974"/>
      <c r="P3864" s="956"/>
      <c r="Q3864" s="1821"/>
      <c r="R3864" s="1821"/>
      <c r="S3864" s="1821"/>
      <c r="T3864" s="1821"/>
      <c r="U3864" s="1821"/>
      <c r="V3864" s="1821"/>
      <c r="W3864" s="1821"/>
      <c r="X3864" s="1821"/>
      <c r="Y3864" s="1821"/>
      <c r="Z3864" s="1821"/>
      <c r="AA3864" s="1821"/>
      <c r="AB3864" s="1821"/>
      <c r="AC3864" s="1821"/>
      <c r="AD3864" s="1821"/>
      <c r="AE3864" s="1821"/>
      <c r="AF3864" s="1821"/>
      <c r="AG3864" s="1821"/>
      <c r="AH3864" s="1821"/>
      <c r="AI3864" s="1821"/>
      <c r="AJ3864" s="1821"/>
      <c r="AK3864" s="1821"/>
      <c r="AL3864" s="1821"/>
      <c r="AM3864" s="1821"/>
      <c r="AN3864" s="1821"/>
      <c r="AO3864" s="1821"/>
      <c r="AP3864" s="1821"/>
      <c r="AQ3864" s="1821"/>
      <c r="AR3864" s="1821"/>
      <c r="AS3864" s="1821"/>
      <c r="AT3864" s="1821"/>
      <c r="AU3864" s="1821"/>
      <c r="AV3864" s="1821"/>
      <c r="AW3864" s="1821"/>
      <c r="AX3864" s="1821"/>
      <c r="AY3864" s="1821"/>
      <c r="AZ3864" s="1821"/>
      <c r="BA3864" s="1821"/>
      <c r="BB3864" s="1821"/>
      <c r="BC3864" s="1821"/>
      <c r="BD3864" s="1821"/>
      <c r="BE3864" s="1821"/>
      <c r="BF3864" s="1821"/>
      <c r="BG3864" s="1821"/>
      <c r="BH3864" s="1821"/>
      <c r="BI3864" s="1821"/>
      <c r="BJ3864" s="1821"/>
      <c r="BK3864" s="1821"/>
      <c r="BL3864" s="1821"/>
      <c r="BM3864" s="1821"/>
      <c r="BN3864" s="1821"/>
      <c r="BO3864" s="1821"/>
      <c r="BP3864" s="1821"/>
      <c r="BQ3864" s="1821"/>
      <c r="BR3864" s="1821"/>
      <c r="BS3864" s="1821"/>
      <c r="BT3864" s="1821"/>
      <c r="BU3864" s="1821"/>
      <c r="BV3864" s="1821"/>
      <c r="BW3864" s="1821"/>
      <c r="BX3864" s="1821"/>
      <c r="BY3864" s="1821"/>
      <c r="BZ3864" s="1821"/>
      <c r="CA3864" s="1821"/>
      <c r="CB3864" s="1821"/>
      <c r="CC3864" s="1821"/>
      <c r="CD3864" s="1821"/>
      <c r="CE3864" s="1821"/>
      <c r="CF3864" s="1821"/>
      <c r="CG3864" s="1821"/>
      <c r="CH3864" s="1821"/>
      <c r="CI3864" s="1821"/>
      <c r="CJ3864" s="1821"/>
      <c r="CK3864" s="1821"/>
    </row>
    <row r="3865" spans="1:89" s="744" customFormat="1" ht="26.25" customHeight="1" x14ac:dyDescent="0.25">
      <c r="A3865" s="1033" t="s">
        <v>272</v>
      </c>
      <c r="B3865" s="1035" t="s">
        <v>360</v>
      </c>
      <c r="C3865" s="1031">
        <f>SUM(O3867:O3871)</f>
        <v>81820</v>
      </c>
      <c r="D3865" s="1032"/>
      <c r="E3865" s="1036"/>
      <c r="F3865" s="714"/>
      <c r="G3865" s="714"/>
      <c r="H3865" s="700">
        <f t="shared" ref="H3865:H3879" si="426">G3865+F3865</f>
        <v>0</v>
      </c>
      <c r="I3865" s="714"/>
      <c r="J3865" s="714"/>
      <c r="K3865" s="700"/>
      <c r="L3865" s="714"/>
      <c r="M3865" s="714"/>
      <c r="N3865" s="700">
        <f t="shared" ref="N3865:N3879" si="427">M3865+L3865</f>
        <v>0</v>
      </c>
      <c r="O3865" s="974">
        <f>N3865+K3865+H3865</f>
        <v>0</v>
      </c>
      <c r="P3865" s="956"/>
      <c r="Q3865" s="1821"/>
      <c r="R3865" s="1821"/>
      <c r="S3865" s="1821"/>
      <c r="T3865" s="1821"/>
      <c r="U3865" s="1821"/>
      <c r="V3865" s="1821"/>
      <c r="W3865" s="1821"/>
      <c r="X3865" s="1821"/>
      <c r="Y3865" s="1821"/>
      <c r="Z3865" s="1821"/>
      <c r="AA3865" s="1821"/>
      <c r="AB3865" s="1821"/>
      <c r="AC3865" s="1821"/>
      <c r="AD3865" s="1821"/>
      <c r="AE3865" s="1821"/>
      <c r="AF3865" s="1821"/>
      <c r="AG3865" s="1821"/>
      <c r="AH3865" s="1821"/>
      <c r="AI3865" s="1821"/>
      <c r="AJ3865" s="1821"/>
      <c r="AK3865" s="1821"/>
      <c r="AL3865" s="1821"/>
      <c r="AM3865" s="1821"/>
      <c r="AN3865" s="1821"/>
      <c r="AO3865" s="1821"/>
      <c r="AP3865" s="1821"/>
      <c r="AQ3865" s="1821"/>
      <c r="AR3865" s="1821"/>
      <c r="AS3865" s="1821"/>
      <c r="AT3865" s="1821"/>
      <c r="AU3865" s="1821"/>
      <c r="AV3865" s="1821"/>
      <c r="AW3865" s="1821"/>
      <c r="AX3865" s="1821"/>
      <c r="AY3865" s="1821"/>
      <c r="AZ3865" s="1821"/>
      <c r="BA3865" s="1821"/>
      <c r="BB3865" s="1821"/>
      <c r="BC3865" s="1821"/>
      <c r="BD3865" s="1821"/>
      <c r="BE3865" s="1821"/>
      <c r="BF3865" s="1821"/>
      <c r="BG3865" s="1821"/>
      <c r="BH3865" s="1821"/>
      <c r="BI3865" s="1821"/>
      <c r="BJ3865" s="1821"/>
      <c r="BK3865" s="1821"/>
      <c r="BL3865" s="1821"/>
      <c r="BM3865" s="1821"/>
      <c r="BN3865" s="1821"/>
      <c r="BO3865" s="1821"/>
      <c r="BP3865" s="1821"/>
      <c r="BQ3865" s="1821"/>
      <c r="BR3865" s="1821"/>
      <c r="BS3865" s="1821"/>
      <c r="BT3865" s="1821"/>
      <c r="BU3865" s="1821"/>
      <c r="BV3865" s="1821"/>
      <c r="BW3865" s="1821"/>
      <c r="BX3865" s="1821"/>
      <c r="BY3865" s="1821"/>
      <c r="BZ3865" s="1821"/>
      <c r="CA3865" s="1821"/>
      <c r="CB3865" s="1821"/>
      <c r="CC3865" s="1821"/>
      <c r="CD3865" s="1821"/>
      <c r="CE3865" s="1821"/>
      <c r="CF3865" s="1821"/>
      <c r="CG3865" s="1821"/>
      <c r="CH3865" s="1821"/>
      <c r="CI3865" s="1821"/>
      <c r="CJ3865" s="1821"/>
      <c r="CK3865" s="1821"/>
    </row>
    <row r="3866" spans="1:89" s="744" customFormat="1" ht="16.5" customHeight="1" x14ac:dyDescent="0.25">
      <c r="A3866" s="954"/>
      <c r="B3866" s="1035" t="s">
        <v>356</v>
      </c>
      <c r="C3866" s="1031"/>
      <c r="D3866" s="1032"/>
      <c r="E3866" s="1036"/>
      <c r="F3866" s="714"/>
      <c r="G3866" s="714"/>
      <c r="H3866" s="700">
        <f t="shared" si="426"/>
        <v>0</v>
      </c>
      <c r="I3866" s="714"/>
      <c r="J3866" s="714"/>
      <c r="K3866" s="700"/>
      <c r="L3866" s="714"/>
      <c r="M3866" s="714"/>
      <c r="N3866" s="700">
        <f t="shared" si="427"/>
        <v>0</v>
      </c>
      <c r="O3866" s="974">
        <f t="shared" ref="O3866:O3883" si="428">N3866+K3866+H3866</f>
        <v>0</v>
      </c>
      <c r="P3866" s="956"/>
      <c r="Q3866" s="1821"/>
      <c r="R3866" s="1821"/>
      <c r="S3866" s="1821"/>
      <c r="T3866" s="1821"/>
      <c r="U3866" s="1821"/>
      <c r="V3866" s="1821"/>
      <c r="W3866" s="1821"/>
      <c r="X3866" s="1821"/>
      <c r="Y3866" s="1821"/>
      <c r="Z3866" s="1821"/>
      <c r="AA3866" s="1821"/>
      <c r="AB3866" s="1821"/>
      <c r="AC3866" s="1821"/>
      <c r="AD3866" s="1821"/>
      <c r="AE3866" s="1821"/>
      <c r="AF3866" s="1821"/>
      <c r="AG3866" s="1821"/>
      <c r="AH3866" s="1821"/>
      <c r="AI3866" s="1821"/>
      <c r="AJ3866" s="1821"/>
      <c r="AK3866" s="1821"/>
      <c r="AL3866" s="1821"/>
      <c r="AM3866" s="1821"/>
      <c r="AN3866" s="1821"/>
      <c r="AO3866" s="1821"/>
      <c r="AP3866" s="1821"/>
      <c r="AQ3866" s="1821"/>
      <c r="AR3866" s="1821"/>
      <c r="AS3866" s="1821"/>
      <c r="AT3866" s="1821"/>
      <c r="AU3866" s="1821"/>
      <c r="AV3866" s="1821"/>
      <c r="AW3866" s="1821"/>
      <c r="AX3866" s="1821"/>
      <c r="AY3866" s="1821"/>
      <c r="AZ3866" s="1821"/>
      <c r="BA3866" s="1821"/>
      <c r="BB3866" s="1821"/>
      <c r="BC3866" s="1821"/>
      <c r="BD3866" s="1821"/>
      <c r="BE3866" s="1821"/>
      <c r="BF3866" s="1821"/>
      <c r="BG3866" s="1821"/>
      <c r="BH3866" s="1821"/>
      <c r="BI3866" s="1821"/>
      <c r="BJ3866" s="1821"/>
      <c r="BK3866" s="1821"/>
      <c r="BL3866" s="1821"/>
      <c r="BM3866" s="1821"/>
      <c r="BN3866" s="1821"/>
      <c r="BO3866" s="1821"/>
      <c r="BP3866" s="1821"/>
      <c r="BQ3866" s="1821"/>
      <c r="BR3866" s="1821"/>
      <c r="BS3866" s="1821"/>
      <c r="BT3866" s="1821"/>
      <c r="BU3866" s="1821"/>
      <c r="BV3866" s="1821"/>
      <c r="BW3866" s="1821"/>
      <c r="BX3866" s="1821"/>
      <c r="BY3866" s="1821"/>
      <c r="BZ3866" s="1821"/>
      <c r="CA3866" s="1821"/>
      <c r="CB3866" s="1821"/>
      <c r="CC3866" s="1821"/>
      <c r="CD3866" s="1821"/>
      <c r="CE3866" s="1821"/>
      <c r="CF3866" s="1821"/>
      <c r="CG3866" s="1821"/>
      <c r="CH3866" s="1821"/>
      <c r="CI3866" s="1821"/>
      <c r="CJ3866" s="1821"/>
      <c r="CK3866" s="1821"/>
    </row>
    <row r="3867" spans="1:89" s="744" customFormat="1" ht="16.5" customHeight="1" x14ac:dyDescent="0.25">
      <c r="A3867" s="1033">
        <v>1</v>
      </c>
      <c r="B3867" s="1034" t="s">
        <v>1340</v>
      </c>
      <c r="C3867" s="1031">
        <v>1</v>
      </c>
      <c r="D3867" s="1032" t="s">
        <v>294</v>
      </c>
      <c r="E3867" s="1036">
        <v>25180</v>
      </c>
      <c r="F3867" s="714"/>
      <c r="G3867" s="714"/>
      <c r="H3867" s="700">
        <f t="shared" si="426"/>
        <v>0</v>
      </c>
      <c r="I3867" s="714">
        <f t="shared" ref="I3867:I3883" si="429">C3867*E3867</f>
        <v>25180</v>
      </c>
      <c r="J3867" s="714"/>
      <c r="K3867" s="700">
        <f t="shared" ref="K3867:K3883" si="430">J3867+I3867</f>
        <v>25180</v>
      </c>
      <c r="L3867" s="714"/>
      <c r="M3867" s="714"/>
      <c r="N3867" s="700">
        <f t="shared" si="427"/>
        <v>0</v>
      </c>
      <c r="O3867" s="974">
        <f t="shared" si="428"/>
        <v>25180</v>
      </c>
      <c r="P3867" s="956"/>
      <c r="Q3867" s="1821"/>
      <c r="R3867" s="1821"/>
      <c r="S3867" s="1821"/>
      <c r="T3867" s="1821"/>
      <c r="U3867" s="1821"/>
      <c r="V3867" s="1821"/>
      <c r="W3867" s="1821"/>
      <c r="X3867" s="1821"/>
      <c r="Y3867" s="1821"/>
      <c r="Z3867" s="1821"/>
      <c r="AA3867" s="1821"/>
      <c r="AB3867" s="1821"/>
      <c r="AC3867" s="1821"/>
      <c r="AD3867" s="1821"/>
      <c r="AE3867" s="1821"/>
      <c r="AF3867" s="1821"/>
      <c r="AG3867" s="1821"/>
      <c r="AH3867" s="1821"/>
      <c r="AI3867" s="1821"/>
      <c r="AJ3867" s="1821"/>
      <c r="AK3867" s="1821"/>
      <c r="AL3867" s="1821"/>
      <c r="AM3867" s="1821"/>
      <c r="AN3867" s="1821"/>
      <c r="AO3867" s="1821"/>
      <c r="AP3867" s="1821"/>
      <c r="AQ3867" s="1821"/>
      <c r="AR3867" s="1821"/>
      <c r="AS3867" s="1821"/>
      <c r="AT3867" s="1821"/>
      <c r="AU3867" s="1821"/>
      <c r="AV3867" s="1821"/>
      <c r="AW3867" s="1821"/>
      <c r="AX3867" s="1821"/>
      <c r="AY3867" s="1821"/>
      <c r="AZ3867" s="1821"/>
      <c r="BA3867" s="1821"/>
      <c r="BB3867" s="1821"/>
      <c r="BC3867" s="1821"/>
      <c r="BD3867" s="1821"/>
      <c r="BE3867" s="1821"/>
      <c r="BF3867" s="1821"/>
      <c r="BG3867" s="1821"/>
      <c r="BH3867" s="1821"/>
      <c r="BI3867" s="1821"/>
      <c r="BJ3867" s="1821"/>
      <c r="BK3867" s="1821"/>
      <c r="BL3867" s="1821"/>
      <c r="BM3867" s="1821"/>
      <c r="BN3867" s="1821"/>
      <c r="BO3867" s="1821"/>
      <c r="BP3867" s="1821"/>
      <c r="BQ3867" s="1821"/>
      <c r="BR3867" s="1821"/>
      <c r="BS3867" s="1821"/>
      <c r="BT3867" s="1821"/>
      <c r="BU3867" s="1821"/>
      <c r="BV3867" s="1821"/>
      <c r="BW3867" s="1821"/>
      <c r="BX3867" s="1821"/>
      <c r="BY3867" s="1821"/>
      <c r="BZ3867" s="1821"/>
      <c r="CA3867" s="1821"/>
      <c r="CB3867" s="1821"/>
      <c r="CC3867" s="1821"/>
      <c r="CD3867" s="1821"/>
      <c r="CE3867" s="1821"/>
      <c r="CF3867" s="1821"/>
      <c r="CG3867" s="1821"/>
      <c r="CH3867" s="1821"/>
      <c r="CI3867" s="1821"/>
      <c r="CJ3867" s="1821"/>
      <c r="CK3867" s="1821"/>
    </row>
    <row r="3868" spans="1:89" s="744" customFormat="1" ht="16.5" customHeight="1" x14ac:dyDescent="0.25">
      <c r="A3868" s="954"/>
      <c r="B3868" s="711" t="s">
        <v>358</v>
      </c>
      <c r="C3868" s="691"/>
      <c r="D3868" s="715"/>
      <c r="E3868" s="714"/>
      <c r="F3868" s="714"/>
      <c r="G3868" s="714"/>
      <c r="H3868" s="700">
        <f t="shared" si="426"/>
        <v>0</v>
      </c>
      <c r="I3868" s="714"/>
      <c r="J3868" s="714"/>
      <c r="K3868" s="700"/>
      <c r="L3868" s="714"/>
      <c r="M3868" s="714"/>
      <c r="N3868" s="700">
        <f t="shared" si="427"/>
        <v>0</v>
      </c>
      <c r="O3868" s="974">
        <f t="shared" si="428"/>
        <v>0</v>
      </c>
      <c r="P3868" s="956"/>
      <c r="Q3868" s="1821"/>
      <c r="R3868" s="1821"/>
      <c r="S3868" s="1821"/>
      <c r="T3868" s="1821"/>
      <c r="U3868" s="1821"/>
      <c r="V3868" s="1821"/>
      <c r="W3868" s="1821"/>
      <c r="X3868" s="1821"/>
      <c r="Y3868" s="1821"/>
      <c r="Z3868" s="1821"/>
      <c r="AA3868" s="1821"/>
      <c r="AB3868" s="1821"/>
      <c r="AC3868" s="1821"/>
      <c r="AD3868" s="1821"/>
      <c r="AE3868" s="1821"/>
      <c r="AF3868" s="1821"/>
      <c r="AG3868" s="1821"/>
      <c r="AH3868" s="1821"/>
      <c r="AI3868" s="1821"/>
      <c r="AJ3868" s="1821"/>
      <c r="AK3868" s="1821"/>
      <c r="AL3868" s="1821"/>
      <c r="AM3868" s="1821"/>
      <c r="AN3868" s="1821"/>
      <c r="AO3868" s="1821"/>
      <c r="AP3868" s="1821"/>
      <c r="AQ3868" s="1821"/>
      <c r="AR3868" s="1821"/>
      <c r="AS3868" s="1821"/>
      <c r="AT3868" s="1821"/>
      <c r="AU3868" s="1821"/>
      <c r="AV3868" s="1821"/>
      <c r="AW3868" s="1821"/>
      <c r="AX3868" s="1821"/>
      <c r="AY3868" s="1821"/>
      <c r="AZ3868" s="1821"/>
      <c r="BA3868" s="1821"/>
      <c r="BB3868" s="1821"/>
      <c r="BC3868" s="1821"/>
      <c r="BD3868" s="1821"/>
      <c r="BE3868" s="1821"/>
      <c r="BF3868" s="1821"/>
      <c r="BG3868" s="1821"/>
      <c r="BH3868" s="1821"/>
      <c r="BI3868" s="1821"/>
      <c r="BJ3868" s="1821"/>
      <c r="BK3868" s="1821"/>
      <c r="BL3868" s="1821"/>
      <c r="BM3868" s="1821"/>
      <c r="BN3868" s="1821"/>
      <c r="BO3868" s="1821"/>
      <c r="BP3868" s="1821"/>
      <c r="BQ3868" s="1821"/>
      <c r="BR3868" s="1821"/>
      <c r="BS3868" s="1821"/>
      <c r="BT3868" s="1821"/>
      <c r="BU3868" s="1821"/>
      <c r="BV3868" s="1821"/>
      <c r="BW3868" s="1821"/>
      <c r="BX3868" s="1821"/>
      <c r="BY3868" s="1821"/>
      <c r="BZ3868" s="1821"/>
      <c r="CA3868" s="1821"/>
      <c r="CB3868" s="1821"/>
      <c r="CC3868" s="1821"/>
      <c r="CD3868" s="1821"/>
      <c r="CE3868" s="1821"/>
      <c r="CF3868" s="1821"/>
      <c r="CG3868" s="1821"/>
      <c r="CH3868" s="1821"/>
      <c r="CI3868" s="1821"/>
      <c r="CJ3868" s="1821"/>
      <c r="CK3868" s="1821"/>
    </row>
    <row r="3869" spans="1:89" s="744" customFormat="1" ht="16.5" customHeight="1" x14ac:dyDescent="0.25">
      <c r="A3869" s="954">
        <v>1</v>
      </c>
      <c r="B3869" s="1034" t="s">
        <v>1257</v>
      </c>
      <c r="C3869" s="1031">
        <v>24</v>
      </c>
      <c r="D3869" s="1032" t="s">
        <v>51</v>
      </c>
      <c r="E3869" s="1036">
        <v>150</v>
      </c>
      <c r="F3869" s="714"/>
      <c r="G3869" s="714"/>
      <c r="H3869" s="700">
        <f t="shared" si="426"/>
        <v>0</v>
      </c>
      <c r="I3869" s="714">
        <f t="shared" si="429"/>
        <v>3600</v>
      </c>
      <c r="J3869" s="714"/>
      <c r="K3869" s="700">
        <f t="shared" si="430"/>
        <v>3600</v>
      </c>
      <c r="L3869" s="714"/>
      <c r="M3869" s="714"/>
      <c r="N3869" s="700">
        <f t="shared" si="427"/>
        <v>0</v>
      </c>
      <c r="O3869" s="974">
        <f t="shared" si="428"/>
        <v>3600</v>
      </c>
      <c r="P3869" s="956"/>
      <c r="Q3869" s="1821"/>
      <c r="R3869" s="1821"/>
      <c r="S3869" s="1821"/>
      <c r="T3869" s="1821"/>
      <c r="U3869" s="1821"/>
      <c r="V3869" s="1821"/>
      <c r="W3869" s="1821"/>
      <c r="X3869" s="1821"/>
      <c r="Y3869" s="1821"/>
      <c r="Z3869" s="1821"/>
      <c r="AA3869" s="1821"/>
      <c r="AB3869" s="1821"/>
      <c r="AC3869" s="1821"/>
      <c r="AD3869" s="1821"/>
      <c r="AE3869" s="1821"/>
      <c r="AF3869" s="1821"/>
      <c r="AG3869" s="1821"/>
      <c r="AH3869" s="1821"/>
      <c r="AI3869" s="1821"/>
      <c r="AJ3869" s="1821"/>
      <c r="AK3869" s="1821"/>
      <c r="AL3869" s="1821"/>
      <c r="AM3869" s="1821"/>
      <c r="AN3869" s="1821"/>
      <c r="AO3869" s="1821"/>
      <c r="AP3869" s="1821"/>
      <c r="AQ3869" s="1821"/>
      <c r="AR3869" s="1821"/>
      <c r="AS3869" s="1821"/>
      <c r="AT3869" s="1821"/>
      <c r="AU3869" s="1821"/>
      <c r="AV3869" s="1821"/>
      <c r="AW3869" s="1821"/>
      <c r="AX3869" s="1821"/>
      <c r="AY3869" s="1821"/>
      <c r="AZ3869" s="1821"/>
      <c r="BA3869" s="1821"/>
      <c r="BB3869" s="1821"/>
      <c r="BC3869" s="1821"/>
      <c r="BD3869" s="1821"/>
      <c r="BE3869" s="1821"/>
      <c r="BF3869" s="1821"/>
      <c r="BG3869" s="1821"/>
      <c r="BH3869" s="1821"/>
      <c r="BI3869" s="1821"/>
      <c r="BJ3869" s="1821"/>
      <c r="BK3869" s="1821"/>
      <c r="BL3869" s="1821"/>
      <c r="BM3869" s="1821"/>
      <c r="BN3869" s="1821"/>
      <c r="BO3869" s="1821"/>
      <c r="BP3869" s="1821"/>
      <c r="BQ3869" s="1821"/>
      <c r="BR3869" s="1821"/>
      <c r="BS3869" s="1821"/>
      <c r="BT3869" s="1821"/>
      <c r="BU3869" s="1821"/>
      <c r="BV3869" s="1821"/>
      <c r="BW3869" s="1821"/>
      <c r="BX3869" s="1821"/>
      <c r="BY3869" s="1821"/>
      <c r="BZ3869" s="1821"/>
      <c r="CA3869" s="1821"/>
      <c r="CB3869" s="1821"/>
      <c r="CC3869" s="1821"/>
      <c r="CD3869" s="1821"/>
      <c r="CE3869" s="1821"/>
      <c r="CF3869" s="1821"/>
      <c r="CG3869" s="1821"/>
      <c r="CH3869" s="1821"/>
      <c r="CI3869" s="1821"/>
      <c r="CJ3869" s="1821"/>
      <c r="CK3869" s="1821"/>
    </row>
    <row r="3870" spans="1:89" s="744" customFormat="1" ht="16.5" customHeight="1" x14ac:dyDescent="0.25">
      <c r="A3870" s="954">
        <v>2</v>
      </c>
      <c r="B3870" s="1034" t="s">
        <v>187</v>
      </c>
      <c r="C3870" s="1031">
        <v>72</v>
      </c>
      <c r="D3870" s="1032" t="s">
        <v>55</v>
      </c>
      <c r="E3870" s="1036">
        <v>430</v>
      </c>
      <c r="F3870" s="714"/>
      <c r="G3870" s="714"/>
      <c r="H3870" s="700">
        <f t="shared" si="426"/>
        <v>0</v>
      </c>
      <c r="I3870" s="714">
        <f t="shared" si="429"/>
        <v>30960</v>
      </c>
      <c r="J3870" s="714"/>
      <c r="K3870" s="700">
        <f t="shared" si="430"/>
        <v>30960</v>
      </c>
      <c r="L3870" s="714"/>
      <c r="M3870" s="714"/>
      <c r="N3870" s="700">
        <f t="shared" si="427"/>
        <v>0</v>
      </c>
      <c r="O3870" s="974">
        <f t="shared" si="428"/>
        <v>30960</v>
      </c>
      <c r="P3870" s="956"/>
      <c r="Q3870" s="1821"/>
      <c r="R3870" s="1821"/>
      <c r="S3870" s="1821"/>
      <c r="T3870" s="1821"/>
      <c r="U3870" s="1821"/>
      <c r="V3870" s="1821"/>
      <c r="W3870" s="1821"/>
      <c r="X3870" s="1821"/>
      <c r="Y3870" s="1821"/>
      <c r="Z3870" s="1821"/>
      <c r="AA3870" s="1821"/>
      <c r="AB3870" s="1821"/>
      <c r="AC3870" s="1821"/>
      <c r="AD3870" s="1821"/>
      <c r="AE3870" s="1821"/>
      <c r="AF3870" s="1821"/>
      <c r="AG3870" s="1821"/>
      <c r="AH3870" s="1821"/>
      <c r="AI3870" s="1821"/>
      <c r="AJ3870" s="1821"/>
      <c r="AK3870" s="1821"/>
      <c r="AL3870" s="1821"/>
      <c r="AM3870" s="1821"/>
      <c r="AN3870" s="1821"/>
      <c r="AO3870" s="1821"/>
      <c r="AP3870" s="1821"/>
      <c r="AQ3870" s="1821"/>
      <c r="AR3870" s="1821"/>
      <c r="AS3870" s="1821"/>
      <c r="AT3870" s="1821"/>
      <c r="AU3870" s="1821"/>
      <c r="AV3870" s="1821"/>
      <c r="AW3870" s="1821"/>
      <c r="AX3870" s="1821"/>
      <c r="AY3870" s="1821"/>
      <c r="AZ3870" s="1821"/>
      <c r="BA3870" s="1821"/>
      <c r="BB3870" s="1821"/>
      <c r="BC3870" s="1821"/>
      <c r="BD3870" s="1821"/>
      <c r="BE3870" s="1821"/>
      <c r="BF3870" s="1821"/>
      <c r="BG3870" s="1821"/>
      <c r="BH3870" s="1821"/>
      <c r="BI3870" s="1821"/>
      <c r="BJ3870" s="1821"/>
      <c r="BK3870" s="1821"/>
      <c r="BL3870" s="1821"/>
      <c r="BM3870" s="1821"/>
      <c r="BN3870" s="1821"/>
      <c r="BO3870" s="1821"/>
      <c r="BP3870" s="1821"/>
      <c r="BQ3870" s="1821"/>
      <c r="BR3870" s="1821"/>
      <c r="BS3870" s="1821"/>
      <c r="BT3870" s="1821"/>
      <c r="BU3870" s="1821"/>
      <c r="BV3870" s="1821"/>
      <c r="BW3870" s="1821"/>
      <c r="BX3870" s="1821"/>
      <c r="BY3870" s="1821"/>
      <c r="BZ3870" s="1821"/>
      <c r="CA3870" s="1821"/>
      <c r="CB3870" s="1821"/>
      <c r="CC3870" s="1821"/>
      <c r="CD3870" s="1821"/>
      <c r="CE3870" s="1821"/>
      <c r="CF3870" s="1821"/>
      <c r="CG3870" s="1821"/>
      <c r="CH3870" s="1821"/>
      <c r="CI3870" s="1821"/>
      <c r="CJ3870" s="1821"/>
      <c r="CK3870" s="1821"/>
    </row>
    <row r="3871" spans="1:89" s="744" customFormat="1" ht="16.5" customHeight="1" x14ac:dyDescent="0.25">
      <c r="A3871" s="954">
        <v>3</v>
      </c>
      <c r="B3871" s="1034" t="s">
        <v>193</v>
      </c>
      <c r="C3871" s="1031">
        <v>48</v>
      </c>
      <c r="D3871" s="1032" t="s">
        <v>55</v>
      </c>
      <c r="E3871" s="1036">
        <v>460</v>
      </c>
      <c r="F3871" s="714"/>
      <c r="G3871" s="714"/>
      <c r="H3871" s="700">
        <f t="shared" si="426"/>
        <v>0</v>
      </c>
      <c r="I3871" s="714">
        <f t="shared" si="429"/>
        <v>22080</v>
      </c>
      <c r="J3871" s="714"/>
      <c r="K3871" s="700">
        <f t="shared" si="430"/>
        <v>22080</v>
      </c>
      <c r="L3871" s="714"/>
      <c r="M3871" s="714"/>
      <c r="N3871" s="700">
        <f t="shared" si="427"/>
        <v>0</v>
      </c>
      <c r="O3871" s="974">
        <f t="shared" si="428"/>
        <v>22080</v>
      </c>
      <c r="P3871" s="956"/>
      <c r="Q3871" s="1821"/>
      <c r="R3871" s="1821"/>
      <c r="S3871" s="1821"/>
      <c r="T3871" s="1821"/>
      <c r="U3871" s="1821"/>
      <c r="V3871" s="1821"/>
      <c r="W3871" s="1821"/>
      <c r="X3871" s="1821"/>
      <c r="Y3871" s="1821"/>
      <c r="Z3871" s="1821"/>
      <c r="AA3871" s="1821"/>
      <c r="AB3871" s="1821"/>
      <c r="AC3871" s="1821"/>
      <c r="AD3871" s="1821"/>
      <c r="AE3871" s="1821"/>
      <c r="AF3871" s="1821"/>
      <c r="AG3871" s="1821"/>
      <c r="AH3871" s="1821"/>
      <c r="AI3871" s="1821"/>
      <c r="AJ3871" s="1821"/>
      <c r="AK3871" s="1821"/>
      <c r="AL3871" s="1821"/>
      <c r="AM3871" s="1821"/>
      <c r="AN3871" s="1821"/>
      <c r="AO3871" s="1821"/>
      <c r="AP3871" s="1821"/>
      <c r="AQ3871" s="1821"/>
      <c r="AR3871" s="1821"/>
      <c r="AS3871" s="1821"/>
      <c r="AT3871" s="1821"/>
      <c r="AU3871" s="1821"/>
      <c r="AV3871" s="1821"/>
      <c r="AW3871" s="1821"/>
      <c r="AX3871" s="1821"/>
      <c r="AY3871" s="1821"/>
      <c r="AZ3871" s="1821"/>
      <c r="BA3871" s="1821"/>
      <c r="BB3871" s="1821"/>
      <c r="BC3871" s="1821"/>
      <c r="BD3871" s="1821"/>
      <c r="BE3871" s="1821"/>
      <c r="BF3871" s="1821"/>
      <c r="BG3871" s="1821"/>
      <c r="BH3871" s="1821"/>
      <c r="BI3871" s="1821"/>
      <c r="BJ3871" s="1821"/>
      <c r="BK3871" s="1821"/>
      <c r="BL3871" s="1821"/>
      <c r="BM3871" s="1821"/>
      <c r="BN3871" s="1821"/>
      <c r="BO3871" s="1821"/>
      <c r="BP3871" s="1821"/>
      <c r="BQ3871" s="1821"/>
      <c r="BR3871" s="1821"/>
      <c r="BS3871" s="1821"/>
      <c r="BT3871" s="1821"/>
      <c r="BU3871" s="1821"/>
      <c r="BV3871" s="1821"/>
      <c r="BW3871" s="1821"/>
      <c r="BX3871" s="1821"/>
      <c r="BY3871" s="1821"/>
      <c r="BZ3871" s="1821"/>
      <c r="CA3871" s="1821"/>
      <c r="CB3871" s="1821"/>
      <c r="CC3871" s="1821"/>
      <c r="CD3871" s="1821"/>
      <c r="CE3871" s="1821"/>
      <c r="CF3871" s="1821"/>
      <c r="CG3871" s="1821"/>
      <c r="CH3871" s="1821"/>
      <c r="CI3871" s="1821"/>
      <c r="CJ3871" s="1821"/>
      <c r="CK3871" s="1821"/>
    </row>
    <row r="3872" spans="1:89" s="744" customFormat="1" ht="16.5" customHeight="1" x14ac:dyDescent="0.25">
      <c r="A3872" s="1033"/>
      <c r="B3872" s="1035"/>
      <c r="C3872" s="1031"/>
      <c r="D3872" s="1032"/>
      <c r="E3872" s="1036"/>
      <c r="F3872" s="714"/>
      <c r="G3872" s="714"/>
      <c r="H3872" s="700">
        <f t="shared" si="426"/>
        <v>0</v>
      </c>
      <c r="I3872" s="714"/>
      <c r="J3872" s="714"/>
      <c r="K3872" s="700"/>
      <c r="L3872" s="714"/>
      <c r="M3872" s="714"/>
      <c r="N3872" s="700">
        <f t="shared" si="427"/>
        <v>0</v>
      </c>
      <c r="O3872" s="974">
        <f t="shared" si="428"/>
        <v>0</v>
      </c>
      <c r="P3872" s="956"/>
      <c r="Q3872" s="1821"/>
      <c r="R3872" s="1821"/>
      <c r="S3872" s="1821"/>
      <c r="T3872" s="1821"/>
      <c r="U3872" s="1821"/>
      <c r="V3872" s="1821"/>
      <c r="W3872" s="1821"/>
      <c r="X3872" s="1821"/>
      <c r="Y3872" s="1821"/>
      <c r="Z3872" s="1821"/>
      <c r="AA3872" s="1821"/>
      <c r="AB3872" s="1821"/>
      <c r="AC3872" s="1821"/>
      <c r="AD3872" s="1821"/>
      <c r="AE3872" s="1821"/>
      <c r="AF3872" s="1821"/>
      <c r="AG3872" s="1821"/>
      <c r="AH3872" s="1821"/>
      <c r="AI3872" s="1821"/>
      <c r="AJ3872" s="1821"/>
      <c r="AK3872" s="1821"/>
      <c r="AL3872" s="1821"/>
      <c r="AM3872" s="1821"/>
      <c r="AN3872" s="1821"/>
      <c r="AO3872" s="1821"/>
      <c r="AP3872" s="1821"/>
      <c r="AQ3872" s="1821"/>
      <c r="AR3872" s="1821"/>
      <c r="AS3872" s="1821"/>
      <c r="AT3872" s="1821"/>
      <c r="AU3872" s="1821"/>
      <c r="AV3872" s="1821"/>
      <c r="AW3872" s="1821"/>
      <c r="AX3872" s="1821"/>
      <c r="AY3872" s="1821"/>
      <c r="AZ3872" s="1821"/>
      <c r="BA3872" s="1821"/>
      <c r="BB3872" s="1821"/>
      <c r="BC3872" s="1821"/>
      <c r="BD3872" s="1821"/>
      <c r="BE3872" s="1821"/>
      <c r="BF3872" s="1821"/>
      <c r="BG3872" s="1821"/>
      <c r="BH3872" s="1821"/>
      <c r="BI3872" s="1821"/>
      <c r="BJ3872" s="1821"/>
      <c r="BK3872" s="1821"/>
      <c r="BL3872" s="1821"/>
      <c r="BM3872" s="1821"/>
      <c r="BN3872" s="1821"/>
      <c r="BO3872" s="1821"/>
      <c r="BP3872" s="1821"/>
      <c r="BQ3872" s="1821"/>
      <c r="BR3872" s="1821"/>
      <c r="BS3872" s="1821"/>
      <c r="BT3872" s="1821"/>
      <c r="BU3872" s="1821"/>
      <c r="BV3872" s="1821"/>
      <c r="BW3872" s="1821"/>
      <c r="BX3872" s="1821"/>
      <c r="BY3872" s="1821"/>
      <c r="BZ3872" s="1821"/>
      <c r="CA3872" s="1821"/>
      <c r="CB3872" s="1821"/>
      <c r="CC3872" s="1821"/>
      <c r="CD3872" s="1821"/>
      <c r="CE3872" s="1821"/>
      <c r="CF3872" s="1821"/>
      <c r="CG3872" s="1821"/>
      <c r="CH3872" s="1821"/>
      <c r="CI3872" s="1821"/>
      <c r="CJ3872" s="1821"/>
      <c r="CK3872" s="1821"/>
    </row>
    <row r="3873" spans="1:89" s="744" customFormat="1" ht="16.5" customHeight="1" x14ac:dyDescent="0.25">
      <c r="A3873" s="954" t="s">
        <v>276</v>
      </c>
      <c r="B3873" s="1035" t="s">
        <v>1341</v>
      </c>
      <c r="C3873" s="1031">
        <f>SUM(O3875:O3879)</f>
        <v>69600</v>
      </c>
      <c r="D3873" s="1032"/>
      <c r="E3873" s="1036"/>
      <c r="F3873" s="714"/>
      <c r="G3873" s="714"/>
      <c r="H3873" s="700">
        <f t="shared" si="426"/>
        <v>0</v>
      </c>
      <c r="I3873" s="714"/>
      <c r="J3873" s="714"/>
      <c r="K3873" s="700"/>
      <c r="L3873" s="714"/>
      <c r="M3873" s="714"/>
      <c r="N3873" s="700">
        <f t="shared" si="427"/>
        <v>0</v>
      </c>
      <c r="O3873" s="974">
        <f t="shared" si="428"/>
        <v>0</v>
      </c>
      <c r="P3873" s="956"/>
      <c r="Q3873" s="1821"/>
      <c r="R3873" s="1821"/>
      <c r="S3873" s="1821"/>
      <c r="T3873" s="1821"/>
      <c r="U3873" s="1821"/>
      <c r="V3873" s="1821"/>
      <c r="W3873" s="1821"/>
      <c r="X3873" s="1821"/>
      <c r="Y3873" s="1821"/>
      <c r="Z3873" s="1821"/>
      <c r="AA3873" s="1821"/>
      <c r="AB3873" s="1821"/>
      <c r="AC3873" s="1821"/>
      <c r="AD3873" s="1821"/>
      <c r="AE3873" s="1821"/>
      <c r="AF3873" s="1821"/>
      <c r="AG3873" s="1821"/>
      <c r="AH3873" s="1821"/>
      <c r="AI3873" s="1821"/>
      <c r="AJ3873" s="1821"/>
      <c r="AK3873" s="1821"/>
      <c r="AL3873" s="1821"/>
      <c r="AM3873" s="1821"/>
      <c r="AN3873" s="1821"/>
      <c r="AO3873" s="1821"/>
      <c r="AP3873" s="1821"/>
      <c r="AQ3873" s="1821"/>
      <c r="AR3873" s="1821"/>
      <c r="AS3873" s="1821"/>
      <c r="AT3873" s="1821"/>
      <c r="AU3873" s="1821"/>
      <c r="AV3873" s="1821"/>
      <c r="AW3873" s="1821"/>
      <c r="AX3873" s="1821"/>
      <c r="AY3873" s="1821"/>
      <c r="AZ3873" s="1821"/>
      <c r="BA3873" s="1821"/>
      <c r="BB3873" s="1821"/>
      <c r="BC3873" s="1821"/>
      <c r="BD3873" s="1821"/>
      <c r="BE3873" s="1821"/>
      <c r="BF3873" s="1821"/>
      <c r="BG3873" s="1821"/>
      <c r="BH3873" s="1821"/>
      <c r="BI3873" s="1821"/>
      <c r="BJ3873" s="1821"/>
      <c r="BK3873" s="1821"/>
      <c r="BL3873" s="1821"/>
      <c r="BM3873" s="1821"/>
      <c r="BN3873" s="1821"/>
      <c r="BO3873" s="1821"/>
      <c r="BP3873" s="1821"/>
      <c r="BQ3873" s="1821"/>
      <c r="BR3873" s="1821"/>
      <c r="BS3873" s="1821"/>
      <c r="BT3873" s="1821"/>
      <c r="BU3873" s="1821"/>
      <c r="BV3873" s="1821"/>
      <c r="BW3873" s="1821"/>
      <c r="BX3873" s="1821"/>
      <c r="BY3873" s="1821"/>
      <c r="BZ3873" s="1821"/>
      <c r="CA3873" s="1821"/>
      <c r="CB3873" s="1821"/>
      <c r="CC3873" s="1821"/>
      <c r="CD3873" s="1821"/>
      <c r="CE3873" s="1821"/>
      <c r="CF3873" s="1821"/>
      <c r="CG3873" s="1821"/>
      <c r="CH3873" s="1821"/>
      <c r="CI3873" s="1821"/>
      <c r="CJ3873" s="1821"/>
      <c r="CK3873" s="1821"/>
    </row>
    <row r="3874" spans="1:89" s="744" customFormat="1" ht="16.5" customHeight="1" x14ac:dyDescent="0.25">
      <c r="A3874" s="1033"/>
      <c r="B3874" s="1034" t="s">
        <v>356</v>
      </c>
      <c r="C3874" s="1031"/>
      <c r="D3874" s="1032"/>
      <c r="E3874" s="1036"/>
      <c r="F3874" s="714"/>
      <c r="G3874" s="714"/>
      <c r="H3874" s="700">
        <f t="shared" si="426"/>
        <v>0</v>
      </c>
      <c r="I3874" s="714"/>
      <c r="J3874" s="714"/>
      <c r="K3874" s="700"/>
      <c r="L3874" s="714"/>
      <c r="M3874" s="714"/>
      <c r="N3874" s="700">
        <f t="shared" si="427"/>
        <v>0</v>
      </c>
      <c r="O3874" s="974">
        <f t="shared" si="428"/>
        <v>0</v>
      </c>
      <c r="P3874" s="956"/>
      <c r="Q3874" s="1821"/>
      <c r="R3874" s="1821"/>
      <c r="S3874" s="1821"/>
      <c r="T3874" s="1821"/>
      <c r="U3874" s="1821"/>
      <c r="V3874" s="1821"/>
      <c r="W3874" s="1821"/>
      <c r="X3874" s="1821"/>
      <c r="Y3874" s="1821"/>
      <c r="Z3874" s="1821"/>
      <c r="AA3874" s="1821"/>
      <c r="AB3874" s="1821"/>
      <c r="AC3874" s="1821"/>
      <c r="AD3874" s="1821"/>
      <c r="AE3874" s="1821"/>
      <c r="AF3874" s="1821"/>
      <c r="AG3874" s="1821"/>
      <c r="AH3874" s="1821"/>
      <c r="AI3874" s="1821"/>
      <c r="AJ3874" s="1821"/>
      <c r="AK3874" s="1821"/>
      <c r="AL3874" s="1821"/>
      <c r="AM3874" s="1821"/>
      <c r="AN3874" s="1821"/>
      <c r="AO3874" s="1821"/>
      <c r="AP3874" s="1821"/>
      <c r="AQ3874" s="1821"/>
      <c r="AR3874" s="1821"/>
      <c r="AS3874" s="1821"/>
      <c r="AT3874" s="1821"/>
      <c r="AU3874" s="1821"/>
      <c r="AV3874" s="1821"/>
      <c r="AW3874" s="1821"/>
      <c r="AX3874" s="1821"/>
      <c r="AY3874" s="1821"/>
      <c r="AZ3874" s="1821"/>
      <c r="BA3874" s="1821"/>
      <c r="BB3874" s="1821"/>
      <c r="BC3874" s="1821"/>
      <c r="BD3874" s="1821"/>
      <c r="BE3874" s="1821"/>
      <c r="BF3874" s="1821"/>
      <c r="BG3874" s="1821"/>
      <c r="BH3874" s="1821"/>
      <c r="BI3874" s="1821"/>
      <c r="BJ3874" s="1821"/>
      <c r="BK3874" s="1821"/>
      <c r="BL3874" s="1821"/>
      <c r="BM3874" s="1821"/>
      <c r="BN3874" s="1821"/>
      <c r="BO3874" s="1821"/>
      <c r="BP3874" s="1821"/>
      <c r="BQ3874" s="1821"/>
      <c r="BR3874" s="1821"/>
      <c r="BS3874" s="1821"/>
      <c r="BT3874" s="1821"/>
      <c r="BU3874" s="1821"/>
      <c r="BV3874" s="1821"/>
      <c r="BW3874" s="1821"/>
      <c r="BX3874" s="1821"/>
      <c r="BY3874" s="1821"/>
      <c r="BZ3874" s="1821"/>
      <c r="CA3874" s="1821"/>
      <c r="CB3874" s="1821"/>
      <c r="CC3874" s="1821"/>
      <c r="CD3874" s="1821"/>
      <c r="CE3874" s="1821"/>
      <c r="CF3874" s="1821"/>
      <c r="CG3874" s="1821"/>
      <c r="CH3874" s="1821"/>
      <c r="CI3874" s="1821"/>
      <c r="CJ3874" s="1821"/>
      <c r="CK3874" s="1821"/>
    </row>
    <row r="3875" spans="1:89" s="744" customFormat="1" ht="16.5" customHeight="1" x14ac:dyDescent="0.25">
      <c r="A3875" s="1033">
        <v>1</v>
      </c>
      <c r="B3875" s="1034" t="s">
        <v>1340</v>
      </c>
      <c r="C3875" s="1031">
        <v>1</v>
      </c>
      <c r="D3875" s="1032" t="s">
        <v>294</v>
      </c>
      <c r="E3875" s="1036">
        <v>22400</v>
      </c>
      <c r="F3875" s="714"/>
      <c r="G3875" s="714"/>
      <c r="H3875" s="700">
        <f t="shared" si="426"/>
        <v>0</v>
      </c>
      <c r="I3875" s="714">
        <f t="shared" si="429"/>
        <v>22400</v>
      </c>
      <c r="J3875" s="714"/>
      <c r="K3875" s="700">
        <f t="shared" si="430"/>
        <v>22400</v>
      </c>
      <c r="L3875" s="714"/>
      <c r="M3875" s="714"/>
      <c r="N3875" s="700">
        <f t="shared" si="427"/>
        <v>0</v>
      </c>
      <c r="O3875" s="974">
        <f t="shared" si="428"/>
        <v>22400</v>
      </c>
      <c r="P3875" s="956"/>
      <c r="Q3875" s="1821"/>
      <c r="R3875" s="1821"/>
      <c r="S3875" s="1821"/>
      <c r="T3875" s="1821"/>
      <c r="U3875" s="1821"/>
      <c r="V3875" s="1821"/>
      <c r="W3875" s="1821"/>
      <c r="X3875" s="1821"/>
      <c r="Y3875" s="1821"/>
      <c r="Z3875" s="1821"/>
      <c r="AA3875" s="1821"/>
      <c r="AB3875" s="1821"/>
      <c r="AC3875" s="1821"/>
      <c r="AD3875" s="1821"/>
      <c r="AE3875" s="1821"/>
      <c r="AF3875" s="1821"/>
      <c r="AG3875" s="1821"/>
      <c r="AH3875" s="1821"/>
      <c r="AI3875" s="1821"/>
      <c r="AJ3875" s="1821"/>
      <c r="AK3875" s="1821"/>
      <c r="AL3875" s="1821"/>
      <c r="AM3875" s="1821"/>
      <c r="AN3875" s="1821"/>
      <c r="AO3875" s="1821"/>
      <c r="AP3875" s="1821"/>
      <c r="AQ3875" s="1821"/>
      <c r="AR3875" s="1821"/>
      <c r="AS3875" s="1821"/>
      <c r="AT3875" s="1821"/>
      <c r="AU3875" s="1821"/>
      <c r="AV3875" s="1821"/>
      <c r="AW3875" s="1821"/>
      <c r="AX3875" s="1821"/>
      <c r="AY3875" s="1821"/>
      <c r="AZ3875" s="1821"/>
      <c r="BA3875" s="1821"/>
      <c r="BB3875" s="1821"/>
      <c r="BC3875" s="1821"/>
      <c r="BD3875" s="1821"/>
      <c r="BE3875" s="1821"/>
      <c r="BF3875" s="1821"/>
      <c r="BG3875" s="1821"/>
      <c r="BH3875" s="1821"/>
      <c r="BI3875" s="1821"/>
      <c r="BJ3875" s="1821"/>
      <c r="BK3875" s="1821"/>
      <c r="BL3875" s="1821"/>
      <c r="BM3875" s="1821"/>
      <c r="BN3875" s="1821"/>
      <c r="BO3875" s="1821"/>
      <c r="BP3875" s="1821"/>
      <c r="BQ3875" s="1821"/>
      <c r="BR3875" s="1821"/>
      <c r="BS3875" s="1821"/>
      <c r="BT3875" s="1821"/>
      <c r="BU3875" s="1821"/>
      <c r="BV3875" s="1821"/>
      <c r="BW3875" s="1821"/>
      <c r="BX3875" s="1821"/>
      <c r="BY3875" s="1821"/>
      <c r="BZ3875" s="1821"/>
      <c r="CA3875" s="1821"/>
      <c r="CB3875" s="1821"/>
      <c r="CC3875" s="1821"/>
      <c r="CD3875" s="1821"/>
      <c r="CE3875" s="1821"/>
      <c r="CF3875" s="1821"/>
      <c r="CG3875" s="1821"/>
      <c r="CH3875" s="1821"/>
      <c r="CI3875" s="1821"/>
      <c r="CJ3875" s="1821"/>
      <c r="CK3875" s="1821"/>
    </row>
    <row r="3876" spans="1:89" s="744" customFormat="1" ht="16.5" customHeight="1" x14ac:dyDescent="0.25">
      <c r="A3876" s="1033"/>
      <c r="B3876" s="1034" t="s">
        <v>358</v>
      </c>
      <c r="C3876" s="1031"/>
      <c r="D3876" s="1032"/>
      <c r="E3876" s="1036"/>
      <c r="F3876" s="714"/>
      <c r="G3876" s="714"/>
      <c r="H3876" s="700">
        <f t="shared" si="426"/>
        <v>0</v>
      </c>
      <c r="I3876" s="714"/>
      <c r="J3876" s="714"/>
      <c r="K3876" s="700"/>
      <c r="L3876" s="714"/>
      <c r="M3876" s="714"/>
      <c r="N3876" s="700">
        <f t="shared" si="427"/>
        <v>0</v>
      </c>
      <c r="O3876" s="974">
        <f t="shared" si="428"/>
        <v>0</v>
      </c>
      <c r="P3876" s="956"/>
      <c r="Q3876" s="1821"/>
      <c r="R3876" s="1821"/>
      <c r="S3876" s="1821"/>
      <c r="T3876" s="1821"/>
      <c r="U3876" s="1821"/>
      <c r="V3876" s="1821"/>
      <c r="W3876" s="1821"/>
      <c r="X3876" s="1821"/>
      <c r="Y3876" s="1821"/>
      <c r="Z3876" s="1821"/>
      <c r="AA3876" s="1821"/>
      <c r="AB3876" s="1821"/>
      <c r="AC3876" s="1821"/>
      <c r="AD3876" s="1821"/>
      <c r="AE3876" s="1821"/>
      <c r="AF3876" s="1821"/>
      <c r="AG3876" s="1821"/>
      <c r="AH3876" s="1821"/>
      <c r="AI3876" s="1821"/>
      <c r="AJ3876" s="1821"/>
      <c r="AK3876" s="1821"/>
      <c r="AL3876" s="1821"/>
      <c r="AM3876" s="1821"/>
      <c r="AN3876" s="1821"/>
      <c r="AO3876" s="1821"/>
      <c r="AP3876" s="1821"/>
      <c r="AQ3876" s="1821"/>
      <c r="AR3876" s="1821"/>
      <c r="AS3876" s="1821"/>
      <c r="AT3876" s="1821"/>
      <c r="AU3876" s="1821"/>
      <c r="AV3876" s="1821"/>
      <c r="AW3876" s="1821"/>
      <c r="AX3876" s="1821"/>
      <c r="AY3876" s="1821"/>
      <c r="AZ3876" s="1821"/>
      <c r="BA3876" s="1821"/>
      <c r="BB3876" s="1821"/>
      <c r="BC3876" s="1821"/>
      <c r="BD3876" s="1821"/>
      <c r="BE3876" s="1821"/>
      <c r="BF3876" s="1821"/>
      <c r="BG3876" s="1821"/>
      <c r="BH3876" s="1821"/>
      <c r="BI3876" s="1821"/>
      <c r="BJ3876" s="1821"/>
      <c r="BK3876" s="1821"/>
      <c r="BL3876" s="1821"/>
      <c r="BM3876" s="1821"/>
      <c r="BN3876" s="1821"/>
      <c r="BO3876" s="1821"/>
      <c r="BP3876" s="1821"/>
      <c r="BQ3876" s="1821"/>
      <c r="BR3876" s="1821"/>
      <c r="BS3876" s="1821"/>
      <c r="BT3876" s="1821"/>
      <c r="BU3876" s="1821"/>
      <c r="BV3876" s="1821"/>
      <c r="BW3876" s="1821"/>
      <c r="BX3876" s="1821"/>
      <c r="BY3876" s="1821"/>
      <c r="BZ3876" s="1821"/>
      <c r="CA3876" s="1821"/>
      <c r="CB3876" s="1821"/>
      <c r="CC3876" s="1821"/>
      <c r="CD3876" s="1821"/>
      <c r="CE3876" s="1821"/>
      <c r="CF3876" s="1821"/>
      <c r="CG3876" s="1821"/>
      <c r="CH3876" s="1821"/>
      <c r="CI3876" s="1821"/>
      <c r="CJ3876" s="1821"/>
      <c r="CK3876" s="1821"/>
    </row>
    <row r="3877" spans="1:89" s="744" customFormat="1" ht="16.5" customHeight="1" x14ac:dyDescent="0.25">
      <c r="A3877" s="954">
        <v>1</v>
      </c>
      <c r="B3877" s="711" t="s">
        <v>1257</v>
      </c>
      <c r="C3877" s="691">
        <v>20</v>
      </c>
      <c r="D3877" s="715" t="s">
        <v>51</v>
      </c>
      <c r="E3877" s="714">
        <v>150</v>
      </c>
      <c r="F3877" s="714"/>
      <c r="G3877" s="714"/>
      <c r="H3877" s="700">
        <f t="shared" si="426"/>
        <v>0</v>
      </c>
      <c r="I3877" s="714">
        <f t="shared" si="429"/>
        <v>3000</v>
      </c>
      <c r="J3877" s="714"/>
      <c r="K3877" s="700">
        <f t="shared" si="430"/>
        <v>3000</v>
      </c>
      <c r="L3877" s="714"/>
      <c r="M3877" s="714"/>
      <c r="N3877" s="700">
        <f t="shared" si="427"/>
        <v>0</v>
      </c>
      <c r="O3877" s="974">
        <f t="shared" si="428"/>
        <v>3000</v>
      </c>
      <c r="P3877" s="956"/>
      <c r="Q3877" s="1821"/>
      <c r="R3877" s="1821"/>
      <c r="S3877" s="1821"/>
      <c r="T3877" s="1821"/>
      <c r="U3877" s="1821"/>
      <c r="V3877" s="1821"/>
      <c r="W3877" s="1821"/>
      <c r="X3877" s="1821"/>
      <c r="Y3877" s="1821"/>
      <c r="Z3877" s="1821"/>
      <c r="AA3877" s="1821"/>
      <c r="AB3877" s="1821"/>
      <c r="AC3877" s="1821"/>
      <c r="AD3877" s="1821"/>
      <c r="AE3877" s="1821"/>
      <c r="AF3877" s="1821"/>
      <c r="AG3877" s="1821"/>
      <c r="AH3877" s="1821"/>
      <c r="AI3877" s="1821"/>
      <c r="AJ3877" s="1821"/>
      <c r="AK3877" s="1821"/>
      <c r="AL3877" s="1821"/>
      <c r="AM3877" s="1821"/>
      <c r="AN3877" s="1821"/>
      <c r="AO3877" s="1821"/>
      <c r="AP3877" s="1821"/>
      <c r="AQ3877" s="1821"/>
      <c r="AR3877" s="1821"/>
      <c r="AS3877" s="1821"/>
      <c r="AT3877" s="1821"/>
      <c r="AU3877" s="1821"/>
      <c r="AV3877" s="1821"/>
      <c r="AW3877" s="1821"/>
      <c r="AX3877" s="1821"/>
      <c r="AY3877" s="1821"/>
      <c r="AZ3877" s="1821"/>
      <c r="BA3877" s="1821"/>
      <c r="BB3877" s="1821"/>
      <c r="BC3877" s="1821"/>
      <c r="BD3877" s="1821"/>
      <c r="BE3877" s="1821"/>
      <c r="BF3877" s="1821"/>
      <c r="BG3877" s="1821"/>
      <c r="BH3877" s="1821"/>
      <c r="BI3877" s="1821"/>
      <c r="BJ3877" s="1821"/>
      <c r="BK3877" s="1821"/>
      <c r="BL3877" s="1821"/>
      <c r="BM3877" s="1821"/>
      <c r="BN3877" s="1821"/>
      <c r="BO3877" s="1821"/>
      <c r="BP3877" s="1821"/>
      <c r="BQ3877" s="1821"/>
      <c r="BR3877" s="1821"/>
      <c r="BS3877" s="1821"/>
      <c r="BT3877" s="1821"/>
      <c r="BU3877" s="1821"/>
      <c r="BV3877" s="1821"/>
      <c r="BW3877" s="1821"/>
      <c r="BX3877" s="1821"/>
      <c r="BY3877" s="1821"/>
      <c r="BZ3877" s="1821"/>
      <c r="CA3877" s="1821"/>
      <c r="CB3877" s="1821"/>
      <c r="CC3877" s="1821"/>
      <c r="CD3877" s="1821"/>
      <c r="CE3877" s="1821"/>
      <c r="CF3877" s="1821"/>
      <c r="CG3877" s="1821"/>
      <c r="CH3877" s="1821"/>
      <c r="CI3877" s="1821"/>
      <c r="CJ3877" s="1821"/>
      <c r="CK3877" s="1821"/>
    </row>
    <row r="3878" spans="1:89" s="744" customFormat="1" ht="16.5" customHeight="1" x14ac:dyDescent="0.25">
      <c r="A3878" s="954">
        <v>2</v>
      </c>
      <c r="B3878" s="1034" t="s">
        <v>187</v>
      </c>
      <c r="C3878" s="1031">
        <v>60</v>
      </c>
      <c r="D3878" s="1032" t="s">
        <v>55</v>
      </c>
      <c r="E3878" s="1036">
        <v>430</v>
      </c>
      <c r="F3878" s="714"/>
      <c r="G3878" s="714"/>
      <c r="H3878" s="700">
        <f t="shared" si="426"/>
        <v>0</v>
      </c>
      <c r="I3878" s="714">
        <f t="shared" si="429"/>
        <v>25800</v>
      </c>
      <c r="J3878" s="714"/>
      <c r="K3878" s="700">
        <f t="shared" si="430"/>
        <v>25800</v>
      </c>
      <c r="L3878" s="714"/>
      <c r="M3878" s="714"/>
      <c r="N3878" s="700">
        <f t="shared" si="427"/>
        <v>0</v>
      </c>
      <c r="O3878" s="974">
        <f t="shared" si="428"/>
        <v>25800</v>
      </c>
      <c r="P3878" s="956"/>
      <c r="Q3878" s="1821"/>
      <c r="R3878" s="1821"/>
      <c r="S3878" s="1821"/>
      <c r="T3878" s="1821"/>
      <c r="U3878" s="1821"/>
      <c r="V3878" s="1821"/>
      <c r="W3878" s="1821"/>
      <c r="X3878" s="1821"/>
      <c r="Y3878" s="1821"/>
      <c r="Z3878" s="1821"/>
      <c r="AA3878" s="1821"/>
      <c r="AB3878" s="1821"/>
      <c r="AC3878" s="1821"/>
      <c r="AD3878" s="1821"/>
      <c r="AE3878" s="1821"/>
      <c r="AF3878" s="1821"/>
      <c r="AG3878" s="1821"/>
      <c r="AH3878" s="1821"/>
      <c r="AI3878" s="1821"/>
      <c r="AJ3878" s="1821"/>
      <c r="AK3878" s="1821"/>
      <c r="AL3878" s="1821"/>
      <c r="AM3878" s="1821"/>
      <c r="AN3878" s="1821"/>
      <c r="AO3878" s="1821"/>
      <c r="AP3878" s="1821"/>
      <c r="AQ3878" s="1821"/>
      <c r="AR3878" s="1821"/>
      <c r="AS3878" s="1821"/>
      <c r="AT3878" s="1821"/>
      <c r="AU3878" s="1821"/>
      <c r="AV3878" s="1821"/>
      <c r="AW3878" s="1821"/>
      <c r="AX3878" s="1821"/>
      <c r="AY3878" s="1821"/>
      <c r="AZ3878" s="1821"/>
      <c r="BA3878" s="1821"/>
      <c r="BB3878" s="1821"/>
      <c r="BC3878" s="1821"/>
      <c r="BD3878" s="1821"/>
      <c r="BE3878" s="1821"/>
      <c r="BF3878" s="1821"/>
      <c r="BG3878" s="1821"/>
      <c r="BH3878" s="1821"/>
      <c r="BI3878" s="1821"/>
      <c r="BJ3878" s="1821"/>
      <c r="BK3878" s="1821"/>
      <c r="BL3878" s="1821"/>
      <c r="BM3878" s="1821"/>
      <c r="BN3878" s="1821"/>
      <c r="BO3878" s="1821"/>
      <c r="BP3878" s="1821"/>
      <c r="BQ3878" s="1821"/>
      <c r="BR3878" s="1821"/>
      <c r="BS3878" s="1821"/>
      <c r="BT3878" s="1821"/>
      <c r="BU3878" s="1821"/>
      <c r="BV3878" s="1821"/>
      <c r="BW3878" s="1821"/>
      <c r="BX3878" s="1821"/>
      <c r="BY3878" s="1821"/>
      <c r="BZ3878" s="1821"/>
      <c r="CA3878" s="1821"/>
      <c r="CB3878" s="1821"/>
      <c r="CC3878" s="1821"/>
      <c r="CD3878" s="1821"/>
      <c r="CE3878" s="1821"/>
      <c r="CF3878" s="1821"/>
      <c r="CG3878" s="1821"/>
      <c r="CH3878" s="1821"/>
      <c r="CI3878" s="1821"/>
      <c r="CJ3878" s="1821"/>
      <c r="CK3878" s="1821"/>
    </row>
    <row r="3879" spans="1:89" s="744" customFormat="1" ht="16.5" customHeight="1" x14ac:dyDescent="0.25">
      <c r="A3879" s="954">
        <v>3</v>
      </c>
      <c r="B3879" s="1034" t="s">
        <v>193</v>
      </c>
      <c r="C3879" s="1031">
        <v>40</v>
      </c>
      <c r="D3879" s="1032" t="s">
        <v>55</v>
      </c>
      <c r="E3879" s="1036">
        <v>460</v>
      </c>
      <c r="F3879" s="714"/>
      <c r="G3879" s="714"/>
      <c r="H3879" s="700">
        <f t="shared" si="426"/>
        <v>0</v>
      </c>
      <c r="I3879" s="714">
        <f t="shared" si="429"/>
        <v>18400</v>
      </c>
      <c r="J3879" s="714"/>
      <c r="K3879" s="700">
        <f t="shared" si="430"/>
        <v>18400</v>
      </c>
      <c r="L3879" s="714"/>
      <c r="M3879" s="714"/>
      <c r="N3879" s="700">
        <f t="shared" si="427"/>
        <v>0</v>
      </c>
      <c r="O3879" s="974">
        <f t="shared" si="428"/>
        <v>18400</v>
      </c>
      <c r="P3879" s="956"/>
      <c r="Q3879" s="1821"/>
      <c r="R3879" s="1821"/>
      <c r="S3879" s="1821"/>
      <c r="T3879" s="1821"/>
      <c r="U3879" s="1821"/>
      <c r="V3879" s="1821"/>
      <c r="W3879" s="1821"/>
      <c r="X3879" s="1821"/>
      <c r="Y3879" s="1821"/>
      <c r="Z3879" s="1821"/>
      <c r="AA3879" s="1821"/>
      <c r="AB3879" s="1821"/>
      <c r="AC3879" s="1821"/>
      <c r="AD3879" s="1821"/>
      <c r="AE3879" s="1821"/>
      <c r="AF3879" s="1821"/>
      <c r="AG3879" s="1821"/>
      <c r="AH3879" s="1821"/>
      <c r="AI3879" s="1821"/>
      <c r="AJ3879" s="1821"/>
      <c r="AK3879" s="1821"/>
      <c r="AL3879" s="1821"/>
      <c r="AM3879" s="1821"/>
      <c r="AN3879" s="1821"/>
      <c r="AO3879" s="1821"/>
      <c r="AP3879" s="1821"/>
      <c r="AQ3879" s="1821"/>
      <c r="AR3879" s="1821"/>
      <c r="AS3879" s="1821"/>
      <c r="AT3879" s="1821"/>
      <c r="AU3879" s="1821"/>
      <c r="AV3879" s="1821"/>
      <c r="AW3879" s="1821"/>
      <c r="AX3879" s="1821"/>
      <c r="AY3879" s="1821"/>
      <c r="AZ3879" s="1821"/>
      <c r="BA3879" s="1821"/>
      <c r="BB3879" s="1821"/>
      <c r="BC3879" s="1821"/>
      <c r="BD3879" s="1821"/>
      <c r="BE3879" s="1821"/>
      <c r="BF3879" s="1821"/>
      <c r="BG3879" s="1821"/>
      <c r="BH3879" s="1821"/>
      <c r="BI3879" s="1821"/>
      <c r="BJ3879" s="1821"/>
      <c r="BK3879" s="1821"/>
      <c r="BL3879" s="1821"/>
      <c r="BM3879" s="1821"/>
      <c r="BN3879" s="1821"/>
      <c r="BO3879" s="1821"/>
      <c r="BP3879" s="1821"/>
      <c r="BQ3879" s="1821"/>
      <c r="BR3879" s="1821"/>
      <c r="BS3879" s="1821"/>
      <c r="BT3879" s="1821"/>
      <c r="BU3879" s="1821"/>
      <c r="BV3879" s="1821"/>
      <c r="BW3879" s="1821"/>
      <c r="BX3879" s="1821"/>
      <c r="BY3879" s="1821"/>
      <c r="BZ3879" s="1821"/>
      <c r="CA3879" s="1821"/>
      <c r="CB3879" s="1821"/>
      <c r="CC3879" s="1821"/>
      <c r="CD3879" s="1821"/>
      <c r="CE3879" s="1821"/>
      <c r="CF3879" s="1821"/>
      <c r="CG3879" s="1821"/>
      <c r="CH3879" s="1821"/>
      <c r="CI3879" s="1821"/>
      <c r="CJ3879" s="1821"/>
      <c r="CK3879" s="1821"/>
    </row>
    <row r="3880" spans="1:89" s="744" customFormat="1" ht="16.5" customHeight="1" x14ac:dyDescent="0.25">
      <c r="A3880" s="954"/>
      <c r="B3880" s="1034"/>
      <c r="C3880" s="1031"/>
      <c r="D3880" s="1032"/>
      <c r="E3880" s="1036"/>
      <c r="F3880" s="714"/>
      <c r="G3880" s="714"/>
      <c r="H3880" s="700"/>
      <c r="I3880" s="714"/>
      <c r="J3880" s="714"/>
      <c r="K3880" s="700"/>
      <c r="L3880" s="714"/>
      <c r="M3880" s="714"/>
      <c r="N3880" s="700"/>
      <c r="O3880" s="974"/>
      <c r="P3880" s="956"/>
      <c r="Q3880" s="1821"/>
      <c r="R3880" s="1821"/>
      <c r="S3880" s="1821"/>
      <c r="T3880" s="1821"/>
      <c r="U3880" s="1821"/>
      <c r="V3880" s="1821"/>
      <c r="W3880" s="1821"/>
      <c r="X3880" s="1821"/>
      <c r="Y3880" s="1821"/>
      <c r="Z3880" s="1821"/>
      <c r="AA3880" s="1821"/>
      <c r="AB3880" s="1821"/>
      <c r="AC3880" s="1821"/>
      <c r="AD3880" s="1821"/>
      <c r="AE3880" s="1821"/>
      <c r="AF3880" s="1821"/>
      <c r="AG3880" s="1821"/>
      <c r="AH3880" s="1821"/>
      <c r="AI3880" s="1821"/>
      <c r="AJ3880" s="1821"/>
      <c r="AK3880" s="1821"/>
      <c r="AL3880" s="1821"/>
      <c r="AM3880" s="1821"/>
      <c r="AN3880" s="1821"/>
      <c r="AO3880" s="1821"/>
      <c r="AP3880" s="1821"/>
      <c r="AQ3880" s="1821"/>
      <c r="AR3880" s="1821"/>
      <c r="AS3880" s="1821"/>
      <c r="AT3880" s="1821"/>
      <c r="AU3880" s="1821"/>
      <c r="AV3880" s="1821"/>
      <c r="AW3880" s="1821"/>
      <c r="AX3880" s="1821"/>
      <c r="AY3880" s="1821"/>
      <c r="AZ3880" s="1821"/>
      <c r="BA3880" s="1821"/>
      <c r="BB3880" s="1821"/>
      <c r="BC3880" s="1821"/>
      <c r="BD3880" s="1821"/>
      <c r="BE3880" s="1821"/>
      <c r="BF3880" s="1821"/>
      <c r="BG3880" s="1821"/>
      <c r="BH3880" s="1821"/>
      <c r="BI3880" s="1821"/>
      <c r="BJ3880" s="1821"/>
      <c r="BK3880" s="1821"/>
      <c r="BL3880" s="1821"/>
      <c r="BM3880" s="1821"/>
      <c r="BN3880" s="1821"/>
      <c r="BO3880" s="1821"/>
      <c r="BP3880" s="1821"/>
      <c r="BQ3880" s="1821"/>
      <c r="BR3880" s="1821"/>
      <c r="BS3880" s="1821"/>
      <c r="BT3880" s="1821"/>
      <c r="BU3880" s="1821"/>
      <c r="BV3880" s="1821"/>
      <c r="BW3880" s="1821"/>
      <c r="BX3880" s="1821"/>
      <c r="BY3880" s="1821"/>
      <c r="BZ3880" s="1821"/>
      <c r="CA3880" s="1821"/>
      <c r="CB3880" s="1821"/>
      <c r="CC3880" s="1821"/>
      <c r="CD3880" s="1821"/>
      <c r="CE3880" s="1821"/>
      <c r="CF3880" s="1821"/>
      <c r="CG3880" s="1821"/>
      <c r="CH3880" s="1821"/>
      <c r="CI3880" s="1821"/>
      <c r="CJ3880" s="1821"/>
      <c r="CK3880" s="1821"/>
    </row>
    <row r="3881" spans="1:89" s="744" customFormat="1" ht="16.5" customHeight="1" x14ac:dyDescent="0.25">
      <c r="A3881" s="1033" t="s">
        <v>280</v>
      </c>
      <c r="B3881" s="703" t="s">
        <v>1342</v>
      </c>
      <c r="C3881" s="827">
        <f>SUM(O3883:O3889)</f>
        <v>100000</v>
      </c>
      <c r="D3881" s="961"/>
      <c r="E3881" s="758"/>
      <c r="F3881" s="714"/>
      <c r="G3881" s="714"/>
      <c r="H3881" s="700"/>
      <c r="I3881" s="714"/>
      <c r="J3881" s="714"/>
      <c r="K3881" s="700"/>
      <c r="L3881" s="714"/>
      <c r="M3881" s="714"/>
      <c r="N3881" s="700"/>
      <c r="O3881" s="974">
        <f>N3881+K3881+H3881</f>
        <v>0</v>
      </c>
      <c r="P3881" s="956"/>
      <c r="Q3881" s="1821"/>
      <c r="R3881" s="1821"/>
      <c r="S3881" s="1821"/>
      <c r="T3881" s="1821"/>
      <c r="U3881" s="1821"/>
      <c r="V3881" s="1821"/>
      <c r="W3881" s="1821"/>
      <c r="X3881" s="1821"/>
      <c r="Y3881" s="1821"/>
      <c r="Z3881" s="1821"/>
      <c r="AA3881" s="1821"/>
      <c r="AB3881" s="1821"/>
      <c r="AC3881" s="1821"/>
      <c r="AD3881" s="1821"/>
      <c r="AE3881" s="1821"/>
      <c r="AF3881" s="1821"/>
      <c r="AG3881" s="1821"/>
      <c r="AH3881" s="1821"/>
      <c r="AI3881" s="1821"/>
      <c r="AJ3881" s="1821"/>
      <c r="AK3881" s="1821"/>
      <c r="AL3881" s="1821"/>
      <c r="AM3881" s="1821"/>
      <c r="AN3881" s="1821"/>
      <c r="AO3881" s="1821"/>
      <c r="AP3881" s="1821"/>
      <c r="AQ3881" s="1821"/>
      <c r="AR3881" s="1821"/>
      <c r="AS3881" s="1821"/>
      <c r="AT3881" s="1821"/>
      <c r="AU3881" s="1821"/>
      <c r="AV3881" s="1821"/>
      <c r="AW3881" s="1821"/>
      <c r="AX3881" s="1821"/>
      <c r="AY3881" s="1821"/>
      <c r="AZ3881" s="1821"/>
      <c r="BA3881" s="1821"/>
      <c r="BB3881" s="1821"/>
      <c r="BC3881" s="1821"/>
      <c r="BD3881" s="1821"/>
      <c r="BE3881" s="1821"/>
      <c r="BF3881" s="1821"/>
      <c r="BG3881" s="1821"/>
      <c r="BH3881" s="1821"/>
      <c r="BI3881" s="1821"/>
      <c r="BJ3881" s="1821"/>
      <c r="BK3881" s="1821"/>
      <c r="BL3881" s="1821"/>
      <c r="BM3881" s="1821"/>
      <c r="BN3881" s="1821"/>
      <c r="BO3881" s="1821"/>
      <c r="BP3881" s="1821"/>
      <c r="BQ3881" s="1821"/>
      <c r="BR3881" s="1821"/>
      <c r="BS3881" s="1821"/>
      <c r="BT3881" s="1821"/>
      <c r="BU3881" s="1821"/>
      <c r="BV3881" s="1821"/>
      <c r="BW3881" s="1821"/>
      <c r="BX3881" s="1821"/>
      <c r="BY3881" s="1821"/>
      <c r="BZ3881" s="1821"/>
      <c r="CA3881" s="1821"/>
      <c r="CB3881" s="1821"/>
      <c r="CC3881" s="1821"/>
      <c r="CD3881" s="1821"/>
      <c r="CE3881" s="1821"/>
      <c r="CF3881" s="1821"/>
      <c r="CG3881" s="1821"/>
      <c r="CH3881" s="1821"/>
      <c r="CI3881" s="1821"/>
      <c r="CJ3881" s="1821"/>
      <c r="CK3881" s="1821"/>
    </row>
    <row r="3882" spans="1:89" s="744" customFormat="1" ht="16.5" customHeight="1" x14ac:dyDescent="0.25">
      <c r="A3882" s="1033"/>
      <c r="B3882" s="698" t="s">
        <v>21</v>
      </c>
      <c r="C3882" s="827"/>
      <c r="D3882" s="961"/>
      <c r="E3882" s="758"/>
      <c r="F3882" s="714"/>
      <c r="G3882" s="714"/>
      <c r="H3882" s="700"/>
      <c r="I3882" s="714"/>
      <c r="J3882" s="714"/>
      <c r="K3882" s="700"/>
      <c r="L3882" s="714"/>
      <c r="M3882" s="714"/>
      <c r="N3882" s="700"/>
      <c r="O3882" s="974"/>
      <c r="P3882" s="956"/>
      <c r="Q3882" s="1821"/>
      <c r="R3882" s="1821"/>
      <c r="S3882" s="1821"/>
      <c r="T3882" s="1821"/>
      <c r="U3882" s="1821"/>
      <c r="V3882" s="1821"/>
      <c r="W3882" s="1821"/>
      <c r="X3882" s="1821"/>
      <c r="Y3882" s="1821"/>
      <c r="Z3882" s="1821"/>
      <c r="AA3882" s="1821"/>
      <c r="AB3882" s="1821"/>
      <c r="AC3882" s="1821"/>
      <c r="AD3882" s="1821"/>
      <c r="AE3882" s="1821"/>
      <c r="AF3882" s="1821"/>
      <c r="AG3882" s="1821"/>
      <c r="AH3882" s="1821"/>
      <c r="AI3882" s="1821"/>
      <c r="AJ3882" s="1821"/>
      <c r="AK3882" s="1821"/>
      <c r="AL3882" s="1821"/>
      <c r="AM3882" s="1821"/>
      <c r="AN3882" s="1821"/>
      <c r="AO3882" s="1821"/>
      <c r="AP3882" s="1821"/>
      <c r="AQ3882" s="1821"/>
      <c r="AR3882" s="1821"/>
      <c r="AS3882" s="1821"/>
      <c r="AT3882" s="1821"/>
      <c r="AU3882" s="1821"/>
      <c r="AV3882" s="1821"/>
      <c r="AW3882" s="1821"/>
      <c r="AX3882" s="1821"/>
      <c r="AY3882" s="1821"/>
      <c r="AZ3882" s="1821"/>
      <c r="BA3882" s="1821"/>
      <c r="BB3882" s="1821"/>
      <c r="BC3882" s="1821"/>
      <c r="BD3882" s="1821"/>
      <c r="BE3882" s="1821"/>
      <c r="BF3882" s="1821"/>
      <c r="BG3882" s="1821"/>
      <c r="BH3882" s="1821"/>
      <c r="BI3882" s="1821"/>
      <c r="BJ3882" s="1821"/>
      <c r="BK3882" s="1821"/>
      <c r="BL3882" s="1821"/>
      <c r="BM3882" s="1821"/>
      <c r="BN3882" s="1821"/>
      <c r="BO3882" s="1821"/>
      <c r="BP3882" s="1821"/>
      <c r="BQ3882" s="1821"/>
      <c r="BR3882" s="1821"/>
      <c r="BS3882" s="1821"/>
      <c r="BT3882" s="1821"/>
      <c r="BU3882" s="1821"/>
      <c r="BV3882" s="1821"/>
      <c r="BW3882" s="1821"/>
      <c r="BX3882" s="1821"/>
      <c r="BY3882" s="1821"/>
      <c r="BZ3882" s="1821"/>
      <c r="CA3882" s="1821"/>
      <c r="CB3882" s="1821"/>
      <c r="CC3882" s="1821"/>
      <c r="CD3882" s="1821"/>
      <c r="CE3882" s="1821"/>
      <c r="CF3882" s="1821"/>
      <c r="CG3882" s="1821"/>
      <c r="CH3882" s="1821"/>
      <c r="CI3882" s="1821"/>
      <c r="CJ3882" s="1821"/>
      <c r="CK3882" s="1821"/>
    </row>
    <row r="3883" spans="1:89" s="744" customFormat="1" ht="16.5" customHeight="1" x14ac:dyDescent="0.25">
      <c r="A3883" s="1033">
        <v>1</v>
      </c>
      <c r="B3883" s="709" t="s">
        <v>1343</v>
      </c>
      <c r="C3883" s="827">
        <v>1</v>
      </c>
      <c r="D3883" s="961" t="s">
        <v>25</v>
      </c>
      <c r="E3883" s="758">
        <v>34176</v>
      </c>
      <c r="F3883" s="714"/>
      <c r="G3883" s="714"/>
      <c r="H3883" s="700"/>
      <c r="I3883" s="714">
        <f t="shared" si="429"/>
        <v>34176</v>
      </c>
      <c r="J3883" s="714"/>
      <c r="K3883" s="700">
        <f t="shared" si="430"/>
        <v>34176</v>
      </c>
      <c r="L3883" s="714"/>
      <c r="M3883" s="714"/>
      <c r="N3883" s="700"/>
      <c r="O3883" s="974">
        <f t="shared" si="428"/>
        <v>34176</v>
      </c>
      <c r="P3883" s="956"/>
      <c r="Q3883" s="1821"/>
      <c r="R3883" s="1821"/>
      <c r="S3883" s="1821"/>
      <c r="T3883" s="1821"/>
      <c r="U3883" s="1821"/>
      <c r="V3883" s="1821"/>
      <c r="W3883" s="1821"/>
      <c r="X3883" s="1821"/>
      <c r="Y3883" s="1821"/>
      <c r="Z3883" s="1821"/>
      <c r="AA3883" s="1821"/>
      <c r="AB3883" s="1821"/>
      <c r="AC3883" s="1821"/>
      <c r="AD3883" s="1821"/>
      <c r="AE3883" s="1821"/>
      <c r="AF3883" s="1821"/>
      <c r="AG3883" s="1821"/>
      <c r="AH3883" s="1821"/>
      <c r="AI3883" s="1821"/>
      <c r="AJ3883" s="1821"/>
      <c r="AK3883" s="1821"/>
      <c r="AL3883" s="1821"/>
      <c r="AM3883" s="1821"/>
      <c r="AN3883" s="1821"/>
      <c r="AO3883" s="1821"/>
      <c r="AP3883" s="1821"/>
      <c r="AQ3883" s="1821"/>
      <c r="AR3883" s="1821"/>
      <c r="AS3883" s="1821"/>
      <c r="AT3883" s="1821"/>
      <c r="AU3883" s="1821"/>
      <c r="AV3883" s="1821"/>
      <c r="AW3883" s="1821"/>
      <c r="AX3883" s="1821"/>
      <c r="AY3883" s="1821"/>
      <c r="AZ3883" s="1821"/>
      <c r="BA3883" s="1821"/>
      <c r="BB3883" s="1821"/>
      <c r="BC3883" s="1821"/>
      <c r="BD3883" s="1821"/>
      <c r="BE3883" s="1821"/>
      <c r="BF3883" s="1821"/>
      <c r="BG3883" s="1821"/>
      <c r="BH3883" s="1821"/>
      <c r="BI3883" s="1821"/>
      <c r="BJ3883" s="1821"/>
      <c r="BK3883" s="1821"/>
      <c r="BL3883" s="1821"/>
      <c r="BM3883" s="1821"/>
      <c r="BN3883" s="1821"/>
      <c r="BO3883" s="1821"/>
      <c r="BP3883" s="1821"/>
      <c r="BQ3883" s="1821"/>
      <c r="BR3883" s="1821"/>
      <c r="BS3883" s="1821"/>
      <c r="BT3883" s="1821"/>
      <c r="BU3883" s="1821"/>
      <c r="BV3883" s="1821"/>
      <c r="BW3883" s="1821"/>
      <c r="BX3883" s="1821"/>
      <c r="BY3883" s="1821"/>
      <c r="BZ3883" s="1821"/>
      <c r="CA3883" s="1821"/>
      <c r="CB3883" s="1821"/>
      <c r="CC3883" s="1821"/>
      <c r="CD3883" s="1821"/>
      <c r="CE3883" s="1821"/>
      <c r="CF3883" s="1821"/>
      <c r="CG3883" s="1821"/>
      <c r="CH3883" s="1821"/>
      <c r="CI3883" s="1821"/>
      <c r="CJ3883" s="1821"/>
      <c r="CK3883" s="1821"/>
    </row>
    <row r="3884" spans="1:89" s="744" customFormat="1" ht="16.5" customHeight="1" x14ac:dyDescent="0.25">
      <c r="A3884" s="1033"/>
      <c r="B3884" s="698" t="s">
        <v>358</v>
      </c>
      <c r="C3884" s="827"/>
      <c r="D3884" s="961"/>
      <c r="E3884" s="758"/>
      <c r="F3884" s="714"/>
      <c r="G3884" s="714"/>
      <c r="H3884" s="700"/>
      <c r="I3884" s="714"/>
      <c r="J3884" s="714"/>
      <c r="K3884" s="700"/>
      <c r="L3884" s="714"/>
      <c r="M3884" s="714"/>
      <c r="N3884" s="700"/>
      <c r="O3884" s="974"/>
      <c r="P3884" s="956"/>
      <c r="Q3884" s="1821"/>
      <c r="R3884" s="1821"/>
      <c r="S3884" s="1821"/>
      <c r="T3884" s="1821"/>
      <c r="U3884" s="1821"/>
      <c r="V3884" s="1821"/>
      <c r="W3884" s="1821"/>
      <c r="X3884" s="1821"/>
      <c r="Y3884" s="1821"/>
      <c r="Z3884" s="1821"/>
      <c r="AA3884" s="1821"/>
      <c r="AB3884" s="1821"/>
      <c r="AC3884" s="1821"/>
      <c r="AD3884" s="1821"/>
      <c r="AE3884" s="1821"/>
      <c r="AF3884" s="1821"/>
      <c r="AG3884" s="1821"/>
      <c r="AH3884" s="1821"/>
      <c r="AI3884" s="1821"/>
      <c r="AJ3884" s="1821"/>
      <c r="AK3884" s="1821"/>
      <c r="AL3884" s="1821"/>
      <c r="AM3884" s="1821"/>
      <c r="AN3884" s="1821"/>
      <c r="AO3884" s="1821"/>
      <c r="AP3884" s="1821"/>
      <c r="AQ3884" s="1821"/>
      <c r="AR3884" s="1821"/>
      <c r="AS3884" s="1821"/>
      <c r="AT3884" s="1821"/>
      <c r="AU3884" s="1821"/>
      <c r="AV3884" s="1821"/>
      <c r="AW3884" s="1821"/>
      <c r="AX3884" s="1821"/>
      <c r="AY3884" s="1821"/>
      <c r="AZ3884" s="1821"/>
      <c r="BA3884" s="1821"/>
      <c r="BB3884" s="1821"/>
      <c r="BC3884" s="1821"/>
      <c r="BD3884" s="1821"/>
      <c r="BE3884" s="1821"/>
      <c r="BF3884" s="1821"/>
      <c r="BG3884" s="1821"/>
      <c r="BH3884" s="1821"/>
      <c r="BI3884" s="1821"/>
      <c r="BJ3884" s="1821"/>
      <c r="BK3884" s="1821"/>
      <c r="BL3884" s="1821"/>
      <c r="BM3884" s="1821"/>
      <c r="BN3884" s="1821"/>
      <c r="BO3884" s="1821"/>
      <c r="BP3884" s="1821"/>
      <c r="BQ3884" s="1821"/>
      <c r="BR3884" s="1821"/>
      <c r="BS3884" s="1821"/>
      <c r="BT3884" s="1821"/>
      <c r="BU3884" s="1821"/>
      <c r="BV3884" s="1821"/>
      <c r="BW3884" s="1821"/>
      <c r="BX3884" s="1821"/>
      <c r="BY3884" s="1821"/>
      <c r="BZ3884" s="1821"/>
      <c r="CA3884" s="1821"/>
      <c r="CB3884" s="1821"/>
      <c r="CC3884" s="1821"/>
      <c r="CD3884" s="1821"/>
      <c r="CE3884" s="1821"/>
      <c r="CF3884" s="1821"/>
      <c r="CG3884" s="1821"/>
      <c r="CH3884" s="1821"/>
      <c r="CI3884" s="1821"/>
      <c r="CJ3884" s="1821"/>
      <c r="CK3884" s="1821"/>
    </row>
    <row r="3885" spans="1:89" s="744" customFormat="1" ht="16.5" customHeight="1" x14ac:dyDescent="0.25">
      <c r="A3885" s="1033">
        <v>1</v>
      </c>
      <c r="B3885" s="709" t="s">
        <v>192</v>
      </c>
      <c r="C3885" s="827"/>
      <c r="D3885" s="961"/>
      <c r="E3885" s="758"/>
      <c r="F3885" s="714"/>
      <c r="G3885" s="714"/>
      <c r="H3885" s="700"/>
      <c r="I3885" s="714"/>
      <c r="J3885" s="714"/>
      <c r="K3885" s="700"/>
      <c r="L3885" s="714"/>
      <c r="M3885" s="714"/>
      <c r="N3885" s="700"/>
      <c r="O3885" s="974"/>
      <c r="P3885" s="956"/>
      <c r="Q3885" s="1821"/>
      <c r="R3885" s="1821"/>
      <c r="S3885" s="1821"/>
      <c r="T3885" s="1821"/>
      <c r="U3885" s="1821"/>
      <c r="V3885" s="1821"/>
      <c r="W3885" s="1821"/>
      <c r="X3885" s="1821"/>
      <c r="Y3885" s="1821"/>
      <c r="Z3885" s="1821"/>
      <c r="AA3885" s="1821"/>
      <c r="AB3885" s="1821"/>
      <c r="AC3885" s="1821"/>
      <c r="AD3885" s="1821"/>
      <c r="AE3885" s="1821"/>
      <c r="AF3885" s="1821"/>
      <c r="AG3885" s="1821"/>
      <c r="AH3885" s="1821"/>
      <c r="AI3885" s="1821"/>
      <c r="AJ3885" s="1821"/>
      <c r="AK3885" s="1821"/>
      <c r="AL3885" s="1821"/>
      <c r="AM3885" s="1821"/>
      <c r="AN3885" s="1821"/>
      <c r="AO3885" s="1821"/>
      <c r="AP3885" s="1821"/>
      <c r="AQ3885" s="1821"/>
      <c r="AR3885" s="1821"/>
      <c r="AS3885" s="1821"/>
      <c r="AT3885" s="1821"/>
      <c r="AU3885" s="1821"/>
      <c r="AV3885" s="1821"/>
      <c r="AW3885" s="1821"/>
      <c r="AX3885" s="1821"/>
      <c r="AY3885" s="1821"/>
      <c r="AZ3885" s="1821"/>
      <c r="BA3885" s="1821"/>
      <c r="BB3885" s="1821"/>
      <c r="BC3885" s="1821"/>
      <c r="BD3885" s="1821"/>
      <c r="BE3885" s="1821"/>
      <c r="BF3885" s="1821"/>
      <c r="BG3885" s="1821"/>
      <c r="BH3885" s="1821"/>
      <c r="BI3885" s="1821"/>
      <c r="BJ3885" s="1821"/>
      <c r="BK3885" s="1821"/>
      <c r="BL3885" s="1821"/>
      <c r="BM3885" s="1821"/>
      <c r="BN3885" s="1821"/>
      <c r="BO3885" s="1821"/>
      <c r="BP3885" s="1821"/>
      <c r="BQ3885" s="1821"/>
      <c r="BR3885" s="1821"/>
      <c r="BS3885" s="1821"/>
      <c r="BT3885" s="1821"/>
      <c r="BU3885" s="1821"/>
      <c r="BV3885" s="1821"/>
      <c r="BW3885" s="1821"/>
      <c r="BX3885" s="1821"/>
      <c r="BY3885" s="1821"/>
      <c r="BZ3885" s="1821"/>
      <c r="CA3885" s="1821"/>
      <c r="CB3885" s="1821"/>
      <c r="CC3885" s="1821"/>
      <c r="CD3885" s="1821"/>
      <c r="CE3885" s="1821"/>
      <c r="CF3885" s="1821"/>
      <c r="CG3885" s="1821"/>
      <c r="CH3885" s="1821"/>
      <c r="CI3885" s="1821"/>
      <c r="CJ3885" s="1821"/>
      <c r="CK3885" s="1821"/>
    </row>
    <row r="3886" spans="1:89" s="744" customFormat="1" ht="16.5" customHeight="1" x14ac:dyDescent="0.25">
      <c r="A3886" s="1033">
        <v>2</v>
      </c>
      <c r="B3886" s="709" t="s">
        <v>193</v>
      </c>
      <c r="C3886" s="827">
        <v>8</v>
      </c>
      <c r="D3886" s="961" t="s">
        <v>207</v>
      </c>
      <c r="E3886" s="758">
        <v>3808</v>
      </c>
      <c r="F3886" s="714"/>
      <c r="G3886" s="714"/>
      <c r="H3886" s="700"/>
      <c r="I3886" s="714"/>
      <c r="J3886" s="714">
        <f>C3886*E3886</f>
        <v>30464</v>
      </c>
      <c r="K3886" s="700">
        <f t="shared" ref="K3886:K3949" si="431">J3886+I3886</f>
        <v>30464</v>
      </c>
      <c r="L3886" s="714"/>
      <c r="M3886" s="714"/>
      <c r="N3886" s="700"/>
      <c r="O3886" s="974">
        <f>N3886+K3886+H3886</f>
        <v>30464</v>
      </c>
      <c r="P3886" s="956"/>
      <c r="Q3886" s="1821"/>
      <c r="R3886" s="1821"/>
      <c r="S3886" s="1821"/>
      <c r="T3886" s="1821"/>
      <c r="U3886" s="1821"/>
      <c r="V3886" s="1821"/>
      <c r="W3886" s="1821"/>
      <c r="X3886" s="1821"/>
      <c r="Y3886" s="1821"/>
      <c r="Z3886" s="1821"/>
      <c r="AA3886" s="1821"/>
      <c r="AB3886" s="1821"/>
      <c r="AC3886" s="1821"/>
      <c r="AD3886" s="1821"/>
      <c r="AE3886" s="1821"/>
      <c r="AF3886" s="1821"/>
      <c r="AG3886" s="1821"/>
      <c r="AH3886" s="1821"/>
      <c r="AI3886" s="1821"/>
      <c r="AJ3886" s="1821"/>
      <c r="AK3886" s="1821"/>
      <c r="AL3886" s="1821"/>
      <c r="AM3886" s="1821"/>
      <c r="AN3886" s="1821"/>
      <c r="AO3886" s="1821"/>
      <c r="AP3886" s="1821"/>
      <c r="AQ3886" s="1821"/>
      <c r="AR3886" s="1821"/>
      <c r="AS3886" s="1821"/>
      <c r="AT3886" s="1821"/>
      <c r="AU3886" s="1821"/>
      <c r="AV3886" s="1821"/>
      <c r="AW3886" s="1821"/>
      <c r="AX3886" s="1821"/>
      <c r="AY3886" s="1821"/>
      <c r="AZ3886" s="1821"/>
      <c r="BA3886" s="1821"/>
      <c r="BB3886" s="1821"/>
      <c r="BC3886" s="1821"/>
      <c r="BD3886" s="1821"/>
      <c r="BE3886" s="1821"/>
      <c r="BF3886" s="1821"/>
      <c r="BG3886" s="1821"/>
      <c r="BH3886" s="1821"/>
      <c r="BI3886" s="1821"/>
      <c r="BJ3886" s="1821"/>
      <c r="BK3886" s="1821"/>
      <c r="BL3886" s="1821"/>
      <c r="BM3886" s="1821"/>
      <c r="BN3886" s="1821"/>
      <c r="BO3886" s="1821"/>
      <c r="BP3886" s="1821"/>
      <c r="BQ3886" s="1821"/>
      <c r="BR3886" s="1821"/>
      <c r="BS3886" s="1821"/>
      <c r="BT3886" s="1821"/>
      <c r="BU3886" s="1821"/>
      <c r="BV3886" s="1821"/>
      <c r="BW3886" s="1821"/>
      <c r="BX3886" s="1821"/>
      <c r="BY3886" s="1821"/>
      <c r="BZ3886" s="1821"/>
      <c r="CA3886" s="1821"/>
      <c r="CB3886" s="1821"/>
      <c r="CC3886" s="1821"/>
      <c r="CD3886" s="1821"/>
      <c r="CE3886" s="1821"/>
      <c r="CF3886" s="1821"/>
      <c r="CG3886" s="1821"/>
      <c r="CH3886" s="1821"/>
      <c r="CI3886" s="1821"/>
      <c r="CJ3886" s="1821"/>
      <c r="CK3886" s="1821"/>
    </row>
    <row r="3887" spans="1:89" s="744" customFormat="1" ht="16.5" customHeight="1" x14ac:dyDescent="0.25">
      <c r="A3887" s="1033">
        <v>3</v>
      </c>
      <c r="B3887" s="709" t="s">
        <v>1262</v>
      </c>
      <c r="C3887" s="827">
        <v>32</v>
      </c>
      <c r="D3887" s="961" t="s">
        <v>55</v>
      </c>
      <c r="E3887" s="758">
        <v>460</v>
      </c>
      <c r="F3887" s="714"/>
      <c r="G3887" s="714"/>
      <c r="H3887" s="700"/>
      <c r="I3887" s="714"/>
      <c r="J3887" s="714">
        <f>C3887*E3887</f>
        <v>14720</v>
      </c>
      <c r="K3887" s="700">
        <f t="shared" si="431"/>
        <v>14720</v>
      </c>
      <c r="L3887" s="714"/>
      <c r="M3887" s="714"/>
      <c r="N3887" s="700"/>
      <c r="O3887" s="974">
        <f t="shared" ref="O3887:O3950" si="432">N3887+K3887+H3887</f>
        <v>14720</v>
      </c>
      <c r="P3887" s="956"/>
      <c r="Q3887" s="1821"/>
      <c r="R3887" s="1821"/>
      <c r="S3887" s="1821"/>
      <c r="T3887" s="1821"/>
      <c r="U3887" s="1821"/>
      <c r="V3887" s="1821"/>
      <c r="W3887" s="1821"/>
      <c r="X3887" s="1821"/>
      <c r="Y3887" s="1821"/>
      <c r="Z3887" s="1821"/>
      <c r="AA3887" s="1821"/>
      <c r="AB3887" s="1821"/>
      <c r="AC3887" s="1821"/>
      <c r="AD3887" s="1821"/>
      <c r="AE3887" s="1821"/>
      <c r="AF3887" s="1821"/>
      <c r="AG3887" s="1821"/>
      <c r="AH3887" s="1821"/>
      <c r="AI3887" s="1821"/>
      <c r="AJ3887" s="1821"/>
      <c r="AK3887" s="1821"/>
      <c r="AL3887" s="1821"/>
      <c r="AM3887" s="1821"/>
      <c r="AN3887" s="1821"/>
      <c r="AO3887" s="1821"/>
      <c r="AP3887" s="1821"/>
      <c r="AQ3887" s="1821"/>
      <c r="AR3887" s="1821"/>
      <c r="AS3887" s="1821"/>
      <c r="AT3887" s="1821"/>
      <c r="AU3887" s="1821"/>
      <c r="AV3887" s="1821"/>
      <c r="AW3887" s="1821"/>
      <c r="AX3887" s="1821"/>
      <c r="AY3887" s="1821"/>
      <c r="AZ3887" s="1821"/>
      <c r="BA3887" s="1821"/>
      <c r="BB3887" s="1821"/>
      <c r="BC3887" s="1821"/>
      <c r="BD3887" s="1821"/>
      <c r="BE3887" s="1821"/>
      <c r="BF3887" s="1821"/>
      <c r="BG3887" s="1821"/>
      <c r="BH3887" s="1821"/>
      <c r="BI3887" s="1821"/>
      <c r="BJ3887" s="1821"/>
      <c r="BK3887" s="1821"/>
      <c r="BL3887" s="1821"/>
      <c r="BM3887" s="1821"/>
      <c r="BN3887" s="1821"/>
      <c r="BO3887" s="1821"/>
      <c r="BP3887" s="1821"/>
      <c r="BQ3887" s="1821"/>
      <c r="BR3887" s="1821"/>
      <c r="BS3887" s="1821"/>
      <c r="BT3887" s="1821"/>
      <c r="BU3887" s="1821"/>
      <c r="BV3887" s="1821"/>
      <c r="BW3887" s="1821"/>
      <c r="BX3887" s="1821"/>
      <c r="BY3887" s="1821"/>
      <c r="BZ3887" s="1821"/>
      <c r="CA3887" s="1821"/>
      <c r="CB3887" s="1821"/>
      <c r="CC3887" s="1821"/>
      <c r="CD3887" s="1821"/>
      <c r="CE3887" s="1821"/>
      <c r="CF3887" s="1821"/>
      <c r="CG3887" s="1821"/>
      <c r="CH3887" s="1821"/>
      <c r="CI3887" s="1821"/>
      <c r="CJ3887" s="1821"/>
      <c r="CK3887" s="1821"/>
    </row>
    <row r="3888" spans="1:89" s="744" customFormat="1" ht="16.5" customHeight="1" x14ac:dyDescent="0.25">
      <c r="A3888" s="1033"/>
      <c r="B3888" s="698"/>
      <c r="C3888" s="827">
        <v>48</v>
      </c>
      <c r="D3888" s="961" t="s">
        <v>55</v>
      </c>
      <c r="E3888" s="758">
        <v>430</v>
      </c>
      <c r="F3888" s="714"/>
      <c r="G3888" s="714"/>
      <c r="H3888" s="700"/>
      <c r="I3888" s="714"/>
      <c r="J3888" s="714">
        <f>C3888*E3888</f>
        <v>20640</v>
      </c>
      <c r="K3888" s="700">
        <f t="shared" si="431"/>
        <v>20640</v>
      </c>
      <c r="L3888" s="714"/>
      <c r="M3888" s="714"/>
      <c r="N3888" s="700"/>
      <c r="O3888" s="974">
        <f t="shared" si="432"/>
        <v>20640</v>
      </c>
      <c r="P3888" s="956"/>
      <c r="Q3888" s="1821"/>
      <c r="R3888" s="1821"/>
      <c r="S3888" s="1821"/>
      <c r="T3888" s="1821"/>
      <c r="U3888" s="1821"/>
      <c r="V3888" s="1821"/>
      <c r="W3888" s="1821"/>
      <c r="X3888" s="1821"/>
      <c r="Y3888" s="1821"/>
      <c r="Z3888" s="1821"/>
      <c r="AA3888" s="1821"/>
      <c r="AB3888" s="1821"/>
      <c r="AC3888" s="1821"/>
      <c r="AD3888" s="1821"/>
      <c r="AE3888" s="1821"/>
      <c r="AF3888" s="1821"/>
      <c r="AG3888" s="1821"/>
      <c r="AH3888" s="1821"/>
      <c r="AI3888" s="1821"/>
      <c r="AJ3888" s="1821"/>
      <c r="AK3888" s="1821"/>
      <c r="AL3888" s="1821"/>
      <c r="AM3888" s="1821"/>
      <c r="AN3888" s="1821"/>
      <c r="AO3888" s="1821"/>
      <c r="AP3888" s="1821"/>
      <c r="AQ3888" s="1821"/>
      <c r="AR3888" s="1821"/>
      <c r="AS3888" s="1821"/>
      <c r="AT3888" s="1821"/>
      <c r="AU3888" s="1821"/>
      <c r="AV3888" s="1821"/>
      <c r="AW3888" s="1821"/>
      <c r="AX3888" s="1821"/>
      <c r="AY3888" s="1821"/>
      <c r="AZ3888" s="1821"/>
      <c r="BA3888" s="1821"/>
      <c r="BB3888" s="1821"/>
      <c r="BC3888" s="1821"/>
      <c r="BD3888" s="1821"/>
      <c r="BE3888" s="1821"/>
      <c r="BF3888" s="1821"/>
      <c r="BG3888" s="1821"/>
      <c r="BH3888" s="1821"/>
      <c r="BI3888" s="1821"/>
      <c r="BJ3888" s="1821"/>
      <c r="BK3888" s="1821"/>
      <c r="BL3888" s="1821"/>
      <c r="BM3888" s="1821"/>
      <c r="BN3888" s="1821"/>
      <c r="BO3888" s="1821"/>
      <c r="BP3888" s="1821"/>
      <c r="BQ3888" s="1821"/>
      <c r="BR3888" s="1821"/>
      <c r="BS3888" s="1821"/>
      <c r="BT3888" s="1821"/>
      <c r="BU3888" s="1821"/>
      <c r="BV3888" s="1821"/>
      <c r="BW3888" s="1821"/>
      <c r="BX3888" s="1821"/>
      <c r="BY3888" s="1821"/>
      <c r="BZ3888" s="1821"/>
      <c r="CA3888" s="1821"/>
      <c r="CB3888" s="1821"/>
      <c r="CC3888" s="1821"/>
      <c r="CD3888" s="1821"/>
      <c r="CE3888" s="1821"/>
      <c r="CF3888" s="1821"/>
      <c r="CG3888" s="1821"/>
      <c r="CH3888" s="1821"/>
      <c r="CI3888" s="1821"/>
      <c r="CJ3888" s="1821"/>
      <c r="CK3888" s="1821"/>
    </row>
    <row r="3889" spans="1:89" s="744" customFormat="1" ht="16.5" customHeight="1" x14ac:dyDescent="0.25">
      <c r="A3889" s="1033"/>
      <c r="B3889" s="703" t="s">
        <v>433</v>
      </c>
      <c r="C3889" s="827"/>
      <c r="D3889" s="961"/>
      <c r="E3889" s="758"/>
      <c r="F3889" s="714"/>
      <c r="G3889" s="714"/>
      <c r="H3889" s="700">
        <f t="shared" ref="H3889:H3971" si="433">G3889+F3889</f>
        <v>0</v>
      </c>
      <c r="I3889" s="714"/>
      <c r="J3889" s="714"/>
      <c r="K3889" s="700">
        <f t="shared" si="431"/>
        <v>0</v>
      </c>
      <c r="L3889" s="714"/>
      <c r="M3889" s="714"/>
      <c r="N3889" s="700">
        <f t="shared" ref="N3889:N3971" si="434">M3889+L3889</f>
        <v>0</v>
      </c>
      <c r="O3889" s="974">
        <f t="shared" si="432"/>
        <v>0</v>
      </c>
      <c r="P3889" s="956"/>
      <c r="Q3889" s="1821"/>
      <c r="R3889" s="1821"/>
      <c r="S3889" s="1821"/>
      <c r="T3889" s="1821"/>
      <c r="U3889" s="1821"/>
      <c r="V3889" s="1821"/>
      <c r="W3889" s="1821"/>
      <c r="X3889" s="1821"/>
      <c r="Y3889" s="1821"/>
      <c r="Z3889" s="1821"/>
      <c r="AA3889" s="1821"/>
      <c r="AB3889" s="1821"/>
      <c r="AC3889" s="1821"/>
      <c r="AD3889" s="1821"/>
      <c r="AE3889" s="1821"/>
      <c r="AF3889" s="1821"/>
      <c r="AG3889" s="1821"/>
      <c r="AH3889" s="1821"/>
      <c r="AI3889" s="1821"/>
      <c r="AJ3889" s="1821"/>
      <c r="AK3889" s="1821"/>
      <c r="AL3889" s="1821"/>
      <c r="AM3889" s="1821"/>
      <c r="AN3889" s="1821"/>
      <c r="AO3889" s="1821"/>
      <c r="AP3889" s="1821"/>
      <c r="AQ3889" s="1821"/>
      <c r="AR3889" s="1821"/>
      <c r="AS3889" s="1821"/>
      <c r="AT3889" s="1821"/>
      <c r="AU3889" s="1821"/>
      <c r="AV3889" s="1821"/>
      <c r="AW3889" s="1821"/>
      <c r="AX3889" s="1821"/>
      <c r="AY3889" s="1821"/>
      <c r="AZ3889" s="1821"/>
      <c r="BA3889" s="1821"/>
      <c r="BB3889" s="1821"/>
      <c r="BC3889" s="1821"/>
      <c r="BD3889" s="1821"/>
      <c r="BE3889" s="1821"/>
      <c r="BF3889" s="1821"/>
      <c r="BG3889" s="1821"/>
      <c r="BH3889" s="1821"/>
      <c r="BI3889" s="1821"/>
      <c r="BJ3889" s="1821"/>
      <c r="BK3889" s="1821"/>
      <c r="BL3889" s="1821"/>
      <c r="BM3889" s="1821"/>
      <c r="BN3889" s="1821"/>
      <c r="BO3889" s="1821"/>
      <c r="BP3889" s="1821"/>
      <c r="BQ3889" s="1821"/>
      <c r="BR3889" s="1821"/>
      <c r="BS3889" s="1821"/>
      <c r="BT3889" s="1821"/>
      <c r="BU3889" s="1821"/>
      <c r="BV3889" s="1821"/>
      <c r="BW3889" s="1821"/>
      <c r="BX3889" s="1821"/>
      <c r="BY3889" s="1821"/>
      <c r="BZ3889" s="1821"/>
      <c r="CA3889" s="1821"/>
      <c r="CB3889" s="1821"/>
      <c r="CC3889" s="1821"/>
      <c r="CD3889" s="1821"/>
      <c r="CE3889" s="1821"/>
      <c r="CF3889" s="1821"/>
      <c r="CG3889" s="1821"/>
      <c r="CH3889" s="1821"/>
      <c r="CI3889" s="1821"/>
      <c r="CJ3889" s="1821"/>
      <c r="CK3889" s="1821"/>
    </row>
    <row r="3890" spans="1:89" s="744" customFormat="1" ht="36.75" customHeight="1" x14ac:dyDescent="0.25">
      <c r="A3890" s="1033">
        <v>1953.037</v>
      </c>
      <c r="B3890" s="698" t="s">
        <v>434</v>
      </c>
      <c r="C3890" s="827"/>
      <c r="D3890" s="961"/>
      <c r="E3890" s="758"/>
      <c r="F3890" s="714"/>
      <c r="G3890" s="714"/>
      <c r="H3890" s="700">
        <f t="shared" si="433"/>
        <v>0</v>
      </c>
      <c r="I3890" s="714"/>
      <c r="J3890" s="714"/>
      <c r="K3890" s="700">
        <f t="shared" si="431"/>
        <v>0</v>
      </c>
      <c r="L3890" s="714"/>
      <c r="M3890" s="714"/>
      <c r="N3890" s="700">
        <f t="shared" si="434"/>
        <v>0</v>
      </c>
      <c r="O3890" s="974">
        <f t="shared" si="432"/>
        <v>0</v>
      </c>
      <c r="P3890" s="956"/>
      <c r="Q3890" s="1821"/>
      <c r="R3890" s="1821"/>
      <c r="S3890" s="1821"/>
      <c r="T3890" s="1821"/>
      <c r="U3890" s="1821"/>
      <c r="V3890" s="1821"/>
      <c r="W3890" s="1821"/>
      <c r="X3890" s="1821"/>
      <c r="Y3890" s="1821"/>
      <c r="Z3890" s="1821"/>
      <c r="AA3890" s="1821"/>
      <c r="AB3890" s="1821"/>
      <c r="AC3890" s="1821"/>
      <c r="AD3890" s="1821"/>
      <c r="AE3890" s="1821"/>
      <c r="AF3890" s="1821"/>
      <c r="AG3890" s="1821"/>
      <c r="AH3890" s="1821"/>
      <c r="AI3890" s="1821"/>
      <c r="AJ3890" s="1821"/>
      <c r="AK3890" s="1821"/>
      <c r="AL3890" s="1821"/>
      <c r="AM3890" s="1821"/>
      <c r="AN3890" s="1821"/>
      <c r="AO3890" s="1821"/>
      <c r="AP3890" s="1821"/>
      <c r="AQ3890" s="1821"/>
      <c r="AR3890" s="1821"/>
      <c r="AS3890" s="1821"/>
      <c r="AT3890" s="1821"/>
      <c r="AU3890" s="1821"/>
      <c r="AV3890" s="1821"/>
      <c r="AW3890" s="1821"/>
      <c r="AX3890" s="1821"/>
      <c r="AY3890" s="1821"/>
      <c r="AZ3890" s="1821"/>
      <c r="BA3890" s="1821"/>
      <c r="BB3890" s="1821"/>
      <c r="BC3890" s="1821"/>
      <c r="BD3890" s="1821"/>
      <c r="BE3890" s="1821"/>
      <c r="BF3890" s="1821"/>
      <c r="BG3890" s="1821"/>
      <c r="BH3890" s="1821"/>
      <c r="BI3890" s="1821"/>
      <c r="BJ3890" s="1821"/>
      <c r="BK3890" s="1821"/>
      <c r="BL3890" s="1821"/>
      <c r="BM3890" s="1821"/>
      <c r="BN3890" s="1821"/>
      <c r="BO3890" s="1821"/>
      <c r="BP3890" s="1821"/>
      <c r="BQ3890" s="1821"/>
      <c r="BR3890" s="1821"/>
      <c r="BS3890" s="1821"/>
      <c r="BT3890" s="1821"/>
      <c r="BU3890" s="1821"/>
      <c r="BV3890" s="1821"/>
      <c r="BW3890" s="1821"/>
      <c r="BX3890" s="1821"/>
      <c r="BY3890" s="1821"/>
      <c r="BZ3890" s="1821"/>
      <c r="CA3890" s="1821"/>
      <c r="CB3890" s="1821"/>
      <c r="CC3890" s="1821"/>
      <c r="CD3890" s="1821"/>
      <c r="CE3890" s="1821"/>
      <c r="CF3890" s="1821"/>
      <c r="CG3890" s="1821"/>
      <c r="CH3890" s="1821"/>
      <c r="CI3890" s="1821"/>
      <c r="CJ3890" s="1821"/>
      <c r="CK3890" s="1821"/>
    </row>
    <row r="3891" spans="1:89" s="744" customFormat="1" ht="16.5" customHeight="1" x14ac:dyDescent="0.25">
      <c r="A3891" s="1033" t="s">
        <v>435</v>
      </c>
      <c r="B3891" s="709" t="s">
        <v>436</v>
      </c>
      <c r="C3891" s="827"/>
      <c r="D3891" s="961"/>
      <c r="E3891" s="758"/>
      <c r="F3891" s="714"/>
      <c r="G3891" s="714"/>
      <c r="H3891" s="700">
        <f t="shared" si="433"/>
        <v>0</v>
      </c>
      <c r="I3891" s="714"/>
      <c r="J3891" s="714"/>
      <c r="K3891" s="700">
        <f t="shared" si="431"/>
        <v>0</v>
      </c>
      <c r="L3891" s="714"/>
      <c r="M3891" s="714"/>
      <c r="N3891" s="700">
        <f t="shared" si="434"/>
        <v>0</v>
      </c>
      <c r="O3891" s="974">
        <f t="shared" si="432"/>
        <v>0</v>
      </c>
      <c r="P3891" s="956"/>
      <c r="Q3891" s="1821"/>
      <c r="R3891" s="1821"/>
      <c r="S3891" s="1821"/>
      <c r="T3891" s="1821"/>
      <c r="U3891" s="1821"/>
      <c r="V3891" s="1821"/>
      <c r="W3891" s="1821"/>
      <c r="X3891" s="1821"/>
      <c r="Y3891" s="1821"/>
      <c r="Z3891" s="1821"/>
      <c r="AA3891" s="1821"/>
      <c r="AB3891" s="1821"/>
      <c r="AC3891" s="1821"/>
      <c r="AD3891" s="1821"/>
      <c r="AE3891" s="1821"/>
      <c r="AF3891" s="1821"/>
      <c r="AG3891" s="1821"/>
      <c r="AH3891" s="1821"/>
      <c r="AI3891" s="1821"/>
      <c r="AJ3891" s="1821"/>
      <c r="AK3891" s="1821"/>
      <c r="AL3891" s="1821"/>
      <c r="AM3891" s="1821"/>
      <c r="AN3891" s="1821"/>
      <c r="AO3891" s="1821"/>
      <c r="AP3891" s="1821"/>
      <c r="AQ3891" s="1821"/>
      <c r="AR3891" s="1821"/>
      <c r="AS3891" s="1821"/>
      <c r="AT3891" s="1821"/>
      <c r="AU3891" s="1821"/>
      <c r="AV3891" s="1821"/>
      <c r="AW3891" s="1821"/>
      <c r="AX3891" s="1821"/>
      <c r="AY3891" s="1821"/>
      <c r="AZ3891" s="1821"/>
      <c r="BA3891" s="1821"/>
      <c r="BB3891" s="1821"/>
      <c r="BC3891" s="1821"/>
      <c r="BD3891" s="1821"/>
      <c r="BE3891" s="1821"/>
      <c r="BF3891" s="1821"/>
      <c r="BG3891" s="1821"/>
      <c r="BH3891" s="1821"/>
      <c r="BI3891" s="1821"/>
      <c r="BJ3891" s="1821"/>
      <c r="BK3891" s="1821"/>
      <c r="BL3891" s="1821"/>
      <c r="BM3891" s="1821"/>
      <c r="BN3891" s="1821"/>
      <c r="BO3891" s="1821"/>
      <c r="BP3891" s="1821"/>
      <c r="BQ3891" s="1821"/>
      <c r="BR3891" s="1821"/>
      <c r="BS3891" s="1821"/>
      <c r="BT3891" s="1821"/>
      <c r="BU3891" s="1821"/>
      <c r="BV3891" s="1821"/>
      <c r="BW3891" s="1821"/>
      <c r="BX3891" s="1821"/>
      <c r="BY3891" s="1821"/>
      <c r="BZ3891" s="1821"/>
      <c r="CA3891" s="1821"/>
      <c r="CB3891" s="1821"/>
      <c r="CC3891" s="1821"/>
      <c r="CD3891" s="1821"/>
      <c r="CE3891" s="1821"/>
      <c r="CF3891" s="1821"/>
      <c r="CG3891" s="1821"/>
      <c r="CH3891" s="1821"/>
      <c r="CI3891" s="1821"/>
      <c r="CJ3891" s="1821"/>
      <c r="CK3891" s="1821"/>
    </row>
    <row r="3892" spans="1:89" s="744" customFormat="1" ht="16.5" customHeight="1" x14ac:dyDescent="0.25">
      <c r="A3892" s="1033">
        <v>11</v>
      </c>
      <c r="B3892" s="698" t="s">
        <v>437</v>
      </c>
      <c r="C3892" s="827"/>
      <c r="D3892" s="961"/>
      <c r="E3892" s="758"/>
      <c r="F3892" s="714"/>
      <c r="G3892" s="714"/>
      <c r="H3892" s="700">
        <f t="shared" si="433"/>
        <v>0</v>
      </c>
      <c r="I3892" s="714"/>
      <c r="J3892" s="714">
        <f>C3892*E3892</f>
        <v>0</v>
      </c>
      <c r="K3892" s="700">
        <f t="shared" si="431"/>
        <v>0</v>
      </c>
      <c r="L3892" s="714"/>
      <c r="M3892" s="714"/>
      <c r="N3892" s="700">
        <f t="shared" si="434"/>
        <v>0</v>
      </c>
      <c r="O3892" s="974">
        <f t="shared" si="432"/>
        <v>0</v>
      </c>
      <c r="P3892" s="956"/>
      <c r="Q3892" s="1821"/>
      <c r="R3892" s="1821"/>
      <c r="S3892" s="1821"/>
      <c r="T3892" s="1821"/>
      <c r="U3892" s="1821"/>
      <c r="V3892" s="1821"/>
      <c r="W3892" s="1821"/>
      <c r="X3892" s="1821"/>
      <c r="Y3892" s="1821"/>
      <c r="Z3892" s="1821"/>
      <c r="AA3892" s="1821"/>
      <c r="AB3892" s="1821"/>
      <c r="AC3892" s="1821"/>
      <c r="AD3892" s="1821"/>
      <c r="AE3892" s="1821"/>
      <c r="AF3892" s="1821"/>
      <c r="AG3892" s="1821"/>
      <c r="AH3892" s="1821"/>
      <c r="AI3892" s="1821"/>
      <c r="AJ3892" s="1821"/>
      <c r="AK3892" s="1821"/>
      <c r="AL3892" s="1821"/>
      <c r="AM3892" s="1821"/>
      <c r="AN3892" s="1821"/>
      <c r="AO3892" s="1821"/>
      <c r="AP3892" s="1821"/>
      <c r="AQ3892" s="1821"/>
      <c r="AR3892" s="1821"/>
      <c r="AS3892" s="1821"/>
      <c r="AT3892" s="1821"/>
      <c r="AU3892" s="1821"/>
      <c r="AV3892" s="1821"/>
      <c r="AW3892" s="1821"/>
      <c r="AX3892" s="1821"/>
      <c r="AY3892" s="1821"/>
      <c r="AZ3892" s="1821"/>
      <c r="BA3892" s="1821"/>
      <c r="BB3892" s="1821"/>
      <c r="BC3892" s="1821"/>
      <c r="BD3892" s="1821"/>
      <c r="BE3892" s="1821"/>
      <c r="BF3892" s="1821"/>
      <c r="BG3892" s="1821"/>
      <c r="BH3892" s="1821"/>
      <c r="BI3892" s="1821"/>
      <c r="BJ3892" s="1821"/>
      <c r="BK3892" s="1821"/>
      <c r="BL3892" s="1821"/>
      <c r="BM3892" s="1821"/>
      <c r="BN3892" s="1821"/>
      <c r="BO3892" s="1821"/>
      <c r="BP3892" s="1821"/>
      <c r="BQ3892" s="1821"/>
      <c r="BR3892" s="1821"/>
      <c r="BS3892" s="1821"/>
      <c r="BT3892" s="1821"/>
      <c r="BU3892" s="1821"/>
      <c r="BV3892" s="1821"/>
      <c r="BW3892" s="1821"/>
      <c r="BX3892" s="1821"/>
      <c r="BY3892" s="1821"/>
      <c r="BZ3892" s="1821"/>
      <c r="CA3892" s="1821"/>
      <c r="CB3892" s="1821"/>
      <c r="CC3892" s="1821"/>
      <c r="CD3892" s="1821"/>
      <c r="CE3892" s="1821"/>
      <c r="CF3892" s="1821"/>
      <c r="CG3892" s="1821"/>
      <c r="CH3892" s="1821"/>
      <c r="CI3892" s="1821"/>
      <c r="CJ3892" s="1821"/>
      <c r="CK3892" s="1821"/>
    </row>
    <row r="3893" spans="1:89" s="744" customFormat="1" ht="16.5" customHeight="1" x14ac:dyDescent="0.25">
      <c r="A3893" s="1033"/>
      <c r="B3893" s="709" t="s">
        <v>21</v>
      </c>
      <c r="C3893" s="827">
        <f>SUM(O3894:O3908)</f>
        <v>1275920.6740000001</v>
      </c>
      <c r="D3893" s="961"/>
      <c r="E3893" s="758"/>
      <c r="F3893" s="714"/>
      <c r="G3893" s="714"/>
      <c r="H3893" s="700">
        <f t="shared" si="433"/>
        <v>0</v>
      </c>
      <c r="I3893" s="714"/>
      <c r="J3893" s="714">
        <f>C3893*E3893</f>
        <v>0</v>
      </c>
      <c r="K3893" s="700">
        <f t="shared" si="431"/>
        <v>0</v>
      </c>
      <c r="L3893" s="714"/>
      <c r="M3893" s="714"/>
      <c r="N3893" s="700">
        <f t="shared" si="434"/>
        <v>0</v>
      </c>
      <c r="O3893" s="974">
        <f t="shared" si="432"/>
        <v>0</v>
      </c>
      <c r="P3893" s="956"/>
      <c r="Q3893" s="1821"/>
      <c r="R3893" s="1821"/>
      <c r="S3893" s="1821"/>
      <c r="T3893" s="1821"/>
      <c r="U3893" s="1821"/>
      <c r="V3893" s="1821"/>
      <c r="W3893" s="1821"/>
      <c r="X3893" s="1821"/>
      <c r="Y3893" s="1821"/>
      <c r="Z3893" s="1821"/>
      <c r="AA3893" s="1821"/>
      <c r="AB3893" s="1821"/>
      <c r="AC3893" s="1821"/>
      <c r="AD3893" s="1821"/>
      <c r="AE3893" s="1821"/>
      <c r="AF3893" s="1821"/>
      <c r="AG3893" s="1821"/>
      <c r="AH3893" s="1821"/>
      <c r="AI3893" s="1821"/>
      <c r="AJ3893" s="1821"/>
      <c r="AK3893" s="1821"/>
      <c r="AL3893" s="1821"/>
      <c r="AM3893" s="1821"/>
      <c r="AN3893" s="1821"/>
      <c r="AO3893" s="1821"/>
      <c r="AP3893" s="1821"/>
      <c r="AQ3893" s="1821"/>
      <c r="AR3893" s="1821"/>
      <c r="AS3893" s="1821"/>
      <c r="AT3893" s="1821"/>
      <c r="AU3893" s="1821"/>
      <c r="AV3893" s="1821"/>
      <c r="AW3893" s="1821"/>
      <c r="AX3893" s="1821"/>
      <c r="AY3893" s="1821"/>
      <c r="AZ3893" s="1821"/>
      <c r="BA3893" s="1821"/>
      <c r="BB3893" s="1821"/>
      <c r="BC3893" s="1821"/>
      <c r="BD3893" s="1821"/>
      <c r="BE3893" s="1821"/>
      <c r="BF3893" s="1821"/>
      <c r="BG3893" s="1821"/>
      <c r="BH3893" s="1821"/>
      <c r="BI3893" s="1821"/>
      <c r="BJ3893" s="1821"/>
      <c r="BK3893" s="1821"/>
      <c r="BL3893" s="1821"/>
      <c r="BM3893" s="1821"/>
      <c r="BN3893" s="1821"/>
      <c r="BO3893" s="1821"/>
      <c r="BP3893" s="1821"/>
      <c r="BQ3893" s="1821"/>
      <c r="BR3893" s="1821"/>
      <c r="BS3893" s="1821"/>
      <c r="BT3893" s="1821"/>
      <c r="BU3893" s="1821"/>
      <c r="BV3893" s="1821"/>
      <c r="BW3893" s="1821"/>
      <c r="BX3893" s="1821"/>
      <c r="BY3893" s="1821"/>
      <c r="BZ3893" s="1821"/>
      <c r="CA3893" s="1821"/>
      <c r="CB3893" s="1821"/>
      <c r="CC3893" s="1821"/>
      <c r="CD3893" s="1821"/>
      <c r="CE3893" s="1821"/>
      <c r="CF3893" s="1821"/>
      <c r="CG3893" s="1821"/>
      <c r="CH3893" s="1821"/>
      <c r="CI3893" s="1821"/>
      <c r="CJ3893" s="1821"/>
      <c r="CK3893" s="1821"/>
    </row>
    <row r="3894" spans="1:89" s="744" customFormat="1" ht="16.5" customHeight="1" x14ac:dyDescent="0.25">
      <c r="A3894" s="1033"/>
      <c r="B3894" s="709" t="s">
        <v>215</v>
      </c>
      <c r="C3894" s="827">
        <v>1</v>
      </c>
      <c r="D3894" s="961" t="s">
        <v>438</v>
      </c>
      <c r="E3894" s="758">
        <v>260680</v>
      </c>
      <c r="F3894" s="714"/>
      <c r="G3894" s="714"/>
      <c r="H3894" s="700">
        <f t="shared" si="433"/>
        <v>0</v>
      </c>
      <c r="I3894" s="714"/>
      <c r="J3894" s="714">
        <f>C3894*E3894</f>
        <v>260680</v>
      </c>
      <c r="K3894" s="700">
        <f t="shared" si="431"/>
        <v>260680</v>
      </c>
      <c r="L3894" s="714"/>
      <c r="M3894" s="714"/>
      <c r="N3894" s="700">
        <f t="shared" si="434"/>
        <v>0</v>
      </c>
      <c r="O3894" s="974">
        <f t="shared" si="432"/>
        <v>260680</v>
      </c>
      <c r="P3894" s="956"/>
      <c r="Q3894" s="1821"/>
      <c r="R3894" s="1821"/>
      <c r="S3894" s="1821"/>
      <c r="T3894" s="1821"/>
      <c r="U3894" s="1821"/>
      <c r="V3894" s="1821"/>
      <c r="W3894" s="1821"/>
      <c r="X3894" s="1821"/>
      <c r="Y3894" s="1821"/>
      <c r="Z3894" s="1821"/>
      <c r="AA3894" s="1821"/>
      <c r="AB3894" s="1821"/>
      <c r="AC3894" s="1821"/>
      <c r="AD3894" s="1821"/>
      <c r="AE3894" s="1821"/>
      <c r="AF3894" s="1821"/>
      <c r="AG3894" s="1821"/>
      <c r="AH3894" s="1821"/>
      <c r="AI3894" s="1821"/>
      <c r="AJ3894" s="1821"/>
      <c r="AK3894" s="1821"/>
      <c r="AL3894" s="1821"/>
      <c r="AM3894" s="1821"/>
      <c r="AN3894" s="1821"/>
      <c r="AO3894" s="1821"/>
      <c r="AP3894" s="1821"/>
      <c r="AQ3894" s="1821"/>
      <c r="AR3894" s="1821"/>
      <c r="AS3894" s="1821"/>
      <c r="AT3894" s="1821"/>
      <c r="AU3894" s="1821"/>
      <c r="AV3894" s="1821"/>
      <c r="AW3894" s="1821"/>
      <c r="AX3894" s="1821"/>
      <c r="AY3894" s="1821"/>
      <c r="AZ3894" s="1821"/>
      <c r="BA3894" s="1821"/>
      <c r="BB3894" s="1821"/>
      <c r="BC3894" s="1821"/>
      <c r="BD3894" s="1821"/>
      <c r="BE3894" s="1821"/>
      <c r="BF3894" s="1821"/>
      <c r="BG3894" s="1821"/>
      <c r="BH3894" s="1821"/>
      <c r="BI3894" s="1821"/>
      <c r="BJ3894" s="1821"/>
      <c r="BK3894" s="1821"/>
      <c r="BL3894" s="1821"/>
      <c r="BM3894" s="1821"/>
      <c r="BN3894" s="1821"/>
      <c r="BO3894" s="1821"/>
      <c r="BP3894" s="1821"/>
      <c r="BQ3894" s="1821"/>
      <c r="BR3894" s="1821"/>
      <c r="BS3894" s="1821"/>
      <c r="BT3894" s="1821"/>
      <c r="BU3894" s="1821"/>
      <c r="BV3894" s="1821"/>
      <c r="BW3894" s="1821"/>
      <c r="BX3894" s="1821"/>
      <c r="BY3894" s="1821"/>
      <c r="BZ3894" s="1821"/>
      <c r="CA3894" s="1821"/>
      <c r="CB3894" s="1821"/>
      <c r="CC3894" s="1821"/>
      <c r="CD3894" s="1821"/>
      <c r="CE3894" s="1821"/>
      <c r="CF3894" s="1821"/>
      <c r="CG3894" s="1821"/>
      <c r="CH3894" s="1821"/>
      <c r="CI3894" s="1821"/>
      <c r="CJ3894" s="1821"/>
      <c r="CK3894" s="1821"/>
    </row>
    <row r="3895" spans="1:89" s="744" customFormat="1" ht="16.5" customHeight="1" x14ac:dyDescent="0.25">
      <c r="A3895" s="1033"/>
      <c r="B3895" s="709" t="s">
        <v>206</v>
      </c>
      <c r="C3895" s="827"/>
      <c r="D3895" s="961"/>
      <c r="E3895" s="758"/>
      <c r="F3895" s="714"/>
      <c r="G3895" s="714"/>
      <c r="H3895" s="700">
        <f t="shared" si="433"/>
        <v>0</v>
      </c>
      <c r="I3895" s="714"/>
      <c r="J3895" s="714"/>
      <c r="K3895" s="700">
        <f t="shared" si="431"/>
        <v>0</v>
      </c>
      <c r="L3895" s="714"/>
      <c r="M3895" s="714"/>
      <c r="N3895" s="700">
        <f t="shared" si="434"/>
        <v>0</v>
      </c>
      <c r="O3895" s="974">
        <f t="shared" si="432"/>
        <v>0</v>
      </c>
      <c r="P3895" s="956"/>
      <c r="Q3895" s="1821"/>
      <c r="R3895" s="1821"/>
      <c r="S3895" s="1821"/>
      <c r="T3895" s="1821"/>
      <c r="U3895" s="1821"/>
      <c r="V3895" s="1821"/>
      <c r="W3895" s="1821"/>
      <c r="X3895" s="1821"/>
      <c r="Y3895" s="1821"/>
      <c r="Z3895" s="1821"/>
      <c r="AA3895" s="1821"/>
      <c r="AB3895" s="1821"/>
      <c r="AC3895" s="1821"/>
      <c r="AD3895" s="1821"/>
      <c r="AE3895" s="1821"/>
      <c r="AF3895" s="1821"/>
      <c r="AG3895" s="1821"/>
      <c r="AH3895" s="1821"/>
      <c r="AI3895" s="1821"/>
      <c r="AJ3895" s="1821"/>
      <c r="AK3895" s="1821"/>
      <c r="AL3895" s="1821"/>
      <c r="AM3895" s="1821"/>
      <c r="AN3895" s="1821"/>
      <c r="AO3895" s="1821"/>
      <c r="AP3895" s="1821"/>
      <c r="AQ3895" s="1821"/>
      <c r="AR3895" s="1821"/>
      <c r="AS3895" s="1821"/>
      <c r="AT3895" s="1821"/>
      <c r="AU3895" s="1821"/>
      <c r="AV3895" s="1821"/>
      <c r="AW3895" s="1821"/>
      <c r="AX3895" s="1821"/>
      <c r="AY3895" s="1821"/>
      <c r="AZ3895" s="1821"/>
      <c r="BA3895" s="1821"/>
      <c r="BB3895" s="1821"/>
      <c r="BC3895" s="1821"/>
      <c r="BD3895" s="1821"/>
      <c r="BE3895" s="1821"/>
      <c r="BF3895" s="1821"/>
      <c r="BG3895" s="1821"/>
      <c r="BH3895" s="1821"/>
      <c r="BI3895" s="1821"/>
      <c r="BJ3895" s="1821"/>
      <c r="BK3895" s="1821"/>
      <c r="BL3895" s="1821"/>
      <c r="BM3895" s="1821"/>
      <c r="BN3895" s="1821"/>
      <c r="BO3895" s="1821"/>
      <c r="BP3895" s="1821"/>
      <c r="BQ3895" s="1821"/>
      <c r="BR3895" s="1821"/>
      <c r="BS3895" s="1821"/>
      <c r="BT3895" s="1821"/>
      <c r="BU3895" s="1821"/>
      <c r="BV3895" s="1821"/>
      <c r="BW3895" s="1821"/>
      <c r="BX3895" s="1821"/>
      <c r="BY3895" s="1821"/>
      <c r="BZ3895" s="1821"/>
      <c r="CA3895" s="1821"/>
      <c r="CB3895" s="1821"/>
      <c r="CC3895" s="1821"/>
      <c r="CD3895" s="1821"/>
      <c r="CE3895" s="1821"/>
      <c r="CF3895" s="1821"/>
      <c r="CG3895" s="1821"/>
      <c r="CH3895" s="1821"/>
      <c r="CI3895" s="1821"/>
      <c r="CJ3895" s="1821"/>
      <c r="CK3895" s="1821"/>
    </row>
    <row r="3896" spans="1:89" s="744" customFormat="1" ht="16.5" customHeight="1" x14ac:dyDescent="0.25">
      <c r="A3896" s="1033"/>
      <c r="B3896" s="698" t="s">
        <v>439</v>
      </c>
      <c r="C3896" s="827"/>
      <c r="D3896" s="961"/>
      <c r="E3896" s="758"/>
      <c r="F3896" s="714"/>
      <c r="G3896" s="714"/>
      <c r="H3896" s="700">
        <f>G3896+F3896</f>
        <v>0</v>
      </c>
      <c r="I3896" s="714"/>
      <c r="J3896" s="714"/>
      <c r="K3896" s="700">
        <f t="shared" si="431"/>
        <v>0</v>
      </c>
      <c r="L3896" s="714"/>
      <c r="M3896" s="714"/>
      <c r="N3896" s="700">
        <f>M3896+L3896</f>
        <v>0</v>
      </c>
      <c r="O3896" s="974">
        <f t="shared" si="432"/>
        <v>0</v>
      </c>
      <c r="P3896" s="956"/>
      <c r="Q3896" s="1821"/>
      <c r="R3896" s="1821"/>
      <c r="S3896" s="1821"/>
      <c r="T3896" s="1821"/>
      <c r="U3896" s="1821"/>
      <c r="V3896" s="1821"/>
      <c r="W3896" s="1821"/>
      <c r="X3896" s="1821"/>
      <c r="Y3896" s="1821"/>
      <c r="Z3896" s="1821"/>
      <c r="AA3896" s="1821"/>
      <c r="AB3896" s="1821"/>
      <c r="AC3896" s="1821"/>
      <c r="AD3896" s="1821"/>
      <c r="AE3896" s="1821"/>
      <c r="AF3896" s="1821"/>
      <c r="AG3896" s="1821"/>
      <c r="AH3896" s="1821"/>
      <c r="AI3896" s="1821"/>
      <c r="AJ3896" s="1821"/>
      <c r="AK3896" s="1821"/>
      <c r="AL3896" s="1821"/>
      <c r="AM3896" s="1821"/>
      <c r="AN3896" s="1821"/>
      <c r="AO3896" s="1821"/>
      <c r="AP3896" s="1821"/>
      <c r="AQ3896" s="1821"/>
      <c r="AR3896" s="1821"/>
      <c r="AS3896" s="1821"/>
      <c r="AT3896" s="1821"/>
      <c r="AU3896" s="1821"/>
      <c r="AV3896" s="1821"/>
      <c r="AW3896" s="1821"/>
      <c r="AX3896" s="1821"/>
      <c r="AY3896" s="1821"/>
      <c r="AZ3896" s="1821"/>
      <c r="BA3896" s="1821"/>
      <c r="BB3896" s="1821"/>
      <c r="BC3896" s="1821"/>
      <c r="BD3896" s="1821"/>
      <c r="BE3896" s="1821"/>
      <c r="BF3896" s="1821"/>
      <c r="BG3896" s="1821"/>
      <c r="BH3896" s="1821"/>
      <c r="BI3896" s="1821"/>
      <c r="BJ3896" s="1821"/>
      <c r="BK3896" s="1821"/>
      <c r="BL3896" s="1821"/>
      <c r="BM3896" s="1821"/>
      <c r="BN3896" s="1821"/>
      <c r="BO3896" s="1821"/>
      <c r="BP3896" s="1821"/>
      <c r="BQ3896" s="1821"/>
      <c r="BR3896" s="1821"/>
      <c r="BS3896" s="1821"/>
      <c r="BT3896" s="1821"/>
      <c r="BU3896" s="1821"/>
      <c r="BV3896" s="1821"/>
      <c r="BW3896" s="1821"/>
      <c r="BX3896" s="1821"/>
      <c r="BY3896" s="1821"/>
      <c r="BZ3896" s="1821"/>
      <c r="CA3896" s="1821"/>
      <c r="CB3896" s="1821"/>
      <c r="CC3896" s="1821"/>
      <c r="CD3896" s="1821"/>
      <c r="CE3896" s="1821"/>
      <c r="CF3896" s="1821"/>
      <c r="CG3896" s="1821"/>
      <c r="CH3896" s="1821"/>
      <c r="CI3896" s="1821"/>
      <c r="CJ3896" s="1821"/>
      <c r="CK3896" s="1821"/>
    </row>
    <row r="3897" spans="1:89" s="744" customFormat="1" ht="16.5" customHeight="1" x14ac:dyDescent="0.25">
      <c r="A3897" s="1033"/>
      <c r="B3897" s="703" t="s">
        <v>374</v>
      </c>
      <c r="C3897" s="827">
        <v>48</v>
      </c>
      <c r="D3897" s="961" t="s">
        <v>210</v>
      </c>
      <c r="E3897" s="758">
        <v>866.66</v>
      </c>
      <c r="F3897" s="714"/>
      <c r="G3897" s="714"/>
      <c r="H3897" s="700">
        <f>G3897+F3897</f>
        <v>0</v>
      </c>
      <c r="I3897" s="714"/>
      <c r="J3897" s="714">
        <f>E3897*C3897</f>
        <v>41599.68</v>
      </c>
      <c r="K3897" s="700">
        <f t="shared" si="431"/>
        <v>41599.68</v>
      </c>
      <c r="L3897" s="714"/>
      <c r="M3897" s="714"/>
      <c r="N3897" s="700">
        <f>M3897+L3897</f>
        <v>0</v>
      </c>
      <c r="O3897" s="974">
        <f t="shared" si="432"/>
        <v>41599.68</v>
      </c>
      <c r="P3897" s="956"/>
      <c r="Q3897" s="1821"/>
      <c r="R3897" s="1821"/>
      <c r="S3897" s="1821"/>
      <c r="T3897" s="1821"/>
      <c r="U3897" s="1821"/>
      <c r="V3897" s="1821"/>
      <c r="W3897" s="1821"/>
      <c r="X3897" s="1821"/>
      <c r="Y3897" s="1821"/>
      <c r="Z3897" s="1821"/>
      <c r="AA3897" s="1821"/>
      <c r="AB3897" s="1821"/>
      <c r="AC3897" s="1821"/>
      <c r="AD3897" s="1821"/>
      <c r="AE3897" s="1821"/>
      <c r="AF3897" s="1821"/>
      <c r="AG3897" s="1821"/>
      <c r="AH3897" s="1821"/>
      <c r="AI3897" s="1821"/>
      <c r="AJ3897" s="1821"/>
      <c r="AK3897" s="1821"/>
      <c r="AL3897" s="1821"/>
      <c r="AM3897" s="1821"/>
      <c r="AN3897" s="1821"/>
      <c r="AO3897" s="1821"/>
      <c r="AP3897" s="1821"/>
      <c r="AQ3897" s="1821"/>
      <c r="AR3897" s="1821"/>
      <c r="AS3897" s="1821"/>
      <c r="AT3897" s="1821"/>
      <c r="AU3897" s="1821"/>
      <c r="AV3897" s="1821"/>
      <c r="AW3897" s="1821"/>
      <c r="AX3897" s="1821"/>
      <c r="AY3897" s="1821"/>
      <c r="AZ3897" s="1821"/>
      <c r="BA3897" s="1821"/>
      <c r="BB3897" s="1821"/>
      <c r="BC3897" s="1821"/>
      <c r="BD3897" s="1821"/>
      <c r="BE3897" s="1821"/>
      <c r="BF3897" s="1821"/>
      <c r="BG3897" s="1821"/>
      <c r="BH3897" s="1821"/>
      <c r="BI3897" s="1821"/>
      <c r="BJ3897" s="1821"/>
      <c r="BK3897" s="1821"/>
      <c r="BL3897" s="1821"/>
      <c r="BM3897" s="1821"/>
      <c r="BN3897" s="1821"/>
      <c r="BO3897" s="1821"/>
      <c r="BP3897" s="1821"/>
      <c r="BQ3897" s="1821"/>
      <c r="BR3897" s="1821"/>
      <c r="BS3897" s="1821"/>
      <c r="BT3897" s="1821"/>
      <c r="BU3897" s="1821"/>
      <c r="BV3897" s="1821"/>
      <c r="BW3897" s="1821"/>
      <c r="BX3897" s="1821"/>
      <c r="BY3897" s="1821"/>
      <c r="BZ3897" s="1821"/>
      <c r="CA3897" s="1821"/>
      <c r="CB3897" s="1821"/>
      <c r="CC3897" s="1821"/>
      <c r="CD3897" s="1821"/>
      <c r="CE3897" s="1821"/>
      <c r="CF3897" s="1821"/>
      <c r="CG3897" s="1821"/>
      <c r="CH3897" s="1821"/>
      <c r="CI3897" s="1821"/>
      <c r="CJ3897" s="1821"/>
      <c r="CK3897" s="1821"/>
    </row>
    <row r="3898" spans="1:89" s="744" customFormat="1" ht="16.5" customHeight="1" x14ac:dyDescent="0.25">
      <c r="A3898" s="1033"/>
      <c r="B3898" s="698" t="s">
        <v>349</v>
      </c>
      <c r="C3898" s="827"/>
      <c r="D3898" s="961"/>
      <c r="E3898" s="758"/>
      <c r="F3898" s="714"/>
      <c r="G3898" s="714"/>
      <c r="H3898" s="700">
        <f t="shared" si="433"/>
        <v>0</v>
      </c>
      <c r="I3898" s="714"/>
      <c r="J3898" s="714">
        <f>C3898*E3898</f>
        <v>0</v>
      </c>
      <c r="K3898" s="700">
        <f t="shared" si="431"/>
        <v>0</v>
      </c>
      <c r="L3898" s="714"/>
      <c r="M3898" s="714"/>
      <c r="N3898" s="700">
        <f t="shared" si="434"/>
        <v>0</v>
      </c>
      <c r="O3898" s="974">
        <f t="shared" si="432"/>
        <v>0</v>
      </c>
      <c r="P3898" s="956"/>
      <c r="Q3898" s="1821"/>
      <c r="R3898" s="1821"/>
      <c r="S3898" s="1821"/>
      <c r="T3898" s="1821"/>
      <c r="U3898" s="1821"/>
      <c r="V3898" s="1821"/>
      <c r="W3898" s="1821"/>
      <c r="X3898" s="1821"/>
      <c r="Y3898" s="1821"/>
      <c r="Z3898" s="1821"/>
      <c r="AA3898" s="1821"/>
      <c r="AB3898" s="1821"/>
      <c r="AC3898" s="1821"/>
      <c r="AD3898" s="1821"/>
      <c r="AE3898" s="1821"/>
      <c r="AF3898" s="1821"/>
      <c r="AG3898" s="1821"/>
      <c r="AH3898" s="1821"/>
      <c r="AI3898" s="1821"/>
      <c r="AJ3898" s="1821"/>
      <c r="AK3898" s="1821"/>
      <c r="AL3898" s="1821"/>
      <c r="AM3898" s="1821"/>
      <c r="AN3898" s="1821"/>
      <c r="AO3898" s="1821"/>
      <c r="AP3898" s="1821"/>
      <c r="AQ3898" s="1821"/>
      <c r="AR3898" s="1821"/>
      <c r="AS3898" s="1821"/>
      <c r="AT3898" s="1821"/>
      <c r="AU3898" s="1821"/>
      <c r="AV3898" s="1821"/>
      <c r="AW3898" s="1821"/>
      <c r="AX3898" s="1821"/>
      <c r="AY3898" s="1821"/>
      <c r="AZ3898" s="1821"/>
      <c r="BA3898" s="1821"/>
      <c r="BB3898" s="1821"/>
      <c r="BC3898" s="1821"/>
      <c r="BD3898" s="1821"/>
      <c r="BE3898" s="1821"/>
      <c r="BF3898" s="1821"/>
      <c r="BG3898" s="1821"/>
      <c r="BH3898" s="1821"/>
      <c r="BI3898" s="1821"/>
      <c r="BJ3898" s="1821"/>
      <c r="BK3898" s="1821"/>
      <c r="BL3898" s="1821"/>
      <c r="BM3898" s="1821"/>
      <c r="BN3898" s="1821"/>
      <c r="BO3898" s="1821"/>
      <c r="BP3898" s="1821"/>
      <c r="BQ3898" s="1821"/>
      <c r="BR3898" s="1821"/>
      <c r="BS3898" s="1821"/>
      <c r="BT3898" s="1821"/>
      <c r="BU3898" s="1821"/>
      <c r="BV3898" s="1821"/>
      <c r="BW3898" s="1821"/>
      <c r="BX3898" s="1821"/>
      <c r="BY3898" s="1821"/>
      <c r="BZ3898" s="1821"/>
      <c r="CA3898" s="1821"/>
      <c r="CB3898" s="1821"/>
      <c r="CC3898" s="1821"/>
      <c r="CD3898" s="1821"/>
      <c r="CE3898" s="1821"/>
      <c r="CF3898" s="1821"/>
      <c r="CG3898" s="1821"/>
      <c r="CH3898" s="1821"/>
      <c r="CI3898" s="1821"/>
      <c r="CJ3898" s="1821"/>
      <c r="CK3898" s="1821"/>
    </row>
    <row r="3899" spans="1:89" s="744" customFormat="1" ht="16.5" customHeight="1" x14ac:dyDescent="0.25">
      <c r="A3899" s="1033"/>
      <c r="B3899" s="709" t="s">
        <v>1344</v>
      </c>
      <c r="C3899" s="827">
        <v>57</v>
      </c>
      <c r="D3899" s="961" t="s">
        <v>51</v>
      </c>
      <c r="E3899" s="758">
        <v>100</v>
      </c>
      <c r="F3899" s="714"/>
      <c r="G3899" s="714"/>
      <c r="H3899" s="700">
        <f t="shared" si="433"/>
        <v>0</v>
      </c>
      <c r="I3899" s="714"/>
      <c r="J3899" s="714">
        <f>E3899*C3899</f>
        <v>5700</v>
      </c>
      <c r="K3899" s="700">
        <f t="shared" si="431"/>
        <v>5700</v>
      </c>
      <c r="L3899" s="714"/>
      <c r="M3899" s="714"/>
      <c r="N3899" s="700">
        <f t="shared" si="434"/>
        <v>0</v>
      </c>
      <c r="O3899" s="974">
        <f t="shared" si="432"/>
        <v>5700</v>
      </c>
      <c r="P3899" s="956"/>
      <c r="Q3899" s="1821"/>
      <c r="R3899" s="1821"/>
      <c r="S3899" s="1821"/>
      <c r="T3899" s="1821"/>
      <c r="U3899" s="1821"/>
      <c r="V3899" s="1821"/>
      <c r="W3899" s="1821"/>
      <c r="X3899" s="1821"/>
      <c r="Y3899" s="1821"/>
      <c r="Z3899" s="1821"/>
      <c r="AA3899" s="1821"/>
      <c r="AB3899" s="1821"/>
      <c r="AC3899" s="1821"/>
      <c r="AD3899" s="1821"/>
      <c r="AE3899" s="1821"/>
      <c r="AF3899" s="1821"/>
      <c r="AG3899" s="1821"/>
      <c r="AH3899" s="1821"/>
      <c r="AI3899" s="1821"/>
      <c r="AJ3899" s="1821"/>
      <c r="AK3899" s="1821"/>
      <c r="AL3899" s="1821"/>
      <c r="AM3899" s="1821"/>
      <c r="AN3899" s="1821"/>
      <c r="AO3899" s="1821"/>
      <c r="AP3899" s="1821"/>
      <c r="AQ3899" s="1821"/>
      <c r="AR3899" s="1821"/>
      <c r="AS3899" s="1821"/>
      <c r="AT3899" s="1821"/>
      <c r="AU3899" s="1821"/>
      <c r="AV3899" s="1821"/>
      <c r="AW3899" s="1821"/>
      <c r="AX3899" s="1821"/>
      <c r="AY3899" s="1821"/>
      <c r="AZ3899" s="1821"/>
      <c r="BA3899" s="1821"/>
      <c r="BB3899" s="1821"/>
      <c r="BC3899" s="1821"/>
      <c r="BD3899" s="1821"/>
      <c r="BE3899" s="1821"/>
      <c r="BF3899" s="1821"/>
      <c r="BG3899" s="1821"/>
      <c r="BH3899" s="1821"/>
      <c r="BI3899" s="1821"/>
      <c r="BJ3899" s="1821"/>
      <c r="BK3899" s="1821"/>
      <c r="BL3899" s="1821"/>
      <c r="BM3899" s="1821"/>
      <c r="BN3899" s="1821"/>
      <c r="BO3899" s="1821"/>
      <c r="BP3899" s="1821"/>
      <c r="BQ3899" s="1821"/>
      <c r="BR3899" s="1821"/>
      <c r="BS3899" s="1821"/>
      <c r="BT3899" s="1821"/>
      <c r="BU3899" s="1821"/>
      <c r="BV3899" s="1821"/>
      <c r="BW3899" s="1821"/>
      <c r="BX3899" s="1821"/>
      <c r="BY3899" s="1821"/>
      <c r="BZ3899" s="1821"/>
      <c r="CA3899" s="1821"/>
      <c r="CB3899" s="1821"/>
      <c r="CC3899" s="1821"/>
      <c r="CD3899" s="1821"/>
      <c r="CE3899" s="1821"/>
      <c r="CF3899" s="1821"/>
      <c r="CG3899" s="1821"/>
      <c r="CH3899" s="1821"/>
      <c r="CI3899" s="1821"/>
      <c r="CJ3899" s="1821"/>
      <c r="CK3899" s="1821"/>
    </row>
    <row r="3900" spans="1:89" s="744" customFormat="1" ht="16.5" customHeight="1" x14ac:dyDescent="0.25">
      <c r="A3900" s="1033"/>
      <c r="B3900" s="698" t="s">
        <v>54</v>
      </c>
      <c r="C3900" s="827">
        <v>171</v>
      </c>
      <c r="D3900" s="961" t="s">
        <v>55</v>
      </c>
      <c r="E3900" s="758">
        <v>430</v>
      </c>
      <c r="F3900" s="714"/>
      <c r="G3900" s="714"/>
      <c r="H3900" s="700">
        <f t="shared" si="433"/>
        <v>0</v>
      </c>
      <c r="I3900" s="714"/>
      <c r="J3900" s="714">
        <f>E3900*C3900</f>
        <v>73530</v>
      </c>
      <c r="K3900" s="700">
        <f t="shared" si="431"/>
        <v>73530</v>
      </c>
      <c r="L3900" s="714"/>
      <c r="M3900" s="714"/>
      <c r="N3900" s="700">
        <f t="shared" si="434"/>
        <v>0</v>
      </c>
      <c r="O3900" s="974">
        <f t="shared" si="432"/>
        <v>73530</v>
      </c>
      <c r="P3900" s="956"/>
      <c r="Q3900" s="1821"/>
      <c r="R3900" s="1821"/>
      <c r="S3900" s="1821"/>
      <c r="T3900" s="1821"/>
      <c r="U3900" s="1821"/>
      <c r="V3900" s="1821"/>
      <c r="W3900" s="1821"/>
      <c r="X3900" s="1821"/>
      <c r="Y3900" s="1821"/>
      <c r="Z3900" s="1821"/>
      <c r="AA3900" s="1821"/>
      <c r="AB3900" s="1821"/>
      <c r="AC3900" s="1821"/>
      <c r="AD3900" s="1821"/>
      <c r="AE3900" s="1821"/>
      <c r="AF3900" s="1821"/>
      <c r="AG3900" s="1821"/>
      <c r="AH3900" s="1821"/>
      <c r="AI3900" s="1821"/>
      <c r="AJ3900" s="1821"/>
      <c r="AK3900" s="1821"/>
      <c r="AL3900" s="1821"/>
      <c r="AM3900" s="1821"/>
      <c r="AN3900" s="1821"/>
      <c r="AO3900" s="1821"/>
      <c r="AP3900" s="1821"/>
      <c r="AQ3900" s="1821"/>
      <c r="AR3900" s="1821"/>
      <c r="AS3900" s="1821"/>
      <c r="AT3900" s="1821"/>
      <c r="AU3900" s="1821"/>
      <c r="AV3900" s="1821"/>
      <c r="AW3900" s="1821"/>
      <c r="AX3900" s="1821"/>
      <c r="AY3900" s="1821"/>
      <c r="AZ3900" s="1821"/>
      <c r="BA3900" s="1821"/>
      <c r="BB3900" s="1821"/>
      <c r="BC3900" s="1821"/>
      <c r="BD3900" s="1821"/>
      <c r="BE3900" s="1821"/>
      <c r="BF3900" s="1821"/>
      <c r="BG3900" s="1821"/>
      <c r="BH3900" s="1821"/>
      <c r="BI3900" s="1821"/>
      <c r="BJ3900" s="1821"/>
      <c r="BK3900" s="1821"/>
      <c r="BL3900" s="1821"/>
      <c r="BM3900" s="1821"/>
      <c r="BN3900" s="1821"/>
      <c r="BO3900" s="1821"/>
      <c r="BP3900" s="1821"/>
      <c r="BQ3900" s="1821"/>
      <c r="BR3900" s="1821"/>
      <c r="BS3900" s="1821"/>
      <c r="BT3900" s="1821"/>
      <c r="BU3900" s="1821"/>
      <c r="BV3900" s="1821"/>
      <c r="BW3900" s="1821"/>
      <c r="BX3900" s="1821"/>
      <c r="BY3900" s="1821"/>
      <c r="BZ3900" s="1821"/>
      <c r="CA3900" s="1821"/>
      <c r="CB3900" s="1821"/>
      <c r="CC3900" s="1821"/>
      <c r="CD3900" s="1821"/>
      <c r="CE3900" s="1821"/>
      <c r="CF3900" s="1821"/>
      <c r="CG3900" s="1821"/>
      <c r="CH3900" s="1821"/>
      <c r="CI3900" s="1821"/>
      <c r="CJ3900" s="1821"/>
      <c r="CK3900" s="1821"/>
    </row>
    <row r="3901" spans="1:89" s="744" customFormat="1" ht="16.5" customHeight="1" x14ac:dyDescent="0.25">
      <c r="A3901" s="1033"/>
      <c r="B3901" s="709" t="s">
        <v>52</v>
      </c>
      <c r="C3901" s="827">
        <v>114</v>
      </c>
      <c r="D3901" s="961" t="s">
        <v>55</v>
      </c>
      <c r="E3901" s="758">
        <v>518.42100000000005</v>
      </c>
      <c r="F3901" s="714"/>
      <c r="G3901" s="714"/>
      <c r="H3901" s="700">
        <f t="shared" si="433"/>
        <v>0</v>
      </c>
      <c r="I3901" s="714"/>
      <c r="J3901" s="714">
        <f>E3901*C3901</f>
        <v>59099.994000000006</v>
      </c>
      <c r="K3901" s="700">
        <f t="shared" si="431"/>
        <v>59099.994000000006</v>
      </c>
      <c r="L3901" s="714"/>
      <c r="M3901" s="714"/>
      <c r="N3901" s="700">
        <f t="shared" si="434"/>
        <v>0</v>
      </c>
      <c r="O3901" s="974">
        <f t="shared" si="432"/>
        <v>59099.994000000006</v>
      </c>
      <c r="P3901" s="956"/>
      <c r="Q3901" s="1821"/>
      <c r="R3901" s="1821"/>
      <c r="S3901" s="1821"/>
      <c r="T3901" s="1821"/>
      <c r="U3901" s="1821"/>
      <c r="V3901" s="1821"/>
      <c r="W3901" s="1821"/>
      <c r="X3901" s="1821"/>
      <c r="Y3901" s="1821"/>
      <c r="Z3901" s="1821"/>
      <c r="AA3901" s="1821"/>
      <c r="AB3901" s="1821"/>
      <c r="AC3901" s="1821"/>
      <c r="AD3901" s="1821"/>
      <c r="AE3901" s="1821"/>
      <c r="AF3901" s="1821"/>
      <c r="AG3901" s="1821"/>
      <c r="AH3901" s="1821"/>
      <c r="AI3901" s="1821"/>
      <c r="AJ3901" s="1821"/>
      <c r="AK3901" s="1821"/>
      <c r="AL3901" s="1821"/>
      <c r="AM3901" s="1821"/>
      <c r="AN3901" s="1821"/>
      <c r="AO3901" s="1821"/>
      <c r="AP3901" s="1821"/>
      <c r="AQ3901" s="1821"/>
      <c r="AR3901" s="1821"/>
      <c r="AS3901" s="1821"/>
      <c r="AT3901" s="1821"/>
      <c r="AU3901" s="1821"/>
      <c r="AV3901" s="1821"/>
      <c r="AW3901" s="1821"/>
      <c r="AX3901" s="1821"/>
      <c r="AY3901" s="1821"/>
      <c r="AZ3901" s="1821"/>
      <c r="BA3901" s="1821"/>
      <c r="BB3901" s="1821"/>
      <c r="BC3901" s="1821"/>
      <c r="BD3901" s="1821"/>
      <c r="BE3901" s="1821"/>
      <c r="BF3901" s="1821"/>
      <c r="BG3901" s="1821"/>
      <c r="BH3901" s="1821"/>
      <c r="BI3901" s="1821"/>
      <c r="BJ3901" s="1821"/>
      <c r="BK3901" s="1821"/>
      <c r="BL3901" s="1821"/>
      <c r="BM3901" s="1821"/>
      <c r="BN3901" s="1821"/>
      <c r="BO3901" s="1821"/>
      <c r="BP3901" s="1821"/>
      <c r="BQ3901" s="1821"/>
      <c r="BR3901" s="1821"/>
      <c r="BS3901" s="1821"/>
      <c r="BT3901" s="1821"/>
      <c r="BU3901" s="1821"/>
      <c r="BV3901" s="1821"/>
      <c r="BW3901" s="1821"/>
      <c r="BX3901" s="1821"/>
      <c r="BY3901" s="1821"/>
      <c r="BZ3901" s="1821"/>
      <c r="CA3901" s="1821"/>
      <c r="CB3901" s="1821"/>
      <c r="CC3901" s="1821"/>
      <c r="CD3901" s="1821"/>
      <c r="CE3901" s="1821"/>
      <c r="CF3901" s="1821"/>
      <c r="CG3901" s="1821"/>
      <c r="CH3901" s="1821"/>
      <c r="CI3901" s="1821"/>
      <c r="CJ3901" s="1821"/>
      <c r="CK3901" s="1821"/>
    </row>
    <row r="3902" spans="1:89" s="744" customFormat="1" ht="16.5" customHeight="1" x14ac:dyDescent="0.25">
      <c r="A3902" s="1033"/>
      <c r="B3902" s="709"/>
      <c r="C3902" s="827"/>
      <c r="D3902" s="961"/>
      <c r="E3902" s="758"/>
      <c r="F3902" s="714"/>
      <c r="G3902" s="714"/>
      <c r="H3902" s="700"/>
      <c r="I3902" s="714"/>
      <c r="J3902" s="714"/>
      <c r="K3902" s="700">
        <f t="shared" si="431"/>
        <v>0</v>
      </c>
      <c r="L3902" s="714"/>
      <c r="M3902" s="714"/>
      <c r="N3902" s="700"/>
      <c r="O3902" s="974">
        <f t="shared" si="432"/>
        <v>0</v>
      </c>
      <c r="P3902" s="956"/>
      <c r="Q3902" s="1821"/>
      <c r="R3902" s="1821"/>
      <c r="S3902" s="1821"/>
      <c r="T3902" s="1821"/>
      <c r="U3902" s="1821"/>
      <c r="V3902" s="1821"/>
      <c r="W3902" s="1821"/>
      <c r="X3902" s="1821"/>
      <c r="Y3902" s="1821"/>
      <c r="Z3902" s="1821"/>
      <c r="AA3902" s="1821"/>
      <c r="AB3902" s="1821"/>
      <c r="AC3902" s="1821"/>
      <c r="AD3902" s="1821"/>
      <c r="AE3902" s="1821"/>
      <c r="AF3902" s="1821"/>
      <c r="AG3902" s="1821"/>
      <c r="AH3902" s="1821"/>
      <c r="AI3902" s="1821"/>
      <c r="AJ3902" s="1821"/>
      <c r="AK3902" s="1821"/>
      <c r="AL3902" s="1821"/>
      <c r="AM3902" s="1821"/>
      <c r="AN3902" s="1821"/>
      <c r="AO3902" s="1821"/>
      <c r="AP3902" s="1821"/>
      <c r="AQ3902" s="1821"/>
      <c r="AR3902" s="1821"/>
      <c r="AS3902" s="1821"/>
      <c r="AT3902" s="1821"/>
      <c r="AU3902" s="1821"/>
      <c r="AV3902" s="1821"/>
      <c r="AW3902" s="1821"/>
      <c r="AX3902" s="1821"/>
      <c r="AY3902" s="1821"/>
      <c r="AZ3902" s="1821"/>
      <c r="BA3902" s="1821"/>
      <c r="BB3902" s="1821"/>
      <c r="BC3902" s="1821"/>
      <c r="BD3902" s="1821"/>
      <c r="BE3902" s="1821"/>
      <c r="BF3902" s="1821"/>
      <c r="BG3902" s="1821"/>
      <c r="BH3902" s="1821"/>
      <c r="BI3902" s="1821"/>
      <c r="BJ3902" s="1821"/>
      <c r="BK3902" s="1821"/>
      <c r="BL3902" s="1821"/>
      <c r="BM3902" s="1821"/>
      <c r="BN3902" s="1821"/>
      <c r="BO3902" s="1821"/>
      <c r="BP3902" s="1821"/>
      <c r="BQ3902" s="1821"/>
      <c r="BR3902" s="1821"/>
      <c r="BS3902" s="1821"/>
      <c r="BT3902" s="1821"/>
      <c r="BU3902" s="1821"/>
      <c r="BV3902" s="1821"/>
      <c r="BW3902" s="1821"/>
      <c r="BX3902" s="1821"/>
      <c r="BY3902" s="1821"/>
      <c r="BZ3902" s="1821"/>
      <c r="CA3902" s="1821"/>
      <c r="CB3902" s="1821"/>
      <c r="CC3902" s="1821"/>
      <c r="CD3902" s="1821"/>
      <c r="CE3902" s="1821"/>
      <c r="CF3902" s="1821"/>
      <c r="CG3902" s="1821"/>
      <c r="CH3902" s="1821"/>
      <c r="CI3902" s="1821"/>
      <c r="CJ3902" s="1821"/>
      <c r="CK3902" s="1821"/>
    </row>
    <row r="3903" spans="1:89" s="744" customFormat="1" ht="16.5" customHeight="1" x14ac:dyDescent="0.25">
      <c r="A3903" s="1033"/>
      <c r="B3903" s="709" t="s">
        <v>1345</v>
      </c>
      <c r="C3903" s="827"/>
      <c r="D3903" s="961"/>
      <c r="E3903" s="758"/>
      <c r="F3903" s="714"/>
      <c r="G3903" s="714"/>
      <c r="H3903" s="700"/>
      <c r="I3903" s="714"/>
      <c r="J3903" s="714"/>
      <c r="K3903" s="700">
        <f t="shared" si="431"/>
        <v>0</v>
      </c>
      <c r="L3903" s="714"/>
      <c r="M3903" s="714"/>
      <c r="N3903" s="700"/>
      <c r="O3903" s="974">
        <f t="shared" si="432"/>
        <v>0</v>
      </c>
      <c r="P3903" s="956"/>
      <c r="Q3903" s="1821"/>
      <c r="R3903" s="1821"/>
      <c r="S3903" s="1821"/>
      <c r="T3903" s="1821"/>
      <c r="U3903" s="1821"/>
      <c r="V3903" s="1821"/>
      <c r="W3903" s="1821"/>
      <c r="X3903" s="1821"/>
      <c r="Y3903" s="1821"/>
      <c r="Z3903" s="1821"/>
      <c r="AA3903" s="1821"/>
      <c r="AB3903" s="1821"/>
      <c r="AC3903" s="1821"/>
      <c r="AD3903" s="1821"/>
      <c r="AE3903" s="1821"/>
      <c r="AF3903" s="1821"/>
      <c r="AG3903" s="1821"/>
      <c r="AH3903" s="1821"/>
      <c r="AI3903" s="1821"/>
      <c r="AJ3903" s="1821"/>
      <c r="AK3903" s="1821"/>
      <c r="AL3903" s="1821"/>
      <c r="AM3903" s="1821"/>
      <c r="AN3903" s="1821"/>
      <c r="AO3903" s="1821"/>
      <c r="AP3903" s="1821"/>
      <c r="AQ3903" s="1821"/>
      <c r="AR3903" s="1821"/>
      <c r="AS3903" s="1821"/>
      <c r="AT3903" s="1821"/>
      <c r="AU3903" s="1821"/>
      <c r="AV3903" s="1821"/>
      <c r="AW3903" s="1821"/>
      <c r="AX3903" s="1821"/>
      <c r="AY3903" s="1821"/>
      <c r="AZ3903" s="1821"/>
      <c r="BA3903" s="1821"/>
      <c r="BB3903" s="1821"/>
      <c r="BC3903" s="1821"/>
      <c r="BD3903" s="1821"/>
      <c r="BE3903" s="1821"/>
      <c r="BF3903" s="1821"/>
      <c r="BG3903" s="1821"/>
      <c r="BH3903" s="1821"/>
      <c r="BI3903" s="1821"/>
      <c r="BJ3903" s="1821"/>
      <c r="BK3903" s="1821"/>
      <c r="BL3903" s="1821"/>
      <c r="BM3903" s="1821"/>
      <c r="BN3903" s="1821"/>
      <c r="BO3903" s="1821"/>
      <c r="BP3903" s="1821"/>
      <c r="BQ3903" s="1821"/>
      <c r="BR3903" s="1821"/>
      <c r="BS3903" s="1821"/>
      <c r="BT3903" s="1821"/>
      <c r="BU3903" s="1821"/>
      <c r="BV3903" s="1821"/>
      <c r="BW3903" s="1821"/>
      <c r="BX3903" s="1821"/>
      <c r="BY3903" s="1821"/>
      <c r="BZ3903" s="1821"/>
      <c r="CA3903" s="1821"/>
      <c r="CB3903" s="1821"/>
      <c r="CC3903" s="1821"/>
      <c r="CD3903" s="1821"/>
      <c r="CE3903" s="1821"/>
      <c r="CF3903" s="1821"/>
      <c r="CG3903" s="1821"/>
      <c r="CH3903" s="1821"/>
      <c r="CI3903" s="1821"/>
      <c r="CJ3903" s="1821"/>
      <c r="CK3903" s="1821"/>
    </row>
    <row r="3904" spans="1:89" s="744" customFormat="1" ht="16.5" customHeight="1" x14ac:dyDescent="0.25">
      <c r="A3904" s="1033"/>
      <c r="B3904" s="709" t="s">
        <v>1346</v>
      </c>
      <c r="C3904" s="827"/>
      <c r="D3904" s="961"/>
      <c r="E3904" s="758"/>
      <c r="F3904" s="714"/>
      <c r="G3904" s="714"/>
      <c r="H3904" s="700"/>
      <c r="I3904" s="714"/>
      <c r="J3904" s="714"/>
      <c r="K3904" s="700">
        <f t="shared" si="431"/>
        <v>0</v>
      </c>
      <c r="L3904" s="714"/>
      <c r="M3904" s="714"/>
      <c r="N3904" s="700"/>
      <c r="O3904" s="974">
        <f t="shared" si="432"/>
        <v>0</v>
      </c>
      <c r="P3904" s="956"/>
      <c r="Q3904" s="1821"/>
      <c r="R3904" s="1821"/>
      <c r="S3904" s="1821"/>
      <c r="T3904" s="1821"/>
      <c r="U3904" s="1821"/>
      <c r="V3904" s="1821"/>
      <c r="W3904" s="1821"/>
      <c r="X3904" s="1821"/>
      <c r="Y3904" s="1821"/>
      <c r="Z3904" s="1821"/>
      <c r="AA3904" s="1821"/>
      <c r="AB3904" s="1821"/>
      <c r="AC3904" s="1821"/>
      <c r="AD3904" s="1821"/>
      <c r="AE3904" s="1821"/>
      <c r="AF3904" s="1821"/>
      <c r="AG3904" s="1821"/>
      <c r="AH3904" s="1821"/>
      <c r="AI3904" s="1821"/>
      <c r="AJ3904" s="1821"/>
      <c r="AK3904" s="1821"/>
      <c r="AL3904" s="1821"/>
      <c r="AM3904" s="1821"/>
      <c r="AN3904" s="1821"/>
      <c r="AO3904" s="1821"/>
      <c r="AP3904" s="1821"/>
      <c r="AQ3904" s="1821"/>
      <c r="AR3904" s="1821"/>
      <c r="AS3904" s="1821"/>
      <c r="AT3904" s="1821"/>
      <c r="AU3904" s="1821"/>
      <c r="AV3904" s="1821"/>
      <c r="AW3904" s="1821"/>
      <c r="AX3904" s="1821"/>
      <c r="AY3904" s="1821"/>
      <c r="AZ3904" s="1821"/>
      <c r="BA3904" s="1821"/>
      <c r="BB3904" s="1821"/>
      <c r="BC3904" s="1821"/>
      <c r="BD3904" s="1821"/>
      <c r="BE3904" s="1821"/>
      <c r="BF3904" s="1821"/>
      <c r="BG3904" s="1821"/>
      <c r="BH3904" s="1821"/>
      <c r="BI3904" s="1821"/>
      <c r="BJ3904" s="1821"/>
      <c r="BK3904" s="1821"/>
      <c r="BL3904" s="1821"/>
      <c r="BM3904" s="1821"/>
      <c r="BN3904" s="1821"/>
      <c r="BO3904" s="1821"/>
      <c r="BP3904" s="1821"/>
      <c r="BQ3904" s="1821"/>
      <c r="BR3904" s="1821"/>
      <c r="BS3904" s="1821"/>
      <c r="BT3904" s="1821"/>
      <c r="BU3904" s="1821"/>
      <c r="BV3904" s="1821"/>
      <c r="BW3904" s="1821"/>
      <c r="BX3904" s="1821"/>
      <c r="BY3904" s="1821"/>
      <c r="BZ3904" s="1821"/>
      <c r="CA3904" s="1821"/>
      <c r="CB3904" s="1821"/>
      <c r="CC3904" s="1821"/>
      <c r="CD3904" s="1821"/>
      <c r="CE3904" s="1821"/>
      <c r="CF3904" s="1821"/>
      <c r="CG3904" s="1821"/>
      <c r="CH3904" s="1821"/>
      <c r="CI3904" s="1821"/>
      <c r="CJ3904" s="1821"/>
      <c r="CK3904" s="1821"/>
    </row>
    <row r="3905" spans="1:89" s="744" customFormat="1" ht="16.5" customHeight="1" x14ac:dyDescent="0.25">
      <c r="A3905" s="1033"/>
      <c r="B3905" s="709" t="s">
        <v>350</v>
      </c>
      <c r="C3905" s="827">
        <v>76</v>
      </c>
      <c r="D3905" s="961" t="s">
        <v>51</v>
      </c>
      <c r="E3905" s="758">
        <v>2619.75</v>
      </c>
      <c r="F3905" s="714"/>
      <c r="G3905" s="714"/>
      <c r="H3905" s="700"/>
      <c r="I3905" s="714"/>
      <c r="J3905" s="714">
        <f>E3905*C3905</f>
        <v>199101</v>
      </c>
      <c r="K3905" s="700">
        <f t="shared" si="431"/>
        <v>199101</v>
      </c>
      <c r="L3905" s="714"/>
      <c r="M3905" s="714"/>
      <c r="N3905" s="700"/>
      <c r="O3905" s="974">
        <f t="shared" si="432"/>
        <v>199101</v>
      </c>
      <c r="P3905" s="956"/>
      <c r="Q3905" s="1821"/>
      <c r="R3905" s="1821"/>
      <c r="S3905" s="1821"/>
      <c r="T3905" s="1821"/>
      <c r="U3905" s="1821"/>
      <c r="V3905" s="1821"/>
      <c r="W3905" s="1821"/>
      <c r="X3905" s="1821"/>
      <c r="Y3905" s="1821"/>
      <c r="Z3905" s="1821"/>
      <c r="AA3905" s="1821"/>
      <c r="AB3905" s="1821"/>
      <c r="AC3905" s="1821"/>
      <c r="AD3905" s="1821"/>
      <c r="AE3905" s="1821"/>
      <c r="AF3905" s="1821"/>
      <c r="AG3905" s="1821"/>
      <c r="AH3905" s="1821"/>
      <c r="AI3905" s="1821"/>
      <c r="AJ3905" s="1821"/>
      <c r="AK3905" s="1821"/>
      <c r="AL3905" s="1821"/>
      <c r="AM3905" s="1821"/>
      <c r="AN3905" s="1821"/>
      <c r="AO3905" s="1821"/>
      <c r="AP3905" s="1821"/>
      <c r="AQ3905" s="1821"/>
      <c r="AR3905" s="1821"/>
      <c r="AS3905" s="1821"/>
      <c r="AT3905" s="1821"/>
      <c r="AU3905" s="1821"/>
      <c r="AV3905" s="1821"/>
      <c r="AW3905" s="1821"/>
      <c r="AX3905" s="1821"/>
      <c r="AY3905" s="1821"/>
      <c r="AZ3905" s="1821"/>
      <c r="BA3905" s="1821"/>
      <c r="BB3905" s="1821"/>
      <c r="BC3905" s="1821"/>
      <c r="BD3905" s="1821"/>
      <c r="BE3905" s="1821"/>
      <c r="BF3905" s="1821"/>
      <c r="BG3905" s="1821"/>
      <c r="BH3905" s="1821"/>
      <c r="BI3905" s="1821"/>
      <c r="BJ3905" s="1821"/>
      <c r="BK3905" s="1821"/>
      <c r="BL3905" s="1821"/>
      <c r="BM3905" s="1821"/>
      <c r="BN3905" s="1821"/>
      <c r="BO3905" s="1821"/>
      <c r="BP3905" s="1821"/>
      <c r="BQ3905" s="1821"/>
      <c r="BR3905" s="1821"/>
      <c r="BS3905" s="1821"/>
      <c r="BT3905" s="1821"/>
      <c r="BU3905" s="1821"/>
      <c r="BV3905" s="1821"/>
      <c r="BW3905" s="1821"/>
      <c r="BX3905" s="1821"/>
      <c r="BY3905" s="1821"/>
      <c r="BZ3905" s="1821"/>
      <c r="CA3905" s="1821"/>
      <c r="CB3905" s="1821"/>
      <c r="CC3905" s="1821"/>
      <c r="CD3905" s="1821"/>
      <c r="CE3905" s="1821"/>
      <c r="CF3905" s="1821"/>
      <c r="CG3905" s="1821"/>
      <c r="CH3905" s="1821"/>
      <c r="CI3905" s="1821"/>
      <c r="CJ3905" s="1821"/>
      <c r="CK3905" s="1821"/>
    </row>
    <row r="3906" spans="1:89" s="744" customFormat="1" ht="16.5" customHeight="1" x14ac:dyDescent="0.25">
      <c r="A3906" s="1033"/>
      <c r="B3906" s="709" t="s">
        <v>1347</v>
      </c>
      <c r="C3906" s="827">
        <v>228</v>
      </c>
      <c r="D3906" s="961" t="s">
        <v>55</v>
      </c>
      <c r="E3906" s="758">
        <v>132.5</v>
      </c>
      <c r="F3906" s="714"/>
      <c r="G3906" s="714"/>
      <c r="H3906" s="700"/>
      <c r="I3906" s="714"/>
      <c r="J3906" s="714">
        <f>E3906*C3906</f>
        <v>30210</v>
      </c>
      <c r="K3906" s="700">
        <f t="shared" si="431"/>
        <v>30210</v>
      </c>
      <c r="L3906" s="714"/>
      <c r="M3906" s="714"/>
      <c r="N3906" s="700"/>
      <c r="O3906" s="974">
        <f t="shared" si="432"/>
        <v>30210</v>
      </c>
      <c r="P3906" s="956"/>
      <c r="Q3906" s="1821"/>
      <c r="R3906" s="1821"/>
      <c r="S3906" s="1821"/>
      <c r="T3906" s="1821"/>
      <c r="U3906" s="1821"/>
      <c r="V3906" s="1821"/>
      <c r="W3906" s="1821"/>
      <c r="X3906" s="1821"/>
      <c r="Y3906" s="1821"/>
      <c r="Z3906" s="1821"/>
      <c r="AA3906" s="1821"/>
      <c r="AB3906" s="1821"/>
      <c r="AC3906" s="1821"/>
      <c r="AD3906" s="1821"/>
      <c r="AE3906" s="1821"/>
      <c r="AF3906" s="1821"/>
      <c r="AG3906" s="1821"/>
      <c r="AH3906" s="1821"/>
      <c r="AI3906" s="1821"/>
      <c r="AJ3906" s="1821"/>
      <c r="AK3906" s="1821"/>
      <c r="AL3906" s="1821"/>
      <c r="AM3906" s="1821"/>
      <c r="AN3906" s="1821"/>
      <c r="AO3906" s="1821"/>
      <c r="AP3906" s="1821"/>
      <c r="AQ3906" s="1821"/>
      <c r="AR3906" s="1821"/>
      <c r="AS3906" s="1821"/>
      <c r="AT3906" s="1821"/>
      <c r="AU3906" s="1821"/>
      <c r="AV3906" s="1821"/>
      <c r="AW3906" s="1821"/>
      <c r="AX3906" s="1821"/>
      <c r="AY3906" s="1821"/>
      <c r="AZ3906" s="1821"/>
      <c r="BA3906" s="1821"/>
      <c r="BB3906" s="1821"/>
      <c r="BC3906" s="1821"/>
      <c r="BD3906" s="1821"/>
      <c r="BE3906" s="1821"/>
      <c r="BF3906" s="1821"/>
      <c r="BG3906" s="1821"/>
      <c r="BH3906" s="1821"/>
      <c r="BI3906" s="1821"/>
      <c r="BJ3906" s="1821"/>
      <c r="BK3906" s="1821"/>
      <c r="BL3906" s="1821"/>
      <c r="BM3906" s="1821"/>
      <c r="BN3906" s="1821"/>
      <c r="BO3906" s="1821"/>
      <c r="BP3906" s="1821"/>
      <c r="BQ3906" s="1821"/>
      <c r="BR3906" s="1821"/>
      <c r="BS3906" s="1821"/>
      <c r="BT3906" s="1821"/>
      <c r="BU3906" s="1821"/>
      <c r="BV3906" s="1821"/>
      <c r="BW3906" s="1821"/>
      <c r="BX3906" s="1821"/>
      <c r="BY3906" s="1821"/>
      <c r="BZ3906" s="1821"/>
      <c r="CA3906" s="1821"/>
      <c r="CB3906" s="1821"/>
      <c r="CC3906" s="1821"/>
      <c r="CD3906" s="1821"/>
      <c r="CE3906" s="1821"/>
      <c r="CF3906" s="1821"/>
      <c r="CG3906" s="1821"/>
      <c r="CH3906" s="1821"/>
      <c r="CI3906" s="1821"/>
      <c r="CJ3906" s="1821"/>
      <c r="CK3906" s="1821"/>
    </row>
    <row r="3907" spans="1:89" s="744" customFormat="1" ht="16.5" customHeight="1" x14ac:dyDescent="0.25">
      <c r="A3907" s="1033"/>
      <c r="B3907" s="709" t="s">
        <v>1348</v>
      </c>
      <c r="C3907" s="827">
        <v>800</v>
      </c>
      <c r="D3907" s="961" t="s">
        <v>55</v>
      </c>
      <c r="E3907" s="758">
        <v>757.5</v>
      </c>
      <c r="F3907" s="714"/>
      <c r="G3907" s="714"/>
      <c r="H3907" s="700"/>
      <c r="I3907" s="714"/>
      <c r="J3907" s="714">
        <f>E3907*C3907</f>
        <v>606000</v>
      </c>
      <c r="K3907" s="700">
        <f t="shared" si="431"/>
        <v>606000</v>
      </c>
      <c r="L3907" s="714"/>
      <c r="M3907" s="714"/>
      <c r="N3907" s="700"/>
      <c r="O3907" s="974">
        <f t="shared" si="432"/>
        <v>606000</v>
      </c>
      <c r="P3907" s="956"/>
      <c r="Q3907" s="1821"/>
      <c r="R3907" s="1821"/>
      <c r="S3907" s="1821"/>
      <c r="T3907" s="1821"/>
      <c r="U3907" s="1821"/>
      <c r="V3907" s="1821"/>
      <c r="W3907" s="1821"/>
      <c r="X3907" s="1821"/>
      <c r="Y3907" s="1821"/>
      <c r="Z3907" s="1821"/>
      <c r="AA3907" s="1821"/>
      <c r="AB3907" s="1821"/>
      <c r="AC3907" s="1821"/>
      <c r="AD3907" s="1821"/>
      <c r="AE3907" s="1821"/>
      <c r="AF3907" s="1821"/>
      <c r="AG3907" s="1821"/>
      <c r="AH3907" s="1821"/>
      <c r="AI3907" s="1821"/>
      <c r="AJ3907" s="1821"/>
      <c r="AK3907" s="1821"/>
      <c r="AL3907" s="1821"/>
      <c r="AM3907" s="1821"/>
      <c r="AN3907" s="1821"/>
      <c r="AO3907" s="1821"/>
      <c r="AP3907" s="1821"/>
      <c r="AQ3907" s="1821"/>
      <c r="AR3907" s="1821"/>
      <c r="AS3907" s="1821"/>
      <c r="AT3907" s="1821"/>
      <c r="AU3907" s="1821"/>
      <c r="AV3907" s="1821"/>
      <c r="AW3907" s="1821"/>
      <c r="AX3907" s="1821"/>
      <c r="AY3907" s="1821"/>
      <c r="AZ3907" s="1821"/>
      <c r="BA3907" s="1821"/>
      <c r="BB3907" s="1821"/>
      <c r="BC3907" s="1821"/>
      <c r="BD3907" s="1821"/>
      <c r="BE3907" s="1821"/>
      <c r="BF3907" s="1821"/>
      <c r="BG3907" s="1821"/>
      <c r="BH3907" s="1821"/>
      <c r="BI3907" s="1821"/>
      <c r="BJ3907" s="1821"/>
      <c r="BK3907" s="1821"/>
      <c r="BL3907" s="1821"/>
      <c r="BM3907" s="1821"/>
      <c r="BN3907" s="1821"/>
      <c r="BO3907" s="1821"/>
      <c r="BP3907" s="1821"/>
      <c r="BQ3907" s="1821"/>
      <c r="BR3907" s="1821"/>
      <c r="BS3907" s="1821"/>
      <c r="BT3907" s="1821"/>
      <c r="BU3907" s="1821"/>
      <c r="BV3907" s="1821"/>
      <c r="BW3907" s="1821"/>
      <c r="BX3907" s="1821"/>
      <c r="BY3907" s="1821"/>
      <c r="BZ3907" s="1821"/>
      <c r="CA3907" s="1821"/>
      <c r="CB3907" s="1821"/>
      <c r="CC3907" s="1821"/>
      <c r="CD3907" s="1821"/>
      <c r="CE3907" s="1821"/>
      <c r="CF3907" s="1821"/>
      <c r="CG3907" s="1821"/>
      <c r="CH3907" s="1821"/>
      <c r="CI3907" s="1821"/>
      <c r="CJ3907" s="1821"/>
      <c r="CK3907" s="1821"/>
    </row>
    <row r="3908" spans="1:89" s="744" customFormat="1" ht="16.5" customHeight="1" x14ac:dyDescent="0.25">
      <c r="A3908" s="1033"/>
      <c r="B3908" s="709"/>
      <c r="C3908" s="827"/>
      <c r="D3908" s="961"/>
      <c r="E3908" s="758"/>
      <c r="F3908" s="714"/>
      <c r="G3908" s="714"/>
      <c r="H3908" s="700"/>
      <c r="I3908" s="714"/>
      <c r="J3908" s="714"/>
      <c r="K3908" s="700">
        <f t="shared" si="431"/>
        <v>0</v>
      </c>
      <c r="L3908" s="714"/>
      <c r="M3908" s="714"/>
      <c r="N3908" s="700"/>
      <c r="O3908" s="974">
        <f t="shared" si="432"/>
        <v>0</v>
      </c>
      <c r="P3908" s="956"/>
      <c r="Q3908" s="1821"/>
      <c r="R3908" s="1821"/>
      <c r="S3908" s="1821"/>
      <c r="T3908" s="1821"/>
      <c r="U3908" s="1821"/>
      <c r="V3908" s="1821"/>
      <c r="W3908" s="1821"/>
      <c r="X3908" s="1821"/>
      <c r="Y3908" s="1821"/>
      <c r="Z3908" s="1821"/>
      <c r="AA3908" s="1821"/>
      <c r="AB3908" s="1821"/>
      <c r="AC3908" s="1821"/>
      <c r="AD3908" s="1821"/>
      <c r="AE3908" s="1821"/>
      <c r="AF3908" s="1821"/>
      <c r="AG3908" s="1821"/>
      <c r="AH3908" s="1821"/>
      <c r="AI3908" s="1821"/>
      <c r="AJ3908" s="1821"/>
      <c r="AK3908" s="1821"/>
      <c r="AL3908" s="1821"/>
      <c r="AM3908" s="1821"/>
      <c r="AN3908" s="1821"/>
      <c r="AO3908" s="1821"/>
      <c r="AP3908" s="1821"/>
      <c r="AQ3908" s="1821"/>
      <c r="AR3908" s="1821"/>
      <c r="AS3908" s="1821"/>
      <c r="AT3908" s="1821"/>
      <c r="AU3908" s="1821"/>
      <c r="AV3908" s="1821"/>
      <c r="AW3908" s="1821"/>
      <c r="AX3908" s="1821"/>
      <c r="AY3908" s="1821"/>
      <c r="AZ3908" s="1821"/>
      <c r="BA3908" s="1821"/>
      <c r="BB3908" s="1821"/>
      <c r="BC3908" s="1821"/>
      <c r="BD3908" s="1821"/>
      <c r="BE3908" s="1821"/>
      <c r="BF3908" s="1821"/>
      <c r="BG3908" s="1821"/>
      <c r="BH3908" s="1821"/>
      <c r="BI3908" s="1821"/>
      <c r="BJ3908" s="1821"/>
      <c r="BK3908" s="1821"/>
      <c r="BL3908" s="1821"/>
      <c r="BM3908" s="1821"/>
      <c r="BN3908" s="1821"/>
      <c r="BO3908" s="1821"/>
      <c r="BP3908" s="1821"/>
      <c r="BQ3908" s="1821"/>
      <c r="BR3908" s="1821"/>
      <c r="BS3908" s="1821"/>
      <c r="BT3908" s="1821"/>
      <c r="BU3908" s="1821"/>
      <c r="BV3908" s="1821"/>
      <c r="BW3908" s="1821"/>
      <c r="BX3908" s="1821"/>
      <c r="BY3908" s="1821"/>
      <c r="BZ3908" s="1821"/>
      <c r="CA3908" s="1821"/>
      <c r="CB3908" s="1821"/>
      <c r="CC3908" s="1821"/>
      <c r="CD3908" s="1821"/>
      <c r="CE3908" s="1821"/>
      <c r="CF3908" s="1821"/>
      <c r="CG3908" s="1821"/>
      <c r="CH3908" s="1821"/>
      <c r="CI3908" s="1821"/>
      <c r="CJ3908" s="1821"/>
      <c r="CK3908" s="1821"/>
    </row>
    <row r="3909" spans="1:89" s="744" customFormat="1" ht="16.5" customHeight="1" x14ac:dyDescent="0.25">
      <c r="A3909" s="1033"/>
      <c r="B3909" s="709"/>
      <c r="C3909" s="827"/>
      <c r="D3909" s="961"/>
      <c r="E3909" s="758"/>
      <c r="F3909" s="714"/>
      <c r="G3909" s="714"/>
      <c r="H3909" s="700">
        <f t="shared" si="433"/>
        <v>0</v>
      </c>
      <c r="I3909" s="714"/>
      <c r="J3909" s="714">
        <f>C3909*E3909</f>
        <v>0</v>
      </c>
      <c r="K3909" s="700">
        <f t="shared" si="431"/>
        <v>0</v>
      </c>
      <c r="L3909" s="714"/>
      <c r="M3909" s="714"/>
      <c r="N3909" s="700">
        <f t="shared" si="434"/>
        <v>0</v>
      </c>
      <c r="O3909" s="974">
        <f t="shared" si="432"/>
        <v>0</v>
      </c>
      <c r="P3909" s="956"/>
      <c r="Q3909" s="1821"/>
      <c r="R3909" s="1821"/>
      <c r="S3909" s="1821"/>
      <c r="T3909" s="1821"/>
      <c r="U3909" s="1821"/>
      <c r="V3909" s="1821"/>
      <c r="W3909" s="1821"/>
      <c r="X3909" s="1821"/>
      <c r="Y3909" s="1821"/>
      <c r="Z3909" s="1821"/>
      <c r="AA3909" s="1821"/>
      <c r="AB3909" s="1821"/>
      <c r="AC3909" s="1821"/>
      <c r="AD3909" s="1821"/>
      <c r="AE3909" s="1821"/>
      <c r="AF3909" s="1821"/>
      <c r="AG3909" s="1821"/>
      <c r="AH3909" s="1821"/>
      <c r="AI3909" s="1821"/>
      <c r="AJ3909" s="1821"/>
      <c r="AK3909" s="1821"/>
      <c r="AL3909" s="1821"/>
      <c r="AM3909" s="1821"/>
      <c r="AN3909" s="1821"/>
      <c r="AO3909" s="1821"/>
      <c r="AP3909" s="1821"/>
      <c r="AQ3909" s="1821"/>
      <c r="AR3909" s="1821"/>
      <c r="AS3909" s="1821"/>
      <c r="AT3909" s="1821"/>
      <c r="AU3909" s="1821"/>
      <c r="AV3909" s="1821"/>
      <c r="AW3909" s="1821"/>
      <c r="AX3909" s="1821"/>
      <c r="AY3909" s="1821"/>
      <c r="AZ3909" s="1821"/>
      <c r="BA3909" s="1821"/>
      <c r="BB3909" s="1821"/>
      <c r="BC3909" s="1821"/>
      <c r="BD3909" s="1821"/>
      <c r="BE3909" s="1821"/>
      <c r="BF3909" s="1821"/>
      <c r="BG3909" s="1821"/>
      <c r="BH3909" s="1821"/>
      <c r="BI3909" s="1821"/>
      <c r="BJ3909" s="1821"/>
      <c r="BK3909" s="1821"/>
      <c r="BL3909" s="1821"/>
      <c r="BM3909" s="1821"/>
      <c r="BN3909" s="1821"/>
      <c r="BO3909" s="1821"/>
      <c r="BP3909" s="1821"/>
      <c r="BQ3909" s="1821"/>
      <c r="BR3909" s="1821"/>
      <c r="BS3909" s="1821"/>
      <c r="BT3909" s="1821"/>
      <c r="BU3909" s="1821"/>
      <c r="BV3909" s="1821"/>
      <c r="BW3909" s="1821"/>
      <c r="BX3909" s="1821"/>
      <c r="BY3909" s="1821"/>
      <c r="BZ3909" s="1821"/>
      <c r="CA3909" s="1821"/>
      <c r="CB3909" s="1821"/>
      <c r="CC3909" s="1821"/>
      <c r="CD3909" s="1821"/>
      <c r="CE3909" s="1821"/>
      <c r="CF3909" s="1821"/>
      <c r="CG3909" s="1821"/>
      <c r="CH3909" s="1821"/>
      <c r="CI3909" s="1821"/>
      <c r="CJ3909" s="1821"/>
      <c r="CK3909" s="1821"/>
    </row>
    <row r="3910" spans="1:89" s="744" customFormat="1" ht="16.5" customHeight="1" x14ac:dyDescent="0.25">
      <c r="A3910" s="1033">
        <v>12</v>
      </c>
      <c r="B3910" s="709" t="s">
        <v>440</v>
      </c>
      <c r="C3910" s="827"/>
      <c r="D3910" s="961"/>
      <c r="E3910" s="758"/>
      <c r="F3910" s="714"/>
      <c r="G3910" s="714"/>
      <c r="H3910" s="700"/>
      <c r="I3910" s="714"/>
      <c r="J3910" s="714"/>
      <c r="K3910" s="700"/>
      <c r="L3910" s="714"/>
      <c r="M3910" s="714"/>
      <c r="N3910" s="700"/>
      <c r="O3910" s="974"/>
      <c r="P3910" s="956"/>
      <c r="Q3910" s="1821"/>
      <c r="R3910" s="1821"/>
      <c r="S3910" s="1821"/>
      <c r="T3910" s="1821"/>
      <c r="U3910" s="1821"/>
      <c r="V3910" s="1821"/>
      <c r="W3910" s="1821"/>
      <c r="X3910" s="1821"/>
      <c r="Y3910" s="1821"/>
      <c r="Z3910" s="1821"/>
      <c r="AA3910" s="1821"/>
      <c r="AB3910" s="1821"/>
      <c r="AC3910" s="1821"/>
      <c r="AD3910" s="1821"/>
      <c r="AE3910" s="1821"/>
      <c r="AF3910" s="1821"/>
      <c r="AG3910" s="1821"/>
      <c r="AH3910" s="1821"/>
      <c r="AI3910" s="1821"/>
      <c r="AJ3910" s="1821"/>
      <c r="AK3910" s="1821"/>
      <c r="AL3910" s="1821"/>
      <c r="AM3910" s="1821"/>
      <c r="AN3910" s="1821"/>
      <c r="AO3910" s="1821"/>
      <c r="AP3910" s="1821"/>
      <c r="AQ3910" s="1821"/>
      <c r="AR3910" s="1821"/>
      <c r="AS3910" s="1821"/>
      <c r="AT3910" s="1821"/>
      <c r="AU3910" s="1821"/>
      <c r="AV3910" s="1821"/>
      <c r="AW3910" s="1821"/>
      <c r="AX3910" s="1821"/>
      <c r="AY3910" s="1821"/>
      <c r="AZ3910" s="1821"/>
      <c r="BA3910" s="1821"/>
      <c r="BB3910" s="1821"/>
      <c r="BC3910" s="1821"/>
      <c r="BD3910" s="1821"/>
      <c r="BE3910" s="1821"/>
      <c r="BF3910" s="1821"/>
      <c r="BG3910" s="1821"/>
      <c r="BH3910" s="1821"/>
      <c r="BI3910" s="1821"/>
      <c r="BJ3910" s="1821"/>
      <c r="BK3910" s="1821"/>
      <c r="BL3910" s="1821"/>
      <c r="BM3910" s="1821"/>
      <c r="BN3910" s="1821"/>
      <c r="BO3910" s="1821"/>
      <c r="BP3910" s="1821"/>
      <c r="BQ3910" s="1821"/>
      <c r="BR3910" s="1821"/>
      <c r="BS3910" s="1821"/>
      <c r="BT3910" s="1821"/>
      <c r="BU3910" s="1821"/>
      <c r="BV3910" s="1821"/>
      <c r="BW3910" s="1821"/>
      <c r="BX3910" s="1821"/>
      <c r="BY3910" s="1821"/>
      <c r="BZ3910" s="1821"/>
      <c r="CA3910" s="1821"/>
      <c r="CB3910" s="1821"/>
      <c r="CC3910" s="1821"/>
      <c r="CD3910" s="1821"/>
      <c r="CE3910" s="1821"/>
      <c r="CF3910" s="1821"/>
      <c r="CG3910" s="1821"/>
      <c r="CH3910" s="1821"/>
      <c r="CI3910" s="1821"/>
      <c r="CJ3910" s="1821"/>
      <c r="CK3910" s="1821"/>
    </row>
    <row r="3911" spans="1:89" s="744" customFormat="1" ht="16.5" customHeight="1" x14ac:dyDescent="0.25">
      <c r="A3911" s="1033"/>
      <c r="B3911" s="709" t="s">
        <v>21</v>
      </c>
      <c r="C3911" s="827">
        <f>SUM(O3912:O3917)</f>
        <v>336214</v>
      </c>
      <c r="D3911" s="961"/>
      <c r="E3911" s="758"/>
      <c r="F3911" s="714"/>
      <c r="G3911" s="714"/>
      <c r="H3911" s="700">
        <f t="shared" si="433"/>
        <v>0</v>
      </c>
      <c r="I3911" s="714"/>
      <c r="J3911" s="714">
        <f>C3911*E3911</f>
        <v>0</v>
      </c>
      <c r="K3911" s="700">
        <f t="shared" si="431"/>
        <v>0</v>
      </c>
      <c r="L3911" s="714"/>
      <c r="M3911" s="714"/>
      <c r="N3911" s="700">
        <f t="shared" si="434"/>
        <v>0</v>
      </c>
      <c r="O3911" s="974">
        <f t="shared" si="432"/>
        <v>0</v>
      </c>
      <c r="P3911" s="1202"/>
      <c r="Q3911" s="1821"/>
      <c r="R3911" s="1821"/>
      <c r="S3911" s="1821"/>
      <c r="T3911" s="1821"/>
      <c r="U3911" s="1821"/>
      <c r="V3911" s="1821"/>
      <c r="W3911" s="1821"/>
      <c r="X3911" s="1821"/>
      <c r="Y3911" s="1821"/>
      <c r="Z3911" s="1821"/>
      <c r="AA3911" s="1821"/>
      <c r="AB3911" s="1821"/>
      <c r="AC3911" s="1821"/>
      <c r="AD3911" s="1821"/>
      <c r="AE3911" s="1821"/>
      <c r="AF3911" s="1821"/>
      <c r="AG3911" s="1821"/>
      <c r="AH3911" s="1821"/>
      <c r="AI3911" s="1821"/>
      <c r="AJ3911" s="1821"/>
      <c r="AK3911" s="1821"/>
      <c r="AL3911" s="1821"/>
      <c r="AM3911" s="1821"/>
      <c r="AN3911" s="1821"/>
      <c r="AO3911" s="1821"/>
      <c r="AP3911" s="1821"/>
      <c r="AQ3911" s="1821"/>
      <c r="AR3911" s="1821"/>
      <c r="AS3911" s="1821"/>
      <c r="AT3911" s="1821"/>
      <c r="AU3911" s="1821"/>
      <c r="AV3911" s="1821"/>
      <c r="AW3911" s="1821"/>
      <c r="AX3911" s="1821"/>
      <c r="AY3911" s="1821"/>
      <c r="AZ3911" s="1821"/>
      <c r="BA3911" s="1821"/>
      <c r="BB3911" s="1821"/>
      <c r="BC3911" s="1821"/>
      <c r="BD3911" s="1821"/>
      <c r="BE3911" s="1821"/>
      <c r="BF3911" s="1821"/>
      <c r="BG3911" s="1821"/>
      <c r="BH3911" s="1821"/>
      <c r="BI3911" s="1821"/>
      <c r="BJ3911" s="1821"/>
      <c r="BK3911" s="1821"/>
      <c r="BL3911" s="1821"/>
      <c r="BM3911" s="1821"/>
      <c r="BN3911" s="1821"/>
      <c r="BO3911" s="1821"/>
      <c r="BP3911" s="1821"/>
      <c r="BQ3911" s="1821"/>
      <c r="BR3911" s="1821"/>
      <c r="BS3911" s="1821"/>
      <c r="BT3911" s="1821"/>
      <c r="BU3911" s="1821"/>
      <c r="BV3911" s="1821"/>
      <c r="BW3911" s="1821"/>
      <c r="BX3911" s="1821"/>
      <c r="BY3911" s="1821"/>
      <c r="BZ3911" s="1821"/>
      <c r="CA3911" s="1821"/>
      <c r="CB3911" s="1821"/>
      <c r="CC3911" s="1821"/>
      <c r="CD3911" s="1821"/>
      <c r="CE3911" s="1821"/>
      <c r="CF3911" s="1821"/>
      <c r="CG3911" s="1821"/>
      <c r="CH3911" s="1821"/>
      <c r="CI3911" s="1821"/>
      <c r="CJ3911" s="1821"/>
      <c r="CK3911" s="1821"/>
    </row>
    <row r="3912" spans="1:89" s="744" customFormat="1" ht="16.5" customHeight="1" x14ac:dyDescent="0.25">
      <c r="A3912" s="1033"/>
      <c r="B3912" s="709" t="s">
        <v>215</v>
      </c>
      <c r="C3912" s="827">
        <v>1</v>
      </c>
      <c r="D3912" s="961" t="s">
        <v>25</v>
      </c>
      <c r="E3912" s="758">
        <v>27500</v>
      </c>
      <c r="F3912" s="714"/>
      <c r="G3912" s="714"/>
      <c r="H3912" s="700">
        <f t="shared" si="433"/>
        <v>0</v>
      </c>
      <c r="I3912" s="714"/>
      <c r="J3912" s="714">
        <f>C3912*E3912</f>
        <v>27500</v>
      </c>
      <c r="K3912" s="700">
        <f t="shared" si="431"/>
        <v>27500</v>
      </c>
      <c r="L3912" s="714"/>
      <c r="M3912" s="714"/>
      <c r="N3912" s="700">
        <f t="shared" si="434"/>
        <v>0</v>
      </c>
      <c r="O3912" s="974">
        <f t="shared" si="432"/>
        <v>27500</v>
      </c>
      <c r="P3912" s="956"/>
      <c r="Q3912" s="1821"/>
      <c r="R3912" s="1821"/>
      <c r="S3912" s="1821"/>
      <c r="T3912" s="1821"/>
      <c r="U3912" s="1821"/>
      <c r="V3912" s="1821"/>
      <c r="W3912" s="1821"/>
      <c r="X3912" s="1821"/>
      <c r="Y3912" s="1821"/>
      <c r="Z3912" s="1821"/>
      <c r="AA3912" s="1821"/>
      <c r="AB3912" s="1821"/>
      <c r="AC3912" s="1821"/>
      <c r="AD3912" s="1821"/>
      <c r="AE3912" s="1821"/>
      <c r="AF3912" s="1821"/>
      <c r="AG3912" s="1821"/>
      <c r="AH3912" s="1821"/>
      <c r="AI3912" s="1821"/>
      <c r="AJ3912" s="1821"/>
      <c r="AK3912" s="1821"/>
      <c r="AL3912" s="1821"/>
      <c r="AM3912" s="1821"/>
      <c r="AN3912" s="1821"/>
      <c r="AO3912" s="1821"/>
      <c r="AP3912" s="1821"/>
      <c r="AQ3912" s="1821"/>
      <c r="AR3912" s="1821"/>
      <c r="AS3912" s="1821"/>
      <c r="AT3912" s="1821"/>
      <c r="AU3912" s="1821"/>
      <c r="AV3912" s="1821"/>
      <c r="AW3912" s="1821"/>
      <c r="AX3912" s="1821"/>
      <c r="AY3912" s="1821"/>
      <c r="AZ3912" s="1821"/>
      <c r="BA3912" s="1821"/>
      <c r="BB3912" s="1821"/>
      <c r="BC3912" s="1821"/>
      <c r="BD3912" s="1821"/>
      <c r="BE3912" s="1821"/>
      <c r="BF3912" s="1821"/>
      <c r="BG3912" s="1821"/>
      <c r="BH3912" s="1821"/>
      <c r="BI3912" s="1821"/>
      <c r="BJ3912" s="1821"/>
      <c r="BK3912" s="1821"/>
      <c r="BL3912" s="1821"/>
      <c r="BM3912" s="1821"/>
      <c r="BN3912" s="1821"/>
      <c r="BO3912" s="1821"/>
      <c r="BP3912" s="1821"/>
      <c r="BQ3912" s="1821"/>
      <c r="BR3912" s="1821"/>
      <c r="BS3912" s="1821"/>
      <c r="BT3912" s="1821"/>
      <c r="BU3912" s="1821"/>
      <c r="BV3912" s="1821"/>
      <c r="BW3912" s="1821"/>
      <c r="BX3912" s="1821"/>
      <c r="BY3912" s="1821"/>
      <c r="BZ3912" s="1821"/>
      <c r="CA3912" s="1821"/>
      <c r="CB3912" s="1821"/>
      <c r="CC3912" s="1821"/>
      <c r="CD3912" s="1821"/>
      <c r="CE3912" s="1821"/>
      <c r="CF3912" s="1821"/>
      <c r="CG3912" s="1821"/>
      <c r="CH3912" s="1821"/>
      <c r="CI3912" s="1821"/>
      <c r="CJ3912" s="1821"/>
      <c r="CK3912" s="1821"/>
    </row>
    <row r="3913" spans="1:89" s="744" customFormat="1" ht="16.5" customHeight="1" x14ac:dyDescent="0.25">
      <c r="A3913" s="1033"/>
      <c r="B3913" s="709" t="s">
        <v>349</v>
      </c>
      <c r="C3913" s="827"/>
      <c r="D3913" s="961"/>
      <c r="E3913" s="758"/>
      <c r="F3913" s="714"/>
      <c r="G3913" s="714"/>
      <c r="H3913" s="700">
        <f t="shared" si="433"/>
        <v>0</v>
      </c>
      <c r="I3913" s="714"/>
      <c r="J3913" s="714">
        <f>C3913*E3913</f>
        <v>0</v>
      </c>
      <c r="K3913" s="700">
        <f t="shared" si="431"/>
        <v>0</v>
      </c>
      <c r="L3913" s="714"/>
      <c r="M3913" s="714"/>
      <c r="N3913" s="700">
        <f t="shared" si="434"/>
        <v>0</v>
      </c>
      <c r="O3913" s="974">
        <f t="shared" si="432"/>
        <v>0</v>
      </c>
      <c r="P3913" s="956"/>
      <c r="Q3913" s="1821"/>
      <c r="R3913" s="1821"/>
      <c r="S3913" s="1821"/>
      <c r="T3913" s="1821"/>
      <c r="U3913" s="1821"/>
      <c r="V3913" s="1821"/>
      <c r="W3913" s="1821"/>
      <c r="X3913" s="1821"/>
      <c r="Y3913" s="1821"/>
      <c r="Z3913" s="1821"/>
      <c r="AA3913" s="1821"/>
      <c r="AB3913" s="1821"/>
      <c r="AC3913" s="1821"/>
      <c r="AD3913" s="1821"/>
      <c r="AE3913" s="1821"/>
      <c r="AF3913" s="1821"/>
      <c r="AG3913" s="1821"/>
      <c r="AH3913" s="1821"/>
      <c r="AI3913" s="1821"/>
      <c r="AJ3913" s="1821"/>
      <c r="AK3913" s="1821"/>
      <c r="AL3913" s="1821"/>
      <c r="AM3913" s="1821"/>
      <c r="AN3913" s="1821"/>
      <c r="AO3913" s="1821"/>
      <c r="AP3913" s="1821"/>
      <c r="AQ3913" s="1821"/>
      <c r="AR3913" s="1821"/>
      <c r="AS3913" s="1821"/>
      <c r="AT3913" s="1821"/>
      <c r="AU3913" s="1821"/>
      <c r="AV3913" s="1821"/>
      <c r="AW3913" s="1821"/>
      <c r="AX3913" s="1821"/>
      <c r="AY3913" s="1821"/>
      <c r="AZ3913" s="1821"/>
      <c r="BA3913" s="1821"/>
      <c r="BB3913" s="1821"/>
      <c r="BC3913" s="1821"/>
      <c r="BD3913" s="1821"/>
      <c r="BE3913" s="1821"/>
      <c r="BF3913" s="1821"/>
      <c r="BG3913" s="1821"/>
      <c r="BH3913" s="1821"/>
      <c r="BI3913" s="1821"/>
      <c r="BJ3913" s="1821"/>
      <c r="BK3913" s="1821"/>
      <c r="BL3913" s="1821"/>
      <c r="BM3913" s="1821"/>
      <c r="BN3913" s="1821"/>
      <c r="BO3913" s="1821"/>
      <c r="BP3913" s="1821"/>
      <c r="BQ3913" s="1821"/>
      <c r="BR3913" s="1821"/>
      <c r="BS3913" s="1821"/>
      <c r="BT3913" s="1821"/>
      <c r="BU3913" s="1821"/>
      <c r="BV3913" s="1821"/>
      <c r="BW3913" s="1821"/>
      <c r="BX3913" s="1821"/>
      <c r="BY3913" s="1821"/>
      <c r="BZ3913" s="1821"/>
      <c r="CA3913" s="1821"/>
      <c r="CB3913" s="1821"/>
      <c r="CC3913" s="1821"/>
      <c r="CD3913" s="1821"/>
      <c r="CE3913" s="1821"/>
      <c r="CF3913" s="1821"/>
      <c r="CG3913" s="1821"/>
      <c r="CH3913" s="1821"/>
      <c r="CI3913" s="1821"/>
      <c r="CJ3913" s="1821"/>
      <c r="CK3913" s="1821"/>
    </row>
    <row r="3914" spans="1:89" s="744" customFormat="1" ht="16.5" customHeight="1" x14ac:dyDescent="0.25">
      <c r="A3914" s="1033"/>
      <c r="B3914" s="709" t="s">
        <v>350</v>
      </c>
      <c r="C3914" s="827">
        <v>84</v>
      </c>
      <c r="D3914" s="961" t="s">
        <v>51</v>
      </c>
      <c r="E3914" s="758">
        <v>348</v>
      </c>
      <c r="F3914" s="714"/>
      <c r="G3914" s="714"/>
      <c r="H3914" s="700">
        <f t="shared" si="433"/>
        <v>0</v>
      </c>
      <c r="I3914" s="714"/>
      <c r="J3914" s="714">
        <f>E3914*C3914</f>
        <v>29232</v>
      </c>
      <c r="K3914" s="700">
        <f t="shared" si="431"/>
        <v>29232</v>
      </c>
      <c r="L3914" s="714"/>
      <c r="M3914" s="714"/>
      <c r="N3914" s="700">
        <f t="shared" si="434"/>
        <v>0</v>
      </c>
      <c r="O3914" s="974">
        <f t="shared" si="432"/>
        <v>29232</v>
      </c>
      <c r="P3914" s="956"/>
      <c r="Q3914" s="1821"/>
      <c r="R3914" s="1821"/>
      <c r="S3914" s="1821"/>
      <c r="T3914" s="1821"/>
      <c r="U3914" s="1821"/>
      <c r="V3914" s="1821"/>
      <c r="W3914" s="1821"/>
      <c r="X3914" s="1821"/>
      <c r="Y3914" s="1821"/>
      <c r="Z3914" s="1821"/>
      <c r="AA3914" s="1821"/>
      <c r="AB3914" s="1821"/>
      <c r="AC3914" s="1821"/>
      <c r="AD3914" s="1821"/>
      <c r="AE3914" s="1821"/>
      <c r="AF3914" s="1821"/>
      <c r="AG3914" s="1821"/>
      <c r="AH3914" s="1821"/>
      <c r="AI3914" s="1821"/>
      <c r="AJ3914" s="1821"/>
      <c r="AK3914" s="1821"/>
      <c r="AL3914" s="1821"/>
      <c r="AM3914" s="1821"/>
      <c r="AN3914" s="1821"/>
      <c r="AO3914" s="1821"/>
      <c r="AP3914" s="1821"/>
      <c r="AQ3914" s="1821"/>
      <c r="AR3914" s="1821"/>
      <c r="AS3914" s="1821"/>
      <c r="AT3914" s="1821"/>
      <c r="AU3914" s="1821"/>
      <c r="AV3914" s="1821"/>
      <c r="AW3914" s="1821"/>
      <c r="AX3914" s="1821"/>
      <c r="AY3914" s="1821"/>
      <c r="AZ3914" s="1821"/>
      <c r="BA3914" s="1821"/>
      <c r="BB3914" s="1821"/>
      <c r="BC3914" s="1821"/>
      <c r="BD3914" s="1821"/>
      <c r="BE3914" s="1821"/>
      <c r="BF3914" s="1821"/>
      <c r="BG3914" s="1821"/>
      <c r="BH3914" s="1821"/>
      <c r="BI3914" s="1821"/>
      <c r="BJ3914" s="1821"/>
      <c r="BK3914" s="1821"/>
      <c r="BL3914" s="1821"/>
      <c r="BM3914" s="1821"/>
      <c r="BN3914" s="1821"/>
      <c r="BO3914" s="1821"/>
      <c r="BP3914" s="1821"/>
      <c r="BQ3914" s="1821"/>
      <c r="BR3914" s="1821"/>
      <c r="BS3914" s="1821"/>
      <c r="BT3914" s="1821"/>
      <c r="BU3914" s="1821"/>
      <c r="BV3914" s="1821"/>
      <c r="BW3914" s="1821"/>
      <c r="BX3914" s="1821"/>
      <c r="BY3914" s="1821"/>
      <c r="BZ3914" s="1821"/>
      <c r="CA3914" s="1821"/>
      <c r="CB3914" s="1821"/>
      <c r="CC3914" s="1821"/>
      <c r="CD3914" s="1821"/>
      <c r="CE3914" s="1821"/>
      <c r="CF3914" s="1821"/>
      <c r="CG3914" s="1821"/>
      <c r="CH3914" s="1821"/>
      <c r="CI3914" s="1821"/>
      <c r="CJ3914" s="1821"/>
      <c r="CK3914" s="1821"/>
    </row>
    <row r="3915" spans="1:89" s="744" customFormat="1" ht="16.5" customHeight="1" x14ac:dyDescent="0.25">
      <c r="A3915" s="1033"/>
      <c r="B3915" s="709" t="s">
        <v>54</v>
      </c>
      <c r="C3915" s="827">
        <v>289</v>
      </c>
      <c r="D3915" s="961" t="s">
        <v>55</v>
      </c>
      <c r="E3915" s="758">
        <v>410</v>
      </c>
      <c r="F3915" s="714"/>
      <c r="G3915" s="714"/>
      <c r="H3915" s="700">
        <f t="shared" si="433"/>
        <v>0</v>
      </c>
      <c r="I3915" s="714"/>
      <c r="J3915" s="714">
        <f>E3915*C3915</f>
        <v>118490</v>
      </c>
      <c r="K3915" s="700">
        <f t="shared" si="431"/>
        <v>118490</v>
      </c>
      <c r="L3915" s="714"/>
      <c r="M3915" s="714"/>
      <c r="N3915" s="700">
        <f t="shared" si="434"/>
        <v>0</v>
      </c>
      <c r="O3915" s="974">
        <f t="shared" si="432"/>
        <v>118490</v>
      </c>
      <c r="P3915" s="956"/>
      <c r="Q3915" s="1821"/>
      <c r="R3915" s="1821"/>
      <c r="S3915" s="1821"/>
      <c r="T3915" s="1821"/>
      <c r="U3915" s="1821"/>
      <c r="V3915" s="1821"/>
      <c r="W3915" s="1821"/>
      <c r="X3915" s="1821"/>
      <c r="Y3915" s="1821"/>
      <c r="Z3915" s="1821"/>
      <c r="AA3915" s="1821"/>
      <c r="AB3915" s="1821"/>
      <c r="AC3915" s="1821"/>
      <c r="AD3915" s="1821"/>
      <c r="AE3915" s="1821"/>
      <c r="AF3915" s="1821"/>
      <c r="AG3915" s="1821"/>
      <c r="AH3915" s="1821"/>
      <c r="AI3915" s="1821"/>
      <c r="AJ3915" s="1821"/>
      <c r="AK3915" s="1821"/>
      <c r="AL3915" s="1821"/>
      <c r="AM3915" s="1821"/>
      <c r="AN3915" s="1821"/>
      <c r="AO3915" s="1821"/>
      <c r="AP3915" s="1821"/>
      <c r="AQ3915" s="1821"/>
      <c r="AR3915" s="1821"/>
      <c r="AS3915" s="1821"/>
      <c r="AT3915" s="1821"/>
      <c r="AU3915" s="1821"/>
      <c r="AV3915" s="1821"/>
      <c r="AW3915" s="1821"/>
      <c r="AX3915" s="1821"/>
      <c r="AY3915" s="1821"/>
      <c r="AZ3915" s="1821"/>
      <c r="BA3915" s="1821"/>
      <c r="BB3915" s="1821"/>
      <c r="BC3915" s="1821"/>
      <c r="BD3915" s="1821"/>
      <c r="BE3915" s="1821"/>
      <c r="BF3915" s="1821"/>
      <c r="BG3915" s="1821"/>
      <c r="BH3915" s="1821"/>
      <c r="BI3915" s="1821"/>
      <c r="BJ3915" s="1821"/>
      <c r="BK3915" s="1821"/>
      <c r="BL3915" s="1821"/>
      <c r="BM3915" s="1821"/>
      <c r="BN3915" s="1821"/>
      <c r="BO3915" s="1821"/>
      <c r="BP3915" s="1821"/>
      <c r="BQ3915" s="1821"/>
      <c r="BR3915" s="1821"/>
      <c r="BS3915" s="1821"/>
      <c r="BT3915" s="1821"/>
      <c r="BU3915" s="1821"/>
      <c r="BV3915" s="1821"/>
      <c r="BW3915" s="1821"/>
      <c r="BX3915" s="1821"/>
      <c r="BY3915" s="1821"/>
      <c r="BZ3915" s="1821"/>
      <c r="CA3915" s="1821"/>
      <c r="CB3915" s="1821"/>
      <c r="CC3915" s="1821"/>
      <c r="CD3915" s="1821"/>
      <c r="CE3915" s="1821"/>
      <c r="CF3915" s="1821"/>
      <c r="CG3915" s="1821"/>
      <c r="CH3915" s="1821"/>
      <c r="CI3915" s="1821"/>
      <c r="CJ3915" s="1821"/>
      <c r="CK3915" s="1821"/>
    </row>
    <row r="3916" spans="1:89" s="744" customFormat="1" ht="16.5" customHeight="1" x14ac:dyDescent="0.25">
      <c r="A3916" s="1033"/>
      <c r="B3916" s="709" t="s">
        <v>52</v>
      </c>
      <c r="C3916" s="827">
        <v>344</v>
      </c>
      <c r="D3916" s="961" t="s">
        <v>55</v>
      </c>
      <c r="E3916" s="758">
        <v>468</v>
      </c>
      <c r="F3916" s="714"/>
      <c r="G3916" s="714"/>
      <c r="H3916" s="700">
        <f t="shared" si="433"/>
        <v>0</v>
      </c>
      <c r="I3916" s="714"/>
      <c r="J3916" s="714">
        <f>E3916*C3916</f>
        <v>160992</v>
      </c>
      <c r="K3916" s="700">
        <f t="shared" si="431"/>
        <v>160992</v>
      </c>
      <c r="L3916" s="714"/>
      <c r="M3916" s="714"/>
      <c r="N3916" s="700">
        <f t="shared" si="434"/>
        <v>0</v>
      </c>
      <c r="O3916" s="974">
        <f t="shared" si="432"/>
        <v>160992</v>
      </c>
      <c r="P3916" s="956"/>
      <c r="Q3916" s="1821"/>
      <c r="R3916" s="1821"/>
      <c r="S3916" s="1821"/>
      <c r="T3916" s="1821"/>
      <c r="U3916" s="1821"/>
      <c r="V3916" s="1821"/>
      <c r="W3916" s="1821"/>
      <c r="X3916" s="1821"/>
      <c r="Y3916" s="1821"/>
      <c r="Z3916" s="1821"/>
      <c r="AA3916" s="1821"/>
      <c r="AB3916" s="1821"/>
      <c r="AC3916" s="1821"/>
      <c r="AD3916" s="1821"/>
      <c r="AE3916" s="1821"/>
      <c r="AF3916" s="1821"/>
      <c r="AG3916" s="1821"/>
      <c r="AH3916" s="1821"/>
      <c r="AI3916" s="1821"/>
      <c r="AJ3916" s="1821"/>
      <c r="AK3916" s="1821"/>
      <c r="AL3916" s="1821"/>
      <c r="AM3916" s="1821"/>
      <c r="AN3916" s="1821"/>
      <c r="AO3916" s="1821"/>
      <c r="AP3916" s="1821"/>
      <c r="AQ3916" s="1821"/>
      <c r="AR3916" s="1821"/>
      <c r="AS3916" s="1821"/>
      <c r="AT3916" s="1821"/>
      <c r="AU3916" s="1821"/>
      <c r="AV3916" s="1821"/>
      <c r="AW3916" s="1821"/>
      <c r="AX3916" s="1821"/>
      <c r="AY3916" s="1821"/>
      <c r="AZ3916" s="1821"/>
      <c r="BA3916" s="1821"/>
      <c r="BB3916" s="1821"/>
      <c r="BC3916" s="1821"/>
      <c r="BD3916" s="1821"/>
      <c r="BE3916" s="1821"/>
      <c r="BF3916" s="1821"/>
      <c r="BG3916" s="1821"/>
      <c r="BH3916" s="1821"/>
      <c r="BI3916" s="1821"/>
      <c r="BJ3916" s="1821"/>
      <c r="BK3916" s="1821"/>
      <c r="BL3916" s="1821"/>
      <c r="BM3916" s="1821"/>
      <c r="BN3916" s="1821"/>
      <c r="BO3916" s="1821"/>
      <c r="BP3916" s="1821"/>
      <c r="BQ3916" s="1821"/>
      <c r="BR3916" s="1821"/>
      <c r="BS3916" s="1821"/>
      <c r="BT3916" s="1821"/>
      <c r="BU3916" s="1821"/>
      <c r="BV3916" s="1821"/>
      <c r="BW3916" s="1821"/>
      <c r="BX3916" s="1821"/>
      <c r="BY3916" s="1821"/>
      <c r="BZ3916" s="1821"/>
      <c r="CA3916" s="1821"/>
      <c r="CB3916" s="1821"/>
      <c r="CC3916" s="1821"/>
      <c r="CD3916" s="1821"/>
      <c r="CE3916" s="1821"/>
      <c r="CF3916" s="1821"/>
      <c r="CG3916" s="1821"/>
      <c r="CH3916" s="1821"/>
      <c r="CI3916" s="1821"/>
      <c r="CJ3916" s="1821"/>
      <c r="CK3916" s="1821"/>
    </row>
    <row r="3917" spans="1:89" s="744" customFormat="1" ht="16.5" customHeight="1" x14ac:dyDescent="0.25">
      <c r="A3917" s="1033"/>
      <c r="B3917" s="709"/>
      <c r="C3917" s="827"/>
      <c r="D3917" s="961"/>
      <c r="E3917" s="758"/>
      <c r="F3917" s="714"/>
      <c r="G3917" s="714"/>
      <c r="H3917" s="700"/>
      <c r="I3917" s="714"/>
      <c r="J3917" s="714"/>
      <c r="K3917" s="700">
        <f t="shared" si="431"/>
        <v>0</v>
      </c>
      <c r="L3917" s="714"/>
      <c r="M3917" s="714"/>
      <c r="N3917" s="700"/>
      <c r="O3917" s="974">
        <f t="shared" si="432"/>
        <v>0</v>
      </c>
      <c r="P3917" s="956"/>
      <c r="Q3917" s="1821"/>
      <c r="R3917" s="1821"/>
      <c r="S3917" s="1821"/>
      <c r="T3917" s="1821"/>
      <c r="U3917" s="1821"/>
      <c r="V3917" s="1821"/>
      <c r="W3917" s="1821"/>
      <c r="X3917" s="1821"/>
      <c r="Y3917" s="1821"/>
      <c r="Z3917" s="1821"/>
      <c r="AA3917" s="1821"/>
      <c r="AB3917" s="1821"/>
      <c r="AC3917" s="1821"/>
      <c r="AD3917" s="1821"/>
      <c r="AE3917" s="1821"/>
      <c r="AF3917" s="1821"/>
      <c r="AG3917" s="1821"/>
      <c r="AH3917" s="1821"/>
      <c r="AI3917" s="1821"/>
      <c r="AJ3917" s="1821"/>
      <c r="AK3917" s="1821"/>
      <c r="AL3917" s="1821"/>
      <c r="AM3917" s="1821"/>
      <c r="AN3917" s="1821"/>
      <c r="AO3917" s="1821"/>
      <c r="AP3917" s="1821"/>
      <c r="AQ3917" s="1821"/>
      <c r="AR3917" s="1821"/>
      <c r="AS3917" s="1821"/>
      <c r="AT3917" s="1821"/>
      <c r="AU3917" s="1821"/>
      <c r="AV3917" s="1821"/>
      <c r="AW3917" s="1821"/>
      <c r="AX3917" s="1821"/>
      <c r="AY3917" s="1821"/>
      <c r="AZ3917" s="1821"/>
      <c r="BA3917" s="1821"/>
      <c r="BB3917" s="1821"/>
      <c r="BC3917" s="1821"/>
      <c r="BD3917" s="1821"/>
      <c r="BE3917" s="1821"/>
      <c r="BF3917" s="1821"/>
      <c r="BG3917" s="1821"/>
      <c r="BH3917" s="1821"/>
      <c r="BI3917" s="1821"/>
      <c r="BJ3917" s="1821"/>
      <c r="BK3917" s="1821"/>
      <c r="BL3917" s="1821"/>
      <c r="BM3917" s="1821"/>
      <c r="BN3917" s="1821"/>
      <c r="BO3917" s="1821"/>
      <c r="BP3917" s="1821"/>
      <c r="BQ3917" s="1821"/>
      <c r="BR3917" s="1821"/>
      <c r="BS3917" s="1821"/>
      <c r="BT3917" s="1821"/>
      <c r="BU3917" s="1821"/>
      <c r="BV3917" s="1821"/>
      <c r="BW3917" s="1821"/>
      <c r="BX3917" s="1821"/>
      <c r="BY3917" s="1821"/>
      <c r="BZ3917" s="1821"/>
      <c r="CA3917" s="1821"/>
      <c r="CB3917" s="1821"/>
      <c r="CC3917" s="1821"/>
      <c r="CD3917" s="1821"/>
      <c r="CE3917" s="1821"/>
      <c r="CF3917" s="1821"/>
      <c r="CG3917" s="1821"/>
      <c r="CH3917" s="1821"/>
      <c r="CI3917" s="1821"/>
      <c r="CJ3917" s="1821"/>
      <c r="CK3917" s="1821"/>
    </row>
    <row r="3918" spans="1:89" s="744" customFormat="1" ht="16.5" customHeight="1" x14ac:dyDescent="0.25">
      <c r="A3918" s="1033">
        <v>13</v>
      </c>
      <c r="B3918" s="709" t="s">
        <v>1349</v>
      </c>
      <c r="C3918" s="827"/>
      <c r="D3918" s="961"/>
      <c r="E3918" s="758"/>
      <c r="F3918" s="714"/>
      <c r="G3918" s="714"/>
      <c r="H3918" s="700"/>
      <c r="I3918" s="714"/>
      <c r="J3918" s="714"/>
      <c r="K3918" s="700"/>
      <c r="L3918" s="714"/>
      <c r="M3918" s="714"/>
      <c r="N3918" s="700"/>
      <c r="O3918" s="974"/>
      <c r="P3918" s="956"/>
      <c r="Q3918" s="1821"/>
      <c r="R3918" s="1821"/>
      <c r="S3918" s="1821"/>
      <c r="T3918" s="1821"/>
      <c r="U3918" s="1821"/>
      <c r="V3918" s="1821"/>
      <c r="W3918" s="1821"/>
      <c r="X3918" s="1821"/>
      <c r="Y3918" s="1821"/>
      <c r="Z3918" s="1821"/>
      <c r="AA3918" s="1821"/>
      <c r="AB3918" s="1821"/>
      <c r="AC3918" s="1821"/>
      <c r="AD3918" s="1821"/>
      <c r="AE3918" s="1821"/>
      <c r="AF3918" s="1821"/>
      <c r="AG3918" s="1821"/>
      <c r="AH3918" s="1821"/>
      <c r="AI3918" s="1821"/>
      <c r="AJ3918" s="1821"/>
      <c r="AK3918" s="1821"/>
      <c r="AL3918" s="1821"/>
      <c r="AM3918" s="1821"/>
      <c r="AN3918" s="1821"/>
      <c r="AO3918" s="1821"/>
      <c r="AP3918" s="1821"/>
      <c r="AQ3918" s="1821"/>
      <c r="AR3918" s="1821"/>
      <c r="AS3918" s="1821"/>
      <c r="AT3918" s="1821"/>
      <c r="AU3918" s="1821"/>
      <c r="AV3918" s="1821"/>
      <c r="AW3918" s="1821"/>
      <c r="AX3918" s="1821"/>
      <c r="AY3918" s="1821"/>
      <c r="AZ3918" s="1821"/>
      <c r="BA3918" s="1821"/>
      <c r="BB3918" s="1821"/>
      <c r="BC3918" s="1821"/>
      <c r="BD3918" s="1821"/>
      <c r="BE3918" s="1821"/>
      <c r="BF3918" s="1821"/>
      <c r="BG3918" s="1821"/>
      <c r="BH3918" s="1821"/>
      <c r="BI3918" s="1821"/>
      <c r="BJ3918" s="1821"/>
      <c r="BK3918" s="1821"/>
      <c r="BL3918" s="1821"/>
      <c r="BM3918" s="1821"/>
      <c r="BN3918" s="1821"/>
      <c r="BO3918" s="1821"/>
      <c r="BP3918" s="1821"/>
      <c r="BQ3918" s="1821"/>
      <c r="BR3918" s="1821"/>
      <c r="BS3918" s="1821"/>
      <c r="BT3918" s="1821"/>
      <c r="BU3918" s="1821"/>
      <c r="BV3918" s="1821"/>
      <c r="BW3918" s="1821"/>
      <c r="BX3918" s="1821"/>
      <c r="BY3918" s="1821"/>
      <c r="BZ3918" s="1821"/>
      <c r="CA3918" s="1821"/>
      <c r="CB3918" s="1821"/>
      <c r="CC3918" s="1821"/>
      <c r="CD3918" s="1821"/>
      <c r="CE3918" s="1821"/>
      <c r="CF3918" s="1821"/>
      <c r="CG3918" s="1821"/>
      <c r="CH3918" s="1821"/>
      <c r="CI3918" s="1821"/>
      <c r="CJ3918" s="1821"/>
      <c r="CK3918" s="1821"/>
    </row>
    <row r="3919" spans="1:89" s="744" customFormat="1" ht="16.5" customHeight="1" x14ac:dyDescent="0.25">
      <c r="A3919" s="1033"/>
      <c r="B3919" s="709" t="s">
        <v>21</v>
      </c>
      <c r="C3919" s="827">
        <f>SUM(O3920:O3924)</f>
        <v>197984</v>
      </c>
      <c r="D3919" s="961"/>
      <c r="E3919" s="758"/>
      <c r="F3919" s="714"/>
      <c r="G3919" s="714"/>
      <c r="H3919" s="700"/>
      <c r="I3919" s="714"/>
      <c r="J3919" s="714"/>
      <c r="K3919" s="700">
        <f t="shared" si="431"/>
        <v>0</v>
      </c>
      <c r="L3919" s="714"/>
      <c r="M3919" s="714"/>
      <c r="N3919" s="700"/>
      <c r="O3919" s="974">
        <f t="shared" si="432"/>
        <v>0</v>
      </c>
      <c r="P3919" s="956"/>
      <c r="Q3919" s="1821"/>
      <c r="R3919" s="1821"/>
      <c r="S3919" s="1821"/>
      <c r="T3919" s="1821"/>
      <c r="U3919" s="1821"/>
      <c r="V3919" s="1821"/>
      <c r="W3919" s="1821"/>
      <c r="X3919" s="1821"/>
      <c r="Y3919" s="1821"/>
      <c r="Z3919" s="1821"/>
      <c r="AA3919" s="1821"/>
      <c r="AB3919" s="1821"/>
      <c r="AC3919" s="1821"/>
      <c r="AD3919" s="1821"/>
      <c r="AE3919" s="1821"/>
      <c r="AF3919" s="1821"/>
      <c r="AG3919" s="1821"/>
      <c r="AH3919" s="1821"/>
      <c r="AI3919" s="1821"/>
      <c r="AJ3919" s="1821"/>
      <c r="AK3919" s="1821"/>
      <c r="AL3919" s="1821"/>
      <c r="AM3919" s="1821"/>
      <c r="AN3919" s="1821"/>
      <c r="AO3919" s="1821"/>
      <c r="AP3919" s="1821"/>
      <c r="AQ3919" s="1821"/>
      <c r="AR3919" s="1821"/>
      <c r="AS3919" s="1821"/>
      <c r="AT3919" s="1821"/>
      <c r="AU3919" s="1821"/>
      <c r="AV3919" s="1821"/>
      <c r="AW3919" s="1821"/>
      <c r="AX3919" s="1821"/>
      <c r="AY3919" s="1821"/>
      <c r="AZ3919" s="1821"/>
      <c r="BA3919" s="1821"/>
      <c r="BB3919" s="1821"/>
      <c r="BC3919" s="1821"/>
      <c r="BD3919" s="1821"/>
      <c r="BE3919" s="1821"/>
      <c r="BF3919" s="1821"/>
      <c r="BG3919" s="1821"/>
      <c r="BH3919" s="1821"/>
      <c r="BI3919" s="1821"/>
      <c r="BJ3919" s="1821"/>
      <c r="BK3919" s="1821"/>
      <c r="BL3919" s="1821"/>
      <c r="BM3919" s="1821"/>
      <c r="BN3919" s="1821"/>
      <c r="BO3919" s="1821"/>
      <c r="BP3919" s="1821"/>
      <c r="BQ3919" s="1821"/>
      <c r="BR3919" s="1821"/>
      <c r="BS3919" s="1821"/>
      <c r="BT3919" s="1821"/>
      <c r="BU3919" s="1821"/>
      <c r="BV3919" s="1821"/>
      <c r="BW3919" s="1821"/>
      <c r="BX3919" s="1821"/>
      <c r="BY3919" s="1821"/>
      <c r="BZ3919" s="1821"/>
      <c r="CA3919" s="1821"/>
      <c r="CB3919" s="1821"/>
      <c r="CC3919" s="1821"/>
      <c r="CD3919" s="1821"/>
      <c r="CE3919" s="1821"/>
      <c r="CF3919" s="1821"/>
      <c r="CG3919" s="1821"/>
      <c r="CH3919" s="1821"/>
      <c r="CI3919" s="1821"/>
      <c r="CJ3919" s="1821"/>
      <c r="CK3919" s="1821"/>
    </row>
    <row r="3920" spans="1:89" s="744" customFormat="1" ht="16.5" customHeight="1" x14ac:dyDescent="0.25">
      <c r="A3920" s="1033"/>
      <c r="B3920" s="709" t="s">
        <v>208</v>
      </c>
      <c r="C3920" s="827">
        <v>1</v>
      </c>
      <c r="D3920" s="961" t="s">
        <v>25</v>
      </c>
      <c r="E3920" s="758">
        <v>145040</v>
      </c>
      <c r="F3920" s="714"/>
      <c r="G3920" s="714"/>
      <c r="H3920" s="700"/>
      <c r="I3920" s="714"/>
      <c r="J3920" s="714">
        <f>E3920*C3920</f>
        <v>145040</v>
      </c>
      <c r="K3920" s="700">
        <f t="shared" si="431"/>
        <v>145040</v>
      </c>
      <c r="L3920" s="714"/>
      <c r="M3920" s="714"/>
      <c r="N3920" s="700"/>
      <c r="O3920" s="974">
        <f t="shared" si="432"/>
        <v>145040</v>
      </c>
      <c r="P3920" s="956"/>
      <c r="Q3920" s="1821"/>
      <c r="R3920" s="1821"/>
      <c r="S3920" s="1821"/>
      <c r="T3920" s="1821"/>
      <c r="U3920" s="1821"/>
      <c r="V3920" s="1821"/>
      <c r="W3920" s="1821"/>
      <c r="X3920" s="1821"/>
      <c r="Y3920" s="1821"/>
      <c r="Z3920" s="1821"/>
      <c r="AA3920" s="1821"/>
      <c r="AB3920" s="1821"/>
      <c r="AC3920" s="1821"/>
      <c r="AD3920" s="1821"/>
      <c r="AE3920" s="1821"/>
      <c r="AF3920" s="1821"/>
      <c r="AG3920" s="1821"/>
      <c r="AH3920" s="1821"/>
      <c r="AI3920" s="1821"/>
      <c r="AJ3920" s="1821"/>
      <c r="AK3920" s="1821"/>
      <c r="AL3920" s="1821"/>
      <c r="AM3920" s="1821"/>
      <c r="AN3920" s="1821"/>
      <c r="AO3920" s="1821"/>
      <c r="AP3920" s="1821"/>
      <c r="AQ3920" s="1821"/>
      <c r="AR3920" s="1821"/>
      <c r="AS3920" s="1821"/>
      <c r="AT3920" s="1821"/>
      <c r="AU3920" s="1821"/>
      <c r="AV3920" s="1821"/>
      <c r="AW3920" s="1821"/>
      <c r="AX3920" s="1821"/>
      <c r="AY3920" s="1821"/>
      <c r="AZ3920" s="1821"/>
      <c r="BA3920" s="1821"/>
      <c r="BB3920" s="1821"/>
      <c r="BC3920" s="1821"/>
      <c r="BD3920" s="1821"/>
      <c r="BE3920" s="1821"/>
      <c r="BF3920" s="1821"/>
      <c r="BG3920" s="1821"/>
      <c r="BH3920" s="1821"/>
      <c r="BI3920" s="1821"/>
      <c r="BJ3920" s="1821"/>
      <c r="BK3920" s="1821"/>
      <c r="BL3920" s="1821"/>
      <c r="BM3920" s="1821"/>
      <c r="BN3920" s="1821"/>
      <c r="BO3920" s="1821"/>
      <c r="BP3920" s="1821"/>
      <c r="BQ3920" s="1821"/>
      <c r="BR3920" s="1821"/>
      <c r="BS3920" s="1821"/>
      <c r="BT3920" s="1821"/>
      <c r="BU3920" s="1821"/>
      <c r="BV3920" s="1821"/>
      <c r="BW3920" s="1821"/>
      <c r="BX3920" s="1821"/>
      <c r="BY3920" s="1821"/>
      <c r="BZ3920" s="1821"/>
      <c r="CA3920" s="1821"/>
      <c r="CB3920" s="1821"/>
      <c r="CC3920" s="1821"/>
      <c r="CD3920" s="1821"/>
      <c r="CE3920" s="1821"/>
      <c r="CF3920" s="1821"/>
      <c r="CG3920" s="1821"/>
      <c r="CH3920" s="1821"/>
      <c r="CI3920" s="1821"/>
      <c r="CJ3920" s="1821"/>
      <c r="CK3920" s="1821"/>
    </row>
    <row r="3921" spans="1:89" s="744" customFormat="1" ht="16.5" customHeight="1" x14ac:dyDescent="0.25">
      <c r="A3921" s="1033"/>
      <c r="B3921" s="709" t="s">
        <v>349</v>
      </c>
      <c r="C3921" s="827"/>
      <c r="D3921" s="961"/>
      <c r="E3921" s="758"/>
      <c r="F3921" s="714"/>
      <c r="G3921" s="714"/>
      <c r="H3921" s="700"/>
      <c r="I3921" s="714"/>
      <c r="J3921" s="714">
        <f>E3921*C3921</f>
        <v>0</v>
      </c>
      <c r="K3921" s="700">
        <f t="shared" si="431"/>
        <v>0</v>
      </c>
      <c r="L3921" s="714"/>
      <c r="M3921" s="714"/>
      <c r="N3921" s="700"/>
      <c r="O3921" s="974">
        <f t="shared" si="432"/>
        <v>0</v>
      </c>
      <c r="P3921" s="956"/>
      <c r="Q3921" s="1821"/>
      <c r="R3921" s="1821"/>
      <c r="S3921" s="1821"/>
      <c r="T3921" s="1821"/>
      <c r="U3921" s="1821"/>
      <c r="V3921" s="1821"/>
      <c r="W3921" s="1821"/>
      <c r="X3921" s="1821"/>
      <c r="Y3921" s="1821"/>
      <c r="Z3921" s="1821"/>
      <c r="AA3921" s="1821"/>
      <c r="AB3921" s="1821"/>
      <c r="AC3921" s="1821"/>
      <c r="AD3921" s="1821"/>
      <c r="AE3921" s="1821"/>
      <c r="AF3921" s="1821"/>
      <c r="AG3921" s="1821"/>
      <c r="AH3921" s="1821"/>
      <c r="AI3921" s="1821"/>
      <c r="AJ3921" s="1821"/>
      <c r="AK3921" s="1821"/>
      <c r="AL3921" s="1821"/>
      <c r="AM3921" s="1821"/>
      <c r="AN3921" s="1821"/>
      <c r="AO3921" s="1821"/>
      <c r="AP3921" s="1821"/>
      <c r="AQ3921" s="1821"/>
      <c r="AR3921" s="1821"/>
      <c r="AS3921" s="1821"/>
      <c r="AT3921" s="1821"/>
      <c r="AU3921" s="1821"/>
      <c r="AV3921" s="1821"/>
      <c r="AW3921" s="1821"/>
      <c r="AX3921" s="1821"/>
      <c r="AY3921" s="1821"/>
      <c r="AZ3921" s="1821"/>
      <c r="BA3921" s="1821"/>
      <c r="BB3921" s="1821"/>
      <c r="BC3921" s="1821"/>
      <c r="BD3921" s="1821"/>
      <c r="BE3921" s="1821"/>
      <c r="BF3921" s="1821"/>
      <c r="BG3921" s="1821"/>
      <c r="BH3921" s="1821"/>
      <c r="BI3921" s="1821"/>
      <c r="BJ3921" s="1821"/>
      <c r="BK3921" s="1821"/>
      <c r="BL3921" s="1821"/>
      <c r="BM3921" s="1821"/>
      <c r="BN3921" s="1821"/>
      <c r="BO3921" s="1821"/>
      <c r="BP3921" s="1821"/>
      <c r="BQ3921" s="1821"/>
      <c r="BR3921" s="1821"/>
      <c r="BS3921" s="1821"/>
      <c r="BT3921" s="1821"/>
      <c r="BU3921" s="1821"/>
      <c r="BV3921" s="1821"/>
      <c r="BW3921" s="1821"/>
      <c r="BX3921" s="1821"/>
      <c r="BY3921" s="1821"/>
      <c r="BZ3921" s="1821"/>
      <c r="CA3921" s="1821"/>
      <c r="CB3921" s="1821"/>
      <c r="CC3921" s="1821"/>
      <c r="CD3921" s="1821"/>
      <c r="CE3921" s="1821"/>
      <c r="CF3921" s="1821"/>
      <c r="CG3921" s="1821"/>
      <c r="CH3921" s="1821"/>
      <c r="CI3921" s="1821"/>
      <c r="CJ3921" s="1821"/>
      <c r="CK3921" s="1821"/>
    </row>
    <row r="3922" spans="1:89" s="744" customFormat="1" ht="16.5" customHeight="1" x14ac:dyDescent="0.25">
      <c r="A3922" s="1033"/>
      <c r="B3922" s="709" t="s">
        <v>350</v>
      </c>
      <c r="C3922" s="827">
        <v>10</v>
      </c>
      <c r="D3922" s="961" t="s">
        <v>51</v>
      </c>
      <c r="E3922" s="758">
        <v>2891</v>
      </c>
      <c r="F3922" s="714"/>
      <c r="G3922" s="714"/>
      <c r="H3922" s="700"/>
      <c r="I3922" s="714"/>
      <c r="J3922" s="714">
        <f>E3922*C3922</f>
        <v>28910</v>
      </c>
      <c r="K3922" s="700">
        <f t="shared" si="431"/>
        <v>28910</v>
      </c>
      <c r="L3922" s="714"/>
      <c r="M3922" s="714"/>
      <c r="N3922" s="700"/>
      <c r="O3922" s="974">
        <f t="shared" si="432"/>
        <v>28910</v>
      </c>
      <c r="P3922" s="956"/>
      <c r="Q3922" s="1821"/>
      <c r="R3922" s="1821"/>
      <c r="S3922" s="1821"/>
      <c r="T3922" s="1821"/>
      <c r="U3922" s="1821"/>
      <c r="V3922" s="1821"/>
      <c r="W3922" s="1821"/>
      <c r="X3922" s="1821"/>
      <c r="Y3922" s="1821"/>
      <c r="Z3922" s="1821"/>
      <c r="AA3922" s="1821"/>
      <c r="AB3922" s="1821"/>
      <c r="AC3922" s="1821"/>
      <c r="AD3922" s="1821"/>
      <c r="AE3922" s="1821"/>
      <c r="AF3922" s="1821"/>
      <c r="AG3922" s="1821"/>
      <c r="AH3922" s="1821"/>
      <c r="AI3922" s="1821"/>
      <c r="AJ3922" s="1821"/>
      <c r="AK3922" s="1821"/>
      <c r="AL3922" s="1821"/>
      <c r="AM3922" s="1821"/>
      <c r="AN3922" s="1821"/>
      <c r="AO3922" s="1821"/>
      <c r="AP3922" s="1821"/>
      <c r="AQ3922" s="1821"/>
      <c r="AR3922" s="1821"/>
      <c r="AS3922" s="1821"/>
      <c r="AT3922" s="1821"/>
      <c r="AU3922" s="1821"/>
      <c r="AV3922" s="1821"/>
      <c r="AW3922" s="1821"/>
      <c r="AX3922" s="1821"/>
      <c r="AY3922" s="1821"/>
      <c r="AZ3922" s="1821"/>
      <c r="BA3922" s="1821"/>
      <c r="BB3922" s="1821"/>
      <c r="BC3922" s="1821"/>
      <c r="BD3922" s="1821"/>
      <c r="BE3922" s="1821"/>
      <c r="BF3922" s="1821"/>
      <c r="BG3922" s="1821"/>
      <c r="BH3922" s="1821"/>
      <c r="BI3922" s="1821"/>
      <c r="BJ3922" s="1821"/>
      <c r="BK3922" s="1821"/>
      <c r="BL3922" s="1821"/>
      <c r="BM3922" s="1821"/>
      <c r="BN3922" s="1821"/>
      <c r="BO3922" s="1821"/>
      <c r="BP3922" s="1821"/>
      <c r="BQ3922" s="1821"/>
      <c r="BR3922" s="1821"/>
      <c r="BS3922" s="1821"/>
      <c r="BT3922" s="1821"/>
      <c r="BU3922" s="1821"/>
      <c r="BV3922" s="1821"/>
      <c r="BW3922" s="1821"/>
      <c r="BX3922" s="1821"/>
      <c r="BY3922" s="1821"/>
      <c r="BZ3922" s="1821"/>
      <c r="CA3922" s="1821"/>
      <c r="CB3922" s="1821"/>
      <c r="CC3922" s="1821"/>
      <c r="CD3922" s="1821"/>
      <c r="CE3922" s="1821"/>
      <c r="CF3922" s="1821"/>
      <c r="CG3922" s="1821"/>
      <c r="CH3922" s="1821"/>
      <c r="CI3922" s="1821"/>
      <c r="CJ3922" s="1821"/>
      <c r="CK3922" s="1821"/>
    </row>
    <row r="3923" spans="1:89" s="744" customFormat="1" ht="16.5" customHeight="1" x14ac:dyDescent="0.25">
      <c r="A3923" s="1033"/>
      <c r="B3923" s="709" t="s">
        <v>54</v>
      </c>
      <c r="C3923" s="827">
        <v>30</v>
      </c>
      <c r="D3923" s="961" t="s">
        <v>55</v>
      </c>
      <c r="E3923" s="758">
        <v>415</v>
      </c>
      <c r="F3923" s="714"/>
      <c r="G3923" s="714"/>
      <c r="H3923" s="700"/>
      <c r="I3923" s="714"/>
      <c r="J3923" s="714">
        <f>E3923*C3923</f>
        <v>12450</v>
      </c>
      <c r="K3923" s="700">
        <f t="shared" si="431"/>
        <v>12450</v>
      </c>
      <c r="L3923" s="714"/>
      <c r="M3923" s="714"/>
      <c r="N3923" s="700"/>
      <c r="O3923" s="974">
        <f t="shared" si="432"/>
        <v>12450</v>
      </c>
      <c r="P3923" s="956"/>
      <c r="Q3923" s="1821"/>
      <c r="R3923" s="1821"/>
      <c r="S3923" s="1821"/>
      <c r="T3923" s="1821"/>
      <c r="U3923" s="1821"/>
      <c r="V3923" s="1821"/>
      <c r="W3923" s="1821"/>
      <c r="X3923" s="1821"/>
      <c r="Y3923" s="1821"/>
      <c r="Z3923" s="1821"/>
      <c r="AA3923" s="1821"/>
      <c r="AB3923" s="1821"/>
      <c r="AC3923" s="1821"/>
      <c r="AD3923" s="1821"/>
      <c r="AE3923" s="1821"/>
      <c r="AF3923" s="1821"/>
      <c r="AG3923" s="1821"/>
      <c r="AH3923" s="1821"/>
      <c r="AI3923" s="1821"/>
      <c r="AJ3923" s="1821"/>
      <c r="AK3923" s="1821"/>
      <c r="AL3923" s="1821"/>
      <c r="AM3923" s="1821"/>
      <c r="AN3923" s="1821"/>
      <c r="AO3923" s="1821"/>
      <c r="AP3923" s="1821"/>
      <c r="AQ3923" s="1821"/>
      <c r="AR3923" s="1821"/>
      <c r="AS3923" s="1821"/>
      <c r="AT3923" s="1821"/>
      <c r="AU3923" s="1821"/>
      <c r="AV3923" s="1821"/>
      <c r="AW3923" s="1821"/>
      <c r="AX3923" s="1821"/>
      <c r="AY3923" s="1821"/>
      <c r="AZ3923" s="1821"/>
      <c r="BA3923" s="1821"/>
      <c r="BB3923" s="1821"/>
      <c r="BC3923" s="1821"/>
      <c r="BD3923" s="1821"/>
      <c r="BE3923" s="1821"/>
      <c r="BF3923" s="1821"/>
      <c r="BG3923" s="1821"/>
      <c r="BH3923" s="1821"/>
      <c r="BI3923" s="1821"/>
      <c r="BJ3923" s="1821"/>
      <c r="BK3923" s="1821"/>
      <c r="BL3923" s="1821"/>
      <c r="BM3923" s="1821"/>
      <c r="BN3923" s="1821"/>
      <c r="BO3923" s="1821"/>
      <c r="BP3923" s="1821"/>
      <c r="BQ3923" s="1821"/>
      <c r="BR3923" s="1821"/>
      <c r="BS3923" s="1821"/>
      <c r="BT3923" s="1821"/>
      <c r="BU3923" s="1821"/>
      <c r="BV3923" s="1821"/>
      <c r="BW3923" s="1821"/>
      <c r="BX3923" s="1821"/>
      <c r="BY3923" s="1821"/>
      <c r="BZ3923" s="1821"/>
      <c r="CA3923" s="1821"/>
      <c r="CB3923" s="1821"/>
      <c r="CC3923" s="1821"/>
      <c r="CD3923" s="1821"/>
      <c r="CE3923" s="1821"/>
      <c r="CF3923" s="1821"/>
      <c r="CG3923" s="1821"/>
      <c r="CH3923" s="1821"/>
      <c r="CI3923" s="1821"/>
      <c r="CJ3923" s="1821"/>
      <c r="CK3923" s="1821"/>
    </row>
    <row r="3924" spans="1:89" s="744" customFormat="1" ht="16.5" customHeight="1" x14ac:dyDescent="0.25">
      <c r="A3924" s="1033"/>
      <c r="B3924" s="709" t="s">
        <v>52</v>
      </c>
      <c r="C3924" s="827">
        <v>20</v>
      </c>
      <c r="D3924" s="961" t="s">
        <v>55</v>
      </c>
      <c r="E3924" s="758">
        <v>579.20000000000005</v>
      </c>
      <c r="F3924" s="714"/>
      <c r="G3924" s="714"/>
      <c r="H3924" s="700"/>
      <c r="I3924" s="714"/>
      <c r="J3924" s="714">
        <f>E3924*C3924</f>
        <v>11584</v>
      </c>
      <c r="K3924" s="700">
        <f t="shared" si="431"/>
        <v>11584</v>
      </c>
      <c r="L3924" s="714"/>
      <c r="M3924" s="714"/>
      <c r="N3924" s="700"/>
      <c r="O3924" s="974">
        <f t="shared" si="432"/>
        <v>11584</v>
      </c>
      <c r="P3924" s="956"/>
      <c r="Q3924" s="1821"/>
      <c r="R3924" s="1821"/>
      <c r="S3924" s="1821"/>
      <c r="T3924" s="1821"/>
      <c r="U3924" s="1821"/>
      <c r="V3924" s="1821"/>
      <c r="W3924" s="1821"/>
      <c r="X3924" s="1821"/>
      <c r="Y3924" s="1821"/>
      <c r="Z3924" s="1821"/>
      <c r="AA3924" s="1821"/>
      <c r="AB3924" s="1821"/>
      <c r="AC3924" s="1821"/>
      <c r="AD3924" s="1821"/>
      <c r="AE3924" s="1821"/>
      <c r="AF3924" s="1821"/>
      <c r="AG3924" s="1821"/>
      <c r="AH3924" s="1821"/>
      <c r="AI3924" s="1821"/>
      <c r="AJ3924" s="1821"/>
      <c r="AK3924" s="1821"/>
      <c r="AL3924" s="1821"/>
      <c r="AM3924" s="1821"/>
      <c r="AN3924" s="1821"/>
      <c r="AO3924" s="1821"/>
      <c r="AP3924" s="1821"/>
      <c r="AQ3924" s="1821"/>
      <c r="AR3924" s="1821"/>
      <c r="AS3924" s="1821"/>
      <c r="AT3924" s="1821"/>
      <c r="AU3924" s="1821"/>
      <c r="AV3924" s="1821"/>
      <c r="AW3924" s="1821"/>
      <c r="AX3924" s="1821"/>
      <c r="AY3924" s="1821"/>
      <c r="AZ3924" s="1821"/>
      <c r="BA3924" s="1821"/>
      <c r="BB3924" s="1821"/>
      <c r="BC3924" s="1821"/>
      <c r="BD3924" s="1821"/>
      <c r="BE3924" s="1821"/>
      <c r="BF3924" s="1821"/>
      <c r="BG3924" s="1821"/>
      <c r="BH3924" s="1821"/>
      <c r="BI3924" s="1821"/>
      <c r="BJ3924" s="1821"/>
      <c r="BK3924" s="1821"/>
      <c r="BL3924" s="1821"/>
      <c r="BM3924" s="1821"/>
      <c r="BN3924" s="1821"/>
      <c r="BO3924" s="1821"/>
      <c r="BP3924" s="1821"/>
      <c r="BQ3924" s="1821"/>
      <c r="BR3924" s="1821"/>
      <c r="BS3924" s="1821"/>
      <c r="BT3924" s="1821"/>
      <c r="BU3924" s="1821"/>
      <c r="BV3924" s="1821"/>
      <c r="BW3924" s="1821"/>
      <c r="BX3924" s="1821"/>
      <c r="BY3924" s="1821"/>
      <c r="BZ3924" s="1821"/>
      <c r="CA3924" s="1821"/>
      <c r="CB3924" s="1821"/>
      <c r="CC3924" s="1821"/>
      <c r="CD3924" s="1821"/>
      <c r="CE3924" s="1821"/>
      <c r="CF3924" s="1821"/>
      <c r="CG3924" s="1821"/>
      <c r="CH3924" s="1821"/>
      <c r="CI3924" s="1821"/>
      <c r="CJ3924" s="1821"/>
      <c r="CK3924" s="1821"/>
    </row>
    <row r="3925" spans="1:89" s="744" customFormat="1" ht="16.5" customHeight="1" x14ac:dyDescent="0.25">
      <c r="A3925" s="1033"/>
      <c r="B3925" s="709"/>
      <c r="C3925" s="827"/>
      <c r="D3925" s="961"/>
      <c r="E3925" s="758"/>
      <c r="F3925" s="714"/>
      <c r="G3925" s="714"/>
      <c r="H3925" s="700">
        <f t="shared" si="433"/>
        <v>0</v>
      </c>
      <c r="I3925" s="714"/>
      <c r="J3925" s="714">
        <f t="shared" ref="J3925:J3931" si="435">C3925*E3925</f>
        <v>0</v>
      </c>
      <c r="K3925" s="700">
        <f t="shared" si="431"/>
        <v>0</v>
      </c>
      <c r="L3925" s="714"/>
      <c r="M3925" s="714"/>
      <c r="N3925" s="700">
        <f t="shared" si="434"/>
        <v>0</v>
      </c>
      <c r="O3925" s="974">
        <f t="shared" si="432"/>
        <v>0</v>
      </c>
      <c r="P3925" s="956"/>
      <c r="Q3925" s="1821"/>
      <c r="R3925" s="1821"/>
      <c r="S3925" s="1821"/>
      <c r="T3925" s="1821"/>
      <c r="U3925" s="1821"/>
      <c r="V3925" s="1821"/>
      <c r="W3925" s="1821"/>
      <c r="X3925" s="1821"/>
      <c r="Y3925" s="1821"/>
      <c r="Z3925" s="1821"/>
      <c r="AA3925" s="1821"/>
      <c r="AB3925" s="1821"/>
      <c r="AC3925" s="1821"/>
      <c r="AD3925" s="1821"/>
      <c r="AE3925" s="1821"/>
      <c r="AF3925" s="1821"/>
      <c r="AG3925" s="1821"/>
      <c r="AH3925" s="1821"/>
      <c r="AI3925" s="1821"/>
      <c r="AJ3925" s="1821"/>
      <c r="AK3925" s="1821"/>
      <c r="AL3925" s="1821"/>
      <c r="AM3925" s="1821"/>
      <c r="AN3925" s="1821"/>
      <c r="AO3925" s="1821"/>
      <c r="AP3925" s="1821"/>
      <c r="AQ3925" s="1821"/>
      <c r="AR3925" s="1821"/>
      <c r="AS3925" s="1821"/>
      <c r="AT3925" s="1821"/>
      <c r="AU3925" s="1821"/>
      <c r="AV3925" s="1821"/>
      <c r="AW3925" s="1821"/>
      <c r="AX3925" s="1821"/>
      <c r="AY3925" s="1821"/>
      <c r="AZ3925" s="1821"/>
      <c r="BA3925" s="1821"/>
      <c r="BB3925" s="1821"/>
      <c r="BC3925" s="1821"/>
      <c r="BD3925" s="1821"/>
      <c r="BE3925" s="1821"/>
      <c r="BF3925" s="1821"/>
      <c r="BG3925" s="1821"/>
      <c r="BH3925" s="1821"/>
      <c r="BI3925" s="1821"/>
      <c r="BJ3925" s="1821"/>
      <c r="BK3925" s="1821"/>
      <c r="BL3925" s="1821"/>
      <c r="BM3925" s="1821"/>
      <c r="BN3925" s="1821"/>
      <c r="BO3925" s="1821"/>
      <c r="BP3925" s="1821"/>
      <c r="BQ3925" s="1821"/>
      <c r="BR3925" s="1821"/>
      <c r="BS3925" s="1821"/>
      <c r="BT3925" s="1821"/>
      <c r="BU3925" s="1821"/>
      <c r="BV3925" s="1821"/>
      <c r="BW3925" s="1821"/>
      <c r="BX3925" s="1821"/>
      <c r="BY3925" s="1821"/>
      <c r="BZ3925" s="1821"/>
      <c r="CA3925" s="1821"/>
      <c r="CB3925" s="1821"/>
      <c r="CC3925" s="1821"/>
      <c r="CD3925" s="1821"/>
      <c r="CE3925" s="1821"/>
      <c r="CF3925" s="1821"/>
      <c r="CG3925" s="1821"/>
      <c r="CH3925" s="1821"/>
      <c r="CI3925" s="1821"/>
      <c r="CJ3925" s="1821"/>
      <c r="CK3925" s="1821"/>
    </row>
    <row r="3926" spans="1:89" s="744" customFormat="1" ht="16.5" customHeight="1" x14ac:dyDescent="0.25">
      <c r="A3926" s="1033">
        <v>14</v>
      </c>
      <c r="B3926" s="709" t="s">
        <v>441</v>
      </c>
      <c r="C3926" s="827">
        <f>SUM(O3928:O3937)</f>
        <v>1462472.6719999998</v>
      </c>
      <c r="D3926" s="961"/>
      <c r="E3926" s="758"/>
      <c r="F3926" s="714"/>
      <c r="G3926" s="714"/>
      <c r="H3926" s="700"/>
      <c r="I3926" s="714"/>
      <c r="J3926" s="714"/>
      <c r="K3926" s="700"/>
      <c r="L3926" s="714"/>
      <c r="M3926" s="714"/>
      <c r="N3926" s="700"/>
      <c r="O3926" s="974"/>
      <c r="P3926" s="956"/>
      <c r="Q3926" s="1821"/>
      <c r="R3926" s="1821"/>
      <c r="S3926" s="1821"/>
      <c r="T3926" s="1821"/>
      <c r="U3926" s="1821"/>
      <c r="V3926" s="1821"/>
      <c r="W3926" s="1821"/>
      <c r="X3926" s="1821"/>
      <c r="Y3926" s="1821"/>
      <c r="Z3926" s="1821"/>
      <c r="AA3926" s="1821"/>
      <c r="AB3926" s="1821"/>
      <c r="AC3926" s="1821"/>
      <c r="AD3926" s="1821"/>
      <c r="AE3926" s="1821"/>
      <c r="AF3926" s="1821"/>
      <c r="AG3926" s="1821"/>
      <c r="AH3926" s="1821"/>
      <c r="AI3926" s="1821"/>
      <c r="AJ3926" s="1821"/>
      <c r="AK3926" s="1821"/>
      <c r="AL3926" s="1821"/>
      <c r="AM3926" s="1821"/>
      <c r="AN3926" s="1821"/>
      <c r="AO3926" s="1821"/>
      <c r="AP3926" s="1821"/>
      <c r="AQ3926" s="1821"/>
      <c r="AR3926" s="1821"/>
      <c r="AS3926" s="1821"/>
      <c r="AT3926" s="1821"/>
      <c r="AU3926" s="1821"/>
      <c r="AV3926" s="1821"/>
      <c r="AW3926" s="1821"/>
      <c r="AX3926" s="1821"/>
      <c r="AY3926" s="1821"/>
      <c r="AZ3926" s="1821"/>
      <c r="BA3926" s="1821"/>
      <c r="BB3926" s="1821"/>
      <c r="BC3926" s="1821"/>
      <c r="BD3926" s="1821"/>
      <c r="BE3926" s="1821"/>
      <c r="BF3926" s="1821"/>
      <c r="BG3926" s="1821"/>
      <c r="BH3926" s="1821"/>
      <c r="BI3926" s="1821"/>
      <c r="BJ3926" s="1821"/>
      <c r="BK3926" s="1821"/>
      <c r="BL3926" s="1821"/>
      <c r="BM3926" s="1821"/>
      <c r="BN3926" s="1821"/>
      <c r="BO3926" s="1821"/>
      <c r="BP3926" s="1821"/>
      <c r="BQ3926" s="1821"/>
      <c r="BR3926" s="1821"/>
      <c r="BS3926" s="1821"/>
      <c r="BT3926" s="1821"/>
      <c r="BU3926" s="1821"/>
      <c r="BV3926" s="1821"/>
      <c r="BW3926" s="1821"/>
      <c r="BX3926" s="1821"/>
      <c r="BY3926" s="1821"/>
      <c r="BZ3926" s="1821"/>
      <c r="CA3926" s="1821"/>
      <c r="CB3926" s="1821"/>
      <c r="CC3926" s="1821"/>
      <c r="CD3926" s="1821"/>
      <c r="CE3926" s="1821"/>
      <c r="CF3926" s="1821"/>
      <c r="CG3926" s="1821"/>
      <c r="CH3926" s="1821"/>
      <c r="CI3926" s="1821"/>
      <c r="CJ3926" s="1821"/>
      <c r="CK3926" s="1821"/>
    </row>
    <row r="3927" spans="1:89" s="744" customFormat="1" ht="16.5" customHeight="1" x14ac:dyDescent="0.25">
      <c r="A3927" s="1033"/>
      <c r="B3927" s="709" t="s">
        <v>21</v>
      </c>
      <c r="C3927" s="827"/>
      <c r="D3927" s="961"/>
      <c r="E3927" s="758"/>
      <c r="F3927" s="714"/>
      <c r="G3927" s="714"/>
      <c r="H3927" s="700">
        <f t="shared" si="433"/>
        <v>0</v>
      </c>
      <c r="I3927" s="714"/>
      <c r="J3927" s="714">
        <f t="shared" si="435"/>
        <v>0</v>
      </c>
      <c r="K3927" s="700">
        <f t="shared" si="431"/>
        <v>0</v>
      </c>
      <c r="L3927" s="714"/>
      <c r="M3927" s="714"/>
      <c r="N3927" s="700">
        <f t="shared" si="434"/>
        <v>0</v>
      </c>
      <c r="O3927" s="974">
        <f t="shared" si="432"/>
        <v>0</v>
      </c>
      <c r="P3927" s="956"/>
      <c r="Q3927" s="1821"/>
      <c r="R3927" s="1821"/>
      <c r="S3927" s="1821"/>
      <c r="T3927" s="1821"/>
      <c r="U3927" s="1821"/>
      <c r="V3927" s="1821"/>
      <c r="W3927" s="1821"/>
      <c r="X3927" s="1821"/>
      <c r="Y3927" s="1821"/>
      <c r="Z3927" s="1821"/>
      <c r="AA3927" s="1821"/>
      <c r="AB3927" s="1821"/>
      <c r="AC3927" s="1821"/>
      <c r="AD3927" s="1821"/>
      <c r="AE3927" s="1821"/>
      <c r="AF3927" s="1821"/>
      <c r="AG3927" s="1821"/>
      <c r="AH3927" s="1821"/>
      <c r="AI3927" s="1821"/>
      <c r="AJ3927" s="1821"/>
      <c r="AK3927" s="1821"/>
      <c r="AL3927" s="1821"/>
      <c r="AM3927" s="1821"/>
      <c r="AN3927" s="1821"/>
      <c r="AO3927" s="1821"/>
      <c r="AP3927" s="1821"/>
      <c r="AQ3927" s="1821"/>
      <c r="AR3927" s="1821"/>
      <c r="AS3927" s="1821"/>
      <c r="AT3927" s="1821"/>
      <c r="AU3927" s="1821"/>
      <c r="AV3927" s="1821"/>
      <c r="AW3927" s="1821"/>
      <c r="AX3927" s="1821"/>
      <c r="AY3927" s="1821"/>
      <c r="AZ3927" s="1821"/>
      <c r="BA3927" s="1821"/>
      <c r="BB3927" s="1821"/>
      <c r="BC3927" s="1821"/>
      <c r="BD3927" s="1821"/>
      <c r="BE3927" s="1821"/>
      <c r="BF3927" s="1821"/>
      <c r="BG3927" s="1821"/>
      <c r="BH3927" s="1821"/>
      <c r="BI3927" s="1821"/>
      <c r="BJ3927" s="1821"/>
      <c r="BK3927" s="1821"/>
      <c r="BL3927" s="1821"/>
      <c r="BM3927" s="1821"/>
      <c r="BN3927" s="1821"/>
      <c r="BO3927" s="1821"/>
      <c r="BP3927" s="1821"/>
      <c r="BQ3927" s="1821"/>
      <c r="BR3927" s="1821"/>
      <c r="BS3927" s="1821"/>
      <c r="BT3927" s="1821"/>
      <c r="BU3927" s="1821"/>
      <c r="BV3927" s="1821"/>
      <c r="BW3927" s="1821"/>
      <c r="BX3927" s="1821"/>
      <c r="BY3927" s="1821"/>
      <c r="BZ3927" s="1821"/>
      <c r="CA3927" s="1821"/>
      <c r="CB3927" s="1821"/>
      <c r="CC3927" s="1821"/>
      <c r="CD3927" s="1821"/>
      <c r="CE3927" s="1821"/>
      <c r="CF3927" s="1821"/>
      <c r="CG3927" s="1821"/>
      <c r="CH3927" s="1821"/>
      <c r="CI3927" s="1821"/>
      <c r="CJ3927" s="1821"/>
      <c r="CK3927" s="1821"/>
    </row>
    <row r="3928" spans="1:89" s="744" customFormat="1" ht="16.5" customHeight="1" x14ac:dyDescent="0.25">
      <c r="A3928" s="1033"/>
      <c r="B3928" s="709" t="s">
        <v>215</v>
      </c>
      <c r="C3928" s="827">
        <v>1</v>
      </c>
      <c r="D3928" s="961" t="s">
        <v>25</v>
      </c>
      <c r="E3928" s="758">
        <v>497619.20000000001</v>
      </c>
      <c r="F3928" s="714"/>
      <c r="G3928" s="714"/>
      <c r="H3928" s="700">
        <f t="shared" si="433"/>
        <v>0</v>
      </c>
      <c r="I3928" s="714"/>
      <c r="J3928" s="714">
        <f t="shared" si="435"/>
        <v>497619.20000000001</v>
      </c>
      <c r="K3928" s="700">
        <f t="shared" si="431"/>
        <v>497619.20000000001</v>
      </c>
      <c r="L3928" s="714"/>
      <c r="M3928" s="714"/>
      <c r="N3928" s="700">
        <f t="shared" si="434"/>
        <v>0</v>
      </c>
      <c r="O3928" s="974">
        <f t="shared" si="432"/>
        <v>497619.20000000001</v>
      </c>
      <c r="P3928" s="956"/>
      <c r="Q3928" s="1821"/>
      <c r="R3928" s="1821"/>
      <c r="S3928" s="1821"/>
      <c r="T3928" s="1821"/>
      <c r="U3928" s="1821"/>
      <c r="V3928" s="1821"/>
      <c r="W3928" s="1821"/>
      <c r="X3928" s="1821"/>
      <c r="Y3928" s="1821"/>
      <c r="Z3928" s="1821"/>
      <c r="AA3928" s="1821"/>
      <c r="AB3928" s="1821"/>
      <c r="AC3928" s="1821"/>
      <c r="AD3928" s="1821"/>
      <c r="AE3928" s="1821"/>
      <c r="AF3928" s="1821"/>
      <c r="AG3928" s="1821"/>
      <c r="AH3928" s="1821"/>
      <c r="AI3928" s="1821"/>
      <c r="AJ3928" s="1821"/>
      <c r="AK3928" s="1821"/>
      <c r="AL3928" s="1821"/>
      <c r="AM3928" s="1821"/>
      <c r="AN3928" s="1821"/>
      <c r="AO3928" s="1821"/>
      <c r="AP3928" s="1821"/>
      <c r="AQ3928" s="1821"/>
      <c r="AR3928" s="1821"/>
      <c r="AS3928" s="1821"/>
      <c r="AT3928" s="1821"/>
      <c r="AU3928" s="1821"/>
      <c r="AV3928" s="1821"/>
      <c r="AW3928" s="1821"/>
      <c r="AX3928" s="1821"/>
      <c r="AY3928" s="1821"/>
      <c r="AZ3928" s="1821"/>
      <c r="BA3928" s="1821"/>
      <c r="BB3928" s="1821"/>
      <c r="BC3928" s="1821"/>
      <c r="BD3928" s="1821"/>
      <c r="BE3928" s="1821"/>
      <c r="BF3928" s="1821"/>
      <c r="BG3928" s="1821"/>
      <c r="BH3928" s="1821"/>
      <c r="BI3928" s="1821"/>
      <c r="BJ3928" s="1821"/>
      <c r="BK3928" s="1821"/>
      <c r="BL3928" s="1821"/>
      <c r="BM3928" s="1821"/>
      <c r="BN3928" s="1821"/>
      <c r="BO3928" s="1821"/>
      <c r="BP3928" s="1821"/>
      <c r="BQ3928" s="1821"/>
      <c r="BR3928" s="1821"/>
      <c r="BS3928" s="1821"/>
      <c r="BT3928" s="1821"/>
      <c r="BU3928" s="1821"/>
      <c r="BV3928" s="1821"/>
      <c r="BW3928" s="1821"/>
      <c r="BX3928" s="1821"/>
      <c r="BY3928" s="1821"/>
      <c r="BZ3928" s="1821"/>
      <c r="CA3928" s="1821"/>
      <c r="CB3928" s="1821"/>
      <c r="CC3928" s="1821"/>
      <c r="CD3928" s="1821"/>
      <c r="CE3928" s="1821"/>
      <c r="CF3928" s="1821"/>
      <c r="CG3928" s="1821"/>
      <c r="CH3928" s="1821"/>
      <c r="CI3928" s="1821"/>
      <c r="CJ3928" s="1821"/>
      <c r="CK3928" s="1821"/>
    </row>
    <row r="3929" spans="1:89" s="744" customFormat="1" ht="16.5" customHeight="1" x14ac:dyDescent="0.25">
      <c r="A3929" s="1033"/>
      <c r="B3929" s="709" t="s">
        <v>1350</v>
      </c>
      <c r="C3929" s="827"/>
      <c r="D3929" s="961"/>
      <c r="E3929" s="758"/>
      <c r="F3929" s="714"/>
      <c r="G3929" s="714"/>
      <c r="H3929" s="700">
        <f t="shared" si="433"/>
        <v>0</v>
      </c>
      <c r="I3929" s="714"/>
      <c r="J3929" s="714">
        <f t="shared" si="435"/>
        <v>0</v>
      </c>
      <c r="K3929" s="700">
        <f t="shared" si="431"/>
        <v>0</v>
      </c>
      <c r="L3929" s="714"/>
      <c r="M3929" s="714"/>
      <c r="N3929" s="700">
        <f t="shared" si="434"/>
        <v>0</v>
      </c>
      <c r="O3929" s="974">
        <f t="shared" si="432"/>
        <v>0</v>
      </c>
      <c r="P3929" s="956"/>
      <c r="Q3929" s="1821"/>
      <c r="R3929" s="1821"/>
      <c r="S3929" s="1821"/>
      <c r="T3929" s="1821"/>
      <c r="U3929" s="1821"/>
      <c r="V3929" s="1821"/>
      <c r="W3929" s="1821"/>
      <c r="X3929" s="1821"/>
      <c r="Y3929" s="1821"/>
      <c r="Z3929" s="1821"/>
      <c r="AA3929" s="1821"/>
      <c r="AB3929" s="1821"/>
      <c r="AC3929" s="1821"/>
      <c r="AD3929" s="1821"/>
      <c r="AE3929" s="1821"/>
      <c r="AF3929" s="1821"/>
      <c r="AG3929" s="1821"/>
      <c r="AH3929" s="1821"/>
      <c r="AI3929" s="1821"/>
      <c r="AJ3929" s="1821"/>
      <c r="AK3929" s="1821"/>
      <c r="AL3929" s="1821"/>
      <c r="AM3929" s="1821"/>
      <c r="AN3929" s="1821"/>
      <c r="AO3929" s="1821"/>
      <c r="AP3929" s="1821"/>
      <c r="AQ3929" s="1821"/>
      <c r="AR3929" s="1821"/>
      <c r="AS3929" s="1821"/>
      <c r="AT3929" s="1821"/>
      <c r="AU3929" s="1821"/>
      <c r="AV3929" s="1821"/>
      <c r="AW3929" s="1821"/>
      <c r="AX3929" s="1821"/>
      <c r="AY3929" s="1821"/>
      <c r="AZ3929" s="1821"/>
      <c r="BA3929" s="1821"/>
      <c r="BB3929" s="1821"/>
      <c r="BC3929" s="1821"/>
      <c r="BD3929" s="1821"/>
      <c r="BE3929" s="1821"/>
      <c r="BF3929" s="1821"/>
      <c r="BG3929" s="1821"/>
      <c r="BH3929" s="1821"/>
      <c r="BI3929" s="1821"/>
      <c r="BJ3929" s="1821"/>
      <c r="BK3929" s="1821"/>
      <c r="BL3929" s="1821"/>
      <c r="BM3929" s="1821"/>
      <c r="BN3929" s="1821"/>
      <c r="BO3929" s="1821"/>
      <c r="BP3929" s="1821"/>
      <c r="BQ3929" s="1821"/>
      <c r="BR3929" s="1821"/>
      <c r="BS3929" s="1821"/>
      <c r="BT3929" s="1821"/>
      <c r="BU3929" s="1821"/>
      <c r="BV3929" s="1821"/>
      <c r="BW3929" s="1821"/>
      <c r="BX3929" s="1821"/>
      <c r="BY3929" s="1821"/>
      <c r="BZ3929" s="1821"/>
      <c r="CA3929" s="1821"/>
      <c r="CB3929" s="1821"/>
      <c r="CC3929" s="1821"/>
      <c r="CD3929" s="1821"/>
      <c r="CE3929" s="1821"/>
      <c r="CF3929" s="1821"/>
      <c r="CG3929" s="1821"/>
      <c r="CH3929" s="1821"/>
      <c r="CI3929" s="1821"/>
      <c r="CJ3929" s="1821"/>
      <c r="CK3929" s="1821"/>
    </row>
    <row r="3930" spans="1:89" s="744" customFormat="1" ht="16.5" customHeight="1" x14ac:dyDescent="0.25">
      <c r="A3930" s="1033"/>
      <c r="B3930" s="709" t="s">
        <v>215</v>
      </c>
      <c r="C3930" s="827">
        <v>1</v>
      </c>
      <c r="D3930" s="961" t="s">
        <v>25</v>
      </c>
      <c r="E3930" s="758">
        <v>195000</v>
      </c>
      <c r="F3930" s="714"/>
      <c r="G3930" s="714"/>
      <c r="H3930" s="700">
        <f t="shared" si="433"/>
        <v>0</v>
      </c>
      <c r="I3930" s="714"/>
      <c r="J3930" s="714">
        <v>195000</v>
      </c>
      <c r="K3930" s="700">
        <f t="shared" si="431"/>
        <v>195000</v>
      </c>
      <c r="L3930" s="714"/>
      <c r="M3930" s="714"/>
      <c r="N3930" s="700">
        <f t="shared" si="434"/>
        <v>0</v>
      </c>
      <c r="O3930" s="974">
        <f t="shared" si="432"/>
        <v>195000</v>
      </c>
      <c r="P3930" s="956"/>
      <c r="Q3930" s="1821"/>
      <c r="R3930" s="1821"/>
      <c r="S3930" s="1821"/>
      <c r="T3930" s="1821"/>
      <c r="U3930" s="1821"/>
      <c r="V3930" s="1821"/>
      <c r="W3930" s="1821"/>
      <c r="X3930" s="1821"/>
      <c r="Y3930" s="1821"/>
      <c r="Z3930" s="1821"/>
      <c r="AA3930" s="1821"/>
      <c r="AB3930" s="1821"/>
      <c r="AC3930" s="1821"/>
      <c r="AD3930" s="1821"/>
      <c r="AE3930" s="1821"/>
      <c r="AF3930" s="1821"/>
      <c r="AG3930" s="1821"/>
      <c r="AH3930" s="1821"/>
      <c r="AI3930" s="1821"/>
      <c r="AJ3930" s="1821"/>
      <c r="AK3930" s="1821"/>
      <c r="AL3930" s="1821"/>
      <c r="AM3930" s="1821"/>
      <c r="AN3930" s="1821"/>
      <c r="AO3930" s="1821"/>
      <c r="AP3930" s="1821"/>
      <c r="AQ3930" s="1821"/>
      <c r="AR3930" s="1821"/>
      <c r="AS3930" s="1821"/>
      <c r="AT3930" s="1821"/>
      <c r="AU3930" s="1821"/>
      <c r="AV3930" s="1821"/>
      <c r="AW3930" s="1821"/>
      <c r="AX3930" s="1821"/>
      <c r="AY3930" s="1821"/>
      <c r="AZ3930" s="1821"/>
      <c r="BA3930" s="1821"/>
      <c r="BB3930" s="1821"/>
      <c r="BC3930" s="1821"/>
      <c r="BD3930" s="1821"/>
      <c r="BE3930" s="1821"/>
      <c r="BF3930" s="1821"/>
      <c r="BG3930" s="1821"/>
      <c r="BH3930" s="1821"/>
      <c r="BI3930" s="1821"/>
      <c r="BJ3930" s="1821"/>
      <c r="BK3930" s="1821"/>
      <c r="BL3930" s="1821"/>
      <c r="BM3930" s="1821"/>
      <c r="BN3930" s="1821"/>
      <c r="BO3930" s="1821"/>
      <c r="BP3930" s="1821"/>
      <c r="BQ3930" s="1821"/>
      <c r="BR3930" s="1821"/>
      <c r="BS3930" s="1821"/>
      <c r="BT3930" s="1821"/>
      <c r="BU3930" s="1821"/>
      <c r="BV3930" s="1821"/>
      <c r="BW3930" s="1821"/>
      <c r="BX3930" s="1821"/>
      <c r="BY3930" s="1821"/>
      <c r="BZ3930" s="1821"/>
      <c r="CA3930" s="1821"/>
      <c r="CB3930" s="1821"/>
      <c r="CC3930" s="1821"/>
      <c r="CD3930" s="1821"/>
      <c r="CE3930" s="1821"/>
      <c r="CF3930" s="1821"/>
      <c r="CG3930" s="1821"/>
      <c r="CH3930" s="1821"/>
      <c r="CI3930" s="1821"/>
      <c r="CJ3930" s="1821"/>
      <c r="CK3930" s="1821"/>
    </row>
    <row r="3931" spans="1:89" s="744" customFormat="1" ht="16.5" customHeight="1" x14ac:dyDescent="0.25">
      <c r="A3931" s="1033"/>
      <c r="B3931" s="709" t="s">
        <v>349</v>
      </c>
      <c r="C3931" s="827"/>
      <c r="D3931" s="961"/>
      <c r="E3931" s="758"/>
      <c r="F3931" s="714"/>
      <c r="G3931" s="714"/>
      <c r="H3931" s="700">
        <f t="shared" si="433"/>
        <v>0</v>
      </c>
      <c r="I3931" s="714"/>
      <c r="J3931" s="714">
        <f t="shared" si="435"/>
        <v>0</v>
      </c>
      <c r="K3931" s="700">
        <f t="shared" si="431"/>
        <v>0</v>
      </c>
      <c r="L3931" s="714"/>
      <c r="M3931" s="714"/>
      <c r="N3931" s="700">
        <f t="shared" si="434"/>
        <v>0</v>
      </c>
      <c r="O3931" s="974">
        <f t="shared" si="432"/>
        <v>0</v>
      </c>
      <c r="P3931" s="956"/>
      <c r="Q3931" s="1821"/>
      <c r="R3931" s="1821"/>
      <c r="S3931" s="1821"/>
      <c r="T3931" s="1821"/>
      <c r="U3931" s="1821"/>
      <c r="V3931" s="1821"/>
      <c r="W3931" s="1821"/>
      <c r="X3931" s="1821"/>
      <c r="Y3931" s="1821"/>
      <c r="Z3931" s="1821"/>
      <c r="AA3931" s="1821"/>
      <c r="AB3931" s="1821"/>
      <c r="AC3931" s="1821"/>
      <c r="AD3931" s="1821"/>
      <c r="AE3931" s="1821"/>
      <c r="AF3931" s="1821"/>
      <c r="AG3931" s="1821"/>
      <c r="AH3931" s="1821"/>
      <c r="AI3931" s="1821"/>
      <c r="AJ3931" s="1821"/>
      <c r="AK3931" s="1821"/>
      <c r="AL3931" s="1821"/>
      <c r="AM3931" s="1821"/>
      <c r="AN3931" s="1821"/>
      <c r="AO3931" s="1821"/>
      <c r="AP3931" s="1821"/>
      <c r="AQ3931" s="1821"/>
      <c r="AR3931" s="1821"/>
      <c r="AS3931" s="1821"/>
      <c r="AT3931" s="1821"/>
      <c r="AU3931" s="1821"/>
      <c r="AV3931" s="1821"/>
      <c r="AW3931" s="1821"/>
      <c r="AX3931" s="1821"/>
      <c r="AY3931" s="1821"/>
      <c r="AZ3931" s="1821"/>
      <c r="BA3931" s="1821"/>
      <c r="BB3931" s="1821"/>
      <c r="BC3931" s="1821"/>
      <c r="BD3931" s="1821"/>
      <c r="BE3931" s="1821"/>
      <c r="BF3931" s="1821"/>
      <c r="BG3931" s="1821"/>
      <c r="BH3931" s="1821"/>
      <c r="BI3931" s="1821"/>
      <c r="BJ3931" s="1821"/>
      <c r="BK3931" s="1821"/>
      <c r="BL3931" s="1821"/>
      <c r="BM3931" s="1821"/>
      <c r="BN3931" s="1821"/>
      <c r="BO3931" s="1821"/>
      <c r="BP3931" s="1821"/>
      <c r="BQ3931" s="1821"/>
      <c r="BR3931" s="1821"/>
      <c r="BS3931" s="1821"/>
      <c r="BT3931" s="1821"/>
      <c r="BU3931" s="1821"/>
      <c r="BV3931" s="1821"/>
      <c r="BW3931" s="1821"/>
      <c r="BX3931" s="1821"/>
      <c r="BY3931" s="1821"/>
      <c r="BZ3931" s="1821"/>
      <c r="CA3931" s="1821"/>
      <c r="CB3931" s="1821"/>
      <c r="CC3931" s="1821"/>
      <c r="CD3931" s="1821"/>
      <c r="CE3931" s="1821"/>
      <c r="CF3931" s="1821"/>
      <c r="CG3931" s="1821"/>
      <c r="CH3931" s="1821"/>
      <c r="CI3931" s="1821"/>
      <c r="CJ3931" s="1821"/>
      <c r="CK3931" s="1821"/>
    </row>
    <row r="3932" spans="1:89" s="744" customFormat="1" ht="16.5" customHeight="1" x14ac:dyDescent="0.25">
      <c r="A3932" s="1033"/>
      <c r="B3932" s="709" t="s">
        <v>350</v>
      </c>
      <c r="C3932" s="827">
        <v>224</v>
      </c>
      <c r="D3932" s="961" t="s">
        <v>51</v>
      </c>
      <c r="E3932" s="758">
        <v>308.19</v>
      </c>
      <c r="F3932" s="714"/>
      <c r="G3932" s="714"/>
      <c r="H3932" s="700">
        <f t="shared" si="433"/>
        <v>0</v>
      </c>
      <c r="I3932" s="714"/>
      <c r="J3932" s="714">
        <f>E3932*C3932</f>
        <v>69034.559999999998</v>
      </c>
      <c r="K3932" s="700">
        <f t="shared" si="431"/>
        <v>69034.559999999998</v>
      </c>
      <c r="L3932" s="714"/>
      <c r="M3932" s="714"/>
      <c r="N3932" s="700">
        <f t="shared" si="434"/>
        <v>0</v>
      </c>
      <c r="O3932" s="974">
        <f t="shared" si="432"/>
        <v>69034.559999999998</v>
      </c>
      <c r="P3932" s="956"/>
      <c r="Q3932" s="1821"/>
      <c r="R3932" s="1821"/>
      <c r="S3932" s="1821"/>
      <c r="T3932" s="1821"/>
      <c r="U3932" s="1821"/>
      <c r="V3932" s="1821"/>
      <c r="W3932" s="1821"/>
      <c r="X3932" s="1821"/>
      <c r="Y3932" s="1821"/>
      <c r="Z3932" s="1821"/>
      <c r="AA3932" s="1821"/>
      <c r="AB3932" s="1821"/>
      <c r="AC3932" s="1821"/>
      <c r="AD3932" s="1821"/>
      <c r="AE3932" s="1821"/>
      <c r="AF3932" s="1821"/>
      <c r="AG3932" s="1821"/>
      <c r="AH3932" s="1821"/>
      <c r="AI3932" s="1821"/>
      <c r="AJ3932" s="1821"/>
      <c r="AK3932" s="1821"/>
      <c r="AL3932" s="1821"/>
      <c r="AM3932" s="1821"/>
      <c r="AN3932" s="1821"/>
      <c r="AO3932" s="1821"/>
      <c r="AP3932" s="1821"/>
      <c r="AQ3932" s="1821"/>
      <c r="AR3932" s="1821"/>
      <c r="AS3932" s="1821"/>
      <c r="AT3932" s="1821"/>
      <c r="AU3932" s="1821"/>
      <c r="AV3932" s="1821"/>
      <c r="AW3932" s="1821"/>
      <c r="AX3932" s="1821"/>
      <c r="AY3932" s="1821"/>
      <c r="AZ3932" s="1821"/>
      <c r="BA3932" s="1821"/>
      <c r="BB3932" s="1821"/>
      <c r="BC3932" s="1821"/>
      <c r="BD3932" s="1821"/>
      <c r="BE3932" s="1821"/>
      <c r="BF3932" s="1821"/>
      <c r="BG3932" s="1821"/>
      <c r="BH3932" s="1821"/>
      <c r="BI3932" s="1821"/>
      <c r="BJ3932" s="1821"/>
      <c r="BK3932" s="1821"/>
      <c r="BL3932" s="1821"/>
      <c r="BM3932" s="1821"/>
      <c r="BN3932" s="1821"/>
      <c r="BO3932" s="1821"/>
      <c r="BP3932" s="1821"/>
      <c r="BQ3932" s="1821"/>
      <c r="BR3932" s="1821"/>
      <c r="BS3932" s="1821"/>
      <c r="BT3932" s="1821"/>
      <c r="BU3932" s="1821"/>
      <c r="BV3932" s="1821"/>
      <c r="BW3932" s="1821"/>
      <c r="BX3932" s="1821"/>
      <c r="BY3932" s="1821"/>
      <c r="BZ3932" s="1821"/>
      <c r="CA3932" s="1821"/>
      <c r="CB3932" s="1821"/>
      <c r="CC3932" s="1821"/>
      <c r="CD3932" s="1821"/>
      <c r="CE3932" s="1821"/>
      <c r="CF3932" s="1821"/>
      <c r="CG3932" s="1821"/>
      <c r="CH3932" s="1821"/>
      <c r="CI3932" s="1821"/>
      <c r="CJ3932" s="1821"/>
      <c r="CK3932" s="1821"/>
    </row>
    <row r="3933" spans="1:89" s="744" customFormat="1" ht="16.5" customHeight="1" x14ac:dyDescent="0.25">
      <c r="A3933" s="1033"/>
      <c r="B3933" s="709" t="s">
        <v>54</v>
      </c>
      <c r="C3933" s="827">
        <v>672</v>
      </c>
      <c r="D3933" s="961" t="s">
        <v>55</v>
      </c>
      <c r="E3933" s="758">
        <v>429.553</v>
      </c>
      <c r="F3933" s="714"/>
      <c r="G3933" s="714"/>
      <c r="H3933" s="700">
        <f t="shared" si="433"/>
        <v>0</v>
      </c>
      <c r="I3933" s="714"/>
      <c r="J3933" s="714">
        <f>E3933*C3933</f>
        <v>288659.61599999998</v>
      </c>
      <c r="K3933" s="700">
        <f t="shared" si="431"/>
        <v>288659.61599999998</v>
      </c>
      <c r="L3933" s="714"/>
      <c r="M3933" s="714"/>
      <c r="N3933" s="700">
        <f t="shared" si="434"/>
        <v>0</v>
      </c>
      <c r="O3933" s="974">
        <f t="shared" si="432"/>
        <v>288659.61599999998</v>
      </c>
      <c r="P3933" s="956"/>
      <c r="Q3933" s="1821"/>
      <c r="R3933" s="1821"/>
      <c r="S3933" s="1821"/>
      <c r="T3933" s="1821"/>
      <c r="U3933" s="1821"/>
      <c r="V3933" s="1821"/>
      <c r="W3933" s="1821"/>
      <c r="X3933" s="1821"/>
      <c r="Y3933" s="1821"/>
      <c r="Z3933" s="1821"/>
      <c r="AA3933" s="1821"/>
      <c r="AB3933" s="1821"/>
      <c r="AC3933" s="1821"/>
      <c r="AD3933" s="1821"/>
      <c r="AE3933" s="1821"/>
      <c r="AF3933" s="1821"/>
      <c r="AG3933" s="1821"/>
      <c r="AH3933" s="1821"/>
      <c r="AI3933" s="1821"/>
      <c r="AJ3933" s="1821"/>
      <c r="AK3933" s="1821"/>
      <c r="AL3933" s="1821"/>
      <c r="AM3933" s="1821"/>
      <c r="AN3933" s="1821"/>
      <c r="AO3933" s="1821"/>
      <c r="AP3933" s="1821"/>
      <c r="AQ3933" s="1821"/>
      <c r="AR3933" s="1821"/>
      <c r="AS3933" s="1821"/>
      <c r="AT3933" s="1821"/>
      <c r="AU3933" s="1821"/>
      <c r="AV3933" s="1821"/>
      <c r="AW3933" s="1821"/>
      <c r="AX3933" s="1821"/>
      <c r="AY3933" s="1821"/>
      <c r="AZ3933" s="1821"/>
      <c r="BA3933" s="1821"/>
      <c r="BB3933" s="1821"/>
      <c r="BC3933" s="1821"/>
      <c r="BD3933" s="1821"/>
      <c r="BE3933" s="1821"/>
      <c r="BF3933" s="1821"/>
      <c r="BG3933" s="1821"/>
      <c r="BH3933" s="1821"/>
      <c r="BI3933" s="1821"/>
      <c r="BJ3933" s="1821"/>
      <c r="BK3933" s="1821"/>
      <c r="BL3933" s="1821"/>
      <c r="BM3933" s="1821"/>
      <c r="BN3933" s="1821"/>
      <c r="BO3933" s="1821"/>
      <c r="BP3933" s="1821"/>
      <c r="BQ3933" s="1821"/>
      <c r="BR3933" s="1821"/>
      <c r="BS3933" s="1821"/>
      <c r="BT3933" s="1821"/>
      <c r="BU3933" s="1821"/>
      <c r="BV3933" s="1821"/>
      <c r="BW3933" s="1821"/>
      <c r="BX3933" s="1821"/>
      <c r="BY3933" s="1821"/>
      <c r="BZ3933" s="1821"/>
      <c r="CA3933" s="1821"/>
      <c r="CB3933" s="1821"/>
      <c r="CC3933" s="1821"/>
      <c r="CD3933" s="1821"/>
      <c r="CE3933" s="1821"/>
      <c r="CF3933" s="1821"/>
      <c r="CG3933" s="1821"/>
      <c r="CH3933" s="1821"/>
      <c r="CI3933" s="1821"/>
      <c r="CJ3933" s="1821"/>
      <c r="CK3933" s="1821"/>
    </row>
    <row r="3934" spans="1:89" s="744" customFormat="1" ht="16.5" customHeight="1" x14ac:dyDescent="0.25">
      <c r="A3934" s="1033"/>
      <c r="B3934" s="709" t="s">
        <v>52</v>
      </c>
      <c r="C3934" s="827">
        <v>448</v>
      </c>
      <c r="D3934" s="961" t="s">
        <v>55</v>
      </c>
      <c r="E3934" s="758">
        <v>469.642</v>
      </c>
      <c r="F3934" s="714"/>
      <c r="G3934" s="714"/>
      <c r="H3934" s="700">
        <f t="shared" si="433"/>
        <v>0</v>
      </c>
      <c r="I3934" s="714"/>
      <c r="J3934" s="714">
        <f>E3934*C3934</f>
        <v>210399.61600000001</v>
      </c>
      <c r="K3934" s="700">
        <f t="shared" si="431"/>
        <v>210399.61600000001</v>
      </c>
      <c r="L3934" s="714"/>
      <c r="M3934" s="714"/>
      <c r="N3934" s="700">
        <f t="shared" si="434"/>
        <v>0</v>
      </c>
      <c r="O3934" s="974">
        <f t="shared" si="432"/>
        <v>210399.61600000001</v>
      </c>
      <c r="P3934" s="956"/>
      <c r="Q3934" s="1821"/>
      <c r="R3934" s="1821"/>
      <c r="S3934" s="1821"/>
      <c r="T3934" s="1821"/>
      <c r="U3934" s="1821"/>
      <c r="V3934" s="1821"/>
      <c r="W3934" s="1821"/>
      <c r="X3934" s="1821"/>
      <c r="Y3934" s="1821"/>
      <c r="Z3934" s="1821"/>
      <c r="AA3934" s="1821"/>
      <c r="AB3934" s="1821"/>
      <c r="AC3934" s="1821"/>
      <c r="AD3934" s="1821"/>
      <c r="AE3934" s="1821"/>
      <c r="AF3934" s="1821"/>
      <c r="AG3934" s="1821"/>
      <c r="AH3934" s="1821"/>
      <c r="AI3934" s="1821"/>
      <c r="AJ3934" s="1821"/>
      <c r="AK3934" s="1821"/>
      <c r="AL3934" s="1821"/>
      <c r="AM3934" s="1821"/>
      <c r="AN3934" s="1821"/>
      <c r="AO3934" s="1821"/>
      <c r="AP3934" s="1821"/>
      <c r="AQ3934" s="1821"/>
      <c r="AR3934" s="1821"/>
      <c r="AS3934" s="1821"/>
      <c r="AT3934" s="1821"/>
      <c r="AU3934" s="1821"/>
      <c r="AV3934" s="1821"/>
      <c r="AW3934" s="1821"/>
      <c r="AX3934" s="1821"/>
      <c r="AY3934" s="1821"/>
      <c r="AZ3934" s="1821"/>
      <c r="BA3934" s="1821"/>
      <c r="BB3934" s="1821"/>
      <c r="BC3934" s="1821"/>
      <c r="BD3934" s="1821"/>
      <c r="BE3934" s="1821"/>
      <c r="BF3934" s="1821"/>
      <c r="BG3934" s="1821"/>
      <c r="BH3934" s="1821"/>
      <c r="BI3934" s="1821"/>
      <c r="BJ3934" s="1821"/>
      <c r="BK3934" s="1821"/>
      <c r="BL3934" s="1821"/>
      <c r="BM3934" s="1821"/>
      <c r="BN3934" s="1821"/>
      <c r="BO3934" s="1821"/>
      <c r="BP3934" s="1821"/>
      <c r="BQ3934" s="1821"/>
      <c r="BR3934" s="1821"/>
      <c r="BS3934" s="1821"/>
      <c r="BT3934" s="1821"/>
      <c r="BU3934" s="1821"/>
      <c r="BV3934" s="1821"/>
      <c r="BW3934" s="1821"/>
      <c r="BX3934" s="1821"/>
      <c r="BY3934" s="1821"/>
      <c r="BZ3934" s="1821"/>
      <c r="CA3934" s="1821"/>
      <c r="CB3934" s="1821"/>
      <c r="CC3934" s="1821"/>
      <c r="CD3934" s="1821"/>
      <c r="CE3934" s="1821"/>
      <c r="CF3934" s="1821"/>
      <c r="CG3934" s="1821"/>
      <c r="CH3934" s="1821"/>
      <c r="CI3934" s="1821"/>
      <c r="CJ3934" s="1821"/>
      <c r="CK3934" s="1821"/>
    </row>
    <row r="3935" spans="1:89" s="744" customFormat="1" ht="16.5" customHeight="1" x14ac:dyDescent="0.25">
      <c r="A3935" s="1033"/>
      <c r="B3935" s="709"/>
      <c r="C3935" s="827"/>
      <c r="D3935" s="961"/>
      <c r="E3935" s="758"/>
      <c r="F3935" s="714"/>
      <c r="G3935" s="714"/>
      <c r="H3935" s="700"/>
      <c r="I3935" s="714"/>
      <c r="J3935" s="714"/>
      <c r="K3935" s="700">
        <f t="shared" si="431"/>
        <v>0</v>
      </c>
      <c r="L3935" s="714"/>
      <c r="M3935" s="714"/>
      <c r="N3935" s="700"/>
      <c r="O3935" s="974">
        <f t="shared" si="432"/>
        <v>0</v>
      </c>
      <c r="P3935" s="956"/>
      <c r="Q3935" s="1821"/>
      <c r="R3935" s="1821"/>
      <c r="S3935" s="1821"/>
      <c r="T3935" s="1821"/>
      <c r="U3935" s="1821"/>
      <c r="V3935" s="1821"/>
      <c r="W3935" s="1821"/>
      <c r="X3935" s="1821"/>
      <c r="Y3935" s="1821"/>
      <c r="Z3935" s="1821"/>
      <c r="AA3935" s="1821"/>
      <c r="AB3935" s="1821"/>
      <c r="AC3935" s="1821"/>
      <c r="AD3935" s="1821"/>
      <c r="AE3935" s="1821"/>
      <c r="AF3935" s="1821"/>
      <c r="AG3935" s="1821"/>
      <c r="AH3935" s="1821"/>
      <c r="AI3935" s="1821"/>
      <c r="AJ3935" s="1821"/>
      <c r="AK3935" s="1821"/>
      <c r="AL3935" s="1821"/>
      <c r="AM3935" s="1821"/>
      <c r="AN3935" s="1821"/>
      <c r="AO3935" s="1821"/>
      <c r="AP3935" s="1821"/>
      <c r="AQ3935" s="1821"/>
      <c r="AR3935" s="1821"/>
      <c r="AS3935" s="1821"/>
      <c r="AT3935" s="1821"/>
      <c r="AU3935" s="1821"/>
      <c r="AV3935" s="1821"/>
      <c r="AW3935" s="1821"/>
      <c r="AX3935" s="1821"/>
      <c r="AY3935" s="1821"/>
      <c r="AZ3935" s="1821"/>
      <c r="BA3935" s="1821"/>
      <c r="BB3935" s="1821"/>
      <c r="BC3935" s="1821"/>
      <c r="BD3935" s="1821"/>
      <c r="BE3935" s="1821"/>
      <c r="BF3935" s="1821"/>
      <c r="BG3935" s="1821"/>
      <c r="BH3935" s="1821"/>
      <c r="BI3935" s="1821"/>
      <c r="BJ3935" s="1821"/>
      <c r="BK3935" s="1821"/>
      <c r="BL3935" s="1821"/>
      <c r="BM3935" s="1821"/>
      <c r="BN3935" s="1821"/>
      <c r="BO3935" s="1821"/>
      <c r="BP3935" s="1821"/>
      <c r="BQ3935" s="1821"/>
      <c r="BR3935" s="1821"/>
      <c r="BS3935" s="1821"/>
      <c r="BT3935" s="1821"/>
      <c r="BU3935" s="1821"/>
      <c r="BV3935" s="1821"/>
      <c r="BW3935" s="1821"/>
      <c r="BX3935" s="1821"/>
      <c r="BY3935" s="1821"/>
      <c r="BZ3935" s="1821"/>
      <c r="CA3935" s="1821"/>
      <c r="CB3935" s="1821"/>
      <c r="CC3935" s="1821"/>
      <c r="CD3935" s="1821"/>
      <c r="CE3935" s="1821"/>
      <c r="CF3935" s="1821"/>
      <c r="CG3935" s="1821"/>
      <c r="CH3935" s="1821"/>
      <c r="CI3935" s="1821"/>
      <c r="CJ3935" s="1821"/>
      <c r="CK3935" s="1821"/>
    </row>
    <row r="3936" spans="1:89" s="744" customFormat="1" ht="16.5" customHeight="1" x14ac:dyDescent="0.25">
      <c r="A3936" s="1033">
        <v>524114</v>
      </c>
      <c r="B3936" s="709" t="s">
        <v>1351</v>
      </c>
      <c r="C3936" s="827"/>
      <c r="D3936" s="961"/>
      <c r="E3936" s="758"/>
      <c r="F3936" s="714"/>
      <c r="G3936" s="714"/>
      <c r="H3936" s="700"/>
      <c r="I3936" s="714"/>
      <c r="J3936" s="714"/>
      <c r="K3936" s="700">
        <f t="shared" si="431"/>
        <v>0</v>
      </c>
      <c r="L3936" s="714"/>
      <c r="M3936" s="714"/>
      <c r="N3936" s="700"/>
      <c r="O3936" s="974">
        <f t="shared" si="432"/>
        <v>0</v>
      </c>
      <c r="P3936" s="956"/>
      <c r="Q3936" s="1821"/>
      <c r="R3936" s="1821"/>
      <c r="S3936" s="1821"/>
      <c r="T3936" s="1821"/>
      <c r="U3936" s="1821"/>
      <c r="V3936" s="1821"/>
      <c r="W3936" s="1821"/>
      <c r="X3936" s="1821"/>
      <c r="Y3936" s="1821"/>
      <c r="Z3936" s="1821"/>
      <c r="AA3936" s="1821"/>
      <c r="AB3936" s="1821"/>
      <c r="AC3936" s="1821"/>
      <c r="AD3936" s="1821"/>
      <c r="AE3936" s="1821"/>
      <c r="AF3936" s="1821"/>
      <c r="AG3936" s="1821"/>
      <c r="AH3936" s="1821"/>
      <c r="AI3936" s="1821"/>
      <c r="AJ3936" s="1821"/>
      <c r="AK3936" s="1821"/>
      <c r="AL3936" s="1821"/>
      <c r="AM3936" s="1821"/>
      <c r="AN3936" s="1821"/>
      <c r="AO3936" s="1821"/>
      <c r="AP3936" s="1821"/>
      <c r="AQ3936" s="1821"/>
      <c r="AR3936" s="1821"/>
      <c r="AS3936" s="1821"/>
      <c r="AT3936" s="1821"/>
      <c r="AU3936" s="1821"/>
      <c r="AV3936" s="1821"/>
      <c r="AW3936" s="1821"/>
      <c r="AX3936" s="1821"/>
      <c r="AY3936" s="1821"/>
      <c r="AZ3936" s="1821"/>
      <c r="BA3936" s="1821"/>
      <c r="BB3936" s="1821"/>
      <c r="BC3936" s="1821"/>
      <c r="BD3936" s="1821"/>
      <c r="BE3936" s="1821"/>
      <c r="BF3936" s="1821"/>
      <c r="BG3936" s="1821"/>
      <c r="BH3936" s="1821"/>
      <c r="BI3936" s="1821"/>
      <c r="BJ3936" s="1821"/>
      <c r="BK3936" s="1821"/>
      <c r="BL3936" s="1821"/>
      <c r="BM3936" s="1821"/>
      <c r="BN3936" s="1821"/>
      <c r="BO3936" s="1821"/>
      <c r="BP3936" s="1821"/>
      <c r="BQ3936" s="1821"/>
      <c r="BR3936" s="1821"/>
      <c r="BS3936" s="1821"/>
      <c r="BT3936" s="1821"/>
      <c r="BU3936" s="1821"/>
      <c r="BV3936" s="1821"/>
      <c r="BW3936" s="1821"/>
      <c r="BX3936" s="1821"/>
      <c r="BY3936" s="1821"/>
      <c r="BZ3936" s="1821"/>
      <c r="CA3936" s="1821"/>
      <c r="CB3936" s="1821"/>
      <c r="CC3936" s="1821"/>
      <c r="CD3936" s="1821"/>
      <c r="CE3936" s="1821"/>
      <c r="CF3936" s="1821"/>
      <c r="CG3936" s="1821"/>
      <c r="CH3936" s="1821"/>
      <c r="CI3936" s="1821"/>
      <c r="CJ3936" s="1821"/>
      <c r="CK3936" s="1821"/>
    </row>
    <row r="3937" spans="1:89" s="744" customFormat="1" ht="16.5" customHeight="1" x14ac:dyDescent="0.25">
      <c r="A3937" s="1033"/>
      <c r="B3937" s="709" t="s">
        <v>1352</v>
      </c>
      <c r="C3937" s="827">
        <v>736</v>
      </c>
      <c r="D3937" s="961" t="s">
        <v>55</v>
      </c>
      <c r="E3937" s="758">
        <v>274.13</v>
      </c>
      <c r="F3937" s="714"/>
      <c r="G3937" s="714"/>
      <c r="H3937" s="700"/>
      <c r="I3937" s="714"/>
      <c r="J3937" s="714">
        <f>E3937*C3937</f>
        <v>201759.68</v>
      </c>
      <c r="K3937" s="700">
        <f t="shared" si="431"/>
        <v>201759.68</v>
      </c>
      <c r="L3937" s="714"/>
      <c r="M3937" s="714"/>
      <c r="N3937" s="700"/>
      <c r="O3937" s="974">
        <f t="shared" si="432"/>
        <v>201759.68</v>
      </c>
      <c r="P3937" s="956"/>
      <c r="Q3937" s="1821"/>
      <c r="R3937" s="1821"/>
      <c r="S3937" s="1821"/>
      <c r="T3937" s="1821"/>
      <c r="U3937" s="1821"/>
      <c r="V3937" s="1821"/>
      <c r="W3937" s="1821"/>
      <c r="X3937" s="1821"/>
      <c r="Y3937" s="1821"/>
      <c r="Z3937" s="1821"/>
      <c r="AA3937" s="1821"/>
      <c r="AB3937" s="1821"/>
      <c r="AC3937" s="1821"/>
      <c r="AD3937" s="1821"/>
      <c r="AE3937" s="1821"/>
      <c r="AF3937" s="1821"/>
      <c r="AG3937" s="1821"/>
      <c r="AH3937" s="1821"/>
      <c r="AI3937" s="1821"/>
      <c r="AJ3937" s="1821"/>
      <c r="AK3937" s="1821"/>
      <c r="AL3937" s="1821"/>
      <c r="AM3937" s="1821"/>
      <c r="AN3937" s="1821"/>
      <c r="AO3937" s="1821"/>
      <c r="AP3937" s="1821"/>
      <c r="AQ3937" s="1821"/>
      <c r="AR3937" s="1821"/>
      <c r="AS3937" s="1821"/>
      <c r="AT3937" s="1821"/>
      <c r="AU3937" s="1821"/>
      <c r="AV3937" s="1821"/>
      <c r="AW3937" s="1821"/>
      <c r="AX3937" s="1821"/>
      <c r="AY3937" s="1821"/>
      <c r="AZ3937" s="1821"/>
      <c r="BA3937" s="1821"/>
      <c r="BB3937" s="1821"/>
      <c r="BC3937" s="1821"/>
      <c r="BD3937" s="1821"/>
      <c r="BE3937" s="1821"/>
      <c r="BF3937" s="1821"/>
      <c r="BG3937" s="1821"/>
      <c r="BH3937" s="1821"/>
      <c r="BI3937" s="1821"/>
      <c r="BJ3937" s="1821"/>
      <c r="BK3937" s="1821"/>
      <c r="BL3937" s="1821"/>
      <c r="BM3937" s="1821"/>
      <c r="BN3937" s="1821"/>
      <c r="BO3937" s="1821"/>
      <c r="BP3937" s="1821"/>
      <c r="BQ3937" s="1821"/>
      <c r="BR3937" s="1821"/>
      <c r="BS3937" s="1821"/>
      <c r="BT3937" s="1821"/>
      <c r="BU3937" s="1821"/>
      <c r="BV3937" s="1821"/>
      <c r="BW3937" s="1821"/>
      <c r="BX3937" s="1821"/>
      <c r="BY3937" s="1821"/>
      <c r="BZ3937" s="1821"/>
      <c r="CA3937" s="1821"/>
      <c r="CB3937" s="1821"/>
      <c r="CC3937" s="1821"/>
      <c r="CD3937" s="1821"/>
      <c r="CE3937" s="1821"/>
      <c r="CF3937" s="1821"/>
      <c r="CG3937" s="1821"/>
      <c r="CH3937" s="1821"/>
      <c r="CI3937" s="1821"/>
      <c r="CJ3937" s="1821"/>
      <c r="CK3937" s="1821"/>
    </row>
    <row r="3938" spans="1:89" s="744" customFormat="1" ht="16.5" customHeight="1" x14ac:dyDescent="0.25">
      <c r="A3938" s="1033"/>
      <c r="B3938" s="709"/>
      <c r="C3938" s="827"/>
      <c r="D3938" s="961"/>
      <c r="E3938" s="758"/>
      <c r="F3938" s="714"/>
      <c r="G3938" s="714"/>
      <c r="H3938" s="700">
        <f t="shared" si="433"/>
        <v>0</v>
      </c>
      <c r="I3938" s="714"/>
      <c r="J3938" s="714"/>
      <c r="K3938" s="700">
        <f t="shared" si="431"/>
        <v>0</v>
      </c>
      <c r="L3938" s="714"/>
      <c r="M3938" s="714"/>
      <c r="N3938" s="700">
        <f t="shared" si="434"/>
        <v>0</v>
      </c>
      <c r="O3938" s="974">
        <f t="shared" si="432"/>
        <v>0</v>
      </c>
      <c r="P3938" s="956"/>
      <c r="Q3938" s="1821"/>
      <c r="R3938" s="1821"/>
      <c r="S3938" s="1821"/>
      <c r="T3938" s="1821"/>
      <c r="U3938" s="1821"/>
      <c r="V3938" s="1821"/>
      <c r="W3938" s="1821"/>
      <c r="X3938" s="1821"/>
      <c r="Y3938" s="1821"/>
      <c r="Z3938" s="1821"/>
      <c r="AA3938" s="1821"/>
      <c r="AB3938" s="1821"/>
      <c r="AC3938" s="1821"/>
      <c r="AD3938" s="1821"/>
      <c r="AE3938" s="1821"/>
      <c r="AF3938" s="1821"/>
      <c r="AG3938" s="1821"/>
      <c r="AH3938" s="1821"/>
      <c r="AI3938" s="1821"/>
      <c r="AJ3938" s="1821"/>
      <c r="AK3938" s="1821"/>
      <c r="AL3938" s="1821"/>
      <c r="AM3938" s="1821"/>
      <c r="AN3938" s="1821"/>
      <c r="AO3938" s="1821"/>
      <c r="AP3938" s="1821"/>
      <c r="AQ3938" s="1821"/>
      <c r="AR3938" s="1821"/>
      <c r="AS3938" s="1821"/>
      <c r="AT3938" s="1821"/>
      <c r="AU3938" s="1821"/>
      <c r="AV3938" s="1821"/>
      <c r="AW3938" s="1821"/>
      <c r="AX3938" s="1821"/>
      <c r="AY3938" s="1821"/>
      <c r="AZ3938" s="1821"/>
      <c r="BA3938" s="1821"/>
      <c r="BB3938" s="1821"/>
      <c r="BC3938" s="1821"/>
      <c r="BD3938" s="1821"/>
      <c r="BE3938" s="1821"/>
      <c r="BF3938" s="1821"/>
      <c r="BG3938" s="1821"/>
      <c r="BH3938" s="1821"/>
      <c r="BI3938" s="1821"/>
      <c r="BJ3938" s="1821"/>
      <c r="BK3938" s="1821"/>
      <c r="BL3938" s="1821"/>
      <c r="BM3938" s="1821"/>
      <c r="BN3938" s="1821"/>
      <c r="BO3938" s="1821"/>
      <c r="BP3938" s="1821"/>
      <c r="BQ3938" s="1821"/>
      <c r="BR3938" s="1821"/>
      <c r="BS3938" s="1821"/>
      <c r="BT3938" s="1821"/>
      <c r="BU3938" s="1821"/>
      <c r="BV3938" s="1821"/>
      <c r="BW3938" s="1821"/>
      <c r="BX3938" s="1821"/>
      <c r="BY3938" s="1821"/>
      <c r="BZ3938" s="1821"/>
      <c r="CA3938" s="1821"/>
      <c r="CB3938" s="1821"/>
      <c r="CC3938" s="1821"/>
      <c r="CD3938" s="1821"/>
      <c r="CE3938" s="1821"/>
      <c r="CF3938" s="1821"/>
      <c r="CG3938" s="1821"/>
      <c r="CH3938" s="1821"/>
      <c r="CI3938" s="1821"/>
      <c r="CJ3938" s="1821"/>
      <c r="CK3938" s="1821"/>
    </row>
    <row r="3939" spans="1:89" s="744" customFormat="1" ht="16.5" customHeight="1" x14ac:dyDescent="0.25">
      <c r="A3939" s="1033">
        <v>15</v>
      </c>
      <c r="B3939" s="709" t="s">
        <v>442</v>
      </c>
      <c r="C3939" s="827"/>
      <c r="D3939" s="961"/>
      <c r="E3939" s="758"/>
      <c r="F3939" s="714"/>
      <c r="G3939" s="714"/>
      <c r="H3939" s="700">
        <f t="shared" si="433"/>
        <v>0</v>
      </c>
      <c r="I3939" s="714"/>
      <c r="J3939" s="714">
        <f t="shared" ref="J3939:J3944" si="436">C3939*E3939</f>
        <v>0</v>
      </c>
      <c r="K3939" s="700">
        <f t="shared" si="431"/>
        <v>0</v>
      </c>
      <c r="L3939" s="714"/>
      <c r="M3939" s="714"/>
      <c r="N3939" s="700">
        <f t="shared" si="434"/>
        <v>0</v>
      </c>
      <c r="O3939" s="974">
        <f t="shared" si="432"/>
        <v>0</v>
      </c>
      <c r="P3939" s="956"/>
      <c r="Q3939" s="1821"/>
      <c r="R3939" s="1821"/>
      <c r="S3939" s="1821"/>
      <c r="T3939" s="1821"/>
      <c r="U3939" s="1821"/>
      <c r="V3939" s="1821"/>
      <c r="W3939" s="1821"/>
      <c r="X3939" s="1821"/>
      <c r="Y3939" s="1821"/>
      <c r="Z3939" s="1821"/>
      <c r="AA3939" s="1821"/>
      <c r="AB3939" s="1821"/>
      <c r="AC3939" s="1821"/>
      <c r="AD3939" s="1821"/>
      <c r="AE3939" s="1821"/>
      <c r="AF3939" s="1821"/>
      <c r="AG3939" s="1821"/>
      <c r="AH3939" s="1821"/>
      <c r="AI3939" s="1821"/>
      <c r="AJ3939" s="1821"/>
      <c r="AK3939" s="1821"/>
      <c r="AL3939" s="1821"/>
      <c r="AM3939" s="1821"/>
      <c r="AN3939" s="1821"/>
      <c r="AO3939" s="1821"/>
      <c r="AP3939" s="1821"/>
      <c r="AQ3939" s="1821"/>
      <c r="AR3939" s="1821"/>
      <c r="AS3939" s="1821"/>
      <c r="AT3939" s="1821"/>
      <c r="AU3939" s="1821"/>
      <c r="AV3939" s="1821"/>
      <c r="AW3939" s="1821"/>
      <c r="AX3939" s="1821"/>
      <c r="AY3939" s="1821"/>
      <c r="AZ3939" s="1821"/>
      <c r="BA3939" s="1821"/>
      <c r="BB3939" s="1821"/>
      <c r="BC3939" s="1821"/>
      <c r="BD3939" s="1821"/>
      <c r="BE3939" s="1821"/>
      <c r="BF3939" s="1821"/>
      <c r="BG3939" s="1821"/>
      <c r="BH3939" s="1821"/>
      <c r="BI3939" s="1821"/>
      <c r="BJ3939" s="1821"/>
      <c r="BK3939" s="1821"/>
      <c r="BL3939" s="1821"/>
      <c r="BM3939" s="1821"/>
      <c r="BN3939" s="1821"/>
      <c r="BO3939" s="1821"/>
      <c r="BP3939" s="1821"/>
      <c r="BQ3939" s="1821"/>
      <c r="BR3939" s="1821"/>
      <c r="BS3939" s="1821"/>
      <c r="BT3939" s="1821"/>
      <c r="BU3939" s="1821"/>
      <c r="BV3939" s="1821"/>
      <c r="BW3939" s="1821"/>
      <c r="BX3939" s="1821"/>
      <c r="BY3939" s="1821"/>
      <c r="BZ3939" s="1821"/>
      <c r="CA3939" s="1821"/>
      <c r="CB3939" s="1821"/>
      <c r="CC3939" s="1821"/>
      <c r="CD3939" s="1821"/>
      <c r="CE3939" s="1821"/>
      <c r="CF3939" s="1821"/>
      <c r="CG3939" s="1821"/>
      <c r="CH3939" s="1821"/>
      <c r="CI3939" s="1821"/>
      <c r="CJ3939" s="1821"/>
      <c r="CK3939" s="1821"/>
    </row>
    <row r="3940" spans="1:89" s="744" customFormat="1" ht="16.5" customHeight="1" x14ac:dyDescent="0.25">
      <c r="A3940" s="1033">
        <v>524211</v>
      </c>
      <c r="B3940" s="709" t="s">
        <v>443</v>
      </c>
      <c r="C3940" s="827">
        <f>SUM(O3941:O3944)</f>
        <v>3250291</v>
      </c>
      <c r="D3940" s="961"/>
      <c r="E3940" s="758"/>
      <c r="F3940" s="714"/>
      <c r="G3940" s="714"/>
      <c r="H3940" s="700">
        <f t="shared" si="433"/>
        <v>0</v>
      </c>
      <c r="I3940" s="714"/>
      <c r="J3940" s="714">
        <f t="shared" si="436"/>
        <v>0</v>
      </c>
      <c r="K3940" s="700">
        <f t="shared" si="431"/>
        <v>0</v>
      </c>
      <c r="L3940" s="714"/>
      <c r="M3940" s="714"/>
      <c r="N3940" s="700">
        <f t="shared" si="434"/>
        <v>0</v>
      </c>
      <c r="O3940" s="974">
        <f t="shared" si="432"/>
        <v>0</v>
      </c>
      <c r="P3940" s="956"/>
      <c r="Q3940" s="1821"/>
      <c r="R3940" s="1821"/>
      <c r="S3940" s="1821"/>
      <c r="T3940" s="1821"/>
      <c r="U3940" s="1821"/>
      <c r="V3940" s="1821"/>
      <c r="W3940" s="1821"/>
      <c r="X3940" s="1821"/>
      <c r="Y3940" s="1821"/>
      <c r="Z3940" s="1821"/>
      <c r="AA3940" s="1821"/>
      <c r="AB3940" s="1821"/>
      <c r="AC3940" s="1821"/>
      <c r="AD3940" s="1821"/>
      <c r="AE3940" s="1821"/>
      <c r="AF3940" s="1821"/>
      <c r="AG3940" s="1821"/>
      <c r="AH3940" s="1821"/>
      <c r="AI3940" s="1821"/>
      <c r="AJ3940" s="1821"/>
      <c r="AK3940" s="1821"/>
      <c r="AL3940" s="1821"/>
      <c r="AM3940" s="1821"/>
      <c r="AN3940" s="1821"/>
      <c r="AO3940" s="1821"/>
      <c r="AP3940" s="1821"/>
      <c r="AQ3940" s="1821"/>
      <c r="AR3940" s="1821"/>
      <c r="AS3940" s="1821"/>
      <c r="AT3940" s="1821"/>
      <c r="AU3940" s="1821"/>
      <c r="AV3940" s="1821"/>
      <c r="AW3940" s="1821"/>
      <c r="AX3940" s="1821"/>
      <c r="AY3940" s="1821"/>
      <c r="AZ3940" s="1821"/>
      <c r="BA3940" s="1821"/>
      <c r="BB3940" s="1821"/>
      <c r="BC3940" s="1821"/>
      <c r="BD3940" s="1821"/>
      <c r="BE3940" s="1821"/>
      <c r="BF3940" s="1821"/>
      <c r="BG3940" s="1821"/>
      <c r="BH3940" s="1821"/>
      <c r="BI3940" s="1821"/>
      <c r="BJ3940" s="1821"/>
      <c r="BK3940" s="1821"/>
      <c r="BL3940" s="1821"/>
      <c r="BM3940" s="1821"/>
      <c r="BN3940" s="1821"/>
      <c r="BO3940" s="1821"/>
      <c r="BP3940" s="1821"/>
      <c r="BQ3940" s="1821"/>
      <c r="BR3940" s="1821"/>
      <c r="BS3940" s="1821"/>
      <c r="BT3940" s="1821"/>
      <c r="BU3940" s="1821"/>
      <c r="BV3940" s="1821"/>
      <c r="BW3940" s="1821"/>
      <c r="BX3940" s="1821"/>
      <c r="BY3940" s="1821"/>
      <c r="BZ3940" s="1821"/>
      <c r="CA3940" s="1821"/>
      <c r="CB3940" s="1821"/>
      <c r="CC3940" s="1821"/>
      <c r="CD3940" s="1821"/>
      <c r="CE3940" s="1821"/>
      <c r="CF3940" s="1821"/>
      <c r="CG3940" s="1821"/>
      <c r="CH3940" s="1821"/>
      <c r="CI3940" s="1821"/>
      <c r="CJ3940" s="1821"/>
      <c r="CK3940" s="1821"/>
    </row>
    <row r="3941" spans="1:89" s="744" customFormat="1" ht="16.5" customHeight="1" x14ac:dyDescent="0.25">
      <c r="A3941" s="1033"/>
      <c r="B3941" s="709" t="s">
        <v>444</v>
      </c>
      <c r="C3941" s="827">
        <v>1</v>
      </c>
      <c r="D3941" s="961" t="s">
        <v>25</v>
      </c>
      <c r="E3941" s="758">
        <v>2500291</v>
      </c>
      <c r="F3941" s="714"/>
      <c r="G3941" s="714"/>
      <c r="H3941" s="700">
        <f t="shared" si="433"/>
        <v>0</v>
      </c>
      <c r="I3941" s="714"/>
      <c r="J3941" s="714">
        <f t="shared" si="436"/>
        <v>2500291</v>
      </c>
      <c r="K3941" s="700">
        <f t="shared" si="431"/>
        <v>2500291</v>
      </c>
      <c r="L3941" s="714"/>
      <c r="M3941" s="714"/>
      <c r="N3941" s="700">
        <f t="shared" si="434"/>
        <v>0</v>
      </c>
      <c r="O3941" s="974">
        <f t="shared" si="432"/>
        <v>2500291</v>
      </c>
      <c r="P3941" s="956"/>
      <c r="Q3941" s="1821"/>
      <c r="R3941" s="1821"/>
      <c r="S3941" s="1821"/>
      <c r="T3941" s="1821"/>
      <c r="U3941" s="1821"/>
      <c r="V3941" s="1821"/>
      <c r="W3941" s="1821"/>
      <c r="X3941" s="1821"/>
      <c r="Y3941" s="1821"/>
      <c r="Z3941" s="1821"/>
      <c r="AA3941" s="1821"/>
      <c r="AB3941" s="1821"/>
      <c r="AC3941" s="1821"/>
      <c r="AD3941" s="1821"/>
      <c r="AE3941" s="1821"/>
      <c r="AF3941" s="1821"/>
      <c r="AG3941" s="1821"/>
      <c r="AH3941" s="1821"/>
      <c r="AI3941" s="1821"/>
      <c r="AJ3941" s="1821"/>
      <c r="AK3941" s="1821"/>
      <c r="AL3941" s="1821"/>
      <c r="AM3941" s="1821"/>
      <c r="AN3941" s="1821"/>
      <c r="AO3941" s="1821"/>
      <c r="AP3941" s="1821"/>
      <c r="AQ3941" s="1821"/>
      <c r="AR3941" s="1821"/>
      <c r="AS3941" s="1821"/>
      <c r="AT3941" s="1821"/>
      <c r="AU3941" s="1821"/>
      <c r="AV3941" s="1821"/>
      <c r="AW3941" s="1821"/>
      <c r="AX3941" s="1821"/>
      <c r="AY3941" s="1821"/>
      <c r="AZ3941" s="1821"/>
      <c r="BA3941" s="1821"/>
      <c r="BB3941" s="1821"/>
      <c r="BC3941" s="1821"/>
      <c r="BD3941" s="1821"/>
      <c r="BE3941" s="1821"/>
      <c r="BF3941" s="1821"/>
      <c r="BG3941" s="1821"/>
      <c r="BH3941" s="1821"/>
      <c r="BI3941" s="1821"/>
      <c r="BJ3941" s="1821"/>
      <c r="BK3941" s="1821"/>
      <c r="BL3941" s="1821"/>
      <c r="BM3941" s="1821"/>
      <c r="BN3941" s="1821"/>
      <c r="BO3941" s="1821"/>
      <c r="BP3941" s="1821"/>
      <c r="BQ3941" s="1821"/>
      <c r="BR3941" s="1821"/>
      <c r="BS3941" s="1821"/>
      <c r="BT3941" s="1821"/>
      <c r="BU3941" s="1821"/>
      <c r="BV3941" s="1821"/>
      <c r="BW3941" s="1821"/>
      <c r="BX3941" s="1821"/>
      <c r="BY3941" s="1821"/>
      <c r="BZ3941" s="1821"/>
      <c r="CA3941" s="1821"/>
      <c r="CB3941" s="1821"/>
      <c r="CC3941" s="1821"/>
      <c r="CD3941" s="1821"/>
      <c r="CE3941" s="1821"/>
      <c r="CF3941" s="1821"/>
      <c r="CG3941" s="1821"/>
      <c r="CH3941" s="1821"/>
      <c r="CI3941" s="1821"/>
      <c r="CJ3941" s="1821"/>
      <c r="CK3941" s="1821"/>
    </row>
    <row r="3942" spans="1:89" s="744" customFormat="1" ht="16.5" customHeight="1" x14ac:dyDescent="0.25">
      <c r="A3942" s="1033">
        <v>524119</v>
      </c>
      <c r="B3942" s="709" t="s">
        <v>217</v>
      </c>
      <c r="C3942" s="827"/>
      <c r="D3942" s="961"/>
      <c r="E3942" s="758"/>
      <c r="F3942" s="714"/>
      <c r="G3942" s="714"/>
      <c r="H3942" s="700">
        <f t="shared" si="433"/>
        <v>0</v>
      </c>
      <c r="I3942" s="714"/>
      <c r="J3942" s="714">
        <f t="shared" si="436"/>
        <v>0</v>
      </c>
      <c r="K3942" s="700">
        <f t="shared" si="431"/>
        <v>0</v>
      </c>
      <c r="L3942" s="714"/>
      <c r="M3942" s="714"/>
      <c r="N3942" s="700">
        <f t="shared" si="434"/>
        <v>0</v>
      </c>
      <c r="O3942" s="974">
        <f t="shared" si="432"/>
        <v>0</v>
      </c>
      <c r="P3942" s="956"/>
      <c r="Q3942" s="1821"/>
      <c r="R3942" s="1821"/>
      <c r="S3942" s="1821"/>
      <c r="T3942" s="1821"/>
      <c r="U3942" s="1821"/>
      <c r="V3942" s="1821"/>
      <c r="W3942" s="1821"/>
      <c r="X3942" s="1821"/>
      <c r="Y3942" s="1821"/>
      <c r="Z3942" s="1821"/>
      <c r="AA3942" s="1821"/>
      <c r="AB3942" s="1821"/>
      <c r="AC3942" s="1821"/>
      <c r="AD3942" s="1821"/>
      <c r="AE3942" s="1821"/>
      <c r="AF3942" s="1821"/>
      <c r="AG3942" s="1821"/>
      <c r="AH3942" s="1821"/>
      <c r="AI3942" s="1821"/>
      <c r="AJ3942" s="1821"/>
      <c r="AK3942" s="1821"/>
      <c r="AL3942" s="1821"/>
      <c r="AM3942" s="1821"/>
      <c r="AN3942" s="1821"/>
      <c r="AO3942" s="1821"/>
      <c r="AP3942" s="1821"/>
      <c r="AQ3942" s="1821"/>
      <c r="AR3942" s="1821"/>
      <c r="AS3942" s="1821"/>
      <c r="AT3942" s="1821"/>
      <c r="AU3942" s="1821"/>
      <c r="AV3942" s="1821"/>
      <c r="AW3942" s="1821"/>
      <c r="AX3942" s="1821"/>
      <c r="AY3942" s="1821"/>
      <c r="AZ3942" s="1821"/>
      <c r="BA3942" s="1821"/>
      <c r="BB3942" s="1821"/>
      <c r="BC3942" s="1821"/>
      <c r="BD3942" s="1821"/>
      <c r="BE3942" s="1821"/>
      <c r="BF3942" s="1821"/>
      <c r="BG3942" s="1821"/>
      <c r="BH3942" s="1821"/>
      <c r="BI3942" s="1821"/>
      <c r="BJ3942" s="1821"/>
      <c r="BK3942" s="1821"/>
      <c r="BL3942" s="1821"/>
      <c r="BM3942" s="1821"/>
      <c r="BN3942" s="1821"/>
      <c r="BO3942" s="1821"/>
      <c r="BP3942" s="1821"/>
      <c r="BQ3942" s="1821"/>
      <c r="BR3942" s="1821"/>
      <c r="BS3942" s="1821"/>
      <c r="BT3942" s="1821"/>
      <c r="BU3942" s="1821"/>
      <c r="BV3942" s="1821"/>
      <c r="BW3942" s="1821"/>
      <c r="BX3942" s="1821"/>
      <c r="BY3942" s="1821"/>
      <c r="BZ3942" s="1821"/>
      <c r="CA3942" s="1821"/>
      <c r="CB3942" s="1821"/>
      <c r="CC3942" s="1821"/>
      <c r="CD3942" s="1821"/>
      <c r="CE3942" s="1821"/>
      <c r="CF3942" s="1821"/>
      <c r="CG3942" s="1821"/>
      <c r="CH3942" s="1821"/>
      <c r="CI3942" s="1821"/>
      <c r="CJ3942" s="1821"/>
      <c r="CK3942" s="1821"/>
    </row>
    <row r="3943" spans="1:89" s="744" customFormat="1" ht="16.5" customHeight="1" x14ac:dyDescent="0.25">
      <c r="A3943" s="1033"/>
      <c r="B3943" s="709" t="s">
        <v>445</v>
      </c>
      <c r="C3943" s="827">
        <v>1</v>
      </c>
      <c r="D3943" s="961" t="s">
        <v>25</v>
      </c>
      <c r="E3943" s="758">
        <v>750000</v>
      </c>
      <c r="F3943" s="714"/>
      <c r="G3943" s="714"/>
      <c r="H3943" s="700">
        <f t="shared" si="433"/>
        <v>0</v>
      </c>
      <c r="I3943" s="714"/>
      <c r="J3943" s="714">
        <f t="shared" si="436"/>
        <v>750000</v>
      </c>
      <c r="K3943" s="700">
        <f t="shared" si="431"/>
        <v>750000</v>
      </c>
      <c r="L3943" s="714"/>
      <c r="M3943" s="714"/>
      <c r="N3943" s="700">
        <f t="shared" si="434"/>
        <v>0</v>
      </c>
      <c r="O3943" s="974">
        <f t="shared" si="432"/>
        <v>750000</v>
      </c>
      <c r="P3943" s="956"/>
      <c r="Q3943" s="1821"/>
      <c r="R3943" s="1821"/>
      <c r="S3943" s="1821"/>
      <c r="T3943" s="1821"/>
      <c r="U3943" s="1821"/>
      <c r="V3943" s="1821"/>
      <c r="W3943" s="1821"/>
      <c r="X3943" s="1821"/>
      <c r="Y3943" s="1821"/>
      <c r="Z3943" s="1821"/>
      <c r="AA3943" s="1821"/>
      <c r="AB3943" s="1821"/>
      <c r="AC3943" s="1821"/>
      <c r="AD3943" s="1821"/>
      <c r="AE3943" s="1821"/>
      <c r="AF3943" s="1821"/>
      <c r="AG3943" s="1821"/>
      <c r="AH3943" s="1821"/>
      <c r="AI3943" s="1821"/>
      <c r="AJ3943" s="1821"/>
      <c r="AK3943" s="1821"/>
      <c r="AL3943" s="1821"/>
      <c r="AM3943" s="1821"/>
      <c r="AN3943" s="1821"/>
      <c r="AO3943" s="1821"/>
      <c r="AP3943" s="1821"/>
      <c r="AQ3943" s="1821"/>
      <c r="AR3943" s="1821"/>
      <c r="AS3943" s="1821"/>
      <c r="AT3943" s="1821"/>
      <c r="AU3943" s="1821"/>
      <c r="AV3943" s="1821"/>
      <c r="AW3943" s="1821"/>
      <c r="AX3943" s="1821"/>
      <c r="AY3943" s="1821"/>
      <c r="AZ3943" s="1821"/>
      <c r="BA3943" s="1821"/>
      <c r="BB3943" s="1821"/>
      <c r="BC3943" s="1821"/>
      <c r="BD3943" s="1821"/>
      <c r="BE3943" s="1821"/>
      <c r="BF3943" s="1821"/>
      <c r="BG3943" s="1821"/>
      <c r="BH3943" s="1821"/>
      <c r="BI3943" s="1821"/>
      <c r="BJ3943" s="1821"/>
      <c r="BK3943" s="1821"/>
      <c r="BL3943" s="1821"/>
      <c r="BM3943" s="1821"/>
      <c r="BN3943" s="1821"/>
      <c r="BO3943" s="1821"/>
      <c r="BP3943" s="1821"/>
      <c r="BQ3943" s="1821"/>
      <c r="BR3943" s="1821"/>
      <c r="BS3943" s="1821"/>
      <c r="BT3943" s="1821"/>
      <c r="BU3943" s="1821"/>
      <c r="BV3943" s="1821"/>
      <c r="BW3943" s="1821"/>
      <c r="BX3943" s="1821"/>
      <c r="BY3943" s="1821"/>
      <c r="BZ3943" s="1821"/>
      <c r="CA3943" s="1821"/>
      <c r="CB3943" s="1821"/>
      <c r="CC3943" s="1821"/>
      <c r="CD3943" s="1821"/>
      <c r="CE3943" s="1821"/>
      <c r="CF3943" s="1821"/>
      <c r="CG3943" s="1821"/>
      <c r="CH3943" s="1821"/>
      <c r="CI3943" s="1821"/>
      <c r="CJ3943" s="1821"/>
      <c r="CK3943" s="1821"/>
    </row>
    <row r="3944" spans="1:89" s="744" customFormat="1" ht="16.5" customHeight="1" x14ac:dyDescent="0.25">
      <c r="A3944" s="1033"/>
      <c r="B3944" s="709"/>
      <c r="C3944" s="827"/>
      <c r="D3944" s="961"/>
      <c r="E3944" s="758"/>
      <c r="F3944" s="714"/>
      <c r="G3944" s="714"/>
      <c r="H3944" s="700"/>
      <c r="I3944" s="714"/>
      <c r="J3944" s="714">
        <f t="shared" si="436"/>
        <v>0</v>
      </c>
      <c r="K3944" s="700">
        <f t="shared" si="431"/>
        <v>0</v>
      </c>
      <c r="L3944" s="714"/>
      <c r="M3944" s="714"/>
      <c r="N3944" s="700"/>
      <c r="O3944" s="974">
        <f t="shared" si="432"/>
        <v>0</v>
      </c>
      <c r="P3944" s="956"/>
      <c r="Q3944" s="1821"/>
      <c r="R3944" s="1821"/>
      <c r="S3944" s="1821"/>
      <c r="T3944" s="1821"/>
      <c r="U3944" s="1821"/>
      <c r="V3944" s="1821"/>
      <c r="W3944" s="1821"/>
      <c r="X3944" s="1821"/>
      <c r="Y3944" s="1821"/>
      <c r="Z3944" s="1821"/>
      <c r="AA3944" s="1821"/>
      <c r="AB3944" s="1821"/>
      <c r="AC3944" s="1821"/>
      <c r="AD3944" s="1821"/>
      <c r="AE3944" s="1821"/>
      <c r="AF3944" s="1821"/>
      <c r="AG3944" s="1821"/>
      <c r="AH3944" s="1821"/>
      <c r="AI3944" s="1821"/>
      <c r="AJ3944" s="1821"/>
      <c r="AK3944" s="1821"/>
      <c r="AL3944" s="1821"/>
      <c r="AM3944" s="1821"/>
      <c r="AN3944" s="1821"/>
      <c r="AO3944" s="1821"/>
      <c r="AP3944" s="1821"/>
      <c r="AQ3944" s="1821"/>
      <c r="AR3944" s="1821"/>
      <c r="AS3944" s="1821"/>
      <c r="AT3944" s="1821"/>
      <c r="AU3944" s="1821"/>
      <c r="AV3944" s="1821"/>
      <c r="AW3944" s="1821"/>
      <c r="AX3944" s="1821"/>
      <c r="AY3944" s="1821"/>
      <c r="AZ3944" s="1821"/>
      <c r="BA3944" s="1821"/>
      <c r="BB3944" s="1821"/>
      <c r="BC3944" s="1821"/>
      <c r="BD3944" s="1821"/>
      <c r="BE3944" s="1821"/>
      <c r="BF3944" s="1821"/>
      <c r="BG3944" s="1821"/>
      <c r="BH3944" s="1821"/>
      <c r="BI3944" s="1821"/>
      <c r="BJ3944" s="1821"/>
      <c r="BK3944" s="1821"/>
      <c r="BL3944" s="1821"/>
      <c r="BM3944" s="1821"/>
      <c r="BN3944" s="1821"/>
      <c r="BO3944" s="1821"/>
      <c r="BP3944" s="1821"/>
      <c r="BQ3944" s="1821"/>
      <c r="BR3944" s="1821"/>
      <c r="BS3944" s="1821"/>
      <c r="BT3944" s="1821"/>
      <c r="BU3944" s="1821"/>
      <c r="BV3944" s="1821"/>
      <c r="BW3944" s="1821"/>
      <c r="BX3944" s="1821"/>
      <c r="BY3944" s="1821"/>
      <c r="BZ3944" s="1821"/>
      <c r="CA3944" s="1821"/>
      <c r="CB3944" s="1821"/>
      <c r="CC3944" s="1821"/>
      <c r="CD3944" s="1821"/>
      <c r="CE3944" s="1821"/>
      <c r="CF3944" s="1821"/>
      <c r="CG3944" s="1821"/>
      <c r="CH3944" s="1821"/>
      <c r="CI3944" s="1821"/>
      <c r="CJ3944" s="1821"/>
      <c r="CK3944" s="1821"/>
    </row>
    <row r="3945" spans="1:89" s="744" customFormat="1" ht="16.5" customHeight="1" x14ac:dyDescent="0.25">
      <c r="A3945" s="1033"/>
      <c r="B3945" s="709"/>
      <c r="C3945" s="827"/>
      <c r="D3945" s="961"/>
      <c r="E3945" s="758"/>
      <c r="F3945" s="714"/>
      <c r="G3945" s="714"/>
      <c r="H3945" s="700">
        <f t="shared" si="433"/>
        <v>0</v>
      </c>
      <c r="I3945" s="714"/>
      <c r="J3945" s="714"/>
      <c r="K3945" s="700">
        <f t="shared" si="431"/>
        <v>0</v>
      </c>
      <c r="L3945" s="714"/>
      <c r="M3945" s="714"/>
      <c r="N3945" s="700">
        <f t="shared" si="434"/>
        <v>0</v>
      </c>
      <c r="O3945" s="974">
        <f t="shared" si="432"/>
        <v>0</v>
      </c>
      <c r="P3945" s="956"/>
      <c r="Q3945" s="1821"/>
      <c r="R3945" s="1821"/>
      <c r="S3945" s="1821"/>
      <c r="T3945" s="1821"/>
      <c r="U3945" s="1821"/>
      <c r="V3945" s="1821"/>
      <c r="W3945" s="1821"/>
      <c r="X3945" s="1821"/>
      <c r="Y3945" s="1821"/>
      <c r="Z3945" s="1821"/>
      <c r="AA3945" s="1821"/>
      <c r="AB3945" s="1821"/>
      <c r="AC3945" s="1821"/>
      <c r="AD3945" s="1821"/>
      <c r="AE3945" s="1821"/>
      <c r="AF3945" s="1821"/>
      <c r="AG3945" s="1821"/>
      <c r="AH3945" s="1821"/>
      <c r="AI3945" s="1821"/>
      <c r="AJ3945" s="1821"/>
      <c r="AK3945" s="1821"/>
      <c r="AL3945" s="1821"/>
      <c r="AM3945" s="1821"/>
      <c r="AN3945" s="1821"/>
      <c r="AO3945" s="1821"/>
      <c r="AP3945" s="1821"/>
      <c r="AQ3945" s="1821"/>
      <c r="AR3945" s="1821"/>
      <c r="AS3945" s="1821"/>
      <c r="AT3945" s="1821"/>
      <c r="AU3945" s="1821"/>
      <c r="AV3945" s="1821"/>
      <c r="AW3945" s="1821"/>
      <c r="AX3945" s="1821"/>
      <c r="AY3945" s="1821"/>
      <c r="AZ3945" s="1821"/>
      <c r="BA3945" s="1821"/>
      <c r="BB3945" s="1821"/>
      <c r="BC3945" s="1821"/>
      <c r="BD3945" s="1821"/>
      <c r="BE3945" s="1821"/>
      <c r="BF3945" s="1821"/>
      <c r="BG3945" s="1821"/>
      <c r="BH3945" s="1821"/>
      <c r="BI3945" s="1821"/>
      <c r="BJ3945" s="1821"/>
      <c r="BK3945" s="1821"/>
      <c r="BL3945" s="1821"/>
      <c r="BM3945" s="1821"/>
      <c r="BN3945" s="1821"/>
      <c r="BO3945" s="1821"/>
      <c r="BP3945" s="1821"/>
      <c r="BQ3945" s="1821"/>
      <c r="BR3945" s="1821"/>
      <c r="BS3945" s="1821"/>
      <c r="BT3945" s="1821"/>
      <c r="BU3945" s="1821"/>
      <c r="BV3945" s="1821"/>
      <c r="BW3945" s="1821"/>
      <c r="BX3945" s="1821"/>
      <c r="BY3945" s="1821"/>
      <c r="BZ3945" s="1821"/>
      <c r="CA3945" s="1821"/>
      <c r="CB3945" s="1821"/>
      <c r="CC3945" s="1821"/>
      <c r="CD3945" s="1821"/>
      <c r="CE3945" s="1821"/>
      <c r="CF3945" s="1821"/>
      <c r="CG3945" s="1821"/>
      <c r="CH3945" s="1821"/>
      <c r="CI3945" s="1821"/>
      <c r="CJ3945" s="1821"/>
      <c r="CK3945" s="1821"/>
    </row>
    <row r="3946" spans="1:89" s="744" customFormat="1" ht="16.5" customHeight="1" x14ac:dyDescent="0.25">
      <c r="A3946" s="1033">
        <v>1953.0409999999999</v>
      </c>
      <c r="B3946" s="709" t="s">
        <v>446</v>
      </c>
      <c r="C3946" s="827"/>
      <c r="D3946" s="961"/>
      <c r="E3946" s="758"/>
      <c r="F3946" s="714"/>
      <c r="G3946" s="714"/>
      <c r="H3946" s="700">
        <f t="shared" si="433"/>
        <v>0</v>
      </c>
      <c r="I3946" s="714"/>
      <c r="J3946" s="714">
        <f t="shared" ref="J3946:J3957" si="437">C3946*E3946</f>
        <v>0</v>
      </c>
      <c r="K3946" s="700">
        <f t="shared" si="431"/>
        <v>0</v>
      </c>
      <c r="L3946" s="714"/>
      <c r="M3946" s="714"/>
      <c r="N3946" s="700">
        <f t="shared" si="434"/>
        <v>0</v>
      </c>
      <c r="O3946" s="974">
        <f t="shared" si="432"/>
        <v>0</v>
      </c>
      <c r="P3946" s="956"/>
      <c r="Q3946" s="1821"/>
      <c r="R3946" s="1821"/>
      <c r="S3946" s="1821"/>
      <c r="T3946" s="1821"/>
      <c r="U3946" s="1821"/>
      <c r="V3946" s="1821"/>
      <c r="W3946" s="1821"/>
      <c r="X3946" s="1821"/>
      <c r="Y3946" s="1821"/>
      <c r="Z3946" s="1821"/>
      <c r="AA3946" s="1821"/>
      <c r="AB3946" s="1821"/>
      <c r="AC3946" s="1821"/>
      <c r="AD3946" s="1821"/>
      <c r="AE3946" s="1821"/>
      <c r="AF3946" s="1821"/>
      <c r="AG3946" s="1821"/>
      <c r="AH3946" s="1821"/>
      <c r="AI3946" s="1821"/>
      <c r="AJ3946" s="1821"/>
      <c r="AK3946" s="1821"/>
      <c r="AL3946" s="1821"/>
      <c r="AM3946" s="1821"/>
      <c r="AN3946" s="1821"/>
      <c r="AO3946" s="1821"/>
      <c r="AP3946" s="1821"/>
      <c r="AQ3946" s="1821"/>
      <c r="AR3946" s="1821"/>
      <c r="AS3946" s="1821"/>
      <c r="AT3946" s="1821"/>
      <c r="AU3946" s="1821"/>
      <c r="AV3946" s="1821"/>
      <c r="AW3946" s="1821"/>
      <c r="AX3946" s="1821"/>
      <c r="AY3946" s="1821"/>
      <c r="AZ3946" s="1821"/>
      <c r="BA3946" s="1821"/>
      <c r="BB3946" s="1821"/>
      <c r="BC3946" s="1821"/>
      <c r="BD3946" s="1821"/>
      <c r="BE3946" s="1821"/>
      <c r="BF3946" s="1821"/>
      <c r="BG3946" s="1821"/>
      <c r="BH3946" s="1821"/>
      <c r="BI3946" s="1821"/>
      <c r="BJ3946" s="1821"/>
      <c r="BK3946" s="1821"/>
      <c r="BL3946" s="1821"/>
      <c r="BM3946" s="1821"/>
      <c r="BN3946" s="1821"/>
      <c r="BO3946" s="1821"/>
      <c r="BP3946" s="1821"/>
      <c r="BQ3946" s="1821"/>
      <c r="BR3946" s="1821"/>
      <c r="BS3946" s="1821"/>
      <c r="BT3946" s="1821"/>
      <c r="BU3946" s="1821"/>
      <c r="BV3946" s="1821"/>
      <c r="BW3946" s="1821"/>
      <c r="BX3946" s="1821"/>
      <c r="BY3946" s="1821"/>
      <c r="BZ3946" s="1821"/>
      <c r="CA3946" s="1821"/>
      <c r="CB3946" s="1821"/>
      <c r="CC3946" s="1821"/>
      <c r="CD3946" s="1821"/>
      <c r="CE3946" s="1821"/>
      <c r="CF3946" s="1821"/>
      <c r="CG3946" s="1821"/>
      <c r="CH3946" s="1821"/>
      <c r="CI3946" s="1821"/>
      <c r="CJ3946" s="1821"/>
      <c r="CK3946" s="1821"/>
    </row>
    <row r="3947" spans="1:89" s="744" customFormat="1" ht="16.5" customHeight="1" x14ac:dyDescent="0.25">
      <c r="A3947" s="1033" t="s">
        <v>447</v>
      </c>
      <c r="B3947" s="709" t="s">
        <v>448</v>
      </c>
      <c r="C3947" s="827"/>
      <c r="D3947" s="961"/>
      <c r="E3947" s="758"/>
      <c r="F3947" s="714"/>
      <c r="G3947" s="714"/>
      <c r="H3947" s="700">
        <f t="shared" si="433"/>
        <v>0</v>
      </c>
      <c r="I3947" s="714"/>
      <c r="J3947" s="714">
        <f t="shared" si="437"/>
        <v>0</v>
      </c>
      <c r="K3947" s="700">
        <f t="shared" si="431"/>
        <v>0</v>
      </c>
      <c r="L3947" s="714"/>
      <c r="M3947" s="714"/>
      <c r="N3947" s="700">
        <f t="shared" si="434"/>
        <v>0</v>
      </c>
      <c r="O3947" s="974">
        <f t="shared" si="432"/>
        <v>0</v>
      </c>
      <c r="P3947" s="956"/>
      <c r="Q3947" s="1821"/>
      <c r="R3947" s="1821"/>
      <c r="S3947" s="1821"/>
      <c r="T3947" s="1821"/>
      <c r="U3947" s="1821"/>
      <c r="V3947" s="1821"/>
      <c r="W3947" s="1821"/>
      <c r="X3947" s="1821"/>
      <c r="Y3947" s="1821"/>
      <c r="Z3947" s="1821"/>
      <c r="AA3947" s="1821"/>
      <c r="AB3947" s="1821"/>
      <c r="AC3947" s="1821"/>
      <c r="AD3947" s="1821"/>
      <c r="AE3947" s="1821"/>
      <c r="AF3947" s="1821"/>
      <c r="AG3947" s="1821"/>
      <c r="AH3947" s="1821"/>
      <c r="AI3947" s="1821"/>
      <c r="AJ3947" s="1821"/>
      <c r="AK3947" s="1821"/>
      <c r="AL3947" s="1821"/>
      <c r="AM3947" s="1821"/>
      <c r="AN3947" s="1821"/>
      <c r="AO3947" s="1821"/>
      <c r="AP3947" s="1821"/>
      <c r="AQ3947" s="1821"/>
      <c r="AR3947" s="1821"/>
      <c r="AS3947" s="1821"/>
      <c r="AT3947" s="1821"/>
      <c r="AU3947" s="1821"/>
      <c r="AV3947" s="1821"/>
      <c r="AW3947" s="1821"/>
      <c r="AX3947" s="1821"/>
      <c r="AY3947" s="1821"/>
      <c r="AZ3947" s="1821"/>
      <c r="BA3947" s="1821"/>
      <c r="BB3947" s="1821"/>
      <c r="BC3947" s="1821"/>
      <c r="BD3947" s="1821"/>
      <c r="BE3947" s="1821"/>
      <c r="BF3947" s="1821"/>
      <c r="BG3947" s="1821"/>
      <c r="BH3947" s="1821"/>
      <c r="BI3947" s="1821"/>
      <c r="BJ3947" s="1821"/>
      <c r="BK3947" s="1821"/>
      <c r="BL3947" s="1821"/>
      <c r="BM3947" s="1821"/>
      <c r="BN3947" s="1821"/>
      <c r="BO3947" s="1821"/>
      <c r="BP3947" s="1821"/>
      <c r="BQ3947" s="1821"/>
      <c r="BR3947" s="1821"/>
      <c r="BS3947" s="1821"/>
      <c r="BT3947" s="1821"/>
      <c r="BU3947" s="1821"/>
      <c r="BV3947" s="1821"/>
      <c r="BW3947" s="1821"/>
      <c r="BX3947" s="1821"/>
      <c r="BY3947" s="1821"/>
      <c r="BZ3947" s="1821"/>
      <c r="CA3947" s="1821"/>
      <c r="CB3947" s="1821"/>
      <c r="CC3947" s="1821"/>
      <c r="CD3947" s="1821"/>
      <c r="CE3947" s="1821"/>
      <c r="CF3947" s="1821"/>
      <c r="CG3947" s="1821"/>
      <c r="CH3947" s="1821"/>
      <c r="CI3947" s="1821"/>
      <c r="CJ3947" s="1821"/>
      <c r="CK3947" s="1821"/>
    </row>
    <row r="3948" spans="1:89" s="744" customFormat="1" ht="16.5" customHeight="1" x14ac:dyDescent="0.25">
      <c r="A3948" s="1033">
        <v>11</v>
      </c>
      <c r="B3948" s="709" t="s">
        <v>449</v>
      </c>
      <c r="C3948" s="827"/>
      <c r="D3948" s="961"/>
      <c r="E3948" s="758"/>
      <c r="F3948" s="714"/>
      <c r="G3948" s="714"/>
      <c r="H3948" s="700">
        <f t="shared" si="433"/>
        <v>0</v>
      </c>
      <c r="I3948" s="714"/>
      <c r="J3948" s="714">
        <f t="shared" si="437"/>
        <v>0</v>
      </c>
      <c r="K3948" s="700">
        <f t="shared" si="431"/>
        <v>0</v>
      </c>
      <c r="L3948" s="714"/>
      <c r="M3948" s="714"/>
      <c r="N3948" s="700">
        <f t="shared" si="434"/>
        <v>0</v>
      </c>
      <c r="O3948" s="974">
        <f t="shared" si="432"/>
        <v>0</v>
      </c>
      <c r="P3948" s="956"/>
      <c r="Q3948" s="1821"/>
      <c r="R3948" s="1821"/>
      <c r="S3948" s="1821"/>
      <c r="T3948" s="1821"/>
      <c r="U3948" s="1821"/>
      <c r="V3948" s="1821"/>
      <c r="W3948" s="1821"/>
      <c r="X3948" s="1821"/>
      <c r="Y3948" s="1821"/>
      <c r="Z3948" s="1821"/>
      <c r="AA3948" s="1821"/>
      <c r="AB3948" s="1821"/>
      <c r="AC3948" s="1821"/>
      <c r="AD3948" s="1821"/>
      <c r="AE3948" s="1821"/>
      <c r="AF3948" s="1821"/>
      <c r="AG3948" s="1821"/>
      <c r="AH3948" s="1821"/>
      <c r="AI3948" s="1821"/>
      <c r="AJ3948" s="1821"/>
      <c r="AK3948" s="1821"/>
      <c r="AL3948" s="1821"/>
      <c r="AM3948" s="1821"/>
      <c r="AN3948" s="1821"/>
      <c r="AO3948" s="1821"/>
      <c r="AP3948" s="1821"/>
      <c r="AQ3948" s="1821"/>
      <c r="AR3948" s="1821"/>
      <c r="AS3948" s="1821"/>
      <c r="AT3948" s="1821"/>
      <c r="AU3948" s="1821"/>
      <c r="AV3948" s="1821"/>
      <c r="AW3948" s="1821"/>
      <c r="AX3948" s="1821"/>
      <c r="AY3948" s="1821"/>
      <c r="AZ3948" s="1821"/>
      <c r="BA3948" s="1821"/>
      <c r="BB3948" s="1821"/>
      <c r="BC3948" s="1821"/>
      <c r="BD3948" s="1821"/>
      <c r="BE3948" s="1821"/>
      <c r="BF3948" s="1821"/>
      <c r="BG3948" s="1821"/>
      <c r="BH3948" s="1821"/>
      <c r="BI3948" s="1821"/>
      <c r="BJ3948" s="1821"/>
      <c r="BK3948" s="1821"/>
      <c r="BL3948" s="1821"/>
      <c r="BM3948" s="1821"/>
      <c r="BN3948" s="1821"/>
      <c r="BO3948" s="1821"/>
      <c r="BP3948" s="1821"/>
      <c r="BQ3948" s="1821"/>
      <c r="BR3948" s="1821"/>
      <c r="BS3948" s="1821"/>
      <c r="BT3948" s="1821"/>
      <c r="BU3948" s="1821"/>
      <c r="BV3948" s="1821"/>
      <c r="BW3948" s="1821"/>
      <c r="BX3948" s="1821"/>
      <c r="BY3948" s="1821"/>
      <c r="BZ3948" s="1821"/>
      <c r="CA3948" s="1821"/>
      <c r="CB3948" s="1821"/>
      <c r="CC3948" s="1821"/>
      <c r="CD3948" s="1821"/>
      <c r="CE3948" s="1821"/>
      <c r="CF3948" s="1821"/>
      <c r="CG3948" s="1821"/>
      <c r="CH3948" s="1821"/>
      <c r="CI3948" s="1821"/>
      <c r="CJ3948" s="1821"/>
      <c r="CK3948" s="1821"/>
    </row>
    <row r="3949" spans="1:89" s="744" customFormat="1" ht="16.5" customHeight="1" x14ac:dyDescent="0.25">
      <c r="A3949" s="1033"/>
      <c r="B3949" s="709" t="s">
        <v>21</v>
      </c>
      <c r="C3949" s="827"/>
      <c r="D3949" s="961"/>
      <c r="E3949" s="758"/>
      <c r="F3949" s="714"/>
      <c r="G3949" s="714"/>
      <c r="H3949" s="700">
        <f t="shared" si="433"/>
        <v>0</v>
      </c>
      <c r="I3949" s="714"/>
      <c r="J3949" s="714">
        <f t="shared" si="437"/>
        <v>0</v>
      </c>
      <c r="K3949" s="700">
        <f t="shared" si="431"/>
        <v>0</v>
      </c>
      <c r="L3949" s="714"/>
      <c r="M3949" s="714"/>
      <c r="N3949" s="700">
        <f t="shared" si="434"/>
        <v>0</v>
      </c>
      <c r="O3949" s="974">
        <f t="shared" si="432"/>
        <v>0</v>
      </c>
      <c r="P3949" s="956"/>
      <c r="Q3949" s="1821"/>
      <c r="R3949" s="1821"/>
      <c r="S3949" s="1821"/>
      <c r="T3949" s="1821"/>
      <c r="U3949" s="1821"/>
      <c r="V3949" s="1821"/>
      <c r="W3949" s="1821"/>
      <c r="X3949" s="1821"/>
      <c r="Y3949" s="1821"/>
      <c r="Z3949" s="1821"/>
      <c r="AA3949" s="1821"/>
      <c r="AB3949" s="1821"/>
      <c r="AC3949" s="1821"/>
      <c r="AD3949" s="1821"/>
      <c r="AE3949" s="1821"/>
      <c r="AF3949" s="1821"/>
      <c r="AG3949" s="1821"/>
      <c r="AH3949" s="1821"/>
      <c r="AI3949" s="1821"/>
      <c r="AJ3949" s="1821"/>
      <c r="AK3949" s="1821"/>
      <c r="AL3949" s="1821"/>
      <c r="AM3949" s="1821"/>
      <c r="AN3949" s="1821"/>
      <c r="AO3949" s="1821"/>
      <c r="AP3949" s="1821"/>
      <c r="AQ3949" s="1821"/>
      <c r="AR3949" s="1821"/>
      <c r="AS3949" s="1821"/>
      <c r="AT3949" s="1821"/>
      <c r="AU3949" s="1821"/>
      <c r="AV3949" s="1821"/>
      <c r="AW3949" s="1821"/>
      <c r="AX3949" s="1821"/>
      <c r="AY3949" s="1821"/>
      <c r="AZ3949" s="1821"/>
      <c r="BA3949" s="1821"/>
      <c r="BB3949" s="1821"/>
      <c r="BC3949" s="1821"/>
      <c r="BD3949" s="1821"/>
      <c r="BE3949" s="1821"/>
      <c r="BF3949" s="1821"/>
      <c r="BG3949" s="1821"/>
      <c r="BH3949" s="1821"/>
      <c r="BI3949" s="1821"/>
      <c r="BJ3949" s="1821"/>
      <c r="BK3949" s="1821"/>
      <c r="BL3949" s="1821"/>
      <c r="BM3949" s="1821"/>
      <c r="BN3949" s="1821"/>
      <c r="BO3949" s="1821"/>
      <c r="BP3949" s="1821"/>
      <c r="BQ3949" s="1821"/>
      <c r="BR3949" s="1821"/>
      <c r="BS3949" s="1821"/>
      <c r="BT3949" s="1821"/>
      <c r="BU3949" s="1821"/>
      <c r="BV3949" s="1821"/>
      <c r="BW3949" s="1821"/>
      <c r="BX3949" s="1821"/>
      <c r="BY3949" s="1821"/>
      <c r="BZ3949" s="1821"/>
      <c r="CA3949" s="1821"/>
      <c r="CB3949" s="1821"/>
      <c r="CC3949" s="1821"/>
      <c r="CD3949" s="1821"/>
      <c r="CE3949" s="1821"/>
      <c r="CF3949" s="1821"/>
      <c r="CG3949" s="1821"/>
      <c r="CH3949" s="1821"/>
      <c r="CI3949" s="1821"/>
      <c r="CJ3949" s="1821"/>
      <c r="CK3949" s="1821"/>
    </row>
    <row r="3950" spans="1:89" s="744" customFormat="1" ht="16.5" customHeight="1" x14ac:dyDescent="0.25">
      <c r="A3950" s="1033"/>
      <c r="B3950" s="709" t="s">
        <v>215</v>
      </c>
      <c r="C3950" s="827">
        <v>1</v>
      </c>
      <c r="D3950" s="961" t="s">
        <v>25</v>
      </c>
      <c r="E3950" s="758">
        <v>29270</v>
      </c>
      <c r="F3950" s="714"/>
      <c r="G3950" s="714"/>
      <c r="H3950" s="700">
        <f t="shared" si="433"/>
        <v>0</v>
      </c>
      <c r="I3950" s="714"/>
      <c r="J3950" s="714">
        <f t="shared" si="437"/>
        <v>29270</v>
      </c>
      <c r="K3950" s="700">
        <f t="shared" ref="K3950:K4032" si="438">J3950+I3950</f>
        <v>29270</v>
      </c>
      <c r="L3950" s="714"/>
      <c r="M3950" s="714"/>
      <c r="N3950" s="700">
        <f t="shared" si="434"/>
        <v>0</v>
      </c>
      <c r="O3950" s="974">
        <f t="shared" si="432"/>
        <v>29270</v>
      </c>
      <c r="P3950" s="956"/>
      <c r="Q3950" s="1821"/>
      <c r="R3950" s="1821"/>
      <c r="S3950" s="1821"/>
      <c r="T3950" s="1821"/>
      <c r="U3950" s="1821"/>
      <c r="V3950" s="1821"/>
      <c r="W3950" s="1821"/>
      <c r="X3950" s="1821"/>
      <c r="Y3950" s="1821"/>
      <c r="Z3950" s="1821"/>
      <c r="AA3950" s="1821"/>
      <c r="AB3950" s="1821"/>
      <c r="AC3950" s="1821"/>
      <c r="AD3950" s="1821"/>
      <c r="AE3950" s="1821"/>
      <c r="AF3950" s="1821"/>
      <c r="AG3950" s="1821"/>
      <c r="AH3950" s="1821"/>
      <c r="AI3950" s="1821"/>
      <c r="AJ3950" s="1821"/>
      <c r="AK3950" s="1821"/>
      <c r="AL3950" s="1821"/>
      <c r="AM3950" s="1821"/>
      <c r="AN3950" s="1821"/>
      <c r="AO3950" s="1821"/>
      <c r="AP3950" s="1821"/>
      <c r="AQ3950" s="1821"/>
      <c r="AR3950" s="1821"/>
      <c r="AS3950" s="1821"/>
      <c r="AT3950" s="1821"/>
      <c r="AU3950" s="1821"/>
      <c r="AV3950" s="1821"/>
      <c r="AW3950" s="1821"/>
      <c r="AX3950" s="1821"/>
      <c r="AY3950" s="1821"/>
      <c r="AZ3950" s="1821"/>
      <c r="BA3950" s="1821"/>
      <c r="BB3950" s="1821"/>
      <c r="BC3950" s="1821"/>
      <c r="BD3950" s="1821"/>
      <c r="BE3950" s="1821"/>
      <c r="BF3950" s="1821"/>
      <c r="BG3950" s="1821"/>
      <c r="BH3950" s="1821"/>
      <c r="BI3950" s="1821"/>
      <c r="BJ3950" s="1821"/>
      <c r="BK3950" s="1821"/>
      <c r="BL3950" s="1821"/>
      <c r="BM3950" s="1821"/>
      <c r="BN3950" s="1821"/>
      <c r="BO3950" s="1821"/>
      <c r="BP3950" s="1821"/>
      <c r="BQ3950" s="1821"/>
      <c r="BR3950" s="1821"/>
      <c r="BS3950" s="1821"/>
      <c r="BT3950" s="1821"/>
      <c r="BU3950" s="1821"/>
      <c r="BV3950" s="1821"/>
      <c r="BW3950" s="1821"/>
      <c r="BX3950" s="1821"/>
      <c r="BY3950" s="1821"/>
      <c r="BZ3950" s="1821"/>
      <c r="CA3950" s="1821"/>
      <c r="CB3950" s="1821"/>
      <c r="CC3950" s="1821"/>
      <c r="CD3950" s="1821"/>
      <c r="CE3950" s="1821"/>
      <c r="CF3950" s="1821"/>
      <c r="CG3950" s="1821"/>
      <c r="CH3950" s="1821"/>
      <c r="CI3950" s="1821"/>
      <c r="CJ3950" s="1821"/>
      <c r="CK3950" s="1821"/>
    </row>
    <row r="3951" spans="1:89" s="744" customFormat="1" ht="16.5" customHeight="1" x14ac:dyDescent="0.25">
      <c r="A3951" s="1033"/>
      <c r="B3951" s="709"/>
      <c r="C3951" s="827"/>
      <c r="D3951" s="961"/>
      <c r="E3951" s="758"/>
      <c r="F3951" s="714"/>
      <c r="G3951" s="714"/>
      <c r="H3951" s="700">
        <f t="shared" si="433"/>
        <v>0</v>
      </c>
      <c r="I3951" s="714"/>
      <c r="J3951" s="714">
        <f t="shared" si="437"/>
        <v>0</v>
      </c>
      <c r="K3951" s="700">
        <f t="shared" si="438"/>
        <v>0</v>
      </c>
      <c r="L3951" s="714"/>
      <c r="M3951" s="714"/>
      <c r="N3951" s="700">
        <f t="shared" si="434"/>
        <v>0</v>
      </c>
      <c r="O3951" s="974">
        <f t="shared" ref="O3951:O4026" si="439">N3951+K3951+H3951</f>
        <v>0</v>
      </c>
      <c r="P3951" s="956"/>
      <c r="Q3951" s="1821"/>
      <c r="R3951" s="1821"/>
      <c r="S3951" s="1821"/>
      <c r="T3951" s="1821"/>
      <c r="U3951" s="1821"/>
      <c r="V3951" s="1821"/>
      <c r="W3951" s="1821"/>
      <c r="X3951" s="1821"/>
      <c r="Y3951" s="1821"/>
      <c r="Z3951" s="1821"/>
      <c r="AA3951" s="1821"/>
      <c r="AB3951" s="1821"/>
      <c r="AC3951" s="1821"/>
      <c r="AD3951" s="1821"/>
      <c r="AE3951" s="1821"/>
      <c r="AF3951" s="1821"/>
      <c r="AG3951" s="1821"/>
      <c r="AH3951" s="1821"/>
      <c r="AI3951" s="1821"/>
      <c r="AJ3951" s="1821"/>
      <c r="AK3951" s="1821"/>
      <c r="AL3951" s="1821"/>
      <c r="AM3951" s="1821"/>
      <c r="AN3951" s="1821"/>
      <c r="AO3951" s="1821"/>
      <c r="AP3951" s="1821"/>
      <c r="AQ3951" s="1821"/>
      <c r="AR3951" s="1821"/>
      <c r="AS3951" s="1821"/>
      <c r="AT3951" s="1821"/>
      <c r="AU3951" s="1821"/>
      <c r="AV3951" s="1821"/>
      <c r="AW3951" s="1821"/>
      <c r="AX3951" s="1821"/>
      <c r="AY3951" s="1821"/>
      <c r="AZ3951" s="1821"/>
      <c r="BA3951" s="1821"/>
      <c r="BB3951" s="1821"/>
      <c r="BC3951" s="1821"/>
      <c r="BD3951" s="1821"/>
      <c r="BE3951" s="1821"/>
      <c r="BF3951" s="1821"/>
      <c r="BG3951" s="1821"/>
      <c r="BH3951" s="1821"/>
      <c r="BI3951" s="1821"/>
      <c r="BJ3951" s="1821"/>
      <c r="BK3951" s="1821"/>
      <c r="BL3951" s="1821"/>
      <c r="BM3951" s="1821"/>
      <c r="BN3951" s="1821"/>
      <c r="BO3951" s="1821"/>
      <c r="BP3951" s="1821"/>
      <c r="BQ3951" s="1821"/>
      <c r="BR3951" s="1821"/>
      <c r="BS3951" s="1821"/>
      <c r="BT3951" s="1821"/>
      <c r="BU3951" s="1821"/>
      <c r="BV3951" s="1821"/>
      <c r="BW3951" s="1821"/>
      <c r="BX3951" s="1821"/>
      <c r="BY3951" s="1821"/>
      <c r="BZ3951" s="1821"/>
      <c r="CA3951" s="1821"/>
      <c r="CB3951" s="1821"/>
      <c r="CC3951" s="1821"/>
      <c r="CD3951" s="1821"/>
      <c r="CE3951" s="1821"/>
      <c r="CF3951" s="1821"/>
      <c r="CG3951" s="1821"/>
      <c r="CH3951" s="1821"/>
      <c r="CI3951" s="1821"/>
      <c r="CJ3951" s="1821"/>
      <c r="CK3951" s="1821"/>
    </row>
    <row r="3952" spans="1:89" s="744" customFormat="1" ht="16.5" customHeight="1" x14ac:dyDescent="0.25">
      <c r="A3952" s="1033">
        <v>12</v>
      </c>
      <c r="B3952" s="709" t="s">
        <v>450</v>
      </c>
      <c r="C3952" s="827"/>
      <c r="D3952" s="961"/>
      <c r="E3952" s="758"/>
      <c r="F3952" s="714"/>
      <c r="G3952" s="714"/>
      <c r="H3952" s="700"/>
      <c r="I3952" s="714"/>
      <c r="J3952" s="714"/>
      <c r="K3952" s="700"/>
      <c r="L3952" s="714"/>
      <c r="M3952" s="714"/>
      <c r="N3952" s="700"/>
      <c r="O3952" s="974"/>
      <c r="P3952" s="956"/>
      <c r="Q3952" s="1821"/>
      <c r="R3952" s="1821"/>
      <c r="S3952" s="1821"/>
      <c r="T3952" s="1821"/>
      <c r="U3952" s="1821"/>
      <c r="V3952" s="1821"/>
      <c r="W3952" s="1821"/>
      <c r="X3952" s="1821"/>
      <c r="Y3952" s="1821"/>
      <c r="Z3952" s="1821"/>
      <c r="AA3952" s="1821"/>
      <c r="AB3952" s="1821"/>
      <c r="AC3952" s="1821"/>
      <c r="AD3952" s="1821"/>
      <c r="AE3952" s="1821"/>
      <c r="AF3952" s="1821"/>
      <c r="AG3952" s="1821"/>
      <c r="AH3952" s="1821"/>
      <c r="AI3952" s="1821"/>
      <c r="AJ3952" s="1821"/>
      <c r="AK3952" s="1821"/>
      <c r="AL3952" s="1821"/>
      <c r="AM3952" s="1821"/>
      <c r="AN3952" s="1821"/>
      <c r="AO3952" s="1821"/>
      <c r="AP3952" s="1821"/>
      <c r="AQ3952" s="1821"/>
      <c r="AR3952" s="1821"/>
      <c r="AS3952" s="1821"/>
      <c r="AT3952" s="1821"/>
      <c r="AU3952" s="1821"/>
      <c r="AV3952" s="1821"/>
      <c r="AW3952" s="1821"/>
      <c r="AX3952" s="1821"/>
      <c r="AY3952" s="1821"/>
      <c r="AZ3952" s="1821"/>
      <c r="BA3952" s="1821"/>
      <c r="BB3952" s="1821"/>
      <c r="BC3952" s="1821"/>
      <c r="BD3952" s="1821"/>
      <c r="BE3952" s="1821"/>
      <c r="BF3952" s="1821"/>
      <c r="BG3952" s="1821"/>
      <c r="BH3952" s="1821"/>
      <c r="BI3952" s="1821"/>
      <c r="BJ3952" s="1821"/>
      <c r="BK3952" s="1821"/>
      <c r="BL3952" s="1821"/>
      <c r="BM3952" s="1821"/>
      <c r="BN3952" s="1821"/>
      <c r="BO3952" s="1821"/>
      <c r="BP3952" s="1821"/>
      <c r="BQ3952" s="1821"/>
      <c r="BR3952" s="1821"/>
      <c r="BS3952" s="1821"/>
      <c r="BT3952" s="1821"/>
      <c r="BU3952" s="1821"/>
      <c r="BV3952" s="1821"/>
      <c r="BW3952" s="1821"/>
      <c r="BX3952" s="1821"/>
      <c r="BY3952" s="1821"/>
      <c r="BZ3952" s="1821"/>
      <c r="CA3952" s="1821"/>
      <c r="CB3952" s="1821"/>
      <c r="CC3952" s="1821"/>
      <c r="CD3952" s="1821"/>
      <c r="CE3952" s="1821"/>
      <c r="CF3952" s="1821"/>
      <c r="CG3952" s="1821"/>
      <c r="CH3952" s="1821"/>
      <c r="CI3952" s="1821"/>
      <c r="CJ3952" s="1821"/>
      <c r="CK3952" s="1821"/>
    </row>
    <row r="3953" spans="1:89" s="744" customFormat="1" ht="16.5" customHeight="1" x14ac:dyDescent="0.25">
      <c r="A3953" s="1033"/>
      <c r="B3953" s="709" t="s">
        <v>21</v>
      </c>
      <c r="C3953" s="827">
        <f>SUM(O3954:O3960)</f>
        <v>311105.55</v>
      </c>
      <c r="D3953" s="961"/>
      <c r="E3953" s="758"/>
      <c r="F3953" s="714"/>
      <c r="G3953" s="714"/>
      <c r="H3953" s="700">
        <f t="shared" si="433"/>
        <v>0</v>
      </c>
      <c r="I3953" s="714"/>
      <c r="J3953" s="714">
        <f t="shared" si="437"/>
        <v>0</v>
      </c>
      <c r="K3953" s="700">
        <f t="shared" si="438"/>
        <v>0</v>
      </c>
      <c r="L3953" s="714"/>
      <c r="M3953" s="714"/>
      <c r="N3953" s="700">
        <f t="shared" si="434"/>
        <v>0</v>
      </c>
      <c r="O3953" s="974">
        <f t="shared" si="439"/>
        <v>0</v>
      </c>
      <c r="P3953" s="956"/>
      <c r="Q3953" s="1821"/>
      <c r="R3953" s="1821"/>
      <c r="S3953" s="1821"/>
      <c r="T3953" s="1821"/>
      <c r="U3953" s="1821"/>
      <c r="V3953" s="1821"/>
      <c r="W3953" s="1821"/>
      <c r="X3953" s="1821"/>
      <c r="Y3953" s="1821"/>
      <c r="Z3953" s="1821"/>
      <c r="AA3953" s="1821"/>
      <c r="AB3953" s="1821"/>
      <c r="AC3953" s="1821"/>
      <c r="AD3953" s="1821"/>
      <c r="AE3953" s="1821"/>
      <c r="AF3953" s="1821"/>
      <c r="AG3953" s="1821"/>
      <c r="AH3953" s="1821"/>
      <c r="AI3953" s="1821"/>
      <c r="AJ3953" s="1821"/>
      <c r="AK3953" s="1821"/>
      <c r="AL3953" s="1821"/>
      <c r="AM3953" s="1821"/>
      <c r="AN3953" s="1821"/>
      <c r="AO3953" s="1821"/>
      <c r="AP3953" s="1821"/>
      <c r="AQ3953" s="1821"/>
      <c r="AR3953" s="1821"/>
      <c r="AS3953" s="1821"/>
      <c r="AT3953" s="1821"/>
      <c r="AU3953" s="1821"/>
      <c r="AV3953" s="1821"/>
      <c r="AW3953" s="1821"/>
      <c r="AX3953" s="1821"/>
      <c r="AY3953" s="1821"/>
      <c r="AZ3953" s="1821"/>
      <c r="BA3953" s="1821"/>
      <c r="BB3953" s="1821"/>
      <c r="BC3953" s="1821"/>
      <c r="BD3953" s="1821"/>
      <c r="BE3953" s="1821"/>
      <c r="BF3953" s="1821"/>
      <c r="BG3953" s="1821"/>
      <c r="BH3953" s="1821"/>
      <c r="BI3953" s="1821"/>
      <c r="BJ3953" s="1821"/>
      <c r="BK3953" s="1821"/>
      <c r="BL3953" s="1821"/>
      <c r="BM3953" s="1821"/>
      <c r="BN3953" s="1821"/>
      <c r="BO3953" s="1821"/>
      <c r="BP3953" s="1821"/>
      <c r="BQ3953" s="1821"/>
      <c r="BR3953" s="1821"/>
      <c r="BS3953" s="1821"/>
      <c r="BT3953" s="1821"/>
      <c r="BU3953" s="1821"/>
      <c r="BV3953" s="1821"/>
      <c r="BW3953" s="1821"/>
      <c r="BX3953" s="1821"/>
      <c r="BY3953" s="1821"/>
      <c r="BZ3953" s="1821"/>
      <c r="CA3953" s="1821"/>
      <c r="CB3953" s="1821"/>
      <c r="CC3953" s="1821"/>
      <c r="CD3953" s="1821"/>
      <c r="CE3953" s="1821"/>
      <c r="CF3953" s="1821"/>
      <c r="CG3953" s="1821"/>
      <c r="CH3953" s="1821"/>
      <c r="CI3953" s="1821"/>
      <c r="CJ3953" s="1821"/>
      <c r="CK3953" s="1821"/>
    </row>
    <row r="3954" spans="1:89" s="744" customFormat="1" ht="16.5" customHeight="1" x14ac:dyDescent="0.25">
      <c r="A3954" s="1033"/>
      <c r="B3954" s="709" t="s">
        <v>215</v>
      </c>
      <c r="C3954" s="827">
        <v>1</v>
      </c>
      <c r="D3954" s="961" t="s">
        <v>25</v>
      </c>
      <c r="E3954" s="758">
        <v>85740</v>
      </c>
      <c r="F3954" s="714"/>
      <c r="G3954" s="714"/>
      <c r="H3954" s="700">
        <f t="shared" si="433"/>
        <v>0</v>
      </c>
      <c r="I3954" s="714"/>
      <c r="J3954" s="714">
        <f t="shared" si="437"/>
        <v>85740</v>
      </c>
      <c r="K3954" s="700">
        <f t="shared" si="438"/>
        <v>85740</v>
      </c>
      <c r="L3954" s="714"/>
      <c r="M3954" s="714"/>
      <c r="N3954" s="700">
        <f t="shared" si="434"/>
        <v>0</v>
      </c>
      <c r="O3954" s="974">
        <f t="shared" si="439"/>
        <v>85740</v>
      </c>
      <c r="P3954" s="956"/>
      <c r="Q3954" s="1821"/>
      <c r="R3954" s="1821"/>
      <c r="S3954" s="1821"/>
      <c r="T3954" s="1821"/>
      <c r="U3954" s="1821"/>
      <c r="V3954" s="1821"/>
      <c r="W3954" s="1821"/>
      <c r="X3954" s="1821"/>
      <c r="Y3954" s="1821"/>
      <c r="Z3954" s="1821"/>
      <c r="AA3954" s="1821"/>
      <c r="AB3954" s="1821"/>
      <c r="AC3954" s="1821"/>
      <c r="AD3954" s="1821"/>
      <c r="AE3954" s="1821"/>
      <c r="AF3954" s="1821"/>
      <c r="AG3954" s="1821"/>
      <c r="AH3954" s="1821"/>
      <c r="AI3954" s="1821"/>
      <c r="AJ3954" s="1821"/>
      <c r="AK3954" s="1821"/>
      <c r="AL3954" s="1821"/>
      <c r="AM3954" s="1821"/>
      <c r="AN3954" s="1821"/>
      <c r="AO3954" s="1821"/>
      <c r="AP3954" s="1821"/>
      <c r="AQ3954" s="1821"/>
      <c r="AR3954" s="1821"/>
      <c r="AS3954" s="1821"/>
      <c r="AT3954" s="1821"/>
      <c r="AU3954" s="1821"/>
      <c r="AV3954" s="1821"/>
      <c r="AW3954" s="1821"/>
      <c r="AX3954" s="1821"/>
      <c r="AY3954" s="1821"/>
      <c r="AZ3954" s="1821"/>
      <c r="BA3954" s="1821"/>
      <c r="BB3954" s="1821"/>
      <c r="BC3954" s="1821"/>
      <c r="BD3954" s="1821"/>
      <c r="BE3954" s="1821"/>
      <c r="BF3954" s="1821"/>
      <c r="BG3954" s="1821"/>
      <c r="BH3954" s="1821"/>
      <c r="BI3954" s="1821"/>
      <c r="BJ3954" s="1821"/>
      <c r="BK3954" s="1821"/>
      <c r="BL3954" s="1821"/>
      <c r="BM3954" s="1821"/>
      <c r="BN3954" s="1821"/>
      <c r="BO3954" s="1821"/>
      <c r="BP3954" s="1821"/>
      <c r="BQ3954" s="1821"/>
      <c r="BR3954" s="1821"/>
      <c r="BS3954" s="1821"/>
      <c r="BT3954" s="1821"/>
      <c r="BU3954" s="1821"/>
      <c r="BV3954" s="1821"/>
      <c r="BW3954" s="1821"/>
      <c r="BX3954" s="1821"/>
      <c r="BY3954" s="1821"/>
      <c r="BZ3954" s="1821"/>
      <c r="CA3954" s="1821"/>
      <c r="CB3954" s="1821"/>
      <c r="CC3954" s="1821"/>
      <c r="CD3954" s="1821"/>
      <c r="CE3954" s="1821"/>
      <c r="CF3954" s="1821"/>
      <c r="CG3954" s="1821"/>
      <c r="CH3954" s="1821"/>
      <c r="CI3954" s="1821"/>
      <c r="CJ3954" s="1821"/>
      <c r="CK3954" s="1821"/>
    </row>
    <row r="3955" spans="1:89" s="744" customFormat="1" ht="16.5" customHeight="1" x14ac:dyDescent="0.25">
      <c r="A3955" s="1033"/>
      <c r="B3955" s="709" t="s">
        <v>40</v>
      </c>
      <c r="C3955" s="827"/>
      <c r="D3955" s="961"/>
      <c r="E3955" s="758"/>
      <c r="F3955" s="714"/>
      <c r="G3955" s="714"/>
      <c r="H3955" s="700">
        <f>G3955+F3955</f>
        <v>0</v>
      </c>
      <c r="I3955" s="714"/>
      <c r="J3955" s="714">
        <f t="shared" si="437"/>
        <v>0</v>
      </c>
      <c r="K3955" s="700">
        <f t="shared" si="438"/>
        <v>0</v>
      </c>
      <c r="L3955" s="714"/>
      <c r="M3955" s="714"/>
      <c r="N3955" s="700">
        <f>M3955+L3955</f>
        <v>0</v>
      </c>
      <c r="O3955" s="974">
        <f t="shared" si="439"/>
        <v>0</v>
      </c>
      <c r="P3955" s="956"/>
      <c r="Q3955" s="1821"/>
      <c r="R3955" s="1821"/>
      <c r="S3955" s="1821"/>
      <c r="T3955" s="1821"/>
      <c r="U3955" s="1821"/>
      <c r="V3955" s="1821"/>
      <c r="W3955" s="1821"/>
      <c r="X3955" s="1821"/>
      <c r="Y3955" s="1821"/>
      <c r="Z3955" s="1821"/>
      <c r="AA3955" s="1821"/>
      <c r="AB3955" s="1821"/>
      <c r="AC3955" s="1821"/>
      <c r="AD3955" s="1821"/>
      <c r="AE3955" s="1821"/>
      <c r="AF3955" s="1821"/>
      <c r="AG3955" s="1821"/>
      <c r="AH3955" s="1821"/>
      <c r="AI3955" s="1821"/>
      <c r="AJ3955" s="1821"/>
      <c r="AK3955" s="1821"/>
      <c r="AL3955" s="1821"/>
      <c r="AM3955" s="1821"/>
      <c r="AN3955" s="1821"/>
      <c r="AO3955" s="1821"/>
      <c r="AP3955" s="1821"/>
      <c r="AQ3955" s="1821"/>
      <c r="AR3955" s="1821"/>
      <c r="AS3955" s="1821"/>
      <c r="AT3955" s="1821"/>
      <c r="AU3955" s="1821"/>
      <c r="AV3955" s="1821"/>
      <c r="AW3955" s="1821"/>
      <c r="AX3955" s="1821"/>
      <c r="AY3955" s="1821"/>
      <c r="AZ3955" s="1821"/>
      <c r="BA3955" s="1821"/>
      <c r="BB3955" s="1821"/>
      <c r="BC3955" s="1821"/>
      <c r="BD3955" s="1821"/>
      <c r="BE3955" s="1821"/>
      <c r="BF3955" s="1821"/>
      <c r="BG3955" s="1821"/>
      <c r="BH3955" s="1821"/>
      <c r="BI3955" s="1821"/>
      <c r="BJ3955" s="1821"/>
      <c r="BK3955" s="1821"/>
      <c r="BL3955" s="1821"/>
      <c r="BM3955" s="1821"/>
      <c r="BN3955" s="1821"/>
      <c r="BO3955" s="1821"/>
      <c r="BP3955" s="1821"/>
      <c r="BQ3955" s="1821"/>
      <c r="BR3955" s="1821"/>
      <c r="BS3955" s="1821"/>
      <c r="BT3955" s="1821"/>
      <c r="BU3955" s="1821"/>
      <c r="BV3955" s="1821"/>
      <c r="BW3955" s="1821"/>
      <c r="BX3955" s="1821"/>
      <c r="BY3955" s="1821"/>
      <c r="BZ3955" s="1821"/>
      <c r="CA3955" s="1821"/>
      <c r="CB3955" s="1821"/>
      <c r="CC3955" s="1821"/>
      <c r="CD3955" s="1821"/>
      <c r="CE3955" s="1821"/>
      <c r="CF3955" s="1821"/>
      <c r="CG3955" s="1821"/>
      <c r="CH3955" s="1821"/>
      <c r="CI3955" s="1821"/>
      <c r="CJ3955" s="1821"/>
      <c r="CK3955" s="1821"/>
    </row>
    <row r="3956" spans="1:89" s="744" customFormat="1" ht="16.5" customHeight="1" x14ac:dyDescent="0.25">
      <c r="A3956" s="1033"/>
      <c r="B3956" s="709" t="s">
        <v>215</v>
      </c>
      <c r="C3956" s="827">
        <v>1</v>
      </c>
      <c r="D3956" s="961" t="s">
        <v>25</v>
      </c>
      <c r="E3956" s="758">
        <v>166700</v>
      </c>
      <c r="F3956" s="714"/>
      <c r="G3956" s="714"/>
      <c r="H3956" s="700">
        <f>G3956+F3956</f>
        <v>0</v>
      </c>
      <c r="I3956" s="714"/>
      <c r="J3956" s="714">
        <f t="shared" si="437"/>
        <v>166700</v>
      </c>
      <c r="K3956" s="700">
        <f t="shared" si="438"/>
        <v>166700</v>
      </c>
      <c r="L3956" s="714"/>
      <c r="M3956" s="714"/>
      <c r="N3956" s="700">
        <f>M3956+L3956</f>
        <v>0</v>
      </c>
      <c r="O3956" s="974">
        <f t="shared" si="439"/>
        <v>166700</v>
      </c>
      <c r="P3956" s="956"/>
      <c r="Q3956" s="1821"/>
      <c r="R3956" s="1821"/>
      <c r="S3956" s="1821"/>
      <c r="T3956" s="1821"/>
      <c r="U3956" s="1821"/>
      <c r="V3956" s="1821"/>
      <c r="W3956" s="1821"/>
      <c r="X3956" s="1821"/>
      <c r="Y3956" s="1821"/>
      <c r="Z3956" s="1821"/>
      <c r="AA3956" s="1821"/>
      <c r="AB3956" s="1821"/>
      <c r="AC3956" s="1821"/>
      <c r="AD3956" s="1821"/>
      <c r="AE3956" s="1821"/>
      <c r="AF3956" s="1821"/>
      <c r="AG3956" s="1821"/>
      <c r="AH3956" s="1821"/>
      <c r="AI3956" s="1821"/>
      <c r="AJ3956" s="1821"/>
      <c r="AK3956" s="1821"/>
      <c r="AL3956" s="1821"/>
      <c r="AM3956" s="1821"/>
      <c r="AN3956" s="1821"/>
      <c r="AO3956" s="1821"/>
      <c r="AP3956" s="1821"/>
      <c r="AQ3956" s="1821"/>
      <c r="AR3956" s="1821"/>
      <c r="AS3956" s="1821"/>
      <c r="AT3956" s="1821"/>
      <c r="AU3956" s="1821"/>
      <c r="AV3956" s="1821"/>
      <c r="AW3956" s="1821"/>
      <c r="AX3956" s="1821"/>
      <c r="AY3956" s="1821"/>
      <c r="AZ3956" s="1821"/>
      <c r="BA3956" s="1821"/>
      <c r="BB3956" s="1821"/>
      <c r="BC3956" s="1821"/>
      <c r="BD3956" s="1821"/>
      <c r="BE3956" s="1821"/>
      <c r="BF3956" s="1821"/>
      <c r="BG3956" s="1821"/>
      <c r="BH3956" s="1821"/>
      <c r="BI3956" s="1821"/>
      <c r="BJ3956" s="1821"/>
      <c r="BK3956" s="1821"/>
      <c r="BL3956" s="1821"/>
      <c r="BM3956" s="1821"/>
      <c r="BN3956" s="1821"/>
      <c r="BO3956" s="1821"/>
      <c r="BP3956" s="1821"/>
      <c r="BQ3956" s="1821"/>
      <c r="BR3956" s="1821"/>
      <c r="BS3956" s="1821"/>
      <c r="BT3956" s="1821"/>
      <c r="BU3956" s="1821"/>
      <c r="BV3956" s="1821"/>
      <c r="BW3956" s="1821"/>
      <c r="BX3956" s="1821"/>
      <c r="BY3956" s="1821"/>
      <c r="BZ3956" s="1821"/>
      <c r="CA3956" s="1821"/>
      <c r="CB3956" s="1821"/>
      <c r="CC3956" s="1821"/>
      <c r="CD3956" s="1821"/>
      <c r="CE3956" s="1821"/>
      <c r="CF3956" s="1821"/>
      <c r="CG3956" s="1821"/>
      <c r="CH3956" s="1821"/>
      <c r="CI3956" s="1821"/>
      <c r="CJ3956" s="1821"/>
      <c r="CK3956" s="1821"/>
    </row>
    <row r="3957" spans="1:89" s="744" customFormat="1" ht="16.5" customHeight="1" x14ac:dyDescent="0.25">
      <c r="A3957" s="1033"/>
      <c r="B3957" s="709" t="s">
        <v>349</v>
      </c>
      <c r="C3957" s="827"/>
      <c r="D3957" s="961"/>
      <c r="E3957" s="758"/>
      <c r="F3957" s="714"/>
      <c r="G3957" s="714"/>
      <c r="H3957" s="700">
        <f t="shared" si="433"/>
        <v>0</v>
      </c>
      <c r="I3957" s="714"/>
      <c r="J3957" s="714">
        <f t="shared" si="437"/>
        <v>0</v>
      </c>
      <c r="K3957" s="700">
        <f t="shared" si="438"/>
        <v>0</v>
      </c>
      <c r="L3957" s="714"/>
      <c r="M3957" s="714"/>
      <c r="N3957" s="700">
        <f t="shared" si="434"/>
        <v>0</v>
      </c>
      <c r="O3957" s="974">
        <f t="shared" si="439"/>
        <v>0</v>
      </c>
      <c r="P3957" s="956"/>
      <c r="Q3957" s="1821"/>
      <c r="R3957" s="1821"/>
      <c r="S3957" s="1821"/>
      <c r="T3957" s="1821"/>
      <c r="U3957" s="1821"/>
      <c r="V3957" s="1821"/>
      <c r="W3957" s="1821"/>
      <c r="X3957" s="1821"/>
      <c r="Y3957" s="1821"/>
      <c r="Z3957" s="1821"/>
      <c r="AA3957" s="1821"/>
      <c r="AB3957" s="1821"/>
      <c r="AC3957" s="1821"/>
      <c r="AD3957" s="1821"/>
      <c r="AE3957" s="1821"/>
      <c r="AF3957" s="1821"/>
      <c r="AG3957" s="1821"/>
      <c r="AH3957" s="1821"/>
      <c r="AI3957" s="1821"/>
      <c r="AJ3957" s="1821"/>
      <c r="AK3957" s="1821"/>
      <c r="AL3957" s="1821"/>
      <c r="AM3957" s="1821"/>
      <c r="AN3957" s="1821"/>
      <c r="AO3957" s="1821"/>
      <c r="AP3957" s="1821"/>
      <c r="AQ3957" s="1821"/>
      <c r="AR3957" s="1821"/>
      <c r="AS3957" s="1821"/>
      <c r="AT3957" s="1821"/>
      <c r="AU3957" s="1821"/>
      <c r="AV3957" s="1821"/>
      <c r="AW3957" s="1821"/>
      <c r="AX3957" s="1821"/>
      <c r="AY3957" s="1821"/>
      <c r="AZ3957" s="1821"/>
      <c r="BA3957" s="1821"/>
      <c r="BB3957" s="1821"/>
      <c r="BC3957" s="1821"/>
      <c r="BD3957" s="1821"/>
      <c r="BE3957" s="1821"/>
      <c r="BF3957" s="1821"/>
      <c r="BG3957" s="1821"/>
      <c r="BH3957" s="1821"/>
      <c r="BI3957" s="1821"/>
      <c r="BJ3957" s="1821"/>
      <c r="BK3957" s="1821"/>
      <c r="BL3957" s="1821"/>
      <c r="BM3957" s="1821"/>
      <c r="BN3957" s="1821"/>
      <c r="BO3957" s="1821"/>
      <c r="BP3957" s="1821"/>
      <c r="BQ3957" s="1821"/>
      <c r="BR3957" s="1821"/>
      <c r="BS3957" s="1821"/>
      <c r="BT3957" s="1821"/>
      <c r="BU3957" s="1821"/>
      <c r="BV3957" s="1821"/>
      <c r="BW3957" s="1821"/>
      <c r="BX3957" s="1821"/>
      <c r="BY3957" s="1821"/>
      <c r="BZ3957" s="1821"/>
      <c r="CA3957" s="1821"/>
      <c r="CB3957" s="1821"/>
      <c r="CC3957" s="1821"/>
      <c r="CD3957" s="1821"/>
      <c r="CE3957" s="1821"/>
      <c r="CF3957" s="1821"/>
      <c r="CG3957" s="1821"/>
      <c r="CH3957" s="1821"/>
      <c r="CI3957" s="1821"/>
      <c r="CJ3957" s="1821"/>
      <c r="CK3957" s="1821"/>
    </row>
    <row r="3958" spans="1:89" s="744" customFormat="1" ht="16.5" customHeight="1" x14ac:dyDescent="0.25">
      <c r="A3958" s="1033"/>
      <c r="B3958" s="709" t="s">
        <v>350</v>
      </c>
      <c r="C3958" s="827">
        <v>10</v>
      </c>
      <c r="D3958" s="961" t="s">
        <v>51</v>
      </c>
      <c r="E3958" s="758">
        <v>4166</v>
      </c>
      <c r="F3958" s="714"/>
      <c r="G3958" s="714"/>
      <c r="H3958" s="700">
        <f t="shared" si="433"/>
        <v>0</v>
      </c>
      <c r="I3958" s="714"/>
      <c r="J3958" s="714">
        <f>E3958*C3958</f>
        <v>41660</v>
      </c>
      <c r="K3958" s="700">
        <f t="shared" si="438"/>
        <v>41660</v>
      </c>
      <c r="L3958" s="714"/>
      <c r="M3958" s="714"/>
      <c r="N3958" s="700">
        <f t="shared" si="434"/>
        <v>0</v>
      </c>
      <c r="O3958" s="974">
        <f t="shared" si="439"/>
        <v>41660</v>
      </c>
      <c r="P3958" s="956"/>
      <c r="Q3958" s="1821"/>
      <c r="R3958" s="1821"/>
      <c r="S3958" s="1821"/>
      <c r="T3958" s="1821"/>
      <c r="U3958" s="1821"/>
      <c r="V3958" s="1821"/>
      <c r="W3958" s="1821"/>
      <c r="X3958" s="1821"/>
      <c r="Y3958" s="1821"/>
      <c r="Z3958" s="1821"/>
      <c r="AA3958" s="1821"/>
      <c r="AB3958" s="1821"/>
      <c r="AC3958" s="1821"/>
      <c r="AD3958" s="1821"/>
      <c r="AE3958" s="1821"/>
      <c r="AF3958" s="1821"/>
      <c r="AG3958" s="1821"/>
      <c r="AH3958" s="1821"/>
      <c r="AI3958" s="1821"/>
      <c r="AJ3958" s="1821"/>
      <c r="AK3958" s="1821"/>
      <c r="AL3958" s="1821"/>
      <c r="AM3958" s="1821"/>
      <c r="AN3958" s="1821"/>
      <c r="AO3958" s="1821"/>
      <c r="AP3958" s="1821"/>
      <c r="AQ3958" s="1821"/>
      <c r="AR3958" s="1821"/>
      <c r="AS3958" s="1821"/>
      <c r="AT3958" s="1821"/>
      <c r="AU3958" s="1821"/>
      <c r="AV3958" s="1821"/>
      <c r="AW3958" s="1821"/>
      <c r="AX3958" s="1821"/>
      <c r="AY3958" s="1821"/>
      <c r="AZ3958" s="1821"/>
      <c r="BA3958" s="1821"/>
      <c r="BB3958" s="1821"/>
      <c r="BC3958" s="1821"/>
      <c r="BD3958" s="1821"/>
      <c r="BE3958" s="1821"/>
      <c r="BF3958" s="1821"/>
      <c r="BG3958" s="1821"/>
      <c r="BH3958" s="1821"/>
      <c r="BI3958" s="1821"/>
      <c r="BJ3958" s="1821"/>
      <c r="BK3958" s="1821"/>
      <c r="BL3958" s="1821"/>
      <c r="BM3958" s="1821"/>
      <c r="BN3958" s="1821"/>
      <c r="BO3958" s="1821"/>
      <c r="BP3958" s="1821"/>
      <c r="BQ3958" s="1821"/>
      <c r="BR3958" s="1821"/>
      <c r="BS3958" s="1821"/>
      <c r="BT3958" s="1821"/>
      <c r="BU3958" s="1821"/>
      <c r="BV3958" s="1821"/>
      <c r="BW3958" s="1821"/>
      <c r="BX3958" s="1821"/>
      <c r="BY3958" s="1821"/>
      <c r="BZ3958" s="1821"/>
      <c r="CA3958" s="1821"/>
      <c r="CB3958" s="1821"/>
      <c r="CC3958" s="1821"/>
      <c r="CD3958" s="1821"/>
      <c r="CE3958" s="1821"/>
      <c r="CF3958" s="1821"/>
      <c r="CG3958" s="1821"/>
      <c r="CH3958" s="1821"/>
      <c r="CI3958" s="1821"/>
      <c r="CJ3958" s="1821"/>
      <c r="CK3958" s="1821"/>
    </row>
    <row r="3959" spans="1:89" s="744" customFormat="1" ht="16.5" customHeight="1" x14ac:dyDescent="0.25">
      <c r="A3959" s="1033"/>
      <c r="B3959" s="709" t="s">
        <v>54</v>
      </c>
      <c r="C3959" s="827">
        <v>30</v>
      </c>
      <c r="D3959" s="961" t="s">
        <v>55</v>
      </c>
      <c r="E3959" s="758">
        <v>220.185</v>
      </c>
      <c r="F3959" s="714"/>
      <c r="G3959" s="714"/>
      <c r="H3959" s="700">
        <f t="shared" si="433"/>
        <v>0</v>
      </c>
      <c r="I3959" s="714"/>
      <c r="J3959" s="714">
        <f>E3959*C3959</f>
        <v>6605.55</v>
      </c>
      <c r="K3959" s="700">
        <f t="shared" si="438"/>
        <v>6605.55</v>
      </c>
      <c r="L3959" s="714"/>
      <c r="M3959" s="714"/>
      <c r="N3959" s="700">
        <f t="shared" si="434"/>
        <v>0</v>
      </c>
      <c r="O3959" s="974">
        <f t="shared" si="439"/>
        <v>6605.55</v>
      </c>
      <c r="P3959" s="956"/>
      <c r="Q3959" s="1821"/>
      <c r="R3959" s="1821"/>
      <c r="S3959" s="1821"/>
      <c r="T3959" s="1821"/>
      <c r="U3959" s="1821"/>
      <c r="V3959" s="1821"/>
      <c r="W3959" s="1821"/>
      <c r="X3959" s="1821"/>
      <c r="Y3959" s="1821"/>
      <c r="Z3959" s="1821"/>
      <c r="AA3959" s="1821"/>
      <c r="AB3959" s="1821"/>
      <c r="AC3959" s="1821"/>
      <c r="AD3959" s="1821"/>
      <c r="AE3959" s="1821"/>
      <c r="AF3959" s="1821"/>
      <c r="AG3959" s="1821"/>
      <c r="AH3959" s="1821"/>
      <c r="AI3959" s="1821"/>
      <c r="AJ3959" s="1821"/>
      <c r="AK3959" s="1821"/>
      <c r="AL3959" s="1821"/>
      <c r="AM3959" s="1821"/>
      <c r="AN3959" s="1821"/>
      <c r="AO3959" s="1821"/>
      <c r="AP3959" s="1821"/>
      <c r="AQ3959" s="1821"/>
      <c r="AR3959" s="1821"/>
      <c r="AS3959" s="1821"/>
      <c r="AT3959" s="1821"/>
      <c r="AU3959" s="1821"/>
      <c r="AV3959" s="1821"/>
      <c r="AW3959" s="1821"/>
      <c r="AX3959" s="1821"/>
      <c r="AY3959" s="1821"/>
      <c r="AZ3959" s="1821"/>
      <c r="BA3959" s="1821"/>
      <c r="BB3959" s="1821"/>
      <c r="BC3959" s="1821"/>
      <c r="BD3959" s="1821"/>
      <c r="BE3959" s="1821"/>
      <c r="BF3959" s="1821"/>
      <c r="BG3959" s="1821"/>
      <c r="BH3959" s="1821"/>
      <c r="BI3959" s="1821"/>
      <c r="BJ3959" s="1821"/>
      <c r="BK3959" s="1821"/>
      <c r="BL3959" s="1821"/>
      <c r="BM3959" s="1821"/>
      <c r="BN3959" s="1821"/>
      <c r="BO3959" s="1821"/>
      <c r="BP3959" s="1821"/>
      <c r="BQ3959" s="1821"/>
      <c r="BR3959" s="1821"/>
      <c r="BS3959" s="1821"/>
      <c r="BT3959" s="1821"/>
      <c r="BU3959" s="1821"/>
      <c r="BV3959" s="1821"/>
      <c r="BW3959" s="1821"/>
      <c r="BX3959" s="1821"/>
      <c r="BY3959" s="1821"/>
      <c r="BZ3959" s="1821"/>
      <c r="CA3959" s="1821"/>
      <c r="CB3959" s="1821"/>
      <c r="CC3959" s="1821"/>
      <c r="CD3959" s="1821"/>
      <c r="CE3959" s="1821"/>
      <c r="CF3959" s="1821"/>
      <c r="CG3959" s="1821"/>
      <c r="CH3959" s="1821"/>
      <c r="CI3959" s="1821"/>
      <c r="CJ3959" s="1821"/>
      <c r="CK3959" s="1821"/>
    </row>
    <row r="3960" spans="1:89" s="744" customFormat="1" ht="16.5" customHeight="1" x14ac:dyDescent="0.25">
      <c r="A3960" s="1033"/>
      <c r="B3960" s="709" t="s">
        <v>52</v>
      </c>
      <c r="C3960" s="827">
        <v>20</v>
      </c>
      <c r="D3960" s="961" t="s">
        <v>55</v>
      </c>
      <c r="E3960" s="758">
        <v>520</v>
      </c>
      <c r="F3960" s="714"/>
      <c r="G3960" s="714"/>
      <c r="H3960" s="700">
        <f t="shared" si="433"/>
        <v>0</v>
      </c>
      <c r="I3960" s="714"/>
      <c r="J3960" s="714">
        <f>E3960*C3960</f>
        <v>10400</v>
      </c>
      <c r="K3960" s="700">
        <f t="shared" si="438"/>
        <v>10400</v>
      </c>
      <c r="L3960" s="714"/>
      <c r="M3960" s="714"/>
      <c r="N3960" s="700">
        <f t="shared" si="434"/>
        <v>0</v>
      </c>
      <c r="O3960" s="974">
        <f t="shared" si="439"/>
        <v>10400</v>
      </c>
      <c r="P3960" s="956"/>
      <c r="Q3960" s="1821"/>
      <c r="R3960" s="1821"/>
      <c r="S3960" s="1821"/>
      <c r="T3960" s="1821"/>
      <c r="U3960" s="1821"/>
      <c r="V3960" s="1821"/>
      <c r="W3960" s="1821"/>
      <c r="X3960" s="1821"/>
      <c r="Y3960" s="1821"/>
      <c r="Z3960" s="1821"/>
      <c r="AA3960" s="1821"/>
      <c r="AB3960" s="1821"/>
      <c r="AC3960" s="1821"/>
      <c r="AD3960" s="1821"/>
      <c r="AE3960" s="1821"/>
      <c r="AF3960" s="1821"/>
      <c r="AG3960" s="1821"/>
      <c r="AH3960" s="1821"/>
      <c r="AI3960" s="1821"/>
      <c r="AJ3960" s="1821"/>
      <c r="AK3960" s="1821"/>
      <c r="AL3960" s="1821"/>
      <c r="AM3960" s="1821"/>
      <c r="AN3960" s="1821"/>
      <c r="AO3960" s="1821"/>
      <c r="AP3960" s="1821"/>
      <c r="AQ3960" s="1821"/>
      <c r="AR3960" s="1821"/>
      <c r="AS3960" s="1821"/>
      <c r="AT3960" s="1821"/>
      <c r="AU3960" s="1821"/>
      <c r="AV3960" s="1821"/>
      <c r="AW3960" s="1821"/>
      <c r="AX3960" s="1821"/>
      <c r="AY3960" s="1821"/>
      <c r="AZ3960" s="1821"/>
      <c r="BA3960" s="1821"/>
      <c r="BB3960" s="1821"/>
      <c r="BC3960" s="1821"/>
      <c r="BD3960" s="1821"/>
      <c r="BE3960" s="1821"/>
      <c r="BF3960" s="1821"/>
      <c r="BG3960" s="1821"/>
      <c r="BH3960" s="1821"/>
      <c r="BI3960" s="1821"/>
      <c r="BJ3960" s="1821"/>
      <c r="BK3960" s="1821"/>
      <c r="BL3960" s="1821"/>
      <c r="BM3960" s="1821"/>
      <c r="BN3960" s="1821"/>
      <c r="BO3960" s="1821"/>
      <c r="BP3960" s="1821"/>
      <c r="BQ3960" s="1821"/>
      <c r="BR3960" s="1821"/>
      <c r="BS3960" s="1821"/>
      <c r="BT3960" s="1821"/>
      <c r="BU3960" s="1821"/>
      <c r="BV3960" s="1821"/>
      <c r="BW3960" s="1821"/>
      <c r="BX3960" s="1821"/>
      <c r="BY3960" s="1821"/>
      <c r="BZ3960" s="1821"/>
      <c r="CA3960" s="1821"/>
      <c r="CB3960" s="1821"/>
      <c r="CC3960" s="1821"/>
      <c r="CD3960" s="1821"/>
      <c r="CE3960" s="1821"/>
      <c r="CF3960" s="1821"/>
      <c r="CG3960" s="1821"/>
      <c r="CH3960" s="1821"/>
      <c r="CI3960" s="1821"/>
      <c r="CJ3960" s="1821"/>
      <c r="CK3960" s="1821"/>
    </row>
    <row r="3961" spans="1:89" s="744" customFormat="1" ht="16.5" customHeight="1" x14ac:dyDescent="0.25">
      <c r="A3961" s="1033"/>
      <c r="B3961" s="709"/>
      <c r="C3961" s="827"/>
      <c r="D3961" s="961"/>
      <c r="E3961" s="758"/>
      <c r="F3961" s="714"/>
      <c r="G3961" s="714"/>
      <c r="H3961" s="700">
        <f t="shared" si="433"/>
        <v>0</v>
      </c>
      <c r="I3961" s="714"/>
      <c r="J3961" s="714">
        <f>C3961*E3961</f>
        <v>0</v>
      </c>
      <c r="K3961" s="700">
        <f t="shared" si="438"/>
        <v>0</v>
      </c>
      <c r="L3961" s="714"/>
      <c r="M3961" s="714"/>
      <c r="N3961" s="700">
        <f t="shared" si="434"/>
        <v>0</v>
      </c>
      <c r="O3961" s="974">
        <f t="shared" si="439"/>
        <v>0</v>
      </c>
      <c r="P3961" s="956"/>
      <c r="Q3961" s="1821"/>
      <c r="R3961" s="1821"/>
      <c r="S3961" s="1821"/>
      <c r="T3961" s="1821"/>
      <c r="U3961" s="1821"/>
      <c r="V3961" s="1821"/>
      <c r="W3961" s="1821"/>
      <c r="X3961" s="1821"/>
      <c r="Y3961" s="1821"/>
      <c r="Z3961" s="1821"/>
      <c r="AA3961" s="1821"/>
      <c r="AB3961" s="1821"/>
      <c r="AC3961" s="1821"/>
      <c r="AD3961" s="1821"/>
      <c r="AE3961" s="1821"/>
      <c r="AF3961" s="1821"/>
      <c r="AG3961" s="1821"/>
      <c r="AH3961" s="1821"/>
      <c r="AI3961" s="1821"/>
      <c r="AJ3961" s="1821"/>
      <c r="AK3961" s="1821"/>
      <c r="AL3961" s="1821"/>
      <c r="AM3961" s="1821"/>
      <c r="AN3961" s="1821"/>
      <c r="AO3961" s="1821"/>
      <c r="AP3961" s="1821"/>
      <c r="AQ3961" s="1821"/>
      <c r="AR3961" s="1821"/>
      <c r="AS3961" s="1821"/>
      <c r="AT3961" s="1821"/>
      <c r="AU3961" s="1821"/>
      <c r="AV3961" s="1821"/>
      <c r="AW3961" s="1821"/>
      <c r="AX3961" s="1821"/>
      <c r="AY3961" s="1821"/>
      <c r="AZ3961" s="1821"/>
      <c r="BA3961" s="1821"/>
      <c r="BB3961" s="1821"/>
      <c r="BC3961" s="1821"/>
      <c r="BD3961" s="1821"/>
      <c r="BE3961" s="1821"/>
      <c r="BF3961" s="1821"/>
      <c r="BG3961" s="1821"/>
      <c r="BH3961" s="1821"/>
      <c r="BI3961" s="1821"/>
      <c r="BJ3961" s="1821"/>
      <c r="BK3961" s="1821"/>
      <c r="BL3961" s="1821"/>
      <c r="BM3961" s="1821"/>
      <c r="BN3961" s="1821"/>
      <c r="BO3961" s="1821"/>
      <c r="BP3961" s="1821"/>
      <c r="BQ3961" s="1821"/>
      <c r="BR3961" s="1821"/>
      <c r="BS3961" s="1821"/>
      <c r="BT3961" s="1821"/>
      <c r="BU3961" s="1821"/>
      <c r="BV3961" s="1821"/>
      <c r="BW3961" s="1821"/>
      <c r="BX3961" s="1821"/>
      <c r="BY3961" s="1821"/>
      <c r="BZ3961" s="1821"/>
      <c r="CA3961" s="1821"/>
      <c r="CB3961" s="1821"/>
      <c r="CC3961" s="1821"/>
      <c r="CD3961" s="1821"/>
      <c r="CE3961" s="1821"/>
      <c r="CF3961" s="1821"/>
      <c r="CG3961" s="1821"/>
      <c r="CH3961" s="1821"/>
      <c r="CI3961" s="1821"/>
      <c r="CJ3961" s="1821"/>
      <c r="CK3961" s="1821"/>
    </row>
    <row r="3962" spans="1:89" s="744" customFormat="1" ht="16.5" customHeight="1" x14ac:dyDescent="0.25">
      <c r="A3962" s="1033">
        <v>13</v>
      </c>
      <c r="B3962" s="709" t="s">
        <v>451</v>
      </c>
      <c r="C3962" s="827"/>
      <c r="D3962" s="961"/>
      <c r="E3962" s="758"/>
      <c r="F3962" s="714"/>
      <c r="G3962" s="714"/>
      <c r="H3962" s="700"/>
      <c r="I3962" s="714"/>
      <c r="J3962" s="714"/>
      <c r="K3962" s="700"/>
      <c r="L3962" s="714"/>
      <c r="M3962" s="714"/>
      <c r="N3962" s="700"/>
      <c r="O3962" s="974"/>
      <c r="P3962" s="956"/>
      <c r="Q3962" s="1821"/>
      <c r="R3962" s="1821"/>
      <c r="S3962" s="1821"/>
      <c r="T3962" s="1821"/>
      <c r="U3962" s="1821"/>
      <c r="V3962" s="1821"/>
      <c r="W3962" s="1821"/>
      <c r="X3962" s="1821"/>
      <c r="Y3962" s="1821"/>
      <c r="Z3962" s="1821"/>
      <c r="AA3962" s="1821"/>
      <c r="AB3962" s="1821"/>
      <c r="AC3962" s="1821"/>
      <c r="AD3962" s="1821"/>
      <c r="AE3962" s="1821"/>
      <c r="AF3962" s="1821"/>
      <c r="AG3962" s="1821"/>
      <c r="AH3962" s="1821"/>
      <c r="AI3962" s="1821"/>
      <c r="AJ3962" s="1821"/>
      <c r="AK3962" s="1821"/>
      <c r="AL3962" s="1821"/>
      <c r="AM3962" s="1821"/>
      <c r="AN3962" s="1821"/>
      <c r="AO3962" s="1821"/>
      <c r="AP3962" s="1821"/>
      <c r="AQ3962" s="1821"/>
      <c r="AR3962" s="1821"/>
      <c r="AS3962" s="1821"/>
      <c r="AT3962" s="1821"/>
      <c r="AU3962" s="1821"/>
      <c r="AV3962" s="1821"/>
      <c r="AW3962" s="1821"/>
      <c r="AX3962" s="1821"/>
      <c r="AY3962" s="1821"/>
      <c r="AZ3962" s="1821"/>
      <c r="BA3962" s="1821"/>
      <c r="BB3962" s="1821"/>
      <c r="BC3962" s="1821"/>
      <c r="BD3962" s="1821"/>
      <c r="BE3962" s="1821"/>
      <c r="BF3962" s="1821"/>
      <c r="BG3962" s="1821"/>
      <c r="BH3962" s="1821"/>
      <c r="BI3962" s="1821"/>
      <c r="BJ3962" s="1821"/>
      <c r="BK3962" s="1821"/>
      <c r="BL3962" s="1821"/>
      <c r="BM3962" s="1821"/>
      <c r="BN3962" s="1821"/>
      <c r="BO3962" s="1821"/>
      <c r="BP3962" s="1821"/>
      <c r="BQ3962" s="1821"/>
      <c r="BR3962" s="1821"/>
      <c r="BS3962" s="1821"/>
      <c r="BT3962" s="1821"/>
      <c r="BU3962" s="1821"/>
      <c r="BV3962" s="1821"/>
      <c r="BW3962" s="1821"/>
      <c r="BX3962" s="1821"/>
      <c r="BY3962" s="1821"/>
      <c r="BZ3962" s="1821"/>
      <c r="CA3962" s="1821"/>
      <c r="CB3962" s="1821"/>
      <c r="CC3962" s="1821"/>
      <c r="CD3962" s="1821"/>
      <c r="CE3962" s="1821"/>
      <c r="CF3962" s="1821"/>
      <c r="CG3962" s="1821"/>
      <c r="CH3962" s="1821"/>
      <c r="CI3962" s="1821"/>
      <c r="CJ3962" s="1821"/>
      <c r="CK3962" s="1821"/>
    </row>
    <row r="3963" spans="1:89" s="744" customFormat="1" ht="16.5" customHeight="1" x14ac:dyDescent="0.25">
      <c r="A3963" s="1033"/>
      <c r="B3963" s="709" t="s">
        <v>349</v>
      </c>
      <c r="C3963" s="827">
        <f>SUM(O3964:O3966)</f>
        <v>545739.68999999994</v>
      </c>
      <c r="D3963" s="961"/>
      <c r="E3963" s="758"/>
      <c r="F3963" s="714"/>
      <c r="G3963" s="714"/>
      <c r="H3963" s="700">
        <f t="shared" si="433"/>
        <v>0</v>
      </c>
      <c r="I3963" s="714"/>
      <c r="J3963" s="714">
        <f>C3963*E3963</f>
        <v>0</v>
      </c>
      <c r="K3963" s="700">
        <f t="shared" si="438"/>
        <v>0</v>
      </c>
      <c r="L3963" s="714"/>
      <c r="M3963" s="714"/>
      <c r="N3963" s="700">
        <f t="shared" si="434"/>
        <v>0</v>
      </c>
      <c r="O3963" s="974">
        <f t="shared" si="439"/>
        <v>0</v>
      </c>
      <c r="P3963" s="956"/>
      <c r="Q3963" s="1821"/>
      <c r="R3963" s="1821"/>
      <c r="S3963" s="1821"/>
      <c r="T3963" s="1821"/>
      <c r="U3963" s="1821"/>
      <c r="V3963" s="1821"/>
      <c r="W3963" s="1821"/>
      <c r="X3963" s="1821"/>
      <c r="Y3963" s="1821"/>
      <c r="Z3963" s="1821"/>
      <c r="AA3963" s="1821"/>
      <c r="AB3963" s="1821"/>
      <c r="AC3963" s="1821"/>
      <c r="AD3963" s="1821"/>
      <c r="AE3963" s="1821"/>
      <c r="AF3963" s="1821"/>
      <c r="AG3963" s="1821"/>
      <c r="AH3963" s="1821"/>
      <c r="AI3963" s="1821"/>
      <c r="AJ3963" s="1821"/>
      <c r="AK3963" s="1821"/>
      <c r="AL3963" s="1821"/>
      <c r="AM3963" s="1821"/>
      <c r="AN3963" s="1821"/>
      <c r="AO3963" s="1821"/>
      <c r="AP3963" s="1821"/>
      <c r="AQ3963" s="1821"/>
      <c r="AR3963" s="1821"/>
      <c r="AS3963" s="1821"/>
      <c r="AT3963" s="1821"/>
      <c r="AU3963" s="1821"/>
      <c r="AV3963" s="1821"/>
      <c r="AW3963" s="1821"/>
      <c r="AX3963" s="1821"/>
      <c r="AY3963" s="1821"/>
      <c r="AZ3963" s="1821"/>
      <c r="BA3963" s="1821"/>
      <c r="BB3963" s="1821"/>
      <c r="BC3963" s="1821"/>
      <c r="BD3963" s="1821"/>
      <c r="BE3963" s="1821"/>
      <c r="BF3963" s="1821"/>
      <c r="BG3963" s="1821"/>
      <c r="BH3963" s="1821"/>
      <c r="BI3963" s="1821"/>
      <c r="BJ3963" s="1821"/>
      <c r="BK3963" s="1821"/>
      <c r="BL3963" s="1821"/>
      <c r="BM3963" s="1821"/>
      <c r="BN3963" s="1821"/>
      <c r="BO3963" s="1821"/>
      <c r="BP3963" s="1821"/>
      <c r="BQ3963" s="1821"/>
      <c r="BR3963" s="1821"/>
      <c r="BS3963" s="1821"/>
      <c r="BT3963" s="1821"/>
      <c r="BU3963" s="1821"/>
      <c r="BV3963" s="1821"/>
      <c r="BW3963" s="1821"/>
      <c r="BX3963" s="1821"/>
      <c r="BY3963" s="1821"/>
      <c r="BZ3963" s="1821"/>
      <c r="CA3963" s="1821"/>
      <c r="CB3963" s="1821"/>
      <c r="CC3963" s="1821"/>
      <c r="CD3963" s="1821"/>
      <c r="CE3963" s="1821"/>
      <c r="CF3963" s="1821"/>
      <c r="CG3963" s="1821"/>
      <c r="CH3963" s="1821"/>
      <c r="CI3963" s="1821"/>
      <c r="CJ3963" s="1821"/>
      <c r="CK3963" s="1821"/>
    </row>
    <row r="3964" spans="1:89" s="744" customFormat="1" ht="16.5" customHeight="1" x14ac:dyDescent="0.25">
      <c r="A3964" s="1033"/>
      <c r="B3964" s="709" t="s">
        <v>350</v>
      </c>
      <c r="C3964" s="827">
        <v>90</v>
      </c>
      <c r="D3964" s="961" t="s">
        <v>51</v>
      </c>
      <c r="E3964" s="758">
        <v>4392.777</v>
      </c>
      <c r="F3964" s="714"/>
      <c r="G3964" s="714"/>
      <c r="H3964" s="700">
        <f t="shared" si="433"/>
        <v>0</v>
      </c>
      <c r="I3964" s="714"/>
      <c r="J3964" s="714">
        <f>E3964*C3964</f>
        <v>395349.93</v>
      </c>
      <c r="K3964" s="700">
        <f t="shared" si="438"/>
        <v>395349.93</v>
      </c>
      <c r="L3964" s="714"/>
      <c r="M3964" s="714"/>
      <c r="N3964" s="700">
        <f t="shared" si="434"/>
        <v>0</v>
      </c>
      <c r="O3964" s="974">
        <f t="shared" si="439"/>
        <v>395349.93</v>
      </c>
      <c r="P3964" s="956"/>
      <c r="Q3964" s="1821"/>
      <c r="R3964" s="1821"/>
      <c r="S3964" s="1821"/>
      <c r="T3964" s="1821"/>
      <c r="U3964" s="1821"/>
      <c r="V3964" s="1821"/>
      <c r="W3964" s="1821"/>
      <c r="X3964" s="1821"/>
      <c r="Y3964" s="1821"/>
      <c r="Z3964" s="1821"/>
      <c r="AA3964" s="1821"/>
      <c r="AB3964" s="1821"/>
      <c r="AC3964" s="1821"/>
      <c r="AD3964" s="1821"/>
      <c r="AE3964" s="1821"/>
      <c r="AF3964" s="1821"/>
      <c r="AG3964" s="1821"/>
      <c r="AH3964" s="1821"/>
      <c r="AI3964" s="1821"/>
      <c r="AJ3964" s="1821"/>
      <c r="AK3964" s="1821"/>
      <c r="AL3964" s="1821"/>
      <c r="AM3964" s="1821"/>
      <c r="AN3964" s="1821"/>
      <c r="AO3964" s="1821"/>
      <c r="AP3964" s="1821"/>
      <c r="AQ3964" s="1821"/>
      <c r="AR3964" s="1821"/>
      <c r="AS3964" s="1821"/>
      <c r="AT3964" s="1821"/>
      <c r="AU3964" s="1821"/>
      <c r="AV3964" s="1821"/>
      <c r="AW3964" s="1821"/>
      <c r="AX3964" s="1821"/>
      <c r="AY3964" s="1821"/>
      <c r="AZ3964" s="1821"/>
      <c r="BA3964" s="1821"/>
      <c r="BB3964" s="1821"/>
      <c r="BC3964" s="1821"/>
      <c r="BD3964" s="1821"/>
      <c r="BE3964" s="1821"/>
      <c r="BF3964" s="1821"/>
      <c r="BG3964" s="1821"/>
      <c r="BH3964" s="1821"/>
      <c r="BI3964" s="1821"/>
      <c r="BJ3964" s="1821"/>
      <c r="BK3964" s="1821"/>
      <c r="BL3964" s="1821"/>
      <c r="BM3964" s="1821"/>
      <c r="BN3964" s="1821"/>
      <c r="BO3964" s="1821"/>
      <c r="BP3964" s="1821"/>
      <c r="BQ3964" s="1821"/>
      <c r="BR3964" s="1821"/>
      <c r="BS3964" s="1821"/>
      <c r="BT3964" s="1821"/>
      <c r="BU3964" s="1821"/>
      <c r="BV3964" s="1821"/>
      <c r="BW3964" s="1821"/>
      <c r="BX3964" s="1821"/>
      <c r="BY3964" s="1821"/>
      <c r="BZ3964" s="1821"/>
      <c r="CA3964" s="1821"/>
      <c r="CB3964" s="1821"/>
      <c r="CC3964" s="1821"/>
      <c r="CD3964" s="1821"/>
      <c r="CE3964" s="1821"/>
      <c r="CF3964" s="1821"/>
      <c r="CG3964" s="1821"/>
      <c r="CH3964" s="1821"/>
      <c r="CI3964" s="1821"/>
      <c r="CJ3964" s="1821"/>
      <c r="CK3964" s="1821"/>
    </row>
    <row r="3965" spans="1:89" s="744" customFormat="1" ht="16.5" customHeight="1" x14ac:dyDescent="0.25">
      <c r="A3965" s="1033"/>
      <c r="B3965" s="709" t="s">
        <v>54</v>
      </c>
      <c r="C3965" s="827">
        <v>270</v>
      </c>
      <c r="D3965" s="961" t="s">
        <v>55</v>
      </c>
      <c r="E3965" s="758">
        <v>319.44400000000002</v>
      </c>
      <c r="F3965" s="714"/>
      <c r="G3965" s="714"/>
      <c r="H3965" s="700">
        <f t="shared" si="433"/>
        <v>0</v>
      </c>
      <c r="I3965" s="714"/>
      <c r="J3965" s="714">
        <f>E3965*C3965</f>
        <v>86249.88</v>
      </c>
      <c r="K3965" s="700">
        <f t="shared" si="438"/>
        <v>86249.88</v>
      </c>
      <c r="L3965" s="714"/>
      <c r="M3965" s="714"/>
      <c r="N3965" s="700">
        <f t="shared" si="434"/>
        <v>0</v>
      </c>
      <c r="O3965" s="974">
        <f t="shared" si="439"/>
        <v>86249.88</v>
      </c>
      <c r="P3965" s="956"/>
      <c r="Q3965" s="1821"/>
      <c r="R3965" s="1821"/>
      <c r="S3965" s="1821"/>
      <c r="T3965" s="1821"/>
      <c r="U3965" s="1821"/>
      <c r="V3965" s="1821"/>
      <c r="W3965" s="1821"/>
      <c r="X3965" s="1821"/>
      <c r="Y3965" s="1821"/>
      <c r="Z3965" s="1821"/>
      <c r="AA3965" s="1821"/>
      <c r="AB3965" s="1821"/>
      <c r="AC3965" s="1821"/>
      <c r="AD3965" s="1821"/>
      <c r="AE3965" s="1821"/>
      <c r="AF3965" s="1821"/>
      <c r="AG3965" s="1821"/>
      <c r="AH3965" s="1821"/>
      <c r="AI3965" s="1821"/>
      <c r="AJ3965" s="1821"/>
      <c r="AK3965" s="1821"/>
      <c r="AL3965" s="1821"/>
      <c r="AM3965" s="1821"/>
      <c r="AN3965" s="1821"/>
      <c r="AO3965" s="1821"/>
      <c r="AP3965" s="1821"/>
      <c r="AQ3965" s="1821"/>
      <c r="AR3965" s="1821"/>
      <c r="AS3965" s="1821"/>
      <c r="AT3965" s="1821"/>
      <c r="AU3965" s="1821"/>
      <c r="AV3965" s="1821"/>
      <c r="AW3965" s="1821"/>
      <c r="AX3965" s="1821"/>
      <c r="AY3965" s="1821"/>
      <c r="AZ3965" s="1821"/>
      <c r="BA3965" s="1821"/>
      <c r="BB3965" s="1821"/>
      <c r="BC3965" s="1821"/>
      <c r="BD3965" s="1821"/>
      <c r="BE3965" s="1821"/>
      <c r="BF3965" s="1821"/>
      <c r="BG3965" s="1821"/>
      <c r="BH3965" s="1821"/>
      <c r="BI3965" s="1821"/>
      <c r="BJ3965" s="1821"/>
      <c r="BK3965" s="1821"/>
      <c r="BL3965" s="1821"/>
      <c r="BM3965" s="1821"/>
      <c r="BN3965" s="1821"/>
      <c r="BO3965" s="1821"/>
      <c r="BP3965" s="1821"/>
      <c r="BQ3965" s="1821"/>
      <c r="BR3965" s="1821"/>
      <c r="BS3965" s="1821"/>
      <c r="BT3965" s="1821"/>
      <c r="BU3965" s="1821"/>
      <c r="BV3965" s="1821"/>
      <c r="BW3965" s="1821"/>
      <c r="BX3965" s="1821"/>
      <c r="BY3965" s="1821"/>
      <c r="BZ3965" s="1821"/>
      <c r="CA3965" s="1821"/>
      <c r="CB3965" s="1821"/>
      <c r="CC3965" s="1821"/>
      <c r="CD3965" s="1821"/>
      <c r="CE3965" s="1821"/>
      <c r="CF3965" s="1821"/>
      <c r="CG3965" s="1821"/>
      <c r="CH3965" s="1821"/>
      <c r="CI3965" s="1821"/>
      <c r="CJ3965" s="1821"/>
      <c r="CK3965" s="1821"/>
    </row>
    <row r="3966" spans="1:89" s="744" customFormat="1" ht="16.5" customHeight="1" x14ac:dyDescent="0.25">
      <c r="A3966" s="1033"/>
      <c r="B3966" s="709" t="s">
        <v>52</v>
      </c>
      <c r="C3966" s="827">
        <v>140</v>
      </c>
      <c r="D3966" s="961" t="s">
        <v>55</v>
      </c>
      <c r="E3966" s="758">
        <v>458.142</v>
      </c>
      <c r="F3966" s="714"/>
      <c r="G3966" s="714"/>
      <c r="H3966" s="700">
        <f t="shared" si="433"/>
        <v>0</v>
      </c>
      <c r="I3966" s="714"/>
      <c r="J3966" s="714">
        <f>E3966*C3966</f>
        <v>64139.88</v>
      </c>
      <c r="K3966" s="700">
        <f t="shared" si="438"/>
        <v>64139.88</v>
      </c>
      <c r="L3966" s="714"/>
      <c r="M3966" s="714"/>
      <c r="N3966" s="700">
        <f t="shared" si="434"/>
        <v>0</v>
      </c>
      <c r="O3966" s="974">
        <f t="shared" si="439"/>
        <v>64139.88</v>
      </c>
      <c r="P3966" s="956"/>
      <c r="Q3966" s="1821"/>
      <c r="R3966" s="1821"/>
      <c r="S3966" s="1821"/>
      <c r="T3966" s="1821"/>
      <c r="U3966" s="1821"/>
      <c r="V3966" s="1821"/>
      <c r="W3966" s="1821"/>
      <c r="X3966" s="1821"/>
      <c r="Y3966" s="1821"/>
      <c r="Z3966" s="1821"/>
      <c r="AA3966" s="1821"/>
      <c r="AB3966" s="1821"/>
      <c r="AC3966" s="1821"/>
      <c r="AD3966" s="1821"/>
      <c r="AE3966" s="1821"/>
      <c r="AF3966" s="1821"/>
      <c r="AG3966" s="1821"/>
      <c r="AH3966" s="1821"/>
      <c r="AI3966" s="1821"/>
      <c r="AJ3966" s="1821"/>
      <c r="AK3966" s="1821"/>
      <c r="AL3966" s="1821"/>
      <c r="AM3966" s="1821"/>
      <c r="AN3966" s="1821"/>
      <c r="AO3966" s="1821"/>
      <c r="AP3966" s="1821"/>
      <c r="AQ3966" s="1821"/>
      <c r="AR3966" s="1821"/>
      <c r="AS3966" s="1821"/>
      <c r="AT3966" s="1821"/>
      <c r="AU3966" s="1821"/>
      <c r="AV3966" s="1821"/>
      <c r="AW3966" s="1821"/>
      <c r="AX3966" s="1821"/>
      <c r="AY3966" s="1821"/>
      <c r="AZ3966" s="1821"/>
      <c r="BA3966" s="1821"/>
      <c r="BB3966" s="1821"/>
      <c r="BC3966" s="1821"/>
      <c r="BD3966" s="1821"/>
      <c r="BE3966" s="1821"/>
      <c r="BF3966" s="1821"/>
      <c r="BG3966" s="1821"/>
      <c r="BH3966" s="1821"/>
      <c r="BI3966" s="1821"/>
      <c r="BJ3966" s="1821"/>
      <c r="BK3966" s="1821"/>
      <c r="BL3966" s="1821"/>
      <c r="BM3966" s="1821"/>
      <c r="BN3966" s="1821"/>
      <c r="BO3966" s="1821"/>
      <c r="BP3966" s="1821"/>
      <c r="BQ3966" s="1821"/>
      <c r="BR3966" s="1821"/>
      <c r="BS3966" s="1821"/>
      <c r="BT3966" s="1821"/>
      <c r="BU3966" s="1821"/>
      <c r="BV3966" s="1821"/>
      <c r="BW3966" s="1821"/>
      <c r="BX3966" s="1821"/>
      <c r="BY3966" s="1821"/>
      <c r="BZ3966" s="1821"/>
      <c r="CA3966" s="1821"/>
      <c r="CB3966" s="1821"/>
      <c r="CC3966" s="1821"/>
      <c r="CD3966" s="1821"/>
      <c r="CE3966" s="1821"/>
      <c r="CF3966" s="1821"/>
      <c r="CG3966" s="1821"/>
      <c r="CH3966" s="1821"/>
      <c r="CI3966" s="1821"/>
      <c r="CJ3966" s="1821"/>
      <c r="CK3966" s="1821"/>
    </row>
    <row r="3967" spans="1:89" s="744" customFormat="1" ht="16.5" customHeight="1" x14ac:dyDescent="0.25">
      <c r="A3967" s="1033"/>
      <c r="B3967" s="709"/>
      <c r="C3967" s="827"/>
      <c r="D3967" s="961"/>
      <c r="E3967" s="758"/>
      <c r="F3967" s="714"/>
      <c r="G3967" s="714"/>
      <c r="H3967" s="700"/>
      <c r="I3967" s="714"/>
      <c r="J3967" s="714"/>
      <c r="K3967" s="700"/>
      <c r="L3967" s="714"/>
      <c r="M3967" s="714"/>
      <c r="N3967" s="700"/>
      <c r="O3967" s="974"/>
      <c r="P3967" s="956"/>
      <c r="Q3967" s="1821"/>
      <c r="R3967" s="1821"/>
      <c r="S3967" s="1821"/>
      <c r="T3967" s="1821"/>
      <c r="U3967" s="1821"/>
      <c r="V3967" s="1821"/>
      <c r="W3967" s="1821"/>
      <c r="X3967" s="1821"/>
      <c r="Y3967" s="1821"/>
      <c r="Z3967" s="1821"/>
      <c r="AA3967" s="1821"/>
      <c r="AB3967" s="1821"/>
      <c r="AC3967" s="1821"/>
      <c r="AD3967" s="1821"/>
      <c r="AE3967" s="1821"/>
      <c r="AF3967" s="1821"/>
      <c r="AG3967" s="1821"/>
      <c r="AH3967" s="1821"/>
      <c r="AI3967" s="1821"/>
      <c r="AJ3967" s="1821"/>
      <c r="AK3967" s="1821"/>
      <c r="AL3967" s="1821"/>
      <c r="AM3967" s="1821"/>
      <c r="AN3967" s="1821"/>
      <c r="AO3967" s="1821"/>
      <c r="AP3967" s="1821"/>
      <c r="AQ3967" s="1821"/>
      <c r="AR3967" s="1821"/>
      <c r="AS3967" s="1821"/>
      <c r="AT3967" s="1821"/>
      <c r="AU3967" s="1821"/>
      <c r="AV3967" s="1821"/>
      <c r="AW3967" s="1821"/>
      <c r="AX3967" s="1821"/>
      <c r="AY3967" s="1821"/>
      <c r="AZ3967" s="1821"/>
      <c r="BA3967" s="1821"/>
      <c r="BB3967" s="1821"/>
      <c r="BC3967" s="1821"/>
      <c r="BD3967" s="1821"/>
      <c r="BE3967" s="1821"/>
      <c r="BF3967" s="1821"/>
      <c r="BG3967" s="1821"/>
      <c r="BH3967" s="1821"/>
      <c r="BI3967" s="1821"/>
      <c r="BJ3967" s="1821"/>
      <c r="BK3967" s="1821"/>
      <c r="BL3967" s="1821"/>
      <c r="BM3967" s="1821"/>
      <c r="BN3967" s="1821"/>
      <c r="BO3967" s="1821"/>
      <c r="BP3967" s="1821"/>
      <c r="BQ3967" s="1821"/>
      <c r="BR3967" s="1821"/>
      <c r="BS3967" s="1821"/>
      <c r="BT3967" s="1821"/>
      <c r="BU3967" s="1821"/>
      <c r="BV3967" s="1821"/>
      <c r="BW3967" s="1821"/>
      <c r="BX3967" s="1821"/>
      <c r="BY3967" s="1821"/>
      <c r="BZ3967" s="1821"/>
      <c r="CA3967" s="1821"/>
      <c r="CB3967" s="1821"/>
      <c r="CC3967" s="1821"/>
      <c r="CD3967" s="1821"/>
      <c r="CE3967" s="1821"/>
      <c r="CF3967" s="1821"/>
      <c r="CG3967" s="1821"/>
      <c r="CH3967" s="1821"/>
      <c r="CI3967" s="1821"/>
      <c r="CJ3967" s="1821"/>
      <c r="CK3967" s="1821"/>
    </row>
    <row r="3968" spans="1:89" s="744" customFormat="1" ht="16.5" customHeight="1" x14ac:dyDescent="0.25">
      <c r="A3968" s="1033">
        <v>14</v>
      </c>
      <c r="B3968" s="709" t="s">
        <v>452</v>
      </c>
      <c r="C3968" s="827"/>
      <c r="D3968" s="961"/>
      <c r="E3968" s="758"/>
      <c r="F3968" s="714"/>
      <c r="G3968" s="714"/>
      <c r="H3968" s="700"/>
      <c r="I3968" s="714"/>
      <c r="J3968" s="714"/>
      <c r="K3968" s="700"/>
      <c r="L3968" s="714"/>
      <c r="M3968" s="714"/>
      <c r="N3968" s="700"/>
      <c r="O3968" s="974"/>
      <c r="P3968" s="956"/>
      <c r="Q3968" s="1821"/>
      <c r="R3968" s="1821"/>
      <c r="S3968" s="1821"/>
      <c r="T3968" s="1821"/>
      <c r="U3968" s="1821"/>
      <c r="V3968" s="1821"/>
      <c r="W3968" s="1821"/>
      <c r="X3968" s="1821"/>
      <c r="Y3968" s="1821"/>
      <c r="Z3968" s="1821"/>
      <c r="AA3968" s="1821"/>
      <c r="AB3968" s="1821"/>
      <c r="AC3968" s="1821"/>
      <c r="AD3968" s="1821"/>
      <c r="AE3968" s="1821"/>
      <c r="AF3968" s="1821"/>
      <c r="AG3968" s="1821"/>
      <c r="AH3968" s="1821"/>
      <c r="AI3968" s="1821"/>
      <c r="AJ3968" s="1821"/>
      <c r="AK3968" s="1821"/>
      <c r="AL3968" s="1821"/>
      <c r="AM3968" s="1821"/>
      <c r="AN3968" s="1821"/>
      <c r="AO3968" s="1821"/>
      <c r="AP3968" s="1821"/>
      <c r="AQ3968" s="1821"/>
      <c r="AR3968" s="1821"/>
      <c r="AS3968" s="1821"/>
      <c r="AT3968" s="1821"/>
      <c r="AU3968" s="1821"/>
      <c r="AV3968" s="1821"/>
      <c r="AW3968" s="1821"/>
      <c r="AX3968" s="1821"/>
      <c r="AY3968" s="1821"/>
      <c r="AZ3968" s="1821"/>
      <c r="BA3968" s="1821"/>
      <c r="BB3968" s="1821"/>
      <c r="BC3968" s="1821"/>
      <c r="BD3968" s="1821"/>
      <c r="BE3968" s="1821"/>
      <c r="BF3968" s="1821"/>
      <c r="BG3968" s="1821"/>
      <c r="BH3968" s="1821"/>
      <c r="BI3968" s="1821"/>
      <c r="BJ3968" s="1821"/>
      <c r="BK3968" s="1821"/>
      <c r="BL3968" s="1821"/>
      <c r="BM3968" s="1821"/>
      <c r="BN3968" s="1821"/>
      <c r="BO3968" s="1821"/>
      <c r="BP3968" s="1821"/>
      <c r="BQ3968" s="1821"/>
      <c r="BR3968" s="1821"/>
      <c r="BS3968" s="1821"/>
      <c r="BT3968" s="1821"/>
      <c r="BU3968" s="1821"/>
      <c r="BV3968" s="1821"/>
      <c r="BW3968" s="1821"/>
      <c r="BX3968" s="1821"/>
      <c r="BY3968" s="1821"/>
      <c r="BZ3968" s="1821"/>
      <c r="CA3968" s="1821"/>
      <c r="CB3968" s="1821"/>
      <c r="CC3968" s="1821"/>
      <c r="CD3968" s="1821"/>
      <c r="CE3968" s="1821"/>
      <c r="CF3968" s="1821"/>
      <c r="CG3968" s="1821"/>
      <c r="CH3968" s="1821"/>
      <c r="CI3968" s="1821"/>
      <c r="CJ3968" s="1821"/>
      <c r="CK3968" s="1821"/>
    </row>
    <row r="3969" spans="1:89" s="744" customFormat="1" ht="16.5" customHeight="1" x14ac:dyDescent="0.25">
      <c r="A3969" s="1033"/>
      <c r="B3969" s="709" t="s">
        <v>21</v>
      </c>
      <c r="C3969" s="827">
        <f>SUM(O3970:O3974)</f>
        <v>207614.995</v>
      </c>
      <c r="D3969" s="961"/>
      <c r="E3969" s="758"/>
      <c r="F3969" s="714"/>
      <c r="G3969" s="714"/>
      <c r="H3969" s="700">
        <f t="shared" si="433"/>
        <v>0</v>
      </c>
      <c r="I3969" s="714"/>
      <c r="J3969" s="714">
        <f>C3969*E3969</f>
        <v>0</v>
      </c>
      <c r="K3969" s="700">
        <f t="shared" si="438"/>
        <v>0</v>
      </c>
      <c r="L3969" s="714"/>
      <c r="M3969" s="714"/>
      <c r="N3969" s="700">
        <f t="shared" si="434"/>
        <v>0</v>
      </c>
      <c r="O3969" s="974">
        <f t="shared" si="439"/>
        <v>0</v>
      </c>
      <c r="P3969" s="956"/>
      <c r="Q3969" s="1821"/>
      <c r="R3969" s="1821"/>
      <c r="S3969" s="1821"/>
      <c r="T3969" s="1821"/>
      <c r="U3969" s="1821"/>
      <c r="V3969" s="1821"/>
      <c r="W3969" s="1821"/>
      <c r="X3969" s="1821"/>
      <c r="Y3969" s="1821"/>
      <c r="Z3969" s="1821"/>
      <c r="AA3969" s="1821"/>
      <c r="AB3969" s="1821"/>
      <c r="AC3969" s="1821"/>
      <c r="AD3969" s="1821"/>
      <c r="AE3969" s="1821"/>
      <c r="AF3969" s="1821"/>
      <c r="AG3969" s="1821"/>
      <c r="AH3969" s="1821"/>
      <c r="AI3969" s="1821"/>
      <c r="AJ3969" s="1821"/>
      <c r="AK3969" s="1821"/>
      <c r="AL3969" s="1821"/>
      <c r="AM3969" s="1821"/>
      <c r="AN3969" s="1821"/>
      <c r="AO3969" s="1821"/>
      <c r="AP3969" s="1821"/>
      <c r="AQ3969" s="1821"/>
      <c r="AR3969" s="1821"/>
      <c r="AS3969" s="1821"/>
      <c r="AT3969" s="1821"/>
      <c r="AU3969" s="1821"/>
      <c r="AV3969" s="1821"/>
      <c r="AW3969" s="1821"/>
      <c r="AX3969" s="1821"/>
      <c r="AY3969" s="1821"/>
      <c r="AZ3969" s="1821"/>
      <c r="BA3969" s="1821"/>
      <c r="BB3969" s="1821"/>
      <c r="BC3969" s="1821"/>
      <c r="BD3969" s="1821"/>
      <c r="BE3969" s="1821"/>
      <c r="BF3969" s="1821"/>
      <c r="BG3969" s="1821"/>
      <c r="BH3969" s="1821"/>
      <c r="BI3969" s="1821"/>
      <c r="BJ3969" s="1821"/>
      <c r="BK3969" s="1821"/>
      <c r="BL3969" s="1821"/>
      <c r="BM3969" s="1821"/>
      <c r="BN3969" s="1821"/>
      <c r="BO3969" s="1821"/>
      <c r="BP3969" s="1821"/>
      <c r="BQ3969" s="1821"/>
      <c r="BR3969" s="1821"/>
      <c r="BS3969" s="1821"/>
      <c r="BT3969" s="1821"/>
      <c r="BU3969" s="1821"/>
      <c r="BV3969" s="1821"/>
      <c r="BW3969" s="1821"/>
      <c r="BX3969" s="1821"/>
      <c r="BY3969" s="1821"/>
      <c r="BZ3969" s="1821"/>
      <c r="CA3969" s="1821"/>
      <c r="CB3969" s="1821"/>
      <c r="CC3969" s="1821"/>
      <c r="CD3969" s="1821"/>
      <c r="CE3969" s="1821"/>
      <c r="CF3969" s="1821"/>
      <c r="CG3969" s="1821"/>
      <c r="CH3969" s="1821"/>
      <c r="CI3969" s="1821"/>
      <c r="CJ3969" s="1821"/>
      <c r="CK3969" s="1821"/>
    </row>
    <row r="3970" spans="1:89" s="744" customFormat="1" ht="16.5" customHeight="1" x14ac:dyDescent="0.25">
      <c r="A3970" s="1033"/>
      <c r="B3970" s="709" t="s">
        <v>215</v>
      </c>
      <c r="C3970" s="827">
        <v>1</v>
      </c>
      <c r="D3970" s="961" t="s">
        <v>25</v>
      </c>
      <c r="E3970" s="758">
        <v>98515</v>
      </c>
      <c r="F3970" s="714"/>
      <c r="G3970" s="714"/>
      <c r="H3970" s="700">
        <f t="shared" si="433"/>
        <v>0</v>
      </c>
      <c r="I3970" s="714"/>
      <c r="J3970" s="714">
        <f>C3970*E3970</f>
        <v>98515</v>
      </c>
      <c r="K3970" s="700">
        <f t="shared" si="438"/>
        <v>98515</v>
      </c>
      <c r="L3970" s="714"/>
      <c r="M3970" s="714"/>
      <c r="N3970" s="700">
        <f t="shared" si="434"/>
        <v>0</v>
      </c>
      <c r="O3970" s="974">
        <f t="shared" si="439"/>
        <v>98515</v>
      </c>
      <c r="P3970" s="956"/>
      <c r="Q3970" s="1821"/>
      <c r="R3970" s="1821"/>
      <c r="S3970" s="1821"/>
      <c r="T3970" s="1821"/>
      <c r="U3970" s="1821"/>
      <c r="V3970" s="1821"/>
      <c r="W3970" s="1821"/>
      <c r="X3970" s="1821"/>
      <c r="Y3970" s="1821"/>
      <c r="Z3970" s="1821"/>
      <c r="AA3970" s="1821"/>
      <c r="AB3970" s="1821"/>
      <c r="AC3970" s="1821"/>
      <c r="AD3970" s="1821"/>
      <c r="AE3970" s="1821"/>
      <c r="AF3970" s="1821"/>
      <c r="AG3970" s="1821"/>
      <c r="AH3970" s="1821"/>
      <c r="AI3970" s="1821"/>
      <c r="AJ3970" s="1821"/>
      <c r="AK3970" s="1821"/>
      <c r="AL3970" s="1821"/>
      <c r="AM3970" s="1821"/>
      <c r="AN3970" s="1821"/>
      <c r="AO3970" s="1821"/>
      <c r="AP3970" s="1821"/>
      <c r="AQ3970" s="1821"/>
      <c r="AR3970" s="1821"/>
      <c r="AS3970" s="1821"/>
      <c r="AT3970" s="1821"/>
      <c r="AU3970" s="1821"/>
      <c r="AV3970" s="1821"/>
      <c r="AW3970" s="1821"/>
      <c r="AX3970" s="1821"/>
      <c r="AY3970" s="1821"/>
      <c r="AZ3970" s="1821"/>
      <c r="BA3970" s="1821"/>
      <c r="BB3970" s="1821"/>
      <c r="BC3970" s="1821"/>
      <c r="BD3970" s="1821"/>
      <c r="BE3970" s="1821"/>
      <c r="BF3970" s="1821"/>
      <c r="BG3970" s="1821"/>
      <c r="BH3970" s="1821"/>
      <c r="BI3970" s="1821"/>
      <c r="BJ3970" s="1821"/>
      <c r="BK3970" s="1821"/>
      <c r="BL3970" s="1821"/>
      <c r="BM3970" s="1821"/>
      <c r="BN3970" s="1821"/>
      <c r="BO3970" s="1821"/>
      <c r="BP3970" s="1821"/>
      <c r="BQ3970" s="1821"/>
      <c r="BR3970" s="1821"/>
      <c r="BS3970" s="1821"/>
      <c r="BT3970" s="1821"/>
      <c r="BU3970" s="1821"/>
      <c r="BV3970" s="1821"/>
      <c r="BW3970" s="1821"/>
      <c r="BX3970" s="1821"/>
      <c r="BY3970" s="1821"/>
      <c r="BZ3970" s="1821"/>
      <c r="CA3970" s="1821"/>
      <c r="CB3970" s="1821"/>
      <c r="CC3970" s="1821"/>
      <c r="CD3970" s="1821"/>
      <c r="CE3970" s="1821"/>
      <c r="CF3970" s="1821"/>
      <c r="CG3970" s="1821"/>
      <c r="CH3970" s="1821"/>
      <c r="CI3970" s="1821"/>
      <c r="CJ3970" s="1821"/>
      <c r="CK3970" s="1821"/>
    </row>
    <row r="3971" spans="1:89" s="744" customFormat="1" ht="16.5" customHeight="1" x14ac:dyDescent="0.25">
      <c r="A3971" s="1033"/>
      <c r="B3971" s="709" t="s">
        <v>349</v>
      </c>
      <c r="C3971" s="827"/>
      <c r="D3971" s="961"/>
      <c r="E3971" s="758"/>
      <c r="F3971" s="714"/>
      <c r="G3971" s="714"/>
      <c r="H3971" s="700">
        <f t="shared" si="433"/>
        <v>0</v>
      </c>
      <c r="I3971" s="714"/>
      <c r="J3971" s="714">
        <f>C3971*E3971</f>
        <v>0</v>
      </c>
      <c r="K3971" s="700">
        <f t="shared" si="438"/>
        <v>0</v>
      </c>
      <c r="L3971" s="714"/>
      <c r="M3971" s="714"/>
      <c r="N3971" s="700">
        <f t="shared" si="434"/>
        <v>0</v>
      </c>
      <c r="O3971" s="974">
        <f t="shared" si="439"/>
        <v>0</v>
      </c>
      <c r="P3971" s="956"/>
      <c r="Q3971" s="1821"/>
      <c r="R3971" s="1821"/>
      <c r="S3971" s="1821"/>
      <c r="T3971" s="1821"/>
      <c r="U3971" s="1821"/>
      <c r="V3971" s="1821"/>
      <c r="W3971" s="1821"/>
      <c r="X3971" s="1821"/>
      <c r="Y3971" s="1821"/>
      <c r="Z3971" s="1821"/>
      <c r="AA3971" s="1821"/>
      <c r="AB3971" s="1821"/>
      <c r="AC3971" s="1821"/>
      <c r="AD3971" s="1821"/>
      <c r="AE3971" s="1821"/>
      <c r="AF3971" s="1821"/>
      <c r="AG3971" s="1821"/>
      <c r="AH3971" s="1821"/>
      <c r="AI3971" s="1821"/>
      <c r="AJ3971" s="1821"/>
      <c r="AK3971" s="1821"/>
      <c r="AL3971" s="1821"/>
      <c r="AM3971" s="1821"/>
      <c r="AN3971" s="1821"/>
      <c r="AO3971" s="1821"/>
      <c r="AP3971" s="1821"/>
      <c r="AQ3971" s="1821"/>
      <c r="AR3971" s="1821"/>
      <c r="AS3971" s="1821"/>
      <c r="AT3971" s="1821"/>
      <c r="AU3971" s="1821"/>
      <c r="AV3971" s="1821"/>
      <c r="AW3971" s="1821"/>
      <c r="AX3971" s="1821"/>
      <c r="AY3971" s="1821"/>
      <c r="AZ3971" s="1821"/>
      <c r="BA3971" s="1821"/>
      <c r="BB3971" s="1821"/>
      <c r="BC3971" s="1821"/>
      <c r="BD3971" s="1821"/>
      <c r="BE3971" s="1821"/>
      <c r="BF3971" s="1821"/>
      <c r="BG3971" s="1821"/>
      <c r="BH3971" s="1821"/>
      <c r="BI3971" s="1821"/>
      <c r="BJ3971" s="1821"/>
      <c r="BK3971" s="1821"/>
      <c r="BL3971" s="1821"/>
      <c r="BM3971" s="1821"/>
      <c r="BN3971" s="1821"/>
      <c r="BO3971" s="1821"/>
      <c r="BP3971" s="1821"/>
      <c r="BQ3971" s="1821"/>
      <c r="BR3971" s="1821"/>
      <c r="BS3971" s="1821"/>
      <c r="BT3971" s="1821"/>
      <c r="BU3971" s="1821"/>
      <c r="BV3971" s="1821"/>
      <c r="BW3971" s="1821"/>
      <c r="BX3971" s="1821"/>
      <c r="BY3971" s="1821"/>
      <c r="BZ3971" s="1821"/>
      <c r="CA3971" s="1821"/>
      <c r="CB3971" s="1821"/>
      <c r="CC3971" s="1821"/>
      <c r="CD3971" s="1821"/>
      <c r="CE3971" s="1821"/>
      <c r="CF3971" s="1821"/>
      <c r="CG3971" s="1821"/>
      <c r="CH3971" s="1821"/>
      <c r="CI3971" s="1821"/>
      <c r="CJ3971" s="1821"/>
      <c r="CK3971" s="1821"/>
    </row>
    <row r="3972" spans="1:89" s="744" customFormat="1" ht="16.5" customHeight="1" x14ac:dyDescent="0.25">
      <c r="A3972" s="1033"/>
      <c r="B3972" s="709" t="s">
        <v>350</v>
      </c>
      <c r="C3972" s="827">
        <v>15</v>
      </c>
      <c r="D3972" s="961" t="s">
        <v>51</v>
      </c>
      <c r="E3972" s="758">
        <v>4203.3329999999996</v>
      </c>
      <c r="F3972" s="714"/>
      <c r="G3972" s="714"/>
      <c r="H3972" s="700">
        <f t="shared" ref="H3972:H3992" si="440">G3972+F3972</f>
        <v>0</v>
      </c>
      <c r="I3972" s="714"/>
      <c r="J3972" s="714">
        <f>E3972*C3972</f>
        <v>63049.994999999995</v>
      </c>
      <c r="K3972" s="700">
        <f t="shared" si="438"/>
        <v>63049.994999999995</v>
      </c>
      <c r="L3972" s="714"/>
      <c r="M3972" s="714"/>
      <c r="N3972" s="700">
        <f t="shared" ref="N3972:N3992" si="441">M3972+L3972</f>
        <v>0</v>
      </c>
      <c r="O3972" s="974">
        <f t="shared" si="439"/>
        <v>63049.994999999995</v>
      </c>
      <c r="P3972" s="956"/>
      <c r="Q3972" s="1821"/>
      <c r="R3972" s="1821"/>
      <c r="S3972" s="1821"/>
      <c r="T3972" s="1821"/>
      <c r="U3972" s="1821"/>
      <c r="V3972" s="1821"/>
      <c r="W3972" s="1821"/>
      <c r="X3972" s="1821"/>
      <c r="Y3972" s="1821"/>
      <c r="Z3972" s="1821"/>
      <c r="AA3972" s="1821"/>
      <c r="AB3972" s="1821"/>
      <c r="AC3972" s="1821"/>
      <c r="AD3972" s="1821"/>
      <c r="AE3972" s="1821"/>
      <c r="AF3972" s="1821"/>
      <c r="AG3972" s="1821"/>
      <c r="AH3972" s="1821"/>
      <c r="AI3972" s="1821"/>
      <c r="AJ3972" s="1821"/>
      <c r="AK3972" s="1821"/>
      <c r="AL3972" s="1821"/>
      <c r="AM3972" s="1821"/>
      <c r="AN3972" s="1821"/>
      <c r="AO3972" s="1821"/>
      <c r="AP3972" s="1821"/>
      <c r="AQ3972" s="1821"/>
      <c r="AR3972" s="1821"/>
      <c r="AS3972" s="1821"/>
      <c r="AT3972" s="1821"/>
      <c r="AU3972" s="1821"/>
      <c r="AV3972" s="1821"/>
      <c r="AW3972" s="1821"/>
      <c r="AX3972" s="1821"/>
      <c r="AY3972" s="1821"/>
      <c r="AZ3972" s="1821"/>
      <c r="BA3972" s="1821"/>
      <c r="BB3972" s="1821"/>
      <c r="BC3972" s="1821"/>
      <c r="BD3972" s="1821"/>
      <c r="BE3972" s="1821"/>
      <c r="BF3972" s="1821"/>
      <c r="BG3972" s="1821"/>
      <c r="BH3972" s="1821"/>
      <c r="BI3972" s="1821"/>
      <c r="BJ3972" s="1821"/>
      <c r="BK3972" s="1821"/>
      <c r="BL3972" s="1821"/>
      <c r="BM3972" s="1821"/>
      <c r="BN3972" s="1821"/>
      <c r="BO3972" s="1821"/>
      <c r="BP3972" s="1821"/>
      <c r="BQ3972" s="1821"/>
      <c r="BR3972" s="1821"/>
      <c r="BS3972" s="1821"/>
      <c r="BT3972" s="1821"/>
      <c r="BU3972" s="1821"/>
      <c r="BV3972" s="1821"/>
      <c r="BW3972" s="1821"/>
      <c r="BX3972" s="1821"/>
      <c r="BY3972" s="1821"/>
      <c r="BZ3972" s="1821"/>
      <c r="CA3972" s="1821"/>
      <c r="CB3972" s="1821"/>
      <c r="CC3972" s="1821"/>
      <c r="CD3972" s="1821"/>
      <c r="CE3972" s="1821"/>
      <c r="CF3972" s="1821"/>
      <c r="CG3972" s="1821"/>
      <c r="CH3972" s="1821"/>
      <c r="CI3972" s="1821"/>
      <c r="CJ3972" s="1821"/>
      <c r="CK3972" s="1821"/>
    </row>
    <row r="3973" spans="1:89" s="744" customFormat="1" ht="16.5" customHeight="1" x14ac:dyDescent="0.25">
      <c r="A3973" s="1033"/>
      <c r="B3973" s="709" t="s">
        <v>54</v>
      </c>
      <c r="C3973" s="827">
        <v>60</v>
      </c>
      <c r="D3973" s="961" t="s">
        <v>55</v>
      </c>
      <c r="E3973" s="758">
        <v>445</v>
      </c>
      <c r="F3973" s="714"/>
      <c r="G3973" s="714"/>
      <c r="H3973" s="700">
        <f t="shared" si="440"/>
        <v>0</v>
      </c>
      <c r="I3973" s="714"/>
      <c r="J3973" s="714">
        <f>E3973*C3973</f>
        <v>26700</v>
      </c>
      <c r="K3973" s="700">
        <f t="shared" si="438"/>
        <v>26700</v>
      </c>
      <c r="L3973" s="714"/>
      <c r="M3973" s="714"/>
      <c r="N3973" s="700">
        <f t="shared" si="441"/>
        <v>0</v>
      </c>
      <c r="O3973" s="974">
        <f t="shared" si="439"/>
        <v>26700</v>
      </c>
      <c r="P3973" s="956"/>
      <c r="Q3973" s="1821"/>
      <c r="R3973" s="1821"/>
      <c r="S3973" s="1821"/>
      <c r="T3973" s="1821"/>
      <c r="U3973" s="1821"/>
      <c r="V3973" s="1821"/>
      <c r="W3973" s="1821"/>
      <c r="X3973" s="1821"/>
      <c r="Y3973" s="1821"/>
      <c r="Z3973" s="1821"/>
      <c r="AA3973" s="1821"/>
      <c r="AB3973" s="1821"/>
      <c r="AC3973" s="1821"/>
      <c r="AD3973" s="1821"/>
      <c r="AE3973" s="1821"/>
      <c r="AF3973" s="1821"/>
      <c r="AG3973" s="1821"/>
      <c r="AH3973" s="1821"/>
      <c r="AI3973" s="1821"/>
      <c r="AJ3973" s="1821"/>
      <c r="AK3973" s="1821"/>
      <c r="AL3973" s="1821"/>
      <c r="AM3973" s="1821"/>
      <c r="AN3973" s="1821"/>
      <c r="AO3973" s="1821"/>
      <c r="AP3973" s="1821"/>
      <c r="AQ3973" s="1821"/>
      <c r="AR3973" s="1821"/>
      <c r="AS3973" s="1821"/>
      <c r="AT3973" s="1821"/>
      <c r="AU3973" s="1821"/>
      <c r="AV3973" s="1821"/>
      <c r="AW3973" s="1821"/>
      <c r="AX3973" s="1821"/>
      <c r="AY3973" s="1821"/>
      <c r="AZ3973" s="1821"/>
      <c r="BA3973" s="1821"/>
      <c r="BB3973" s="1821"/>
      <c r="BC3973" s="1821"/>
      <c r="BD3973" s="1821"/>
      <c r="BE3973" s="1821"/>
      <c r="BF3973" s="1821"/>
      <c r="BG3973" s="1821"/>
      <c r="BH3973" s="1821"/>
      <c r="BI3973" s="1821"/>
      <c r="BJ3973" s="1821"/>
      <c r="BK3973" s="1821"/>
      <c r="BL3973" s="1821"/>
      <c r="BM3973" s="1821"/>
      <c r="BN3973" s="1821"/>
      <c r="BO3973" s="1821"/>
      <c r="BP3973" s="1821"/>
      <c r="BQ3973" s="1821"/>
      <c r="BR3973" s="1821"/>
      <c r="BS3973" s="1821"/>
      <c r="BT3973" s="1821"/>
      <c r="BU3973" s="1821"/>
      <c r="BV3973" s="1821"/>
      <c r="BW3973" s="1821"/>
      <c r="BX3973" s="1821"/>
      <c r="BY3973" s="1821"/>
      <c r="BZ3973" s="1821"/>
      <c r="CA3973" s="1821"/>
      <c r="CB3973" s="1821"/>
      <c r="CC3973" s="1821"/>
      <c r="CD3973" s="1821"/>
      <c r="CE3973" s="1821"/>
      <c r="CF3973" s="1821"/>
      <c r="CG3973" s="1821"/>
      <c r="CH3973" s="1821"/>
      <c r="CI3973" s="1821"/>
      <c r="CJ3973" s="1821"/>
      <c r="CK3973" s="1821"/>
    </row>
    <row r="3974" spans="1:89" s="744" customFormat="1" ht="16.5" customHeight="1" x14ac:dyDescent="0.25">
      <c r="A3974" s="1033"/>
      <c r="B3974" s="709" t="s">
        <v>52</v>
      </c>
      <c r="C3974" s="827">
        <v>45</v>
      </c>
      <c r="D3974" s="961" t="s">
        <v>55</v>
      </c>
      <c r="E3974" s="758">
        <v>430</v>
      </c>
      <c r="F3974" s="714"/>
      <c r="G3974" s="714"/>
      <c r="H3974" s="700">
        <f t="shared" si="440"/>
        <v>0</v>
      </c>
      <c r="I3974" s="714"/>
      <c r="J3974" s="714">
        <f>E3974*C3974</f>
        <v>19350</v>
      </c>
      <c r="K3974" s="700">
        <f t="shared" si="438"/>
        <v>19350</v>
      </c>
      <c r="L3974" s="714"/>
      <c r="M3974" s="714"/>
      <c r="N3974" s="700">
        <f t="shared" si="441"/>
        <v>0</v>
      </c>
      <c r="O3974" s="974">
        <f t="shared" si="439"/>
        <v>19350</v>
      </c>
      <c r="P3974" s="956"/>
      <c r="Q3974" s="1821"/>
      <c r="R3974" s="1821"/>
      <c r="S3974" s="1821"/>
      <c r="T3974" s="1821"/>
      <c r="U3974" s="1821"/>
      <c r="V3974" s="1821"/>
      <c r="W3974" s="1821"/>
      <c r="X3974" s="1821"/>
      <c r="Y3974" s="1821"/>
      <c r="Z3974" s="1821"/>
      <c r="AA3974" s="1821"/>
      <c r="AB3974" s="1821"/>
      <c r="AC3974" s="1821"/>
      <c r="AD3974" s="1821"/>
      <c r="AE3974" s="1821"/>
      <c r="AF3974" s="1821"/>
      <c r="AG3974" s="1821"/>
      <c r="AH3974" s="1821"/>
      <c r="AI3974" s="1821"/>
      <c r="AJ3974" s="1821"/>
      <c r="AK3974" s="1821"/>
      <c r="AL3974" s="1821"/>
      <c r="AM3974" s="1821"/>
      <c r="AN3974" s="1821"/>
      <c r="AO3974" s="1821"/>
      <c r="AP3974" s="1821"/>
      <c r="AQ3974" s="1821"/>
      <c r="AR3974" s="1821"/>
      <c r="AS3974" s="1821"/>
      <c r="AT3974" s="1821"/>
      <c r="AU3974" s="1821"/>
      <c r="AV3974" s="1821"/>
      <c r="AW3974" s="1821"/>
      <c r="AX3974" s="1821"/>
      <c r="AY3974" s="1821"/>
      <c r="AZ3974" s="1821"/>
      <c r="BA3974" s="1821"/>
      <c r="BB3974" s="1821"/>
      <c r="BC3974" s="1821"/>
      <c r="BD3974" s="1821"/>
      <c r="BE3974" s="1821"/>
      <c r="BF3974" s="1821"/>
      <c r="BG3974" s="1821"/>
      <c r="BH3974" s="1821"/>
      <c r="BI3974" s="1821"/>
      <c r="BJ3974" s="1821"/>
      <c r="BK3974" s="1821"/>
      <c r="BL3974" s="1821"/>
      <c r="BM3974" s="1821"/>
      <c r="BN3974" s="1821"/>
      <c r="BO3974" s="1821"/>
      <c r="BP3974" s="1821"/>
      <c r="BQ3974" s="1821"/>
      <c r="BR3974" s="1821"/>
      <c r="BS3974" s="1821"/>
      <c r="BT3974" s="1821"/>
      <c r="BU3974" s="1821"/>
      <c r="BV3974" s="1821"/>
      <c r="BW3974" s="1821"/>
      <c r="BX3974" s="1821"/>
      <c r="BY3974" s="1821"/>
      <c r="BZ3974" s="1821"/>
      <c r="CA3974" s="1821"/>
      <c r="CB3974" s="1821"/>
      <c r="CC3974" s="1821"/>
      <c r="CD3974" s="1821"/>
      <c r="CE3974" s="1821"/>
      <c r="CF3974" s="1821"/>
      <c r="CG3974" s="1821"/>
      <c r="CH3974" s="1821"/>
      <c r="CI3974" s="1821"/>
      <c r="CJ3974" s="1821"/>
      <c r="CK3974" s="1821"/>
    </row>
    <row r="3975" spans="1:89" s="744" customFormat="1" ht="16.5" customHeight="1" x14ac:dyDescent="0.25">
      <c r="A3975" s="1033"/>
      <c r="B3975" s="709"/>
      <c r="C3975" s="827"/>
      <c r="D3975" s="961"/>
      <c r="E3975" s="758"/>
      <c r="F3975" s="714"/>
      <c r="G3975" s="714"/>
      <c r="H3975" s="700">
        <f t="shared" si="440"/>
        <v>0</v>
      </c>
      <c r="I3975" s="714"/>
      <c r="J3975" s="714">
        <f t="shared" ref="J3975:J3985" si="442">C3975*E3975</f>
        <v>0</v>
      </c>
      <c r="K3975" s="700">
        <f t="shared" si="438"/>
        <v>0</v>
      </c>
      <c r="L3975" s="714"/>
      <c r="M3975" s="714"/>
      <c r="N3975" s="700">
        <f t="shared" si="441"/>
        <v>0</v>
      </c>
      <c r="O3975" s="974">
        <f t="shared" si="439"/>
        <v>0</v>
      </c>
      <c r="P3975" s="956"/>
      <c r="Q3975" s="1821"/>
      <c r="R3975" s="1821"/>
      <c r="S3975" s="1821"/>
      <c r="T3975" s="1821"/>
      <c r="U3975" s="1821"/>
      <c r="V3975" s="1821"/>
      <c r="W3975" s="1821"/>
      <c r="X3975" s="1821"/>
      <c r="Y3975" s="1821"/>
      <c r="Z3975" s="1821"/>
      <c r="AA3975" s="1821"/>
      <c r="AB3975" s="1821"/>
      <c r="AC3975" s="1821"/>
      <c r="AD3975" s="1821"/>
      <c r="AE3975" s="1821"/>
      <c r="AF3975" s="1821"/>
      <c r="AG3975" s="1821"/>
      <c r="AH3975" s="1821"/>
      <c r="AI3975" s="1821"/>
      <c r="AJ3975" s="1821"/>
      <c r="AK3975" s="1821"/>
      <c r="AL3975" s="1821"/>
      <c r="AM3975" s="1821"/>
      <c r="AN3975" s="1821"/>
      <c r="AO3975" s="1821"/>
      <c r="AP3975" s="1821"/>
      <c r="AQ3975" s="1821"/>
      <c r="AR3975" s="1821"/>
      <c r="AS3975" s="1821"/>
      <c r="AT3975" s="1821"/>
      <c r="AU3975" s="1821"/>
      <c r="AV3975" s="1821"/>
      <c r="AW3975" s="1821"/>
      <c r="AX3975" s="1821"/>
      <c r="AY3975" s="1821"/>
      <c r="AZ3975" s="1821"/>
      <c r="BA3975" s="1821"/>
      <c r="BB3975" s="1821"/>
      <c r="BC3975" s="1821"/>
      <c r="BD3975" s="1821"/>
      <c r="BE3975" s="1821"/>
      <c r="BF3975" s="1821"/>
      <c r="BG3975" s="1821"/>
      <c r="BH3975" s="1821"/>
      <c r="BI3975" s="1821"/>
      <c r="BJ3975" s="1821"/>
      <c r="BK3975" s="1821"/>
      <c r="BL3975" s="1821"/>
      <c r="BM3975" s="1821"/>
      <c r="BN3975" s="1821"/>
      <c r="BO3975" s="1821"/>
      <c r="BP3975" s="1821"/>
      <c r="BQ3975" s="1821"/>
      <c r="BR3975" s="1821"/>
      <c r="BS3975" s="1821"/>
      <c r="BT3975" s="1821"/>
      <c r="BU3975" s="1821"/>
      <c r="BV3975" s="1821"/>
      <c r="BW3975" s="1821"/>
      <c r="BX3975" s="1821"/>
      <c r="BY3975" s="1821"/>
      <c r="BZ3975" s="1821"/>
      <c r="CA3975" s="1821"/>
      <c r="CB3975" s="1821"/>
      <c r="CC3975" s="1821"/>
      <c r="CD3975" s="1821"/>
      <c r="CE3975" s="1821"/>
      <c r="CF3975" s="1821"/>
      <c r="CG3975" s="1821"/>
      <c r="CH3975" s="1821"/>
      <c r="CI3975" s="1821"/>
      <c r="CJ3975" s="1821"/>
      <c r="CK3975" s="1821"/>
    </row>
    <row r="3976" spans="1:89" s="744" customFormat="1" ht="16.5" customHeight="1" x14ac:dyDescent="0.25">
      <c r="A3976" s="1033">
        <v>15</v>
      </c>
      <c r="B3976" s="709" t="s">
        <v>453</v>
      </c>
      <c r="C3976" s="827"/>
      <c r="D3976" s="961"/>
      <c r="E3976" s="758"/>
      <c r="F3976" s="714"/>
      <c r="G3976" s="714"/>
      <c r="H3976" s="700">
        <f>G3976+F3976</f>
        <v>0</v>
      </c>
      <c r="I3976" s="714"/>
      <c r="J3976" s="714">
        <f t="shared" si="442"/>
        <v>0</v>
      </c>
      <c r="K3976" s="700">
        <f t="shared" si="438"/>
        <v>0</v>
      </c>
      <c r="L3976" s="714"/>
      <c r="M3976" s="714"/>
      <c r="N3976" s="700">
        <f t="shared" si="441"/>
        <v>0</v>
      </c>
      <c r="O3976" s="974">
        <f t="shared" si="439"/>
        <v>0</v>
      </c>
      <c r="P3976" s="956"/>
      <c r="Q3976" s="1821"/>
      <c r="R3976" s="1821"/>
      <c r="S3976" s="1821"/>
      <c r="T3976" s="1821"/>
      <c r="U3976" s="1821"/>
      <c r="V3976" s="1821"/>
      <c r="W3976" s="1821"/>
      <c r="X3976" s="1821"/>
      <c r="Y3976" s="1821"/>
      <c r="Z3976" s="1821"/>
      <c r="AA3976" s="1821"/>
      <c r="AB3976" s="1821"/>
      <c r="AC3976" s="1821"/>
      <c r="AD3976" s="1821"/>
      <c r="AE3976" s="1821"/>
      <c r="AF3976" s="1821"/>
      <c r="AG3976" s="1821"/>
      <c r="AH3976" s="1821"/>
      <c r="AI3976" s="1821"/>
      <c r="AJ3976" s="1821"/>
      <c r="AK3976" s="1821"/>
      <c r="AL3976" s="1821"/>
      <c r="AM3976" s="1821"/>
      <c r="AN3976" s="1821"/>
      <c r="AO3976" s="1821"/>
      <c r="AP3976" s="1821"/>
      <c r="AQ3976" s="1821"/>
      <c r="AR3976" s="1821"/>
      <c r="AS3976" s="1821"/>
      <c r="AT3976" s="1821"/>
      <c r="AU3976" s="1821"/>
      <c r="AV3976" s="1821"/>
      <c r="AW3976" s="1821"/>
      <c r="AX3976" s="1821"/>
      <c r="AY3976" s="1821"/>
      <c r="AZ3976" s="1821"/>
      <c r="BA3976" s="1821"/>
      <c r="BB3976" s="1821"/>
      <c r="BC3976" s="1821"/>
      <c r="BD3976" s="1821"/>
      <c r="BE3976" s="1821"/>
      <c r="BF3976" s="1821"/>
      <c r="BG3976" s="1821"/>
      <c r="BH3976" s="1821"/>
      <c r="BI3976" s="1821"/>
      <c r="BJ3976" s="1821"/>
      <c r="BK3976" s="1821"/>
      <c r="BL3976" s="1821"/>
      <c r="BM3976" s="1821"/>
      <c r="BN3976" s="1821"/>
      <c r="BO3976" s="1821"/>
      <c r="BP3976" s="1821"/>
      <c r="BQ3976" s="1821"/>
      <c r="BR3976" s="1821"/>
      <c r="BS3976" s="1821"/>
      <c r="BT3976" s="1821"/>
      <c r="BU3976" s="1821"/>
      <c r="BV3976" s="1821"/>
      <c r="BW3976" s="1821"/>
      <c r="BX3976" s="1821"/>
      <c r="BY3976" s="1821"/>
      <c r="BZ3976" s="1821"/>
      <c r="CA3976" s="1821"/>
      <c r="CB3976" s="1821"/>
      <c r="CC3976" s="1821"/>
      <c r="CD3976" s="1821"/>
      <c r="CE3976" s="1821"/>
      <c r="CF3976" s="1821"/>
      <c r="CG3976" s="1821"/>
      <c r="CH3976" s="1821"/>
      <c r="CI3976" s="1821"/>
      <c r="CJ3976" s="1821"/>
      <c r="CK3976" s="1821"/>
    </row>
    <row r="3977" spans="1:89" s="744" customFormat="1" ht="16.5" customHeight="1" x14ac:dyDescent="0.25">
      <c r="A3977" s="1033">
        <v>521111</v>
      </c>
      <c r="B3977" s="709" t="s">
        <v>314</v>
      </c>
      <c r="C3977" s="827"/>
      <c r="D3977" s="961"/>
      <c r="E3977" s="758"/>
      <c r="F3977" s="714"/>
      <c r="G3977" s="714"/>
      <c r="H3977" s="700">
        <f t="shared" si="440"/>
        <v>0</v>
      </c>
      <c r="I3977" s="714"/>
      <c r="J3977" s="714">
        <f t="shared" si="442"/>
        <v>0</v>
      </c>
      <c r="K3977" s="700">
        <f t="shared" si="438"/>
        <v>0</v>
      </c>
      <c r="L3977" s="714"/>
      <c r="M3977" s="714"/>
      <c r="N3977" s="700">
        <f t="shared" si="441"/>
        <v>0</v>
      </c>
      <c r="O3977" s="974">
        <f t="shared" si="439"/>
        <v>0</v>
      </c>
      <c r="P3977" s="956"/>
      <c r="Q3977" s="1821"/>
      <c r="R3977" s="1821"/>
      <c r="S3977" s="1821"/>
      <c r="T3977" s="1821"/>
      <c r="U3977" s="1821"/>
      <c r="V3977" s="1821"/>
      <c r="W3977" s="1821"/>
      <c r="X3977" s="1821"/>
      <c r="Y3977" s="1821"/>
      <c r="Z3977" s="1821"/>
      <c r="AA3977" s="1821"/>
      <c r="AB3977" s="1821"/>
      <c r="AC3977" s="1821"/>
      <c r="AD3977" s="1821"/>
      <c r="AE3977" s="1821"/>
      <c r="AF3977" s="1821"/>
      <c r="AG3977" s="1821"/>
      <c r="AH3977" s="1821"/>
      <c r="AI3977" s="1821"/>
      <c r="AJ3977" s="1821"/>
      <c r="AK3977" s="1821"/>
      <c r="AL3977" s="1821"/>
      <c r="AM3977" s="1821"/>
      <c r="AN3977" s="1821"/>
      <c r="AO3977" s="1821"/>
      <c r="AP3977" s="1821"/>
      <c r="AQ3977" s="1821"/>
      <c r="AR3977" s="1821"/>
      <c r="AS3977" s="1821"/>
      <c r="AT3977" s="1821"/>
      <c r="AU3977" s="1821"/>
      <c r="AV3977" s="1821"/>
      <c r="AW3977" s="1821"/>
      <c r="AX3977" s="1821"/>
      <c r="AY3977" s="1821"/>
      <c r="AZ3977" s="1821"/>
      <c r="BA3977" s="1821"/>
      <c r="BB3977" s="1821"/>
      <c r="BC3977" s="1821"/>
      <c r="BD3977" s="1821"/>
      <c r="BE3977" s="1821"/>
      <c r="BF3977" s="1821"/>
      <c r="BG3977" s="1821"/>
      <c r="BH3977" s="1821"/>
      <c r="BI3977" s="1821"/>
      <c r="BJ3977" s="1821"/>
      <c r="BK3977" s="1821"/>
      <c r="BL3977" s="1821"/>
      <c r="BM3977" s="1821"/>
      <c r="BN3977" s="1821"/>
      <c r="BO3977" s="1821"/>
      <c r="BP3977" s="1821"/>
      <c r="BQ3977" s="1821"/>
      <c r="BR3977" s="1821"/>
      <c r="BS3977" s="1821"/>
      <c r="BT3977" s="1821"/>
      <c r="BU3977" s="1821"/>
      <c r="BV3977" s="1821"/>
      <c r="BW3977" s="1821"/>
      <c r="BX3977" s="1821"/>
      <c r="BY3977" s="1821"/>
      <c r="BZ3977" s="1821"/>
      <c r="CA3977" s="1821"/>
      <c r="CB3977" s="1821"/>
      <c r="CC3977" s="1821"/>
      <c r="CD3977" s="1821"/>
      <c r="CE3977" s="1821"/>
      <c r="CF3977" s="1821"/>
      <c r="CG3977" s="1821"/>
      <c r="CH3977" s="1821"/>
      <c r="CI3977" s="1821"/>
      <c r="CJ3977" s="1821"/>
      <c r="CK3977" s="1821"/>
    </row>
    <row r="3978" spans="1:89" s="744" customFormat="1" ht="16.5" customHeight="1" x14ac:dyDescent="0.25">
      <c r="A3978" s="1033"/>
      <c r="B3978" s="709" t="s">
        <v>215</v>
      </c>
      <c r="C3978" s="827">
        <v>1</v>
      </c>
      <c r="D3978" s="961" t="s">
        <v>25</v>
      </c>
      <c r="E3978" s="758">
        <v>71780</v>
      </c>
      <c r="F3978" s="714"/>
      <c r="G3978" s="714"/>
      <c r="H3978" s="700">
        <f t="shared" si="440"/>
        <v>0</v>
      </c>
      <c r="I3978" s="714"/>
      <c r="J3978" s="714">
        <f t="shared" si="442"/>
        <v>71780</v>
      </c>
      <c r="K3978" s="700">
        <f t="shared" si="438"/>
        <v>71780</v>
      </c>
      <c r="L3978" s="714"/>
      <c r="M3978" s="714"/>
      <c r="N3978" s="700">
        <f t="shared" si="441"/>
        <v>0</v>
      </c>
      <c r="O3978" s="974">
        <f t="shared" si="439"/>
        <v>71780</v>
      </c>
      <c r="P3978" s="956"/>
      <c r="Q3978" s="1821"/>
      <c r="R3978" s="1821"/>
      <c r="S3978" s="1821"/>
      <c r="T3978" s="1821"/>
      <c r="U3978" s="1821"/>
      <c r="V3978" s="1821"/>
      <c r="W3978" s="1821"/>
      <c r="X3978" s="1821"/>
      <c r="Y3978" s="1821"/>
      <c r="Z3978" s="1821"/>
      <c r="AA3978" s="1821"/>
      <c r="AB3978" s="1821"/>
      <c r="AC3978" s="1821"/>
      <c r="AD3978" s="1821"/>
      <c r="AE3978" s="1821"/>
      <c r="AF3978" s="1821"/>
      <c r="AG3978" s="1821"/>
      <c r="AH3978" s="1821"/>
      <c r="AI3978" s="1821"/>
      <c r="AJ3978" s="1821"/>
      <c r="AK3978" s="1821"/>
      <c r="AL3978" s="1821"/>
      <c r="AM3978" s="1821"/>
      <c r="AN3978" s="1821"/>
      <c r="AO3978" s="1821"/>
      <c r="AP3978" s="1821"/>
      <c r="AQ3978" s="1821"/>
      <c r="AR3978" s="1821"/>
      <c r="AS3978" s="1821"/>
      <c r="AT3978" s="1821"/>
      <c r="AU3978" s="1821"/>
      <c r="AV3978" s="1821"/>
      <c r="AW3978" s="1821"/>
      <c r="AX3978" s="1821"/>
      <c r="AY3978" s="1821"/>
      <c r="AZ3978" s="1821"/>
      <c r="BA3978" s="1821"/>
      <c r="BB3978" s="1821"/>
      <c r="BC3978" s="1821"/>
      <c r="BD3978" s="1821"/>
      <c r="BE3978" s="1821"/>
      <c r="BF3978" s="1821"/>
      <c r="BG3978" s="1821"/>
      <c r="BH3978" s="1821"/>
      <c r="BI3978" s="1821"/>
      <c r="BJ3978" s="1821"/>
      <c r="BK3978" s="1821"/>
      <c r="BL3978" s="1821"/>
      <c r="BM3978" s="1821"/>
      <c r="BN3978" s="1821"/>
      <c r="BO3978" s="1821"/>
      <c r="BP3978" s="1821"/>
      <c r="BQ3978" s="1821"/>
      <c r="BR3978" s="1821"/>
      <c r="BS3978" s="1821"/>
      <c r="BT3978" s="1821"/>
      <c r="BU3978" s="1821"/>
      <c r="BV3978" s="1821"/>
      <c r="BW3978" s="1821"/>
      <c r="BX3978" s="1821"/>
      <c r="BY3978" s="1821"/>
      <c r="BZ3978" s="1821"/>
      <c r="CA3978" s="1821"/>
      <c r="CB3978" s="1821"/>
      <c r="CC3978" s="1821"/>
      <c r="CD3978" s="1821"/>
      <c r="CE3978" s="1821"/>
      <c r="CF3978" s="1821"/>
      <c r="CG3978" s="1821"/>
      <c r="CH3978" s="1821"/>
      <c r="CI3978" s="1821"/>
      <c r="CJ3978" s="1821"/>
      <c r="CK3978" s="1821"/>
    </row>
    <row r="3979" spans="1:89" s="744" customFormat="1" ht="16.5" customHeight="1" x14ac:dyDescent="0.25">
      <c r="A3979" s="1033"/>
      <c r="B3979" s="709"/>
      <c r="C3979" s="827"/>
      <c r="D3979" s="961"/>
      <c r="E3979" s="758"/>
      <c r="F3979" s="714"/>
      <c r="G3979" s="714"/>
      <c r="H3979" s="700">
        <f t="shared" si="440"/>
        <v>0</v>
      </c>
      <c r="I3979" s="714"/>
      <c r="J3979" s="714">
        <f t="shared" si="442"/>
        <v>0</v>
      </c>
      <c r="K3979" s="700">
        <f t="shared" si="438"/>
        <v>0</v>
      </c>
      <c r="L3979" s="714"/>
      <c r="M3979" s="714"/>
      <c r="N3979" s="700">
        <f t="shared" si="441"/>
        <v>0</v>
      </c>
      <c r="O3979" s="974">
        <f t="shared" si="439"/>
        <v>0</v>
      </c>
      <c r="P3979" s="956"/>
      <c r="Q3979" s="1821"/>
      <c r="R3979" s="1821"/>
      <c r="S3979" s="1821"/>
      <c r="T3979" s="1821"/>
      <c r="U3979" s="1821"/>
      <c r="V3979" s="1821"/>
      <c r="W3979" s="1821"/>
      <c r="X3979" s="1821"/>
      <c r="Y3979" s="1821"/>
      <c r="Z3979" s="1821"/>
      <c r="AA3979" s="1821"/>
      <c r="AB3979" s="1821"/>
      <c r="AC3979" s="1821"/>
      <c r="AD3979" s="1821"/>
      <c r="AE3979" s="1821"/>
      <c r="AF3979" s="1821"/>
      <c r="AG3979" s="1821"/>
      <c r="AH3979" s="1821"/>
      <c r="AI3979" s="1821"/>
      <c r="AJ3979" s="1821"/>
      <c r="AK3979" s="1821"/>
      <c r="AL3979" s="1821"/>
      <c r="AM3979" s="1821"/>
      <c r="AN3979" s="1821"/>
      <c r="AO3979" s="1821"/>
      <c r="AP3979" s="1821"/>
      <c r="AQ3979" s="1821"/>
      <c r="AR3979" s="1821"/>
      <c r="AS3979" s="1821"/>
      <c r="AT3979" s="1821"/>
      <c r="AU3979" s="1821"/>
      <c r="AV3979" s="1821"/>
      <c r="AW3979" s="1821"/>
      <c r="AX3979" s="1821"/>
      <c r="AY3979" s="1821"/>
      <c r="AZ3979" s="1821"/>
      <c r="BA3979" s="1821"/>
      <c r="BB3979" s="1821"/>
      <c r="BC3979" s="1821"/>
      <c r="BD3979" s="1821"/>
      <c r="BE3979" s="1821"/>
      <c r="BF3979" s="1821"/>
      <c r="BG3979" s="1821"/>
      <c r="BH3979" s="1821"/>
      <c r="BI3979" s="1821"/>
      <c r="BJ3979" s="1821"/>
      <c r="BK3979" s="1821"/>
      <c r="BL3979" s="1821"/>
      <c r="BM3979" s="1821"/>
      <c r="BN3979" s="1821"/>
      <c r="BO3979" s="1821"/>
      <c r="BP3979" s="1821"/>
      <c r="BQ3979" s="1821"/>
      <c r="BR3979" s="1821"/>
      <c r="BS3979" s="1821"/>
      <c r="BT3979" s="1821"/>
      <c r="BU3979" s="1821"/>
      <c r="BV3979" s="1821"/>
      <c r="BW3979" s="1821"/>
      <c r="BX3979" s="1821"/>
      <c r="BY3979" s="1821"/>
      <c r="BZ3979" s="1821"/>
      <c r="CA3979" s="1821"/>
      <c r="CB3979" s="1821"/>
      <c r="CC3979" s="1821"/>
      <c r="CD3979" s="1821"/>
      <c r="CE3979" s="1821"/>
      <c r="CF3979" s="1821"/>
      <c r="CG3979" s="1821"/>
      <c r="CH3979" s="1821"/>
      <c r="CI3979" s="1821"/>
      <c r="CJ3979" s="1821"/>
      <c r="CK3979" s="1821"/>
    </row>
    <row r="3980" spans="1:89" s="744" customFormat="1" ht="16.5" customHeight="1" x14ac:dyDescent="0.25">
      <c r="A3980" s="1033">
        <v>16</v>
      </c>
      <c r="B3980" s="709" t="s">
        <v>454</v>
      </c>
      <c r="C3980" s="827"/>
      <c r="D3980" s="961"/>
      <c r="E3980" s="758"/>
      <c r="F3980" s="714"/>
      <c r="G3980" s="714"/>
      <c r="H3980" s="700"/>
      <c r="I3980" s="714"/>
      <c r="J3980" s="714"/>
      <c r="K3980" s="700"/>
      <c r="L3980" s="714"/>
      <c r="M3980" s="714"/>
      <c r="N3980" s="700"/>
      <c r="O3980" s="974"/>
      <c r="P3980" s="956"/>
      <c r="Q3980" s="1821"/>
      <c r="R3980" s="1821"/>
      <c r="S3980" s="1821"/>
      <c r="T3980" s="1821"/>
      <c r="U3980" s="1821"/>
      <c r="V3980" s="1821"/>
      <c r="W3980" s="1821"/>
      <c r="X3980" s="1821"/>
      <c r="Y3980" s="1821"/>
      <c r="Z3980" s="1821"/>
      <c r="AA3980" s="1821"/>
      <c r="AB3980" s="1821"/>
      <c r="AC3980" s="1821"/>
      <c r="AD3980" s="1821"/>
      <c r="AE3980" s="1821"/>
      <c r="AF3980" s="1821"/>
      <c r="AG3980" s="1821"/>
      <c r="AH3980" s="1821"/>
      <c r="AI3980" s="1821"/>
      <c r="AJ3980" s="1821"/>
      <c r="AK3980" s="1821"/>
      <c r="AL3980" s="1821"/>
      <c r="AM3980" s="1821"/>
      <c r="AN3980" s="1821"/>
      <c r="AO3980" s="1821"/>
      <c r="AP3980" s="1821"/>
      <c r="AQ3980" s="1821"/>
      <c r="AR3980" s="1821"/>
      <c r="AS3980" s="1821"/>
      <c r="AT3980" s="1821"/>
      <c r="AU3980" s="1821"/>
      <c r="AV3980" s="1821"/>
      <c r="AW3980" s="1821"/>
      <c r="AX3980" s="1821"/>
      <c r="AY3980" s="1821"/>
      <c r="AZ3980" s="1821"/>
      <c r="BA3980" s="1821"/>
      <c r="BB3980" s="1821"/>
      <c r="BC3980" s="1821"/>
      <c r="BD3980" s="1821"/>
      <c r="BE3980" s="1821"/>
      <c r="BF3980" s="1821"/>
      <c r="BG3980" s="1821"/>
      <c r="BH3980" s="1821"/>
      <c r="BI3980" s="1821"/>
      <c r="BJ3980" s="1821"/>
      <c r="BK3980" s="1821"/>
      <c r="BL3980" s="1821"/>
      <c r="BM3980" s="1821"/>
      <c r="BN3980" s="1821"/>
      <c r="BO3980" s="1821"/>
      <c r="BP3980" s="1821"/>
      <c r="BQ3980" s="1821"/>
      <c r="BR3980" s="1821"/>
      <c r="BS3980" s="1821"/>
      <c r="BT3980" s="1821"/>
      <c r="BU3980" s="1821"/>
      <c r="BV3980" s="1821"/>
      <c r="BW3980" s="1821"/>
      <c r="BX3980" s="1821"/>
      <c r="BY3980" s="1821"/>
      <c r="BZ3980" s="1821"/>
      <c r="CA3980" s="1821"/>
      <c r="CB3980" s="1821"/>
      <c r="CC3980" s="1821"/>
      <c r="CD3980" s="1821"/>
      <c r="CE3980" s="1821"/>
      <c r="CF3980" s="1821"/>
      <c r="CG3980" s="1821"/>
      <c r="CH3980" s="1821"/>
      <c r="CI3980" s="1821"/>
      <c r="CJ3980" s="1821"/>
      <c r="CK3980" s="1821"/>
    </row>
    <row r="3981" spans="1:89" s="744" customFormat="1" ht="16.5" customHeight="1" x14ac:dyDescent="0.25">
      <c r="A3981" s="1033"/>
      <c r="B3981" s="709" t="s">
        <v>1353</v>
      </c>
      <c r="C3981" s="827">
        <f>SUM(O3982:O3988)</f>
        <v>685594.58400000003</v>
      </c>
      <c r="D3981" s="961"/>
      <c r="E3981" s="758"/>
      <c r="F3981" s="714"/>
      <c r="G3981" s="714"/>
      <c r="H3981" s="700">
        <f t="shared" si="440"/>
        <v>0</v>
      </c>
      <c r="I3981" s="714"/>
      <c r="J3981" s="714">
        <f t="shared" si="442"/>
        <v>0</v>
      </c>
      <c r="K3981" s="700">
        <f t="shared" si="438"/>
        <v>0</v>
      </c>
      <c r="L3981" s="714"/>
      <c r="M3981" s="714"/>
      <c r="N3981" s="700">
        <f t="shared" si="441"/>
        <v>0</v>
      </c>
      <c r="O3981" s="974">
        <f t="shared" si="439"/>
        <v>0</v>
      </c>
      <c r="P3981" s="956"/>
      <c r="Q3981" s="1821"/>
      <c r="R3981" s="1821"/>
      <c r="S3981" s="1821"/>
      <c r="T3981" s="1821"/>
      <c r="U3981" s="1821"/>
      <c r="V3981" s="1821"/>
      <c r="W3981" s="1821"/>
      <c r="X3981" s="1821"/>
      <c r="Y3981" s="1821"/>
      <c r="Z3981" s="1821"/>
      <c r="AA3981" s="1821"/>
      <c r="AB3981" s="1821"/>
      <c r="AC3981" s="1821"/>
      <c r="AD3981" s="1821"/>
      <c r="AE3981" s="1821"/>
      <c r="AF3981" s="1821"/>
      <c r="AG3981" s="1821"/>
      <c r="AH3981" s="1821"/>
      <c r="AI3981" s="1821"/>
      <c r="AJ3981" s="1821"/>
      <c r="AK3981" s="1821"/>
      <c r="AL3981" s="1821"/>
      <c r="AM3981" s="1821"/>
      <c r="AN3981" s="1821"/>
      <c r="AO3981" s="1821"/>
      <c r="AP3981" s="1821"/>
      <c r="AQ3981" s="1821"/>
      <c r="AR3981" s="1821"/>
      <c r="AS3981" s="1821"/>
      <c r="AT3981" s="1821"/>
      <c r="AU3981" s="1821"/>
      <c r="AV3981" s="1821"/>
      <c r="AW3981" s="1821"/>
      <c r="AX3981" s="1821"/>
      <c r="AY3981" s="1821"/>
      <c r="AZ3981" s="1821"/>
      <c r="BA3981" s="1821"/>
      <c r="BB3981" s="1821"/>
      <c r="BC3981" s="1821"/>
      <c r="BD3981" s="1821"/>
      <c r="BE3981" s="1821"/>
      <c r="BF3981" s="1821"/>
      <c r="BG3981" s="1821"/>
      <c r="BH3981" s="1821"/>
      <c r="BI3981" s="1821"/>
      <c r="BJ3981" s="1821"/>
      <c r="BK3981" s="1821"/>
      <c r="BL3981" s="1821"/>
      <c r="BM3981" s="1821"/>
      <c r="BN3981" s="1821"/>
      <c r="BO3981" s="1821"/>
      <c r="BP3981" s="1821"/>
      <c r="BQ3981" s="1821"/>
      <c r="BR3981" s="1821"/>
      <c r="BS3981" s="1821"/>
      <c r="BT3981" s="1821"/>
      <c r="BU3981" s="1821"/>
      <c r="BV3981" s="1821"/>
      <c r="BW3981" s="1821"/>
      <c r="BX3981" s="1821"/>
      <c r="BY3981" s="1821"/>
      <c r="BZ3981" s="1821"/>
      <c r="CA3981" s="1821"/>
      <c r="CB3981" s="1821"/>
      <c r="CC3981" s="1821"/>
      <c r="CD3981" s="1821"/>
      <c r="CE3981" s="1821"/>
      <c r="CF3981" s="1821"/>
      <c r="CG3981" s="1821"/>
      <c r="CH3981" s="1821"/>
      <c r="CI3981" s="1821"/>
      <c r="CJ3981" s="1821"/>
      <c r="CK3981" s="1821"/>
    </row>
    <row r="3982" spans="1:89" s="744" customFormat="1" ht="16.5" customHeight="1" x14ac:dyDescent="0.25">
      <c r="A3982" s="1033"/>
      <c r="B3982" s="709" t="s">
        <v>215</v>
      </c>
      <c r="C3982" s="827">
        <v>1</v>
      </c>
      <c r="D3982" s="961" t="s">
        <v>25</v>
      </c>
      <c r="E3982" s="758">
        <v>298500</v>
      </c>
      <c r="F3982" s="714"/>
      <c r="G3982" s="714"/>
      <c r="H3982" s="700">
        <f t="shared" si="440"/>
        <v>0</v>
      </c>
      <c r="I3982" s="714"/>
      <c r="J3982" s="714">
        <f t="shared" si="442"/>
        <v>298500</v>
      </c>
      <c r="K3982" s="700">
        <f t="shared" si="438"/>
        <v>298500</v>
      </c>
      <c r="L3982" s="714"/>
      <c r="M3982" s="714"/>
      <c r="N3982" s="700">
        <f t="shared" si="441"/>
        <v>0</v>
      </c>
      <c r="O3982" s="974">
        <f t="shared" si="439"/>
        <v>298500</v>
      </c>
      <c r="P3982" s="956"/>
      <c r="Q3982" s="1821"/>
      <c r="R3982" s="1821"/>
      <c r="S3982" s="1821"/>
      <c r="T3982" s="1821"/>
      <c r="U3982" s="1821"/>
      <c r="V3982" s="1821"/>
      <c r="W3982" s="1821"/>
      <c r="X3982" s="1821"/>
      <c r="Y3982" s="1821"/>
      <c r="Z3982" s="1821"/>
      <c r="AA3982" s="1821"/>
      <c r="AB3982" s="1821"/>
      <c r="AC3982" s="1821"/>
      <c r="AD3982" s="1821"/>
      <c r="AE3982" s="1821"/>
      <c r="AF3982" s="1821"/>
      <c r="AG3982" s="1821"/>
      <c r="AH3982" s="1821"/>
      <c r="AI3982" s="1821"/>
      <c r="AJ3982" s="1821"/>
      <c r="AK3982" s="1821"/>
      <c r="AL3982" s="1821"/>
      <c r="AM3982" s="1821"/>
      <c r="AN3982" s="1821"/>
      <c r="AO3982" s="1821"/>
      <c r="AP3982" s="1821"/>
      <c r="AQ3982" s="1821"/>
      <c r="AR3982" s="1821"/>
      <c r="AS3982" s="1821"/>
      <c r="AT3982" s="1821"/>
      <c r="AU3982" s="1821"/>
      <c r="AV3982" s="1821"/>
      <c r="AW3982" s="1821"/>
      <c r="AX3982" s="1821"/>
      <c r="AY3982" s="1821"/>
      <c r="AZ3982" s="1821"/>
      <c r="BA3982" s="1821"/>
      <c r="BB3982" s="1821"/>
      <c r="BC3982" s="1821"/>
      <c r="BD3982" s="1821"/>
      <c r="BE3982" s="1821"/>
      <c r="BF3982" s="1821"/>
      <c r="BG3982" s="1821"/>
      <c r="BH3982" s="1821"/>
      <c r="BI3982" s="1821"/>
      <c r="BJ3982" s="1821"/>
      <c r="BK3982" s="1821"/>
      <c r="BL3982" s="1821"/>
      <c r="BM3982" s="1821"/>
      <c r="BN3982" s="1821"/>
      <c r="BO3982" s="1821"/>
      <c r="BP3982" s="1821"/>
      <c r="BQ3982" s="1821"/>
      <c r="BR3982" s="1821"/>
      <c r="BS3982" s="1821"/>
      <c r="BT3982" s="1821"/>
      <c r="BU3982" s="1821"/>
      <c r="BV3982" s="1821"/>
      <c r="BW3982" s="1821"/>
      <c r="BX3982" s="1821"/>
      <c r="BY3982" s="1821"/>
      <c r="BZ3982" s="1821"/>
      <c r="CA3982" s="1821"/>
      <c r="CB3982" s="1821"/>
      <c r="CC3982" s="1821"/>
      <c r="CD3982" s="1821"/>
      <c r="CE3982" s="1821"/>
      <c r="CF3982" s="1821"/>
      <c r="CG3982" s="1821"/>
      <c r="CH3982" s="1821"/>
      <c r="CI3982" s="1821"/>
      <c r="CJ3982" s="1821"/>
      <c r="CK3982" s="1821"/>
    </row>
    <row r="3983" spans="1:89" s="744" customFormat="1" ht="16.5" customHeight="1" x14ac:dyDescent="0.25">
      <c r="A3983" s="1033"/>
      <c r="B3983" s="709" t="s">
        <v>206</v>
      </c>
      <c r="C3983" s="827"/>
      <c r="D3983" s="961"/>
      <c r="E3983" s="758"/>
      <c r="F3983" s="714"/>
      <c r="G3983" s="714"/>
      <c r="H3983" s="700">
        <f t="shared" si="440"/>
        <v>0</v>
      </c>
      <c r="I3983" s="714"/>
      <c r="J3983" s="714">
        <f t="shared" si="442"/>
        <v>0</v>
      </c>
      <c r="K3983" s="700">
        <f t="shared" si="438"/>
        <v>0</v>
      </c>
      <c r="L3983" s="714"/>
      <c r="M3983" s="714"/>
      <c r="N3983" s="700">
        <f t="shared" si="441"/>
        <v>0</v>
      </c>
      <c r="O3983" s="974">
        <f t="shared" si="439"/>
        <v>0</v>
      </c>
      <c r="P3983" s="956"/>
      <c r="Q3983" s="1821"/>
      <c r="R3983" s="1821"/>
      <c r="S3983" s="1821"/>
      <c r="T3983" s="1821"/>
      <c r="U3983" s="1821"/>
      <c r="V3983" s="1821"/>
      <c r="W3983" s="1821"/>
      <c r="X3983" s="1821"/>
      <c r="Y3983" s="1821"/>
      <c r="Z3983" s="1821"/>
      <c r="AA3983" s="1821"/>
      <c r="AB3983" s="1821"/>
      <c r="AC3983" s="1821"/>
      <c r="AD3983" s="1821"/>
      <c r="AE3983" s="1821"/>
      <c r="AF3983" s="1821"/>
      <c r="AG3983" s="1821"/>
      <c r="AH3983" s="1821"/>
      <c r="AI3983" s="1821"/>
      <c r="AJ3983" s="1821"/>
      <c r="AK3983" s="1821"/>
      <c r="AL3983" s="1821"/>
      <c r="AM3983" s="1821"/>
      <c r="AN3983" s="1821"/>
      <c r="AO3983" s="1821"/>
      <c r="AP3983" s="1821"/>
      <c r="AQ3983" s="1821"/>
      <c r="AR3983" s="1821"/>
      <c r="AS3983" s="1821"/>
      <c r="AT3983" s="1821"/>
      <c r="AU3983" s="1821"/>
      <c r="AV3983" s="1821"/>
      <c r="AW3983" s="1821"/>
      <c r="AX3983" s="1821"/>
      <c r="AY3983" s="1821"/>
      <c r="AZ3983" s="1821"/>
      <c r="BA3983" s="1821"/>
      <c r="BB3983" s="1821"/>
      <c r="BC3983" s="1821"/>
      <c r="BD3983" s="1821"/>
      <c r="BE3983" s="1821"/>
      <c r="BF3983" s="1821"/>
      <c r="BG3983" s="1821"/>
      <c r="BH3983" s="1821"/>
      <c r="BI3983" s="1821"/>
      <c r="BJ3983" s="1821"/>
      <c r="BK3983" s="1821"/>
      <c r="BL3983" s="1821"/>
      <c r="BM3983" s="1821"/>
      <c r="BN3983" s="1821"/>
      <c r="BO3983" s="1821"/>
      <c r="BP3983" s="1821"/>
      <c r="BQ3983" s="1821"/>
      <c r="BR3983" s="1821"/>
      <c r="BS3983" s="1821"/>
      <c r="BT3983" s="1821"/>
      <c r="BU3983" s="1821"/>
      <c r="BV3983" s="1821"/>
      <c r="BW3983" s="1821"/>
      <c r="BX3983" s="1821"/>
      <c r="BY3983" s="1821"/>
      <c r="BZ3983" s="1821"/>
      <c r="CA3983" s="1821"/>
      <c r="CB3983" s="1821"/>
      <c r="CC3983" s="1821"/>
      <c r="CD3983" s="1821"/>
      <c r="CE3983" s="1821"/>
      <c r="CF3983" s="1821"/>
      <c r="CG3983" s="1821"/>
      <c r="CH3983" s="1821"/>
      <c r="CI3983" s="1821"/>
      <c r="CJ3983" s="1821"/>
      <c r="CK3983" s="1821"/>
    </row>
    <row r="3984" spans="1:89" s="744" customFormat="1" ht="16.5" customHeight="1" x14ac:dyDescent="0.25">
      <c r="A3984" s="1033"/>
      <c r="B3984" s="709" t="s">
        <v>455</v>
      </c>
      <c r="C3984" s="827">
        <v>1</v>
      </c>
      <c r="D3984" s="961" t="s">
        <v>25</v>
      </c>
      <c r="E3984" s="758">
        <v>59040</v>
      </c>
      <c r="F3984" s="714"/>
      <c r="G3984" s="714"/>
      <c r="H3984" s="700">
        <f t="shared" si="440"/>
        <v>0</v>
      </c>
      <c r="I3984" s="714"/>
      <c r="J3984" s="714">
        <f t="shared" si="442"/>
        <v>59040</v>
      </c>
      <c r="K3984" s="700">
        <f t="shared" si="438"/>
        <v>59040</v>
      </c>
      <c r="L3984" s="714"/>
      <c r="M3984" s="714"/>
      <c r="N3984" s="700">
        <f t="shared" si="441"/>
        <v>0</v>
      </c>
      <c r="O3984" s="974">
        <f t="shared" si="439"/>
        <v>59040</v>
      </c>
      <c r="P3984" s="956"/>
      <c r="Q3984" s="1821"/>
      <c r="R3984" s="1821"/>
      <c r="S3984" s="1821"/>
      <c r="T3984" s="1821"/>
      <c r="U3984" s="1821"/>
      <c r="V3984" s="1821"/>
      <c r="W3984" s="1821"/>
      <c r="X3984" s="1821"/>
      <c r="Y3984" s="1821"/>
      <c r="Z3984" s="1821"/>
      <c r="AA3984" s="1821"/>
      <c r="AB3984" s="1821"/>
      <c r="AC3984" s="1821"/>
      <c r="AD3984" s="1821"/>
      <c r="AE3984" s="1821"/>
      <c r="AF3984" s="1821"/>
      <c r="AG3984" s="1821"/>
      <c r="AH3984" s="1821"/>
      <c r="AI3984" s="1821"/>
      <c r="AJ3984" s="1821"/>
      <c r="AK3984" s="1821"/>
      <c r="AL3984" s="1821"/>
      <c r="AM3984" s="1821"/>
      <c r="AN3984" s="1821"/>
      <c r="AO3984" s="1821"/>
      <c r="AP3984" s="1821"/>
      <c r="AQ3984" s="1821"/>
      <c r="AR3984" s="1821"/>
      <c r="AS3984" s="1821"/>
      <c r="AT3984" s="1821"/>
      <c r="AU3984" s="1821"/>
      <c r="AV3984" s="1821"/>
      <c r="AW3984" s="1821"/>
      <c r="AX3984" s="1821"/>
      <c r="AY3984" s="1821"/>
      <c r="AZ3984" s="1821"/>
      <c r="BA3984" s="1821"/>
      <c r="BB3984" s="1821"/>
      <c r="BC3984" s="1821"/>
      <c r="BD3984" s="1821"/>
      <c r="BE3984" s="1821"/>
      <c r="BF3984" s="1821"/>
      <c r="BG3984" s="1821"/>
      <c r="BH3984" s="1821"/>
      <c r="BI3984" s="1821"/>
      <c r="BJ3984" s="1821"/>
      <c r="BK3984" s="1821"/>
      <c r="BL3984" s="1821"/>
      <c r="BM3984" s="1821"/>
      <c r="BN3984" s="1821"/>
      <c r="BO3984" s="1821"/>
      <c r="BP3984" s="1821"/>
      <c r="BQ3984" s="1821"/>
      <c r="BR3984" s="1821"/>
      <c r="BS3984" s="1821"/>
      <c r="BT3984" s="1821"/>
      <c r="BU3984" s="1821"/>
      <c r="BV3984" s="1821"/>
      <c r="BW3984" s="1821"/>
      <c r="BX3984" s="1821"/>
      <c r="BY3984" s="1821"/>
      <c r="BZ3984" s="1821"/>
      <c r="CA3984" s="1821"/>
      <c r="CB3984" s="1821"/>
      <c r="CC3984" s="1821"/>
      <c r="CD3984" s="1821"/>
      <c r="CE3984" s="1821"/>
      <c r="CF3984" s="1821"/>
      <c r="CG3984" s="1821"/>
      <c r="CH3984" s="1821"/>
      <c r="CI3984" s="1821"/>
      <c r="CJ3984" s="1821"/>
      <c r="CK3984" s="1821"/>
    </row>
    <row r="3985" spans="1:89" s="744" customFormat="1" ht="16.5" customHeight="1" x14ac:dyDescent="0.25">
      <c r="A3985" s="1033"/>
      <c r="B3985" s="709" t="s">
        <v>349</v>
      </c>
      <c r="C3985" s="827"/>
      <c r="D3985" s="961"/>
      <c r="E3985" s="758"/>
      <c r="F3985" s="714"/>
      <c r="G3985" s="714"/>
      <c r="H3985" s="700">
        <f t="shared" si="440"/>
        <v>0</v>
      </c>
      <c r="I3985" s="714"/>
      <c r="J3985" s="714">
        <f t="shared" si="442"/>
        <v>0</v>
      </c>
      <c r="K3985" s="700">
        <f t="shared" si="438"/>
        <v>0</v>
      </c>
      <c r="L3985" s="714"/>
      <c r="M3985" s="714"/>
      <c r="N3985" s="700">
        <f t="shared" si="441"/>
        <v>0</v>
      </c>
      <c r="O3985" s="974">
        <f t="shared" si="439"/>
        <v>0</v>
      </c>
      <c r="P3985" s="956"/>
      <c r="Q3985" s="1821"/>
      <c r="R3985" s="1821"/>
      <c r="S3985" s="1821"/>
      <c r="T3985" s="1821"/>
      <c r="U3985" s="1821"/>
      <c r="V3985" s="1821"/>
      <c r="W3985" s="1821"/>
      <c r="X3985" s="1821"/>
      <c r="Y3985" s="1821"/>
      <c r="Z3985" s="1821"/>
      <c r="AA3985" s="1821"/>
      <c r="AB3985" s="1821"/>
      <c r="AC3985" s="1821"/>
      <c r="AD3985" s="1821"/>
      <c r="AE3985" s="1821"/>
      <c r="AF3985" s="1821"/>
      <c r="AG3985" s="1821"/>
      <c r="AH3985" s="1821"/>
      <c r="AI3985" s="1821"/>
      <c r="AJ3985" s="1821"/>
      <c r="AK3985" s="1821"/>
      <c r="AL3985" s="1821"/>
      <c r="AM3985" s="1821"/>
      <c r="AN3985" s="1821"/>
      <c r="AO3985" s="1821"/>
      <c r="AP3985" s="1821"/>
      <c r="AQ3985" s="1821"/>
      <c r="AR3985" s="1821"/>
      <c r="AS3985" s="1821"/>
      <c r="AT3985" s="1821"/>
      <c r="AU3985" s="1821"/>
      <c r="AV3985" s="1821"/>
      <c r="AW3985" s="1821"/>
      <c r="AX3985" s="1821"/>
      <c r="AY3985" s="1821"/>
      <c r="AZ3985" s="1821"/>
      <c r="BA3985" s="1821"/>
      <c r="BB3985" s="1821"/>
      <c r="BC3985" s="1821"/>
      <c r="BD3985" s="1821"/>
      <c r="BE3985" s="1821"/>
      <c r="BF3985" s="1821"/>
      <c r="BG3985" s="1821"/>
      <c r="BH3985" s="1821"/>
      <c r="BI3985" s="1821"/>
      <c r="BJ3985" s="1821"/>
      <c r="BK3985" s="1821"/>
      <c r="BL3985" s="1821"/>
      <c r="BM3985" s="1821"/>
      <c r="BN3985" s="1821"/>
      <c r="BO3985" s="1821"/>
      <c r="BP3985" s="1821"/>
      <c r="BQ3985" s="1821"/>
      <c r="BR3985" s="1821"/>
      <c r="BS3985" s="1821"/>
      <c r="BT3985" s="1821"/>
      <c r="BU3985" s="1821"/>
      <c r="BV3985" s="1821"/>
      <c r="BW3985" s="1821"/>
      <c r="BX3985" s="1821"/>
      <c r="BY3985" s="1821"/>
      <c r="BZ3985" s="1821"/>
      <c r="CA3985" s="1821"/>
      <c r="CB3985" s="1821"/>
      <c r="CC3985" s="1821"/>
      <c r="CD3985" s="1821"/>
      <c r="CE3985" s="1821"/>
      <c r="CF3985" s="1821"/>
      <c r="CG3985" s="1821"/>
      <c r="CH3985" s="1821"/>
      <c r="CI3985" s="1821"/>
      <c r="CJ3985" s="1821"/>
      <c r="CK3985" s="1821"/>
    </row>
    <row r="3986" spans="1:89" s="744" customFormat="1" ht="16.5" customHeight="1" x14ac:dyDescent="0.25">
      <c r="A3986" s="1033"/>
      <c r="B3986" s="709" t="s">
        <v>350</v>
      </c>
      <c r="C3986" s="827">
        <v>104</v>
      </c>
      <c r="D3986" s="961" t="s">
        <v>51</v>
      </c>
      <c r="E3986" s="758">
        <v>969.375</v>
      </c>
      <c r="F3986" s="714"/>
      <c r="G3986" s="714"/>
      <c r="H3986" s="700">
        <f t="shared" si="440"/>
        <v>0</v>
      </c>
      <c r="I3986" s="714"/>
      <c r="J3986" s="714">
        <f>E3986*C3986</f>
        <v>100815</v>
      </c>
      <c r="K3986" s="700">
        <f t="shared" si="438"/>
        <v>100815</v>
      </c>
      <c r="L3986" s="714"/>
      <c r="M3986" s="714"/>
      <c r="N3986" s="700">
        <f t="shared" si="441"/>
        <v>0</v>
      </c>
      <c r="O3986" s="974">
        <f t="shared" si="439"/>
        <v>100815</v>
      </c>
      <c r="P3986" s="956"/>
      <c r="Q3986" s="1821"/>
      <c r="R3986" s="1821"/>
      <c r="S3986" s="1821"/>
      <c r="T3986" s="1821"/>
      <c r="U3986" s="1821"/>
      <c r="V3986" s="1821"/>
      <c r="W3986" s="1821"/>
      <c r="X3986" s="1821"/>
      <c r="Y3986" s="1821"/>
      <c r="Z3986" s="1821"/>
      <c r="AA3986" s="1821"/>
      <c r="AB3986" s="1821"/>
      <c r="AC3986" s="1821"/>
      <c r="AD3986" s="1821"/>
      <c r="AE3986" s="1821"/>
      <c r="AF3986" s="1821"/>
      <c r="AG3986" s="1821"/>
      <c r="AH3986" s="1821"/>
      <c r="AI3986" s="1821"/>
      <c r="AJ3986" s="1821"/>
      <c r="AK3986" s="1821"/>
      <c r="AL3986" s="1821"/>
      <c r="AM3986" s="1821"/>
      <c r="AN3986" s="1821"/>
      <c r="AO3986" s="1821"/>
      <c r="AP3986" s="1821"/>
      <c r="AQ3986" s="1821"/>
      <c r="AR3986" s="1821"/>
      <c r="AS3986" s="1821"/>
      <c r="AT3986" s="1821"/>
      <c r="AU3986" s="1821"/>
      <c r="AV3986" s="1821"/>
      <c r="AW3986" s="1821"/>
      <c r="AX3986" s="1821"/>
      <c r="AY3986" s="1821"/>
      <c r="AZ3986" s="1821"/>
      <c r="BA3986" s="1821"/>
      <c r="BB3986" s="1821"/>
      <c r="BC3986" s="1821"/>
      <c r="BD3986" s="1821"/>
      <c r="BE3986" s="1821"/>
      <c r="BF3986" s="1821"/>
      <c r="BG3986" s="1821"/>
      <c r="BH3986" s="1821"/>
      <c r="BI3986" s="1821"/>
      <c r="BJ3986" s="1821"/>
      <c r="BK3986" s="1821"/>
      <c r="BL3986" s="1821"/>
      <c r="BM3986" s="1821"/>
      <c r="BN3986" s="1821"/>
      <c r="BO3986" s="1821"/>
      <c r="BP3986" s="1821"/>
      <c r="BQ3986" s="1821"/>
      <c r="BR3986" s="1821"/>
      <c r="BS3986" s="1821"/>
      <c r="BT3986" s="1821"/>
      <c r="BU3986" s="1821"/>
      <c r="BV3986" s="1821"/>
      <c r="BW3986" s="1821"/>
      <c r="BX3986" s="1821"/>
      <c r="BY3986" s="1821"/>
      <c r="BZ3986" s="1821"/>
      <c r="CA3986" s="1821"/>
      <c r="CB3986" s="1821"/>
      <c r="CC3986" s="1821"/>
      <c r="CD3986" s="1821"/>
      <c r="CE3986" s="1821"/>
      <c r="CF3986" s="1821"/>
      <c r="CG3986" s="1821"/>
      <c r="CH3986" s="1821"/>
      <c r="CI3986" s="1821"/>
      <c r="CJ3986" s="1821"/>
      <c r="CK3986" s="1821"/>
    </row>
    <row r="3987" spans="1:89" s="744" customFormat="1" ht="16.5" customHeight="1" x14ac:dyDescent="0.25">
      <c r="A3987" s="1033"/>
      <c r="B3987" s="709" t="s">
        <v>54</v>
      </c>
      <c r="C3987" s="827">
        <v>312</v>
      </c>
      <c r="D3987" s="961" t="s">
        <v>55</v>
      </c>
      <c r="E3987" s="758">
        <v>421.82600000000002</v>
      </c>
      <c r="F3987" s="714"/>
      <c r="G3987" s="714"/>
      <c r="H3987" s="700">
        <f t="shared" si="440"/>
        <v>0</v>
      </c>
      <c r="I3987" s="714"/>
      <c r="J3987" s="714">
        <f>E3987*C3987</f>
        <v>131609.712</v>
      </c>
      <c r="K3987" s="700">
        <f t="shared" si="438"/>
        <v>131609.712</v>
      </c>
      <c r="L3987" s="714"/>
      <c r="M3987" s="714"/>
      <c r="N3987" s="700">
        <f t="shared" si="441"/>
        <v>0</v>
      </c>
      <c r="O3987" s="974">
        <f t="shared" si="439"/>
        <v>131609.712</v>
      </c>
      <c r="P3987" s="956"/>
      <c r="Q3987" s="1821"/>
      <c r="R3987" s="1821"/>
      <c r="S3987" s="1821"/>
      <c r="T3987" s="1821"/>
      <c r="U3987" s="1821"/>
      <c r="V3987" s="1821"/>
      <c r="W3987" s="1821"/>
      <c r="X3987" s="1821"/>
      <c r="Y3987" s="1821"/>
      <c r="Z3987" s="1821"/>
      <c r="AA3987" s="1821"/>
      <c r="AB3987" s="1821"/>
      <c r="AC3987" s="1821"/>
      <c r="AD3987" s="1821"/>
      <c r="AE3987" s="1821"/>
      <c r="AF3987" s="1821"/>
      <c r="AG3987" s="1821"/>
      <c r="AH3987" s="1821"/>
      <c r="AI3987" s="1821"/>
      <c r="AJ3987" s="1821"/>
      <c r="AK3987" s="1821"/>
      <c r="AL3987" s="1821"/>
      <c r="AM3987" s="1821"/>
      <c r="AN3987" s="1821"/>
      <c r="AO3987" s="1821"/>
      <c r="AP3987" s="1821"/>
      <c r="AQ3987" s="1821"/>
      <c r="AR3987" s="1821"/>
      <c r="AS3987" s="1821"/>
      <c r="AT3987" s="1821"/>
      <c r="AU3987" s="1821"/>
      <c r="AV3987" s="1821"/>
      <c r="AW3987" s="1821"/>
      <c r="AX3987" s="1821"/>
      <c r="AY3987" s="1821"/>
      <c r="AZ3987" s="1821"/>
      <c r="BA3987" s="1821"/>
      <c r="BB3987" s="1821"/>
      <c r="BC3987" s="1821"/>
      <c r="BD3987" s="1821"/>
      <c r="BE3987" s="1821"/>
      <c r="BF3987" s="1821"/>
      <c r="BG3987" s="1821"/>
      <c r="BH3987" s="1821"/>
      <c r="BI3987" s="1821"/>
      <c r="BJ3987" s="1821"/>
      <c r="BK3987" s="1821"/>
      <c r="BL3987" s="1821"/>
      <c r="BM3987" s="1821"/>
      <c r="BN3987" s="1821"/>
      <c r="BO3987" s="1821"/>
      <c r="BP3987" s="1821"/>
      <c r="BQ3987" s="1821"/>
      <c r="BR3987" s="1821"/>
      <c r="BS3987" s="1821"/>
      <c r="BT3987" s="1821"/>
      <c r="BU3987" s="1821"/>
      <c r="BV3987" s="1821"/>
      <c r="BW3987" s="1821"/>
      <c r="BX3987" s="1821"/>
      <c r="BY3987" s="1821"/>
      <c r="BZ3987" s="1821"/>
      <c r="CA3987" s="1821"/>
      <c r="CB3987" s="1821"/>
      <c r="CC3987" s="1821"/>
      <c r="CD3987" s="1821"/>
      <c r="CE3987" s="1821"/>
      <c r="CF3987" s="1821"/>
      <c r="CG3987" s="1821"/>
      <c r="CH3987" s="1821"/>
      <c r="CI3987" s="1821"/>
      <c r="CJ3987" s="1821"/>
      <c r="CK3987" s="1821"/>
    </row>
    <row r="3988" spans="1:89" s="744" customFormat="1" ht="16.5" customHeight="1" x14ac:dyDescent="0.25">
      <c r="A3988" s="1033"/>
      <c r="B3988" s="709" t="s">
        <v>52</v>
      </c>
      <c r="C3988" s="827">
        <v>208</v>
      </c>
      <c r="D3988" s="961" t="s">
        <v>55</v>
      </c>
      <c r="E3988" s="758">
        <v>459.75900000000001</v>
      </c>
      <c r="F3988" s="714"/>
      <c r="G3988" s="714"/>
      <c r="H3988" s="700">
        <f t="shared" si="440"/>
        <v>0</v>
      </c>
      <c r="I3988" s="714"/>
      <c r="J3988" s="714">
        <f>E3988*C3988</f>
        <v>95629.872000000003</v>
      </c>
      <c r="K3988" s="700">
        <f t="shared" si="438"/>
        <v>95629.872000000003</v>
      </c>
      <c r="L3988" s="714"/>
      <c r="M3988" s="714"/>
      <c r="N3988" s="700">
        <f t="shared" si="441"/>
        <v>0</v>
      </c>
      <c r="O3988" s="974">
        <f t="shared" si="439"/>
        <v>95629.872000000003</v>
      </c>
      <c r="P3988" s="956"/>
      <c r="Q3988" s="1821"/>
      <c r="R3988" s="1821"/>
      <c r="S3988" s="1821"/>
      <c r="T3988" s="1821"/>
      <c r="U3988" s="1821"/>
      <c r="V3988" s="1821"/>
      <c r="W3988" s="1821"/>
      <c r="X3988" s="1821"/>
      <c r="Y3988" s="1821"/>
      <c r="Z3988" s="1821"/>
      <c r="AA3988" s="1821"/>
      <c r="AB3988" s="1821"/>
      <c r="AC3988" s="1821"/>
      <c r="AD3988" s="1821"/>
      <c r="AE3988" s="1821"/>
      <c r="AF3988" s="1821"/>
      <c r="AG3988" s="1821"/>
      <c r="AH3988" s="1821"/>
      <c r="AI3988" s="1821"/>
      <c r="AJ3988" s="1821"/>
      <c r="AK3988" s="1821"/>
      <c r="AL3988" s="1821"/>
      <c r="AM3988" s="1821"/>
      <c r="AN3988" s="1821"/>
      <c r="AO3988" s="1821"/>
      <c r="AP3988" s="1821"/>
      <c r="AQ3988" s="1821"/>
      <c r="AR3988" s="1821"/>
      <c r="AS3988" s="1821"/>
      <c r="AT3988" s="1821"/>
      <c r="AU3988" s="1821"/>
      <c r="AV3988" s="1821"/>
      <c r="AW3988" s="1821"/>
      <c r="AX3988" s="1821"/>
      <c r="AY3988" s="1821"/>
      <c r="AZ3988" s="1821"/>
      <c r="BA3988" s="1821"/>
      <c r="BB3988" s="1821"/>
      <c r="BC3988" s="1821"/>
      <c r="BD3988" s="1821"/>
      <c r="BE3988" s="1821"/>
      <c r="BF3988" s="1821"/>
      <c r="BG3988" s="1821"/>
      <c r="BH3988" s="1821"/>
      <c r="BI3988" s="1821"/>
      <c r="BJ3988" s="1821"/>
      <c r="BK3988" s="1821"/>
      <c r="BL3988" s="1821"/>
      <c r="BM3988" s="1821"/>
      <c r="BN3988" s="1821"/>
      <c r="BO3988" s="1821"/>
      <c r="BP3988" s="1821"/>
      <c r="BQ3988" s="1821"/>
      <c r="BR3988" s="1821"/>
      <c r="BS3988" s="1821"/>
      <c r="BT3988" s="1821"/>
      <c r="BU3988" s="1821"/>
      <c r="BV3988" s="1821"/>
      <c r="BW3988" s="1821"/>
      <c r="BX3988" s="1821"/>
      <c r="BY3988" s="1821"/>
      <c r="BZ3988" s="1821"/>
      <c r="CA3988" s="1821"/>
      <c r="CB3988" s="1821"/>
      <c r="CC3988" s="1821"/>
      <c r="CD3988" s="1821"/>
      <c r="CE3988" s="1821"/>
      <c r="CF3988" s="1821"/>
      <c r="CG3988" s="1821"/>
      <c r="CH3988" s="1821"/>
      <c r="CI3988" s="1821"/>
      <c r="CJ3988" s="1821"/>
      <c r="CK3988" s="1821"/>
    </row>
    <row r="3989" spans="1:89" s="744" customFormat="1" ht="16.5" customHeight="1" x14ac:dyDescent="0.25">
      <c r="A3989" s="1033"/>
      <c r="B3989" s="709"/>
      <c r="C3989" s="827"/>
      <c r="D3989" s="961"/>
      <c r="E3989" s="758"/>
      <c r="F3989" s="714"/>
      <c r="G3989" s="714"/>
      <c r="H3989" s="700">
        <f t="shared" si="440"/>
        <v>0</v>
      </c>
      <c r="I3989" s="714"/>
      <c r="J3989" s="714">
        <f>C3989*E3989</f>
        <v>0</v>
      </c>
      <c r="K3989" s="700">
        <f t="shared" si="438"/>
        <v>0</v>
      </c>
      <c r="L3989" s="714"/>
      <c r="M3989" s="714"/>
      <c r="N3989" s="700">
        <f t="shared" si="441"/>
        <v>0</v>
      </c>
      <c r="O3989" s="974">
        <f t="shared" si="439"/>
        <v>0</v>
      </c>
      <c r="P3989" s="956"/>
      <c r="Q3989" s="1821"/>
      <c r="R3989" s="1821"/>
      <c r="S3989" s="1821"/>
      <c r="T3989" s="1821"/>
      <c r="U3989" s="1821"/>
      <c r="V3989" s="1821"/>
      <c r="W3989" s="1821"/>
      <c r="X3989" s="1821"/>
      <c r="Y3989" s="1821"/>
      <c r="Z3989" s="1821"/>
      <c r="AA3989" s="1821"/>
      <c r="AB3989" s="1821"/>
      <c r="AC3989" s="1821"/>
      <c r="AD3989" s="1821"/>
      <c r="AE3989" s="1821"/>
      <c r="AF3989" s="1821"/>
      <c r="AG3989" s="1821"/>
      <c r="AH3989" s="1821"/>
      <c r="AI3989" s="1821"/>
      <c r="AJ3989" s="1821"/>
      <c r="AK3989" s="1821"/>
      <c r="AL3989" s="1821"/>
      <c r="AM3989" s="1821"/>
      <c r="AN3989" s="1821"/>
      <c r="AO3989" s="1821"/>
      <c r="AP3989" s="1821"/>
      <c r="AQ3989" s="1821"/>
      <c r="AR3989" s="1821"/>
      <c r="AS3989" s="1821"/>
      <c r="AT3989" s="1821"/>
      <c r="AU3989" s="1821"/>
      <c r="AV3989" s="1821"/>
      <c r="AW3989" s="1821"/>
      <c r="AX3989" s="1821"/>
      <c r="AY3989" s="1821"/>
      <c r="AZ3989" s="1821"/>
      <c r="BA3989" s="1821"/>
      <c r="BB3989" s="1821"/>
      <c r="BC3989" s="1821"/>
      <c r="BD3989" s="1821"/>
      <c r="BE3989" s="1821"/>
      <c r="BF3989" s="1821"/>
      <c r="BG3989" s="1821"/>
      <c r="BH3989" s="1821"/>
      <c r="BI3989" s="1821"/>
      <c r="BJ3989" s="1821"/>
      <c r="BK3989" s="1821"/>
      <c r="BL3989" s="1821"/>
      <c r="BM3989" s="1821"/>
      <c r="BN3989" s="1821"/>
      <c r="BO3989" s="1821"/>
      <c r="BP3989" s="1821"/>
      <c r="BQ3989" s="1821"/>
      <c r="BR3989" s="1821"/>
      <c r="BS3989" s="1821"/>
      <c r="BT3989" s="1821"/>
      <c r="BU3989" s="1821"/>
      <c r="BV3989" s="1821"/>
      <c r="BW3989" s="1821"/>
      <c r="BX3989" s="1821"/>
      <c r="BY3989" s="1821"/>
      <c r="BZ3989" s="1821"/>
      <c r="CA3989" s="1821"/>
      <c r="CB3989" s="1821"/>
      <c r="CC3989" s="1821"/>
      <c r="CD3989" s="1821"/>
      <c r="CE3989" s="1821"/>
      <c r="CF3989" s="1821"/>
      <c r="CG3989" s="1821"/>
      <c r="CH3989" s="1821"/>
      <c r="CI3989" s="1821"/>
      <c r="CJ3989" s="1821"/>
      <c r="CK3989" s="1821"/>
    </row>
    <row r="3990" spans="1:89" s="744" customFormat="1" ht="16.5" customHeight="1" x14ac:dyDescent="0.25">
      <c r="A3990" s="1033">
        <v>17</v>
      </c>
      <c r="B3990" s="709" t="s">
        <v>456</v>
      </c>
      <c r="C3990" s="827"/>
      <c r="D3990" s="961"/>
      <c r="E3990" s="758"/>
      <c r="F3990" s="714"/>
      <c r="G3990" s="714"/>
      <c r="H3990" s="700">
        <f t="shared" si="440"/>
        <v>0</v>
      </c>
      <c r="I3990" s="714"/>
      <c r="J3990" s="714">
        <f>C3990*E3990</f>
        <v>0</v>
      </c>
      <c r="K3990" s="700">
        <f t="shared" si="438"/>
        <v>0</v>
      </c>
      <c r="L3990" s="714"/>
      <c r="M3990" s="714"/>
      <c r="N3990" s="700">
        <f t="shared" si="441"/>
        <v>0</v>
      </c>
      <c r="O3990" s="974">
        <f t="shared" si="439"/>
        <v>0</v>
      </c>
      <c r="P3990" s="956"/>
      <c r="Q3990" s="1821"/>
      <c r="R3990" s="1821"/>
      <c r="S3990" s="1821"/>
      <c r="T3990" s="1821"/>
      <c r="U3990" s="1821"/>
      <c r="V3990" s="1821"/>
      <c r="W3990" s="1821"/>
      <c r="X3990" s="1821"/>
      <c r="Y3990" s="1821"/>
      <c r="Z3990" s="1821"/>
      <c r="AA3990" s="1821"/>
      <c r="AB3990" s="1821"/>
      <c r="AC3990" s="1821"/>
      <c r="AD3990" s="1821"/>
      <c r="AE3990" s="1821"/>
      <c r="AF3990" s="1821"/>
      <c r="AG3990" s="1821"/>
      <c r="AH3990" s="1821"/>
      <c r="AI3990" s="1821"/>
      <c r="AJ3990" s="1821"/>
      <c r="AK3990" s="1821"/>
      <c r="AL3990" s="1821"/>
      <c r="AM3990" s="1821"/>
      <c r="AN3990" s="1821"/>
      <c r="AO3990" s="1821"/>
      <c r="AP3990" s="1821"/>
      <c r="AQ3990" s="1821"/>
      <c r="AR3990" s="1821"/>
      <c r="AS3990" s="1821"/>
      <c r="AT3990" s="1821"/>
      <c r="AU3990" s="1821"/>
      <c r="AV3990" s="1821"/>
      <c r="AW3990" s="1821"/>
      <c r="AX3990" s="1821"/>
      <c r="AY3990" s="1821"/>
      <c r="AZ3990" s="1821"/>
      <c r="BA3990" s="1821"/>
      <c r="BB3990" s="1821"/>
      <c r="BC3990" s="1821"/>
      <c r="BD3990" s="1821"/>
      <c r="BE3990" s="1821"/>
      <c r="BF3990" s="1821"/>
      <c r="BG3990" s="1821"/>
      <c r="BH3990" s="1821"/>
      <c r="BI3990" s="1821"/>
      <c r="BJ3990" s="1821"/>
      <c r="BK3990" s="1821"/>
      <c r="BL3990" s="1821"/>
      <c r="BM3990" s="1821"/>
      <c r="BN3990" s="1821"/>
      <c r="BO3990" s="1821"/>
      <c r="BP3990" s="1821"/>
      <c r="BQ3990" s="1821"/>
      <c r="BR3990" s="1821"/>
      <c r="BS3990" s="1821"/>
      <c r="BT3990" s="1821"/>
      <c r="BU3990" s="1821"/>
      <c r="BV3990" s="1821"/>
      <c r="BW3990" s="1821"/>
      <c r="BX3990" s="1821"/>
      <c r="BY3990" s="1821"/>
      <c r="BZ3990" s="1821"/>
      <c r="CA3990" s="1821"/>
      <c r="CB3990" s="1821"/>
      <c r="CC3990" s="1821"/>
      <c r="CD3990" s="1821"/>
      <c r="CE3990" s="1821"/>
      <c r="CF3990" s="1821"/>
      <c r="CG3990" s="1821"/>
      <c r="CH3990" s="1821"/>
      <c r="CI3990" s="1821"/>
      <c r="CJ3990" s="1821"/>
      <c r="CK3990" s="1821"/>
    </row>
    <row r="3991" spans="1:89" s="744" customFormat="1" ht="16.5" customHeight="1" x14ac:dyDescent="0.25">
      <c r="A3991" s="1033"/>
      <c r="B3991" s="709" t="s">
        <v>21</v>
      </c>
      <c r="C3991" s="827"/>
      <c r="D3991" s="961"/>
      <c r="E3991" s="758"/>
      <c r="F3991" s="714"/>
      <c r="G3991" s="714"/>
      <c r="H3991" s="700">
        <f t="shared" si="440"/>
        <v>0</v>
      </c>
      <c r="I3991" s="714"/>
      <c r="J3991" s="714">
        <f>C3991*E3991</f>
        <v>0</v>
      </c>
      <c r="K3991" s="700">
        <f t="shared" si="438"/>
        <v>0</v>
      </c>
      <c r="L3991" s="714"/>
      <c r="M3991" s="714"/>
      <c r="N3991" s="700">
        <f t="shared" si="441"/>
        <v>0</v>
      </c>
      <c r="O3991" s="974">
        <f t="shared" si="439"/>
        <v>0</v>
      </c>
      <c r="P3991" s="956"/>
      <c r="Q3991" s="1821"/>
      <c r="R3991" s="1821"/>
      <c r="S3991" s="1821"/>
      <c r="T3991" s="1821"/>
      <c r="U3991" s="1821"/>
      <c r="V3991" s="1821"/>
      <c r="W3991" s="1821"/>
      <c r="X3991" s="1821"/>
      <c r="Y3991" s="1821"/>
      <c r="Z3991" s="1821"/>
      <c r="AA3991" s="1821"/>
      <c r="AB3991" s="1821"/>
      <c r="AC3991" s="1821"/>
      <c r="AD3991" s="1821"/>
      <c r="AE3991" s="1821"/>
      <c r="AF3991" s="1821"/>
      <c r="AG3991" s="1821"/>
      <c r="AH3991" s="1821"/>
      <c r="AI3991" s="1821"/>
      <c r="AJ3991" s="1821"/>
      <c r="AK3991" s="1821"/>
      <c r="AL3991" s="1821"/>
      <c r="AM3991" s="1821"/>
      <c r="AN3991" s="1821"/>
      <c r="AO3991" s="1821"/>
      <c r="AP3991" s="1821"/>
      <c r="AQ3991" s="1821"/>
      <c r="AR3991" s="1821"/>
      <c r="AS3991" s="1821"/>
      <c r="AT3991" s="1821"/>
      <c r="AU3991" s="1821"/>
      <c r="AV3991" s="1821"/>
      <c r="AW3991" s="1821"/>
      <c r="AX3991" s="1821"/>
      <c r="AY3991" s="1821"/>
      <c r="AZ3991" s="1821"/>
      <c r="BA3991" s="1821"/>
      <c r="BB3991" s="1821"/>
      <c r="BC3991" s="1821"/>
      <c r="BD3991" s="1821"/>
      <c r="BE3991" s="1821"/>
      <c r="BF3991" s="1821"/>
      <c r="BG3991" s="1821"/>
      <c r="BH3991" s="1821"/>
      <c r="BI3991" s="1821"/>
      <c r="BJ3991" s="1821"/>
      <c r="BK3991" s="1821"/>
      <c r="BL3991" s="1821"/>
      <c r="BM3991" s="1821"/>
      <c r="BN3991" s="1821"/>
      <c r="BO3991" s="1821"/>
      <c r="BP3991" s="1821"/>
      <c r="BQ3991" s="1821"/>
      <c r="BR3991" s="1821"/>
      <c r="BS3991" s="1821"/>
      <c r="BT3991" s="1821"/>
      <c r="BU3991" s="1821"/>
      <c r="BV3991" s="1821"/>
      <c r="BW3991" s="1821"/>
      <c r="BX3991" s="1821"/>
      <c r="BY3991" s="1821"/>
      <c r="BZ3991" s="1821"/>
      <c r="CA3991" s="1821"/>
      <c r="CB3991" s="1821"/>
      <c r="CC3991" s="1821"/>
      <c r="CD3991" s="1821"/>
      <c r="CE3991" s="1821"/>
      <c r="CF3991" s="1821"/>
      <c r="CG3991" s="1821"/>
      <c r="CH3991" s="1821"/>
      <c r="CI3991" s="1821"/>
      <c r="CJ3991" s="1821"/>
      <c r="CK3991" s="1821"/>
    </row>
    <row r="3992" spans="1:89" s="744" customFormat="1" ht="16.5" customHeight="1" x14ac:dyDescent="0.25">
      <c r="A3992" s="1033"/>
      <c r="B3992" s="709" t="s">
        <v>215</v>
      </c>
      <c r="C3992" s="827">
        <v>1</v>
      </c>
      <c r="D3992" s="961" t="s">
        <v>25</v>
      </c>
      <c r="E3992" s="758">
        <v>1201948</v>
      </c>
      <c r="F3992" s="714"/>
      <c r="G3992" s="714"/>
      <c r="H3992" s="700">
        <f t="shared" si="440"/>
        <v>0</v>
      </c>
      <c r="I3992" s="714"/>
      <c r="J3992" s="714">
        <f>C3992*E3992</f>
        <v>1201948</v>
      </c>
      <c r="K3992" s="700">
        <f t="shared" si="438"/>
        <v>1201948</v>
      </c>
      <c r="L3992" s="714"/>
      <c r="M3992" s="714"/>
      <c r="N3992" s="700">
        <f t="shared" si="441"/>
        <v>0</v>
      </c>
      <c r="O3992" s="974">
        <f t="shared" si="439"/>
        <v>1201948</v>
      </c>
      <c r="P3992" s="956"/>
      <c r="Q3992" s="1821"/>
      <c r="R3992" s="1821"/>
      <c r="S3992" s="1821"/>
      <c r="T3992" s="1821"/>
      <c r="U3992" s="1821"/>
      <c r="V3992" s="1821"/>
      <c r="W3992" s="1821"/>
      <c r="X3992" s="1821"/>
      <c r="Y3992" s="1821"/>
      <c r="Z3992" s="1821"/>
      <c r="AA3992" s="1821"/>
      <c r="AB3992" s="1821"/>
      <c r="AC3992" s="1821"/>
      <c r="AD3992" s="1821"/>
      <c r="AE3992" s="1821"/>
      <c r="AF3992" s="1821"/>
      <c r="AG3992" s="1821"/>
      <c r="AH3992" s="1821"/>
      <c r="AI3992" s="1821"/>
      <c r="AJ3992" s="1821"/>
      <c r="AK3992" s="1821"/>
      <c r="AL3992" s="1821"/>
      <c r="AM3992" s="1821"/>
      <c r="AN3992" s="1821"/>
      <c r="AO3992" s="1821"/>
      <c r="AP3992" s="1821"/>
      <c r="AQ3992" s="1821"/>
      <c r="AR3992" s="1821"/>
      <c r="AS3992" s="1821"/>
      <c r="AT3992" s="1821"/>
      <c r="AU3992" s="1821"/>
      <c r="AV3992" s="1821"/>
      <c r="AW3992" s="1821"/>
      <c r="AX3992" s="1821"/>
      <c r="AY3992" s="1821"/>
      <c r="AZ3992" s="1821"/>
      <c r="BA3992" s="1821"/>
      <c r="BB3992" s="1821"/>
      <c r="BC3992" s="1821"/>
      <c r="BD3992" s="1821"/>
      <c r="BE3992" s="1821"/>
      <c r="BF3992" s="1821"/>
      <c r="BG3992" s="1821"/>
      <c r="BH3992" s="1821"/>
      <c r="BI3992" s="1821"/>
      <c r="BJ3992" s="1821"/>
      <c r="BK3992" s="1821"/>
      <c r="BL3992" s="1821"/>
      <c r="BM3992" s="1821"/>
      <c r="BN3992" s="1821"/>
      <c r="BO3992" s="1821"/>
      <c r="BP3992" s="1821"/>
      <c r="BQ3992" s="1821"/>
      <c r="BR3992" s="1821"/>
      <c r="BS3992" s="1821"/>
      <c r="BT3992" s="1821"/>
      <c r="BU3992" s="1821"/>
      <c r="BV3992" s="1821"/>
      <c r="BW3992" s="1821"/>
      <c r="BX3992" s="1821"/>
      <c r="BY3992" s="1821"/>
      <c r="BZ3992" s="1821"/>
      <c r="CA3992" s="1821"/>
      <c r="CB3992" s="1821"/>
      <c r="CC3992" s="1821"/>
      <c r="CD3992" s="1821"/>
      <c r="CE3992" s="1821"/>
      <c r="CF3992" s="1821"/>
      <c r="CG3992" s="1821"/>
      <c r="CH3992" s="1821"/>
      <c r="CI3992" s="1821"/>
      <c r="CJ3992" s="1821"/>
      <c r="CK3992" s="1821"/>
    </row>
    <row r="3993" spans="1:89" s="744" customFormat="1" ht="16.5" customHeight="1" x14ac:dyDescent="0.25">
      <c r="A3993" s="1033"/>
      <c r="B3993" s="709"/>
      <c r="C3993" s="827"/>
      <c r="D3993" s="961"/>
      <c r="E3993" s="758"/>
      <c r="F3993" s="714"/>
      <c r="G3993" s="714"/>
      <c r="H3993" s="700"/>
      <c r="I3993" s="714"/>
      <c r="J3993" s="714"/>
      <c r="K3993" s="700">
        <f t="shared" si="438"/>
        <v>0</v>
      </c>
      <c r="L3993" s="714"/>
      <c r="M3993" s="714"/>
      <c r="N3993" s="700"/>
      <c r="O3993" s="974">
        <f t="shared" si="439"/>
        <v>0</v>
      </c>
      <c r="P3993" s="956"/>
      <c r="Q3993" s="1821"/>
      <c r="R3993" s="1821"/>
      <c r="S3993" s="1821"/>
      <c r="T3993" s="1821"/>
      <c r="U3993" s="1821"/>
      <c r="V3993" s="1821"/>
      <c r="W3993" s="1821"/>
      <c r="X3993" s="1821"/>
      <c r="Y3993" s="1821"/>
      <c r="Z3993" s="1821"/>
      <c r="AA3993" s="1821"/>
      <c r="AB3993" s="1821"/>
      <c r="AC3993" s="1821"/>
      <c r="AD3993" s="1821"/>
      <c r="AE3993" s="1821"/>
      <c r="AF3993" s="1821"/>
      <c r="AG3993" s="1821"/>
      <c r="AH3993" s="1821"/>
      <c r="AI3993" s="1821"/>
      <c r="AJ3993" s="1821"/>
      <c r="AK3993" s="1821"/>
      <c r="AL3993" s="1821"/>
      <c r="AM3993" s="1821"/>
      <c r="AN3993" s="1821"/>
      <c r="AO3993" s="1821"/>
      <c r="AP3993" s="1821"/>
      <c r="AQ3993" s="1821"/>
      <c r="AR3993" s="1821"/>
      <c r="AS3993" s="1821"/>
      <c r="AT3993" s="1821"/>
      <c r="AU3993" s="1821"/>
      <c r="AV3993" s="1821"/>
      <c r="AW3993" s="1821"/>
      <c r="AX3993" s="1821"/>
      <c r="AY3993" s="1821"/>
      <c r="AZ3993" s="1821"/>
      <c r="BA3993" s="1821"/>
      <c r="BB3993" s="1821"/>
      <c r="BC3993" s="1821"/>
      <c r="BD3993" s="1821"/>
      <c r="BE3993" s="1821"/>
      <c r="BF3993" s="1821"/>
      <c r="BG3993" s="1821"/>
      <c r="BH3993" s="1821"/>
      <c r="BI3993" s="1821"/>
      <c r="BJ3993" s="1821"/>
      <c r="BK3993" s="1821"/>
      <c r="BL3993" s="1821"/>
      <c r="BM3993" s="1821"/>
      <c r="BN3993" s="1821"/>
      <c r="BO3993" s="1821"/>
      <c r="BP3993" s="1821"/>
      <c r="BQ3993" s="1821"/>
      <c r="BR3993" s="1821"/>
      <c r="BS3993" s="1821"/>
      <c r="BT3993" s="1821"/>
      <c r="BU3993" s="1821"/>
      <c r="BV3993" s="1821"/>
      <c r="BW3993" s="1821"/>
      <c r="BX3993" s="1821"/>
      <c r="BY3993" s="1821"/>
      <c r="BZ3993" s="1821"/>
      <c r="CA3993" s="1821"/>
      <c r="CB3993" s="1821"/>
      <c r="CC3993" s="1821"/>
      <c r="CD3993" s="1821"/>
      <c r="CE3993" s="1821"/>
      <c r="CF3993" s="1821"/>
      <c r="CG3993" s="1821"/>
      <c r="CH3993" s="1821"/>
      <c r="CI3993" s="1821"/>
      <c r="CJ3993" s="1821"/>
      <c r="CK3993" s="1821"/>
    </row>
    <row r="3994" spans="1:89" s="744" customFormat="1" ht="16.5" customHeight="1" x14ac:dyDescent="0.25">
      <c r="A3994" s="1033">
        <v>18</v>
      </c>
      <c r="B3994" s="709" t="s">
        <v>1354</v>
      </c>
      <c r="C3994" s="827"/>
      <c r="D3994" s="961"/>
      <c r="E3994" s="758"/>
      <c r="F3994" s="714"/>
      <c r="G3994" s="714"/>
      <c r="H3994" s="700"/>
      <c r="I3994" s="714"/>
      <c r="J3994" s="714"/>
      <c r="K3994" s="700"/>
      <c r="L3994" s="714"/>
      <c r="M3994" s="714"/>
      <c r="N3994" s="700"/>
      <c r="O3994" s="974"/>
      <c r="P3994" s="956"/>
      <c r="Q3994" s="1821"/>
      <c r="R3994" s="1821"/>
      <c r="S3994" s="1821"/>
      <c r="T3994" s="1821"/>
      <c r="U3994" s="1821"/>
      <c r="V3994" s="1821"/>
      <c r="W3994" s="1821"/>
      <c r="X3994" s="1821"/>
      <c r="Y3994" s="1821"/>
      <c r="Z3994" s="1821"/>
      <c r="AA3994" s="1821"/>
      <c r="AB3994" s="1821"/>
      <c r="AC3994" s="1821"/>
      <c r="AD3994" s="1821"/>
      <c r="AE3994" s="1821"/>
      <c r="AF3994" s="1821"/>
      <c r="AG3994" s="1821"/>
      <c r="AH3994" s="1821"/>
      <c r="AI3994" s="1821"/>
      <c r="AJ3994" s="1821"/>
      <c r="AK3994" s="1821"/>
      <c r="AL3994" s="1821"/>
      <c r="AM3994" s="1821"/>
      <c r="AN3994" s="1821"/>
      <c r="AO3994" s="1821"/>
      <c r="AP3994" s="1821"/>
      <c r="AQ3994" s="1821"/>
      <c r="AR3994" s="1821"/>
      <c r="AS3994" s="1821"/>
      <c r="AT3994" s="1821"/>
      <c r="AU3994" s="1821"/>
      <c r="AV3994" s="1821"/>
      <c r="AW3994" s="1821"/>
      <c r="AX3994" s="1821"/>
      <c r="AY3994" s="1821"/>
      <c r="AZ3994" s="1821"/>
      <c r="BA3994" s="1821"/>
      <c r="BB3994" s="1821"/>
      <c r="BC3994" s="1821"/>
      <c r="BD3994" s="1821"/>
      <c r="BE3994" s="1821"/>
      <c r="BF3994" s="1821"/>
      <c r="BG3994" s="1821"/>
      <c r="BH3994" s="1821"/>
      <c r="BI3994" s="1821"/>
      <c r="BJ3994" s="1821"/>
      <c r="BK3994" s="1821"/>
      <c r="BL3994" s="1821"/>
      <c r="BM3994" s="1821"/>
      <c r="BN3994" s="1821"/>
      <c r="BO3994" s="1821"/>
      <c r="BP3994" s="1821"/>
      <c r="BQ3994" s="1821"/>
      <c r="BR3994" s="1821"/>
      <c r="BS3994" s="1821"/>
      <c r="BT3994" s="1821"/>
      <c r="BU3994" s="1821"/>
      <c r="BV3994" s="1821"/>
      <c r="BW3994" s="1821"/>
      <c r="BX3994" s="1821"/>
      <c r="BY3994" s="1821"/>
      <c r="BZ3994" s="1821"/>
      <c r="CA3994" s="1821"/>
      <c r="CB3994" s="1821"/>
      <c r="CC3994" s="1821"/>
      <c r="CD3994" s="1821"/>
      <c r="CE3994" s="1821"/>
      <c r="CF3994" s="1821"/>
      <c r="CG3994" s="1821"/>
      <c r="CH3994" s="1821"/>
      <c r="CI3994" s="1821"/>
      <c r="CJ3994" s="1821"/>
      <c r="CK3994" s="1821"/>
    </row>
    <row r="3995" spans="1:89" s="744" customFormat="1" ht="16.5" customHeight="1" x14ac:dyDescent="0.25">
      <c r="A3995" s="1033"/>
      <c r="B3995" s="709" t="s">
        <v>40</v>
      </c>
      <c r="C3995" s="827">
        <f>SUM(O3996:O4002)</f>
        <v>209055</v>
      </c>
      <c r="D3995" s="961"/>
      <c r="E3995" s="758"/>
      <c r="F3995" s="714"/>
      <c r="G3995" s="714"/>
      <c r="H3995" s="700">
        <f t="shared" ref="H3995:H4002" si="443">G3995+F3995</f>
        <v>0</v>
      </c>
      <c r="I3995" s="714"/>
      <c r="J3995" s="714">
        <f>C3995*E3995</f>
        <v>0</v>
      </c>
      <c r="K3995" s="700">
        <f t="shared" si="438"/>
        <v>0</v>
      </c>
      <c r="L3995" s="714"/>
      <c r="M3995" s="714"/>
      <c r="N3995" s="700">
        <f t="shared" ref="N3995:N4002" si="444">M3995+L3995</f>
        <v>0</v>
      </c>
      <c r="O3995" s="974">
        <f t="shared" si="439"/>
        <v>0</v>
      </c>
      <c r="P3995" s="956"/>
      <c r="Q3995" s="1821"/>
      <c r="R3995" s="1821"/>
      <c r="S3995" s="1821"/>
      <c r="T3995" s="1821"/>
      <c r="U3995" s="1821"/>
      <c r="V3995" s="1821"/>
      <c r="W3995" s="1821"/>
      <c r="X3995" s="1821"/>
      <c r="Y3995" s="1821"/>
      <c r="Z3995" s="1821"/>
      <c r="AA3995" s="1821"/>
      <c r="AB3995" s="1821"/>
      <c r="AC3995" s="1821"/>
      <c r="AD3995" s="1821"/>
      <c r="AE3995" s="1821"/>
      <c r="AF3995" s="1821"/>
      <c r="AG3995" s="1821"/>
      <c r="AH3995" s="1821"/>
      <c r="AI3995" s="1821"/>
      <c r="AJ3995" s="1821"/>
      <c r="AK3995" s="1821"/>
      <c r="AL3995" s="1821"/>
      <c r="AM3995" s="1821"/>
      <c r="AN3995" s="1821"/>
      <c r="AO3995" s="1821"/>
      <c r="AP3995" s="1821"/>
      <c r="AQ3995" s="1821"/>
      <c r="AR3995" s="1821"/>
      <c r="AS3995" s="1821"/>
      <c r="AT3995" s="1821"/>
      <c r="AU3995" s="1821"/>
      <c r="AV3995" s="1821"/>
      <c r="AW3995" s="1821"/>
      <c r="AX3995" s="1821"/>
      <c r="AY3995" s="1821"/>
      <c r="AZ3995" s="1821"/>
      <c r="BA3995" s="1821"/>
      <c r="BB3995" s="1821"/>
      <c r="BC3995" s="1821"/>
      <c r="BD3995" s="1821"/>
      <c r="BE3995" s="1821"/>
      <c r="BF3995" s="1821"/>
      <c r="BG3995" s="1821"/>
      <c r="BH3995" s="1821"/>
      <c r="BI3995" s="1821"/>
      <c r="BJ3995" s="1821"/>
      <c r="BK3995" s="1821"/>
      <c r="BL3995" s="1821"/>
      <c r="BM3995" s="1821"/>
      <c r="BN3995" s="1821"/>
      <c r="BO3995" s="1821"/>
      <c r="BP3995" s="1821"/>
      <c r="BQ3995" s="1821"/>
      <c r="BR3995" s="1821"/>
      <c r="BS3995" s="1821"/>
      <c r="BT3995" s="1821"/>
      <c r="BU3995" s="1821"/>
      <c r="BV3995" s="1821"/>
      <c r="BW3995" s="1821"/>
      <c r="BX3995" s="1821"/>
      <c r="BY3995" s="1821"/>
      <c r="BZ3995" s="1821"/>
      <c r="CA3995" s="1821"/>
      <c r="CB3995" s="1821"/>
      <c r="CC3995" s="1821"/>
      <c r="CD3995" s="1821"/>
      <c r="CE3995" s="1821"/>
      <c r="CF3995" s="1821"/>
      <c r="CG3995" s="1821"/>
      <c r="CH3995" s="1821"/>
      <c r="CI3995" s="1821"/>
      <c r="CJ3995" s="1821"/>
      <c r="CK3995" s="1821"/>
    </row>
    <row r="3996" spans="1:89" s="744" customFormat="1" ht="16.5" customHeight="1" x14ac:dyDescent="0.25">
      <c r="A3996" s="1033"/>
      <c r="B3996" s="709" t="s">
        <v>215</v>
      </c>
      <c r="C3996" s="827">
        <v>1</v>
      </c>
      <c r="D3996" s="961" t="s">
        <v>25</v>
      </c>
      <c r="E3996" s="758">
        <v>154875</v>
      </c>
      <c r="F3996" s="714"/>
      <c r="G3996" s="714"/>
      <c r="H3996" s="700">
        <f t="shared" si="443"/>
        <v>0</v>
      </c>
      <c r="I3996" s="714"/>
      <c r="J3996" s="714">
        <f>C3996*E3996</f>
        <v>154875</v>
      </c>
      <c r="K3996" s="700">
        <f t="shared" si="438"/>
        <v>154875</v>
      </c>
      <c r="L3996" s="714"/>
      <c r="M3996" s="714"/>
      <c r="N3996" s="700">
        <f t="shared" si="444"/>
        <v>0</v>
      </c>
      <c r="O3996" s="974">
        <f t="shared" si="439"/>
        <v>154875</v>
      </c>
      <c r="P3996" s="956"/>
      <c r="Q3996" s="1821"/>
      <c r="R3996" s="1821"/>
      <c r="S3996" s="1821"/>
      <c r="T3996" s="1821"/>
      <c r="U3996" s="1821"/>
      <c r="V3996" s="1821"/>
      <c r="W3996" s="1821"/>
      <c r="X3996" s="1821"/>
      <c r="Y3996" s="1821"/>
      <c r="Z3996" s="1821"/>
      <c r="AA3996" s="1821"/>
      <c r="AB3996" s="1821"/>
      <c r="AC3996" s="1821"/>
      <c r="AD3996" s="1821"/>
      <c r="AE3996" s="1821"/>
      <c r="AF3996" s="1821"/>
      <c r="AG3996" s="1821"/>
      <c r="AH3996" s="1821"/>
      <c r="AI3996" s="1821"/>
      <c r="AJ3996" s="1821"/>
      <c r="AK3996" s="1821"/>
      <c r="AL3996" s="1821"/>
      <c r="AM3996" s="1821"/>
      <c r="AN3996" s="1821"/>
      <c r="AO3996" s="1821"/>
      <c r="AP3996" s="1821"/>
      <c r="AQ3996" s="1821"/>
      <c r="AR3996" s="1821"/>
      <c r="AS3996" s="1821"/>
      <c r="AT3996" s="1821"/>
      <c r="AU3996" s="1821"/>
      <c r="AV3996" s="1821"/>
      <c r="AW3996" s="1821"/>
      <c r="AX3996" s="1821"/>
      <c r="AY3996" s="1821"/>
      <c r="AZ3996" s="1821"/>
      <c r="BA3996" s="1821"/>
      <c r="BB3996" s="1821"/>
      <c r="BC3996" s="1821"/>
      <c r="BD3996" s="1821"/>
      <c r="BE3996" s="1821"/>
      <c r="BF3996" s="1821"/>
      <c r="BG3996" s="1821"/>
      <c r="BH3996" s="1821"/>
      <c r="BI3996" s="1821"/>
      <c r="BJ3996" s="1821"/>
      <c r="BK3996" s="1821"/>
      <c r="BL3996" s="1821"/>
      <c r="BM3996" s="1821"/>
      <c r="BN3996" s="1821"/>
      <c r="BO3996" s="1821"/>
      <c r="BP3996" s="1821"/>
      <c r="BQ3996" s="1821"/>
      <c r="BR3996" s="1821"/>
      <c r="BS3996" s="1821"/>
      <c r="BT3996" s="1821"/>
      <c r="BU3996" s="1821"/>
      <c r="BV3996" s="1821"/>
      <c r="BW3996" s="1821"/>
      <c r="BX3996" s="1821"/>
      <c r="BY3996" s="1821"/>
      <c r="BZ3996" s="1821"/>
      <c r="CA3996" s="1821"/>
      <c r="CB3996" s="1821"/>
      <c r="CC3996" s="1821"/>
      <c r="CD3996" s="1821"/>
      <c r="CE3996" s="1821"/>
      <c r="CF3996" s="1821"/>
      <c r="CG3996" s="1821"/>
      <c r="CH3996" s="1821"/>
      <c r="CI3996" s="1821"/>
      <c r="CJ3996" s="1821"/>
      <c r="CK3996" s="1821"/>
    </row>
    <row r="3997" spans="1:89" s="744" customFormat="1" ht="16.5" customHeight="1" x14ac:dyDescent="0.25">
      <c r="A3997" s="1033"/>
      <c r="B3997" s="709" t="s">
        <v>206</v>
      </c>
      <c r="C3997" s="827"/>
      <c r="D3997" s="961"/>
      <c r="E3997" s="758"/>
      <c r="F3997" s="714"/>
      <c r="G3997" s="714"/>
      <c r="H3997" s="700">
        <f t="shared" si="443"/>
        <v>0</v>
      </c>
      <c r="I3997" s="714"/>
      <c r="J3997" s="714">
        <f>C3997*E3997</f>
        <v>0</v>
      </c>
      <c r="K3997" s="700">
        <f t="shared" si="438"/>
        <v>0</v>
      </c>
      <c r="L3997" s="714"/>
      <c r="M3997" s="714"/>
      <c r="N3997" s="700">
        <f t="shared" si="444"/>
        <v>0</v>
      </c>
      <c r="O3997" s="974">
        <f t="shared" si="439"/>
        <v>0</v>
      </c>
      <c r="P3997" s="956"/>
      <c r="Q3997" s="1821"/>
      <c r="R3997" s="1821"/>
      <c r="S3997" s="1821"/>
      <c r="T3997" s="1821"/>
      <c r="U3997" s="1821"/>
      <c r="V3997" s="1821"/>
      <c r="W3997" s="1821"/>
      <c r="X3997" s="1821"/>
      <c r="Y3997" s="1821"/>
      <c r="Z3997" s="1821"/>
      <c r="AA3997" s="1821"/>
      <c r="AB3997" s="1821"/>
      <c r="AC3997" s="1821"/>
      <c r="AD3997" s="1821"/>
      <c r="AE3997" s="1821"/>
      <c r="AF3997" s="1821"/>
      <c r="AG3997" s="1821"/>
      <c r="AH3997" s="1821"/>
      <c r="AI3997" s="1821"/>
      <c r="AJ3997" s="1821"/>
      <c r="AK3997" s="1821"/>
      <c r="AL3997" s="1821"/>
      <c r="AM3997" s="1821"/>
      <c r="AN3997" s="1821"/>
      <c r="AO3997" s="1821"/>
      <c r="AP3997" s="1821"/>
      <c r="AQ3997" s="1821"/>
      <c r="AR3997" s="1821"/>
      <c r="AS3997" s="1821"/>
      <c r="AT3997" s="1821"/>
      <c r="AU3997" s="1821"/>
      <c r="AV3997" s="1821"/>
      <c r="AW3997" s="1821"/>
      <c r="AX3997" s="1821"/>
      <c r="AY3997" s="1821"/>
      <c r="AZ3997" s="1821"/>
      <c r="BA3997" s="1821"/>
      <c r="BB3997" s="1821"/>
      <c r="BC3997" s="1821"/>
      <c r="BD3997" s="1821"/>
      <c r="BE3997" s="1821"/>
      <c r="BF3997" s="1821"/>
      <c r="BG3997" s="1821"/>
      <c r="BH3997" s="1821"/>
      <c r="BI3997" s="1821"/>
      <c r="BJ3997" s="1821"/>
      <c r="BK3997" s="1821"/>
      <c r="BL3997" s="1821"/>
      <c r="BM3997" s="1821"/>
      <c r="BN3997" s="1821"/>
      <c r="BO3997" s="1821"/>
      <c r="BP3997" s="1821"/>
      <c r="BQ3997" s="1821"/>
      <c r="BR3997" s="1821"/>
      <c r="BS3997" s="1821"/>
      <c r="BT3997" s="1821"/>
      <c r="BU3997" s="1821"/>
      <c r="BV3997" s="1821"/>
      <c r="BW3997" s="1821"/>
      <c r="BX3997" s="1821"/>
      <c r="BY3997" s="1821"/>
      <c r="BZ3997" s="1821"/>
      <c r="CA3997" s="1821"/>
      <c r="CB3997" s="1821"/>
      <c r="CC3997" s="1821"/>
      <c r="CD3997" s="1821"/>
      <c r="CE3997" s="1821"/>
      <c r="CF3997" s="1821"/>
      <c r="CG3997" s="1821"/>
      <c r="CH3997" s="1821"/>
      <c r="CI3997" s="1821"/>
      <c r="CJ3997" s="1821"/>
      <c r="CK3997" s="1821"/>
    </row>
    <row r="3998" spans="1:89" s="744" customFormat="1" ht="16.5" customHeight="1" x14ac:dyDescent="0.25">
      <c r="A3998" s="1033"/>
      <c r="B3998" s="709" t="s">
        <v>455</v>
      </c>
      <c r="C3998" s="827">
        <v>1</v>
      </c>
      <c r="D3998" s="961" t="s">
        <v>1355</v>
      </c>
      <c r="E3998" s="758">
        <v>16500</v>
      </c>
      <c r="F3998" s="714"/>
      <c r="G3998" s="714"/>
      <c r="H3998" s="700">
        <f t="shared" si="443"/>
        <v>0</v>
      </c>
      <c r="I3998" s="714"/>
      <c r="J3998" s="714">
        <f>C3998*E3998</f>
        <v>16500</v>
      </c>
      <c r="K3998" s="700">
        <f t="shared" si="438"/>
        <v>16500</v>
      </c>
      <c r="L3998" s="714"/>
      <c r="M3998" s="714"/>
      <c r="N3998" s="700">
        <f t="shared" si="444"/>
        <v>0</v>
      </c>
      <c r="O3998" s="974">
        <f t="shared" si="439"/>
        <v>16500</v>
      </c>
      <c r="P3998" s="956"/>
      <c r="Q3998" s="1821"/>
      <c r="R3998" s="1821"/>
      <c r="S3998" s="1821"/>
      <c r="T3998" s="1821"/>
      <c r="U3998" s="1821"/>
      <c r="V3998" s="1821"/>
      <c r="W3998" s="1821"/>
      <c r="X3998" s="1821"/>
      <c r="Y3998" s="1821"/>
      <c r="Z3998" s="1821"/>
      <c r="AA3998" s="1821"/>
      <c r="AB3998" s="1821"/>
      <c r="AC3998" s="1821"/>
      <c r="AD3998" s="1821"/>
      <c r="AE3998" s="1821"/>
      <c r="AF3998" s="1821"/>
      <c r="AG3998" s="1821"/>
      <c r="AH3998" s="1821"/>
      <c r="AI3998" s="1821"/>
      <c r="AJ3998" s="1821"/>
      <c r="AK3998" s="1821"/>
      <c r="AL3998" s="1821"/>
      <c r="AM3998" s="1821"/>
      <c r="AN3998" s="1821"/>
      <c r="AO3998" s="1821"/>
      <c r="AP3998" s="1821"/>
      <c r="AQ3998" s="1821"/>
      <c r="AR3998" s="1821"/>
      <c r="AS3998" s="1821"/>
      <c r="AT3998" s="1821"/>
      <c r="AU3998" s="1821"/>
      <c r="AV3998" s="1821"/>
      <c r="AW3998" s="1821"/>
      <c r="AX3998" s="1821"/>
      <c r="AY3998" s="1821"/>
      <c r="AZ3998" s="1821"/>
      <c r="BA3998" s="1821"/>
      <c r="BB3998" s="1821"/>
      <c r="BC3998" s="1821"/>
      <c r="BD3998" s="1821"/>
      <c r="BE3998" s="1821"/>
      <c r="BF3998" s="1821"/>
      <c r="BG3998" s="1821"/>
      <c r="BH3998" s="1821"/>
      <c r="BI3998" s="1821"/>
      <c r="BJ3998" s="1821"/>
      <c r="BK3998" s="1821"/>
      <c r="BL3998" s="1821"/>
      <c r="BM3998" s="1821"/>
      <c r="BN3998" s="1821"/>
      <c r="BO3998" s="1821"/>
      <c r="BP3998" s="1821"/>
      <c r="BQ3998" s="1821"/>
      <c r="BR3998" s="1821"/>
      <c r="BS3998" s="1821"/>
      <c r="BT3998" s="1821"/>
      <c r="BU3998" s="1821"/>
      <c r="BV3998" s="1821"/>
      <c r="BW3998" s="1821"/>
      <c r="BX3998" s="1821"/>
      <c r="BY3998" s="1821"/>
      <c r="BZ3998" s="1821"/>
      <c r="CA3998" s="1821"/>
      <c r="CB3998" s="1821"/>
      <c r="CC3998" s="1821"/>
      <c r="CD3998" s="1821"/>
      <c r="CE3998" s="1821"/>
      <c r="CF3998" s="1821"/>
      <c r="CG3998" s="1821"/>
      <c r="CH3998" s="1821"/>
      <c r="CI3998" s="1821"/>
      <c r="CJ3998" s="1821"/>
      <c r="CK3998" s="1821"/>
    </row>
    <row r="3999" spans="1:89" s="744" customFormat="1" ht="16.5" customHeight="1" x14ac:dyDescent="0.25">
      <c r="A3999" s="1033"/>
      <c r="B3999" s="709" t="s">
        <v>349</v>
      </c>
      <c r="C3999" s="827"/>
      <c r="D3999" s="961"/>
      <c r="E3999" s="758"/>
      <c r="F3999" s="714"/>
      <c r="G3999" s="714"/>
      <c r="H3999" s="700">
        <f t="shared" si="443"/>
        <v>0</v>
      </c>
      <c r="I3999" s="714"/>
      <c r="J3999" s="714">
        <f>C3999*E3999</f>
        <v>0</v>
      </c>
      <c r="K3999" s="700">
        <f t="shared" si="438"/>
        <v>0</v>
      </c>
      <c r="L3999" s="714"/>
      <c r="M3999" s="714"/>
      <c r="N3999" s="700">
        <f t="shared" si="444"/>
        <v>0</v>
      </c>
      <c r="O3999" s="974">
        <f t="shared" si="439"/>
        <v>0</v>
      </c>
      <c r="P3999" s="956"/>
      <c r="Q3999" s="1821"/>
      <c r="R3999" s="1821"/>
      <c r="S3999" s="1821"/>
      <c r="T3999" s="1821"/>
      <c r="U3999" s="1821"/>
      <c r="V3999" s="1821"/>
      <c r="W3999" s="1821"/>
      <c r="X3999" s="1821"/>
      <c r="Y3999" s="1821"/>
      <c r="Z3999" s="1821"/>
      <c r="AA3999" s="1821"/>
      <c r="AB3999" s="1821"/>
      <c r="AC3999" s="1821"/>
      <c r="AD3999" s="1821"/>
      <c r="AE3999" s="1821"/>
      <c r="AF3999" s="1821"/>
      <c r="AG3999" s="1821"/>
      <c r="AH3999" s="1821"/>
      <c r="AI3999" s="1821"/>
      <c r="AJ3999" s="1821"/>
      <c r="AK3999" s="1821"/>
      <c r="AL3999" s="1821"/>
      <c r="AM3999" s="1821"/>
      <c r="AN3999" s="1821"/>
      <c r="AO3999" s="1821"/>
      <c r="AP3999" s="1821"/>
      <c r="AQ3999" s="1821"/>
      <c r="AR3999" s="1821"/>
      <c r="AS3999" s="1821"/>
      <c r="AT3999" s="1821"/>
      <c r="AU3999" s="1821"/>
      <c r="AV3999" s="1821"/>
      <c r="AW3999" s="1821"/>
      <c r="AX3999" s="1821"/>
      <c r="AY3999" s="1821"/>
      <c r="AZ3999" s="1821"/>
      <c r="BA3999" s="1821"/>
      <c r="BB3999" s="1821"/>
      <c r="BC3999" s="1821"/>
      <c r="BD3999" s="1821"/>
      <c r="BE3999" s="1821"/>
      <c r="BF3999" s="1821"/>
      <c r="BG3999" s="1821"/>
      <c r="BH3999" s="1821"/>
      <c r="BI3999" s="1821"/>
      <c r="BJ3999" s="1821"/>
      <c r="BK3999" s="1821"/>
      <c r="BL3999" s="1821"/>
      <c r="BM3999" s="1821"/>
      <c r="BN3999" s="1821"/>
      <c r="BO3999" s="1821"/>
      <c r="BP3999" s="1821"/>
      <c r="BQ3999" s="1821"/>
      <c r="BR3999" s="1821"/>
      <c r="BS3999" s="1821"/>
      <c r="BT3999" s="1821"/>
      <c r="BU3999" s="1821"/>
      <c r="BV3999" s="1821"/>
      <c r="BW3999" s="1821"/>
      <c r="BX3999" s="1821"/>
      <c r="BY3999" s="1821"/>
      <c r="BZ3999" s="1821"/>
      <c r="CA3999" s="1821"/>
      <c r="CB3999" s="1821"/>
      <c r="CC3999" s="1821"/>
      <c r="CD3999" s="1821"/>
      <c r="CE3999" s="1821"/>
      <c r="CF3999" s="1821"/>
      <c r="CG3999" s="1821"/>
      <c r="CH3999" s="1821"/>
      <c r="CI3999" s="1821"/>
      <c r="CJ3999" s="1821"/>
      <c r="CK3999" s="1821"/>
    </row>
    <row r="4000" spans="1:89" s="744" customFormat="1" ht="16.5" customHeight="1" x14ac:dyDescent="0.25">
      <c r="A4000" s="1033"/>
      <c r="B4000" s="709" t="s">
        <v>359</v>
      </c>
      <c r="C4000" s="827">
        <v>12</v>
      </c>
      <c r="D4000" s="961" t="s">
        <v>51</v>
      </c>
      <c r="E4000" s="758">
        <v>100</v>
      </c>
      <c r="F4000" s="714"/>
      <c r="G4000" s="714"/>
      <c r="H4000" s="700">
        <f t="shared" si="443"/>
        <v>0</v>
      </c>
      <c r="I4000" s="714"/>
      <c r="J4000" s="714">
        <f>E4000*C4000</f>
        <v>1200</v>
      </c>
      <c r="K4000" s="700">
        <f t="shared" si="438"/>
        <v>1200</v>
      </c>
      <c r="L4000" s="714"/>
      <c r="M4000" s="714"/>
      <c r="N4000" s="700">
        <f t="shared" si="444"/>
        <v>0</v>
      </c>
      <c r="O4000" s="974">
        <f t="shared" si="439"/>
        <v>1200</v>
      </c>
      <c r="P4000" s="956"/>
      <c r="Q4000" s="1821"/>
      <c r="R4000" s="1821"/>
      <c r="S4000" s="1821"/>
      <c r="T4000" s="1821"/>
      <c r="U4000" s="1821"/>
      <c r="V4000" s="1821"/>
      <c r="W4000" s="1821"/>
      <c r="X4000" s="1821"/>
      <c r="Y4000" s="1821"/>
      <c r="Z4000" s="1821"/>
      <c r="AA4000" s="1821"/>
      <c r="AB4000" s="1821"/>
      <c r="AC4000" s="1821"/>
      <c r="AD4000" s="1821"/>
      <c r="AE4000" s="1821"/>
      <c r="AF4000" s="1821"/>
      <c r="AG4000" s="1821"/>
      <c r="AH4000" s="1821"/>
      <c r="AI4000" s="1821"/>
      <c r="AJ4000" s="1821"/>
      <c r="AK4000" s="1821"/>
      <c r="AL4000" s="1821"/>
      <c r="AM4000" s="1821"/>
      <c r="AN4000" s="1821"/>
      <c r="AO4000" s="1821"/>
      <c r="AP4000" s="1821"/>
      <c r="AQ4000" s="1821"/>
      <c r="AR4000" s="1821"/>
      <c r="AS4000" s="1821"/>
      <c r="AT4000" s="1821"/>
      <c r="AU4000" s="1821"/>
      <c r="AV4000" s="1821"/>
      <c r="AW4000" s="1821"/>
      <c r="AX4000" s="1821"/>
      <c r="AY4000" s="1821"/>
      <c r="AZ4000" s="1821"/>
      <c r="BA4000" s="1821"/>
      <c r="BB4000" s="1821"/>
      <c r="BC4000" s="1821"/>
      <c r="BD4000" s="1821"/>
      <c r="BE4000" s="1821"/>
      <c r="BF4000" s="1821"/>
      <c r="BG4000" s="1821"/>
      <c r="BH4000" s="1821"/>
      <c r="BI4000" s="1821"/>
      <c r="BJ4000" s="1821"/>
      <c r="BK4000" s="1821"/>
      <c r="BL4000" s="1821"/>
      <c r="BM4000" s="1821"/>
      <c r="BN4000" s="1821"/>
      <c r="BO4000" s="1821"/>
      <c r="BP4000" s="1821"/>
      <c r="BQ4000" s="1821"/>
      <c r="BR4000" s="1821"/>
      <c r="BS4000" s="1821"/>
      <c r="BT4000" s="1821"/>
      <c r="BU4000" s="1821"/>
      <c r="BV4000" s="1821"/>
      <c r="BW4000" s="1821"/>
      <c r="BX4000" s="1821"/>
      <c r="BY4000" s="1821"/>
      <c r="BZ4000" s="1821"/>
      <c r="CA4000" s="1821"/>
      <c r="CB4000" s="1821"/>
      <c r="CC4000" s="1821"/>
      <c r="CD4000" s="1821"/>
      <c r="CE4000" s="1821"/>
      <c r="CF4000" s="1821"/>
      <c r="CG4000" s="1821"/>
      <c r="CH4000" s="1821"/>
      <c r="CI4000" s="1821"/>
      <c r="CJ4000" s="1821"/>
      <c r="CK4000" s="1821"/>
    </row>
    <row r="4001" spans="1:89" s="744" customFormat="1" ht="16.5" customHeight="1" x14ac:dyDescent="0.25">
      <c r="A4001" s="1033"/>
      <c r="B4001" s="709" t="s">
        <v>54</v>
      </c>
      <c r="C4001" s="827">
        <v>48</v>
      </c>
      <c r="D4001" s="961" t="s">
        <v>55</v>
      </c>
      <c r="E4001" s="758">
        <v>415</v>
      </c>
      <c r="F4001" s="714"/>
      <c r="G4001" s="714"/>
      <c r="H4001" s="700">
        <f t="shared" si="443"/>
        <v>0</v>
      </c>
      <c r="I4001" s="714"/>
      <c r="J4001" s="714">
        <f>E4001*C4001</f>
        <v>19920</v>
      </c>
      <c r="K4001" s="700">
        <f t="shared" si="438"/>
        <v>19920</v>
      </c>
      <c r="L4001" s="714"/>
      <c r="M4001" s="714"/>
      <c r="N4001" s="700">
        <f t="shared" si="444"/>
        <v>0</v>
      </c>
      <c r="O4001" s="974">
        <f t="shared" si="439"/>
        <v>19920</v>
      </c>
      <c r="P4001" s="956"/>
      <c r="Q4001" s="1821"/>
      <c r="R4001" s="1821"/>
      <c r="S4001" s="1821"/>
      <c r="T4001" s="1821"/>
      <c r="U4001" s="1821"/>
      <c r="V4001" s="1821"/>
      <c r="W4001" s="1821"/>
      <c r="X4001" s="1821"/>
      <c r="Y4001" s="1821"/>
      <c r="Z4001" s="1821"/>
      <c r="AA4001" s="1821"/>
      <c r="AB4001" s="1821"/>
      <c r="AC4001" s="1821"/>
      <c r="AD4001" s="1821"/>
      <c r="AE4001" s="1821"/>
      <c r="AF4001" s="1821"/>
      <c r="AG4001" s="1821"/>
      <c r="AH4001" s="1821"/>
      <c r="AI4001" s="1821"/>
      <c r="AJ4001" s="1821"/>
      <c r="AK4001" s="1821"/>
      <c r="AL4001" s="1821"/>
      <c r="AM4001" s="1821"/>
      <c r="AN4001" s="1821"/>
      <c r="AO4001" s="1821"/>
      <c r="AP4001" s="1821"/>
      <c r="AQ4001" s="1821"/>
      <c r="AR4001" s="1821"/>
      <c r="AS4001" s="1821"/>
      <c r="AT4001" s="1821"/>
      <c r="AU4001" s="1821"/>
      <c r="AV4001" s="1821"/>
      <c r="AW4001" s="1821"/>
      <c r="AX4001" s="1821"/>
      <c r="AY4001" s="1821"/>
      <c r="AZ4001" s="1821"/>
      <c r="BA4001" s="1821"/>
      <c r="BB4001" s="1821"/>
      <c r="BC4001" s="1821"/>
      <c r="BD4001" s="1821"/>
      <c r="BE4001" s="1821"/>
      <c r="BF4001" s="1821"/>
      <c r="BG4001" s="1821"/>
      <c r="BH4001" s="1821"/>
      <c r="BI4001" s="1821"/>
      <c r="BJ4001" s="1821"/>
      <c r="BK4001" s="1821"/>
      <c r="BL4001" s="1821"/>
      <c r="BM4001" s="1821"/>
      <c r="BN4001" s="1821"/>
      <c r="BO4001" s="1821"/>
      <c r="BP4001" s="1821"/>
      <c r="BQ4001" s="1821"/>
      <c r="BR4001" s="1821"/>
      <c r="BS4001" s="1821"/>
      <c r="BT4001" s="1821"/>
      <c r="BU4001" s="1821"/>
      <c r="BV4001" s="1821"/>
      <c r="BW4001" s="1821"/>
      <c r="BX4001" s="1821"/>
      <c r="BY4001" s="1821"/>
      <c r="BZ4001" s="1821"/>
      <c r="CA4001" s="1821"/>
      <c r="CB4001" s="1821"/>
      <c r="CC4001" s="1821"/>
      <c r="CD4001" s="1821"/>
      <c r="CE4001" s="1821"/>
      <c r="CF4001" s="1821"/>
      <c r="CG4001" s="1821"/>
      <c r="CH4001" s="1821"/>
      <c r="CI4001" s="1821"/>
      <c r="CJ4001" s="1821"/>
      <c r="CK4001" s="1821"/>
    </row>
    <row r="4002" spans="1:89" s="744" customFormat="1" ht="16.5" customHeight="1" x14ac:dyDescent="0.25">
      <c r="A4002" s="1033"/>
      <c r="B4002" s="709" t="s">
        <v>52</v>
      </c>
      <c r="C4002" s="827">
        <v>36</v>
      </c>
      <c r="D4002" s="961" t="s">
        <v>55</v>
      </c>
      <c r="E4002" s="758">
        <v>460</v>
      </c>
      <c r="F4002" s="714"/>
      <c r="G4002" s="714"/>
      <c r="H4002" s="700">
        <f t="shared" si="443"/>
        <v>0</v>
      </c>
      <c r="I4002" s="714"/>
      <c r="J4002" s="714">
        <f>E4002*C4002</f>
        <v>16560</v>
      </c>
      <c r="K4002" s="700">
        <f t="shared" si="438"/>
        <v>16560</v>
      </c>
      <c r="L4002" s="714"/>
      <c r="M4002" s="714"/>
      <c r="N4002" s="700">
        <f t="shared" si="444"/>
        <v>0</v>
      </c>
      <c r="O4002" s="974">
        <f t="shared" si="439"/>
        <v>16560</v>
      </c>
      <c r="P4002" s="956"/>
      <c r="Q4002" s="1821"/>
      <c r="R4002" s="1821"/>
      <c r="S4002" s="1821"/>
      <c r="T4002" s="1821"/>
      <c r="U4002" s="1821"/>
      <c r="V4002" s="1821"/>
      <c r="W4002" s="1821"/>
      <c r="X4002" s="1821"/>
      <c r="Y4002" s="1821"/>
      <c r="Z4002" s="1821"/>
      <c r="AA4002" s="1821"/>
      <c r="AB4002" s="1821"/>
      <c r="AC4002" s="1821"/>
      <c r="AD4002" s="1821"/>
      <c r="AE4002" s="1821"/>
      <c r="AF4002" s="1821"/>
      <c r="AG4002" s="1821"/>
      <c r="AH4002" s="1821"/>
      <c r="AI4002" s="1821"/>
      <c r="AJ4002" s="1821"/>
      <c r="AK4002" s="1821"/>
      <c r="AL4002" s="1821"/>
      <c r="AM4002" s="1821"/>
      <c r="AN4002" s="1821"/>
      <c r="AO4002" s="1821"/>
      <c r="AP4002" s="1821"/>
      <c r="AQ4002" s="1821"/>
      <c r="AR4002" s="1821"/>
      <c r="AS4002" s="1821"/>
      <c r="AT4002" s="1821"/>
      <c r="AU4002" s="1821"/>
      <c r="AV4002" s="1821"/>
      <c r="AW4002" s="1821"/>
      <c r="AX4002" s="1821"/>
      <c r="AY4002" s="1821"/>
      <c r="AZ4002" s="1821"/>
      <c r="BA4002" s="1821"/>
      <c r="BB4002" s="1821"/>
      <c r="BC4002" s="1821"/>
      <c r="BD4002" s="1821"/>
      <c r="BE4002" s="1821"/>
      <c r="BF4002" s="1821"/>
      <c r="BG4002" s="1821"/>
      <c r="BH4002" s="1821"/>
      <c r="BI4002" s="1821"/>
      <c r="BJ4002" s="1821"/>
      <c r="BK4002" s="1821"/>
      <c r="BL4002" s="1821"/>
      <c r="BM4002" s="1821"/>
      <c r="BN4002" s="1821"/>
      <c r="BO4002" s="1821"/>
      <c r="BP4002" s="1821"/>
      <c r="BQ4002" s="1821"/>
      <c r="BR4002" s="1821"/>
      <c r="BS4002" s="1821"/>
      <c r="BT4002" s="1821"/>
      <c r="BU4002" s="1821"/>
      <c r="BV4002" s="1821"/>
      <c r="BW4002" s="1821"/>
      <c r="BX4002" s="1821"/>
      <c r="BY4002" s="1821"/>
      <c r="BZ4002" s="1821"/>
      <c r="CA4002" s="1821"/>
      <c r="CB4002" s="1821"/>
      <c r="CC4002" s="1821"/>
      <c r="CD4002" s="1821"/>
      <c r="CE4002" s="1821"/>
      <c r="CF4002" s="1821"/>
      <c r="CG4002" s="1821"/>
      <c r="CH4002" s="1821"/>
      <c r="CI4002" s="1821"/>
      <c r="CJ4002" s="1821"/>
      <c r="CK4002" s="1821"/>
    </row>
    <row r="4003" spans="1:89" s="744" customFormat="1" ht="16.5" customHeight="1" x14ac:dyDescent="0.25">
      <c r="A4003" s="1033"/>
      <c r="B4003" s="709"/>
      <c r="C4003" s="827"/>
      <c r="D4003" s="961"/>
      <c r="E4003" s="758"/>
      <c r="F4003" s="714"/>
      <c r="G4003" s="714"/>
      <c r="H4003" s="700"/>
      <c r="I4003" s="714"/>
      <c r="J4003" s="714"/>
      <c r="K4003" s="700">
        <f t="shared" si="438"/>
        <v>0</v>
      </c>
      <c r="L4003" s="714"/>
      <c r="M4003" s="714"/>
      <c r="N4003" s="700"/>
      <c r="O4003" s="974">
        <f t="shared" si="439"/>
        <v>0</v>
      </c>
      <c r="P4003" s="956"/>
      <c r="Q4003" s="1821"/>
      <c r="R4003" s="1821"/>
      <c r="S4003" s="1821"/>
      <c r="T4003" s="1821"/>
      <c r="U4003" s="1821"/>
      <c r="V4003" s="1821"/>
      <c r="W4003" s="1821"/>
      <c r="X4003" s="1821"/>
      <c r="Y4003" s="1821"/>
      <c r="Z4003" s="1821"/>
      <c r="AA4003" s="1821"/>
      <c r="AB4003" s="1821"/>
      <c r="AC4003" s="1821"/>
      <c r="AD4003" s="1821"/>
      <c r="AE4003" s="1821"/>
      <c r="AF4003" s="1821"/>
      <c r="AG4003" s="1821"/>
      <c r="AH4003" s="1821"/>
      <c r="AI4003" s="1821"/>
      <c r="AJ4003" s="1821"/>
      <c r="AK4003" s="1821"/>
      <c r="AL4003" s="1821"/>
      <c r="AM4003" s="1821"/>
      <c r="AN4003" s="1821"/>
      <c r="AO4003" s="1821"/>
      <c r="AP4003" s="1821"/>
      <c r="AQ4003" s="1821"/>
      <c r="AR4003" s="1821"/>
      <c r="AS4003" s="1821"/>
      <c r="AT4003" s="1821"/>
      <c r="AU4003" s="1821"/>
      <c r="AV4003" s="1821"/>
      <c r="AW4003" s="1821"/>
      <c r="AX4003" s="1821"/>
      <c r="AY4003" s="1821"/>
      <c r="AZ4003" s="1821"/>
      <c r="BA4003" s="1821"/>
      <c r="BB4003" s="1821"/>
      <c r="BC4003" s="1821"/>
      <c r="BD4003" s="1821"/>
      <c r="BE4003" s="1821"/>
      <c r="BF4003" s="1821"/>
      <c r="BG4003" s="1821"/>
      <c r="BH4003" s="1821"/>
      <c r="BI4003" s="1821"/>
      <c r="BJ4003" s="1821"/>
      <c r="BK4003" s="1821"/>
      <c r="BL4003" s="1821"/>
      <c r="BM4003" s="1821"/>
      <c r="BN4003" s="1821"/>
      <c r="BO4003" s="1821"/>
      <c r="BP4003" s="1821"/>
      <c r="BQ4003" s="1821"/>
      <c r="BR4003" s="1821"/>
      <c r="BS4003" s="1821"/>
      <c r="BT4003" s="1821"/>
      <c r="BU4003" s="1821"/>
      <c r="BV4003" s="1821"/>
      <c r="BW4003" s="1821"/>
      <c r="BX4003" s="1821"/>
      <c r="BY4003" s="1821"/>
      <c r="BZ4003" s="1821"/>
      <c r="CA4003" s="1821"/>
      <c r="CB4003" s="1821"/>
      <c r="CC4003" s="1821"/>
      <c r="CD4003" s="1821"/>
      <c r="CE4003" s="1821"/>
      <c r="CF4003" s="1821"/>
      <c r="CG4003" s="1821"/>
      <c r="CH4003" s="1821"/>
      <c r="CI4003" s="1821"/>
      <c r="CJ4003" s="1821"/>
      <c r="CK4003" s="1821"/>
    </row>
    <row r="4004" spans="1:89" s="744" customFormat="1" ht="16.5" customHeight="1" x14ac:dyDescent="0.25">
      <c r="A4004" s="1033">
        <v>19</v>
      </c>
      <c r="B4004" s="709" t="s">
        <v>1356</v>
      </c>
      <c r="C4004" s="827"/>
      <c r="D4004" s="961"/>
      <c r="E4004" s="758"/>
      <c r="F4004" s="714"/>
      <c r="G4004" s="714"/>
      <c r="H4004" s="700"/>
      <c r="I4004" s="714"/>
      <c r="J4004" s="714"/>
      <c r="K4004" s="700">
        <f t="shared" si="438"/>
        <v>0</v>
      </c>
      <c r="L4004" s="714"/>
      <c r="M4004" s="714"/>
      <c r="N4004" s="700"/>
      <c r="O4004" s="974">
        <f t="shared" si="439"/>
        <v>0</v>
      </c>
      <c r="P4004" s="956"/>
      <c r="Q4004" s="1821"/>
      <c r="R4004" s="1821"/>
      <c r="S4004" s="1821"/>
      <c r="T4004" s="1821"/>
      <c r="U4004" s="1821"/>
      <c r="V4004" s="1821"/>
      <c r="W4004" s="1821"/>
      <c r="X4004" s="1821"/>
      <c r="Y4004" s="1821"/>
      <c r="Z4004" s="1821"/>
      <c r="AA4004" s="1821"/>
      <c r="AB4004" s="1821"/>
      <c r="AC4004" s="1821"/>
      <c r="AD4004" s="1821"/>
      <c r="AE4004" s="1821"/>
      <c r="AF4004" s="1821"/>
      <c r="AG4004" s="1821"/>
      <c r="AH4004" s="1821"/>
      <c r="AI4004" s="1821"/>
      <c r="AJ4004" s="1821"/>
      <c r="AK4004" s="1821"/>
      <c r="AL4004" s="1821"/>
      <c r="AM4004" s="1821"/>
      <c r="AN4004" s="1821"/>
      <c r="AO4004" s="1821"/>
      <c r="AP4004" s="1821"/>
      <c r="AQ4004" s="1821"/>
      <c r="AR4004" s="1821"/>
      <c r="AS4004" s="1821"/>
      <c r="AT4004" s="1821"/>
      <c r="AU4004" s="1821"/>
      <c r="AV4004" s="1821"/>
      <c r="AW4004" s="1821"/>
      <c r="AX4004" s="1821"/>
      <c r="AY4004" s="1821"/>
      <c r="AZ4004" s="1821"/>
      <c r="BA4004" s="1821"/>
      <c r="BB4004" s="1821"/>
      <c r="BC4004" s="1821"/>
      <c r="BD4004" s="1821"/>
      <c r="BE4004" s="1821"/>
      <c r="BF4004" s="1821"/>
      <c r="BG4004" s="1821"/>
      <c r="BH4004" s="1821"/>
      <c r="BI4004" s="1821"/>
      <c r="BJ4004" s="1821"/>
      <c r="BK4004" s="1821"/>
      <c r="BL4004" s="1821"/>
      <c r="BM4004" s="1821"/>
      <c r="BN4004" s="1821"/>
      <c r="BO4004" s="1821"/>
      <c r="BP4004" s="1821"/>
      <c r="BQ4004" s="1821"/>
      <c r="BR4004" s="1821"/>
      <c r="BS4004" s="1821"/>
      <c r="BT4004" s="1821"/>
      <c r="BU4004" s="1821"/>
      <c r="BV4004" s="1821"/>
      <c r="BW4004" s="1821"/>
      <c r="BX4004" s="1821"/>
      <c r="BY4004" s="1821"/>
      <c r="BZ4004" s="1821"/>
      <c r="CA4004" s="1821"/>
      <c r="CB4004" s="1821"/>
      <c r="CC4004" s="1821"/>
      <c r="CD4004" s="1821"/>
      <c r="CE4004" s="1821"/>
      <c r="CF4004" s="1821"/>
      <c r="CG4004" s="1821"/>
      <c r="CH4004" s="1821"/>
      <c r="CI4004" s="1821"/>
      <c r="CJ4004" s="1821"/>
      <c r="CK4004" s="1821"/>
    </row>
    <row r="4005" spans="1:89" s="744" customFormat="1" ht="16.5" customHeight="1" x14ac:dyDescent="0.25">
      <c r="A4005" s="1033"/>
      <c r="B4005" s="709" t="s">
        <v>40</v>
      </c>
      <c r="C4005" s="827"/>
      <c r="D4005" s="961"/>
      <c r="E4005" s="758"/>
      <c r="F4005" s="714"/>
      <c r="G4005" s="714"/>
      <c r="H4005" s="700">
        <f>G4005+F4005</f>
        <v>0</v>
      </c>
      <c r="I4005" s="714"/>
      <c r="J4005" s="714">
        <f>C4005*E4005</f>
        <v>0</v>
      </c>
      <c r="K4005" s="700">
        <f t="shared" si="438"/>
        <v>0</v>
      </c>
      <c r="L4005" s="714"/>
      <c r="M4005" s="714"/>
      <c r="N4005" s="700">
        <f>M4005+L4005</f>
        <v>0</v>
      </c>
      <c r="O4005" s="974">
        <f t="shared" si="439"/>
        <v>0</v>
      </c>
      <c r="P4005" s="956"/>
      <c r="Q4005" s="1821"/>
      <c r="R4005" s="1821"/>
      <c r="S4005" s="1821"/>
      <c r="T4005" s="1821"/>
      <c r="U4005" s="1821"/>
      <c r="V4005" s="1821"/>
      <c r="W4005" s="1821"/>
      <c r="X4005" s="1821"/>
      <c r="Y4005" s="1821"/>
      <c r="Z4005" s="1821"/>
      <c r="AA4005" s="1821"/>
      <c r="AB4005" s="1821"/>
      <c r="AC4005" s="1821"/>
      <c r="AD4005" s="1821"/>
      <c r="AE4005" s="1821"/>
      <c r="AF4005" s="1821"/>
      <c r="AG4005" s="1821"/>
      <c r="AH4005" s="1821"/>
      <c r="AI4005" s="1821"/>
      <c r="AJ4005" s="1821"/>
      <c r="AK4005" s="1821"/>
      <c r="AL4005" s="1821"/>
      <c r="AM4005" s="1821"/>
      <c r="AN4005" s="1821"/>
      <c r="AO4005" s="1821"/>
      <c r="AP4005" s="1821"/>
      <c r="AQ4005" s="1821"/>
      <c r="AR4005" s="1821"/>
      <c r="AS4005" s="1821"/>
      <c r="AT4005" s="1821"/>
      <c r="AU4005" s="1821"/>
      <c r="AV4005" s="1821"/>
      <c r="AW4005" s="1821"/>
      <c r="AX4005" s="1821"/>
      <c r="AY4005" s="1821"/>
      <c r="AZ4005" s="1821"/>
      <c r="BA4005" s="1821"/>
      <c r="BB4005" s="1821"/>
      <c r="BC4005" s="1821"/>
      <c r="BD4005" s="1821"/>
      <c r="BE4005" s="1821"/>
      <c r="BF4005" s="1821"/>
      <c r="BG4005" s="1821"/>
      <c r="BH4005" s="1821"/>
      <c r="BI4005" s="1821"/>
      <c r="BJ4005" s="1821"/>
      <c r="BK4005" s="1821"/>
      <c r="BL4005" s="1821"/>
      <c r="BM4005" s="1821"/>
      <c r="BN4005" s="1821"/>
      <c r="BO4005" s="1821"/>
      <c r="BP4005" s="1821"/>
      <c r="BQ4005" s="1821"/>
      <c r="BR4005" s="1821"/>
      <c r="BS4005" s="1821"/>
      <c r="BT4005" s="1821"/>
      <c r="BU4005" s="1821"/>
      <c r="BV4005" s="1821"/>
      <c r="BW4005" s="1821"/>
      <c r="BX4005" s="1821"/>
      <c r="BY4005" s="1821"/>
      <c r="BZ4005" s="1821"/>
      <c r="CA4005" s="1821"/>
      <c r="CB4005" s="1821"/>
      <c r="CC4005" s="1821"/>
      <c r="CD4005" s="1821"/>
      <c r="CE4005" s="1821"/>
      <c r="CF4005" s="1821"/>
      <c r="CG4005" s="1821"/>
      <c r="CH4005" s="1821"/>
      <c r="CI4005" s="1821"/>
      <c r="CJ4005" s="1821"/>
      <c r="CK4005" s="1821"/>
    </row>
    <row r="4006" spans="1:89" s="744" customFormat="1" ht="16.5" customHeight="1" x14ac:dyDescent="0.25">
      <c r="A4006" s="1033"/>
      <c r="B4006" s="709" t="s">
        <v>215</v>
      </c>
      <c r="C4006" s="827">
        <v>1</v>
      </c>
      <c r="D4006" s="961" t="s">
        <v>25</v>
      </c>
      <c r="E4006" s="758">
        <v>198000</v>
      </c>
      <c r="F4006" s="714"/>
      <c r="G4006" s="714"/>
      <c r="H4006" s="700">
        <f>G4006+F4006</f>
        <v>0</v>
      </c>
      <c r="I4006" s="714"/>
      <c r="J4006" s="714">
        <f>C4006*E4006</f>
        <v>198000</v>
      </c>
      <c r="K4006" s="700">
        <f t="shared" si="438"/>
        <v>198000</v>
      </c>
      <c r="L4006" s="714"/>
      <c r="M4006" s="714"/>
      <c r="N4006" s="700">
        <f>M4006+L4006</f>
        <v>0</v>
      </c>
      <c r="O4006" s="974">
        <f t="shared" si="439"/>
        <v>198000</v>
      </c>
      <c r="P4006" s="956"/>
      <c r="Q4006" s="1821"/>
      <c r="R4006" s="1821"/>
      <c r="S4006" s="1821"/>
      <c r="T4006" s="1821"/>
      <c r="U4006" s="1821"/>
      <c r="V4006" s="1821"/>
      <c r="W4006" s="1821"/>
      <c r="X4006" s="1821"/>
      <c r="Y4006" s="1821"/>
      <c r="Z4006" s="1821"/>
      <c r="AA4006" s="1821"/>
      <c r="AB4006" s="1821"/>
      <c r="AC4006" s="1821"/>
      <c r="AD4006" s="1821"/>
      <c r="AE4006" s="1821"/>
      <c r="AF4006" s="1821"/>
      <c r="AG4006" s="1821"/>
      <c r="AH4006" s="1821"/>
      <c r="AI4006" s="1821"/>
      <c r="AJ4006" s="1821"/>
      <c r="AK4006" s="1821"/>
      <c r="AL4006" s="1821"/>
      <c r="AM4006" s="1821"/>
      <c r="AN4006" s="1821"/>
      <c r="AO4006" s="1821"/>
      <c r="AP4006" s="1821"/>
      <c r="AQ4006" s="1821"/>
      <c r="AR4006" s="1821"/>
      <c r="AS4006" s="1821"/>
      <c r="AT4006" s="1821"/>
      <c r="AU4006" s="1821"/>
      <c r="AV4006" s="1821"/>
      <c r="AW4006" s="1821"/>
      <c r="AX4006" s="1821"/>
      <c r="AY4006" s="1821"/>
      <c r="AZ4006" s="1821"/>
      <c r="BA4006" s="1821"/>
      <c r="BB4006" s="1821"/>
      <c r="BC4006" s="1821"/>
      <c r="BD4006" s="1821"/>
      <c r="BE4006" s="1821"/>
      <c r="BF4006" s="1821"/>
      <c r="BG4006" s="1821"/>
      <c r="BH4006" s="1821"/>
      <c r="BI4006" s="1821"/>
      <c r="BJ4006" s="1821"/>
      <c r="BK4006" s="1821"/>
      <c r="BL4006" s="1821"/>
      <c r="BM4006" s="1821"/>
      <c r="BN4006" s="1821"/>
      <c r="BO4006" s="1821"/>
      <c r="BP4006" s="1821"/>
      <c r="BQ4006" s="1821"/>
      <c r="BR4006" s="1821"/>
      <c r="BS4006" s="1821"/>
      <c r="BT4006" s="1821"/>
      <c r="BU4006" s="1821"/>
      <c r="BV4006" s="1821"/>
      <c r="BW4006" s="1821"/>
      <c r="BX4006" s="1821"/>
      <c r="BY4006" s="1821"/>
      <c r="BZ4006" s="1821"/>
      <c r="CA4006" s="1821"/>
      <c r="CB4006" s="1821"/>
      <c r="CC4006" s="1821"/>
      <c r="CD4006" s="1821"/>
      <c r="CE4006" s="1821"/>
      <c r="CF4006" s="1821"/>
      <c r="CG4006" s="1821"/>
      <c r="CH4006" s="1821"/>
      <c r="CI4006" s="1821"/>
      <c r="CJ4006" s="1821"/>
      <c r="CK4006" s="1821"/>
    </row>
    <row r="4007" spans="1:89" s="744" customFormat="1" ht="16.5" customHeight="1" x14ac:dyDescent="0.25">
      <c r="A4007" s="1033"/>
      <c r="B4007" s="709"/>
      <c r="C4007" s="827"/>
      <c r="D4007" s="961"/>
      <c r="E4007" s="758"/>
      <c r="F4007" s="714"/>
      <c r="G4007" s="714"/>
      <c r="H4007" s="700"/>
      <c r="I4007" s="714"/>
      <c r="J4007" s="714"/>
      <c r="K4007" s="700">
        <f t="shared" si="438"/>
        <v>0</v>
      </c>
      <c r="L4007" s="714"/>
      <c r="M4007" s="714"/>
      <c r="N4007" s="700"/>
      <c r="O4007" s="974">
        <f t="shared" si="439"/>
        <v>0</v>
      </c>
      <c r="P4007" s="956"/>
      <c r="Q4007" s="1821"/>
      <c r="R4007" s="1821"/>
      <c r="S4007" s="1821"/>
      <c r="T4007" s="1821"/>
      <c r="U4007" s="1821"/>
      <c r="V4007" s="1821"/>
      <c r="W4007" s="1821"/>
      <c r="X4007" s="1821"/>
      <c r="Y4007" s="1821"/>
      <c r="Z4007" s="1821"/>
      <c r="AA4007" s="1821"/>
      <c r="AB4007" s="1821"/>
      <c r="AC4007" s="1821"/>
      <c r="AD4007" s="1821"/>
      <c r="AE4007" s="1821"/>
      <c r="AF4007" s="1821"/>
      <c r="AG4007" s="1821"/>
      <c r="AH4007" s="1821"/>
      <c r="AI4007" s="1821"/>
      <c r="AJ4007" s="1821"/>
      <c r="AK4007" s="1821"/>
      <c r="AL4007" s="1821"/>
      <c r="AM4007" s="1821"/>
      <c r="AN4007" s="1821"/>
      <c r="AO4007" s="1821"/>
      <c r="AP4007" s="1821"/>
      <c r="AQ4007" s="1821"/>
      <c r="AR4007" s="1821"/>
      <c r="AS4007" s="1821"/>
      <c r="AT4007" s="1821"/>
      <c r="AU4007" s="1821"/>
      <c r="AV4007" s="1821"/>
      <c r="AW4007" s="1821"/>
      <c r="AX4007" s="1821"/>
      <c r="AY4007" s="1821"/>
      <c r="AZ4007" s="1821"/>
      <c r="BA4007" s="1821"/>
      <c r="BB4007" s="1821"/>
      <c r="BC4007" s="1821"/>
      <c r="BD4007" s="1821"/>
      <c r="BE4007" s="1821"/>
      <c r="BF4007" s="1821"/>
      <c r="BG4007" s="1821"/>
      <c r="BH4007" s="1821"/>
      <c r="BI4007" s="1821"/>
      <c r="BJ4007" s="1821"/>
      <c r="BK4007" s="1821"/>
      <c r="BL4007" s="1821"/>
      <c r="BM4007" s="1821"/>
      <c r="BN4007" s="1821"/>
      <c r="BO4007" s="1821"/>
      <c r="BP4007" s="1821"/>
      <c r="BQ4007" s="1821"/>
      <c r="BR4007" s="1821"/>
      <c r="BS4007" s="1821"/>
      <c r="BT4007" s="1821"/>
      <c r="BU4007" s="1821"/>
      <c r="BV4007" s="1821"/>
      <c r="BW4007" s="1821"/>
      <c r="BX4007" s="1821"/>
      <c r="BY4007" s="1821"/>
      <c r="BZ4007" s="1821"/>
      <c r="CA4007" s="1821"/>
      <c r="CB4007" s="1821"/>
      <c r="CC4007" s="1821"/>
      <c r="CD4007" s="1821"/>
      <c r="CE4007" s="1821"/>
      <c r="CF4007" s="1821"/>
      <c r="CG4007" s="1821"/>
      <c r="CH4007" s="1821"/>
      <c r="CI4007" s="1821"/>
      <c r="CJ4007" s="1821"/>
      <c r="CK4007" s="1821"/>
    </row>
    <row r="4008" spans="1:89" s="744" customFormat="1" ht="16.5" customHeight="1" x14ac:dyDescent="0.25">
      <c r="A4008" s="1033">
        <v>20</v>
      </c>
      <c r="B4008" s="709" t="s">
        <v>1357</v>
      </c>
      <c r="C4008" s="827"/>
      <c r="D4008" s="961"/>
      <c r="E4008" s="758"/>
      <c r="F4008" s="714"/>
      <c r="G4008" s="714"/>
      <c r="H4008" s="700"/>
      <c r="I4008" s="714"/>
      <c r="J4008" s="714"/>
      <c r="K4008" s="700">
        <f t="shared" si="438"/>
        <v>0</v>
      </c>
      <c r="L4008" s="714"/>
      <c r="M4008" s="714"/>
      <c r="N4008" s="700"/>
      <c r="O4008" s="974">
        <f t="shared" si="439"/>
        <v>0</v>
      </c>
      <c r="P4008" s="956"/>
      <c r="Q4008" s="1821"/>
      <c r="R4008" s="1821"/>
      <c r="S4008" s="1821"/>
      <c r="T4008" s="1821"/>
      <c r="U4008" s="1821"/>
      <c r="V4008" s="1821"/>
      <c r="W4008" s="1821"/>
      <c r="X4008" s="1821"/>
      <c r="Y4008" s="1821"/>
      <c r="Z4008" s="1821"/>
      <c r="AA4008" s="1821"/>
      <c r="AB4008" s="1821"/>
      <c r="AC4008" s="1821"/>
      <c r="AD4008" s="1821"/>
      <c r="AE4008" s="1821"/>
      <c r="AF4008" s="1821"/>
      <c r="AG4008" s="1821"/>
      <c r="AH4008" s="1821"/>
      <c r="AI4008" s="1821"/>
      <c r="AJ4008" s="1821"/>
      <c r="AK4008" s="1821"/>
      <c r="AL4008" s="1821"/>
      <c r="AM4008" s="1821"/>
      <c r="AN4008" s="1821"/>
      <c r="AO4008" s="1821"/>
      <c r="AP4008" s="1821"/>
      <c r="AQ4008" s="1821"/>
      <c r="AR4008" s="1821"/>
      <c r="AS4008" s="1821"/>
      <c r="AT4008" s="1821"/>
      <c r="AU4008" s="1821"/>
      <c r="AV4008" s="1821"/>
      <c r="AW4008" s="1821"/>
      <c r="AX4008" s="1821"/>
      <c r="AY4008" s="1821"/>
      <c r="AZ4008" s="1821"/>
      <c r="BA4008" s="1821"/>
      <c r="BB4008" s="1821"/>
      <c r="BC4008" s="1821"/>
      <c r="BD4008" s="1821"/>
      <c r="BE4008" s="1821"/>
      <c r="BF4008" s="1821"/>
      <c r="BG4008" s="1821"/>
      <c r="BH4008" s="1821"/>
      <c r="BI4008" s="1821"/>
      <c r="BJ4008" s="1821"/>
      <c r="BK4008" s="1821"/>
      <c r="BL4008" s="1821"/>
      <c r="BM4008" s="1821"/>
      <c r="BN4008" s="1821"/>
      <c r="BO4008" s="1821"/>
      <c r="BP4008" s="1821"/>
      <c r="BQ4008" s="1821"/>
      <c r="BR4008" s="1821"/>
      <c r="BS4008" s="1821"/>
      <c r="BT4008" s="1821"/>
      <c r="BU4008" s="1821"/>
      <c r="BV4008" s="1821"/>
      <c r="BW4008" s="1821"/>
      <c r="BX4008" s="1821"/>
      <c r="BY4008" s="1821"/>
      <c r="BZ4008" s="1821"/>
      <c r="CA4008" s="1821"/>
      <c r="CB4008" s="1821"/>
      <c r="CC4008" s="1821"/>
      <c r="CD4008" s="1821"/>
      <c r="CE4008" s="1821"/>
      <c r="CF4008" s="1821"/>
      <c r="CG4008" s="1821"/>
      <c r="CH4008" s="1821"/>
      <c r="CI4008" s="1821"/>
      <c r="CJ4008" s="1821"/>
      <c r="CK4008" s="1821"/>
    </row>
    <row r="4009" spans="1:89" s="744" customFormat="1" ht="16.5" customHeight="1" x14ac:dyDescent="0.25">
      <c r="A4009" s="1033"/>
      <c r="B4009" s="709" t="s">
        <v>40</v>
      </c>
      <c r="C4009" s="827"/>
      <c r="D4009" s="961"/>
      <c r="E4009" s="758"/>
      <c r="F4009" s="714"/>
      <c r="G4009" s="714"/>
      <c r="H4009" s="700">
        <f>G4009+F4009</f>
        <v>0</v>
      </c>
      <c r="I4009" s="714"/>
      <c r="J4009" s="714">
        <f>C4009*E4009</f>
        <v>0</v>
      </c>
      <c r="K4009" s="700">
        <f t="shared" si="438"/>
        <v>0</v>
      </c>
      <c r="L4009" s="714"/>
      <c r="M4009" s="714"/>
      <c r="N4009" s="700">
        <f>M4009+L4009</f>
        <v>0</v>
      </c>
      <c r="O4009" s="974">
        <f t="shared" si="439"/>
        <v>0</v>
      </c>
      <c r="P4009" s="956"/>
      <c r="Q4009" s="1821"/>
      <c r="R4009" s="1821"/>
      <c r="S4009" s="1821"/>
      <c r="T4009" s="1821"/>
      <c r="U4009" s="1821"/>
      <c r="V4009" s="1821"/>
      <c r="W4009" s="1821"/>
      <c r="X4009" s="1821"/>
      <c r="Y4009" s="1821"/>
      <c r="Z4009" s="1821"/>
      <c r="AA4009" s="1821"/>
      <c r="AB4009" s="1821"/>
      <c r="AC4009" s="1821"/>
      <c r="AD4009" s="1821"/>
      <c r="AE4009" s="1821"/>
      <c r="AF4009" s="1821"/>
      <c r="AG4009" s="1821"/>
      <c r="AH4009" s="1821"/>
      <c r="AI4009" s="1821"/>
      <c r="AJ4009" s="1821"/>
      <c r="AK4009" s="1821"/>
      <c r="AL4009" s="1821"/>
      <c r="AM4009" s="1821"/>
      <c r="AN4009" s="1821"/>
      <c r="AO4009" s="1821"/>
      <c r="AP4009" s="1821"/>
      <c r="AQ4009" s="1821"/>
      <c r="AR4009" s="1821"/>
      <c r="AS4009" s="1821"/>
      <c r="AT4009" s="1821"/>
      <c r="AU4009" s="1821"/>
      <c r="AV4009" s="1821"/>
      <c r="AW4009" s="1821"/>
      <c r="AX4009" s="1821"/>
      <c r="AY4009" s="1821"/>
      <c r="AZ4009" s="1821"/>
      <c r="BA4009" s="1821"/>
      <c r="BB4009" s="1821"/>
      <c r="BC4009" s="1821"/>
      <c r="BD4009" s="1821"/>
      <c r="BE4009" s="1821"/>
      <c r="BF4009" s="1821"/>
      <c r="BG4009" s="1821"/>
      <c r="BH4009" s="1821"/>
      <c r="BI4009" s="1821"/>
      <c r="BJ4009" s="1821"/>
      <c r="BK4009" s="1821"/>
      <c r="BL4009" s="1821"/>
      <c r="BM4009" s="1821"/>
      <c r="BN4009" s="1821"/>
      <c r="BO4009" s="1821"/>
      <c r="BP4009" s="1821"/>
      <c r="BQ4009" s="1821"/>
      <c r="BR4009" s="1821"/>
      <c r="BS4009" s="1821"/>
      <c r="BT4009" s="1821"/>
      <c r="BU4009" s="1821"/>
      <c r="BV4009" s="1821"/>
      <c r="BW4009" s="1821"/>
      <c r="BX4009" s="1821"/>
      <c r="BY4009" s="1821"/>
      <c r="BZ4009" s="1821"/>
      <c r="CA4009" s="1821"/>
      <c r="CB4009" s="1821"/>
      <c r="CC4009" s="1821"/>
      <c r="CD4009" s="1821"/>
      <c r="CE4009" s="1821"/>
      <c r="CF4009" s="1821"/>
      <c r="CG4009" s="1821"/>
      <c r="CH4009" s="1821"/>
      <c r="CI4009" s="1821"/>
      <c r="CJ4009" s="1821"/>
      <c r="CK4009" s="1821"/>
    </row>
    <row r="4010" spans="1:89" s="744" customFormat="1" ht="16.5" customHeight="1" x14ac:dyDescent="0.25">
      <c r="A4010" s="1033"/>
      <c r="B4010" s="709" t="s">
        <v>215</v>
      </c>
      <c r="C4010" s="827">
        <v>1</v>
      </c>
      <c r="D4010" s="961" t="s">
        <v>25</v>
      </c>
      <c r="E4010" s="758">
        <v>697400</v>
      </c>
      <c r="F4010" s="714"/>
      <c r="G4010" s="714"/>
      <c r="H4010" s="700">
        <f>G4010+F4010</f>
        <v>0</v>
      </c>
      <c r="I4010" s="714"/>
      <c r="J4010" s="714">
        <f>C4010*E4010</f>
        <v>697400</v>
      </c>
      <c r="K4010" s="700">
        <f t="shared" si="438"/>
        <v>697400</v>
      </c>
      <c r="L4010" s="714"/>
      <c r="M4010" s="714"/>
      <c r="N4010" s="700">
        <f>M4010+L4010</f>
        <v>0</v>
      </c>
      <c r="O4010" s="974">
        <f t="shared" si="439"/>
        <v>697400</v>
      </c>
      <c r="P4010" s="956"/>
      <c r="Q4010" s="1821"/>
      <c r="R4010" s="1821"/>
      <c r="S4010" s="1821"/>
      <c r="T4010" s="1821"/>
      <c r="U4010" s="1821"/>
      <c r="V4010" s="1821"/>
      <c r="W4010" s="1821"/>
      <c r="X4010" s="1821"/>
      <c r="Y4010" s="1821"/>
      <c r="Z4010" s="1821"/>
      <c r="AA4010" s="1821"/>
      <c r="AB4010" s="1821"/>
      <c r="AC4010" s="1821"/>
      <c r="AD4010" s="1821"/>
      <c r="AE4010" s="1821"/>
      <c r="AF4010" s="1821"/>
      <c r="AG4010" s="1821"/>
      <c r="AH4010" s="1821"/>
      <c r="AI4010" s="1821"/>
      <c r="AJ4010" s="1821"/>
      <c r="AK4010" s="1821"/>
      <c r="AL4010" s="1821"/>
      <c r="AM4010" s="1821"/>
      <c r="AN4010" s="1821"/>
      <c r="AO4010" s="1821"/>
      <c r="AP4010" s="1821"/>
      <c r="AQ4010" s="1821"/>
      <c r="AR4010" s="1821"/>
      <c r="AS4010" s="1821"/>
      <c r="AT4010" s="1821"/>
      <c r="AU4010" s="1821"/>
      <c r="AV4010" s="1821"/>
      <c r="AW4010" s="1821"/>
      <c r="AX4010" s="1821"/>
      <c r="AY4010" s="1821"/>
      <c r="AZ4010" s="1821"/>
      <c r="BA4010" s="1821"/>
      <c r="BB4010" s="1821"/>
      <c r="BC4010" s="1821"/>
      <c r="BD4010" s="1821"/>
      <c r="BE4010" s="1821"/>
      <c r="BF4010" s="1821"/>
      <c r="BG4010" s="1821"/>
      <c r="BH4010" s="1821"/>
      <c r="BI4010" s="1821"/>
      <c r="BJ4010" s="1821"/>
      <c r="BK4010" s="1821"/>
      <c r="BL4010" s="1821"/>
      <c r="BM4010" s="1821"/>
      <c r="BN4010" s="1821"/>
      <c r="BO4010" s="1821"/>
      <c r="BP4010" s="1821"/>
      <c r="BQ4010" s="1821"/>
      <c r="BR4010" s="1821"/>
      <c r="BS4010" s="1821"/>
      <c r="BT4010" s="1821"/>
      <c r="BU4010" s="1821"/>
      <c r="BV4010" s="1821"/>
      <c r="BW4010" s="1821"/>
      <c r="BX4010" s="1821"/>
      <c r="BY4010" s="1821"/>
      <c r="BZ4010" s="1821"/>
      <c r="CA4010" s="1821"/>
      <c r="CB4010" s="1821"/>
      <c r="CC4010" s="1821"/>
      <c r="CD4010" s="1821"/>
      <c r="CE4010" s="1821"/>
      <c r="CF4010" s="1821"/>
      <c r="CG4010" s="1821"/>
      <c r="CH4010" s="1821"/>
      <c r="CI4010" s="1821"/>
      <c r="CJ4010" s="1821"/>
      <c r="CK4010" s="1821"/>
    </row>
    <row r="4011" spans="1:89" s="744" customFormat="1" ht="16.5" customHeight="1" x14ac:dyDescent="0.25">
      <c r="A4011" s="1033"/>
      <c r="B4011" s="709"/>
      <c r="C4011" s="827"/>
      <c r="D4011" s="961"/>
      <c r="E4011" s="758"/>
      <c r="F4011" s="714"/>
      <c r="G4011" s="714"/>
      <c r="H4011" s="700"/>
      <c r="I4011" s="714"/>
      <c r="J4011" s="714"/>
      <c r="K4011" s="700">
        <f t="shared" si="438"/>
        <v>0</v>
      </c>
      <c r="L4011" s="714"/>
      <c r="M4011" s="714"/>
      <c r="N4011" s="700"/>
      <c r="O4011" s="974">
        <f t="shared" si="439"/>
        <v>0</v>
      </c>
      <c r="P4011" s="956"/>
      <c r="Q4011" s="1821"/>
      <c r="R4011" s="1821"/>
      <c r="S4011" s="1821"/>
      <c r="T4011" s="1821"/>
      <c r="U4011" s="1821"/>
      <c r="V4011" s="1821"/>
      <c r="W4011" s="1821"/>
      <c r="X4011" s="1821"/>
      <c r="Y4011" s="1821"/>
      <c r="Z4011" s="1821"/>
      <c r="AA4011" s="1821"/>
      <c r="AB4011" s="1821"/>
      <c r="AC4011" s="1821"/>
      <c r="AD4011" s="1821"/>
      <c r="AE4011" s="1821"/>
      <c r="AF4011" s="1821"/>
      <c r="AG4011" s="1821"/>
      <c r="AH4011" s="1821"/>
      <c r="AI4011" s="1821"/>
      <c r="AJ4011" s="1821"/>
      <c r="AK4011" s="1821"/>
      <c r="AL4011" s="1821"/>
      <c r="AM4011" s="1821"/>
      <c r="AN4011" s="1821"/>
      <c r="AO4011" s="1821"/>
      <c r="AP4011" s="1821"/>
      <c r="AQ4011" s="1821"/>
      <c r="AR4011" s="1821"/>
      <c r="AS4011" s="1821"/>
      <c r="AT4011" s="1821"/>
      <c r="AU4011" s="1821"/>
      <c r="AV4011" s="1821"/>
      <c r="AW4011" s="1821"/>
      <c r="AX4011" s="1821"/>
      <c r="AY4011" s="1821"/>
      <c r="AZ4011" s="1821"/>
      <c r="BA4011" s="1821"/>
      <c r="BB4011" s="1821"/>
      <c r="BC4011" s="1821"/>
      <c r="BD4011" s="1821"/>
      <c r="BE4011" s="1821"/>
      <c r="BF4011" s="1821"/>
      <c r="BG4011" s="1821"/>
      <c r="BH4011" s="1821"/>
      <c r="BI4011" s="1821"/>
      <c r="BJ4011" s="1821"/>
      <c r="BK4011" s="1821"/>
      <c r="BL4011" s="1821"/>
      <c r="BM4011" s="1821"/>
      <c r="BN4011" s="1821"/>
      <c r="BO4011" s="1821"/>
      <c r="BP4011" s="1821"/>
      <c r="BQ4011" s="1821"/>
      <c r="BR4011" s="1821"/>
      <c r="BS4011" s="1821"/>
      <c r="BT4011" s="1821"/>
      <c r="BU4011" s="1821"/>
      <c r="BV4011" s="1821"/>
      <c r="BW4011" s="1821"/>
      <c r="BX4011" s="1821"/>
      <c r="BY4011" s="1821"/>
      <c r="BZ4011" s="1821"/>
      <c r="CA4011" s="1821"/>
      <c r="CB4011" s="1821"/>
      <c r="CC4011" s="1821"/>
      <c r="CD4011" s="1821"/>
      <c r="CE4011" s="1821"/>
      <c r="CF4011" s="1821"/>
      <c r="CG4011" s="1821"/>
      <c r="CH4011" s="1821"/>
      <c r="CI4011" s="1821"/>
      <c r="CJ4011" s="1821"/>
      <c r="CK4011" s="1821"/>
    </row>
    <row r="4012" spans="1:89" s="744" customFormat="1" ht="16.5" customHeight="1" x14ac:dyDescent="0.25">
      <c r="A4012" s="1033">
        <v>21</v>
      </c>
      <c r="B4012" s="709" t="s">
        <v>1358</v>
      </c>
      <c r="C4012" s="827"/>
      <c r="D4012" s="961"/>
      <c r="E4012" s="758"/>
      <c r="F4012" s="714"/>
      <c r="G4012" s="714"/>
      <c r="H4012" s="700"/>
      <c r="I4012" s="714"/>
      <c r="J4012" s="714"/>
      <c r="K4012" s="700"/>
      <c r="L4012" s="714"/>
      <c r="M4012" s="714"/>
      <c r="N4012" s="700"/>
      <c r="O4012" s="974"/>
      <c r="P4012" s="956"/>
      <c r="Q4012" s="1821"/>
      <c r="R4012" s="1821"/>
      <c r="S4012" s="1821"/>
      <c r="T4012" s="1821"/>
      <c r="U4012" s="1821"/>
      <c r="V4012" s="1821"/>
      <c r="W4012" s="1821"/>
      <c r="X4012" s="1821"/>
      <c r="Y4012" s="1821"/>
      <c r="Z4012" s="1821"/>
      <c r="AA4012" s="1821"/>
      <c r="AB4012" s="1821"/>
      <c r="AC4012" s="1821"/>
      <c r="AD4012" s="1821"/>
      <c r="AE4012" s="1821"/>
      <c r="AF4012" s="1821"/>
      <c r="AG4012" s="1821"/>
      <c r="AH4012" s="1821"/>
      <c r="AI4012" s="1821"/>
      <c r="AJ4012" s="1821"/>
      <c r="AK4012" s="1821"/>
      <c r="AL4012" s="1821"/>
      <c r="AM4012" s="1821"/>
      <c r="AN4012" s="1821"/>
      <c r="AO4012" s="1821"/>
      <c r="AP4012" s="1821"/>
      <c r="AQ4012" s="1821"/>
      <c r="AR4012" s="1821"/>
      <c r="AS4012" s="1821"/>
      <c r="AT4012" s="1821"/>
      <c r="AU4012" s="1821"/>
      <c r="AV4012" s="1821"/>
      <c r="AW4012" s="1821"/>
      <c r="AX4012" s="1821"/>
      <c r="AY4012" s="1821"/>
      <c r="AZ4012" s="1821"/>
      <c r="BA4012" s="1821"/>
      <c r="BB4012" s="1821"/>
      <c r="BC4012" s="1821"/>
      <c r="BD4012" s="1821"/>
      <c r="BE4012" s="1821"/>
      <c r="BF4012" s="1821"/>
      <c r="BG4012" s="1821"/>
      <c r="BH4012" s="1821"/>
      <c r="BI4012" s="1821"/>
      <c r="BJ4012" s="1821"/>
      <c r="BK4012" s="1821"/>
      <c r="BL4012" s="1821"/>
      <c r="BM4012" s="1821"/>
      <c r="BN4012" s="1821"/>
      <c r="BO4012" s="1821"/>
      <c r="BP4012" s="1821"/>
      <c r="BQ4012" s="1821"/>
      <c r="BR4012" s="1821"/>
      <c r="BS4012" s="1821"/>
      <c r="BT4012" s="1821"/>
      <c r="BU4012" s="1821"/>
      <c r="BV4012" s="1821"/>
      <c r="BW4012" s="1821"/>
      <c r="BX4012" s="1821"/>
      <c r="BY4012" s="1821"/>
      <c r="BZ4012" s="1821"/>
      <c r="CA4012" s="1821"/>
      <c r="CB4012" s="1821"/>
      <c r="CC4012" s="1821"/>
      <c r="CD4012" s="1821"/>
      <c r="CE4012" s="1821"/>
      <c r="CF4012" s="1821"/>
      <c r="CG4012" s="1821"/>
      <c r="CH4012" s="1821"/>
      <c r="CI4012" s="1821"/>
      <c r="CJ4012" s="1821"/>
      <c r="CK4012" s="1821"/>
    </row>
    <row r="4013" spans="1:89" s="744" customFormat="1" ht="16.5" customHeight="1" x14ac:dyDescent="0.25">
      <c r="A4013" s="1033"/>
      <c r="B4013" s="709" t="s">
        <v>40</v>
      </c>
      <c r="C4013" s="827">
        <f>SUM(O4014:O4022)</f>
        <v>657800</v>
      </c>
      <c r="D4013" s="961"/>
      <c r="E4013" s="758"/>
      <c r="F4013" s="714"/>
      <c r="G4013" s="714"/>
      <c r="H4013" s="700">
        <f>G4013+F4013</f>
        <v>0</v>
      </c>
      <c r="I4013" s="714"/>
      <c r="J4013" s="714">
        <f>C4013*E4013</f>
        <v>0</v>
      </c>
      <c r="K4013" s="700">
        <f t="shared" si="438"/>
        <v>0</v>
      </c>
      <c r="L4013" s="714"/>
      <c r="M4013" s="714"/>
      <c r="N4013" s="700">
        <f>M4013+L4013</f>
        <v>0</v>
      </c>
      <c r="O4013" s="974">
        <f t="shared" si="439"/>
        <v>0</v>
      </c>
      <c r="P4013" s="956"/>
      <c r="Q4013" s="1821"/>
      <c r="R4013" s="1821"/>
      <c r="S4013" s="1821"/>
      <c r="T4013" s="1821"/>
      <c r="U4013" s="1821"/>
      <c r="V4013" s="1821"/>
      <c r="W4013" s="1821"/>
      <c r="X4013" s="1821"/>
      <c r="Y4013" s="1821"/>
      <c r="Z4013" s="1821"/>
      <c r="AA4013" s="1821"/>
      <c r="AB4013" s="1821"/>
      <c r="AC4013" s="1821"/>
      <c r="AD4013" s="1821"/>
      <c r="AE4013" s="1821"/>
      <c r="AF4013" s="1821"/>
      <c r="AG4013" s="1821"/>
      <c r="AH4013" s="1821"/>
      <c r="AI4013" s="1821"/>
      <c r="AJ4013" s="1821"/>
      <c r="AK4013" s="1821"/>
      <c r="AL4013" s="1821"/>
      <c r="AM4013" s="1821"/>
      <c r="AN4013" s="1821"/>
      <c r="AO4013" s="1821"/>
      <c r="AP4013" s="1821"/>
      <c r="AQ4013" s="1821"/>
      <c r="AR4013" s="1821"/>
      <c r="AS4013" s="1821"/>
      <c r="AT4013" s="1821"/>
      <c r="AU4013" s="1821"/>
      <c r="AV4013" s="1821"/>
      <c r="AW4013" s="1821"/>
      <c r="AX4013" s="1821"/>
      <c r="AY4013" s="1821"/>
      <c r="AZ4013" s="1821"/>
      <c r="BA4013" s="1821"/>
      <c r="BB4013" s="1821"/>
      <c r="BC4013" s="1821"/>
      <c r="BD4013" s="1821"/>
      <c r="BE4013" s="1821"/>
      <c r="BF4013" s="1821"/>
      <c r="BG4013" s="1821"/>
      <c r="BH4013" s="1821"/>
      <c r="BI4013" s="1821"/>
      <c r="BJ4013" s="1821"/>
      <c r="BK4013" s="1821"/>
      <c r="BL4013" s="1821"/>
      <c r="BM4013" s="1821"/>
      <c r="BN4013" s="1821"/>
      <c r="BO4013" s="1821"/>
      <c r="BP4013" s="1821"/>
      <c r="BQ4013" s="1821"/>
      <c r="BR4013" s="1821"/>
      <c r="BS4013" s="1821"/>
      <c r="BT4013" s="1821"/>
      <c r="BU4013" s="1821"/>
      <c r="BV4013" s="1821"/>
      <c r="BW4013" s="1821"/>
      <c r="BX4013" s="1821"/>
      <c r="BY4013" s="1821"/>
      <c r="BZ4013" s="1821"/>
      <c r="CA4013" s="1821"/>
      <c r="CB4013" s="1821"/>
      <c r="CC4013" s="1821"/>
      <c r="CD4013" s="1821"/>
      <c r="CE4013" s="1821"/>
      <c r="CF4013" s="1821"/>
      <c r="CG4013" s="1821"/>
      <c r="CH4013" s="1821"/>
      <c r="CI4013" s="1821"/>
      <c r="CJ4013" s="1821"/>
      <c r="CK4013" s="1821"/>
    </row>
    <row r="4014" spans="1:89" s="744" customFormat="1" ht="16.5" customHeight="1" x14ac:dyDescent="0.25">
      <c r="A4014" s="1033"/>
      <c r="B4014" s="709" t="s">
        <v>215</v>
      </c>
      <c r="C4014" s="827">
        <v>1</v>
      </c>
      <c r="D4014" s="961" t="s">
        <v>25</v>
      </c>
      <c r="E4014" s="758">
        <v>559800</v>
      </c>
      <c r="F4014" s="714"/>
      <c r="G4014" s="714"/>
      <c r="H4014" s="700">
        <f>G4014+F4014</f>
        <v>0</v>
      </c>
      <c r="I4014" s="714"/>
      <c r="J4014" s="714">
        <f>C4014*E4014</f>
        <v>559800</v>
      </c>
      <c r="K4014" s="700">
        <f t="shared" si="438"/>
        <v>559800</v>
      </c>
      <c r="L4014" s="714"/>
      <c r="M4014" s="714"/>
      <c r="N4014" s="700">
        <f>M4014+L4014</f>
        <v>0</v>
      </c>
      <c r="O4014" s="974">
        <f t="shared" si="439"/>
        <v>559800</v>
      </c>
      <c r="P4014" s="956"/>
      <c r="Q4014" s="1821"/>
      <c r="R4014" s="1821"/>
      <c r="S4014" s="1821"/>
      <c r="T4014" s="1821"/>
      <c r="U4014" s="1821"/>
      <c r="V4014" s="1821"/>
      <c r="W4014" s="1821"/>
      <c r="X4014" s="1821"/>
      <c r="Y4014" s="1821"/>
      <c r="Z4014" s="1821"/>
      <c r="AA4014" s="1821"/>
      <c r="AB4014" s="1821"/>
      <c r="AC4014" s="1821"/>
      <c r="AD4014" s="1821"/>
      <c r="AE4014" s="1821"/>
      <c r="AF4014" s="1821"/>
      <c r="AG4014" s="1821"/>
      <c r="AH4014" s="1821"/>
      <c r="AI4014" s="1821"/>
      <c r="AJ4014" s="1821"/>
      <c r="AK4014" s="1821"/>
      <c r="AL4014" s="1821"/>
      <c r="AM4014" s="1821"/>
      <c r="AN4014" s="1821"/>
      <c r="AO4014" s="1821"/>
      <c r="AP4014" s="1821"/>
      <c r="AQ4014" s="1821"/>
      <c r="AR4014" s="1821"/>
      <c r="AS4014" s="1821"/>
      <c r="AT4014" s="1821"/>
      <c r="AU4014" s="1821"/>
      <c r="AV4014" s="1821"/>
      <c r="AW4014" s="1821"/>
      <c r="AX4014" s="1821"/>
      <c r="AY4014" s="1821"/>
      <c r="AZ4014" s="1821"/>
      <c r="BA4014" s="1821"/>
      <c r="BB4014" s="1821"/>
      <c r="BC4014" s="1821"/>
      <c r="BD4014" s="1821"/>
      <c r="BE4014" s="1821"/>
      <c r="BF4014" s="1821"/>
      <c r="BG4014" s="1821"/>
      <c r="BH4014" s="1821"/>
      <c r="BI4014" s="1821"/>
      <c r="BJ4014" s="1821"/>
      <c r="BK4014" s="1821"/>
      <c r="BL4014" s="1821"/>
      <c r="BM4014" s="1821"/>
      <c r="BN4014" s="1821"/>
      <c r="BO4014" s="1821"/>
      <c r="BP4014" s="1821"/>
      <c r="BQ4014" s="1821"/>
      <c r="BR4014" s="1821"/>
      <c r="BS4014" s="1821"/>
      <c r="BT4014" s="1821"/>
      <c r="BU4014" s="1821"/>
      <c r="BV4014" s="1821"/>
      <c r="BW4014" s="1821"/>
      <c r="BX4014" s="1821"/>
      <c r="BY4014" s="1821"/>
      <c r="BZ4014" s="1821"/>
      <c r="CA4014" s="1821"/>
      <c r="CB4014" s="1821"/>
      <c r="CC4014" s="1821"/>
      <c r="CD4014" s="1821"/>
      <c r="CE4014" s="1821"/>
      <c r="CF4014" s="1821"/>
      <c r="CG4014" s="1821"/>
      <c r="CH4014" s="1821"/>
      <c r="CI4014" s="1821"/>
      <c r="CJ4014" s="1821"/>
      <c r="CK4014" s="1821"/>
    </row>
    <row r="4015" spans="1:89" s="744" customFormat="1" ht="16.5" customHeight="1" x14ac:dyDescent="0.25">
      <c r="A4015" s="1033"/>
      <c r="B4015" s="709"/>
      <c r="C4015" s="827"/>
      <c r="D4015" s="961"/>
      <c r="E4015" s="758"/>
      <c r="F4015" s="714"/>
      <c r="G4015" s="714"/>
      <c r="H4015" s="700"/>
      <c r="I4015" s="714"/>
      <c r="J4015" s="714"/>
      <c r="K4015" s="700">
        <f t="shared" si="438"/>
        <v>0</v>
      </c>
      <c r="L4015" s="714"/>
      <c r="M4015" s="714"/>
      <c r="N4015" s="700"/>
      <c r="O4015" s="974">
        <f t="shared" si="439"/>
        <v>0</v>
      </c>
      <c r="P4015" s="956"/>
      <c r="Q4015" s="1821"/>
      <c r="R4015" s="1821"/>
      <c r="S4015" s="1821"/>
      <c r="T4015" s="1821"/>
      <c r="U4015" s="1821"/>
      <c r="V4015" s="1821"/>
      <c r="W4015" s="1821"/>
      <c r="X4015" s="1821"/>
      <c r="Y4015" s="1821"/>
      <c r="Z4015" s="1821"/>
      <c r="AA4015" s="1821"/>
      <c r="AB4015" s="1821"/>
      <c r="AC4015" s="1821"/>
      <c r="AD4015" s="1821"/>
      <c r="AE4015" s="1821"/>
      <c r="AF4015" s="1821"/>
      <c r="AG4015" s="1821"/>
      <c r="AH4015" s="1821"/>
      <c r="AI4015" s="1821"/>
      <c r="AJ4015" s="1821"/>
      <c r="AK4015" s="1821"/>
      <c r="AL4015" s="1821"/>
      <c r="AM4015" s="1821"/>
      <c r="AN4015" s="1821"/>
      <c r="AO4015" s="1821"/>
      <c r="AP4015" s="1821"/>
      <c r="AQ4015" s="1821"/>
      <c r="AR4015" s="1821"/>
      <c r="AS4015" s="1821"/>
      <c r="AT4015" s="1821"/>
      <c r="AU4015" s="1821"/>
      <c r="AV4015" s="1821"/>
      <c r="AW4015" s="1821"/>
      <c r="AX4015" s="1821"/>
      <c r="AY4015" s="1821"/>
      <c r="AZ4015" s="1821"/>
      <c r="BA4015" s="1821"/>
      <c r="BB4015" s="1821"/>
      <c r="BC4015" s="1821"/>
      <c r="BD4015" s="1821"/>
      <c r="BE4015" s="1821"/>
      <c r="BF4015" s="1821"/>
      <c r="BG4015" s="1821"/>
      <c r="BH4015" s="1821"/>
      <c r="BI4015" s="1821"/>
      <c r="BJ4015" s="1821"/>
      <c r="BK4015" s="1821"/>
      <c r="BL4015" s="1821"/>
      <c r="BM4015" s="1821"/>
      <c r="BN4015" s="1821"/>
      <c r="BO4015" s="1821"/>
      <c r="BP4015" s="1821"/>
      <c r="BQ4015" s="1821"/>
      <c r="BR4015" s="1821"/>
      <c r="BS4015" s="1821"/>
      <c r="BT4015" s="1821"/>
      <c r="BU4015" s="1821"/>
      <c r="BV4015" s="1821"/>
      <c r="BW4015" s="1821"/>
      <c r="BX4015" s="1821"/>
      <c r="BY4015" s="1821"/>
      <c r="BZ4015" s="1821"/>
      <c r="CA4015" s="1821"/>
      <c r="CB4015" s="1821"/>
      <c r="CC4015" s="1821"/>
      <c r="CD4015" s="1821"/>
      <c r="CE4015" s="1821"/>
      <c r="CF4015" s="1821"/>
      <c r="CG4015" s="1821"/>
      <c r="CH4015" s="1821"/>
      <c r="CI4015" s="1821"/>
      <c r="CJ4015" s="1821"/>
      <c r="CK4015" s="1821"/>
    </row>
    <row r="4016" spans="1:89" s="744" customFormat="1" ht="16.5" customHeight="1" x14ac:dyDescent="0.25">
      <c r="A4016" s="1033"/>
      <c r="B4016" s="709" t="s">
        <v>206</v>
      </c>
      <c r="C4016" s="827"/>
      <c r="D4016" s="961"/>
      <c r="E4016" s="758"/>
      <c r="F4016" s="714"/>
      <c r="G4016" s="714"/>
      <c r="H4016" s="700">
        <f t="shared" ref="H4016:H4022" si="445">G4016+F4016</f>
        <v>0</v>
      </c>
      <c r="I4016" s="714"/>
      <c r="J4016" s="714"/>
      <c r="K4016" s="700">
        <f t="shared" si="438"/>
        <v>0</v>
      </c>
      <c r="L4016" s="714"/>
      <c r="M4016" s="714"/>
      <c r="N4016" s="700">
        <f t="shared" ref="N4016:N4022" si="446">M4016+L4016</f>
        <v>0</v>
      </c>
      <c r="O4016" s="974">
        <f t="shared" si="439"/>
        <v>0</v>
      </c>
      <c r="P4016" s="956"/>
      <c r="Q4016" s="1821"/>
      <c r="R4016" s="1821"/>
      <c r="S4016" s="1821"/>
      <c r="T4016" s="1821"/>
      <c r="U4016" s="1821"/>
      <c r="V4016" s="1821"/>
      <c r="W4016" s="1821"/>
      <c r="X4016" s="1821"/>
      <c r="Y4016" s="1821"/>
      <c r="Z4016" s="1821"/>
      <c r="AA4016" s="1821"/>
      <c r="AB4016" s="1821"/>
      <c r="AC4016" s="1821"/>
      <c r="AD4016" s="1821"/>
      <c r="AE4016" s="1821"/>
      <c r="AF4016" s="1821"/>
      <c r="AG4016" s="1821"/>
      <c r="AH4016" s="1821"/>
      <c r="AI4016" s="1821"/>
      <c r="AJ4016" s="1821"/>
      <c r="AK4016" s="1821"/>
      <c r="AL4016" s="1821"/>
      <c r="AM4016" s="1821"/>
      <c r="AN4016" s="1821"/>
      <c r="AO4016" s="1821"/>
      <c r="AP4016" s="1821"/>
      <c r="AQ4016" s="1821"/>
      <c r="AR4016" s="1821"/>
      <c r="AS4016" s="1821"/>
      <c r="AT4016" s="1821"/>
      <c r="AU4016" s="1821"/>
      <c r="AV4016" s="1821"/>
      <c r="AW4016" s="1821"/>
      <c r="AX4016" s="1821"/>
      <c r="AY4016" s="1821"/>
      <c r="AZ4016" s="1821"/>
      <c r="BA4016" s="1821"/>
      <c r="BB4016" s="1821"/>
      <c r="BC4016" s="1821"/>
      <c r="BD4016" s="1821"/>
      <c r="BE4016" s="1821"/>
      <c r="BF4016" s="1821"/>
      <c r="BG4016" s="1821"/>
      <c r="BH4016" s="1821"/>
      <c r="BI4016" s="1821"/>
      <c r="BJ4016" s="1821"/>
      <c r="BK4016" s="1821"/>
      <c r="BL4016" s="1821"/>
      <c r="BM4016" s="1821"/>
      <c r="BN4016" s="1821"/>
      <c r="BO4016" s="1821"/>
      <c r="BP4016" s="1821"/>
      <c r="BQ4016" s="1821"/>
      <c r="BR4016" s="1821"/>
      <c r="BS4016" s="1821"/>
      <c r="BT4016" s="1821"/>
      <c r="BU4016" s="1821"/>
      <c r="BV4016" s="1821"/>
      <c r="BW4016" s="1821"/>
      <c r="BX4016" s="1821"/>
      <c r="BY4016" s="1821"/>
      <c r="BZ4016" s="1821"/>
      <c r="CA4016" s="1821"/>
      <c r="CB4016" s="1821"/>
      <c r="CC4016" s="1821"/>
      <c r="CD4016" s="1821"/>
      <c r="CE4016" s="1821"/>
      <c r="CF4016" s="1821"/>
      <c r="CG4016" s="1821"/>
      <c r="CH4016" s="1821"/>
      <c r="CI4016" s="1821"/>
      <c r="CJ4016" s="1821"/>
      <c r="CK4016" s="1821"/>
    </row>
    <row r="4017" spans="1:89" s="744" customFormat="1" ht="16.5" customHeight="1" x14ac:dyDescent="0.25">
      <c r="A4017" s="1033"/>
      <c r="B4017" s="709" t="s">
        <v>1359</v>
      </c>
      <c r="C4017" s="827"/>
      <c r="D4017" s="961"/>
      <c r="E4017" s="758"/>
      <c r="F4017" s="714"/>
      <c r="G4017" s="714"/>
      <c r="H4017" s="700">
        <f t="shared" si="445"/>
        <v>0</v>
      </c>
      <c r="I4017" s="714"/>
      <c r="J4017" s="714"/>
      <c r="K4017" s="700">
        <f t="shared" si="438"/>
        <v>0</v>
      </c>
      <c r="L4017" s="714"/>
      <c r="M4017" s="714"/>
      <c r="N4017" s="700">
        <f t="shared" si="446"/>
        <v>0</v>
      </c>
      <c r="O4017" s="974">
        <f t="shared" si="439"/>
        <v>0</v>
      </c>
      <c r="P4017" s="956"/>
      <c r="Q4017" s="1821"/>
      <c r="R4017" s="1821"/>
      <c r="S4017" s="1821"/>
      <c r="T4017" s="1821"/>
      <c r="U4017" s="1821"/>
      <c r="V4017" s="1821"/>
      <c r="W4017" s="1821"/>
      <c r="X4017" s="1821"/>
      <c r="Y4017" s="1821"/>
      <c r="Z4017" s="1821"/>
      <c r="AA4017" s="1821"/>
      <c r="AB4017" s="1821"/>
      <c r="AC4017" s="1821"/>
      <c r="AD4017" s="1821"/>
      <c r="AE4017" s="1821"/>
      <c r="AF4017" s="1821"/>
      <c r="AG4017" s="1821"/>
      <c r="AH4017" s="1821"/>
      <c r="AI4017" s="1821"/>
      <c r="AJ4017" s="1821"/>
      <c r="AK4017" s="1821"/>
      <c r="AL4017" s="1821"/>
      <c r="AM4017" s="1821"/>
      <c r="AN4017" s="1821"/>
      <c r="AO4017" s="1821"/>
      <c r="AP4017" s="1821"/>
      <c r="AQ4017" s="1821"/>
      <c r="AR4017" s="1821"/>
      <c r="AS4017" s="1821"/>
      <c r="AT4017" s="1821"/>
      <c r="AU4017" s="1821"/>
      <c r="AV4017" s="1821"/>
      <c r="AW4017" s="1821"/>
      <c r="AX4017" s="1821"/>
      <c r="AY4017" s="1821"/>
      <c r="AZ4017" s="1821"/>
      <c r="BA4017" s="1821"/>
      <c r="BB4017" s="1821"/>
      <c r="BC4017" s="1821"/>
      <c r="BD4017" s="1821"/>
      <c r="BE4017" s="1821"/>
      <c r="BF4017" s="1821"/>
      <c r="BG4017" s="1821"/>
      <c r="BH4017" s="1821"/>
      <c r="BI4017" s="1821"/>
      <c r="BJ4017" s="1821"/>
      <c r="BK4017" s="1821"/>
      <c r="BL4017" s="1821"/>
      <c r="BM4017" s="1821"/>
      <c r="BN4017" s="1821"/>
      <c r="BO4017" s="1821"/>
      <c r="BP4017" s="1821"/>
      <c r="BQ4017" s="1821"/>
      <c r="BR4017" s="1821"/>
      <c r="BS4017" s="1821"/>
      <c r="BT4017" s="1821"/>
      <c r="BU4017" s="1821"/>
      <c r="BV4017" s="1821"/>
      <c r="BW4017" s="1821"/>
      <c r="BX4017" s="1821"/>
      <c r="BY4017" s="1821"/>
      <c r="BZ4017" s="1821"/>
      <c r="CA4017" s="1821"/>
      <c r="CB4017" s="1821"/>
      <c r="CC4017" s="1821"/>
      <c r="CD4017" s="1821"/>
      <c r="CE4017" s="1821"/>
      <c r="CF4017" s="1821"/>
      <c r="CG4017" s="1821"/>
      <c r="CH4017" s="1821"/>
      <c r="CI4017" s="1821"/>
      <c r="CJ4017" s="1821"/>
      <c r="CK4017" s="1821"/>
    </row>
    <row r="4018" spans="1:89" s="744" customFormat="1" ht="16.5" customHeight="1" x14ac:dyDescent="0.25">
      <c r="A4018" s="1033"/>
      <c r="B4018" s="709" t="s">
        <v>432</v>
      </c>
      <c r="C4018" s="827">
        <v>4</v>
      </c>
      <c r="D4018" s="961" t="s">
        <v>210</v>
      </c>
      <c r="E4018" s="758">
        <v>1400</v>
      </c>
      <c r="F4018" s="714"/>
      <c r="G4018" s="714"/>
      <c r="H4018" s="700">
        <f t="shared" si="445"/>
        <v>0</v>
      </c>
      <c r="I4018" s="714"/>
      <c r="J4018" s="714">
        <f>E4018*C4018</f>
        <v>5600</v>
      </c>
      <c r="K4018" s="700">
        <f t="shared" si="438"/>
        <v>5600</v>
      </c>
      <c r="L4018" s="714"/>
      <c r="M4018" s="714"/>
      <c r="N4018" s="700">
        <f t="shared" si="446"/>
        <v>0</v>
      </c>
      <c r="O4018" s="974">
        <f t="shared" si="439"/>
        <v>5600</v>
      </c>
      <c r="P4018" s="956"/>
      <c r="Q4018" s="1821"/>
      <c r="R4018" s="1821"/>
      <c r="S4018" s="1821"/>
      <c r="T4018" s="1821"/>
      <c r="U4018" s="1821"/>
      <c r="V4018" s="1821"/>
      <c r="W4018" s="1821"/>
      <c r="X4018" s="1821"/>
      <c r="Y4018" s="1821"/>
      <c r="Z4018" s="1821"/>
      <c r="AA4018" s="1821"/>
      <c r="AB4018" s="1821"/>
      <c r="AC4018" s="1821"/>
      <c r="AD4018" s="1821"/>
      <c r="AE4018" s="1821"/>
      <c r="AF4018" s="1821"/>
      <c r="AG4018" s="1821"/>
      <c r="AH4018" s="1821"/>
      <c r="AI4018" s="1821"/>
      <c r="AJ4018" s="1821"/>
      <c r="AK4018" s="1821"/>
      <c r="AL4018" s="1821"/>
      <c r="AM4018" s="1821"/>
      <c r="AN4018" s="1821"/>
      <c r="AO4018" s="1821"/>
      <c r="AP4018" s="1821"/>
      <c r="AQ4018" s="1821"/>
      <c r="AR4018" s="1821"/>
      <c r="AS4018" s="1821"/>
      <c r="AT4018" s="1821"/>
      <c r="AU4018" s="1821"/>
      <c r="AV4018" s="1821"/>
      <c r="AW4018" s="1821"/>
      <c r="AX4018" s="1821"/>
      <c r="AY4018" s="1821"/>
      <c r="AZ4018" s="1821"/>
      <c r="BA4018" s="1821"/>
      <c r="BB4018" s="1821"/>
      <c r="BC4018" s="1821"/>
      <c r="BD4018" s="1821"/>
      <c r="BE4018" s="1821"/>
      <c r="BF4018" s="1821"/>
      <c r="BG4018" s="1821"/>
      <c r="BH4018" s="1821"/>
      <c r="BI4018" s="1821"/>
      <c r="BJ4018" s="1821"/>
      <c r="BK4018" s="1821"/>
      <c r="BL4018" s="1821"/>
      <c r="BM4018" s="1821"/>
      <c r="BN4018" s="1821"/>
      <c r="BO4018" s="1821"/>
      <c r="BP4018" s="1821"/>
      <c r="BQ4018" s="1821"/>
      <c r="BR4018" s="1821"/>
      <c r="BS4018" s="1821"/>
      <c r="BT4018" s="1821"/>
      <c r="BU4018" s="1821"/>
      <c r="BV4018" s="1821"/>
      <c r="BW4018" s="1821"/>
      <c r="BX4018" s="1821"/>
      <c r="BY4018" s="1821"/>
      <c r="BZ4018" s="1821"/>
      <c r="CA4018" s="1821"/>
      <c r="CB4018" s="1821"/>
      <c r="CC4018" s="1821"/>
      <c r="CD4018" s="1821"/>
      <c r="CE4018" s="1821"/>
      <c r="CF4018" s="1821"/>
      <c r="CG4018" s="1821"/>
      <c r="CH4018" s="1821"/>
      <c r="CI4018" s="1821"/>
      <c r="CJ4018" s="1821"/>
      <c r="CK4018" s="1821"/>
    </row>
    <row r="4019" spans="1:89" s="744" customFormat="1" ht="16.5" customHeight="1" x14ac:dyDescent="0.25">
      <c r="A4019" s="1033"/>
      <c r="B4019" s="709" t="s">
        <v>349</v>
      </c>
      <c r="C4019" s="827"/>
      <c r="D4019" s="961"/>
      <c r="E4019" s="758"/>
      <c r="F4019" s="714"/>
      <c r="G4019" s="714"/>
      <c r="H4019" s="700">
        <f t="shared" si="445"/>
        <v>0</v>
      </c>
      <c r="I4019" s="714"/>
      <c r="J4019" s="714">
        <f>C4019*E4019</f>
        <v>0</v>
      </c>
      <c r="K4019" s="700">
        <f t="shared" si="438"/>
        <v>0</v>
      </c>
      <c r="L4019" s="714"/>
      <c r="M4019" s="714"/>
      <c r="N4019" s="700">
        <f t="shared" si="446"/>
        <v>0</v>
      </c>
      <c r="O4019" s="974">
        <f t="shared" si="439"/>
        <v>0</v>
      </c>
      <c r="P4019" s="956"/>
      <c r="Q4019" s="1821"/>
      <c r="R4019" s="1821"/>
      <c r="S4019" s="1821"/>
      <c r="T4019" s="1821"/>
      <c r="U4019" s="1821"/>
      <c r="V4019" s="1821"/>
      <c r="W4019" s="1821"/>
      <c r="X4019" s="1821"/>
      <c r="Y4019" s="1821"/>
      <c r="Z4019" s="1821"/>
      <c r="AA4019" s="1821"/>
      <c r="AB4019" s="1821"/>
      <c r="AC4019" s="1821"/>
      <c r="AD4019" s="1821"/>
      <c r="AE4019" s="1821"/>
      <c r="AF4019" s="1821"/>
      <c r="AG4019" s="1821"/>
      <c r="AH4019" s="1821"/>
      <c r="AI4019" s="1821"/>
      <c r="AJ4019" s="1821"/>
      <c r="AK4019" s="1821"/>
      <c r="AL4019" s="1821"/>
      <c r="AM4019" s="1821"/>
      <c r="AN4019" s="1821"/>
      <c r="AO4019" s="1821"/>
      <c r="AP4019" s="1821"/>
      <c r="AQ4019" s="1821"/>
      <c r="AR4019" s="1821"/>
      <c r="AS4019" s="1821"/>
      <c r="AT4019" s="1821"/>
      <c r="AU4019" s="1821"/>
      <c r="AV4019" s="1821"/>
      <c r="AW4019" s="1821"/>
      <c r="AX4019" s="1821"/>
      <c r="AY4019" s="1821"/>
      <c r="AZ4019" s="1821"/>
      <c r="BA4019" s="1821"/>
      <c r="BB4019" s="1821"/>
      <c r="BC4019" s="1821"/>
      <c r="BD4019" s="1821"/>
      <c r="BE4019" s="1821"/>
      <c r="BF4019" s="1821"/>
      <c r="BG4019" s="1821"/>
      <c r="BH4019" s="1821"/>
      <c r="BI4019" s="1821"/>
      <c r="BJ4019" s="1821"/>
      <c r="BK4019" s="1821"/>
      <c r="BL4019" s="1821"/>
      <c r="BM4019" s="1821"/>
      <c r="BN4019" s="1821"/>
      <c r="BO4019" s="1821"/>
      <c r="BP4019" s="1821"/>
      <c r="BQ4019" s="1821"/>
      <c r="BR4019" s="1821"/>
      <c r="BS4019" s="1821"/>
      <c r="BT4019" s="1821"/>
      <c r="BU4019" s="1821"/>
      <c r="BV4019" s="1821"/>
      <c r="BW4019" s="1821"/>
      <c r="BX4019" s="1821"/>
      <c r="BY4019" s="1821"/>
      <c r="BZ4019" s="1821"/>
      <c r="CA4019" s="1821"/>
      <c r="CB4019" s="1821"/>
      <c r="CC4019" s="1821"/>
      <c r="CD4019" s="1821"/>
      <c r="CE4019" s="1821"/>
      <c r="CF4019" s="1821"/>
      <c r="CG4019" s="1821"/>
      <c r="CH4019" s="1821"/>
      <c r="CI4019" s="1821"/>
      <c r="CJ4019" s="1821"/>
      <c r="CK4019" s="1821"/>
    </row>
    <row r="4020" spans="1:89" s="744" customFormat="1" ht="16.5" customHeight="1" x14ac:dyDescent="0.25">
      <c r="A4020" s="1033"/>
      <c r="B4020" s="709" t="s">
        <v>1344</v>
      </c>
      <c r="C4020" s="827">
        <v>40</v>
      </c>
      <c r="D4020" s="961" t="s">
        <v>51</v>
      </c>
      <c r="E4020" s="758">
        <v>100</v>
      </c>
      <c r="F4020" s="714"/>
      <c r="G4020" s="714"/>
      <c r="H4020" s="700">
        <f t="shared" si="445"/>
        <v>0</v>
      </c>
      <c r="I4020" s="714"/>
      <c r="J4020" s="714">
        <f>E4020*C4020</f>
        <v>4000</v>
      </c>
      <c r="K4020" s="700">
        <f t="shared" si="438"/>
        <v>4000</v>
      </c>
      <c r="L4020" s="714"/>
      <c r="M4020" s="714"/>
      <c r="N4020" s="700">
        <f t="shared" si="446"/>
        <v>0</v>
      </c>
      <c r="O4020" s="974">
        <f t="shared" si="439"/>
        <v>4000</v>
      </c>
      <c r="P4020" s="956"/>
      <c r="Q4020" s="1821"/>
      <c r="R4020" s="1821"/>
      <c r="S4020" s="1821"/>
      <c r="T4020" s="1821"/>
      <c r="U4020" s="1821"/>
      <c r="V4020" s="1821"/>
      <c r="W4020" s="1821"/>
      <c r="X4020" s="1821"/>
      <c r="Y4020" s="1821"/>
      <c r="Z4020" s="1821"/>
      <c r="AA4020" s="1821"/>
      <c r="AB4020" s="1821"/>
      <c r="AC4020" s="1821"/>
      <c r="AD4020" s="1821"/>
      <c r="AE4020" s="1821"/>
      <c r="AF4020" s="1821"/>
      <c r="AG4020" s="1821"/>
      <c r="AH4020" s="1821"/>
      <c r="AI4020" s="1821"/>
      <c r="AJ4020" s="1821"/>
      <c r="AK4020" s="1821"/>
      <c r="AL4020" s="1821"/>
      <c r="AM4020" s="1821"/>
      <c r="AN4020" s="1821"/>
      <c r="AO4020" s="1821"/>
      <c r="AP4020" s="1821"/>
      <c r="AQ4020" s="1821"/>
      <c r="AR4020" s="1821"/>
      <c r="AS4020" s="1821"/>
      <c r="AT4020" s="1821"/>
      <c r="AU4020" s="1821"/>
      <c r="AV4020" s="1821"/>
      <c r="AW4020" s="1821"/>
      <c r="AX4020" s="1821"/>
      <c r="AY4020" s="1821"/>
      <c r="AZ4020" s="1821"/>
      <c r="BA4020" s="1821"/>
      <c r="BB4020" s="1821"/>
      <c r="BC4020" s="1821"/>
      <c r="BD4020" s="1821"/>
      <c r="BE4020" s="1821"/>
      <c r="BF4020" s="1821"/>
      <c r="BG4020" s="1821"/>
      <c r="BH4020" s="1821"/>
      <c r="BI4020" s="1821"/>
      <c r="BJ4020" s="1821"/>
      <c r="BK4020" s="1821"/>
      <c r="BL4020" s="1821"/>
      <c r="BM4020" s="1821"/>
      <c r="BN4020" s="1821"/>
      <c r="BO4020" s="1821"/>
      <c r="BP4020" s="1821"/>
      <c r="BQ4020" s="1821"/>
      <c r="BR4020" s="1821"/>
      <c r="BS4020" s="1821"/>
      <c r="BT4020" s="1821"/>
      <c r="BU4020" s="1821"/>
      <c r="BV4020" s="1821"/>
      <c r="BW4020" s="1821"/>
      <c r="BX4020" s="1821"/>
      <c r="BY4020" s="1821"/>
      <c r="BZ4020" s="1821"/>
      <c r="CA4020" s="1821"/>
      <c r="CB4020" s="1821"/>
      <c r="CC4020" s="1821"/>
      <c r="CD4020" s="1821"/>
      <c r="CE4020" s="1821"/>
      <c r="CF4020" s="1821"/>
      <c r="CG4020" s="1821"/>
      <c r="CH4020" s="1821"/>
      <c r="CI4020" s="1821"/>
      <c r="CJ4020" s="1821"/>
      <c r="CK4020" s="1821"/>
    </row>
    <row r="4021" spans="1:89" s="744" customFormat="1" ht="16.5" customHeight="1" x14ac:dyDescent="0.25">
      <c r="A4021" s="1033"/>
      <c r="B4021" s="709" t="s">
        <v>54</v>
      </c>
      <c r="C4021" s="827">
        <v>120</v>
      </c>
      <c r="D4021" s="961" t="s">
        <v>55</v>
      </c>
      <c r="E4021" s="758">
        <v>430</v>
      </c>
      <c r="F4021" s="714"/>
      <c r="G4021" s="714"/>
      <c r="H4021" s="700">
        <f t="shared" si="445"/>
        <v>0</v>
      </c>
      <c r="I4021" s="714"/>
      <c r="J4021" s="714">
        <f>E4021*C4021</f>
        <v>51600</v>
      </c>
      <c r="K4021" s="700">
        <f t="shared" si="438"/>
        <v>51600</v>
      </c>
      <c r="L4021" s="714"/>
      <c r="M4021" s="714"/>
      <c r="N4021" s="700">
        <f t="shared" si="446"/>
        <v>0</v>
      </c>
      <c r="O4021" s="974">
        <f t="shared" si="439"/>
        <v>51600</v>
      </c>
      <c r="P4021" s="956"/>
      <c r="Q4021" s="1821"/>
      <c r="R4021" s="1821"/>
      <c r="S4021" s="1821"/>
      <c r="T4021" s="1821"/>
      <c r="U4021" s="1821"/>
      <c r="V4021" s="1821"/>
      <c r="W4021" s="1821"/>
      <c r="X4021" s="1821"/>
      <c r="Y4021" s="1821"/>
      <c r="Z4021" s="1821"/>
      <c r="AA4021" s="1821"/>
      <c r="AB4021" s="1821"/>
      <c r="AC4021" s="1821"/>
      <c r="AD4021" s="1821"/>
      <c r="AE4021" s="1821"/>
      <c r="AF4021" s="1821"/>
      <c r="AG4021" s="1821"/>
      <c r="AH4021" s="1821"/>
      <c r="AI4021" s="1821"/>
      <c r="AJ4021" s="1821"/>
      <c r="AK4021" s="1821"/>
      <c r="AL4021" s="1821"/>
      <c r="AM4021" s="1821"/>
      <c r="AN4021" s="1821"/>
      <c r="AO4021" s="1821"/>
      <c r="AP4021" s="1821"/>
      <c r="AQ4021" s="1821"/>
      <c r="AR4021" s="1821"/>
      <c r="AS4021" s="1821"/>
      <c r="AT4021" s="1821"/>
      <c r="AU4021" s="1821"/>
      <c r="AV4021" s="1821"/>
      <c r="AW4021" s="1821"/>
      <c r="AX4021" s="1821"/>
      <c r="AY4021" s="1821"/>
      <c r="AZ4021" s="1821"/>
      <c r="BA4021" s="1821"/>
      <c r="BB4021" s="1821"/>
      <c r="BC4021" s="1821"/>
      <c r="BD4021" s="1821"/>
      <c r="BE4021" s="1821"/>
      <c r="BF4021" s="1821"/>
      <c r="BG4021" s="1821"/>
      <c r="BH4021" s="1821"/>
      <c r="BI4021" s="1821"/>
      <c r="BJ4021" s="1821"/>
      <c r="BK4021" s="1821"/>
      <c r="BL4021" s="1821"/>
      <c r="BM4021" s="1821"/>
      <c r="BN4021" s="1821"/>
      <c r="BO4021" s="1821"/>
      <c r="BP4021" s="1821"/>
      <c r="BQ4021" s="1821"/>
      <c r="BR4021" s="1821"/>
      <c r="BS4021" s="1821"/>
      <c r="BT4021" s="1821"/>
      <c r="BU4021" s="1821"/>
      <c r="BV4021" s="1821"/>
      <c r="BW4021" s="1821"/>
      <c r="BX4021" s="1821"/>
      <c r="BY4021" s="1821"/>
      <c r="BZ4021" s="1821"/>
      <c r="CA4021" s="1821"/>
      <c r="CB4021" s="1821"/>
      <c r="CC4021" s="1821"/>
      <c r="CD4021" s="1821"/>
      <c r="CE4021" s="1821"/>
      <c r="CF4021" s="1821"/>
      <c r="CG4021" s="1821"/>
      <c r="CH4021" s="1821"/>
      <c r="CI4021" s="1821"/>
      <c r="CJ4021" s="1821"/>
      <c r="CK4021" s="1821"/>
    </row>
    <row r="4022" spans="1:89" s="744" customFormat="1" ht="16.5" customHeight="1" x14ac:dyDescent="0.25">
      <c r="A4022" s="1033"/>
      <c r="B4022" s="709" t="s">
        <v>52</v>
      </c>
      <c r="C4022" s="827">
        <v>80</v>
      </c>
      <c r="D4022" s="961" t="s">
        <v>55</v>
      </c>
      <c r="E4022" s="758">
        <v>460</v>
      </c>
      <c r="F4022" s="714"/>
      <c r="G4022" s="714"/>
      <c r="H4022" s="700">
        <f t="shared" si="445"/>
        <v>0</v>
      </c>
      <c r="I4022" s="714"/>
      <c r="J4022" s="714">
        <f>E4022*C4022</f>
        <v>36800</v>
      </c>
      <c r="K4022" s="700">
        <f t="shared" si="438"/>
        <v>36800</v>
      </c>
      <c r="L4022" s="714"/>
      <c r="M4022" s="714"/>
      <c r="N4022" s="700">
        <f t="shared" si="446"/>
        <v>0</v>
      </c>
      <c r="O4022" s="974">
        <f t="shared" si="439"/>
        <v>36800</v>
      </c>
      <c r="P4022" s="956"/>
      <c r="Q4022" s="1821"/>
      <c r="R4022" s="1821"/>
      <c r="S4022" s="1821"/>
      <c r="T4022" s="1821"/>
      <c r="U4022" s="1821"/>
      <c r="V4022" s="1821"/>
      <c r="W4022" s="1821"/>
      <c r="X4022" s="1821"/>
      <c r="Y4022" s="1821"/>
      <c r="Z4022" s="1821"/>
      <c r="AA4022" s="1821"/>
      <c r="AB4022" s="1821"/>
      <c r="AC4022" s="1821"/>
      <c r="AD4022" s="1821"/>
      <c r="AE4022" s="1821"/>
      <c r="AF4022" s="1821"/>
      <c r="AG4022" s="1821"/>
      <c r="AH4022" s="1821"/>
      <c r="AI4022" s="1821"/>
      <c r="AJ4022" s="1821"/>
      <c r="AK4022" s="1821"/>
      <c r="AL4022" s="1821"/>
      <c r="AM4022" s="1821"/>
      <c r="AN4022" s="1821"/>
      <c r="AO4022" s="1821"/>
      <c r="AP4022" s="1821"/>
      <c r="AQ4022" s="1821"/>
      <c r="AR4022" s="1821"/>
      <c r="AS4022" s="1821"/>
      <c r="AT4022" s="1821"/>
      <c r="AU4022" s="1821"/>
      <c r="AV4022" s="1821"/>
      <c r="AW4022" s="1821"/>
      <c r="AX4022" s="1821"/>
      <c r="AY4022" s="1821"/>
      <c r="AZ4022" s="1821"/>
      <c r="BA4022" s="1821"/>
      <c r="BB4022" s="1821"/>
      <c r="BC4022" s="1821"/>
      <c r="BD4022" s="1821"/>
      <c r="BE4022" s="1821"/>
      <c r="BF4022" s="1821"/>
      <c r="BG4022" s="1821"/>
      <c r="BH4022" s="1821"/>
      <c r="BI4022" s="1821"/>
      <c r="BJ4022" s="1821"/>
      <c r="BK4022" s="1821"/>
      <c r="BL4022" s="1821"/>
      <c r="BM4022" s="1821"/>
      <c r="BN4022" s="1821"/>
      <c r="BO4022" s="1821"/>
      <c r="BP4022" s="1821"/>
      <c r="BQ4022" s="1821"/>
      <c r="BR4022" s="1821"/>
      <c r="BS4022" s="1821"/>
      <c r="BT4022" s="1821"/>
      <c r="BU4022" s="1821"/>
      <c r="BV4022" s="1821"/>
      <c r="BW4022" s="1821"/>
      <c r="BX4022" s="1821"/>
      <c r="BY4022" s="1821"/>
      <c r="BZ4022" s="1821"/>
      <c r="CA4022" s="1821"/>
      <c r="CB4022" s="1821"/>
      <c r="CC4022" s="1821"/>
      <c r="CD4022" s="1821"/>
      <c r="CE4022" s="1821"/>
      <c r="CF4022" s="1821"/>
      <c r="CG4022" s="1821"/>
      <c r="CH4022" s="1821"/>
      <c r="CI4022" s="1821"/>
      <c r="CJ4022" s="1821"/>
      <c r="CK4022" s="1821"/>
    </row>
    <row r="4023" spans="1:89" s="744" customFormat="1" ht="16.5" customHeight="1" x14ac:dyDescent="0.25">
      <c r="A4023" s="1033"/>
      <c r="B4023" s="709"/>
      <c r="C4023" s="827"/>
      <c r="D4023" s="961"/>
      <c r="E4023" s="758"/>
      <c r="F4023" s="714"/>
      <c r="G4023" s="714"/>
      <c r="H4023" s="700"/>
      <c r="I4023" s="714"/>
      <c r="J4023" s="714"/>
      <c r="K4023" s="700">
        <f t="shared" si="438"/>
        <v>0</v>
      </c>
      <c r="L4023" s="714"/>
      <c r="M4023" s="714"/>
      <c r="N4023" s="700"/>
      <c r="O4023" s="974">
        <f t="shared" si="439"/>
        <v>0</v>
      </c>
      <c r="P4023" s="956"/>
      <c r="Q4023" s="1821"/>
      <c r="R4023" s="1821"/>
      <c r="S4023" s="1821"/>
      <c r="T4023" s="1821"/>
      <c r="U4023" s="1821"/>
      <c r="V4023" s="1821"/>
      <c r="W4023" s="1821"/>
      <c r="X4023" s="1821"/>
      <c r="Y4023" s="1821"/>
      <c r="Z4023" s="1821"/>
      <c r="AA4023" s="1821"/>
      <c r="AB4023" s="1821"/>
      <c r="AC4023" s="1821"/>
      <c r="AD4023" s="1821"/>
      <c r="AE4023" s="1821"/>
      <c r="AF4023" s="1821"/>
      <c r="AG4023" s="1821"/>
      <c r="AH4023" s="1821"/>
      <c r="AI4023" s="1821"/>
      <c r="AJ4023" s="1821"/>
      <c r="AK4023" s="1821"/>
      <c r="AL4023" s="1821"/>
      <c r="AM4023" s="1821"/>
      <c r="AN4023" s="1821"/>
      <c r="AO4023" s="1821"/>
      <c r="AP4023" s="1821"/>
      <c r="AQ4023" s="1821"/>
      <c r="AR4023" s="1821"/>
      <c r="AS4023" s="1821"/>
      <c r="AT4023" s="1821"/>
      <c r="AU4023" s="1821"/>
      <c r="AV4023" s="1821"/>
      <c r="AW4023" s="1821"/>
      <c r="AX4023" s="1821"/>
      <c r="AY4023" s="1821"/>
      <c r="AZ4023" s="1821"/>
      <c r="BA4023" s="1821"/>
      <c r="BB4023" s="1821"/>
      <c r="BC4023" s="1821"/>
      <c r="BD4023" s="1821"/>
      <c r="BE4023" s="1821"/>
      <c r="BF4023" s="1821"/>
      <c r="BG4023" s="1821"/>
      <c r="BH4023" s="1821"/>
      <c r="BI4023" s="1821"/>
      <c r="BJ4023" s="1821"/>
      <c r="BK4023" s="1821"/>
      <c r="BL4023" s="1821"/>
      <c r="BM4023" s="1821"/>
      <c r="BN4023" s="1821"/>
      <c r="BO4023" s="1821"/>
      <c r="BP4023" s="1821"/>
      <c r="BQ4023" s="1821"/>
      <c r="BR4023" s="1821"/>
      <c r="BS4023" s="1821"/>
      <c r="BT4023" s="1821"/>
      <c r="BU4023" s="1821"/>
      <c r="BV4023" s="1821"/>
      <c r="BW4023" s="1821"/>
      <c r="BX4023" s="1821"/>
      <c r="BY4023" s="1821"/>
      <c r="BZ4023" s="1821"/>
      <c r="CA4023" s="1821"/>
      <c r="CB4023" s="1821"/>
      <c r="CC4023" s="1821"/>
      <c r="CD4023" s="1821"/>
      <c r="CE4023" s="1821"/>
      <c r="CF4023" s="1821"/>
      <c r="CG4023" s="1821"/>
      <c r="CH4023" s="1821"/>
      <c r="CI4023" s="1821"/>
      <c r="CJ4023" s="1821"/>
      <c r="CK4023" s="1821"/>
    </row>
    <row r="4024" spans="1:89" s="744" customFormat="1" ht="16.5" customHeight="1" x14ac:dyDescent="0.25">
      <c r="A4024" s="1033">
        <v>22</v>
      </c>
      <c r="B4024" s="709" t="s">
        <v>1360</v>
      </c>
      <c r="C4024" s="827">
        <f>SUM(O4026:O4033)</f>
        <v>307229.96999999997</v>
      </c>
      <c r="D4024" s="961"/>
      <c r="E4024" s="758"/>
      <c r="F4024" s="714"/>
      <c r="G4024" s="714"/>
      <c r="H4024" s="700"/>
      <c r="I4024" s="714"/>
      <c r="J4024" s="714"/>
      <c r="K4024" s="700">
        <f t="shared" si="438"/>
        <v>0</v>
      </c>
      <c r="L4024" s="714"/>
      <c r="M4024" s="714"/>
      <c r="N4024" s="700"/>
      <c r="O4024" s="974">
        <f t="shared" si="439"/>
        <v>0</v>
      </c>
      <c r="P4024" s="956"/>
      <c r="Q4024" s="1821"/>
      <c r="R4024" s="1821"/>
      <c r="S4024" s="1821"/>
      <c r="T4024" s="1821"/>
      <c r="U4024" s="1821"/>
      <c r="V4024" s="1821"/>
      <c r="W4024" s="1821"/>
      <c r="X4024" s="1821"/>
      <c r="Y4024" s="1821"/>
      <c r="Z4024" s="1821"/>
      <c r="AA4024" s="1821"/>
      <c r="AB4024" s="1821"/>
      <c r="AC4024" s="1821"/>
      <c r="AD4024" s="1821"/>
      <c r="AE4024" s="1821"/>
      <c r="AF4024" s="1821"/>
      <c r="AG4024" s="1821"/>
      <c r="AH4024" s="1821"/>
      <c r="AI4024" s="1821"/>
      <c r="AJ4024" s="1821"/>
      <c r="AK4024" s="1821"/>
      <c r="AL4024" s="1821"/>
      <c r="AM4024" s="1821"/>
      <c r="AN4024" s="1821"/>
      <c r="AO4024" s="1821"/>
      <c r="AP4024" s="1821"/>
      <c r="AQ4024" s="1821"/>
      <c r="AR4024" s="1821"/>
      <c r="AS4024" s="1821"/>
      <c r="AT4024" s="1821"/>
      <c r="AU4024" s="1821"/>
      <c r="AV4024" s="1821"/>
      <c r="AW4024" s="1821"/>
      <c r="AX4024" s="1821"/>
      <c r="AY4024" s="1821"/>
      <c r="AZ4024" s="1821"/>
      <c r="BA4024" s="1821"/>
      <c r="BB4024" s="1821"/>
      <c r="BC4024" s="1821"/>
      <c r="BD4024" s="1821"/>
      <c r="BE4024" s="1821"/>
      <c r="BF4024" s="1821"/>
      <c r="BG4024" s="1821"/>
      <c r="BH4024" s="1821"/>
      <c r="BI4024" s="1821"/>
      <c r="BJ4024" s="1821"/>
      <c r="BK4024" s="1821"/>
      <c r="BL4024" s="1821"/>
      <c r="BM4024" s="1821"/>
      <c r="BN4024" s="1821"/>
      <c r="BO4024" s="1821"/>
      <c r="BP4024" s="1821"/>
      <c r="BQ4024" s="1821"/>
      <c r="BR4024" s="1821"/>
      <c r="BS4024" s="1821"/>
      <c r="BT4024" s="1821"/>
      <c r="BU4024" s="1821"/>
      <c r="BV4024" s="1821"/>
      <c r="BW4024" s="1821"/>
      <c r="BX4024" s="1821"/>
      <c r="BY4024" s="1821"/>
      <c r="BZ4024" s="1821"/>
      <c r="CA4024" s="1821"/>
      <c r="CB4024" s="1821"/>
      <c r="CC4024" s="1821"/>
      <c r="CD4024" s="1821"/>
      <c r="CE4024" s="1821"/>
      <c r="CF4024" s="1821"/>
      <c r="CG4024" s="1821"/>
      <c r="CH4024" s="1821"/>
      <c r="CI4024" s="1821"/>
      <c r="CJ4024" s="1821"/>
      <c r="CK4024" s="1821"/>
    </row>
    <row r="4025" spans="1:89" s="744" customFormat="1" ht="16.5" customHeight="1" x14ac:dyDescent="0.25">
      <c r="A4025" s="1033"/>
      <c r="B4025" s="709" t="s">
        <v>21</v>
      </c>
      <c r="C4025" s="827"/>
      <c r="D4025" s="961"/>
      <c r="E4025" s="758"/>
      <c r="F4025" s="714"/>
      <c r="G4025" s="714"/>
      <c r="H4025" s="700">
        <f t="shared" ref="H4025:H4033" si="447">G4025+F4025</f>
        <v>0</v>
      </c>
      <c r="I4025" s="714"/>
      <c r="J4025" s="714">
        <f>C4025*E4025</f>
        <v>0</v>
      </c>
      <c r="K4025" s="700">
        <f t="shared" si="438"/>
        <v>0</v>
      </c>
      <c r="L4025" s="714"/>
      <c r="M4025" s="714"/>
      <c r="N4025" s="700">
        <f t="shared" ref="N4025:N4033" si="448">M4025+L4025</f>
        <v>0</v>
      </c>
      <c r="O4025" s="974">
        <f t="shared" si="439"/>
        <v>0</v>
      </c>
      <c r="P4025" s="956"/>
      <c r="Q4025" s="1821"/>
      <c r="R4025" s="1821"/>
      <c r="S4025" s="1821"/>
      <c r="T4025" s="1821"/>
      <c r="U4025" s="1821"/>
      <c r="V4025" s="1821"/>
      <c r="W4025" s="1821"/>
      <c r="X4025" s="1821"/>
      <c r="Y4025" s="1821"/>
      <c r="Z4025" s="1821"/>
      <c r="AA4025" s="1821"/>
      <c r="AB4025" s="1821"/>
      <c r="AC4025" s="1821"/>
      <c r="AD4025" s="1821"/>
      <c r="AE4025" s="1821"/>
      <c r="AF4025" s="1821"/>
      <c r="AG4025" s="1821"/>
      <c r="AH4025" s="1821"/>
      <c r="AI4025" s="1821"/>
      <c r="AJ4025" s="1821"/>
      <c r="AK4025" s="1821"/>
      <c r="AL4025" s="1821"/>
      <c r="AM4025" s="1821"/>
      <c r="AN4025" s="1821"/>
      <c r="AO4025" s="1821"/>
      <c r="AP4025" s="1821"/>
      <c r="AQ4025" s="1821"/>
      <c r="AR4025" s="1821"/>
      <c r="AS4025" s="1821"/>
      <c r="AT4025" s="1821"/>
      <c r="AU4025" s="1821"/>
      <c r="AV4025" s="1821"/>
      <c r="AW4025" s="1821"/>
      <c r="AX4025" s="1821"/>
      <c r="AY4025" s="1821"/>
      <c r="AZ4025" s="1821"/>
      <c r="BA4025" s="1821"/>
      <c r="BB4025" s="1821"/>
      <c r="BC4025" s="1821"/>
      <c r="BD4025" s="1821"/>
      <c r="BE4025" s="1821"/>
      <c r="BF4025" s="1821"/>
      <c r="BG4025" s="1821"/>
      <c r="BH4025" s="1821"/>
      <c r="BI4025" s="1821"/>
      <c r="BJ4025" s="1821"/>
      <c r="BK4025" s="1821"/>
      <c r="BL4025" s="1821"/>
      <c r="BM4025" s="1821"/>
      <c r="BN4025" s="1821"/>
      <c r="BO4025" s="1821"/>
      <c r="BP4025" s="1821"/>
      <c r="BQ4025" s="1821"/>
      <c r="BR4025" s="1821"/>
      <c r="BS4025" s="1821"/>
      <c r="BT4025" s="1821"/>
      <c r="BU4025" s="1821"/>
      <c r="BV4025" s="1821"/>
      <c r="BW4025" s="1821"/>
      <c r="BX4025" s="1821"/>
      <c r="BY4025" s="1821"/>
      <c r="BZ4025" s="1821"/>
      <c r="CA4025" s="1821"/>
      <c r="CB4025" s="1821"/>
      <c r="CC4025" s="1821"/>
      <c r="CD4025" s="1821"/>
      <c r="CE4025" s="1821"/>
      <c r="CF4025" s="1821"/>
      <c r="CG4025" s="1821"/>
      <c r="CH4025" s="1821"/>
      <c r="CI4025" s="1821"/>
      <c r="CJ4025" s="1821"/>
      <c r="CK4025" s="1821"/>
    </row>
    <row r="4026" spans="1:89" s="744" customFormat="1" ht="16.5" customHeight="1" x14ac:dyDescent="0.25">
      <c r="A4026" s="1033"/>
      <c r="B4026" s="709" t="s">
        <v>215</v>
      </c>
      <c r="C4026" s="827">
        <v>1</v>
      </c>
      <c r="D4026" s="961" t="s">
        <v>438</v>
      </c>
      <c r="E4026" s="758">
        <v>137700</v>
      </c>
      <c r="F4026" s="714"/>
      <c r="G4026" s="714"/>
      <c r="H4026" s="700">
        <f t="shared" si="447"/>
        <v>0</v>
      </c>
      <c r="I4026" s="714"/>
      <c r="J4026" s="714">
        <f>C4026*E4026</f>
        <v>137700</v>
      </c>
      <c r="K4026" s="700">
        <f t="shared" si="438"/>
        <v>137700</v>
      </c>
      <c r="L4026" s="714"/>
      <c r="M4026" s="714"/>
      <c r="N4026" s="700">
        <f t="shared" si="448"/>
        <v>0</v>
      </c>
      <c r="O4026" s="974">
        <f t="shared" si="439"/>
        <v>137700</v>
      </c>
      <c r="P4026" s="956"/>
      <c r="Q4026" s="1821"/>
      <c r="R4026" s="1821"/>
      <c r="S4026" s="1821"/>
      <c r="T4026" s="1821"/>
      <c r="U4026" s="1821"/>
      <c r="V4026" s="1821"/>
      <c r="W4026" s="1821"/>
      <c r="X4026" s="1821"/>
      <c r="Y4026" s="1821"/>
      <c r="Z4026" s="1821"/>
      <c r="AA4026" s="1821"/>
      <c r="AB4026" s="1821"/>
      <c r="AC4026" s="1821"/>
      <c r="AD4026" s="1821"/>
      <c r="AE4026" s="1821"/>
      <c r="AF4026" s="1821"/>
      <c r="AG4026" s="1821"/>
      <c r="AH4026" s="1821"/>
      <c r="AI4026" s="1821"/>
      <c r="AJ4026" s="1821"/>
      <c r="AK4026" s="1821"/>
      <c r="AL4026" s="1821"/>
      <c r="AM4026" s="1821"/>
      <c r="AN4026" s="1821"/>
      <c r="AO4026" s="1821"/>
      <c r="AP4026" s="1821"/>
      <c r="AQ4026" s="1821"/>
      <c r="AR4026" s="1821"/>
      <c r="AS4026" s="1821"/>
      <c r="AT4026" s="1821"/>
      <c r="AU4026" s="1821"/>
      <c r="AV4026" s="1821"/>
      <c r="AW4026" s="1821"/>
      <c r="AX4026" s="1821"/>
      <c r="AY4026" s="1821"/>
      <c r="AZ4026" s="1821"/>
      <c r="BA4026" s="1821"/>
      <c r="BB4026" s="1821"/>
      <c r="BC4026" s="1821"/>
      <c r="BD4026" s="1821"/>
      <c r="BE4026" s="1821"/>
      <c r="BF4026" s="1821"/>
      <c r="BG4026" s="1821"/>
      <c r="BH4026" s="1821"/>
      <c r="BI4026" s="1821"/>
      <c r="BJ4026" s="1821"/>
      <c r="BK4026" s="1821"/>
      <c r="BL4026" s="1821"/>
      <c r="BM4026" s="1821"/>
      <c r="BN4026" s="1821"/>
      <c r="BO4026" s="1821"/>
      <c r="BP4026" s="1821"/>
      <c r="BQ4026" s="1821"/>
      <c r="BR4026" s="1821"/>
      <c r="BS4026" s="1821"/>
      <c r="BT4026" s="1821"/>
      <c r="BU4026" s="1821"/>
      <c r="BV4026" s="1821"/>
      <c r="BW4026" s="1821"/>
      <c r="BX4026" s="1821"/>
      <c r="BY4026" s="1821"/>
      <c r="BZ4026" s="1821"/>
      <c r="CA4026" s="1821"/>
      <c r="CB4026" s="1821"/>
      <c r="CC4026" s="1821"/>
      <c r="CD4026" s="1821"/>
      <c r="CE4026" s="1821"/>
      <c r="CF4026" s="1821"/>
      <c r="CG4026" s="1821"/>
      <c r="CH4026" s="1821"/>
      <c r="CI4026" s="1821"/>
      <c r="CJ4026" s="1821"/>
      <c r="CK4026" s="1821"/>
    </row>
    <row r="4027" spans="1:89" s="744" customFormat="1" ht="16.5" customHeight="1" x14ac:dyDescent="0.25">
      <c r="A4027" s="1033"/>
      <c r="B4027" s="709" t="s">
        <v>206</v>
      </c>
      <c r="C4027" s="827"/>
      <c r="D4027" s="961"/>
      <c r="E4027" s="758"/>
      <c r="F4027" s="714"/>
      <c r="G4027" s="714"/>
      <c r="H4027" s="700">
        <f t="shared" si="447"/>
        <v>0</v>
      </c>
      <c r="I4027" s="714"/>
      <c r="J4027" s="714"/>
      <c r="K4027" s="700">
        <f t="shared" si="438"/>
        <v>0</v>
      </c>
      <c r="L4027" s="714"/>
      <c r="M4027" s="714"/>
      <c r="N4027" s="700">
        <f t="shared" si="448"/>
        <v>0</v>
      </c>
      <c r="O4027" s="974">
        <f t="shared" ref="O4027:O4049" si="449">N4027+K4027+H4027</f>
        <v>0</v>
      </c>
      <c r="P4027" s="956"/>
      <c r="Q4027" s="1821"/>
      <c r="R4027" s="1821"/>
      <c r="S4027" s="1821"/>
      <c r="T4027" s="1821"/>
      <c r="U4027" s="1821"/>
      <c r="V4027" s="1821"/>
      <c r="W4027" s="1821"/>
      <c r="X4027" s="1821"/>
      <c r="Y4027" s="1821"/>
      <c r="Z4027" s="1821"/>
      <c r="AA4027" s="1821"/>
      <c r="AB4027" s="1821"/>
      <c r="AC4027" s="1821"/>
      <c r="AD4027" s="1821"/>
      <c r="AE4027" s="1821"/>
      <c r="AF4027" s="1821"/>
      <c r="AG4027" s="1821"/>
      <c r="AH4027" s="1821"/>
      <c r="AI4027" s="1821"/>
      <c r="AJ4027" s="1821"/>
      <c r="AK4027" s="1821"/>
      <c r="AL4027" s="1821"/>
      <c r="AM4027" s="1821"/>
      <c r="AN4027" s="1821"/>
      <c r="AO4027" s="1821"/>
      <c r="AP4027" s="1821"/>
      <c r="AQ4027" s="1821"/>
      <c r="AR4027" s="1821"/>
      <c r="AS4027" s="1821"/>
      <c r="AT4027" s="1821"/>
      <c r="AU4027" s="1821"/>
      <c r="AV4027" s="1821"/>
      <c r="AW4027" s="1821"/>
      <c r="AX4027" s="1821"/>
      <c r="AY4027" s="1821"/>
      <c r="AZ4027" s="1821"/>
      <c r="BA4027" s="1821"/>
      <c r="BB4027" s="1821"/>
      <c r="BC4027" s="1821"/>
      <c r="BD4027" s="1821"/>
      <c r="BE4027" s="1821"/>
      <c r="BF4027" s="1821"/>
      <c r="BG4027" s="1821"/>
      <c r="BH4027" s="1821"/>
      <c r="BI4027" s="1821"/>
      <c r="BJ4027" s="1821"/>
      <c r="BK4027" s="1821"/>
      <c r="BL4027" s="1821"/>
      <c r="BM4027" s="1821"/>
      <c r="BN4027" s="1821"/>
      <c r="BO4027" s="1821"/>
      <c r="BP4027" s="1821"/>
      <c r="BQ4027" s="1821"/>
      <c r="BR4027" s="1821"/>
      <c r="BS4027" s="1821"/>
      <c r="BT4027" s="1821"/>
      <c r="BU4027" s="1821"/>
      <c r="BV4027" s="1821"/>
      <c r="BW4027" s="1821"/>
      <c r="BX4027" s="1821"/>
      <c r="BY4027" s="1821"/>
      <c r="BZ4027" s="1821"/>
      <c r="CA4027" s="1821"/>
      <c r="CB4027" s="1821"/>
      <c r="CC4027" s="1821"/>
      <c r="CD4027" s="1821"/>
      <c r="CE4027" s="1821"/>
      <c r="CF4027" s="1821"/>
      <c r="CG4027" s="1821"/>
      <c r="CH4027" s="1821"/>
      <c r="CI4027" s="1821"/>
      <c r="CJ4027" s="1821"/>
      <c r="CK4027" s="1821"/>
    </row>
    <row r="4028" spans="1:89" s="744" customFormat="1" ht="16.5" customHeight="1" x14ac:dyDescent="0.25">
      <c r="A4028" s="1033"/>
      <c r="B4028" s="709" t="s">
        <v>439</v>
      </c>
      <c r="C4028" s="827"/>
      <c r="D4028" s="961"/>
      <c r="E4028" s="758"/>
      <c r="F4028" s="714"/>
      <c r="G4028" s="714"/>
      <c r="H4028" s="700">
        <f t="shared" si="447"/>
        <v>0</v>
      </c>
      <c r="I4028" s="714"/>
      <c r="J4028" s="714"/>
      <c r="K4028" s="700">
        <f t="shared" si="438"/>
        <v>0</v>
      </c>
      <c r="L4028" s="714"/>
      <c r="M4028" s="714"/>
      <c r="N4028" s="700">
        <f t="shared" si="448"/>
        <v>0</v>
      </c>
      <c r="O4028" s="974">
        <f t="shared" si="449"/>
        <v>0</v>
      </c>
      <c r="P4028" s="956"/>
      <c r="Q4028" s="1821"/>
      <c r="R4028" s="1821"/>
      <c r="S4028" s="1821"/>
      <c r="T4028" s="1821"/>
      <c r="U4028" s="1821"/>
      <c r="V4028" s="1821"/>
      <c r="W4028" s="1821"/>
      <c r="X4028" s="1821"/>
      <c r="Y4028" s="1821"/>
      <c r="Z4028" s="1821"/>
      <c r="AA4028" s="1821"/>
      <c r="AB4028" s="1821"/>
      <c r="AC4028" s="1821"/>
      <c r="AD4028" s="1821"/>
      <c r="AE4028" s="1821"/>
      <c r="AF4028" s="1821"/>
      <c r="AG4028" s="1821"/>
      <c r="AH4028" s="1821"/>
      <c r="AI4028" s="1821"/>
      <c r="AJ4028" s="1821"/>
      <c r="AK4028" s="1821"/>
      <c r="AL4028" s="1821"/>
      <c r="AM4028" s="1821"/>
      <c r="AN4028" s="1821"/>
      <c r="AO4028" s="1821"/>
      <c r="AP4028" s="1821"/>
      <c r="AQ4028" s="1821"/>
      <c r="AR4028" s="1821"/>
      <c r="AS4028" s="1821"/>
      <c r="AT4028" s="1821"/>
      <c r="AU4028" s="1821"/>
      <c r="AV4028" s="1821"/>
      <c r="AW4028" s="1821"/>
      <c r="AX4028" s="1821"/>
      <c r="AY4028" s="1821"/>
      <c r="AZ4028" s="1821"/>
      <c r="BA4028" s="1821"/>
      <c r="BB4028" s="1821"/>
      <c r="BC4028" s="1821"/>
      <c r="BD4028" s="1821"/>
      <c r="BE4028" s="1821"/>
      <c r="BF4028" s="1821"/>
      <c r="BG4028" s="1821"/>
      <c r="BH4028" s="1821"/>
      <c r="BI4028" s="1821"/>
      <c r="BJ4028" s="1821"/>
      <c r="BK4028" s="1821"/>
      <c r="BL4028" s="1821"/>
      <c r="BM4028" s="1821"/>
      <c r="BN4028" s="1821"/>
      <c r="BO4028" s="1821"/>
      <c r="BP4028" s="1821"/>
      <c r="BQ4028" s="1821"/>
      <c r="BR4028" s="1821"/>
      <c r="BS4028" s="1821"/>
      <c r="BT4028" s="1821"/>
      <c r="BU4028" s="1821"/>
      <c r="BV4028" s="1821"/>
      <c r="BW4028" s="1821"/>
      <c r="BX4028" s="1821"/>
      <c r="BY4028" s="1821"/>
      <c r="BZ4028" s="1821"/>
      <c r="CA4028" s="1821"/>
      <c r="CB4028" s="1821"/>
      <c r="CC4028" s="1821"/>
      <c r="CD4028" s="1821"/>
      <c r="CE4028" s="1821"/>
      <c r="CF4028" s="1821"/>
      <c r="CG4028" s="1821"/>
      <c r="CH4028" s="1821"/>
      <c r="CI4028" s="1821"/>
      <c r="CJ4028" s="1821"/>
      <c r="CK4028" s="1821"/>
    </row>
    <row r="4029" spans="1:89" s="744" customFormat="1" ht="16.5" customHeight="1" x14ac:dyDescent="0.25">
      <c r="A4029" s="1033"/>
      <c r="B4029" s="709" t="s">
        <v>374</v>
      </c>
      <c r="C4029" s="827">
        <v>36</v>
      </c>
      <c r="D4029" s="961" t="s">
        <v>210</v>
      </c>
      <c r="E4029" s="758">
        <v>866.66600000000005</v>
      </c>
      <c r="F4029" s="714"/>
      <c r="G4029" s="714"/>
      <c r="H4029" s="700">
        <f t="shared" si="447"/>
        <v>0</v>
      </c>
      <c r="I4029" s="714"/>
      <c r="J4029" s="714">
        <f>E4029*C4029</f>
        <v>31199.976000000002</v>
      </c>
      <c r="K4029" s="700">
        <f t="shared" si="438"/>
        <v>31199.976000000002</v>
      </c>
      <c r="L4029" s="714"/>
      <c r="M4029" s="714"/>
      <c r="N4029" s="700">
        <f t="shared" si="448"/>
        <v>0</v>
      </c>
      <c r="O4029" s="974">
        <f t="shared" si="449"/>
        <v>31199.976000000002</v>
      </c>
      <c r="P4029" s="956"/>
      <c r="Q4029" s="1821"/>
      <c r="R4029" s="1821"/>
      <c r="S4029" s="1821"/>
      <c r="T4029" s="1821"/>
      <c r="U4029" s="1821"/>
      <c r="V4029" s="1821"/>
      <c r="W4029" s="1821"/>
      <c r="X4029" s="1821"/>
      <c r="Y4029" s="1821"/>
      <c r="Z4029" s="1821"/>
      <c r="AA4029" s="1821"/>
      <c r="AB4029" s="1821"/>
      <c r="AC4029" s="1821"/>
      <c r="AD4029" s="1821"/>
      <c r="AE4029" s="1821"/>
      <c r="AF4029" s="1821"/>
      <c r="AG4029" s="1821"/>
      <c r="AH4029" s="1821"/>
      <c r="AI4029" s="1821"/>
      <c r="AJ4029" s="1821"/>
      <c r="AK4029" s="1821"/>
      <c r="AL4029" s="1821"/>
      <c r="AM4029" s="1821"/>
      <c r="AN4029" s="1821"/>
      <c r="AO4029" s="1821"/>
      <c r="AP4029" s="1821"/>
      <c r="AQ4029" s="1821"/>
      <c r="AR4029" s="1821"/>
      <c r="AS4029" s="1821"/>
      <c r="AT4029" s="1821"/>
      <c r="AU4029" s="1821"/>
      <c r="AV4029" s="1821"/>
      <c r="AW4029" s="1821"/>
      <c r="AX4029" s="1821"/>
      <c r="AY4029" s="1821"/>
      <c r="AZ4029" s="1821"/>
      <c r="BA4029" s="1821"/>
      <c r="BB4029" s="1821"/>
      <c r="BC4029" s="1821"/>
      <c r="BD4029" s="1821"/>
      <c r="BE4029" s="1821"/>
      <c r="BF4029" s="1821"/>
      <c r="BG4029" s="1821"/>
      <c r="BH4029" s="1821"/>
      <c r="BI4029" s="1821"/>
      <c r="BJ4029" s="1821"/>
      <c r="BK4029" s="1821"/>
      <c r="BL4029" s="1821"/>
      <c r="BM4029" s="1821"/>
      <c r="BN4029" s="1821"/>
      <c r="BO4029" s="1821"/>
      <c r="BP4029" s="1821"/>
      <c r="BQ4029" s="1821"/>
      <c r="BR4029" s="1821"/>
      <c r="BS4029" s="1821"/>
      <c r="BT4029" s="1821"/>
      <c r="BU4029" s="1821"/>
      <c r="BV4029" s="1821"/>
      <c r="BW4029" s="1821"/>
      <c r="BX4029" s="1821"/>
      <c r="BY4029" s="1821"/>
      <c r="BZ4029" s="1821"/>
      <c r="CA4029" s="1821"/>
      <c r="CB4029" s="1821"/>
      <c r="CC4029" s="1821"/>
      <c r="CD4029" s="1821"/>
      <c r="CE4029" s="1821"/>
      <c r="CF4029" s="1821"/>
      <c r="CG4029" s="1821"/>
      <c r="CH4029" s="1821"/>
      <c r="CI4029" s="1821"/>
      <c r="CJ4029" s="1821"/>
      <c r="CK4029" s="1821"/>
    </row>
    <row r="4030" spans="1:89" s="744" customFormat="1" ht="16.5" customHeight="1" x14ac:dyDescent="0.25">
      <c r="A4030" s="1033"/>
      <c r="B4030" s="709" t="s">
        <v>349</v>
      </c>
      <c r="C4030" s="827"/>
      <c r="D4030" s="961"/>
      <c r="E4030" s="758"/>
      <c r="F4030" s="714"/>
      <c r="G4030" s="714"/>
      <c r="H4030" s="700">
        <f t="shared" si="447"/>
        <v>0</v>
      </c>
      <c r="I4030" s="714"/>
      <c r="J4030" s="714">
        <f>C4030*E4030</f>
        <v>0</v>
      </c>
      <c r="K4030" s="700">
        <f t="shared" si="438"/>
        <v>0</v>
      </c>
      <c r="L4030" s="714"/>
      <c r="M4030" s="714"/>
      <c r="N4030" s="700">
        <f t="shared" si="448"/>
        <v>0</v>
      </c>
      <c r="O4030" s="974">
        <f t="shared" si="449"/>
        <v>0</v>
      </c>
      <c r="P4030" s="956"/>
      <c r="Q4030" s="1821"/>
      <c r="R4030" s="1821"/>
      <c r="S4030" s="1821"/>
      <c r="T4030" s="1821"/>
      <c r="U4030" s="1821"/>
      <c r="V4030" s="1821"/>
      <c r="W4030" s="1821"/>
      <c r="X4030" s="1821"/>
      <c r="Y4030" s="1821"/>
      <c r="Z4030" s="1821"/>
      <c r="AA4030" s="1821"/>
      <c r="AB4030" s="1821"/>
      <c r="AC4030" s="1821"/>
      <c r="AD4030" s="1821"/>
      <c r="AE4030" s="1821"/>
      <c r="AF4030" s="1821"/>
      <c r="AG4030" s="1821"/>
      <c r="AH4030" s="1821"/>
      <c r="AI4030" s="1821"/>
      <c r="AJ4030" s="1821"/>
      <c r="AK4030" s="1821"/>
      <c r="AL4030" s="1821"/>
      <c r="AM4030" s="1821"/>
      <c r="AN4030" s="1821"/>
      <c r="AO4030" s="1821"/>
      <c r="AP4030" s="1821"/>
      <c r="AQ4030" s="1821"/>
      <c r="AR4030" s="1821"/>
      <c r="AS4030" s="1821"/>
      <c r="AT4030" s="1821"/>
      <c r="AU4030" s="1821"/>
      <c r="AV4030" s="1821"/>
      <c r="AW4030" s="1821"/>
      <c r="AX4030" s="1821"/>
      <c r="AY4030" s="1821"/>
      <c r="AZ4030" s="1821"/>
      <c r="BA4030" s="1821"/>
      <c r="BB4030" s="1821"/>
      <c r="BC4030" s="1821"/>
      <c r="BD4030" s="1821"/>
      <c r="BE4030" s="1821"/>
      <c r="BF4030" s="1821"/>
      <c r="BG4030" s="1821"/>
      <c r="BH4030" s="1821"/>
      <c r="BI4030" s="1821"/>
      <c r="BJ4030" s="1821"/>
      <c r="BK4030" s="1821"/>
      <c r="BL4030" s="1821"/>
      <c r="BM4030" s="1821"/>
      <c r="BN4030" s="1821"/>
      <c r="BO4030" s="1821"/>
      <c r="BP4030" s="1821"/>
      <c r="BQ4030" s="1821"/>
      <c r="BR4030" s="1821"/>
      <c r="BS4030" s="1821"/>
      <c r="BT4030" s="1821"/>
      <c r="BU4030" s="1821"/>
      <c r="BV4030" s="1821"/>
      <c r="BW4030" s="1821"/>
      <c r="BX4030" s="1821"/>
      <c r="BY4030" s="1821"/>
      <c r="BZ4030" s="1821"/>
      <c r="CA4030" s="1821"/>
      <c r="CB4030" s="1821"/>
      <c r="CC4030" s="1821"/>
      <c r="CD4030" s="1821"/>
      <c r="CE4030" s="1821"/>
      <c r="CF4030" s="1821"/>
      <c r="CG4030" s="1821"/>
      <c r="CH4030" s="1821"/>
      <c r="CI4030" s="1821"/>
      <c r="CJ4030" s="1821"/>
      <c r="CK4030" s="1821"/>
    </row>
    <row r="4031" spans="1:89" s="744" customFormat="1" ht="16.5" customHeight="1" x14ac:dyDescent="0.25">
      <c r="A4031" s="1033"/>
      <c r="B4031" s="709" t="s">
        <v>1344</v>
      </c>
      <c r="C4031" s="827">
        <v>57</v>
      </c>
      <c r="D4031" s="961" t="s">
        <v>51</v>
      </c>
      <c r="E4031" s="758">
        <v>100</v>
      </c>
      <c r="F4031" s="714"/>
      <c r="G4031" s="714"/>
      <c r="H4031" s="700">
        <f t="shared" si="447"/>
        <v>0</v>
      </c>
      <c r="I4031" s="714"/>
      <c r="J4031" s="714">
        <f>E4031*C4031</f>
        <v>5700</v>
      </c>
      <c r="K4031" s="700">
        <f t="shared" si="438"/>
        <v>5700</v>
      </c>
      <c r="L4031" s="714"/>
      <c r="M4031" s="714"/>
      <c r="N4031" s="700">
        <f t="shared" si="448"/>
        <v>0</v>
      </c>
      <c r="O4031" s="974">
        <f t="shared" si="449"/>
        <v>5700</v>
      </c>
      <c r="P4031" s="956"/>
      <c r="Q4031" s="1821"/>
      <c r="R4031" s="1821"/>
      <c r="S4031" s="1821"/>
      <c r="T4031" s="1821"/>
      <c r="U4031" s="1821"/>
      <c r="V4031" s="1821"/>
      <c r="W4031" s="1821"/>
      <c r="X4031" s="1821"/>
      <c r="Y4031" s="1821"/>
      <c r="Z4031" s="1821"/>
      <c r="AA4031" s="1821"/>
      <c r="AB4031" s="1821"/>
      <c r="AC4031" s="1821"/>
      <c r="AD4031" s="1821"/>
      <c r="AE4031" s="1821"/>
      <c r="AF4031" s="1821"/>
      <c r="AG4031" s="1821"/>
      <c r="AH4031" s="1821"/>
      <c r="AI4031" s="1821"/>
      <c r="AJ4031" s="1821"/>
      <c r="AK4031" s="1821"/>
      <c r="AL4031" s="1821"/>
      <c r="AM4031" s="1821"/>
      <c r="AN4031" s="1821"/>
      <c r="AO4031" s="1821"/>
      <c r="AP4031" s="1821"/>
      <c r="AQ4031" s="1821"/>
      <c r="AR4031" s="1821"/>
      <c r="AS4031" s="1821"/>
      <c r="AT4031" s="1821"/>
      <c r="AU4031" s="1821"/>
      <c r="AV4031" s="1821"/>
      <c r="AW4031" s="1821"/>
      <c r="AX4031" s="1821"/>
      <c r="AY4031" s="1821"/>
      <c r="AZ4031" s="1821"/>
      <c r="BA4031" s="1821"/>
      <c r="BB4031" s="1821"/>
      <c r="BC4031" s="1821"/>
      <c r="BD4031" s="1821"/>
      <c r="BE4031" s="1821"/>
      <c r="BF4031" s="1821"/>
      <c r="BG4031" s="1821"/>
      <c r="BH4031" s="1821"/>
      <c r="BI4031" s="1821"/>
      <c r="BJ4031" s="1821"/>
      <c r="BK4031" s="1821"/>
      <c r="BL4031" s="1821"/>
      <c r="BM4031" s="1821"/>
      <c r="BN4031" s="1821"/>
      <c r="BO4031" s="1821"/>
      <c r="BP4031" s="1821"/>
      <c r="BQ4031" s="1821"/>
      <c r="BR4031" s="1821"/>
      <c r="BS4031" s="1821"/>
      <c r="BT4031" s="1821"/>
      <c r="BU4031" s="1821"/>
      <c r="BV4031" s="1821"/>
      <c r="BW4031" s="1821"/>
      <c r="BX4031" s="1821"/>
      <c r="BY4031" s="1821"/>
      <c r="BZ4031" s="1821"/>
      <c r="CA4031" s="1821"/>
      <c r="CB4031" s="1821"/>
      <c r="CC4031" s="1821"/>
      <c r="CD4031" s="1821"/>
      <c r="CE4031" s="1821"/>
      <c r="CF4031" s="1821"/>
      <c r="CG4031" s="1821"/>
      <c r="CH4031" s="1821"/>
      <c r="CI4031" s="1821"/>
      <c r="CJ4031" s="1821"/>
      <c r="CK4031" s="1821"/>
    </row>
    <row r="4032" spans="1:89" s="744" customFormat="1" ht="16.5" customHeight="1" x14ac:dyDescent="0.25">
      <c r="A4032" s="1033"/>
      <c r="B4032" s="709" t="s">
        <v>54</v>
      </c>
      <c r="C4032" s="827">
        <v>171</v>
      </c>
      <c r="D4032" s="961" t="s">
        <v>55</v>
      </c>
      <c r="E4032" s="758">
        <v>430</v>
      </c>
      <c r="F4032" s="714"/>
      <c r="G4032" s="714"/>
      <c r="H4032" s="700">
        <f t="shared" si="447"/>
        <v>0</v>
      </c>
      <c r="I4032" s="714"/>
      <c r="J4032" s="714">
        <f>E4032*C4032</f>
        <v>73530</v>
      </c>
      <c r="K4032" s="700">
        <f t="shared" si="438"/>
        <v>73530</v>
      </c>
      <c r="L4032" s="714"/>
      <c r="M4032" s="714"/>
      <c r="N4032" s="700">
        <f t="shared" si="448"/>
        <v>0</v>
      </c>
      <c r="O4032" s="974">
        <f t="shared" si="449"/>
        <v>73530</v>
      </c>
      <c r="P4032" s="956"/>
      <c r="Q4032" s="1821"/>
      <c r="R4032" s="1821"/>
      <c r="S4032" s="1821"/>
      <c r="T4032" s="1821"/>
      <c r="U4032" s="1821"/>
      <c r="V4032" s="1821"/>
      <c r="W4032" s="1821"/>
      <c r="X4032" s="1821"/>
      <c r="Y4032" s="1821"/>
      <c r="Z4032" s="1821"/>
      <c r="AA4032" s="1821"/>
      <c r="AB4032" s="1821"/>
      <c r="AC4032" s="1821"/>
      <c r="AD4032" s="1821"/>
      <c r="AE4032" s="1821"/>
      <c r="AF4032" s="1821"/>
      <c r="AG4032" s="1821"/>
      <c r="AH4032" s="1821"/>
      <c r="AI4032" s="1821"/>
      <c r="AJ4032" s="1821"/>
      <c r="AK4032" s="1821"/>
      <c r="AL4032" s="1821"/>
      <c r="AM4032" s="1821"/>
      <c r="AN4032" s="1821"/>
      <c r="AO4032" s="1821"/>
      <c r="AP4032" s="1821"/>
      <c r="AQ4032" s="1821"/>
      <c r="AR4032" s="1821"/>
      <c r="AS4032" s="1821"/>
      <c r="AT4032" s="1821"/>
      <c r="AU4032" s="1821"/>
      <c r="AV4032" s="1821"/>
      <c r="AW4032" s="1821"/>
      <c r="AX4032" s="1821"/>
      <c r="AY4032" s="1821"/>
      <c r="AZ4032" s="1821"/>
      <c r="BA4032" s="1821"/>
      <c r="BB4032" s="1821"/>
      <c r="BC4032" s="1821"/>
      <c r="BD4032" s="1821"/>
      <c r="BE4032" s="1821"/>
      <c r="BF4032" s="1821"/>
      <c r="BG4032" s="1821"/>
      <c r="BH4032" s="1821"/>
      <c r="BI4032" s="1821"/>
      <c r="BJ4032" s="1821"/>
      <c r="BK4032" s="1821"/>
      <c r="BL4032" s="1821"/>
      <c r="BM4032" s="1821"/>
      <c r="BN4032" s="1821"/>
      <c r="BO4032" s="1821"/>
      <c r="BP4032" s="1821"/>
      <c r="BQ4032" s="1821"/>
      <c r="BR4032" s="1821"/>
      <c r="BS4032" s="1821"/>
      <c r="BT4032" s="1821"/>
      <c r="BU4032" s="1821"/>
      <c r="BV4032" s="1821"/>
      <c r="BW4032" s="1821"/>
      <c r="BX4032" s="1821"/>
      <c r="BY4032" s="1821"/>
      <c r="BZ4032" s="1821"/>
      <c r="CA4032" s="1821"/>
      <c r="CB4032" s="1821"/>
      <c r="CC4032" s="1821"/>
      <c r="CD4032" s="1821"/>
      <c r="CE4032" s="1821"/>
      <c r="CF4032" s="1821"/>
      <c r="CG4032" s="1821"/>
      <c r="CH4032" s="1821"/>
      <c r="CI4032" s="1821"/>
      <c r="CJ4032" s="1821"/>
      <c r="CK4032" s="1821"/>
    </row>
    <row r="4033" spans="1:89" s="795" customFormat="1" ht="16.5" customHeight="1" x14ac:dyDescent="0.25">
      <c r="A4033" s="1037"/>
      <c r="B4033" s="1038" t="s">
        <v>52</v>
      </c>
      <c r="C4033" s="1039">
        <v>114</v>
      </c>
      <c r="D4033" s="1040" t="s">
        <v>55</v>
      </c>
      <c r="E4033" s="1041">
        <v>518.42100000000005</v>
      </c>
      <c r="F4033" s="874"/>
      <c r="G4033" s="874"/>
      <c r="H4033" s="706">
        <f t="shared" si="447"/>
        <v>0</v>
      </c>
      <c r="I4033" s="874"/>
      <c r="J4033" s="874">
        <f>E4033*C4033</f>
        <v>59099.994000000006</v>
      </c>
      <c r="K4033" s="706">
        <f t="shared" ref="K4033:K4049" si="450">J4033+I4033</f>
        <v>59099.994000000006</v>
      </c>
      <c r="L4033" s="874"/>
      <c r="M4033" s="874"/>
      <c r="N4033" s="706">
        <f t="shared" si="448"/>
        <v>0</v>
      </c>
      <c r="O4033" s="1042">
        <f t="shared" si="449"/>
        <v>59099.994000000006</v>
      </c>
      <c r="P4033" s="1043"/>
      <c r="Q4033" s="1822"/>
      <c r="R4033" s="1822"/>
      <c r="S4033" s="1822"/>
      <c r="T4033" s="1822"/>
      <c r="U4033" s="1822"/>
      <c r="V4033" s="1822"/>
      <c r="W4033" s="1822"/>
      <c r="X4033" s="1822"/>
      <c r="Y4033" s="1822"/>
      <c r="Z4033" s="1822"/>
      <c r="AA4033" s="1822"/>
      <c r="AB4033" s="1822"/>
      <c r="AC4033" s="1822"/>
      <c r="AD4033" s="1822"/>
      <c r="AE4033" s="1822"/>
      <c r="AF4033" s="1822"/>
      <c r="AG4033" s="1822"/>
      <c r="AH4033" s="1822"/>
      <c r="AI4033" s="1822"/>
      <c r="AJ4033" s="1822"/>
      <c r="AK4033" s="1822"/>
      <c r="AL4033" s="1822"/>
      <c r="AM4033" s="1822"/>
      <c r="AN4033" s="1822"/>
      <c r="AO4033" s="1822"/>
      <c r="AP4033" s="1822"/>
      <c r="AQ4033" s="1822"/>
      <c r="AR4033" s="1822"/>
      <c r="AS4033" s="1822"/>
      <c r="AT4033" s="1822"/>
      <c r="AU4033" s="1822"/>
      <c r="AV4033" s="1822"/>
      <c r="AW4033" s="1822"/>
      <c r="AX4033" s="1822"/>
      <c r="AY4033" s="1822"/>
      <c r="AZ4033" s="1822"/>
      <c r="BA4033" s="1822"/>
      <c r="BB4033" s="1822"/>
      <c r="BC4033" s="1822"/>
      <c r="BD4033" s="1822"/>
      <c r="BE4033" s="1822"/>
      <c r="BF4033" s="1822"/>
      <c r="BG4033" s="1822"/>
      <c r="BH4033" s="1822"/>
      <c r="BI4033" s="1822"/>
      <c r="BJ4033" s="1822"/>
      <c r="BK4033" s="1822"/>
      <c r="BL4033" s="1822"/>
      <c r="BM4033" s="1822"/>
      <c r="BN4033" s="1822"/>
      <c r="BO4033" s="1822"/>
      <c r="BP4033" s="1822"/>
      <c r="BQ4033" s="1822"/>
      <c r="BR4033" s="1822"/>
      <c r="BS4033" s="1822"/>
      <c r="BT4033" s="1822"/>
      <c r="BU4033" s="1822"/>
      <c r="BV4033" s="1822"/>
      <c r="BW4033" s="1822"/>
      <c r="BX4033" s="1822"/>
      <c r="BY4033" s="1822"/>
      <c r="BZ4033" s="1822"/>
      <c r="CA4033" s="1822"/>
      <c r="CB4033" s="1822"/>
      <c r="CC4033" s="1822"/>
      <c r="CD4033" s="1822"/>
      <c r="CE4033" s="1822"/>
      <c r="CF4033" s="1822"/>
      <c r="CG4033" s="1822"/>
      <c r="CH4033" s="1822"/>
      <c r="CI4033" s="1822"/>
      <c r="CJ4033" s="1822"/>
      <c r="CK4033" s="1822"/>
    </row>
    <row r="4034" spans="1:89" s="744" customFormat="1" ht="16.5" customHeight="1" x14ac:dyDescent="0.25">
      <c r="A4034" s="1033"/>
      <c r="B4034" s="709"/>
      <c r="C4034" s="827"/>
      <c r="D4034" s="961"/>
      <c r="E4034" s="758"/>
      <c r="F4034" s="714"/>
      <c r="G4034" s="714"/>
      <c r="H4034" s="700"/>
      <c r="I4034" s="714"/>
      <c r="J4034" s="714"/>
      <c r="K4034" s="700">
        <f t="shared" si="450"/>
        <v>0</v>
      </c>
      <c r="L4034" s="714"/>
      <c r="M4034" s="714"/>
      <c r="N4034" s="700"/>
      <c r="O4034" s="974">
        <f t="shared" si="449"/>
        <v>0</v>
      </c>
      <c r="P4034" s="956"/>
      <c r="Q4034" s="1821"/>
      <c r="R4034" s="1821"/>
      <c r="S4034" s="1821"/>
      <c r="T4034" s="1821"/>
      <c r="U4034" s="1821"/>
      <c r="V4034" s="1821"/>
      <c r="W4034" s="1821"/>
      <c r="X4034" s="1821"/>
      <c r="Y4034" s="1821"/>
      <c r="Z4034" s="1821"/>
      <c r="AA4034" s="1821"/>
      <c r="AB4034" s="1821"/>
      <c r="AC4034" s="1821"/>
      <c r="AD4034" s="1821"/>
      <c r="AE4034" s="1821"/>
      <c r="AF4034" s="1821"/>
      <c r="AG4034" s="1821"/>
      <c r="AH4034" s="1821"/>
      <c r="AI4034" s="1821"/>
      <c r="AJ4034" s="1821"/>
      <c r="AK4034" s="1821"/>
      <c r="AL4034" s="1821"/>
      <c r="AM4034" s="1821"/>
      <c r="AN4034" s="1821"/>
      <c r="AO4034" s="1821"/>
      <c r="AP4034" s="1821"/>
      <c r="AQ4034" s="1821"/>
      <c r="AR4034" s="1821"/>
      <c r="AS4034" s="1821"/>
      <c r="AT4034" s="1821"/>
      <c r="AU4034" s="1821"/>
      <c r="AV4034" s="1821"/>
      <c r="AW4034" s="1821"/>
      <c r="AX4034" s="1821"/>
      <c r="AY4034" s="1821"/>
      <c r="AZ4034" s="1821"/>
      <c r="BA4034" s="1821"/>
      <c r="BB4034" s="1821"/>
      <c r="BC4034" s="1821"/>
      <c r="BD4034" s="1821"/>
      <c r="BE4034" s="1821"/>
      <c r="BF4034" s="1821"/>
      <c r="BG4034" s="1821"/>
      <c r="BH4034" s="1821"/>
      <c r="BI4034" s="1821"/>
      <c r="BJ4034" s="1821"/>
      <c r="BK4034" s="1821"/>
      <c r="BL4034" s="1821"/>
      <c r="BM4034" s="1821"/>
      <c r="BN4034" s="1821"/>
      <c r="BO4034" s="1821"/>
      <c r="BP4034" s="1821"/>
      <c r="BQ4034" s="1821"/>
      <c r="BR4034" s="1821"/>
      <c r="BS4034" s="1821"/>
      <c r="BT4034" s="1821"/>
      <c r="BU4034" s="1821"/>
      <c r="BV4034" s="1821"/>
      <c r="BW4034" s="1821"/>
      <c r="BX4034" s="1821"/>
      <c r="BY4034" s="1821"/>
      <c r="BZ4034" s="1821"/>
      <c r="CA4034" s="1821"/>
      <c r="CB4034" s="1821"/>
      <c r="CC4034" s="1821"/>
      <c r="CD4034" s="1821"/>
      <c r="CE4034" s="1821"/>
      <c r="CF4034" s="1821"/>
      <c r="CG4034" s="1821"/>
      <c r="CH4034" s="1821"/>
      <c r="CI4034" s="1821"/>
      <c r="CJ4034" s="1821"/>
      <c r="CK4034" s="1821"/>
    </row>
    <row r="4035" spans="1:89" s="744" customFormat="1" ht="16.5" customHeight="1" x14ac:dyDescent="0.25">
      <c r="A4035" s="1033">
        <v>23</v>
      </c>
      <c r="B4035" s="709" t="s">
        <v>1345</v>
      </c>
      <c r="C4035" s="827"/>
      <c r="D4035" s="961"/>
      <c r="E4035" s="758"/>
      <c r="F4035" s="714"/>
      <c r="G4035" s="714"/>
      <c r="H4035" s="700"/>
      <c r="I4035" s="714"/>
      <c r="J4035" s="714"/>
      <c r="K4035" s="700">
        <f t="shared" si="450"/>
        <v>0</v>
      </c>
      <c r="L4035" s="714"/>
      <c r="M4035" s="714"/>
      <c r="N4035" s="700"/>
      <c r="O4035" s="974">
        <f t="shared" si="449"/>
        <v>0</v>
      </c>
      <c r="P4035" s="956"/>
      <c r="Q4035" s="1821"/>
      <c r="R4035" s="1821"/>
      <c r="S4035" s="1821"/>
      <c r="T4035" s="1821"/>
      <c r="U4035" s="1821"/>
      <c r="V4035" s="1821"/>
      <c r="W4035" s="1821"/>
      <c r="X4035" s="1821"/>
      <c r="Y4035" s="1821"/>
      <c r="Z4035" s="1821"/>
      <c r="AA4035" s="1821"/>
      <c r="AB4035" s="1821"/>
      <c r="AC4035" s="1821"/>
      <c r="AD4035" s="1821"/>
      <c r="AE4035" s="1821"/>
      <c r="AF4035" s="1821"/>
      <c r="AG4035" s="1821"/>
      <c r="AH4035" s="1821"/>
      <c r="AI4035" s="1821"/>
      <c r="AJ4035" s="1821"/>
      <c r="AK4035" s="1821"/>
      <c r="AL4035" s="1821"/>
      <c r="AM4035" s="1821"/>
      <c r="AN4035" s="1821"/>
      <c r="AO4035" s="1821"/>
      <c r="AP4035" s="1821"/>
      <c r="AQ4035" s="1821"/>
      <c r="AR4035" s="1821"/>
      <c r="AS4035" s="1821"/>
      <c r="AT4035" s="1821"/>
      <c r="AU4035" s="1821"/>
      <c r="AV4035" s="1821"/>
      <c r="AW4035" s="1821"/>
      <c r="AX4035" s="1821"/>
      <c r="AY4035" s="1821"/>
      <c r="AZ4035" s="1821"/>
      <c r="BA4035" s="1821"/>
      <c r="BB4035" s="1821"/>
      <c r="BC4035" s="1821"/>
      <c r="BD4035" s="1821"/>
      <c r="BE4035" s="1821"/>
      <c r="BF4035" s="1821"/>
      <c r="BG4035" s="1821"/>
      <c r="BH4035" s="1821"/>
      <c r="BI4035" s="1821"/>
      <c r="BJ4035" s="1821"/>
      <c r="BK4035" s="1821"/>
      <c r="BL4035" s="1821"/>
      <c r="BM4035" s="1821"/>
      <c r="BN4035" s="1821"/>
      <c r="BO4035" s="1821"/>
      <c r="BP4035" s="1821"/>
      <c r="BQ4035" s="1821"/>
      <c r="BR4035" s="1821"/>
      <c r="BS4035" s="1821"/>
      <c r="BT4035" s="1821"/>
      <c r="BU4035" s="1821"/>
      <c r="BV4035" s="1821"/>
      <c r="BW4035" s="1821"/>
      <c r="BX4035" s="1821"/>
      <c r="BY4035" s="1821"/>
      <c r="BZ4035" s="1821"/>
      <c r="CA4035" s="1821"/>
      <c r="CB4035" s="1821"/>
      <c r="CC4035" s="1821"/>
      <c r="CD4035" s="1821"/>
      <c r="CE4035" s="1821"/>
      <c r="CF4035" s="1821"/>
      <c r="CG4035" s="1821"/>
      <c r="CH4035" s="1821"/>
      <c r="CI4035" s="1821"/>
      <c r="CJ4035" s="1821"/>
      <c r="CK4035" s="1821"/>
    </row>
    <row r="4036" spans="1:89" s="744" customFormat="1" ht="16.5" customHeight="1" x14ac:dyDescent="0.25">
      <c r="A4036" s="1033"/>
      <c r="B4036" s="709" t="s">
        <v>1346</v>
      </c>
      <c r="C4036" s="827">
        <f>SUM(O4037:O4039)</f>
        <v>779710.67999999993</v>
      </c>
      <c r="D4036" s="961"/>
      <c r="E4036" s="758"/>
      <c r="F4036" s="714"/>
      <c r="G4036" s="714"/>
      <c r="H4036" s="700"/>
      <c r="I4036" s="714"/>
      <c r="J4036" s="714"/>
      <c r="K4036" s="700">
        <f t="shared" si="450"/>
        <v>0</v>
      </c>
      <c r="L4036" s="714"/>
      <c r="M4036" s="714"/>
      <c r="N4036" s="700"/>
      <c r="O4036" s="974">
        <f t="shared" si="449"/>
        <v>0</v>
      </c>
      <c r="P4036" s="956"/>
      <c r="Q4036" s="1821"/>
      <c r="R4036" s="1821"/>
      <c r="S4036" s="1821"/>
      <c r="T4036" s="1821"/>
      <c r="U4036" s="1821"/>
      <c r="V4036" s="1821"/>
      <c r="W4036" s="1821"/>
      <c r="X4036" s="1821"/>
      <c r="Y4036" s="1821"/>
      <c r="Z4036" s="1821"/>
      <c r="AA4036" s="1821"/>
      <c r="AB4036" s="1821"/>
      <c r="AC4036" s="1821"/>
      <c r="AD4036" s="1821"/>
      <c r="AE4036" s="1821"/>
      <c r="AF4036" s="1821"/>
      <c r="AG4036" s="1821"/>
      <c r="AH4036" s="1821"/>
      <c r="AI4036" s="1821"/>
      <c r="AJ4036" s="1821"/>
      <c r="AK4036" s="1821"/>
      <c r="AL4036" s="1821"/>
      <c r="AM4036" s="1821"/>
      <c r="AN4036" s="1821"/>
      <c r="AO4036" s="1821"/>
      <c r="AP4036" s="1821"/>
      <c r="AQ4036" s="1821"/>
      <c r="AR4036" s="1821"/>
      <c r="AS4036" s="1821"/>
      <c r="AT4036" s="1821"/>
      <c r="AU4036" s="1821"/>
      <c r="AV4036" s="1821"/>
      <c r="AW4036" s="1821"/>
      <c r="AX4036" s="1821"/>
      <c r="AY4036" s="1821"/>
      <c r="AZ4036" s="1821"/>
      <c r="BA4036" s="1821"/>
      <c r="BB4036" s="1821"/>
      <c r="BC4036" s="1821"/>
      <c r="BD4036" s="1821"/>
      <c r="BE4036" s="1821"/>
      <c r="BF4036" s="1821"/>
      <c r="BG4036" s="1821"/>
      <c r="BH4036" s="1821"/>
      <c r="BI4036" s="1821"/>
      <c r="BJ4036" s="1821"/>
      <c r="BK4036" s="1821"/>
      <c r="BL4036" s="1821"/>
      <c r="BM4036" s="1821"/>
      <c r="BN4036" s="1821"/>
      <c r="BO4036" s="1821"/>
      <c r="BP4036" s="1821"/>
      <c r="BQ4036" s="1821"/>
      <c r="BR4036" s="1821"/>
      <c r="BS4036" s="1821"/>
      <c r="BT4036" s="1821"/>
      <c r="BU4036" s="1821"/>
      <c r="BV4036" s="1821"/>
      <c r="BW4036" s="1821"/>
      <c r="BX4036" s="1821"/>
      <c r="BY4036" s="1821"/>
      <c r="BZ4036" s="1821"/>
      <c r="CA4036" s="1821"/>
      <c r="CB4036" s="1821"/>
      <c r="CC4036" s="1821"/>
      <c r="CD4036" s="1821"/>
      <c r="CE4036" s="1821"/>
      <c r="CF4036" s="1821"/>
      <c r="CG4036" s="1821"/>
      <c r="CH4036" s="1821"/>
      <c r="CI4036" s="1821"/>
      <c r="CJ4036" s="1821"/>
      <c r="CK4036" s="1821"/>
    </row>
    <row r="4037" spans="1:89" s="744" customFormat="1" ht="16.5" customHeight="1" x14ac:dyDescent="0.25">
      <c r="A4037" s="1033"/>
      <c r="B4037" s="709" t="s">
        <v>350</v>
      </c>
      <c r="C4037" s="827">
        <v>57</v>
      </c>
      <c r="D4037" s="961" t="s">
        <v>51</v>
      </c>
      <c r="E4037" s="758">
        <v>3633</v>
      </c>
      <c r="F4037" s="714"/>
      <c r="G4037" s="714"/>
      <c r="H4037" s="700"/>
      <c r="I4037" s="714"/>
      <c r="J4037" s="714">
        <f>E4037*C4037</f>
        <v>207081</v>
      </c>
      <c r="K4037" s="700">
        <f t="shared" si="450"/>
        <v>207081</v>
      </c>
      <c r="L4037" s="714"/>
      <c r="M4037" s="714"/>
      <c r="N4037" s="700"/>
      <c r="O4037" s="974">
        <f t="shared" si="449"/>
        <v>207081</v>
      </c>
      <c r="P4037" s="956"/>
      <c r="Q4037" s="1821"/>
      <c r="R4037" s="1821"/>
      <c r="S4037" s="1821"/>
      <c r="T4037" s="1821"/>
      <c r="U4037" s="1821"/>
      <c r="V4037" s="1821"/>
      <c r="W4037" s="1821"/>
      <c r="X4037" s="1821"/>
      <c r="Y4037" s="1821"/>
      <c r="Z4037" s="1821"/>
      <c r="AA4037" s="1821"/>
      <c r="AB4037" s="1821"/>
      <c r="AC4037" s="1821"/>
      <c r="AD4037" s="1821"/>
      <c r="AE4037" s="1821"/>
      <c r="AF4037" s="1821"/>
      <c r="AG4037" s="1821"/>
      <c r="AH4037" s="1821"/>
      <c r="AI4037" s="1821"/>
      <c r="AJ4037" s="1821"/>
      <c r="AK4037" s="1821"/>
      <c r="AL4037" s="1821"/>
      <c r="AM4037" s="1821"/>
      <c r="AN4037" s="1821"/>
      <c r="AO4037" s="1821"/>
      <c r="AP4037" s="1821"/>
      <c r="AQ4037" s="1821"/>
      <c r="AR4037" s="1821"/>
      <c r="AS4037" s="1821"/>
      <c r="AT4037" s="1821"/>
      <c r="AU4037" s="1821"/>
      <c r="AV4037" s="1821"/>
      <c r="AW4037" s="1821"/>
      <c r="AX4037" s="1821"/>
      <c r="AY4037" s="1821"/>
      <c r="AZ4037" s="1821"/>
      <c r="BA4037" s="1821"/>
      <c r="BB4037" s="1821"/>
      <c r="BC4037" s="1821"/>
      <c r="BD4037" s="1821"/>
      <c r="BE4037" s="1821"/>
      <c r="BF4037" s="1821"/>
      <c r="BG4037" s="1821"/>
      <c r="BH4037" s="1821"/>
      <c r="BI4037" s="1821"/>
      <c r="BJ4037" s="1821"/>
      <c r="BK4037" s="1821"/>
      <c r="BL4037" s="1821"/>
      <c r="BM4037" s="1821"/>
      <c r="BN4037" s="1821"/>
      <c r="BO4037" s="1821"/>
      <c r="BP4037" s="1821"/>
      <c r="BQ4037" s="1821"/>
      <c r="BR4037" s="1821"/>
      <c r="BS4037" s="1821"/>
      <c r="BT4037" s="1821"/>
      <c r="BU4037" s="1821"/>
      <c r="BV4037" s="1821"/>
      <c r="BW4037" s="1821"/>
      <c r="BX4037" s="1821"/>
      <c r="BY4037" s="1821"/>
      <c r="BZ4037" s="1821"/>
      <c r="CA4037" s="1821"/>
      <c r="CB4037" s="1821"/>
      <c r="CC4037" s="1821"/>
      <c r="CD4037" s="1821"/>
      <c r="CE4037" s="1821"/>
      <c r="CF4037" s="1821"/>
      <c r="CG4037" s="1821"/>
      <c r="CH4037" s="1821"/>
      <c r="CI4037" s="1821"/>
      <c r="CJ4037" s="1821"/>
      <c r="CK4037" s="1821"/>
    </row>
    <row r="4038" spans="1:89" s="744" customFormat="1" ht="16.5" customHeight="1" x14ac:dyDescent="0.25">
      <c r="A4038" s="1033"/>
      <c r="B4038" s="709" t="s">
        <v>1347</v>
      </c>
      <c r="C4038" s="827">
        <v>171</v>
      </c>
      <c r="D4038" s="961" t="s">
        <v>55</v>
      </c>
      <c r="E4038" s="758">
        <v>130</v>
      </c>
      <c r="F4038" s="714"/>
      <c r="G4038" s="714"/>
      <c r="H4038" s="700"/>
      <c r="I4038" s="714"/>
      <c r="J4038" s="714">
        <f>E4038*C4038</f>
        <v>22230</v>
      </c>
      <c r="K4038" s="700">
        <f t="shared" si="450"/>
        <v>22230</v>
      </c>
      <c r="L4038" s="714"/>
      <c r="M4038" s="714"/>
      <c r="N4038" s="700"/>
      <c r="O4038" s="974">
        <f t="shared" si="449"/>
        <v>22230</v>
      </c>
      <c r="P4038" s="956"/>
      <c r="Q4038" s="1821"/>
      <c r="R4038" s="1821"/>
      <c r="S4038" s="1821"/>
      <c r="T4038" s="1821"/>
      <c r="U4038" s="1821"/>
      <c r="V4038" s="1821"/>
      <c r="W4038" s="1821"/>
      <c r="X4038" s="1821"/>
      <c r="Y4038" s="1821"/>
      <c r="Z4038" s="1821"/>
      <c r="AA4038" s="1821"/>
      <c r="AB4038" s="1821"/>
      <c r="AC4038" s="1821"/>
      <c r="AD4038" s="1821"/>
      <c r="AE4038" s="1821"/>
      <c r="AF4038" s="1821"/>
      <c r="AG4038" s="1821"/>
      <c r="AH4038" s="1821"/>
      <c r="AI4038" s="1821"/>
      <c r="AJ4038" s="1821"/>
      <c r="AK4038" s="1821"/>
      <c r="AL4038" s="1821"/>
      <c r="AM4038" s="1821"/>
      <c r="AN4038" s="1821"/>
      <c r="AO4038" s="1821"/>
      <c r="AP4038" s="1821"/>
      <c r="AQ4038" s="1821"/>
      <c r="AR4038" s="1821"/>
      <c r="AS4038" s="1821"/>
      <c r="AT4038" s="1821"/>
      <c r="AU4038" s="1821"/>
      <c r="AV4038" s="1821"/>
      <c r="AW4038" s="1821"/>
      <c r="AX4038" s="1821"/>
      <c r="AY4038" s="1821"/>
      <c r="AZ4038" s="1821"/>
      <c r="BA4038" s="1821"/>
      <c r="BB4038" s="1821"/>
      <c r="BC4038" s="1821"/>
      <c r="BD4038" s="1821"/>
      <c r="BE4038" s="1821"/>
      <c r="BF4038" s="1821"/>
      <c r="BG4038" s="1821"/>
      <c r="BH4038" s="1821"/>
      <c r="BI4038" s="1821"/>
      <c r="BJ4038" s="1821"/>
      <c r="BK4038" s="1821"/>
      <c r="BL4038" s="1821"/>
      <c r="BM4038" s="1821"/>
      <c r="BN4038" s="1821"/>
      <c r="BO4038" s="1821"/>
      <c r="BP4038" s="1821"/>
      <c r="BQ4038" s="1821"/>
      <c r="BR4038" s="1821"/>
      <c r="BS4038" s="1821"/>
      <c r="BT4038" s="1821"/>
      <c r="BU4038" s="1821"/>
      <c r="BV4038" s="1821"/>
      <c r="BW4038" s="1821"/>
      <c r="BX4038" s="1821"/>
      <c r="BY4038" s="1821"/>
      <c r="BZ4038" s="1821"/>
      <c r="CA4038" s="1821"/>
      <c r="CB4038" s="1821"/>
      <c r="CC4038" s="1821"/>
      <c r="CD4038" s="1821"/>
      <c r="CE4038" s="1821"/>
      <c r="CF4038" s="1821"/>
      <c r="CG4038" s="1821"/>
      <c r="CH4038" s="1821"/>
      <c r="CI4038" s="1821"/>
      <c r="CJ4038" s="1821"/>
      <c r="CK4038" s="1821"/>
    </row>
    <row r="4039" spans="1:89" s="744" customFormat="1" ht="16.5" customHeight="1" x14ac:dyDescent="0.25">
      <c r="A4039" s="1033"/>
      <c r="B4039" s="709" t="s">
        <v>1348</v>
      </c>
      <c r="C4039" s="827">
        <v>480</v>
      </c>
      <c r="D4039" s="961" t="s">
        <v>55</v>
      </c>
      <c r="E4039" s="758">
        <v>1146.6659999999999</v>
      </c>
      <c r="F4039" s="714"/>
      <c r="G4039" s="714"/>
      <c r="H4039" s="700"/>
      <c r="I4039" s="714"/>
      <c r="J4039" s="714">
        <f>E4039*C4039</f>
        <v>550399.67999999993</v>
      </c>
      <c r="K4039" s="700">
        <f t="shared" si="450"/>
        <v>550399.67999999993</v>
      </c>
      <c r="L4039" s="714"/>
      <c r="M4039" s="714"/>
      <c r="N4039" s="700"/>
      <c r="O4039" s="974">
        <f t="shared" si="449"/>
        <v>550399.67999999993</v>
      </c>
      <c r="P4039" s="956"/>
      <c r="Q4039" s="1821"/>
      <c r="R4039" s="1821"/>
      <c r="S4039" s="1821"/>
      <c r="T4039" s="1821"/>
      <c r="U4039" s="1821"/>
      <c r="V4039" s="1821"/>
      <c r="W4039" s="1821"/>
      <c r="X4039" s="1821"/>
      <c r="Y4039" s="1821"/>
      <c r="Z4039" s="1821"/>
      <c r="AA4039" s="1821"/>
      <c r="AB4039" s="1821"/>
      <c r="AC4039" s="1821"/>
      <c r="AD4039" s="1821"/>
      <c r="AE4039" s="1821"/>
      <c r="AF4039" s="1821"/>
      <c r="AG4039" s="1821"/>
      <c r="AH4039" s="1821"/>
      <c r="AI4039" s="1821"/>
      <c r="AJ4039" s="1821"/>
      <c r="AK4039" s="1821"/>
      <c r="AL4039" s="1821"/>
      <c r="AM4039" s="1821"/>
      <c r="AN4039" s="1821"/>
      <c r="AO4039" s="1821"/>
      <c r="AP4039" s="1821"/>
      <c r="AQ4039" s="1821"/>
      <c r="AR4039" s="1821"/>
      <c r="AS4039" s="1821"/>
      <c r="AT4039" s="1821"/>
      <c r="AU4039" s="1821"/>
      <c r="AV4039" s="1821"/>
      <c r="AW4039" s="1821"/>
      <c r="AX4039" s="1821"/>
      <c r="AY4039" s="1821"/>
      <c r="AZ4039" s="1821"/>
      <c r="BA4039" s="1821"/>
      <c r="BB4039" s="1821"/>
      <c r="BC4039" s="1821"/>
      <c r="BD4039" s="1821"/>
      <c r="BE4039" s="1821"/>
      <c r="BF4039" s="1821"/>
      <c r="BG4039" s="1821"/>
      <c r="BH4039" s="1821"/>
      <c r="BI4039" s="1821"/>
      <c r="BJ4039" s="1821"/>
      <c r="BK4039" s="1821"/>
      <c r="BL4039" s="1821"/>
      <c r="BM4039" s="1821"/>
      <c r="BN4039" s="1821"/>
      <c r="BO4039" s="1821"/>
      <c r="BP4039" s="1821"/>
      <c r="BQ4039" s="1821"/>
      <c r="BR4039" s="1821"/>
      <c r="BS4039" s="1821"/>
      <c r="BT4039" s="1821"/>
      <c r="BU4039" s="1821"/>
      <c r="BV4039" s="1821"/>
      <c r="BW4039" s="1821"/>
      <c r="BX4039" s="1821"/>
      <c r="BY4039" s="1821"/>
      <c r="BZ4039" s="1821"/>
      <c r="CA4039" s="1821"/>
      <c r="CB4039" s="1821"/>
      <c r="CC4039" s="1821"/>
      <c r="CD4039" s="1821"/>
      <c r="CE4039" s="1821"/>
      <c r="CF4039" s="1821"/>
      <c r="CG4039" s="1821"/>
      <c r="CH4039" s="1821"/>
      <c r="CI4039" s="1821"/>
      <c r="CJ4039" s="1821"/>
      <c r="CK4039" s="1821"/>
    </row>
    <row r="4040" spans="1:89" s="744" customFormat="1" ht="16.5" customHeight="1" x14ac:dyDescent="0.25">
      <c r="A4040" s="1033"/>
      <c r="B4040" s="709"/>
      <c r="C4040" s="827"/>
      <c r="D4040" s="961"/>
      <c r="E4040" s="758"/>
      <c r="F4040" s="714"/>
      <c r="G4040" s="714"/>
      <c r="H4040" s="700"/>
      <c r="I4040" s="714"/>
      <c r="J4040" s="714"/>
      <c r="K4040" s="700">
        <f t="shared" si="450"/>
        <v>0</v>
      </c>
      <c r="L4040" s="714"/>
      <c r="M4040" s="714"/>
      <c r="N4040" s="700"/>
      <c r="O4040" s="974">
        <f t="shared" si="449"/>
        <v>0</v>
      </c>
      <c r="P4040" s="956"/>
      <c r="Q4040" s="1821"/>
      <c r="R4040" s="1821"/>
      <c r="S4040" s="1821"/>
      <c r="T4040" s="1821"/>
      <c r="U4040" s="1821"/>
      <c r="V4040" s="1821"/>
      <c r="W4040" s="1821"/>
      <c r="X4040" s="1821"/>
      <c r="Y4040" s="1821"/>
      <c r="Z4040" s="1821"/>
      <c r="AA4040" s="1821"/>
      <c r="AB4040" s="1821"/>
      <c r="AC4040" s="1821"/>
      <c r="AD4040" s="1821"/>
      <c r="AE4040" s="1821"/>
      <c r="AF4040" s="1821"/>
      <c r="AG4040" s="1821"/>
      <c r="AH4040" s="1821"/>
      <c r="AI4040" s="1821"/>
      <c r="AJ4040" s="1821"/>
      <c r="AK4040" s="1821"/>
      <c r="AL4040" s="1821"/>
      <c r="AM4040" s="1821"/>
      <c r="AN4040" s="1821"/>
      <c r="AO4040" s="1821"/>
      <c r="AP4040" s="1821"/>
      <c r="AQ4040" s="1821"/>
      <c r="AR4040" s="1821"/>
      <c r="AS4040" s="1821"/>
      <c r="AT4040" s="1821"/>
      <c r="AU4040" s="1821"/>
      <c r="AV4040" s="1821"/>
      <c r="AW4040" s="1821"/>
      <c r="AX4040" s="1821"/>
      <c r="AY4040" s="1821"/>
      <c r="AZ4040" s="1821"/>
      <c r="BA4040" s="1821"/>
      <c r="BB4040" s="1821"/>
      <c r="BC4040" s="1821"/>
      <c r="BD4040" s="1821"/>
      <c r="BE4040" s="1821"/>
      <c r="BF4040" s="1821"/>
      <c r="BG4040" s="1821"/>
      <c r="BH4040" s="1821"/>
      <c r="BI4040" s="1821"/>
      <c r="BJ4040" s="1821"/>
      <c r="BK4040" s="1821"/>
      <c r="BL4040" s="1821"/>
      <c r="BM4040" s="1821"/>
      <c r="BN4040" s="1821"/>
      <c r="BO4040" s="1821"/>
      <c r="BP4040" s="1821"/>
      <c r="BQ4040" s="1821"/>
      <c r="BR4040" s="1821"/>
      <c r="BS4040" s="1821"/>
      <c r="BT4040" s="1821"/>
      <c r="BU4040" s="1821"/>
      <c r="BV4040" s="1821"/>
      <c r="BW4040" s="1821"/>
      <c r="BX4040" s="1821"/>
      <c r="BY4040" s="1821"/>
      <c r="BZ4040" s="1821"/>
      <c r="CA4040" s="1821"/>
      <c r="CB4040" s="1821"/>
      <c r="CC4040" s="1821"/>
      <c r="CD4040" s="1821"/>
      <c r="CE4040" s="1821"/>
      <c r="CF4040" s="1821"/>
      <c r="CG4040" s="1821"/>
      <c r="CH4040" s="1821"/>
      <c r="CI4040" s="1821"/>
      <c r="CJ4040" s="1821"/>
      <c r="CK4040" s="1821"/>
    </row>
    <row r="4041" spans="1:89" s="744" customFormat="1" ht="16.5" customHeight="1" x14ac:dyDescent="0.25">
      <c r="A4041" s="1033">
        <v>24</v>
      </c>
      <c r="B4041" s="709" t="s">
        <v>1361</v>
      </c>
      <c r="C4041" s="827"/>
      <c r="D4041" s="961"/>
      <c r="E4041" s="758"/>
      <c r="F4041" s="714"/>
      <c r="G4041" s="714"/>
      <c r="H4041" s="700"/>
      <c r="I4041" s="714"/>
      <c r="J4041" s="714"/>
      <c r="K4041" s="700">
        <f t="shared" si="450"/>
        <v>0</v>
      </c>
      <c r="L4041" s="714"/>
      <c r="M4041" s="714"/>
      <c r="N4041" s="700"/>
      <c r="O4041" s="974">
        <f t="shared" si="449"/>
        <v>0</v>
      </c>
      <c r="P4041" s="956"/>
      <c r="Q4041" s="1821"/>
      <c r="R4041" s="1821"/>
      <c r="S4041" s="1821"/>
      <c r="T4041" s="1821"/>
      <c r="U4041" s="1821"/>
      <c r="V4041" s="1821"/>
      <c r="W4041" s="1821"/>
      <c r="X4041" s="1821"/>
      <c r="Y4041" s="1821"/>
      <c r="Z4041" s="1821"/>
      <c r="AA4041" s="1821"/>
      <c r="AB4041" s="1821"/>
      <c r="AC4041" s="1821"/>
      <c r="AD4041" s="1821"/>
      <c r="AE4041" s="1821"/>
      <c r="AF4041" s="1821"/>
      <c r="AG4041" s="1821"/>
      <c r="AH4041" s="1821"/>
      <c r="AI4041" s="1821"/>
      <c r="AJ4041" s="1821"/>
      <c r="AK4041" s="1821"/>
      <c r="AL4041" s="1821"/>
      <c r="AM4041" s="1821"/>
      <c r="AN4041" s="1821"/>
      <c r="AO4041" s="1821"/>
      <c r="AP4041" s="1821"/>
      <c r="AQ4041" s="1821"/>
      <c r="AR4041" s="1821"/>
      <c r="AS4041" s="1821"/>
      <c r="AT4041" s="1821"/>
      <c r="AU4041" s="1821"/>
      <c r="AV4041" s="1821"/>
      <c r="AW4041" s="1821"/>
      <c r="AX4041" s="1821"/>
      <c r="AY4041" s="1821"/>
      <c r="AZ4041" s="1821"/>
      <c r="BA4041" s="1821"/>
      <c r="BB4041" s="1821"/>
      <c r="BC4041" s="1821"/>
      <c r="BD4041" s="1821"/>
      <c r="BE4041" s="1821"/>
      <c r="BF4041" s="1821"/>
      <c r="BG4041" s="1821"/>
      <c r="BH4041" s="1821"/>
      <c r="BI4041" s="1821"/>
      <c r="BJ4041" s="1821"/>
      <c r="BK4041" s="1821"/>
      <c r="BL4041" s="1821"/>
      <c r="BM4041" s="1821"/>
      <c r="BN4041" s="1821"/>
      <c r="BO4041" s="1821"/>
      <c r="BP4041" s="1821"/>
      <c r="BQ4041" s="1821"/>
      <c r="BR4041" s="1821"/>
      <c r="BS4041" s="1821"/>
      <c r="BT4041" s="1821"/>
      <c r="BU4041" s="1821"/>
      <c r="BV4041" s="1821"/>
      <c r="BW4041" s="1821"/>
      <c r="BX4041" s="1821"/>
      <c r="BY4041" s="1821"/>
      <c r="BZ4041" s="1821"/>
      <c r="CA4041" s="1821"/>
      <c r="CB4041" s="1821"/>
      <c r="CC4041" s="1821"/>
      <c r="CD4041" s="1821"/>
      <c r="CE4041" s="1821"/>
      <c r="CF4041" s="1821"/>
      <c r="CG4041" s="1821"/>
      <c r="CH4041" s="1821"/>
      <c r="CI4041" s="1821"/>
      <c r="CJ4041" s="1821"/>
      <c r="CK4041" s="1821"/>
    </row>
    <row r="4042" spans="1:89" s="744" customFormat="1" ht="16.5" customHeight="1" x14ac:dyDescent="0.25">
      <c r="A4042" s="1033"/>
      <c r="B4042" s="709" t="s">
        <v>1362</v>
      </c>
      <c r="C4042" s="827">
        <f>SUM(O4043:O4049)</f>
        <v>582379.59600000002</v>
      </c>
      <c r="D4042" s="961"/>
      <c r="E4042" s="758"/>
      <c r="F4042" s="714"/>
      <c r="G4042" s="714"/>
      <c r="H4042" s="700">
        <f>G4042+F4042</f>
        <v>0</v>
      </c>
      <c r="I4042" s="714"/>
      <c r="J4042" s="714">
        <f>C4042*E4042</f>
        <v>0</v>
      </c>
      <c r="K4042" s="700">
        <f t="shared" si="450"/>
        <v>0</v>
      </c>
      <c r="L4042" s="714"/>
      <c r="M4042" s="714"/>
      <c r="N4042" s="700">
        <f>M4042+L4042</f>
        <v>0</v>
      </c>
      <c r="O4042" s="974">
        <f t="shared" si="449"/>
        <v>0</v>
      </c>
      <c r="P4042" s="956"/>
      <c r="Q4042" s="1821"/>
      <c r="R4042" s="1821"/>
      <c r="S4042" s="1821"/>
      <c r="T4042" s="1821"/>
      <c r="U4042" s="1821"/>
      <c r="V4042" s="1821"/>
      <c r="W4042" s="1821"/>
      <c r="X4042" s="1821"/>
      <c r="Y4042" s="1821"/>
      <c r="Z4042" s="1821"/>
      <c r="AA4042" s="1821"/>
      <c r="AB4042" s="1821"/>
      <c r="AC4042" s="1821"/>
      <c r="AD4042" s="1821"/>
      <c r="AE4042" s="1821"/>
      <c r="AF4042" s="1821"/>
      <c r="AG4042" s="1821"/>
      <c r="AH4042" s="1821"/>
      <c r="AI4042" s="1821"/>
      <c r="AJ4042" s="1821"/>
      <c r="AK4042" s="1821"/>
      <c r="AL4042" s="1821"/>
      <c r="AM4042" s="1821"/>
      <c r="AN4042" s="1821"/>
      <c r="AO4042" s="1821"/>
      <c r="AP4042" s="1821"/>
      <c r="AQ4042" s="1821"/>
      <c r="AR4042" s="1821"/>
      <c r="AS4042" s="1821"/>
      <c r="AT4042" s="1821"/>
      <c r="AU4042" s="1821"/>
      <c r="AV4042" s="1821"/>
      <c r="AW4042" s="1821"/>
      <c r="AX4042" s="1821"/>
      <c r="AY4042" s="1821"/>
      <c r="AZ4042" s="1821"/>
      <c r="BA4042" s="1821"/>
      <c r="BB4042" s="1821"/>
      <c r="BC4042" s="1821"/>
      <c r="BD4042" s="1821"/>
      <c r="BE4042" s="1821"/>
      <c r="BF4042" s="1821"/>
      <c r="BG4042" s="1821"/>
      <c r="BH4042" s="1821"/>
      <c r="BI4042" s="1821"/>
      <c r="BJ4042" s="1821"/>
      <c r="BK4042" s="1821"/>
      <c r="BL4042" s="1821"/>
      <c r="BM4042" s="1821"/>
      <c r="BN4042" s="1821"/>
      <c r="BO4042" s="1821"/>
      <c r="BP4042" s="1821"/>
      <c r="BQ4042" s="1821"/>
      <c r="BR4042" s="1821"/>
      <c r="BS4042" s="1821"/>
      <c r="BT4042" s="1821"/>
      <c r="BU4042" s="1821"/>
      <c r="BV4042" s="1821"/>
      <c r="BW4042" s="1821"/>
      <c r="BX4042" s="1821"/>
      <c r="BY4042" s="1821"/>
      <c r="BZ4042" s="1821"/>
      <c r="CA4042" s="1821"/>
      <c r="CB4042" s="1821"/>
      <c r="CC4042" s="1821"/>
      <c r="CD4042" s="1821"/>
      <c r="CE4042" s="1821"/>
      <c r="CF4042" s="1821"/>
      <c r="CG4042" s="1821"/>
      <c r="CH4042" s="1821"/>
      <c r="CI4042" s="1821"/>
      <c r="CJ4042" s="1821"/>
      <c r="CK4042" s="1821"/>
    </row>
    <row r="4043" spans="1:89" s="744" customFormat="1" ht="16.5" customHeight="1" x14ac:dyDescent="0.25">
      <c r="A4043" s="1033"/>
      <c r="B4043" s="709" t="s">
        <v>215</v>
      </c>
      <c r="C4043" s="827">
        <v>1</v>
      </c>
      <c r="D4043" s="961" t="s">
        <v>25</v>
      </c>
      <c r="E4043" s="758">
        <v>180075</v>
      </c>
      <c r="F4043" s="714"/>
      <c r="G4043" s="714"/>
      <c r="H4043" s="700">
        <f>G4043+F4043</f>
        <v>0</v>
      </c>
      <c r="I4043" s="714"/>
      <c r="J4043" s="714">
        <f>C4043*E4043</f>
        <v>180075</v>
      </c>
      <c r="K4043" s="700">
        <f t="shared" si="450"/>
        <v>180075</v>
      </c>
      <c r="L4043" s="714"/>
      <c r="M4043" s="714"/>
      <c r="N4043" s="700">
        <f>M4043+L4043</f>
        <v>0</v>
      </c>
      <c r="O4043" s="974">
        <f t="shared" si="449"/>
        <v>180075</v>
      </c>
      <c r="P4043" s="956"/>
      <c r="Q4043" s="1821"/>
      <c r="R4043" s="1821"/>
      <c r="S4043" s="1821"/>
      <c r="T4043" s="1821"/>
      <c r="U4043" s="1821"/>
      <c r="V4043" s="1821"/>
      <c r="W4043" s="1821"/>
      <c r="X4043" s="1821"/>
      <c r="Y4043" s="1821"/>
      <c r="Z4043" s="1821"/>
      <c r="AA4043" s="1821"/>
      <c r="AB4043" s="1821"/>
      <c r="AC4043" s="1821"/>
      <c r="AD4043" s="1821"/>
      <c r="AE4043" s="1821"/>
      <c r="AF4043" s="1821"/>
      <c r="AG4043" s="1821"/>
      <c r="AH4043" s="1821"/>
      <c r="AI4043" s="1821"/>
      <c r="AJ4043" s="1821"/>
      <c r="AK4043" s="1821"/>
      <c r="AL4043" s="1821"/>
      <c r="AM4043" s="1821"/>
      <c r="AN4043" s="1821"/>
      <c r="AO4043" s="1821"/>
      <c r="AP4043" s="1821"/>
      <c r="AQ4043" s="1821"/>
      <c r="AR4043" s="1821"/>
      <c r="AS4043" s="1821"/>
      <c r="AT4043" s="1821"/>
      <c r="AU4043" s="1821"/>
      <c r="AV4043" s="1821"/>
      <c r="AW4043" s="1821"/>
      <c r="AX4043" s="1821"/>
      <c r="AY4043" s="1821"/>
      <c r="AZ4043" s="1821"/>
      <c r="BA4043" s="1821"/>
      <c r="BB4043" s="1821"/>
      <c r="BC4043" s="1821"/>
      <c r="BD4043" s="1821"/>
      <c r="BE4043" s="1821"/>
      <c r="BF4043" s="1821"/>
      <c r="BG4043" s="1821"/>
      <c r="BH4043" s="1821"/>
      <c r="BI4043" s="1821"/>
      <c r="BJ4043" s="1821"/>
      <c r="BK4043" s="1821"/>
      <c r="BL4043" s="1821"/>
      <c r="BM4043" s="1821"/>
      <c r="BN4043" s="1821"/>
      <c r="BO4043" s="1821"/>
      <c r="BP4043" s="1821"/>
      <c r="BQ4043" s="1821"/>
      <c r="BR4043" s="1821"/>
      <c r="BS4043" s="1821"/>
      <c r="BT4043" s="1821"/>
      <c r="BU4043" s="1821"/>
      <c r="BV4043" s="1821"/>
      <c r="BW4043" s="1821"/>
      <c r="BX4043" s="1821"/>
      <c r="BY4043" s="1821"/>
      <c r="BZ4043" s="1821"/>
      <c r="CA4043" s="1821"/>
      <c r="CB4043" s="1821"/>
      <c r="CC4043" s="1821"/>
      <c r="CD4043" s="1821"/>
      <c r="CE4043" s="1821"/>
      <c r="CF4043" s="1821"/>
      <c r="CG4043" s="1821"/>
      <c r="CH4043" s="1821"/>
      <c r="CI4043" s="1821"/>
      <c r="CJ4043" s="1821"/>
      <c r="CK4043" s="1821"/>
    </row>
    <row r="4044" spans="1:89" s="744" customFormat="1" ht="16.5" customHeight="1" x14ac:dyDescent="0.25">
      <c r="A4044" s="1033"/>
      <c r="B4044" s="709" t="s">
        <v>1359</v>
      </c>
      <c r="C4044" s="827"/>
      <c r="D4044" s="961"/>
      <c r="E4044" s="758"/>
      <c r="F4044" s="714"/>
      <c r="G4044" s="714"/>
      <c r="H4044" s="700"/>
      <c r="I4044" s="714"/>
      <c r="J4044" s="714"/>
      <c r="K4044" s="700">
        <f t="shared" si="450"/>
        <v>0</v>
      </c>
      <c r="L4044" s="714"/>
      <c r="M4044" s="714"/>
      <c r="N4044" s="700"/>
      <c r="O4044" s="974">
        <f t="shared" si="449"/>
        <v>0</v>
      </c>
      <c r="P4044" s="956"/>
      <c r="Q4044" s="1821"/>
      <c r="R4044" s="1821"/>
      <c r="S4044" s="1821"/>
      <c r="T4044" s="1821"/>
      <c r="U4044" s="1821"/>
      <c r="V4044" s="1821"/>
      <c r="W4044" s="1821"/>
      <c r="X4044" s="1821"/>
      <c r="Y4044" s="1821"/>
      <c r="Z4044" s="1821"/>
      <c r="AA4044" s="1821"/>
      <c r="AB4044" s="1821"/>
      <c r="AC4044" s="1821"/>
      <c r="AD4044" s="1821"/>
      <c r="AE4044" s="1821"/>
      <c r="AF4044" s="1821"/>
      <c r="AG4044" s="1821"/>
      <c r="AH4044" s="1821"/>
      <c r="AI4044" s="1821"/>
      <c r="AJ4044" s="1821"/>
      <c r="AK4044" s="1821"/>
      <c r="AL4044" s="1821"/>
      <c r="AM4044" s="1821"/>
      <c r="AN4044" s="1821"/>
      <c r="AO4044" s="1821"/>
      <c r="AP4044" s="1821"/>
      <c r="AQ4044" s="1821"/>
      <c r="AR4044" s="1821"/>
      <c r="AS4044" s="1821"/>
      <c r="AT4044" s="1821"/>
      <c r="AU4044" s="1821"/>
      <c r="AV4044" s="1821"/>
      <c r="AW4044" s="1821"/>
      <c r="AX4044" s="1821"/>
      <c r="AY4044" s="1821"/>
      <c r="AZ4044" s="1821"/>
      <c r="BA4044" s="1821"/>
      <c r="BB4044" s="1821"/>
      <c r="BC4044" s="1821"/>
      <c r="BD4044" s="1821"/>
      <c r="BE4044" s="1821"/>
      <c r="BF4044" s="1821"/>
      <c r="BG4044" s="1821"/>
      <c r="BH4044" s="1821"/>
      <c r="BI4044" s="1821"/>
      <c r="BJ4044" s="1821"/>
      <c r="BK4044" s="1821"/>
      <c r="BL4044" s="1821"/>
      <c r="BM4044" s="1821"/>
      <c r="BN4044" s="1821"/>
      <c r="BO4044" s="1821"/>
      <c r="BP4044" s="1821"/>
      <c r="BQ4044" s="1821"/>
      <c r="BR4044" s="1821"/>
      <c r="BS4044" s="1821"/>
      <c r="BT4044" s="1821"/>
      <c r="BU4044" s="1821"/>
      <c r="BV4044" s="1821"/>
      <c r="BW4044" s="1821"/>
      <c r="BX4044" s="1821"/>
      <c r="BY4044" s="1821"/>
      <c r="BZ4044" s="1821"/>
      <c r="CA4044" s="1821"/>
      <c r="CB4044" s="1821"/>
      <c r="CC4044" s="1821"/>
      <c r="CD4044" s="1821"/>
      <c r="CE4044" s="1821"/>
      <c r="CF4044" s="1821"/>
      <c r="CG4044" s="1821"/>
      <c r="CH4044" s="1821"/>
      <c r="CI4044" s="1821"/>
      <c r="CJ4044" s="1821"/>
      <c r="CK4044" s="1821"/>
    </row>
    <row r="4045" spans="1:89" s="744" customFormat="1" ht="16.5" customHeight="1" x14ac:dyDescent="0.25">
      <c r="A4045" s="1033"/>
      <c r="B4045" s="709" t="s">
        <v>432</v>
      </c>
      <c r="C4045" s="827">
        <v>84</v>
      </c>
      <c r="D4045" s="961" t="s">
        <v>20</v>
      </c>
      <c r="E4045" s="758">
        <v>785.71400000000006</v>
      </c>
      <c r="F4045" s="714"/>
      <c r="G4045" s="714"/>
      <c r="H4045" s="700"/>
      <c r="I4045" s="714"/>
      <c r="J4045" s="714">
        <f>C4045*E4045</f>
        <v>65999.97600000001</v>
      </c>
      <c r="K4045" s="700">
        <f t="shared" si="450"/>
        <v>65999.97600000001</v>
      </c>
      <c r="L4045" s="714"/>
      <c r="M4045" s="714"/>
      <c r="N4045" s="700"/>
      <c r="O4045" s="974">
        <f t="shared" si="449"/>
        <v>65999.97600000001</v>
      </c>
      <c r="P4045" s="956"/>
      <c r="Q4045" s="1821"/>
      <c r="R4045" s="1821"/>
      <c r="S4045" s="1821"/>
      <c r="T4045" s="1821"/>
      <c r="U4045" s="1821"/>
      <c r="V4045" s="1821"/>
      <c r="W4045" s="1821"/>
      <c r="X4045" s="1821"/>
      <c r="Y4045" s="1821"/>
      <c r="Z4045" s="1821"/>
      <c r="AA4045" s="1821"/>
      <c r="AB4045" s="1821"/>
      <c r="AC4045" s="1821"/>
      <c r="AD4045" s="1821"/>
      <c r="AE4045" s="1821"/>
      <c r="AF4045" s="1821"/>
      <c r="AG4045" s="1821"/>
      <c r="AH4045" s="1821"/>
      <c r="AI4045" s="1821"/>
      <c r="AJ4045" s="1821"/>
      <c r="AK4045" s="1821"/>
      <c r="AL4045" s="1821"/>
      <c r="AM4045" s="1821"/>
      <c r="AN4045" s="1821"/>
      <c r="AO4045" s="1821"/>
      <c r="AP4045" s="1821"/>
      <c r="AQ4045" s="1821"/>
      <c r="AR4045" s="1821"/>
      <c r="AS4045" s="1821"/>
      <c r="AT4045" s="1821"/>
      <c r="AU4045" s="1821"/>
      <c r="AV4045" s="1821"/>
      <c r="AW4045" s="1821"/>
      <c r="AX4045" s="1821"/>
      <c r="AY4045" s="1821"/>
      <c r="AZ4045" s="1821"/>
      <c r="BA4045" s="1821"/>
      <c r="BB4045" s="1821"/>
      <c r="BC4045" s="1821"/>
      <c r="BD4045" s="1821"/>
      <c r="BE4045" s="1821"/>
      <c r="BF4045" s="1821"/>
      <c r="BG4045" s="1821"/>
      <c r="BH4045" s="1821"/>
      <c r="BI4045" s="1821"/>
      <c r="BJ4045" s="1821"/>
      <c r="BK4045" s="1821"/>
      <c r="BL4045" s="1821"/>
      <c r="BM4045" s="1821"/>
      <c r="BN4045" s="1821"/>
      <c r="BO4045" s="1821"/>
      <c r="BP4045" s="1821"/>
      <c r="BQ4045" s="1821"/>
      <c r="BR4045" s="1821"/>
      <c r="BS4045" s="1821"/>
      <c r="BT4045" s="1821"/>
      <c r="BU4045" s="1821"/>
      <c r="BV4045" s="1821"/>
      <c r="BW4045" s="1821"/>
      <c r="BX4045" s="1821"/>
      <c r="BY4045" s="1821"/>
      <c r="BZ4045" s="1821"/>
      <c r="CA4045" s="1821"/>
      <c r="CB4045" s="1821"/>
      <c r="CC4045" s="1821"/>
      <c r="CD4045" s="1821"/>
      <c r="CE4045" s="1821"/>
      <c r="CF4045" s="1821"/>
      <c r="CG4045" s="1821"/>
      <c r="CH4045" s="1821"/>
      <c r="CI4045" s="1821"/>
      <c r="CJ4045" s="1821"/>
      <c r="CK4045" s="1821"/>
    </row>
    <row r="4046" spans="1:89" s="744" customFormat="1" ht="16.5" customHeight="1" x14ac:dyDescent="0.25">
      <c r="A4046" s="1033"/>
      <c r="B4046" s="709" t="s">
        <v>1363</v>
      </c>
      <c r="C4046" s="827"/>
      <c r="D4046" s="961"/>
      <c r="E4046" s="758"/>
      <c r="F4046" s="714"/>
      <c r="G4046" s="714"/>
      <c r="H4046" s="700">
        <f>G4046+F4046</f>
        <v>0</v>
      </c>
      <c r="I4046" s="714"/>
      <c r="J4046" s="714">
        <f>C4046*E4046</f>
        <v>0</v>
      </c>
      <c r="K4046" s="700">
        <f t="shared" si="450"/>
        <v>0</v>
      </c>
      <c r="L4046" s="714"/>
      <c r="M4046" s="714"/>
      <c r="N4046" s="700">
        <f>M4046+L4046</f>
        <v>0</v>
      </c>
      <c r="O4046" s="974">
        <f t="shared" si="449"/>
        <v>0</v>
      </c>
      <c r="P4046" s="956"/>
      <c r="Q4046" s="1821"/>
      <c r="R4046" s="1821"/>
      <c r="S4046" s="1821"/>
      <c r="T4046" s="1821"/>
      <c r="U4046" s="1821"/>
      <c r="V4046" s="1821"/>
      <c r="W4046" s="1821"/>
      <c r="X4046" s="1821"/>
      <c r="Y4046" s="1821"/>
      <c r="Z4046" s="1821"/>
      <c r="AA4046" s="1821"/>
      <c r="AB4046" s="1821"/>
      <c r="AC4046" s="1821"/>
      <c r="AD4046" s="1821"/>
      <c r="AE4046" s="1821"/>
      <c r="AF4046" s="1821"/>
      <c r="AG4046" s="1821"/>
      <c r="AH4046" s="1821"/>
      <c r="AI4046" s="1821"/>
      <c r="AJ4046" s="1821"/>
      <c r="AK4046" s="1821"/>
      <c r="AL4046" s="1821"/>
      <c r="AM4046" s="1821"/>
      <c r="AN4046" s="1821"/>
      <c r="AO4046" s="1821"/>
      <c r="AP4046" s="1821"/>
      <c r="AQ4046" s="1821"/>
      <c r="AR4046" s="1821"/>
      <c r="AS4046" s="1821"/>
      <c r="AT4046" s="1821"/>
      <c r="AU4046" s="1821"/>
      <c r="AV4046" s="1821"/>
      <c r="AW4046" s="1821"/>
      <c r="AX4046" s="1821"/>
      <c r="AY4046" s="1821"/>
      <c r="AZ4046" s="1821"/>
      <c r="BA4046" s="1821"/>
      <c r="BB4046" s="1821"/>
      <c r="BC4046" s="1821"/>
      <c r="BD4046" s="1821"/>
      <c r="BE4046" s="1821"/>
      <c r="BF4046" s="1821"/>
      <c r="BG4046" s="1821"/>
      <c r="BH4046" s="1821"/>
      <c r="BI4046" s="1821"/>
      <c r="BJ4046" s="1821"/>
      <c r="BK4046" s="1821"/>
      <c r="BL4046" s="1821"/>
      <c r="BM4046" s="1821"/>
      <c r="BN4046" s="1821"/>
      <c r="BO4046" s="1821"/>
      <c r="BP4046" s="1821"/>
      <c r="BQ4046" s="1821"/>
      <c r="BR4046" s="1821"/>
      <c r="BS4046" s="1821"/>
      <c r="BT4046" s="1821"/>
      <c r="BU4046" s="1821"/>
      <c r="BV4046" s="1821"/>
      <c r="BW4046" s="1821"/>
      <c r="BX4046" s="1821"/>
      <c r="BY4046" s="1821"/>
      <c r="BZ4046" s="1821"/>
      <c r="CA4046" s="1821"/>
      <c r="CB4046" s="1821"/>
      <c r="CC4046" s="1821"/>
      <c r="CD4046" s="1821"/>
      <c r="CE4046" s="1821"/>
      <c r="CF4046" s="1821"/>
      <c r="CG4046" s="1821"/>
      <c r="CH4046" s="1821"/>
      <c r="CI4046" s="1821"/>
      <c r="CJ4046" s="1821"/>
      <c r="CK4046" s="1821"/>
    </row>
    <row r="4047" spans="1:89" s="744" customFormat="1" ht="16.5" customHeight="1" x14ac:dyDescent="0.25">
      <c r="A4047" s="1033"/>
      <c r="B4047" s="709" t="s">
        <v>350</v>
      </c>
      <c r="C4047" s="827">
        <v>115</v>
      </c>
      <c r="D4047" s="961" t="s">
        <v>51</v>
      </c>
      <c r="E4047" s="758">
        <v>679.43399999999997</v>
      </c>
      <c r="F4047" s="714"/>
      <c r="G4047" s="714"/>
      <c r="H4047" s="700">
        <f>G4047+F4047</f>
        <v>0</v>
      </c>
      <c r="I4047" s="714"/>
      <c r="J4047" s="714">
        <f>E4047*C4047</f>
        <v>78134.91</v>
      </c>
      <c r="K4047" s="700">
        <f t="shared" si="450"/>
        <v>78134.91</v>
      </c>
      <c r="L4047" s="714"/>
      <c r="M4047" s="714"/>
      <c r="N4047" s="700">
        <f>M4047+L4047</f>
        <v>0</v>
      </c>
      <c r="O4047" s="974">
        <f t="shared" si="449"/>
        <v>78134.91</v>
      </c>
      <c r="P4047" s="956"/>
      <c r="Q4047" s="1821"/>
      <c r="R4047" s="1821"/>
      <c r="S4047" s="1821"/>
      <c r="T4047" s="1821"/>
      <c r="U4047" s="1821"/>
      <c r="V4047" s="1821"/>
      <c r="W4047" s="1821"/>
      <c r="X4047" s="1821"/>
      <c r="Y4047" s="1821"/>
      <c r="Z4047" s="1821"/>
      <c r="AA4047" s="1821"/>
      <c r="AB4047" s="1821"/>
      <c r="AC4047" s="1821"/>
      <c r="AD4047" s="1821"/>
      <c r="AE4047" s="1821"/>
      <c r="AF4047" s="1821"/>
      <c r="AG4047" s="1821"/>
      <c r="AH4047" s="1821"/>
      <c r="AI4047" s="1821"/>
      <c r="AJ4047" s="1821"/>
      <c r="AK4047" s="1821"/>
      <c r="AL4047" s="1821"/>
      <c r="AM4047" s="1821"/>
      <c r="AN4047" s="1821"/>
      <c r="AO4047" s="1821"/>
      <c r="AP4047" s="1821"/>
      <c r="AQ4047" s="1821"/>
      <c r="AR4047" s="1821"/>
      <c r="AS4047" s="1821"/>
      <c r="AT4047" s="1821"/>
      <c r="AU4047" s="1821"/>
      <c r="AV4047" s="1821"/>
      <c r="AW4047" s="1821"/>
      <c r="AX4047" s="1821"/>
      <c r="AY4047" s="1821"/>
      <c r="AZ4047" s="1821"/>
      <c r="BA4047" s="1821"/>
      <c r="BB4047" s="1821"/>
      <c r="BC4047" s="1821"/>
      <c r="BD4047" s="1821"/>
      <c r="BE4047" s="1821"/>
      <c r="BF4047" s="1821"/>
      <c r="BG4047" s="1821"/>
      <c r="BH4047" s="1821"/>
      <c r="BI4047" s="1821"/>
      <c r="BJ4047" s="1821"/>
      <c r="BK4047" s="1821"/>
      <c r="BL4047" s="1821"/>
      <c r="BM4047" s="1821"/>
      <c r="BN4047" s="1821"/>
      <c r="BO4047" s="1821"/>
      <c r="BP4047" s="1821"/>
      <c r="BQ4047" s="1821"/>
      <c r="BR4047" s="1821"/>
      <c r="BS4047" s="1821"/>
      <c r="BT4047" s="1821"/>
      <c r="BU4047" s="1821"/>
      <c r="BV4047" s="1821"/>
      <c r="BW4047" s="1821"/>
      <c r="BX4047" s="1821"/>
      <c r="BY4047" s="1821"/>
      <c r="BZ4047" s="1821"/>
      <c r="CA4047" s="1821"/>
      <c r="CB4047" s="1821"/>
      <c r="CC4047" s="1821"/>
      <c r="CD4047" s="1821"/>
      <c r="CE4047" s="1821"/>
      <c r="CF4047" s="1821"/>
      <c r="CG4047" s="1821"/>
      <c r="CH4047" s="1821"/>
      <c r="CI4047" s="1821"/>
      <c r="CJ4047" s="1821"/>
      <c r="CK4047" s="1821"/>
    </row>
    <row r="4048" spans="1:89" s="744" customFormat="1" ht="16.5" customHeight="1" x14ac:dyDescent="0.25">
      <c r="A4048" s="1033"/>
      <c r="B4048" s="709" t="s">
        <v>54</v>
      </c>
      <c r="C4048" s="827">
        <v>345</v>
      </c>
      <c r="D4048" s="961" t="s">
        <v>55</v>
      </c>
      <c r="E4048" s="758">
        <v>429.13</v>
      </c>
      <c r="F4048" s="714"/>
      <c r="G4048" s="714"/>
      <c r="H4048" s="700">
        <f>G4048+F4048</f>
        <v>0</v>
      </c>
      <c r="I4048" s="714"/>
      <c r="J4048" s="714">
        <f>E4048*C4048</f>
        <v>148049.85</v>
      </c>
      <c r="K4048" s="700">
        <f t="shared" si="450"/>
        <v>148049.85</v>
      </c>
      <c r="L4048" s="714"/>
      <c r="M4048" s="714"/>
      <c r="N4048" s="700">
        <f>M4048+L4048</f>
        <v>0</v>
      </c>
      <c r="O4048" s="974">
        <f t="shared" si="449"/>
        <v>148049.85</v>
      </c>
      <c r="P4048" s="956"/>
      <c r="Q4048" s="1821"/>
      <c r="R4048" s="1821"/>
      <c r="S4048" s="1821"/>
      <c r="T4048" s="1821"/>
      <c r="U4048" s="1821"/>
      <c r="V4048" s="1821"/>
      <c r="W4048" s="1821"/>
      <c r="X4048" s="1821"/>
      <c r="Y4048" s="1821"/>
      <c r="Z4048" s="1821"/>
      <c r="AA4048" s="1821"/>
      <c r="AB4048" s="1821"/>
      <c r="AC4048" s="1821"/>
      <c r="AD4048" s="1821"/>
      <c r="AE4048" s="1821"/>
      <c r="AF4048" s="1821"/>
      <c r="AG4048" s="1821"/>
      <c r="AH4048" s="1821"/>
      <c r="AI4048" s="1821"/>
      <c r="AJ4048" s="1821"/>
      <c r="AK4048" s="1821"/>
      <c r="AL4048" s="1821"/>
      <c r="AM4048" s="1821"/>
      <c r="AN4048" s="1821"/>
      <c r="AO4048" s="1821"/>
      <c r="AP4048" s="1821"/>
      <c r="AQ4048" s="1821"/>
      <c r="AR4048" s="1821"/>
      <c r="AS4048" s="1821"/>
      <c r="AT4048" s="1821"/>
      <c r="AU4048" s="1821"/>
      <c r="AV4048" s="1821"/>
      <c r="AW4048" s="1821"/>
      <c r="AX4048" s="1821"/>
      <c r="AY4048" s="1821"/>
      <c r="AZ4048" s="1821"/>
      <c r="BA4048" s="1821"/>
      <c r="BB4048" s="1821"/>
      <c r="BC4048" s="1821"/>
      <c r="BD4048" s="1821"/>
      <c r="BE4048" s="1821"/>
      <c r="BF4048" s="1821"/>
      <c r="BG4048" s="1821"/>
      <c r="BH4048" s="1821"/>
      <c r="BI4048" s="1821"/>
      <c r="BJ4048" s="1821"/>
      <c r="BK4048" s="1821"/>
      <c r="BL4048" s="1821"/>
      <c r="BM4048" s="1821"/>
      <c r="BN4048" s="1821"/>
      <c r="BO4048" s="1821"/>
      <c r="BP4048" s="1821"/>
      <c r="BQ4048" s="1821"/>
      <c r="BR4048" s="1821"/>
      <c r="BS4048" s="1821"/>
      <c r="BT4048" s="1821"/>
      <c r="BU4048" s="1821"/>
      <c r="BV4048" s="1821"/>
      <c r="BW4048" s="1821"/>
      <c r="BX4048" s="1821"/>
      <c r="BY4048" s="1821"/>
      <c r="BZ4048" s="1821"/>
      <c r="CA4048" s="1821"/>
      <c r="CB4048" s="1821"/>
      <c r="CC4048" s="1821"/>
      <c r="CD4048" s="1821"/>
      <c r="CE4048" s="1821"/>
      <c r="CF4048" s="1821"/>
      <c r="CG4048" s="1821"/>
      <c r="CH4048" s="1821"/>
      <c r="CI4048" s="1821"/>
      <c r="CJ4048" s="1821"/>
      <c r="CK4048" s="1821"/>
    </row>
    <row r="4049" spans="1:89" s="744" customFormat="1" ht="16.5" customHeight="1" x14ac:dyDescent="0.25">
      <c r="A4049" s="1033"/>
      <c r="B4049" s="709" t="s">
        <v>52</v>
      </c>
      <c r="C4049" s="827">
        <v>230</v>
      </c>
      <c r="D4049" s="961" t="s">
        <v>55</v>
      </c>
      <c r="E4049" s="758">
        <v>478.78199999999998</v>
      </c>
      <c r="F4049" s="714"/>
      <c r="G4049" s="714"/>
      <c r="H4049" s="700">
        <f>G4049+F4049</f>
        <v>0</v>
      </c>
      <c r="I4049" s="714"/>
      <c r="J4049" s="714">
        <f>E4049*C4049</f>
        <v>110119.86</v>
      </c>
      <c r="K4049" s="700">
        <f t="shared" si="450"/>
        <v>110119.86</v>
      </c>
      <c r="L4049" s="714"/>
      <c r="M4049" s="714"/>
      <c r="N4049" s="700">
        <f>M4049+L4049</f>
        <v>0</v>
      </c>
      <c r="O4049" s="974">
        <f t="shared" si="449"/>
        <v>110119.86</v>
      </c>
      <c r="P4049" s="956"/>
      <c r="Q4049" s="1821"/>
      <c r="R4049" s="1821"/>
      <c r="S4049" s="1821"/>
      <c r="T4049" s="1821"/>
      <c r="U4049" s="1821"/>
      <c r="V4049" s="1821"/>
      <c r="W4049" s="1821"/>
      <c r="X4049" s="1821"/>
      <c r="Y4049" s="1821"/>
      <c r="Z4049" s="1821"/>
      <c r="AA4049" s="1821"/>
      <c r="AB4049" s="1821"/>
      <c r="AC4049" s="1821"/>
      <c r="AD4049" s="1821"/>
      <c r="AE4049" s="1821"/>
      <c r="AF4049" s="1821"/>
      <c r="AG4049" s="1821"/>
      <c r="AH4049" s="1821"/>
      <c r="AI4049" s="1821"/>
      <c r="AJ4049" s="1821"/>
      <c r="AK4049" s="1821"/>
      <c r="AL4049" s="1821"/>
      <c r="AM4049" s="1821"/>
      <c r="AN4049" s="1821"/>
      <c r="AO4049" s="1821"/>
      <c r="AP4049" s="1821"/>
      <c r="AQ4049" s="1821"/>
      <c r="AR4049" s="1821"/>
      <c r="AS4049" s="1821"/>
      <c r="AT4049" s="1821"/>
      <c r="AU4049" s="1821"/>
      <c r="AV4049" s="1821"/>
      <c r="AW4049" s="1821"/>
      <c r="AX4049" s="1821"/>
      <c r="AY4049" s="1821"/>
      <c r="AZ4049" s="1821"/>
      <c r="BA4049" s="1821"/>
      <c r="BB4049" s="1821"/>
      <c r="BC4049" s="1821"/>
      <c r="BD4049" s="1821"/>
      <c r="BE4049" s="1821"/>
      <c r="BF4049" s="1821"/>
      <c r="BG4049" s="1821"/>
      <c r="BH4049" s="1821"/>
      <c r="BI4049" s="1821"/>
      <c r="BJ4049" s="1821"/>
      <c r="BK4049" s="1821"/>
      <c r="BL4049" s="1821"/>
      <c r="BM4049" s="1821"/>
      <c r="BN4049" s="1821"/>
      <c r="BO4049" s="1821"/>
      <c r="BP4049" s="1821"/>
      <c r="BQ4049" s="1821"/>
      <c r="BR4049" s="1821"/>
      <c r="BS4049" s="1821"/>
      <c r="BT4049" s="1821"/>
      <c r="BU4049" s="1821"/>
      <c r="BV4049" s="1821"/>
      <c r="BW4049" s="1821"/>
      <c r="BX4049" s="1821"/>
      <c r="BY4049" s="1821"/>
      <c r="BZ4049" s="1821"/>
      <c r="CA4049" s="1821"/>
      <c r="CB4049" s="1821"/>
      <c r="CC4049" s="1821"/>
      <c r="CD4049" s="1821"/>
      <c r="CE4049" s="1821"/>
      <c r="CF4049" s="1821"/>
      <c r="CG4049" s="1821"/>
      <c r="CH4049" s="1821"/>
      <c r="CI4049" s="1821"/>
      <c r="CJ4049" s="1821"/>
      <c r="CK4049" s="1821"/>
    </row>
    <row r="4050" spans="1:89" s="744" customFormat="1" ht="16.5" customHeight="1" x14ac:dyDescent="0.25">
      <c r="A4050" s="1033"/>
      <c r="B4050" s="709"/>
      <c r="C4050" s="827"/>
      <c r="D4050" s="961"/>
      <c r="E4050" s="758"/>
      <c r="F4050" s="714"/>
      <c r="G4050" s="714"/>
      <c r="H4050" s="700"/>
      <c r="I4050" s="714"/>
      <c r="J4050" s="714"/>
      <c r="K4050" s="700"/>
      <c r="L4050" s="714"/>
      <c r="M4050" s="714"/>
      <c r="N4050" s="700"/>
      <c r="O4050" s="974"/>
      <c r="P4050" s="956"/>
      <c r="Q4050" s="1821"/>
      <c r="R4050" s="1821"/>
      <c r="S4050" s="1821"/>
      <c r="T4050" s="1821"/>
      <c r="U4050" s="1821"/>
      <c r="V4050" s="1821"/>
      <c r="W4050" s="1821"/>
      <c r="X4050" s="1821"/>
      <c r="Y4050" s="1821"/>
      <c r="Z4050" s="1821"/>
      <c r="AA4050" s="1821"/>
      <c r="AB4050" s="1821"/>
      <c r="AC4050" s="1821"/>
      <c r="AD4050" s="1821"/>
      <c r="AE4050" s="1821"/>
      <c r="AF4050" s="1821"/>
      <c r="AG4050" s="1821"/>
      <c r="AH4050" s="1821"/>
      <c r="AI4050" s="1821"/>
      <c r="AJ4050" s="1821"/>
      <c r="AK4050" s="1821"/>
      <c r="AL4050" s="1821"/>
      <c r="AM4050" s="1821"/>
      <c r="AN4050" s="1821"/>
      <c r="AO4050" s="1821"/>
      <c r="AP4050" s="1821"/>
      <c r="AQ4050" s="1821"/>
      <c r="AR4050" s="1821"/>
      <c r="AS4050" s="1821"/>
      <c r="AT4050" s="1821"/>
      <c r="AU4050" s="1821"/>
      <c r="AV4050" s="1821"/>
      <c r="AW4050" s="1821"/>
      <c r="AX4050" s="1821"/>
      <c r="AY4050" s="1821"/>
      <c r="AZ4050" s="1821"/>
      <c r="BA4050" s="1821"/>
      <c r="BB4050" s="1821"/>
      <c r="BC4050" s="1821"/>
      <c r="BD4050" s="1821"/>
      <c r="BE4050" s="1821"/>
      <c r="BF4050" s="1821"/>
      <c r="BG4050" s="1821"/>
      <c r="BH4050" s="1821"/>
      <c r="BI4050" s="1821"/>
      <c r="BJ4050" s="1821"/>
      <c r="BK4050" s="1821"/>
      <c r="BL4050" s="1821"/>
      <c r="BM4050" s="1821"/>
      <c r="BN4050" s="1821"/>
      <c r="BO4050" s="1821"/>
      <c r="BP4050" s="1821"/>
      <c r="BQ4050" s="1821"/>
      <c r="BR4050" s="1821"/>
      <c r="BS4050" s="1821"/>
      <c r="BT4050" s="1821"/>
      <c r="BU4050" s="1821"/>
      <c r="BV4050" s="1821"/>
      <c r="BW4050" s="1821"/>
      <c r="BX4050" s="1821"/>
      <c r="BY4050" s="1821"/>
      <c r="BZ4050" s="1821"/>
      <c r="CA4050" s="1821"/>
      <c r="CB4050" s="1821"/>
      <c r="CC4050" s="1821"/>
      <c r="CD4050" s="1821"/>
      <c r="CE4050" s="1821"/>
      <c r="CF4050" s="1821"/>
      <c r="CG4050" s="1821"/>
      <c r="CH4050" s="1821"/>
      <c r="CI4050" s="1821"/>
      <c r="CJ4050" s="1821"/>
      <c r="CK4050" s="1821"/>
    </row>
    <row r="4051" spans="1:89" s="744" customFormat="1" ht="16.5" customHeight="1" x14ac:dyDescent="0.25">
      <c r="A4051" s="1033"/>
      <c r="B4051" s="709"/>
      <c r="C4051" s="827"/>
      <c r="D4051" s="961"/>
      <c r="E4051" s="758"/>
      <c r="F4051" s="714"/>
      <c r="G4051" s="714"/>
      <c r="H4051" s="700"/>
      <c r="I4051" s="714"/>
      <c r="J4051" s="714"/>
      <c r="K4051" s="700"/>
      <c r="L4051" s="714"/>
      <c r="M4051" s="714"/>
      <c r="N4051" s="700"/>
      <c r="O4051" s="974"/>
      <c r="P4051" s="956"/>
      <c r="Q4051" s="1821"/>
      <c r="R4051" s="1821"/>
      <c r="S4051" s="1821"/>
      <c r="T4051" s="1821"/>
      <c r="U4051" s="1821"/>
      <c r="V4051" s="1821"/>
      <c r="W4051" s="1821"/>
      <c r="X4051" s="1821"/>
      <c r="Y4051" s="1821"/>
      <c r="Z4051" s="1821"/>
      <c r="AA4051" s="1821"/>
      <c r="AB4051" s="1821"/>
      <c r="AC4051" s="1821"/>
      <c r="AD4051" s="1821"/>
      <c r="AE4051" s="1821"/>
      <c r="AF4051" s="1821"/>
      <c r="AG4051" s="1821"/>
      <c r="AH4051" s="1821"/>
      <c r="AI4051" s="1821"/>
      <c r="AJ4051" s="1821"/>
      <c r="AK4051" s="1821"/>
      <c r="AL4051" s="1821"/>
      <c r="AM4051" s="1821"/>
      <c r="AN4051" s="1821"/>
      <c r="AO4051" s="1821"/>
      <c r="AP4051" s="1821"/>
      <c r="AQ4051" s="1821"/>
      <c r="AR4051" s="1821"/>
      <c r="AS4051" s="1821"/>
      <c r="AT4051" s="1821"/>
      <c r="AU4051" s="1821"/>
      <c r="AV4051" s="1821"/>
      <c r="AW4051" s="1821"/>
      <c r="AX4051" s="1821"/>
      <c r="AY4051" s="1821"/>
      <c r="AZ4051" s="1821"/>
      <c r="BA4051" s="1821"/>
      <c r="BB4051" s="1821"/>
      <c r="BC4051" s="1821"/>
      <c r="BD4051" s="1821"/>
      <c r="BE4051" s="1821"/>
      <c r="BF4051" s="1821"/>
      <c r="BG4051" s="1821"/>
      <c r="BH4051" s="1821"/>
      <c r="BI4051" s="1821"/>
      <c r="BJ4051" s="1821"/>
      <c r="BK4051" s="1821"/>
      <c r="BL4051" s="1821"/>
      <c r="BM4051" s="1821"/>
      <c r="BN4051" s="1821"/>
      <c r="BO4051" s="1821"/>
      <c r="BP4051" s="1821"/>
      <c r="BQ4051" s="1821"/>
      <c r="BR4051" s="1821"/>
      <c r="BS4051" s="1821"/>
      <c r="BT4051" s="1821"/>
      <c r="BU4051" s="1821"/>
      <c r="BV4051" s="1821"/>
      <c r="BW4051" s="1821"/>
      <c r="BX4051" s="1821"/>
      <c r="BY4051" s="1821"/>
      <c r="BZ4051" s="1821"/>
      <c r="CA4051" s="1821"/>
      <c r="CB4051" s="1821"/>
      <c r="CC4051" s="1821"/>
      <c r="CD4051" s="1821"/>
      <c r="CE4051" s="1821"/>
      <c r="CF4051" s="1821"/>
      <c r="CG4051" s="1821"/>
      <c r="CH4051" s="1821"/>
      <c r="CI4051" s="1821"/>
      <c r="CJ4051" s="1821"/>
      <c r="CK4051" s="1821"/>
    </row>
    <row r="4052" spans="1:89" s="744" customFormat="1" ht="16.5" customHeight="1" x14ac:dyDescent="0.25">
      <c r="A4052" s="1033">
        <v>1953.0309999999999</v>
      </c>
      <c r="B4052" s="709" t="s">
        <v>392</v>
      </c>
      <c r="C4052" s="827"/>
      <c r="D4052" s="961"/>
      <c r="E4052" s="758"/>
      <c r="F4052" s="714"/>
      <c r="G4052" s="714"/>
      <c r="H4052" s="700">
        <f t="shared" ref="H4052:H4115" si="451">G4052+F4052</f>
        <v>0</v>
      </c>
      <c r="I4052" s="714"/>
      <c r="J4052" s="714"/>
      <c r="K4052" s="700">
        <f t="shared" ref="K4052:K4115" si="452">J4052+I4052</f>
        <v>0</v>
      </c>
      <c r="L4052" s="714"/>
      <c r="M4052" s="714"/>
      <c r="N4052" s="700">
        <f t="shared" ref="N4052:N4060" si="453">M4052+L4052</f>
        <v>0</v>
      </c>
      <c r="O4052" s="974">
        <f t="shared" ref="O4052:O4060" si="454">N4052+K4052+H4052</f>
        <v>0</v>
      </c>
      <c r="P4052" s="956"/>
      <c r="Q4052" s="1821"/>
      <c r="R4052" s="1821"/>
      <c r="S4052" s="1821"/>
      <c r="T4052" s="1821"/>
      <c r="U4052" s="1821"/>
      <c r="V4052" s="1821"/>
      <c r="W4052" s="1821"/>
      <c r="X4052" s="1821"/>
      <c r="Y4052" s="1821"/>
      <c r="Z4052" s="1821"/>
      <c r="AA4052" s="1821"/>
      <c r="AB4052" s="1821"/>
      <c r="AC4052" s="1821"/>
      <c r="AD4052" s="1821"/>
      <c r="AE4052" s="1821"/>
      <c r="AF4052" s="1821"/>
      <c r="AG4052" s="1821"/>
      <c r="AH4052" s="1821"/>
      <c r="AI4052" s="1821"/>
      <c r="AJ4052" s="1821"/>
      <c r="AK4052" s="1821"/>
      <c r="AL4052" s="1821"/>
      <c r="AM4052" s="1821"/>
      <c r="AN4052" s="1821"/>
      <c r="AO4052" s="1821"/>
      <c r="AP4052" s="1821"/>
      <c r="AQ4052" s="1821"/>
      <c r="AR4052" s="1821"/>
      <c r="AS4052" s="1821"/>
      <c r="AT4052" s="1821"/>
      <c r="AU4052" s="1821"/>
      <c r="AV4052" s="1821"/>
      <c r="AW4052" s="1821"/>
      <c r="AX4052" s="1821"/>
      <c r="AY4052" s="1821"/>
      <c r="AZ4052" s="1821"/>
      <c r="BA4052" s="1821"/>
      <c r="BB4052" s="1821"/>
      <c r="BC4052" s="1821"/>
      <c r="BD4052" s="1821"/>
      <c r="BE4052" s="1821"/>
      <c r="BF4052" s="1821"/>
      <c r="BG4052" s="1821"/>
      <c r="BH4052" s="1821"/>
      <c r="BI4052" s="1821"/>
      <c r="BJ4052" s="1821"/>
      <c r="BK4052" s="1821"/>
      <c r="BL4052" s="1821"/>
      <c r="BM4052" s="1821"/>
      <c r="BN4052" s="1821"/>
      <c r="BO4052" s="1821"/>
      <c r="BP4052" s="1821"/>
      <c r="BQ4052" s="1821"/>
      <c r="BR4052" s="1821"/>
      <c r="BS4052" s="1821"/>
      <c r="BT4052" s="1821"/>
      <c r="BU4052" s="1821"/>
      <c r="BV4052" s="1821"/>
      <c r="BW4052" s="1821"/>
      <c r="BX4052" s="1821"/>
      <c r="BY4052" s="1821"/>
      <c r="BZ4052" s="1821"/>
      <c r="CA4052" s="1821"/>
      <c r="CB4052" s="1821"/>
      <c r="CC4052" s="1821"/>
      <c r="CD4052" s="1821"/>
      <c r="CE4052" s="1821"/>
      <c r="CF4052" s="1821"/>
      <c r="CG4052" s="1821"/>
      <c r="CH4052" s="1821"/>
      <c r="CI4052" s="1821"/>
      <c r="CJ4052" s="1821"/>
      <c r="CK4052" s="1821"/>
    </row>
    <row r="4053" spans="1:89" s="744" customFormat="1" ht="16.5" customHeight="1" x14ac:dyDescent="0.25">
      <c r="A4053" s="1033"/>
      <c r="B4053" s="709"/>
      <c r="C4053" s="827"/>
      <c r="D4053" s="961"/>
      <c r="E4053" s="758"/>
      <c r="F4053" s="714"/>
      <c r="G4053" s="714"/>
      <c r="H4053" s="700"/>
      <c r="I4053" s="714"/>
      <c r="J4053" s="714"/>
      <c r="K4053" s="700"/>
      <c r="L4053" s="714"/>
      <c r="M4053" s="714"/>
      <c r="N4053" s="700"/>
      <c r="O4053" s="974"/>
      <c r="P4053" s="956"/>
      <c r="Q4053" s="1821"/>
      <c r="R4053" s="1821"/>
      <c r="S4053" s="1821"/>
      <c r="T4053" s="1821"/>
      <c r="U4053" s="1821"/>
      <c r="V4053" s="1821"/>
      <c r="W4053" s="1821"/>
      <c r="X4053" s="1821"/>
      <c r="Y4053" s="1821"/>
      <c r="Z4053" s="1821"/>
      <c r="AA4053" s="1821"/>
      <c r="AB4053" s="1821"/>
      <c r="AC4053" s="1821"/>
      <c r="AD4053" s="1821"/>
      <c r="AE4053" s="1821"/>
      <c r="AF4053" s="1821"/>
      <c r="AG4053" s="1821"/>
      <c r="AH4053" s="1821"/>
      <c r="AI4053" s="1821"/>
      <c r="AJ4053" s="1821"/>
      <c r="AK4053" s="1821"/>
      <c r="AL4053" s="1821"/>
      <c r="AM4053" s="1821"/>
      <c r="AN4053" s="1821"/>
      <c r="AO4053" s="1821"/>
      <c r="AP4053" s="1821"/>
      <c r="AQ4053" s="1821"/>
      <c r="AR4053" s="1821"/>
      <c r="AS4053" s="1821"/>
      <c r="AT4053" s="1821"/>
      <c r="AU4053" s="1821"/>
      <c r="AV4053" s="1821"/>
      <c r="AW4053" s="1821"/>
      <c r="AX4053" s="1821"/>
      <c r="AY4053" s="1821"/>
      <c r="AZ4053" s="1821"/>
      <c r="BA4053" s="1821"/>
      <c r="BB4053" s="1821"/>
      <c r="BC4053" s="1821"/>
      <c r="BD4053" s="1821"/>
      <c r="BE4053" s="1821"/>
      <c r="BF4053" s="1821"/>
      <c r="BG4053" s="1821"/>
      <c r="BH4053" s="1821"/>
      <c r="BI4053" s="1821"/>
      <c r="BJ4053" s="1821"/>
      <c r="BK4053" s="1821"/>
      <c r="BL4053" s="1821"/>
      <c r="BM4053" s="1821"/>
      <c r="BN4053" s="1821"/>
      <c r="BO4053" s="1821"/>
      <c r="BP4053" s="1821"/>
      <c r="BQ4053" s="1821"/>
      <c r="BR4053" s="1821"/>
      <c r="BS4053" s="1821"/>
      <c r="BT4053" s="1821"/>
      <c r="BU4053" s="1821"/>
      <c r="BV4053" s="1821"/>
      <c r="BW4053" s="1821"/>
      <c r="BX4053" s="1821"/>
      <c r="BY4053" s="1821"/>
      <c r="BZ4053" s="1821"/>
      <c r="CA4053" s="1821"/>
      <c r="CB4053" s="1821"/>
      <c r="CC4053" s="1821"/>
      <c r="CD4053" s="1821"/>
      <c r="CE4053" s="1821"/>
      <c r="CF4053" s="1821"/>
      <c r="CG4053" s="1821"/>
      <c r="CH4053" s="1821"/>
      <c r="CI4053" s="1821"/>
      <c r="CJ4053" s="1821"/>
      <c r="CK4053" s="1821"/>
    </row>
    <row r="4054" spans="1:89" s="744" customFormat="1" ht="16.5" customHeight="1" x14ac:dyDescent="0.25">
      <c r="A4054" s="1033">
        <v>11</v>
      </c>
      <c r="B4054" s="709" t="s">
        <v>393</v>
      </c>
      <c r="C4054" s="827">
        <f>SUM(O4056:O4065)</f>
        <v>932379</v>
      </c>
      <c r="D4054" s="961"/>
      <c r="E4054" s="758"/>
      <c r="F4054" s="714"/>
      <c r="G4054" s="714"/>
      <c r="H4054" s="700">
        <f t="shared" si="451"/>
        <v>0</v>
      </c>
      <c r="I4054" s="714"/>
      <c r="J4054" s="714">
        <f>C4054*E4054</f>
        <v>0</v>
      </c>
      <c r="K4054" s="700">
        <f t="shared" si="452"/>
        <v>0</v>
      </c>
      <c r="L4054" s="714"/>
      <c r="M4054" s="714"/>
      <c r="N4054" s="700">
        <f t="shared" si="453"/>
        <v>0</v>
      </c>
      <c r="O4054" s="974">
        <f t="shared" si="454"/>
        <v>0</v>
      </c>
      <c r="P4054" s="956"/>
      <c r="Q4054" s="1821"/>
      <c r="R4054" s="1821"/>
      <c r="S4054" s="1821"/>
      <c r="T4054" s="1821"/>
      <c r="U4054" s="1821"/>
      <c r="V4054" s="1821"/>
      <c r="W4054" s="1821"/>
      <c r="X4054" s="1821"/>
      <c r="Y4054" s="1821"/>
      <c r="Z4054" s="1821"/>
      <c r="AA4054" s="1821"/>
      <c r="AB4054" s="1821"/>
      <c r="AC4054" s="1821"/>
      <c r="AD4054" s="1821"/>
      <c r="AE4054" s="1821"/>
      <c r="AF4054" s="1821"/>
      <c r="AG4054" s="1821"/>
      <c r="AH4054" s="1821"/>
      <c r="AI4054" s="1821"/>
      <c r="AJ4054" s="1821"/>
      <c r="AK4054" s="1821"/>
      <c r="AL4054" s="1821"/>
      <c r="AM4054" s="1821"/>
      <c r="AN4054" s="1821"/>
      <c r="AO4054" s="1821"/>
      <c r="AP4054" s="1821"/>
      <c r="AQ4054" s="1821"/>
      <c r="AR4054" s="1821"/>
      <c r="AS4054" s="1821"/>
      <c r="AT4054" s="1821"/>
      <c r="AU4054" s="1821"/>
      <c r="AV4054" s="1821"/>
      <c r="AW4054" s="1821"/>
      <c r="AX4054" s="1821"/>
      <c r="AY4054" s="1821"/>
      <c r="AZ4054" s="1821"/>
      <c r="BA4054" s="1821"/>
      <c r="BB4054" s="1821"/>
      <c r="BC4054" s="1821"/>
      <c r="BD4054" s="1821"/>
      <c r="BE4054" s="1821"/>
      <c r="BF4054" s="1821"/>
      <c r="BG4054" s="1821"/>
      <c r="BH4054" s="1821"/>
      <c r="BI4054" s="1821"/>
      <c r="BJ4054" s="1821"/>
      <c r="BK4054" s="1821"/>
      <c r="BL4054" s="1821"/>
      <c r="BM4054" s="1821"/>
      <c r="BN4054" s="1821"/>
      <c r="BO4054" s="1821"/>
      <c r="BP4054" s="1821"/>
      <c r="BQ4054" s="1821"/>
      <c r="BR4054" s="1821"/>
      <c r="BS4054" s="1821"/>
      <c r="BT4054" s="1821"/>
      <c r="BU4054" s="1821"/>
      <c r="BV4054" s="1821"/>
      <c r="BW4054" s="1821"/>
      <c r="BX4054" s="1821"/>
      <c r="BY4054" s="1821"/>
      <c r="BZ4054" s="1821"/>
      <c r="CA4054" s="1821"/>
      <c r="CB4054" s="1821"/>
      <c r="CC4054" s="1821"/>
      <c r="CD4054" s="1821"/>
      <c r="CE4054" s="1821"/>
      <c r="CF4054" s="1821"/>
      <c r="CG4054" s="1821"/>
      <c r="CH4054" s="1821"/>
      <c r="CI4054" s="1821"/>
      <c r="CJ4054" s="1821"/>
      <c r="CK4054" s="1821"/>
    </row>
    <row r="4055" spans="1:89" s="744" customFormat="1" ht="16.5" customHeight="1" x14ac:dyDescent="0.25">
      <c r="A4055" s="1033" t="s">
        <v>272</v>
      </c>
      <c r="B4055" s="709" t="s">
        <v>1086</v>
      </c>
      <c r="C4055" s="827"/>
      <c r="D4055" s="961"/>
      <c r="E4055" s="758"/>
      <c r="F4055" s="714"/>
      <c r="G4055" s="714"/>
      <c r="H4055" s="700">
        <f t="shared" si="451"/>
        <v>0</v>
      </c>
      <c r="I4055" s="714"/>
      <c r="J4055" s="714">
        <f>C4055*E4055</f>
        <v>0</v>
      </c>
      <c r="K4055" s="700">
        <f t="shared" si="452"/>
        <v>0</v>
      </c>
      <c r="L4055" s="714"/>
      <c r="M4055" s="714"/>
      <c r="N4055" s="700">
        <f t="shared" si="453"/>
        <v>0</v>
      </c>
      <c r="O4055" s="974">
        <f t="shared" si="454"/>
        <v>0</v>
      </c>
      <c r="P4055" s="956"/>
      <c r="Q4055" s="1821"/>
      <c r="R4055" s="1821"/>
      <c r="S4055" s="1821"/>
      <c r="T4055" s="1821"/>
      <c r="U4055" s="1821"/>
      <c r="V4055" s="1821"/>
      <c r="W4055" s="1821"/>
      <c r="X4055" s="1821"/>
      <c r="Y4055" s="1821"/>
      <c r="Z4055" s="1821"/>
      <c r="AA4055" s="1821"/>
      <c r="AB4055" s="1821"/>
      <c r="AC4055" s="1821"/>
      <c r="AD4055" s="1821"/>
      <c r="AE4055" s="1821"/>
      <c r="AF4055" s="1821"/>
      <c r="AG4055" s="1821"/>
      <c r="AH4055" s="1821"/>
      <c r="AI4055" s="1821"/>
      <c r="AJ4055" s="1821"/>
      <c r="AK4055" s="1821"/>
      <c r="AL4055" s="1821"/>
      <c r="AM4055" s="1821"/>
      <c r="AN4055" s="1821"/>
      <c r="AO4055" s="1821"/>
      <c r="AP4055" s="1821"/>
      <c r="AQ4055" s="1821"/>
      <c r="AR4055" s="1821"/>
      <c r="AS4055" s="1821"/>
      <c r="AT4055" s="1821"/>
      <c r="AU4055" s="1821"/>
      <c r="AV4055" s="1821"/>
      <c r="AW4055" s="1821"/>
      <c r="AX4055" s="1821"/>
      <c r="AY4055" s="1821"/>
      <c r="AZ4055" s="1821"/>
      <c r="BA4055" s="1821"/>
      <c r="BB4055" s="1821"/>
      <c r="BC4055" s="1821"/>
      <c r="BD4055" s="1821"/>
      <c r="BE4055" s="1821"/>
      <c r="BF4055" s="1821"/>
      <c r="BG4055" s="1821"/>
      <c r="BH4055" s="1821"/>
      <c r="BI4055" s="1821"/>
      <c r="BJ4055" s="1821"/>
      <c r="BK4055" s="1821"/>
      <c r="BL4055" s="1821"/>
      <c r="BM4055" s="1821"/>
      <c r="BN4055" s="1821"/>
      <c r="BO4055" s="1821"/>
      <c r="BP4055" s="1821"/>
      <c r="BQ4055" s="1821"/>
      <c r="BR4055" s="1821"/>
      <c r="BS4055" s="1821"/>
      <c r="BT4055" s="1821"/>
      <c r="BU4055" s="1821"/>
      <c r="BV4055" s="1821"/>
      <c r="BW4055" s="1821"/>
      <c r="BX4055" s="1821"/>
      <c r="BY4055" s="1821"/>
      <c r="BZ4055" s="1821"/>
      <c r="CA4055" s="1821"/>
      <c r="CB4055" s="1821"/>
      <c r="CC4055" s="1821"/>
      <c r="CD4055" s="1821"/>
      <c r="CE4055" s="1821"/>
      <c r="CF4055" s="1821"/>
      <c r="CG4055" s="1821"/>
      <c r="CH4055" s="1821"/>
      <c r="CI4055" s="1821"/>
      <c r="CJ4055" s="1821"/>
      <c r="CK4055" s="1821"/>
    </row>
    <row r="4056" spans="1:89" s="1204" customFormat="1" ht="16.5" customHeight="1" x14ac:dyDescent="0.25">
      <c r="A4056" s="1033"/>
      <c r="B4056" s="709" t="s">
        <v>116</v>
      </c>
      <c r="C4056" s="827">
        <v>1</v>
      </c>
      <c r="D4056" s="961" t="s">
        <v>25</v>
      </c>
      <c r="E4056" s="758">
        <v>98400</v>
      </c>
      <c r="F4056" s="714"/>
      <c r="G4056" s="714"/>
      <c r="H4056" s="700">
        <f>G4056+F4056</f>
        <v>0</v>
      </c>
      <c r="I4056" s="714"/>
      <c r="J4056" s="714">
        <f>C4056*E4056</f>
        <v>98400</v>
      </c>
      <c r="K4056" s="700">
        <f>J4056+I4056</f>
        <v>98400</v>
      </c>
      <c r="L4056" s="714"/>
      <c r="M4056" s="714"/>
      <c r="N4056" s="700">
        <f>M4056+L4056</f>
        <v>0</v>
      </c>
      <c r="O4056" s="974">
        <f>N4056+K4056+H4056</f>
        <v>98400</v>
      </c>
      <c r="P4056" s="1202"/>
      <c r="Q4056" s="1838"/>
      <c r="R4056" s="1838"/>
      <c r="S4056" s="1838"/>
      <c r="T4056" s="1838"/>
      <c r="U4056" s="1838"/>
      <c r="V4056" s="1838"/>
      <c r="W4056" s="1838"/>
      <c r="X4056" s="1838"/>
      <c r="Y4056" s="1838"/>
      <c r="Z4056" s="1838"/>
      <c r="AA4056" s="1838"/>
      <c r="AB4056" s="1838"/>
      <c r="AC4056" s="1838"/>
      <c r="AD4056" s="1838"/>
      <c r="AE4056" s="1838"/>
      <c r="AF4056" s="1838"/>
      <c r="AG4056" s="1838"/>
      <c r="AH4056" s="1838"/>
      <c r="AI4056" s="1838"/>
      <c r="AJ4056" s="1838"/>
      <c r="AK4056" s="1838"/>
      <c r="AL4056" s="1838"/>
      <c r="AM4056" s="1838"/>
      <c r="AN4056" s="1838"/>
      <c r="AO4056" s="1838"/>
      <c r="AP4056" s="1838"/>
      <c r="AQ4056" s="1838"/>
      <c r="AR4056" s="1838"/>
      <c r="AS4056" s="1838"/>
      <c r="AT4056" s="1838"/>
      <c r="AU4056" s="1838"/>
      <c r="AV4056" s="1838"/>
      <c r="AW4056" s="1838"/>
      <c r="AX4056" s="1838"/>
      <c r="AY4056" s="1838"/>
      <c r="AZ4056" s="1838"/>
      <c r="BA4056" s="1838"/>
      <c r="BB4056" s="1838"/>
      <c r="BC4056" s="1838"/>
      <c r="BD4056" s="1838"/>
      <c r="BE4056" s="1838"/>
      <c r="BF4056" s="1838"/>
      <c r="BG4056" s="1838"/>
      <c r="BH4056" s="1838"/>
      <c r="BI4056" s="1838"/>
      <c r="BJ4056" s="1838"/>
      <c r="BK4056" s="1838"/>
      <c r="BL4056" s="1838"/>
      <c r="BM4056" s="1838"/>
      <c r="BN4056" s="1838"/>
      <c r="BO4056" s="1838"/>
      <c r="BP4056" s="1838"/>
      <c r="BQ4056" s="1838"/>
      <c r="BR4056" s="1838"/>
      <c r="BS4056" s="1838"/>
      <c r="BT4056" s="1838"/>
      <c r="BU4056" s="1838"/>
      <c r="BV4056" s="1838"/>
      <c r="BW4056" s="1838"/>
      <c r="BX4056" s="1838"/>
      <c r="BY4056" s="1838"/>
      <c r="BZ4056" s="1838"/>
      <c r="CA4056" s="1838"/>
      <c r="CB4056" s="1838"/>
      <c r="CC4056" s="1838"/>
      <c r="CD4056" s="1838"/>
      <c r="CE4056" s="1838"/>
      <c r="CF4056" s="1838"/>
      <c r="CG4056" s="1838"/>
      <c r="CH4056" s="1838"/>
      <c r="CI4056" s="1838"/>
      <c r="CJ4056" s="1838"/>
      <c r="CK4056" s="1838"/>
    </row>
    <row r="4057" spans="1:89" s="1204" customFormat="1" ht="16.5" customHeight="1" x14ac:dyDescent="0.25">
      <c r="A4057" s="1033"/>
      <c r="B4057" s="709" t="s">
        <v>402</v>
      </c>
      <c r="C4057" s="827"/>
      <c r="D4057" s="961"/>
      <c r="E4057" s="758"/>
      <c r="F4057" s="714"/>
      <c r="G4057" s="714"/>
      <c r="H4057" s="700">
        <f t="shared" si="451"/>
        <v>0</v>
      </c>
      <c r="I4057" s="714"/>
      <c r="J4057" s="714"/>
      <c r="K4057" s="700">
        <f t="shared" si="452"/>
        <v>0</v>
      </c>
      <c r="L4057" s="714"/>
      <c r="M4057" s="714"/>
      <c r="N4057" s="700">
        <f t="shared" si="453"/>
        <v>0</v>
      </c>
      <c r="O4057" s="974">
        <f t="shared" si="454"/>
        <v>0</v>
      </c>
      <c r="P4057" s="1202"/>
      <c r="Q4057" s="1838"/>
      <c r="R4057" s="1838"/>
      <c r="S4057" s="1838"/>
      <c r="T4057" s="1838"/>
      <c r="U4057" s="1838"/>
      <c r="V4057" s="1838"/>
      <c r="W4057" s="1838"/>
      <c r="X4057" s="1838"/>
      <c r="Y4057" s="1838"/>
      <c r="Z4057" s="1838"/>
      <c r="AA4057" s="1838"/>
      <c r="AB4057" s="1838"/>
      <c r="AC4057" s="1838"/>
      <c r="AD4057" s="1838"/>
      <c r="AE4057" s="1838"/>
      <c r="AF4057" s="1838"/>
      <c r="AG4057" s="1838"/>
      <c r="AH4057" s="1838"/>
      <c r="AI4057" s="1838"/>
      <c r="AJ4057" s="1838"/>
      <c r="AK4057" s="1838"/>
      <c r="AL4057" s="1838"/>
      <c r="AM4057" s="1838"/>
      <c r="AN4057" s="1838"/>
      <c r="AO4057" s="1838"/>
      <c r="AP4057" s="1838"/>
      <c r="AQ4057" s="1838"/>
      <c r="AR4057" s="1838"/>
      <c r="AS4057" s="1838"/>
      <c r="AT4057" s="1838"/>
      <c r="AU4057" s="1838"/>
      <c r="AV4057" s="1838"/>
      <c r="AW4057" s="1838"/>
      <c r="AX4057" s="1838"/>
      <c r="AY4057" s="1838"/>
      <c r="AZ4057" s="1838"/>
      <c r="BA4057" s="1838"/>
      <c r="BB4057" s="1838"/>
      <c r="BC4057" s="1838"/>
      <c r="BD4057" s="1838"/>
      <c r="BE4057" s="1838"/>
      <c r="BF4057" s="1838"/>
      <c r="BG4057" s="1838"/>
      <c r="BH4057" s="1838"/>
      <c r="BI4057" s="1838"/>
      <c r="BJ4057" s="1838"/>
      <c r="BK4057" s="1838"/>
      <c r="BL4057" s="1838"/>
      <c r="BM4057" s="1838"/>
      <c r="BN4057" s="1838"/>
      <c r="BO4057" s="1838"/>
      <c r="BP4057" s="1838"/>
      <c r="BQ4057" s="1838"/>
      <c r="BR4057" s="1838"/>
      <c r="BS4057" s="1838"/>
      <c r="BT4057" s="1838"/>
      <c r="BU4057" s="1838"/>
      <c r="BV4057" s="1838"/>
      <c r="BW4057" s="1838"/>
      <c r="BX4057" s="1838"/>
      <c r="BY4057" s="1838"/>
      <c r="BZ4057" s="1838"/>
      <c r="CA4057" s="1838"/>
      <c r="CB4057" s="1838"/>
      <c r="CC4057" s="1838"/>
      <c r="CD4057" s="1838"/>
      <c r="CE4057" s="1838"/>
      <c r="CF4057" s="1838"/>
      <c r="CG4057" s="1838"/>
      <c r="CH4057" s="1838"/>
      <c r="CI4057" s="1838"/>
      <c r="CJ4057" s="1838"/>
      <c r="CK4057" s="1838"/>
    </row>
    <row r="4058" spans="1:89" s="1204" customFormat="1" ht="16.5" customHeight="1" x14ac:dyDescent="0.25">
      <c r="A4058" s="1033"/>
      <c r="B4058" s="709" t="s">
        <v>357</v>
      </c>
      <c r="C4058" s="827">
        <v>1</v>
      </c>
      <c r="D4058" s="961" t="s">
        <v>25</v>
      </c>
      <c r="E4058" s="758">
        <v>174048</v>
      </c>
      <c r="F4058" s="714"/>
      <c r="G4058" s="714"/>
      <c r="H4058" s="700">
        <f t="shared" si="451"/>
        <v>0</v>
      </c>
      <c r="I4058" s="714"/>
      <c r="J4058" s="714">
        <f>C4058*E4058</f>
        <v>174048</v>
      </c>
      <c r="K4058" s="700">
        <f t="shared" si="452"/>
        <v>174048</v>
      </c>
      <c r="L4058" s="714"/>
      <c r="M4058" s="714"/>
      <c r="N4058" s="700">
        <f t="shared" si="453"/>
        <v>0</v>
      </c>
      <c r="O4058" s="974">
        <f t="shared" si="454"/>
        <v>174048</v>
      </c>
      <c r="P4058" s="1202"/>
      <c r="Q4058" s="1838"/>
      <c r="R4058" s="1838"/>
      <c r="S4058" s="1838"/>
      <c r="T4058" s="1838"/>
      <c r="U4058" s="1838"/>
      <c r="V4058" s="1838"/>
      <c r="W4058" s="1838"/>
      <c r="X4058" s="1838"/>
      <c r="Y4058" s="1838"/>
      <c r="Z4058" s="1838"/>
      <c r="AA4058" s="1838"/>
      <c r="AB4058" s="1838"/>
      <c r="AC4058" s="1838"/>
      <c r="AD4058" s="1838"/>
      <c r="AE4058" s="1838"/>
      <c r="AF4058" s="1838"/>
      <c r="AG4058" s="1838"/>
      <c r="AH4058" s="1838"/>
      <c r="AI4058" s="1838"/>
      <c r="AJ4058" s="1838"/>
      <c r="AK4058" s="1838"/>
      <c r="AL4058" s="1838"/>
      <c r="AM4058" s="1838"/>
      <c r="AN4058" s="1838"/>
      <c r="AO4058" s="1838"/>
      <c r="AP4058" s="1838"/>
      <c r="AQ4058" s="1838"/>
      <c r="AR4058" s="1838"/>
      <c r="AS4058" s="1838"/>
      <c r="AT4058" s="1838"/>
      <c r="AU4058" s="1838"/>
      <c r="AV4058" s="1838"/>
      <c r="AW4058" s="1838"/>
      <c r="AX4058" s="1838"/>
      <c r="AY4058" s="1838"/>
      <c r="AZ4058" s="1838"/>
      <c r="BA4058" s="1838"/>
      <c r="BB4058" s="1838"/>
      <c r="BC4058" s="1838"/>
      <c r="BD4058" s="1838"/>
      <c r="BE4058" s="1838"/>
      <c r="BF4058" s="1838"/>
      <c r="BG4058" s="1838"/>
      <c r="BH4058" s="1838"/>
      <c r="BI4058" s="1838"/>
      <c r="BJ4058" s="1838"/>
      <c r="BK4058" s="1838"/>
      <c r="BL4058" s="1838"/>
      <c r="BM4058" s="1838"/>
      <c r="BN4058" s="1838"/>
      <c r="BO4058" s="1838"/>
      <c r="BP4058" s="1838"/>
      <c r="BQ4058" s="1838"/>
      <c r="BR4058" s="1838"/>
      <c r="BS4058" s="1838"/>
      <c r="BT4058" s="1838"/>
      <c r="BU4058" s="1838"/>
      <c r="BV4058" s="1838"/>
      <c r="BW4058" s="1838"/>
      <c r="BX4058" s="1838"/>
      <c r="BY4058" s="1838"/>
      <c r="BZ4058" s="1838"/>
      <c r="CA4058" s="1838"/>
      <c r="CB4058" s="1838"/>
      <c r="CC4058" s="1838"/>
      <c r="CD4058" s="1838"/>
      <c r="CE4058" s="1838"/>
      <c r="CF4058" s="1838"/>
      <c r="CG4058" s="1838"/>
      <c r="CH4058" s="1838"/>
      <c r="CI4058" s="1838"/>
      <c r="CJ4058" s="1838"/>
      <c r="CK4058" s="1838"/>
    </row>
    <row r="4059" spans="1:89" s="1204" customFormat="1" ht="16.5" customHeight="1" x14ac:dyDescent="0.25">
      <c r="A4059" s="1033"/>
      <c r="B4059" s="709" t="s">
        <v>1377</v>
      </c>
      <c r="C4059" s="827">
        <v>1</v>
      </c>
      <c r="D4059" s="961" t="s">
        <v>47</v>
      </c>
      <c r="E4059" s="758">
        <v>264000</v>
      </c>
      <c r="F4059" s="714"/>
      <c r="G4059" s="714"/>
      <c r="H4059" s="700">
        <f>G4059+F4059</f>
        <v>0</v>
      </c>
      <c r="I4059" s="714"/>
      <c r="J4059" s="714">
        <f>C4059*E4059</f>
        <v>264000</v>
      </c>
      <c r="K4059" s="700">
        <f>J4059+I4059</f>
        <v>264000</v>
      </c>
      <c r="L4059" s="714"/>
      <c r="M4059" s="714"/>
      <c r="N4059" s="700">
        <f t="shared" si="453"/>
        <v>0</v>
      </c>
      <c r="O4059" s="974">
        <f t="shared" si="454"/>
        <v>264000</v>
      </c>
      <c r="P4059" s="1202"/>
      <c r="Q4059" s="1838"/>
      <c r="R4059" s="1838"/>
      <c r="S4059" s="1838"/>
      <c r="T4059" s="1838"/>
      <c r="U4059" s="1838"/>
      <c r="V4059" s="1838"/>
      <c r="W4059" s="1838"/>
      <c r="X4059" s="1838"/>
      <c r="Y4059" s="1838"/>
      <c r="Z4059" s="1838"/>
      <c r="AA4059" s="1838"/>
      <c r="AB4059" s="1838"/>
      <c r="AC4059" s="1838"/>
      <c r="AD4059" s="1838"/>
      <c r="AE4059" s="1838"/>
      <c r="AF4059" s="1838"/>
      <c r="AG4059" s="1838"/>
      <c r="AH4059" s="1838"/>
      <c r="AI4059" s="1838"/>
      <c r="AJ4059" s="1838"/>
      <c r="AK4059" s="1838"/>
      <c r="AL4059" s="1838"/>
      <c r="AM4059" s="1838"/>
      <c r="AN4059" s="1838"/>
      <c r="AO4059" s="1838"/>
      <c r="AP4059" s="1838"/>
      <c r="AQ4059" s="1838"/>
      <c r="AR4059" s="1838"/>
      <c r="AS4059" s="1838"/>
      <c r="AT4059" s="1838"/>
      <c r="AU4059" s="1838"/>
      <c r="AV4059" s="1838"/>
      <c r="AW4059" s="1838"/>
      <c r="AX4059" s="1838"/>
      <c r="AY4059" s="1838"/>
      <c r="AZ4059" s="1838"/>
      <c r="BA4059" s="1838"/>
      <c r="BB4059" s="1838"/>
      <c r="BC4059" s="1838"/>
      <c r="BD4059" s="1838"/>
      <c r="BE4059" s="1838"/>
      <c r="BF4059" s="1838"/>
      <c r="BG4059" s="1838"/>
      <c r="BH4059" s="1838"/>
      <c r="BI4059" s="1838"/>
      <c r="BJ4059" s="1838"/>
      <c r="BK4059" s="1838"/>
      <c r="BL4059" s="1838"/>
      <c r="BM4059" s="1838"/>
      <c r="BN4059" s="1838"/>
      <c r="BO4059" s="1838"/>
      <c r="BP4059" s="1838"/>
      <c r="BQ4059" s="1838"/>
      <c r="BR4059" s="1838"/>
      <c r="BS4059" s="1838"/>
      <c r="BT4059" s="1838"/>
      <c r="BU4059" s="1838"/>
      <c r="BV4059" s="1838"/>
      <c r="BW4059" s="1838"/>
      <c r="BX4059" s="1838"/>
      <c r="BY4059" s="1838"/>
      <c r="BZ4059" s="1838"/>
      <c r="CA4059" s="1838"/>
      <c r="CB4059" s="1838"/>
      <c r="CC4059" s="1838"/>
      <c r="CD4059" s="1838"/>
      <c r="CE4059" s="1838"/>
      <c r="CF4059" s="1838"/>
      <c r="CG4059" s="1838"/>
      <c r="CH4059" s="1838"/>
      <c r="CI4059" s="1838"/>
      <c r="CJ4059" s="1838"/>
      <c r="CK4059" s="1838"/>
    </row>
    <row r="4060" spans="1:89" s="1204" customFormat="1" ht="16.5" customHeight="1" x14ac:dyDescent="0.25">
      <c r="A4060" s="1033"/>
      <c r="B4060" s="709" t="s">
        <v>1364</v>
      </c>
      <c r="C4060" s="827">
        <v>14</v>
      </c>
      <c r="D4060" s="961" t="s">
        <v>210</v>
      </c>
      <c r="E4060" s="758">
        <v>3600</v>
      </c>
      <c r="F4060" s="714"/>
      <c r="G4060" s="714"/>
      <c r="H4060" s="700">
        <f>G4060+F4060</f>
        <v>0</v>
      </c>
      <c r="I4060" s="714"/>
      <c r="J4060" s="714">
        <f>C4060*E4060</f>
        <v>50400</v>
      </c>
      <c r="K4060" s="700">
        <f>J4060+I4060</f>
        <v>50400</v>
      </c>
      <c r="L4060" s="714"/>
      <c r="M4060" s="714"/>
      <c r="N4060" s="700">
        <f t="shared" si="453"/>
        <v>0</v>
      </c>
      <c r="O4060" s="974">
        <f t="shared" si="454"/>
        <v>50400</v>
      </c>
      <c r="P4060" s="1202"/>
      <c r="Q4060" s="1838"/>
      <c r="R4060" s="1838"/>
      <c r="S4060" s="1838"/>
      <c r="T4060" s="1838"/>
      <c r="U4060" s="1838"/>
      <c r="V4060" s="1838"/>
      <c r="W4060" s="1838"/>
      <c r="X4060" s="1838"/>
      <c r="Y4060" s="1838"/>
      <c r="Z4060" s="1838"/>
      <c r="AA4060" s="1838"/>
      <c r="AB4060" s="1838"/>
      <c r="AC4060" s="1838"/>
      <c r="AD4060" s="1838"/>
      <c r="AE4060" s="1838"/>
      <c r="AF4060" s="1838"/>
      <c r="AG4060" s="1838"/>
      <c r="AH4060" s="1838"/>
      <c r="AI4060" s="1838"/>
      <c r="AJ4060" s="1838"/>
      <c r="AK4060" s="1838"/>
      <c r="AL4060" s="1838"/>
      <c r="AM4060" s="1838"/>
      <c r="AN4060" s="1838"/>
      <c r="AO4060" s="1838"/>
      <c r="AP4060" s="1838"/>
      <c r="AQ4060" s="1838"/>
      <c r="AR4060" s="1838"/>
      <c r="AS4060" s="1838"/>
      <c r="AT4060" s="1838"/>
      <c r="AU4060" s="1838"/>
      <c r="AV4060" s="1838"/>
      <c r="AW4060" s="1838"/>
      <c r="AX4060" s="1838"/>
      <c r="AY4060" s="1838"/>
      <c r="AZ4060" s="1838"/>
      <c r="BA4060" s="1838"/>
      <c r="BB4060" s="1838"/>
      <c r="BC4060" s="1838"/>
      <c r="BD4060" s="1838"/>
      <c r="BE4060" s="1838"/>
      <c r="BF4060" s="1838"/>
      <c r="BG4060" s="1838"/>
      <c r="BH4060" s="1838"/>
      <c r="BI4060" s="1838"/>
      <c r="BJ4060" s="1838"/>
      <c r="BK4060" s="1838"/>
      <c r="BL4060" s="1838"/>
      <c r="BM4060" s="1838"/>
      <c r="BN4060" s="1838"/>
      <c r="BO4060" s="1838"/>
      <c r="BP4060" s="1838"/>
      <c r="BQ4060" s="1838"/>
      <c r="BR4060" s="1838"/>
      <c r="BS4060" s="1838"/>
      <c r="BT4060" s="1838"/>
      <c r="BU4060" s="1838"/>
      <c r="BV4060" s="1838"/>
      <c r="BW4060" s="1838"/>
      <c r="BX4060" s="1838"/>
      <c r="BY4060" s="1838"/>
      <c r="BZ4060" s="1838"/>
      <c r="CA4060" s="1838"/>
      <c r="CB4060" s="1838"/>
      <c r="CC4060" s="1838"/>
      <c r="CD4060" s="1838"/>
      <c r="CE4060" s="1838"/>
      <c r="CF4060" s="1838"/>
      <c r="CG4060" s="1838"/>
      <c r="CH4060" s="1838"/>
      <c r="CI4060" s="1838"/>
      <c r="CJ4060" s="1838"/>
      <c r="CK4060" s="1838"/>
    </row>
    <row r="4061" spans="1:89" s="1204" customFormat="1" ht="16.5" customHeight="1" x14ac:dyDescent="0.25">
      <c r="A4061" s="1033"/>
      <c r="B4061" s="709"/>
      <c r="C4061" s="827"/>
      <c r="D4061" s="961"/>
      <c r="E4061" s="758"/>
      <c r="F4061" s="714"/>
      <c r="G4061" s="714"/>
      <c r="H4061" s="700"/>
      <c r="I4061" s="714"/>
      <c r="J4061" s="714"/>
      <c r="K4061" s="700"/>
      <c r="L4061" s="714"/>
      <c r="M4061" s="714"/>
      <c r="N4061" s="700"/>
      <c r="O4061" s="974"/>
      <c r="P4061" s="1202"/>
      <c r="Q4061" s="1838"/>
      <c r="R4061" s="1838"/>
      <c r="S4061" s="1838"/>
      <c r="T4061" s="1838"/>
      <c r="U4061" s="1838"/>
      <c r="V4061" s="1838"/>
      <c r="W4061" s="1838"/>
      <c r="X4061" s="1838"/>
      <c r="Y4061" s="1838"/>
      <c r="Z4061" s="1838"/>
      <c r="AA4061" s="1838"/>
      <c r="AB4061" s="1838"/>
      <c r="AC4061" s="1838"/>
      <c r="AD4061" s="1838"/>
      <c r="AE4061" s="1838"/>
      <c r="AF4061" s="1838"/>
      <c r="AG4061" s="1838"/>
      <c r="AH4061" s="1838"/>
      <c r="AI4061" s="1838"/>
      <c r="AJ4061" s="1838"/>
      <c r="AK4061" s="1838"/>
      <c r="AL4061" s="1838"/>
      <c r="AM4061" s="1838"/>
      <c r="AN4061" s="1838"/>
      <c r="AO4061" s="1838"/>
      <c r="AP4061" s="1838"/>
      <c r="AQ4061" s="1838"/>
      <c r="AR4061" s="1838"/>
      <c r="AS4061" s="1838"/>
      <c r="AT4061" s="1838"/>
      <c r="AU4061" s="1838"/>
      <c r="AV4061" s="1838"/>
      <c r="AW4061" s="1838"/>
      <c r="AX4061" s="1838"/>
      <c r="AY4061" s="1838"/>
      <c r="AZ4061" s="1838"/>
      <c r="BA4061" s="1838"/>
      <c r="BB4061" s="1838"/>
      <c r="BC4061" s="1838"/>
      <c r="BD4061" s="1838"/>
      <c r="BE4061" s="1838"/>
      <c r="BF4061" s="1838"/>
      <c r="BG4061" s="1838"/>
      <c r="BH4061" s="1838"/>
      <c r="BI4061" s="1838"/>
      <c r="BJ4061" s="1838"/>
      <c r="BK4061" s="1838"/>
      <c r="BL4061" s="1838"/>
      <c r="BM4061" s="1838"/>
      <c r="BN4061" s="1838"/>
      <c r="BO4061" s="1838"/>
      <c r="BP4061" s="1838"/>
      <c r="BQ4061" s="1838"/>
      <c r="BR4061" s="1838"/>
      <c r="BS4061" s="1838"/>
      <c r="BT4061" s="1838"/>
      <c r="BU4061" s="1838"/>
      <c r="BV4061" s="1838"/>
      <c r="BW4061" s="1838"/>
      <c r="BX4061" s="1838"/>
      <c r="BY4061" s="1838"/>
      <c r="BZ4061" s="1838"/>
      <c r="CA4061" s="1838"/>
      <c r="CB4061" s="1838"/>
      <c r="CC4061" s="1838"/>
      <c r="CD4061" s="1838"/>
      <c r="CE4061" s="1838"/>
      <c r="CF4061" s="1838"/>
      <c r="CG4061" s="1838"/>
      <c r="CH4061" s="1838"/>
      <c r="CI4061" s="1838"/>
      <c r="CJ4061" s="1838"/>
      <c r="CK4061" s="1838"/>
    </row>
    <row r="4062" spans="1:89" s="1204" customFormat="1" ht="16.5" customHeight="1" x14ac:dyDescent="0.25">
      <c r="A4062" s="1033"/>
      <c r="B4062" s="709" t="s">
        <v>48</v>
      </c>
      <c r="C4062" s="827"/>
      <c r="D4062" s="961"/>
      <c r="E4062" s="758"/>
      <c r="F4062" s="714"/>
      <c r="G4062" s="714"/>
      <c r="H4062" s="700">
        <f t="shared" si="451"/>
        <v>0</v>
      </c>
      <c r="I4062" s="714"/>
      <c r="J4062" s="714">
        <f t="shared" ref="J4062:J4075" si="455">C4062*E4062</f>
        <v>0</v>
      </c>
      <c r="K4062" s="700">
        <f t="shared" si="452"/>
        <v>0</v>
      </c>
      <c r="L4062" s="714"/>
      <c r="M4062" s="714"/>
      <c r="N4062" s="700">
        <f t="shared" ref="N4062:N4093" si="456">M4062+L4062</f>
        <v>0</v>
      </c>
      <c r="O4062" s="974">
        <f t="shared" ref="O4062:O4093" si="457">N4062+K4062+H4062</f>
        <v>0</v>
      </c>
      <c r="P4062" s="1202"/>
      <c r="Q4062" s="1838"/>
      <c r="R4062" s="1838"/>
      <c r="S4062" s="1838"/>
      <c r="T4062" s="1838"/>
      <c r="U4062" s="1838"/>
      <c r="V4062" s="1838"/>
      <c r="W4062" s="1838"/>
      <c r="X4062" s="1838"/>
      <c r="Y4062" s="1838"/>
      <c r="Z4062" s="1838"/>
      <c r="AA4062" s="1838"/>
      <c r="AB4062" s="1838"/>
      <c r="AC4062" s="1838"/>
      <c r="AD4062" s="1838"/>
      <c r="AE4062" s="1838"/>
      <c r="AF4062" s="1838"/>
      <c r="AG4062" s="1838"/>
      <c r="AH4062" s="1838"/>
      <c r="AI4062" s="1838"/>
      <c r="AJ4062" s="1838"/>
      <c r="AK4062" s="1838"/>
      <c r="AL4062" s="1838"/>
      <c r="AM4062" s="1838"/>
      <c r="AN4062" s="1838"/>
      <c r="AO4062" s="1838"/>
      <c r="AP4062" s="1838"/>
      <c r="AQ4062" s="1838"/>
      <c r="AR4062" s="1838"/>
      <c r="AS4062" s="1838"/>
      <c r="AT4062" s="1838"/>
      <c r="AU4062" s="1838"/>
      <c r="AV4062" s="1838"/>
      <c r="AW4062" s="1838"/>
      <c r="AX4062" s="1838"/>
      <c r="AY4062" s="1838"/>
      <c r="AZ4062" s="1838"/>
      <c r="BA4062" s="1838"/>
      <c r="BB4062" s="1838"/>
      <c r="BC4062" s="1838"/>
      <c r="BD4062" s="1838"/>
      <c r="BE4062" s="1838"/>
      <c r="BF4062" s="1838"/>
      <c r="BG4062" s="1838"/>
      <c r="BH4062" s="1838"/>
      <c r="BI4062" s="1838"/>
      <c r="BJ4062" s="1838"/>
      <c r="BK4062" s="1838"/>
      <c r="BL4062" s="1838"/>
      <c r="BM4062" s="1838"/>
      <c r="BN4062" s="1838"/>
      <c r="BO4062" s="1838"/>
      <c r="BP4062" s="1838"/>
      <c r="BQ4062" s="1838"/>
      <c r="BR4062" s="1838"/>
      <c r="BS4062" s="1838"/>
      <c r="BT4062" s="1838"/>
      <c r="BU4062" s="1838"/>
      <c r="BV4062" s="1838"/>
      <c r="BW4062" s="1838"/>
      <c r="BX4062" s="1838"/>
      <c r="BY4062" s="1838"/>
      <c r="BZ4062" s="1838"/>
      <c r="CA4062" s="1838"/>
      <c r="CB4062" s="1838"/>
      <c r="CC4062" s="1838"/>
      <c r="CD4062" s="1838"/>
      <c r="CE4062" s="1838"/>
      <c r="CF4062" s="1838"/>
      <c r="CG4062" s="1838"/>
      <c r="CH4062" s="1838"/>
      <c r="CI4062" s="1838"/>
      <c r="CJ4062" s="1838"/>
      <c r="CK4062" s="1838"/>
    </row>
    <row r="4063" spans="1:89" s="1204" customFormat="1" ht="16.5" customHeight="1" x14ac:dyDescent="0.25">
      <c r="A4063" s="1033"/>
      <c r="B4063" s="709" t="s">
        <v>395</v>
      </c>
      <c r="C4063" s="827">
        <v>1</v>
      </c>
      <c r="D4063" s="961" t="s">
        <v>47</v>
      </c>
      <c r="E4063" s="758">
        <v>119387</v>
      </c>
      <c r="F4063" s="714"/>
      <c r="G4063" s="714"/>
      <c r="H4063" s="700">
        <f t="shared" si="451"/>
        <v>0</v>
      </c>
      <c r="I4063" s="714"/>
      <c r="J4063" s="714">
        <f t="shared" si="455"/>
        <v>119387</v>
      </c>
      <c r="K4063" s="700">
        <f t="shared" si="452"/>
        <v>119387</v>
      </c>
      <c r="L4063" s="714"/>
      <c r="M4063" s="714"/>
      <c r="N4063" s="700">
        <f t="shared" si="456"/>
        <v>0</v>
      </c>
      <c r="O4063" s="974">
        <f t="shared" si="457"/>
        <v>119387</v>
      </c>
      <c r="P4063" s="1202"/>
      <c r="Q4063" s="1838"/>
      <c r="R4063" s="1838"/>
      <c r="S4063" s="1838"/>
      <c r="T4063" s="1838"/>
      <c r="U4063" s="1838"/>
      <c r="V4063" s="1838"/>
      <c r="W4063" s="1838"/>
      <c r="X4063" s="1838"/>
      <c r="Y4063" s="1838"/>
      <c r="Z4063" s="1838"/>
      <c r="AA4063" s="1838"/>
      <c r="AB4063" s="1838"/>
      <c r="AC4063" s="1838"/>
      <c r="AD4063" s="1838"/>
      <c r="AE4063" s="1838"/>
      <c r="AF4063" s="1838"/>
      <c r="AG4063" s="1838"/>
      <c r="AH4063" s="1838"/>
      <c r="AI4063" s="1838"/>
      <c r="AJ4063" s="1838"/>
      <c r="AK4063" s="1838"/>
      <c r="AL4063" s="1838"/>
      <c r="AM4063" s="1838"/>
      <c r="AN4063" s="1838"/>
      <c r="AO4063" s="1838"/>
      <c r="AP4063" s="1838"/>
      <c r="AQ4063" s="1838"/>
      <c r="AR4063" s="1838"/>
      <c r="AS4063" s="1838"/>
      <c r="AT4063" s="1838"/>
      <c r="AU4063" s="1838"/>
      <c r="AV4063" s="1838"/>
      <c r="AW4063" s="1838"/>
      <c r="AX4063" s="1838"/>
      <c r="AY4063" s="1838"/>
      <c r="AZ4063" s="1838"/>
      <c r="BA4063" s="1838"/>
      <c r="BB4063" s="1838"/>
      <c r="BC4063" s="1838"/>
      <c r="BD4063" s="1838"/>
      <c r="BE4063" s="1838"/>
      <c r="BF4063" s="1838"/>
      <c r="BG4063" s="1838"/>
      <c r="BH4063" s="1838"/>
      <c r="BI4063" s="1838"/>
      <c r="BJ4063" s="1838"/>
      <c r="BK4063" s="1838"/>
      <c r="BL4063" s="1838"/>
      <c r="BM4063" s="1838"/>
      <c r="BN4063" s="1838"/>
      <c r="BO4063" s="1838"/>
      <c r="BP4063" s="1838"/>
      <c r="BQ4063" s="1838"/>
      <c r="BR4063" s="1838"/>
      <c r="BS4063" s="1838"/>
      <c r="BT4063" s="1838"/>
      <c r="BU4063" s="1838"/>
      <c r="BV4063" s="1838"/>
      <c r="BW4063" s="1838"/>
      <c r="BX4063" s="1838"/>
      <c r="BY4063" s="1838"/>
      <c r="BZ4063" s="1838"/>
      <c r="CA4063" s="1838"/>
      <c r="CB4063" s="1838"/>
      <c r="CC4063" s="1838"/>
      <c r="CD4063" s="1838"/>
      <c r="CE4063" s="1838"/>
      <c r="CF4063" s="1838"/>
      <c r="CG4063" s="1838"/>
      <c r="CH4063" s="1838"/>
      <c r="CI4063" s="1838"/>
      <c r="CJ4063" s="1838"/>
      <c r="CK4063" s="1838"/>
    </row>
    <row r="4064" spans="1:89" s="1204" customFormat="1" ht="16.5" customHeight="1" x14ac:dyDescent="0.25">
      <c r="A4064" s="1033"/>
      <c r="B4064" s="709" t="s">
        <v>396</v>
      </c>
      <c r="C4064" s="827">
        <v>1</v>
      </c>
      <c r="D4064" s="961" t="s">
        <v>47</v>
      </c>
      <c r="E4064" s="758">
        <v>139410</v>
      </c>
      <c r="F4064" s="714"/>
      <c r="G4064" s="714"/>
      <c r="H4064" s="700">
        <f t="shared" si="451"/>
        <v>0</v>
      </c>
      <c r="I4064" s="714"/>
      <c r="J4064" s="714">
        <f t="shared" si="455"/>
        <v>139410</v>
      </c>
      <c r="K4064" s="700">
        <f t="shared" si="452"/>
        <v>139410</v>
      </c>
      <c r="L4064" s="714"/>
      <c r="M4064" s="714"/>
      <c r="N4064" s="700">
        <f t="shared" si="456"/>
        <v>0</v>
      </c>
      <c r="O4064" s="974">
        <f t="shared" si="457"/>
        <v>139410</v>
      </c>
      <c r="P4064" s="1202"/>
      <c r="Q4064" s="1838"/>
      <c r="R4064" s="1838"/>
      <c r="S4064" s="1838"/>
      <c r="T4064" s="1838"/>
      <c r="U4064" s="1838"/>
      <c r="V4064" s="1838"/>
      <c r="W4064" s="1838"/>
      <c r="X4064" s="1838"/>
      <c r="Y4064" s="1838"/>
      <c r="Z4064" s="1838"/>
      <c r="AA4064" s="1838"/>
      <c r="AB4064" s="1838"/>
      <c r="AC4064" s="1838"/>
      <c r="AD4064" s="1838"/>
      <c r="AE4064" s="1838"/>
      <c r="AF4064" s="1838"/>
      <c r="AG4064" s="1838"/>
      <c r="AH4064" s="1838"/>
      <c r="AI4064" s="1838"/>
      <c r="AJ4064" s="1838"/>
      <c r="AK4064" s="1838"/>
      <c r="AL4064" s="1838"/>
      <c r="AM4064" s="1838"/>
      <c r="AN4064" s="1838"/>
      <c r="AO4064" s="1838"/>
      <c r="AP4064" s="1838"/>
      <c r="AQ4064" s="1838"/>
      <c r="AR4064" s="1838"/>
      <c r="AS4064" s="1838"/>
      <c r="AT4064" s="1838"/>
      <c r="AU4064" s="1838"/>
      <c r="AV4064" s="1838"/>
      <c r="AW4064" s="1838"/>
      <c r="AX4064" s="1838"/>
      <c r="AY4064" s="1838"/>
      <c r="AZ4064" s="1838"/>
      <c r="BA4064" s="1838"/>
      <c r="BB4064" s="1838"/>
      <c r="BC4064" s="1838"/>
      <c r="BD4064" s="1838"/>
      <c r="BE4064" s="1838"/>
      <c r="BF4064" s="1838"/>
      <c r="BG4064" s="1838"/>
      <c r="BH4064" s="1838"/>
      <c r="BI4064" s="1838"/>
      <c r="BJ4064" s="1838"/>
      <c r="BK4064" s="1838"/>
      <c r="BL4064" s="1838"/>
      <c r="BM4064" s="1838"/>
      <c r="BN4064" s="1838"/>
      <c r="BO4064" s="1838"/>
      <c r="BP4064" s="1838"/>
      <c r="BQ4064" s="1838"/>
      <c r="BR4064" s="1838"/>
      <c r="BS4064" s="1838"/>
      <c r="BT4064" s="1838"/>
      <c r="BU4064" s="1838"/>
      <c r="BV4064" s="1838"/>
      <c r="BW4064" s="1838"/>
      <c r="BX4064" s="1838"/>
      <c r="BY4064" s="1838"/>
      <c r="BZ4064" s="1838"/>
      <c r="CA4064" s="1838"/>
      <c r="CB4064" s="1838"/>
      <c r="CC4064" s="1838"/>
      <c r="CD4064" s="1838"/>
      <c r="CE4064" s="1838"/>
      <c r="CF4064" s="1838"/>
      <c r="CG4064" s="1838"/>
      <c r="CH4064" s="1838"/>
      <c r="CI4064" s="1838"/>
      <c r="CJ4064" s="1838"/>
      <c r="CK4064" s="1838"/>
    </row>
    <row r="4065" spans="1:89" s="1204" customFormat="1" ht="16.5" customHeight="1" x14ac:dyDescent="0.25">
      <c r="A4065" s="1033"/>
      <c r="B4065" s="709" t="s">
        <v>397</v>
      </c>
      <c r="C4065" s="827">
        <v>1</v>
      </c>
      <c r="D4065" s="961" t="s">
        <v>47</v>
      </c>
      <c r="E4065" s="758">
        <v>86734</v>
      </c>
      <c r="F4065" s="714"/>
      <c r="G4065" s="714"/>
      <c r="H4065" s="700">
        <f t="shared" si="451"/>
        <v>0</v>
      </c>
      <c r="I4065" s="714"/>
      <c r="J4065" s="714">
        <f t="shared" si="455"/>
        <v>86734</v>
      </c>
      <c r="K4065" s="700">
        <f t="shared" si="452"/>
        <v>86734</v>
      </c>
      <c r="L4065" s="714"/>
      <c r="M4065" s="714"/>
      <c r="N4065" s="700">
        <f t="shared" si="456"/>
        <v>0</v>
      </c>
      <c r="O4065" s="974">
        <f t="shared" si="457"/>
        <v>86734</v>
      </c>
      <c r="P4065" s="1202"/>
      <c r="Q4065" s="1838"/>
      <c r="R4065" s="1838"/>
      <c r="S4065" s="1838"/>
      <c r="T4065" s="1838"/>
      <c r="U4065" s="1838"/>
      <c r="V4065" s="1838"/>
      <c r="W4065" s="1838"/>
      <c r="X4065" s="1838"/>
      <c r="Y4065" s="1838"/>
      <c r="Z4065" s="1838"/>
      <c r="AA4065" s="1838"/>
      <c r="AB4065" s="1838"/>
      <c r="AC4065" s="1838"/>
      <c r="AD4065" s="1838"/>
      <c r="AE4065" s="1838"/>
      <c r="AF4065" s="1838"/>
      <c r="AG4065" s="1838"/>
      <c r="AH4065" s="1838"/>
      <c r="AI4065" s="1838"/>
      <c r="AJ4065" s="1838"/>
      <c r="AK4065" s="1838"/>
      <c r="AL4065" s="1838"/>
      <c r="AM4065" s="1838"/>
      <c r="AN4065" s="1838"/>
      <c r="AO4065" s="1838"/>
      <c r="AP4065" s="1838"/>
      <c r="AQ4065" s="1838"/>
      <c r="AR4065" s="1838"/>
      <c r="AS4065" s="1838"/>
      <c r="AT4065" s="1838"/>
      <c r="AU4065" s="1838"/>
      <c r="AV4065" s="1838"/>
      <c r="AW4065" s="1838"/>
      <c r="AX4065" s="1838"/>
      <c r="AY4065" s="1838"/>
      <c r="AZ4065" s="1838"/>
      <c r="BA4065" s="1838"/>
      <c r="BB4065" s="1838"/>
      <c r="BC4065" s="1838"/>
      <c r="BD4065" s="1838"/>
      <c r="BE4065" s="1838"/>
      <c r="BF4065" s="1838"/>
      <c r="BG4065" s="1838"/>
      <c r="BH4065" s="1838"/>
      <c r="BI4065" s="1838"/>
      <c r="BJ4065" s="1838"/>
      <c r="BK4065" s="1838"/>
      <c r="BL4065" s="1838"/>
      <c r="BM4065" s="1838"/>
      <c r="BN4065" s="1838"/>
      <c r="BO4065" s="1838"/>
      <c r="BP4065" s="1838"/>
      <c r="BQ4065" s="1838"/>
      <c r="BR4065" s="1838"/>
      <c r="BS4065" s="1838"/>
      <c r="BT4065" s="1838"/>
      <c r="BU4065" s="1838"/>
      <c r="BV4065" s="1838"/>
      <c r="BW4065" s="1838"/>
      <c r="BX4065" s="1838"/>
      <c r="BY4065" s="1838"/>
      <c r="BZ4065" s="1838"/>
      <c r="CA4065" s="1838"/>
      <c r="CB4065" s="1838"/>
      <c r="CC4065" s="1838"/>
      <c r="CD4065" s="1838"/>
      <c r="CE4065" s="1838"/>
      <c r="CF4065" s="1838"/>
      <c r="CG4065" s="1838"/>
      <c r="CH4065" s="1838"/>
      <c r="CI4065" s="1838"/>
      <c r="CJ4065" s="1838"/>
      <c r="CK4065" s="1838"/>
    </row>
    <row r="4066" spans="1:89" s="1204" customFormat="1" ht="16.5" customHeight="1" x14ac:dyDescent="0.25">
      <c r="A4066" s="1033"/>
      <c r="B4066" s="709"/>
      <c r="C4066" s="827"/>
      <c r="D4066" s="961"/>
      <c r="E4066" s="758"/>
      <c r="F4066" s="714"/>
      <c r="G4066" s="714"/>
      <c r="H4066" s="700">
        <f t="shared" si="451"/>
        <v>0</v>
      </c>
      <c r="I4066" s="714"/>
      <c r="J4066" s="714">
        <f t="shared" si="455"/>
        <v>0</v>
      </c>
      <c r="K4066" s="700">
        <f t="shared" si="452"/>
        <v>0</v>
      </c>
      <c r="L4066" s="714"/>
      <c r="M4066" s="714"/>
      <c r="N4066" s="700">
        <f t="shared" si="456"/>
        <v>0</v>
      </c>
      <c r="O4066" s="974">
        <f t="shared" si="457"/>
        <v>0</v>
      </c>
      <c r="P4066" s="1202"/>
      <c r="Q4066" s="1838"/>
      <c r="R4066" s="1838"/>
      <c r="S4066" s="1838"/>
      <c r="T4066" s="1838"/>
      <c r="U4066" s="1838"/>
      <c r="V4066" s="1838"/>
      <c r="W4066" s="1838"/>
      <c r="X4066" s="1838"/>
      <c r="Y4066" s="1838"/>
      <c r="Z4066" s="1838"/>
      <c r="AA4066" s="1838"/>
      <c r="AB4066" s="1838"/>
      <c r="AC4066" s="1838"/>
      <c r="AD4066" s="1838"/>
      <c r="AE4066" s="1838"/>
      <c r="AF4066" s="1838"/>
      <c r="AG4066" s="1838"/>
      <c r="AH4066" s="1838"/>
      <c r="AI4066" s="1838"/>
      <c r="AJ4066" s="1838"/>
      <c r="AK4066" s="1838"/>
      <c r="AL4066" s="1838"/>
      <c r="AM4066" s="1838"/>
      <c r="AN4066" s="1838"/>
      <c r="AO4066" s="1838"/>
      <c r="AP4066" s="1838"/>
      <c r="AQ4066" s="1838"/>
      <c r="AR4066" s="1838"/>
      <c r="AS4066" s="1838"/>
      <c r="AT4066" s="1838"/>
      <c r="AU4066" s="1838"/>
      <c r="AV4066" s="1838"/>
      <c r="AW4066" s="1838"/>
      <c r="AX4066" s="1838"/>
      <c r="AY4066" s="1838"/>
      <c r="AZ4066" s="1838"/>
      <c r="BA4066" s="1838"/>
      <c r="BB4066" s="1838"/>
      <c r="BC4066" s="1838"/>
      <c r="BD4066" s="1838"/>
      <c r="BE4066" s="1838"/>
      <c r="BF4066" s="1838"/>
      <c r="BG4066" s="1838"/>
      <c r="BH4066" s="1838"/>
      <c r="BI4066" s="1838"/>
      <c r="BJ4066" s="1838"/>
      <c r="BK4066" s="1838"/>
      <c r="BL4066" s="1838"/>
      <c r="BM4066" s="1838"/>
      <c r="BN4066" s="1838"/>
      <c r="BO4066" s="1838"/>
      <c r="BP4066" s="1838"/>
      <c r="BQ4066" s="1838"/>
      <c r="BR4066" s="1838"/>
      <c r="BS4066" s="1838"/>
      <c r="BT4066" s="1838"/>
      <c r="BU4066" s="1838"/>
      <c r="BV4066" s="1838"/>
      <c r="BW4066" s="1838"/>
      <c r="BX4066" s="1838"/>
      <c r="BY4066" s="1838"/>
      <c r="BZ4066" s="1838"/>
      <c r="CA4066" s="1838"/>
      <c r="CB4066" s="1838"/>
      <c r="CC4066" s="1838"/>
      <c r="CD4066" s="1838"/>
      <c r="CE4066" s="1838"/>
      <c r="CF4066" s="1838"/>
      <c r="CG4066" s="1838"/>
      <c r="CH4066" s="1838"/>
      <c r="CI4066" s="1838"/>
      <c r="CJ4066" s="1838"/>
      <c r="CK4066" s="1838"/>
    </row>
    <row r="4067" spans="1:89" s="1204" customFormat="1" ht="16.5" customHeight="1" x14ac:dyDescent="0.25">
      <c r="A4067" s="1033" t="s">
        <v>276</v>
      </c>
      <c r="B4067" s="709" t="s">
        <v>398</v>
      </c>
      <c r="C4067" s="827">
        <f>SUM(K4069:K4073)</f>
        <v>281926.99699999997</v>
      </c>
      <c r="D4067" s="961"/>
      <c r="E4067" s="758"/>
      <c r="F4067" s="714"/>
      <c r="G4067" s="714"/>
      <c r="H4067" s="700">
        <f t="shared" si="451"/>
        <v>0</v>
      </c>
      <c r="I4067" s="714"/>
      <c r="J4067" s="714">
        <f t="shared" si="455"/>
        <v>0</v>
      </c>
      <c r="K4067" s="700">
        <f t="shared" si="452"/>
        <v>0</v>
      </c>
      <c r="L4067" s="714"/>
      <c r="M4067" s="714"/>
      <c r="N4067" s="700">
        <f t="shared" si="456"/>
        <v>0</v>
      </c>
      <c r="O4067" s="974">
        <f t="shared" si="457"/>
        <v>0</v>
      </c>
      <c r="P4067" s="1202"/>
      <c r="Q4067" s="1838"/>
      <c r="R4067" s="1838"/>
      <c r="S4067" s="1838"/>
      <c r="T4067" s="1838"/>
      <c r="U4067" s="1838"/>
      <c r="V4067" s="1838"/>
      <c r="W4067" s="1838"/>
      <c r="X4067" s="1838"/>
      <c r="Y4067" s="1838"/>
      <c r="Z4067" s="1838"/>
      <c r="AA4067" s="1838"/>
      <c r="AB4067" s="1838"/>
      <c r="AC4067" s="1838"/>
      <c r="AD4067" s="1838"/>
      <c r="AE4067" s="1838"/>
      <c r="AF4067" s="1838"/>
      <c r="AG4067" s="1838"/>
      <c r="AH4067" s="1838"/>
      <c r="AI4067" s="1838"/>
      <c r="AJ4067" s="1838"/>
      <c r="AK4067" s="1838"/>
      <c r="AL4067" s="1838"/>
      <c r="AM4067" s="1838"/>
      <c r="AN4067" s="1838"/>
      <c r="AO4067" s="1838"/>
      <c r="AP4067" s="1838"/>
      <c r="AQ4067" s="1838"/>
      <c r="AR4067" s="1838"/>
      <c r="AS4067" s="1838"/>
      <c r="AT4067" s="1838"/>
      <c r="AU4067" s="1838"/>
      <c r="AV4067" s="1838"/>
      <c r="AW4067" s="1838"/>
      <c r="AX4067" s="1838"/>
      <c r="AY4067" s="1838"/>
      <c r="AZ4067" s="1838"/>
      <c r="BA4067" s="1838"/>
      <c r="BB4067" s="1838"/>
      <c r="BC4067" s="1838"/>
      <c r="BD4067" s="1838"/>
      <c r="BE4067" s="1838"/>
      <c r="BF4067" s="1838"/>
      <c r="BG4067" s="1838"/>
      <c r="BH4067" s="1838"/>
      <c r="BI4067" s="1838"/>
      <c r="BJ4067" s="1838"/>
      <c r="BK4067" s="1838"/>
      <c r="BL4067" s="1838"/>
      <c r="BM4067" s="1838"/>
      <c r="BN4067" s="1838"/>
      <c r="BO4067" s="1838"/>
      <c r="BP4067" s="1838"/>
      <c r="BQ4067" s="1838"/>
      <c r="BR4067" s="1838"/>
      <c r="BS4067" s="1838"/>
      <c r="BT4067" s="1838"/>
      <c r="BU4067" s="1838"/>
      <c r="BV4067" s="1838"/>
      <c r="BW4067" s="1838"/>
      <c r="BX4067" s="1838"/>
      <c r="BY4067" s="1838"/>
      <c r="BZ4067" s="1838"/>
      <c r="CA4067" s="1838"/>
      <c r="CB4067" s="1838"/>
      <c r="CC4067" s="1838"/>
      <c r="CD4067" s="1838"/>
      <c r="CE4067" s="1838"/>
      <c r="CF4067" s="1838"/>
      <c r="CG4067" s="1838"/>
      <c r="CH4067" s="1838"/>
      <c r="CI4067" s="1838"/>
      <c r="CJ4067" s="1838"/>
      <c r="CK4067" s="1838"/>
    </row>
    <row r="4068" spans="1:89" s="1204" customFormat="1" ht="16.5" customHeight="1" x14ac:dyDescent="0.25">
      <c r="A4068" s="1033"/>
      <c r="B4068" s="709" t="s">
        <v>48</v>
      </c>
      <c r="C4068" s="827"/>
      <c r="D4068" s="961"/>
      <c r="E4068" s="758"/>
      <c r="F4068" s="714"/>
      <c r="G4068" s="714"/>
      <c r="H4068" s="700">
        <f t="shared" si="451"/>
        <v>0</v>
      </c>
      <c r="I4068" s="714"/>
      <c r="J4068" s="714">
        <f t="shared" si="455"/>
        <v>0</v>
      </c>
      <c r="K4068" s="700">
        <f t="shared" si="452"/>
        <v>0</v>
      </c>
      <c r="L4068" s="714"/>
      <c r="M4068" s="714"/>
      <c r="N4068" s="700">
        <f t="shared" si="456"/>
        <v>0</v>
      </c>
      <c r="O4068" s="974">
        <f t="shared" si="457"/>
        <v>0</v>
      </c>
      <c r="P4068" s="1202"/>
      <c r="Q4068" s="1838"/>
      <c r="R4068" s="1838"/>
      <c r="S4068" s="1838"/>
      <c r="T4068" s="1838"/>
      <c r="U4068" s="1838"/>
      <c r="V4068" s="1838"/>
      <c r="W4068" s="1838"/>
      <c r="X4068" s="1838"/>
      <c r="Y4068" s="1838"/>
      <c r="Z4068" s="1838"/>
      <c r="AA4068" s="1838"/>
      <c r="AB4068" s="1838"/>
      <c r="AC4068" s="1838"/>
      <c r="AD4068" s="1838"/>
      <c r="AE4068" s="1838"/>
      <c r="AF4068" s="1838"/>
      <c r="AG4068" s="1838"/>
      <c r="AH4068" s="1838"/>
      <c r="AI4068" s="1838"/>
      <c r="AJ4068" s="1838"/>
      <c r="AK4068" s="1838"/>
      <c r="AL4068" s="1838"/>
      <c r="AM4068" s="1838"/>
      <c r="AN4068" s="1838"/>
      <c r="AO4068" s="1838"/>
      <c r="AP4068" s="1838"/>
      <c r="AQ4068" s="1838"/>
      <c r="AR4068" s="1838"/>
      <c r="AS4068" s="1838"/>
      <c r="AT4068" s="1838"/>
      <c r="AU4068" s="1838"/>
      <c r="AV4068" s="1838"/>
      <c r="AW4068" s="1838"/>
      <c r="AX4068" s="1838"/>
      <c r="AY4068" s="1838"/>
      <c r="AZ4068" s="1838"/>
      <c r="BA4068" s="1838"/>
      <c r="BB4068" s="1838"/>
      <c r="BC4068" s="1838"/>
      <c r="BD4068" s="1838"/>
      <c r="BE4068" s="1838"/>
      <c r="BF4068" s="1838"/>
      <c r="BG4068" s="1838"/>
      <c r="BH4068" s="1838"/>
      <c r="BI4068" s="1838"/>
      <c r="BJ4068" s="1838"/>
      <c r="BK4068" s="1838"/>
      <c r="BL4068" s="1838"/>
      <c r="BM4068" s="1838"/>
      <c r="BN4068" s="1838"/>
      <c r="BO4068" s="1838"/>
      <c r="BP4068" s="1838"/>
      <c r="BQ4068" s="1838"/>
      <c r="BR4068" s="1838"/>
      <c r="BS4068" s="1838"/>
      <c r="BT4068" s="1838"/>
      <c r="BU4068" s="1838"/>
      <c r="BV4068" s="1838"/>
      <c r="BW4068" s="1838"/>
      <c r="BX4068" s="1838"/>
      <c r="BY4068" s="1838"/>
      <c r="BZ4068" s="1838"/>
      <c r="CA4068" s="1838"/>
      <c r="CB4068" s="1838"/>
      <c r="CC4068" s="1838"/>
      <c r="CD4068" s="1838"/>
      <c r="CE4068" s="1838"/>
      <c r="CF4068" s="1838"/>
      <c r="CG4068" s="1838"/>
      <c r="CH4068" s="1838"/>
      <c r="CI4068" s="1838"/>
      <c r="CJ4068" s="1838"/>
      <c r="CK4068" s="1838"/>
    </row>
    <row r="4069" spans="1:89" s="1204" customFormat="1" ht="16.5" customHeight="1" x14ac:dyDescent="0.25">
      <c r="A4069" s="1033"/>
      <c r="B4069" s="709" t="s">
        <v>395</v>
      </c>
      <c r="C4069" s="827">
        <v>37</v>
      </c>
      <c r="D4069" s="961" t="s">
        <v>51</v>
      </c>
      <c r="E4069" s="758">
        <v>3778.0810000000001</v>
      </c>
      <c r="F4069" s="714"/>
      <c r="G4069" s="714"/>
      <c r="H4069" s="700">
        <f t="shared" si="451"/>
        <v>0</v>
      </c>
      <c r="I4069" s="714"/>
      <c r="J4069" s="714">
        <f t="shared" si="455"/>
        <v>139788.997</v>
      </c>
      <c r="K4069" s="700">
        <f t="shared" si="452"/>
        <v>139788.997</v>
      </c>
      <c r="L4069" s="714"/>
      <c r="M4069" s="714"/>
      <c r="N4069" s="700">
        <f t="shared" si="456"/>
        <v>0</v>
      </c>
      <c r="O4069" s="974">
        <f t="shared" si="457"/>
        <v>139788.997</v>
      </c>
      <c r="P4069" s="1202"/>
      <c r="Q4069" s="1838"/>
      <c r="R4069" s="1838"/>
      <c r="S4069" s="1838"/>
      <c r="T4069" s="1838"/>
      <c r="U4069" s="1838"/>
      <c r="V4069" s="1838"/>
      <c r="W4069" s="1838"/>
      <c r="X4069" s="1838"/>
      <c r="Y4069" s="1838"/>
      <c r="Z4069" s="1838"/>
      <c r="AA4069" s="1838"/>
      <c r="AB4069" s="1838"/>
      <c r="AC4069" s="1838"/>
      <c r="AD4069" s="1838"/>
      <c r="AE4069" s="1838"/>
      <c r="AF4069" s="1838"/>
      <c r="AG4069" s="1838"/>
      <c r="AH4069" s="1838"/>
      <c r="AI4069" s="1838"/>
      <c r="AJ4069" s="1838"/>
      <c r="AK4069" s="1838"/>
      <c r="AL4069" s="1838"/>
      <c r="AM4069" s="1838"/>
      <c r="AN4069" s="1838"/>
      <c r="AO4069" s="1838"/>
      <c r="AP4069" s="1838"/>
      <c r="AQ4069" s="1838"/>
      <c r="AR4069" s="1838"/>
      <c r="AS4069" s="1838"/>
      <c r="AT4069" s="1838"/>
      <c r="AU4069" s="1838"/>
      <c r="AV4069" s="1838"/>
      <c r="AW4069" s="1838"/>
      <c r="AX4069" s="1838"/>
      <c r="AY4069" s="1838"/>
      <c r="AZ4069" s="1838"/>
      <c r="BA4069" s="1838"/>
      <c r="BB4069" s="1838"/>
      <c r="BC4069" s="1838"/>
      <c r="BD4069" s="1838"/>
      <c r="BE4069" s="1838"/>
      <c r="BF4069" s="1838"/>
      <c r="BG4069" s="1838"/>
      <c r="BH4069" s="1838"/>
      <c r="BI4069" s="1838"/>
      <c r="BJ4069" s="1838"/>
      <c r="BK4069" s="1838"/>
      <c r="BL4069" s="1838"/>
      <c r="BM4069" s="1838"/>
      <c r="BN4069" s="1838"/>
      <c r="BO4069" s="1838"/>
      <c r="BP4069" s="1838"/>
      <c r="BQ4069" s="1838"/>
      <c r="BR4069" s="1838"/>
      <c r="BS4069" s="1838"/>
      <c r="BT4069" s="1838"/>
      <c r="BU4069" s="1838"/>
      <c r="BV4069" s="1838"/>
      <c r="BW4069" s="1838"/>
      <c r="BX4069" s="1838"/>
      <c r="BY4069" s="1838"/>
      <c r="BZ4069" s="1838"/>
      <c r="CA4069" s="1838"/>
      <c r="CB4069" s="1838"/>
      <c r="CC4069" s="1838"/>
      <c r="CD4069" s="1838"/>
      <c r="CE4069" s="1838"/>
      <c r="CF4069" s="1838"/>
      <c r="CG4069" s="1838"/>
      <c r="CH4069" s="1838"/>
      <c r="CI4069" s="1838"/>
      <c r="CJ4069" s="1838"/>
      <c r="CK4069" s="1838"/>
    </row>
    <row r="4070" spans="1:89" s="1204" customFormat="1" ht="16.5" customHeight="1" x14ac:dyDescent="0.25">
      <c r="A4070" s="1033"/>
      <c r="B4070" s="709" t="s">
        <v>396</v>
      </c>
      <c r="C4070" s="827">
        <v>113</v>
      </c>
      <c r="D4070" s="961" t="s">
        <v>55</v>
      </c>
      <c r="E4070" s="758">
        <v>406</v>
      </c>
      <c r="F4070" s="714"/>
      <c r="G4070" s="714"/>
      <c r="H4070" s="700">
        <f t="shared" si="451"/>
        <v>0</v>
      </c>
      <c r="I4070" s="714"/>
      <c r="J4070" s="714">
        <f t="shared" si="455"/>
        <v>45878</v>
      </c>
      <c r="K4070" s="700">
        <f t="shared" si="452"/>
        <v>45878</v>
      </c>
      <c r="L4070" s="714"/>
      <c r="M4070" s="714"/>
      <c r="N4070" s="700">
        <f t="shared" si="456"/>
        <v>0</v>
      </c>
      <c r="O4070" s="974">
        <f t="shared" si="457"/>
        <v>45878</v>
      </c>
      <c r="P4070" s="1202"/>
      <c r="Q4070" s="1838"/>
      <c r="R4070" s="1838"/>
      <c r="S4070" s="1838"/>
      <c r="T4070" s="1838"/>
      <c r="U4070" s="1838"/>
      <c r="V4070" s="1838"/>
      <c r="W4070" s="1838"/>
      <c r="X4070" s="1838"/>
      <c r="Y4070" s="1838"/>
      <c r="Z4070" s="1838"/>
      <c r="AA4070" s="1838"/>
      <c r="AB4070" s="1838"/>
      <c r="AC4070" s="1838"/>
      <c r="AD4070" s="1838"/>
      <c r="AE4070" s="1838"/>
      <c r="AF4070" s="1838"/>
      <c r="AG4070" s="1838"/>
      <c r="AH4070" s="1838"/>
      <c r="AI4070" s="1838"/>
      <c r="AJ4070" s="1838"/>
      <c r="AK4070" s="1838"/>
      <c r="AL4070" s="1838"/>
      <c r="AM4070" s="1838"/>
      <c r="AN4070" s="1838"/>
      <c r="AO4070" s="1838"/>
      <c r="AP4070" s="1838"/>
      <c r="AQ4070" s="1838"/>
      <c r="AR4070" s="1838"/>
      <c r="AS4070" s="1838"/>
      <c r="AT4070" s="1838"/>
      <c r="AU4070" s="1838"/>
      <c r="AV4070" s="1838"/>
      <c r="AW4070" s="1838"/>
      <c r="AX4070" s="1838"/>
      <c r="AY4070" s="1838"/>
      <c r="AZ4070" s="1838"/>
      <c r="BA4070" s="1838"/>
      <c r="BB4070" s="1838"/>
      <c r="BC4070" s="1838"/>
      <c r="BD4070" s="1838"/>
      <c r="BE4070" s="1838"/>
      <c r="BF4070" s="1838"/>
      <c r="BG4070" s="1838"/>
      <c r="BH4070" s="1838"/>
      <c r="BI4070" s="1838"/>
      <c r="BJ4070" s="1838"/>
      <c r="BK4070" s="1838"/>
      <c r="BL4070" s="1838"/>
      <c r="BM4070" s="1838"/>
      <c r="BN4070" s="1838"/>
      <c r="BO4070" s="1838"/>
      <c r="BP4070" s="1838"/>
      <c r="BQ4070" s="1838"/>
      <c r="BR4070" s="1838"/>
      <c r="BS4070" s="1838"/>
      <c r="BT4070" s="1838"/>
      <c r="BU4070" s="1838"/>
      <c r="BV4070" s="1838"/>
      <c r="BW4070" s="1838"/>
      <c r="BX4070" s="1838"/>
      <c r="BY4070" s="1838"/>
      <c r="BZ4070" s="1838"/>
      <c r="CA4070" s="1838"/>
      <c r="CB4070" s="1838"/>
      <c r="CC4070" s="1838"/>
      <c r="CD4070" s="1838"/>
      <c r="CE4070" s="1838"/>
      <c r="CF4070" s="1838"/>
      <c r="CG4070" s="1838"/>
      <c r="CH4070" s="1838"/>
      <c r="CI4070" s="1838"/>
      <c r="CJ4070" s="1838"/>
      <c r="CK4070" s="1838"/>
    </row>
    <row r="4071" spans="1:89" s="1204" customFormat="1" ht="16.5" customHeight="1" x14ac:dyDescent="0.25">
      <c r="A4071" s="1033"/>
      <c r="B4071" s="709" t="s">
        <v>397</v>
      </c>
      <c r="C4071" s="827">
        <v>76</v>
      </c>
      <c r="D4071" s="961" t="s">
        <v>55</v>
      </c>
      <c r="E4071" s="758">
        <v>579</v>
      </c>
      <c r="F4071" s="714"/>
      <c r="G4071" s="714"/>
      <c r="H4071" s="700">
        <f>G4071+F4071</f>
        <v>0</v>
      </c>
      <c r="I4071" s="714"/>
      <c r="J4071" s="714">
        <f t="shared" si="455"/>
        <v>44004</v>
      </c>
      <c r="K4071" s="700">
        <f>J4071+I4071</f>
        <v>44004</v>
      </c>
      <c r="L4071" s="714"/>
      <c r="M4071" s="714"/>
      <c r="N4071" s="700">
        <f t="shared" si="456"/>
        <v>0</v>
      </c>
      <c r="O4071" s="974">
        <f t="shared" si="457"/>
        <v>44004</v>
      </c>
      <c r="P4071" s="1202"/>
      <c r="Q4071" s="1838"/>
      <c r="R4071" s="1838"/>
      <c r="S4071" s="1838"/>
      <c r="T4071" s="1838"/>
      <c r="U4071" s="1838"/>
      <c r="V4071" s="1838"/>
      <c r="W4071" s="1838"/>
      <c r="X4071" s="1838"/>
      <c r="Y4071" s="1838"/>
      <c r="Z4071" s="1838"/>
      <c r="AA4071" s="1838"/>
      <c r="AB4071" s="1838"/>
      <c r="AC4071" s="1838"/>
      <c r="AD4071" s="1838"/>
      <c r="AE4071" s="1838"/>
      <c r="AF4071" s="1838"/>
      <c r="AG4071" s="1838"/>
      <c r="AH4071" s="1838"/>
      <c r="AI4071" s="1838"/>
      <c r="AJ4071" s="1838"/>
      <c r="AK4071" s="1838"/>
      <c r="AL4071" s="1838"/>
      <c r="AM4071" s="1838"/>
      <c r="AN4071" s="1838"/>
      <c r="AO4071" s="1838"/>
      <c r="AP4071" s="1838"/>
      <c r="AQ4071" s="1838"/>
      <c r="AR4071" s="1838"/>
      <c r="AS4071" s="1838"/>
      <c r="AT4071" s="1838"/>
      <c r="AU4071" s="1838"/>
      <c r="AV4071" s="1838"/>
      <c r="AW4071" s="1838"/>
      <c r="AX4071" s="1838"/>
      <c r="AY4071" s="1838"/>
      <c r="AZ4071" s="1838"/>
      <c r="BA4071" s="1838"/>
      <c r="BB4071" s="1838"/>
      <c r="BC4071" s="1838"/>
      <c r="BD4071" s="1838"/>
      <c r="BE4071" s="1838"/>
      <c r="BF4071" s="1838"/>
      <c r="BG4071" s="1838"/>
      <c r="BH4071" s="1838"/>
      <c r="BI4071" s="1838"/>
      <c r="BJ4071" s="1838"/>
      <c r="BK4071" s="1838"/>
      <c r="BL4071" s="1838"/>
      <c r="BM4071" s="1838"/>
      <c r="BN4071" s="1838"/>
      <c r="BO4071" s="1838"/>
      <c r="BP4071" s="1838"/>
      <c r="BQ4071" s="1838"/>
      <c r="BR4071" s="1838"/>
      <c r="BS4071" s="1838"/>
      <c r="BT4071" s="1838"/>
      <c r="BU4071" s="1838"/>
      <c r="BV4071" s="1838"/>
      <c r="BW4071" s="1838"/>
      <c r="BX4071" s="1838"/>
      <c r="BY4071" s="1838"/>
      <c r="BZ4071" s="1838"/>
      <c r="CA4071" s="1838"/>
      <c r="CB4071" s="1838"/>
      <c r="CC4071" s="1838"/>
      <c r="CD4071" s="1838"/>
      <c r="CE4071" s="1838"/>
      <c r="CF4071" s="1838"/>
      <c r="CG4071" s="1838"/>
      <c r="CH4071" s="1838"/>
      <c r="CI4071" s="1838"/>
      <c r="CJ4071" s="1838"/>
      <c r="CK4071" s="1838"/>
    </row>
    <row r="4072" spans="1:89" s="1204" customFormat="1" ht="16.5" customHeight="1" x14ac:dyDescent="0.25">
      <c r="A4072" s="1033"/>
      <c r="B4072" s="709" t="s">
        <v>399</v>
      </c>
      <c r="C4072" s="827">
        <v>37</v>
      </c>
      <c r="D4072" s="961" t="s">
        <v>207</v>
      </c>
      <c r="E4072" s="758">
        <v>80</v>
      </c>
      <c r="F4072" s="714"/>
      <c r="G4072" s="714"/>
      <c r="H4072" s="700">
        <f>G4072+F4072</f>
        <v>0</v>
      </c>
      <c r="I4072" s="714"/>
      <c r="J4072" s="714">
        <f t="shared" si="455"/>
        <v>2960</v>
      </c>
      <c r="K4072" s="700">
        <f>J4072+I4072</f>
        <v>2960</v>
      </c>
      <c r="L4072" s="714"/>
      <c r="M4072" s="714"/>
      <c r="N4072" s="700">
        <f t="shared" si="456"/>
        <v>0</v>
      </c>
      <c r="O4072" s="974">
        <f t="shared" si="457"/>
        <v>2960</v>
      </c>
      <c r="P4072" s="1202"/>
      <c r="Q4072" s="1838"/>
      <c r="R4072" s="1838"/>
      <c r="S4072" s="1838"/>
      <c r="T4072" s="1838"/>
      <c r="U4072" s="1838"/>
      <c r="V4072" s="1838"/>
      <c r="W4072" s="1838"/>
      <c r="X4072" s="1838"/>
      <c r="Y4072" s="1838"/>
      <c r="Z4072" s="1838"/>
      <c r="AA4072" s="1838"/>
      <c r="AB4072" s="1838"/>
      <c r="AC4072" s="1838"/>
      <c r="AD4072" s="1838"/>
      <c r="AE4072" s="1838"/>
      <c r="AF4072" s="1838"/>
      <c r="AG4072" s="1838"/>
      <c r="AH4072" s="1838"/>
      <c r="AI4072" s="1838"/>
      <c r="AJ4072" s="1838"/>
      <c r="AK4072" s="1838"/>
      <c r="AL4072" s="1838"/>
      <c r="AM4072" s="1838"/>
      <c r="AN4072" s="1838"/>
      <c r="AO4072" s="1838"/>
      <c r="AP4072" s="1838"/>
      <c r="AQ4072" s="1838"/>
      <c r="AR4072" s="1838"/>
      <c r="AS4072" s="1838"/>
      <c r="AT4072" s="1838"/>
      <c r="AU4072" s="1838"/>
      <c r="AV4072" s="1838"/>
      <c r="AW4072" s="1838"/>
      <c r="AX4072" s="1838"/>
      <c r="AY4072" s="1838"/>
      <c r="AZ4072" s="1838"/>
      <c r="BA4072" s="1838"/>
      <c r="BB4072" s="1838"/>
      <c r="BC4072" s="1838"/>
      <c r="BD4072" s="1838"/>
      <c r="BE4072" s="1838"/>
      <c r="BF4072" s="1838"/>
      <c r="BG4072" s="1838"/>
      <c r="BH4072" s="1838"/>
      <c r="BI4072" s="1838"/>
      <c r="BJ4072" s="1838"/>
      <c r="BK4072" s="1838"/>
      <c r="BL4072" s="1838"/>
      <c r="BM4072" s="1838"/>
      <c r="BN4072" s="1838"/>
      <c r="BO4072" s="1838"/>
      <c r="BP4072" s="1838"/>
      <c r="BQ4072" s="1838"/>
      <c r="BR4072" s="1838"/>
      <c r="BS4072" s="1838"/>
      <c r="BT4072" s="1838"/>
      <c r="BU4072" s="1838"/>
      <c r="BV4072" s="1838"/>
      <c r="BW4072" s="1838"/>
      <c r="BX4072" s="1838"/>
      <c r="BY4072" s="1838"/>
      <c r="BZ4072" s="1838"/>
      <c r="CA4072" s="1838"/>
      <c r="CB4072" s="1838"/>
      <c r="CC4072" s="1838"/>
      <c r="CD4072" s="1838"/>
      <c r="CE4072" s="1838"/>
      <c r="CF4072" s="1838"/>
      <c r="CG4072" s="1838"/>
      <c r="CH4072" s="1838"/>
      <c r="CI4072" s="1838"/>
      <c r="CJ4072" s="1838"/>
      <c r="CK4072" s="1838"/>
    </row>
    <row r="4073" spans="1:89" s="1204" customFormat="1" ht="16.5" customHeight="1" x14ac:dyDescent="0.25">
      <c r="A4073" s="1033"/>
      <c r="B4073" s="709" t="s">
        <v>400</v>
      </c>
      <c r="C4073" s="827">
        <v>316</v>
      </c>
      <c r="D4073" s="961" t="s">
        <v>207</v>
      </c>
      <c r="E4073" s="758">
        <v>156</v>
      </c>
      <c r="F4073" s="714"/>
      <c r="G4073" s="714"/>
      <c r="H4073" s="700">
        <f t="shared" si="451"/>
        <v>0</v>
      </c>
      <c r="I4073" s="714"/>
      <c r="J4073" s="714">
        <f t="shared" si="455"/>
        <v>49296</v>
      </c>
      <c r="K4073" s="700">
        <f t="shared" si="452"/>
        <v>49296</v>
      </c>
      <c r="L4073" s="714"/>
      <c r="M4073" s="714"/>
      <c r="N4073" s="700">
        <f t="shared" si="456"/>
        <v>0</v>
      </c>
      <c r="O4073" s="974">
        <f t="shared" si="457"/>
        <v>49296</v>
      </c>
      <c r="P4073" s="1202"/>
      <c r="Q4073" s="1838"/>
      <c r="R4073" s="1838"/>
      <c r="S4073" s="1838"/>
      <c r="T4073" s="1838"/>
      <c r="U4073" s="1838"/>
      <c r="V4073" s="1838"/>
      <c r="W4073" s="1838"/>
      <c r="X4073" s="1838"/>
      <c r="Y4073" s="1838"/>
      <c r="Z4073" s="1838"/>
      <c r="AA4073" s="1838"/>
      <c r="AB4073" s="1838"/>
      <c r="AC4073" s="1838"/>
      <c r="AD4073" s="1838"/>
      <c r="AE4073" s="1838"/>
      <c r="AF4073" s="1838"/>
      <c r="AG4073" s="1838"/>
      <c r="AH4073" s="1838"/>
      <c r="AI4073" s="1838"/>
      <c r="AJ4073" s="1838"/>
      <c r="AK4073" s="1838"/>
      <c r="AL4073" s="1838"/>
      <c r="AM4073" s="1838"/>
      <c r="AN4073" s="1838"/>
      <c r="AO4073" s="1838"/>
      <c r="AP4073" s="1838"/>
      <c r="AQ4073" s="1838"/>
      <c r="AR4073" s="1838"/>
      <c r="AS4073" s="1838"/>
      <c r="AT4073" s="1838"/>
      <c r="AU4073" s="1838"/>
      <c r="AV4073" s="1838"/>
      <c r="AW4073" s="1838"/>
      <c r="AX4073" s="1838"/>
      <c r="AY4073" s="1838"/>
      <c r="AZ4073" s="1838"/>
      <c r="BA4073" s="1838"/>
      <c r="BB4073" s="1838"/>
      <c r="BC4073" s="1838"/>
      <c r="BD4073" s="1838"/>
      <c r="BE4073" s="1838"/>
      <c r="BF4073" s="1838"/>
      <c r="BG4073" s="1838"/>
      <c r="BH4073" s="1838"/>
      <c r="BI4073" s="1838"/>
      <c r="BJ4073" s="1838"/>
      <c r="BK4073" s="1838"/>
      <c r="BL4073" s="1838"/>
      <c r="BM4073" s="1838"/>
      <c r="BN4073" s="1838"/>
      <c r="BO4073" s="1838"/>
      <c r="BP4073" s="1838"/>
      <c r="BQ4073" s="1838"/>
      <c r="BR4073" s="1838"/>
      <c r="BS4073" s="1838"/>
      <c r="BT4073" s="1838"/>
      <c r="BU4073" s="1838"/>
      <c r="BV4073" s="1838"/>
      <c r="BW4073" s="1838"/>
      <c r="BX4073" s="1838"/>
      <c r="BY4073" s="1838"/>
      <c r="BZ4073" s="1838"/>
      <c r="CA4073" s="1838"/>
      <c r="CB4073" s="1838"/>
      <c r="CC4073" s="1838"/>
      <c r="CD4073" s="1838"/>
      <c r="CE4073" s="1838"/>
      <c r="CF4073" s="1838"/>
      <c r="CG4073" s="1838"/>
      <c r="CH4073" s="1838"/>
      <c r="CI4073" s="1838"/>
      <c r="CJ4073" s="1838"/>
      <c r="CK4073" s="1838"/>
    </row>
    <row r="4074" spans="1:89" s="744" customFormat="1" ht="16.5" customHeight="1" x14ac:dyDescent="0.25">
      <c r="A4074" s="1033"/>
      <c r="B4074" s="709"/>
      <c r="C4074" s="827"/>
      <c r="D4074" s="961"/>
      <c r="E4074" s="758"/>
      <c r="F4074" s="714"/>
      <c r="G4074" s="714"/>
      <c r="H4074" s="700">
        <f t="shared" si="451"/>
        <v>0</v>
      </c>
      <c r="I4074" s="714"/>
      <c r="J4074" s="714">
        <f t="shared" si="455"/>
        <v>0</v>
      </c>
      <c r="K4074" s="700">
        <f t="shared" si="452"/>
        <v>0</v>
      </c>
      <c r="L4074" s="714"/>
      <c r="M4074" s="714"/>
      <c r="N4074" s="700">
        <f t="shared" si="456"/>
        <v>0</v>
      </c>
      <c r="O4074" s="974">
        <f t="shared" si="457"/>
        <v>0</v>
      </c>
      <c r="P4074" s="956"/>
      <c r="Q4074" s="1821"/>
      <c r="R4074" s="1821"/>
      <c r="S4074" s="1821"/>
      <c r="T4074" s="1821"/>
      <c r="U4074" s="1821"/>
      <c r="V4074" s="1821"/>
      <c r="W4074" s="1821"/>
      <c r="X4074" s="1821"/>
      <c r="Y4074" s="1821"/>
      <c r="Z4074" s="1821"/>
      <c r="AA4074" s="1821"/>
      <c r="AB4074" s="1821"/>
      <c r="AC4074" s="1821"/>
      <c r="AD4074" s="1821"/>
      <c r="AE4074" s="1821"/>
      <c r="AF4074" s="1821"/>
      <c r="AG4074" s="1821"/>
      <c r="AH4074" s="1821"/>
      <c r="AI4074" s="1821"/>
      <c r="AJ4074" s="1821"/>
      <c r="AK4074" s="1821"/>
      <c r="AL4074" s="1821"/>
      <c r="AM4074" s="1821"/>
      <c r="AN4074" s="1821"/>
      <c r="AO4074" s="1821"/>
      <c r="AP4074" s="1821"/>
      <c r="AQ4074" s="1821"/>
      <c r="AR4074" s="1821"/>
      <c r="AS4074" s="1821"/>
      <c r="AT4074" s="1821"/>
      <c r="AU4074" s="1821"/>
      <c r="AV4074" s="1821"/>
      <c r="AW4074" s="1821"/>
      <c r="AX4074" s="1821"/>
      <c r="AY4074" s="1821"/>
      <c r="AZ4074" s="1821"/>
      <c r="BA4074" s="1821"/>
      <c r="BB4074" s="1821"/>
      <c r="BC4074" s="1821"/>
      <c r="BD4074" s="1821"/>
      <c r="BE4074" s="1821"/>
      <c r="BF4074" s="1821"/>
      <c r="BG4074" s="1821"/>
      <c r="BH4074" s="1821"/>
      <c r="BI4074" s="1821"/>
      <c r="BJ4074" s="1821"/>
      <c r="BK4074" s="1821"/>
      <c r="BL4074" s="1821"/>
      <c r="BM4074" s="1821"/>
      <c r="BN4074" s="1821"/>
      <c r="BO4074" s="1821"/>
      <c r="BP4074" s="1821"/>
      <c r="BQ4074" s="1821"/>
      <c r="BR4074" s="1821"/>
      <c r="BS4074" s="1821"/>
      <c r="BT4074" s="1821"/>
      <c r="BU4074" s="1821"/>
      <c r="BV4074" s="1821"/>
      <c r="BW4074" s="1821"/>
      <c r="BX4074" s="1821"/>
      <c r="BY4074" s="1821"/>
      <c r="BZ4074" s="1821"/>
      <c r="CA4074" s="1821"/>
      <c r="CB4074" s="1821"/>
      <c r="CC4074" s="1821"/>
      <c r="CD4074" s="1821"/>
      <c r="CE4074" s="1821"/>
      <c r="CF4074" s="1821"/>
      <c r="CG4074" s="1821"/>
      <c r="CH4074" s="1821"/>
      <c r="CI4074" s="1821"/>
      <c r="CJ4074" s="1821"/>
      <c r="CK4074" s="1821"/>
    </row>
    <row r="4075" spans="1:89" s="744" customFormat="1" ht="16.5" customHeight="1" x14ac:dyDescent="0.25">
      <c r="A4075" s="1033" t="s">
        <v>280</v>
      </c>
      <c r="B4075" s="709" t="s">
        <v>401</v>
      </c>
      <c r="C4075" s="827">
        <f>SUM(K4077:K4085)</f>
        <v>259322</v>
      </c>
      <c r="D4075" s="961"/>
      <c r="E4075" s="758"/>
      <c r="F4075" s="714"/>
      <c r="G4075" s="714"/>
      <c r="H4075" s="700">
        <f t="shared" si="451"/>
        <v>0</v>
      </c>
      <c r="I4075" s="714"/>
      <c r="J4075" s="714">
        <f t="shared" si="455"/>
        <v>0</v>
      </c>
      <c r="K4075" s="700">
        <f t="shared" si="452"/>
        <v>0</v>
      </c>
      <c r="L4075" s="714"/>
      <c r="M4075" s="714"/>
      <c r="N4075" s="700">
        <f t="shared" si="456"/>
        <v>0</v>
      </c>
      <c r="O4075" s="974">
        <f t="shared" si="457"/>
        <v>0</v>
      </c>
      <c r="P4075" s="956"/>
      <c r="Q4075" s="1821"/>
      <c r="R4075" s="1821"/>
      <c r="S4075" s="1821"/>
      <c r="T4075" s="1821"/>
      <c r="U4075" s="1821"/>
      <c r="V4075" s="1821"/>
      <c r="W4075" s="1821"/>
      <c r="X4075" s="1821"/>
      <c r="Y4075" s="1821"/>
      <c r="Z4075" s="1821"/>
      <c r="AA4075" s="1821"/>
      <c r="AB4075" s="1821"/>
      <c r="AC4075" s="1821"/>
      <c r="AD4075" s="1821"/>
      <c r="AE4075" s="1821"/>
      <c r="AF4075" s="1821"/>
      <c r="AG4075" s="1821"/>
      <c r="AH4075" s="1821"/>
      <c r="AI4075" s="1821"/>
      <c r="AJ4075" s="1821"/>
      <c r="AK4075" s="1821"/>
      <c r="AL4075" s="1821"/>
      <c r="AM4075" s="1821"/>
      <c r="AN4075" s="1821"/>
      <c r="AO4075" s="1821"/>
      <c r="AP4075" s="1821"/>
      <c r="AQ4075" s="1821"/>
      <c r="AR4075" s="1821"/>
      <c r="AS4075" s="1821"/>
      <c r="AT4075" s="1821"/>
      <c r="AU4075" s="1821"/>
      <c r="AV4075" s="1821"/>
      <c r="AW4075" s="1821"/>
      <c r="AX4075" s="1821"/>
      <c r="AY4075" s="1821"/>
      <c r="AZ4075" s="1821"/>
      <c r="BA4075" s="1821"/>
      <c r="BB4075" s="1821"/>
      <c r="BC4075" s="1821"/>
      <c r="BD4075" s="1821"/>
      <c r="BE4075" s="1821"/>
      <c r="BF4075" s="1821"/>
      <c r="BG4075" s="1821"/>
      <c r="BH4075" s="1821"/>
      <c r="BI4075" s="1821"/>
      <c r="BJ4075" s="1821"/>
      <c r="BK4075" s="1821"/>
      <c r="BL4075" s="1821"/>
      <c r="BM4075" s="1821"/>
      <c r="BN4075" s="1821"/>
      <c r="BO4075" s="1821"/>
      <c r="BP4075" s="1821"/>
      <c r="BQ4075" s="1821"/>
      <c r="BR4075" s="1821"/>
      <c r="BS4075" s="1821"/>
      <c r="BT4075" s="1821"/>
      <c r="BU4075" s="1821"/>
      <c r="BV4075" s="1821"/>
      <c r="BW4075" s="1821"/>
      <c r="BX4075" s="1821"/>
      <c r="BY4075" s="1821"/>
      <c r="BZ4075" s="1821"/>
      <c r="CA4075" s="1821"/>
      <c r="CB4075" s="1821"/>
      <c r="CC4075" s="1821"/>
      <c r="CD4075" s="1821"/>
      <c r="CE4075" s="1821"/>
      <c r="CF4075" s="1821"/>
      <c r="CG4075" s="1821"/>
      <c r="CH4075" s="1821"/>
      <c r="CI4075" s="1821"/>
      <c r="CJ4075" s="1821"/>
      <c r="CK4075" s="1821"/>
    </row>
    <row r="4076" spans="1:89" s="744" customFormat="1" ht="16.5" customHeight="1" x14ac:dyDescent="0.25">
      <c r="A4076" s="1033"/>
      <c r="B4076" s="709" t="s">
        <v>402</v>
      </c>
      <c r="C4076" s="827"/>
      <c r="D4076" s="961"/>
      <c r="E4076" s="758"/>
      <c r="F4076" s="714"/>
      <c r="G4076" s="714"/>
      <c r="H4076" s="700">
        <f>G4076+F4076</f>
        <v>0</v>
      </c>
      <c r="I4076" s="714"/>
      <c r="J4076" s="714"/>
      <c r="K4076" s="700">
        <f>J4076+I4076</f>
        <v>0</v>
      </c>
      <c r="L4076" s="714"/>
      <c r="M4076" s="714"/>
      <c r="N4076" s="700">
        <f t="shared" si="456"/>
        <v>0</v>
      </c>
      <c r="O4076" s="974">
        <f t="shared" si="457"/>
        <v>0</v>
      </c>
      <c r="P4076" s="956"/>
      <c r="Q4076" s="1821"/>
      <c r="R4076" s="1821"/>
      <c r="S4076" s="1821"/>
      <c r="T4076" s="1821"/>
      <c r="U4076" s="1821"/>
      <c r="V4076" s="1821"/>
      <c r="W4076" s="1821"/>
      <c r="X4076" s="1821"/>
      <c r="Y4076" s="1821"/>
      <c r="Z4076" s="1821"/>
      <c r="AA4076" s="1821"/>
      <c r="AB4076" s="1821"/>
      <c r="AC4076" s="1821"/>
      <c r="AD4076" s="1821"/>
      <c r="AE4076" s="1821"/>
      <c r="AF4076" s="1821"/>
      <c r="AG4076" s="1821"/>
      <c r="AH4076" s="1821"/>
      <c r="AI4076" s="1821"/>
      <c r="AJ4076" s="1821"/>
      <c r="AK4076" s="1821"/>
      <c r="AL4076" s="1821"/>
      <c r="AM4076" s="1821"/>
      <c r="AN4076" s="1821"/>
      <c r="AO4076" s="1821"/>
      <c r="AP4076" s="1821"/>
      <c r="AQ4076" s="1821"/>
      <c r="AR4076" s="1821"/>
      <c r="AS4076" s="1821"/>
      <c r="AT4076" s="1821"/>
      <c r="AU4076" s="1821"/>
      <c r="AV4076" s="1821"/>
      <c r="AW4076" s="1821"/>
      <c r="AX4076" s="1821"/>
      <c r="AY4076" s="1821"/>
      <c r="AZ4076" s="1821"/>
      <c r="BA4076" s="1821"/>
      <c r="BB4076" s="1821"/>
      <c r="BC4076" s="1821"/>
      <c r="BD4076" s="1821"/>
      <c r="BE4076" s="1821"/>
      <c r="BF4076" s="1821"/>
      <c r="BG4076" s="1821"/>
      <c r="BH4076" s="1821"/>
      <c r="BI4076" s="1821"/>
      <c r="BJ4076" s="1821"/>
      <c r="BK4076" s="1821"/>
      <c r="BL4076" s="1821"/>
      <c r="BM4076" s="1821"/>
      <c r="BN4076" s="1821"/>
      <c r="BO4076" s="1821"/>
      <c r="BP4076" s="1821"/>
      <c r="BQ4076" s="1821"/>
      <c r="BR4076" s="1821"/>
      <c r="BS4076" s="1821"/>
      <c r="BT4076" s="1821"/>
      <c r="BU4076" s="1821"/>
      <c r="BV4076" s="1821"/>
      <c r="BW4076" s="1821"/>
      <c r="BX4076" s="1821"/>
      <c r="BY4076" s="1821"/>
      <c r="BZ4076" s="1821"/>
      <c r="CA4076" s="1821"/>
      <c r="CB4076" s="1821"/>
      <c r="CC4076" s="1821"/>
      <c r="CD4076" s="1821"/>
      <c r="CE4076" s="1821"/>
      <c r="CF4076" s="1821"/>
      <c r="CG4076" s="1821"/>
      <c r="CH4076" s="1821"/>
      <c r="CI4076" s="1821"/>
      <c r="CJ4076" s="1821"/>
      <c r="CK4076" s="1821"/>
    </row>
    <row r="4077" spans="1:89" s="744" customFormat="1" ht="16.5" customHeight="1" x14ac:dyDescent="0.25">
      <c r="A4077" s="1033"/>
      <c r="B4077" s="709" t="s">
        <v>403</v>
      </c>
      <c r="C4077" s="827">
        <v>400</v>
      </c>
      <c r="D4077" s="961" t="s">
        <v>207</v>
      </c>
      <c r="E4077" s="758">
        <v>400</v>
      </c>
      <c r="F4077" s="714"/>
      <c r="G4077" s="714"/>
      <c r="H4077" s="700">
        <f>G4077+F4077</f>
        <v>0</v>
      </c>
      <c r="I4077" s="714"/>
      <c r="J4077" s="714">
        <f>C4077*E4077</f>
        <v>160000</v>
      </c>
      <c r="K4077" s="700">
        <f>J4077+I4077</f>
        <v>160000</v>
      </c>
      <c r="L4077" s="714"/>
      <c r="M4077" s="714"/>
      <c r="N4077" s="700">
        <f t="shared" si="456"/>
        <v>0</v>
      </c>
      <c r="O4077" s="974">
        <f t="shared" si="457"/>
        <v>160000</v>
      </c>
      <c r="P4077" s="956"/>
      <c r="Q4077" s="1821"/>
      <c r="R4077" s="1821"/>
      <c r="S4077" s="1821"/>
      <c r="T4077" s="1821"/>
      <c r="U4077" s="1821"/>
      <c r="V4077" s="1821"/>
      <c r="W4077" s="1821"/>
      <c r="X4077" s="1821"/>
      <c r="Y4077" s="1821"/>
      <c r="Z4077" s="1821"/>
      <c r="AA4077" s="1821"/>
      <c r="AB4077" s="1821"/>
      <c r="AC4077" s="1821"/>
      <c r="AD4077" s="1821"/>
      <c r="AE4077" s="1821"/>
      <c r="AF4077" s="1821"/>
      <c r="AG4077" s="1821"/>
      <c r="AH4077" s="1821"/>
      <c r="AI4077" s="1821"/>
      <c r="AJ4077" s="1821"/>
      <c r="AK4077" s="1821"/>
      <c r="AL4077" s="1821"/>
      <c r="AM4077" s="1821"/>
      <c r="AN4077" s="1821"/>
      <c r="AO4077" s="1821"/>
      <c r="AP4077" s="1821"/>
      <c r="AQ4077" s="1821"/>
      <c r="AR4077" s="1821"/>
      <c r="AS4077" s="1821"/>
      <c r="AT4077" s="1821"/>
      <c r="AU4077" s="1821"/>
      <c r="AV4077" s="1821"/>
      <c r="AW4077" s="1821"/>
      <c r="AX4077" s="1821"/>
      <c r="AY4077" s="1821"/>
      <c r="AZ4077" s="1821"/>
      <c r="BA4077" s="1821"/>
      <c r="BB4077" s="1821"/>
      <c r="BC4077" s="1821"/>
      <c r="BD4077" s="1821"/>
      <c r="BE4077" s="1821"/>
      <c r="BF4077" s="1821"/>
      <c r="BG4077" s="1821"/>
      <c r="BH4077" s="1821"/>
      <c r="BI4077" s="1821"/>
      <c r="BJ4077" s="1821"/>
      <c r="BK4077" s="1821"/>
      <c r="BL4077" s="1821"/>
      <c r="BM4077" s="1821"/>
      <c r="BN4077" s="1821"/>
      <c r="BO4077" s="1821"/>
      <c r="BP4077" s="1821"/>
      <c r="BQ4077" s="1821"/>
      <c r="BR4077" s="1821"/>
      <c r="BS4077" s="1821"/>
      <c r="BT4077" s="1821"/>
      <c r="BU4077" s="1821"/>
      <c r="BV4077" s="1821"/>
      <c r="BW4077" s="1821"/>
      <c r="BX4077" s="1821"/>
      <c r="BY4077" s="1821"/>
      <c r="BZ4077" s="1821"/>
      <c r="CA4077" s="1821"/>
      <c r="CB4077" s="1821"/>
      <c r="CC4077" s="1821"/>
      <c r="CD4077" s="1821"/>
      <c r="CE4077" s="1821"/>
      <c r="CF4077" s="1821"/>
      <c r="CG4077" s="1821"/>
      <c r="CH4077" s="1821"/>
      <c r="CI4077" s="1821"/>
      <c r="CJ4077" s="1821"/>
      <c r="CK4077" s="1821"/>
    </row>
    <row r="4078" spans="1:89" s="744" customFormat="1" ht="16.5" customHeight="1" x14ac:dyDescent="0.25">
      <c r="A4078" s="1033"/>
      <c r="B4078" s="709" t="s">
        <v>402</v>
      </c>
      <c r="C4078" s="827"/>
      <c r="D4078" s="961"/>
      <c r="E4078" s="758"/>
      <c r="F4078" s="714"/>
      <c r="G4078" s="714"/>
      <c r="H4078" s="700">
        <f t="shared" si="451"/>
        <v>0</v>
      </c>
      <c r="I4078" s="714"/>
      <c r="J4078" s="714"/>
      <c r="K4078" s="700">
        <f t="shared" si="452"/>
        <v>0</v>
      </c>
      <c r="L4078" s="714"/>
      <c r="M4078" s="714"/>
      <c r="N4078" s="700">
        <f t="shared" si="456"/>
        <v>0</v>
      </c>
      <c r="O4078" s="974">
        <f t="shared" si="457"/>
        <v>0</v>
      </c>
      <c r="P4078" s="956"/>
      <c r="Q4078" s="1821"/>
      <c r="R4078" s="1821"/>
      <c r="S4078" s="1821"/>
      <c r="T4078" s="1821"/>
      <c r="U4078" s="1821"/>
      <c r="V4078" s="1821"/>
      <c r="W4078" s="1821"/>
      <c r="X4078" s="1821"/>
      <c r="Y4078" s="1821"/>
      <c r="Z4078" s="1821"/>
      <c r="AA4078" s="1821"/>
      <c r="AB4078" s="1821"/>
      <c r="AC4078" s="1821"/>
      <c r="AD4078" s="1821"/>
      <c r="AE4078" s="1821"/>
      <c r="AF4078" s="1821"/>
      <c r="AG4078" s="1821"/>
      <c r="AH4078" s="1821"/>
      <c r="AI4078" s="1821"/>
      <c r="AJ4078" s="1821"/>
      <c r="AK4078" s="1821"/>
      <c r="AL4078" s="1821"/>
      <c r="AM4078" s="1821"/>
      <c r="AN4078" s="1821"/>
      <c r="AO4078" s="1821"/>
      <c r="AP4078" s="1821"/>
      <c r="AQ4078" s="1821"/>
      <c r="AR4078" s="1821"/>
      <c r="AS4078" s="1821"/>
      <c r="AT4078" s="1821"/>
      <c r="AU4078" s="1821"/>
      <c r="AV4078" s="1821"/>
      <c r="AW4078" s="1821"/>
      <c r="AX4078" s="1821"/>
      <c r="AY4078" s="1821"/>
      <c r="AZ4078" s="1821"/>
      <c r="BA4078" s="1821"/>
      <c r="BB4078" s="1821"/>
      <c r="BC4078" s="1821"/>
      <c r="BD4078" s="1821"/>
      <c r="BE4078" s="1821"/>
      <c r="BF4078" s="1821"/>
      <c r="BG4078" s="1821"/>
      <c r="BH4078" s="1821"/>
      <c r="BI4078" s="1821"/>
      <c r="BJ4078" s="1821"/>
      <c r="BK4078" s="1821"/>
      <c r="BL4078" s="1821"/>
      <c r="BM4078" s="1821"/>
      <c r="BN4078" s="1821"/>
      <c r="BO4078" s="1821"/>
      <c r="BP4078" s="1821"/>
      <c r="BQ4078" s="1821"/>
      <c r="BR4078" s="1821"/>
      <c r="BS4078" s="1821"/>
      <c r="BT4078" s="1821"/>
      <c r="BU4078" s="1821"/>
      <c r="BV4078" s="1821"/>
      <c r="BW4078" s="1821"/>
      <c r="BX4078" s="1821"/>
      <c r="BY4078" s="1821"/>
      <c r="BZ4078" s="1821"/>
      <c r="CA4078" s="1821"/>
      <c r="CB4078" s="1821"/>
      <c r="CC4078" s="1821"/>
      <c r="CD4078" s="1821"/>
      <c r="CE4078" s="1821"/>
      <c r="CF4078" s="1821"/>
      <c r="CG4078" s="1821"/>
      <c r="CH4078" s="1821"/>
      <c r="CI4078" s="1821"/>
      <c r="CJ4078" s="1821"/>
      <c r="CK4078" s="1821"/>
    </row>
    <row r="4079" spans="1:89" s="744" customFormat="1" ht="16.5" customHeight="1" x14ac:dyDescent="0.25">
      <c r="A4079" s="1033"/>
      <c r="B4079" s="709" t="s">
        <v>404</v>
      </c>
      <c r="C4079" s="827">
        <v>1</v>
      </c>
      <c r="D4079" s="961" t="s">
        <v>25</v>
      </c>
      <c r="E4079" s="758">
        <v>44388</v>
      </c>
      <c r="F4079" s="714"/>
      <c r="G4079" s="714"/>
      <c r="H4079" s="700">
        <f t="shared" si="451"/>
        <v>0</v>
      </c>
      <c r="I4079" s="714"/>
      <c r="J4079" s="714">
        <f t="shared" ref="J4079:J4084" si="458">C4079*E4079</f>
        <v>44388</v>
      </c>
      <c r="K4079" s="700">
        <f t="shared" si="452"/>
        <v>44388</v>
      </c>
      <c r="L4079" s="714"/>
      <c r="M4079" s="714"/>
      <c r="N4079" s="700">
        <f t="shared" si="456"/>
        <v>0</v>
      </c>
      <c r="O4079" s="974">
        <f t="shared" si="457"/>
        <v>44388</v>
      </c>
      <c r="P4079" s="956"/>
      <c r="Q4079" s="1821"/>
      <c r="R4079" s="1821"/>
      <c r="S4079" s="1821"/>
      <c r="T4079" s="1821"/>
      <c r="U4079" s="1821"/>
      <c r="V4079" s="1821"/>
      <c r="W4079" s="1821"/>
      <c r="X4079" s="1821"/>
      <c r="Y4079" s="1821"/>
      <c r="Z4079" s="1821"/>
      <c r="AA4079" s="1821"/>
      <c r="AB4079" s="1821"/>
      <c r="AC4079" s="1821"/>
      <c r="AD4079" s="1821"/>
      <c r="AE4079" s="1821"/>
      <c r="AF4079" s="1821"/>
      <c r="AG4079" s="1821"/>
      <c r="AH4079" s="1821"/>
      <c r="AI4079" s="1821"/>
      <c r="AJ4079" s="1821"/>
      <c r="AK4079" s="1821"/>
      <c r="AL4079" s="1821"/>
      <c r="AM4079" s="1821"/>
      <c r="AN4079" s="1821"/>
      <c r="AO4079" s="1821"/>
      <c r="AP4079" s="1821"/>
      <c r="AQ4079" s="1821"/>
      <c r="AR4079" s="1821"/>
      <c r="AS4079" s="1821"/>
      <c r="AT4079" s="1821"/>
      <c r="AU4079" s="1821"/>
      <c r="AV4079" s="1821"/>
      <c r="AW4079" s="1821"/>
      <c r="AX4079" s="1821"/>
      <c r="AY4079" s="1821"/>
      <c r="AZ4079" s="1821"/>
      <c r="BA4079" s="1821"/>
      <c r="BB4079" s="1821"/>
      <c r="BC4079" s="1821"/>
      <c r="BD4079" s="1821"/>
      <c r="BE4079" s="1821"/>
      <c r="BF4079" s="1821"/>
      <c r="BG4079" s="1821"/>
      <c r="BH4079" s="1821"/>
      <c r="BI4079" s="1821"/>
      <c r="BJ4079" s="1821"/>
      <c r="BK4079" s="1821"/>
      <c r="BL4079" s="1821"/>
      <c r="BM4079" s="1821"/>
      <c r="BN4079" s="1821"/>
      <c r="BO4079" s="1821"/>
      <c r="BP4079" s="1821"/>
      <c r="BQ4079" s="1821"/>
      <c r="BR4079" s="1821"/>
      <c r="BS4079" s="1821"/>
      <c r="BT4079" s="1821"/>
      <c r="BU4079" s="1821"/>
      <c r="BV4079" s="1821"/>
      <c r="BW4079" s="1821"/>
      <c r="BX4079" s="1821"/>
      <c r="BY4079" s="1821"/>
      <c r="BZ4079" s="1821"/>
      <c r="CA4079" s="1821"/>
      <c r="CB4079" s="1821"/>
      <c r="CC4079" s="1821"/>
      <c r="CD4079" s="1821"/>
      <c r="CE4079" s="1821"/>
      <c r="CF4079" s="1821"/>
      <c r="CG4079" s="1821"/>
      <c r="CH4079" s="1821"/>
      <c r="CI4079" s="1821"/>
      <c r="CJ4079" s="1821"/>
      <c r="CK4079" s="1821"/>
    </row>
    <row r="4080" spans="1:89" s="744" customFormat="1" ht="16.5" customHeight="1" x14ac:dyDescent="0.25">
      <c r="A4080" s="1033"/>
      <c r="B4080" s="709" t="s">
        <v>224</v>
      </c>
      <c r="C4080" s="827"/>
      <c r="D4080" s="961"/>
      <c r="E4080" s="758"/>
      <c r="F4080" s="714"/>
      <c r="G4080" s="714"/>
      <c r="H4080" s="700">
        <f>G4080+F4080</f>
        <v>0</v>
      </c>
      <c r="I4080" s="714"/>
      <c r="J4080" s="714">
        <f t="shared" si="458"/>
        <v>0</v>
      </c>
      <c r="K4080" s="700">
        <f>J4080+I4080</f>
        <v>0</v>
      </c>
      <c r="L4080" s="714"/>
      <c r="M4080" s="714"/>
      <c r="N4080" s="700">
        <f t="shared" si="456"/>
        <v>0</v>
      </c>
      <c r="O4080" s="974">
        <f t="shared" si="457"/>
        <v>0</v>
      </c>
      <c r="P4080" s="956"/>
      <c r="Q4080" s="1821"/>
      <c r="R4080" s="1821"/>
      <c r="S4080" s="1821"/>
      <c r="T4080" s="1821"/>
      <c r="U4080" s="1821"/>
      <c r="V4080" s="1821"/>
      <c r="W4080" s="1821"/>
      <c r="X4080" s="1821"/>
      <c r="Y4080" s="1821"/>
      <c r="Z4080" s="1821"/>
      <c r="AA4080" s="1821"/>
      <c r="AB4080" s="1821"/>
      <c r="AC4080" s="1821"/>
      <c r="AD4080" s="1821"/>
      <c r="AE4080" s="1821"/>
      <c r="AF4080" s="1821"/>
      <c r="AG4080" s="1821"/>
      <c r="AH4080" s="1821"/>
      <c r="AI4080" s="1821"/>
      <c r="AJ4080" s="1821"/>
      <c r="AK4080" s="1821"/>
      <c r="AL4080" s="1821"/>
      <c r="AM4080" s="1821"/>
      <c r="AN4080" s="1821"/>
      <c r="AO4080" s="1821"/>
      <c r="AP4080" s="1821"/>
      <c r="AQ4080" s="1821"/>
      <c r="AR4080" s="1821"/>
      <c r="AS4080" s="1821"/>
      <c r="AT4080" s="1821"/>
      <c r="AU4080" s="1821"/>
      <c r="AV4080" s="1821"/>
      <c r="AW4080" s="1821"/>
      <c r="AX4080" s="1821"/>
      <c r="AY4080" s="1821"/>
      <c r="AZ4080" s="1821"/>
      <c r="BA4080" s="1821"/>
      <c r="BB4080" s="1821"/>
      <c r="BC4080" s="1821"/>
      <c r="BD4080" s="1821"/>
      <c r="BE4080" s="1821"/>
      <c r="BF4080" s="1821"/>
      <c r="BG4080" s="1821"/>
      <c r="BH4080" s="1821"/>
      <c r="BI4080" s="1821"/>
      <c r="BJ4080" s="1821"/>
      <c r="BK4080" s="1821"/>
      <c r="BL4080" s="1821"/>
      <c r="BM4080" s="1821"/>
      <c r="BN4080" s="1821"/>
      <c r="BO4080" s="1821"/>
      <c r="BP4080" s="1821"/>
      <c r="BQ4080" s="1821"/>
      <c r="BR4080" s="1821"/>
      <c r="BS4080" s="1821"/>
      <c r="BT4080" s="1821"/>
      <c r="BU4080" s="1821"/>
      <c r="BV4080" s="1821"/>
      <c r="BW4080" s="1821"/>
      <c r="BX4080" s="1821"/>
      <c r="BY4080" s="1821"/>
      <c r="BZ4080" s="1821"/>
      <c r="CA4080" s="1821"/>
      <c r="CB4080" s="1821"/>
      <c r="CC4080" s="1821"/>
      <c r="CD4080" s="1821"/>
      <c r="CE4080" s="1821"/>
      <c r="CF4080" s="1821"/>
      <c r="CG4080" s="1821"/>
      <c r="CH4080" s="1821"/>
      <c r="CI4080" s="1821"/>
      <c r="CJ4080" s="1821"/>
      <c r="CK4080" s="1821"/>
    </row>
    <row r="4081" spans="1:89" s="744" customFormat="1" ht="16.5" customHeight="1" x14ac:dyDescent="0.25">
      <c r="A4081" s="1033"/>
      <c r="B4081" s="709" t="s">
        <v>405</v>
      </c>
      <c r="C4081" s="827">
        <v>18</v>
      </c>
      <c r="D4081" s="961" t="s">
        <v>210</v>
      </c>
      <c r="E4081" s="758">
        <v>2466</v>
      </c>
      <c r="F4081" s="714"/>
      <c r="G4081" s="714"/>
      <c r="H4081" s="700">
        <f>G4081+F4081</f>
        <v>0</v>
      </c>
      <c r="I4081" s="714"/>
      <c r="J4081" s="714">
        <f t="shared" si="458"/>
        <v>44388</v>
      </c>
      <c r="K4081" s="700">
        <f>J4081+I4081</f>
        <v>44388</v>
      </c>
      <c r="L4081" s="714"/>
      <c r="M4081" s="714"/>
      <c r="N4081" s="700">
        <f t="shared" si="456"/>
        <v>0</v>
      </c>
      <c r="O4081" s="974">
        <f t="shared" si="457"/>
        <v>44388</v>
      </c>
      <c r="P4081" s="956"/>
      <c r="Q4081" s="1821"/>
      <c r="R4081" s="1821"/>
      <c r="S4081" s="1821"/>
      <c r="T4081" s="1821"/>
      <c r="U4081" s="1821"/>
      <c r="V4081" s="1821"/>
      <c r="W4081" s="1821"/>
      <c r="X4081" s="1821"/>
      <c r="Y4081" s="1821"/>
      <c r="Z4081" s="1821"/>
      <c r="AA4081" s="1821"/>
      <c r="AB4081" s="1821"/>
      <c r="AC4081" s="1821"/>
      <c r="AD4081" s="1821"/>
      <c r="AE4081" s="1821"/>
      <c r="AF4081" s="1821"/>
      <c r="AG4081" s="1821"/>
      <c r="AH4081" s="1821"/>
      <c r="AI4081" s="1821"/>
      <c r="AJ4081" s="1821"/>
      <c r="AK4081" s="1821"/>
      <c r="AL4081" s="1821"/>
      <c r="AM4081" s="1821"/>
      <c r="AN4081" s="1821"/>
      <c r="AO4081" s="1821"/>
      <c r="AP4081" s="1821"/>
      <c r="AQ4081" s="1821"/>
      <c r="AR4081" s="1821"/>
      <c r="AS4081" s="1821"/>
      <c r="AT4081" s="1821"/>
      <c r="AU4081" s="1821"/>
      <c r="AV4081" s="1821"/>
      <c r="AW4081" s="1821"/>
      <c r="AX4081" s="1821"/>
      <c r="AY4081" s="1821"/>
      <c r="AZ4081" s="1821"/>
      <c r="BA4081" s="1821"/>
      <c r="BB4081" s="1821"/>
      <c r="BC4081" s="1821"/>
      <c r="BD4081" s="1821"/>
      <c r="BE4081" s="1821"/>
      <c r="BF4081" s="1821"/>
      <c r="BG4081" s="1821"/>
      <c r="BH4081" s="1821"/>
      <c r="BI4081" s="1821"/>
      <c r="BJ4081" s="1821"/>
      <c r="BK4081" s="1821"/>
      <c r="BL4081" s="1821"/>
      <c r="BM4081" s="1821"/>
      <c r="BN4081" s="1821"/>
      <c r="BO4081" s="1821"/>
      <c r="BP4081" s="1821"/>
      <c r="BQ4081" s="1821"/>
      <c r="BR4081" s="1821"/>
      <c r="BS4081" s="1821"/>
      <c r="BT4081" s="1821"/>
      <c r="BU4081" s="1821"/>
      <c r="BV4081" s="1821"/>
      <c r="BW4081" s="1821"/>
      <c r="BX4081" s="1821"/>
      <c r="BY4081" s="1821"/>
      <c r="BZ4081" s="1821"/>
      <c r="CA4081" s="1821"/>
      <c r="CB4081" s="1821"/>
      <c r="CC4081" s="1821"/>
      <c r="CD4081" s="1821"/>
      <c r="CE4081" s="1821"/>
      <c r="CF4081" s="1821"/>
      <c r="CG4081" s="1821"/>
      <c r="CH4081" s="1821"/>
      <c r="CI4081" s="1821"/>
      <c r="CJ4081" s="1821"/>
      <c r="CK4081" s="1821"/>
    </row>
    <row r="4082" spans="1:89" s="744" customFormat="1" ht="16.5" customHeight="1" x14ac:dyDescent="0.25">
      <c r="A4082" s="1033"/>
      <c r="B4082" s="709" t="s">
        <v>206</v>
      </c>
      <c r="C4082" s="827"/>
      <c r="D4082" s="961"/>
      <c r="E4082" s="758"/>
      <c r="F4082" s="714"/>
      <c r="G4082" s="714"/>
      <c r="H4082" s="700">
        <f>G4082+F4082</f>
        <v>0</v>
      </c>
      <c r="I4082" s="714"/>
      <c r="J4082" s="714">
        <f t="shared" si="458"/>
        <v>0</v>
      </c>
      <c r="K4082" s="700">
        <f>J4082+I4082</f>
        <v>0</v>
      </c>
      <c r="L4082" s="714"/>
      <c r="M4082" s="714"/>
      <c r="N4082" s="700">
        <f t="shared" si="456"/>
        <v>0</v>
      </c>
      <c r="O4082" s="974">
        <f t="shared" si="457"/>
        <v>0</v>
      </c>
      <c r="P4082" s="956"/>
      <c r="Q4082" s="1821"/>
      <c r="R4082" s="1821"/>
      <c r="S4082" s="1821"/>
      <c r="T4082" s="1821"/>
      <c r="U4082" s="1821"/>
      <c r="V4082" s="1821"/>
      <c r="W4082" s="1821"/>
      <c r="X4082" s="1821"/>
      <c r="Y4082" s="1821"/>
      <c r="Z4082" s="1821"/>
      <c r="AA4082" s="1821"/>
      <c r="AB4082" s="1821"/>
      <c r="AC4082" s="1821"/>
      <c r="AD4082" s="1821"/>
      <c r="AE4082" s="1821"/>
      <c r="AF4082" s="1821"/>
      <c r="AG4082" s="1821"/>
      <c r="AH4082" s="1821"/>
      <c r="AI4082" s="1821"/>
      <c r="AJ4082" s="1821"/>
      <c r="AK4082" s="1821"/>
      <c r="AL4082" s="1821"/>
      <c r="AM4082" s="1821"/>
      <c r="AN4082" s="1821"/>
      <c r="AO4082" s="1821"/>
      <c r="AP4082" s="1821"/>
      <c r="AQ4082" s="1821"/>
      <c r="AR4082" s="1821"/>
      <c r="AS4082" s="1821"/>
      <c r="AT4082" s="1821"/>
      <c r="AU4082" s="1821"/>
      <c r="AV4082" s="1821"/>
      <c r="AW4082" s="1821"/>
      <c r="AX4082" s="1821"/>
      <c r="AY4082" s="1821"/>
      <c r="AZ4082" s="1821"/>
      <c r="BA4082" s="1821"/>
      <c r="BB4082" s="1821"/>
      <c r="BC4082" s="1821"/>
      <c r="BD4082" s="1821"/>
      <c r="BE4082" s="1821"/>
      <c r="BF4082" s="1821"/>
      <c r="BG4082" s="1821"/>
      <c r="BH4082" s="1821"/>
      <c r="BI4082" s="1821"/>
      <c r="BJ4082" s="1821"/>
      <c r="BK4082" s="1821"/>
      <c r="BL4082" s="1821"/>
      <c r="BM4082" s="1821"/>
      <c r="BN4082" s="1821"/>
      <c r="BO4082" s="1821"/>
      <c r="BP4082" s="1821"/>
      <c r="BQ4082" s="1821"/>
      <c r="BR4082" s="1821"/>
      <c r="BS4082" s="1821"/>
      <c r="BT4082" s="1821"/>
      <c r="BU4082" s="1821"/>
      <c r="BV4082" s="1821"/>
      <c r="BW4082" s="1821"/>
      <c r="BX4082" s="1821"/>
      <c r="BY4082" s="1821"/>
      <c r="BZ4082" s="1821"/>
      <c r="CA4082" s="1821"/>
      <c r="CB4082" s="1821"/>
      <c r="CC4082" s="1821"/>
      <c r="CD4082" s="1821"/>
      <c r="CE4082" s="1821"/>
      <c r="CF4082" s="1821"/>
      <c r="CG4082" s="1821"/>
      <c r="CH4082" s="1821"/>
      <c r="CI4082" s="1821"/>
      <c r="CJ4082" s="1821"/>
      <c r="CK4082" s="1821"/>
    </row>
    <row r="4083" spans="1:89" s="744" customFormat="1" ht="16.5" customHeight="1" x14ac:dyDescent="0.25">
      <c r="A4083" s="1033"/>
      <c r="B4083" s="709" t="s">
        <v>406</v>
      </c>
      <c r="C4083" s="827">
        <v>22</v>
      </c>
      <c r="D4083" s="961" t="s">
        <v>207</v>
      </c>
      <c r="E4083" s="758">
        <v>313</v>
      </c>
      <c r="F4083" s="714"/>
      <c r="G4083" s="714"/>
      <c r="H4083" s="700">
        <f>G4083+F4083</f>
        <v>0</v>
      </c>
      <c r="I4083" s="714"/>
      <c r="J4083" s="714">
        <f t="shared" si="458"/>
        <v>6886</v>
      </c>
      <c r="K4083" s="700">
        <f>J4083+I4083</f>
        <v>6886</v>
      </c>
      <c r="L4083" s="714"/>
      <c r="M4083" s="714"/>
      <c r="N4083" s="700">
        <f t="shared" si="456"/>
        <v>0</v>
      </c>
      <c r="O4083" s="974">
        <f t="shared" si="457"/>
        <v>6886</v>
      </c>
      <c r="P4083" s="956"/>
      <c r="Q4083" s="1821"/>
      <c r="R4083" s="1821"/>
      <c r="S4083" s="1821"/>
      <c r="T4083" s="1821"/>
      <c r="U4083" s="1821"/>
      <c r="V4083" s="1821"/>
      <c r="W4083" s="1821"/>
      <c r="X4083" s="1821"/>
      <c r="Y4083" s="1821"/>
      <c r="Z4083" s="1821"/>
      <c r="AA4083" s="1821"/>
      <c r="AB4083" s="1821"/>
      <c r="AC4083" s="1821"/>
      <c r="AD4083" s="1821"/>
      <c r="AE4083" s="1821"/>
      <c r="AF4083" s="1821"/>
      <c r="AG4083" s="1821"/>
      <c r="AH4083" s="1821"/>
      <c r="AI4083" s="1821"/>
      <c r="AJ4083" s="1821"/>
      <c r="AK4083" s="1821"/>
      <c r="AL4083" s="1821"/>
      <c r="AM4083" s="1821"/>
      <c r="AN4083" s="1821"/>
      <c r="AO4083" s="1821"/>
      <c r="AP4083" s="1821"/>
      <c r="AQ4083" s="1821"/>
      <c r="AR4083" s="1821"/>
      <c r="AS4083" s="1821"/>
      <c r="AT4083" s="1821"/>
      <c r="AU4083" s="1821"/>
      <c r="AV4083" s="1821"/>
      <c r="AW4083" s="1821"/>
      <c r="AX4083" s="1821"/>
      <c r="AY4083" s="1821"/>
      <c r="AZ4083" s="1821"/>
      <c r="BA4083" s="1821"/>
      <c r="BB4083" s="1821"/>
      <c r="BC4083" s="1821"/>
      <c r="BD4083" s="1821"/>
      <c r="BE4083" s="1821"/>
      <c r="BF4083" s="1821"/>
      <c r="BG4083" s="1821"/>
      <c r="BH4083" s="1821"/>
      <c r="BI4083" s="1821"/>
      <c r="BJ4083" s="1821"/>
      <c r="BK4083" s="1821"/>
      <c r="BL4083" s="1821"/>
      <c r="BM4083" s="1821"/>
      <c r="BN4083" s="1821"/>
      <c r="BO4083" s="1821"/>
      <c r="BP4083" s="1821"/>
      <c r="BQ4083" s="1821"/>
      <c r="BR4083" s="1821"/>
      <c r="BS4083" s="1821"/>
      <c r="BT4083" s="1821"/>
      <c r="BU4083" s="1821"/>
      <c r="BV4083" s="1821"/>
      <c r="BW4083" s="1821"/>
      <c r="BX4083" s="1821"/>
      <c r="BY4083" s="1821"/>
      <c r="BZ4083" s="1821"/>
      <c r="CA4083" s="1821"/>
      <c r="CB4083" s="1821"/>
      <c r="CC4083" s="1821"/>
      <c r="CD4083" s="1821"/>
      <c r="CE4083" s="1821"/>
      <c r="CF4083" s="1821"/>
      <c r="CG4083" s="1821"/>
      <c r="CH4083" s="1821"/>
      <c r="CI4083" s="1821"/>
      <c r="CJ4083" s="1821"/>
      <c r="CK4083" s="1821"/>
    </row>
    <row r="4084" spans="1:89" s="744" customFormat="1" ht="16.5" customHeight="1" x14ac:dyDescent="0.25">
      <c r="A4084" s="1033"/>
      <c r="B4084" s="709" t="s">
        <v>48</v>
      </c>
      <c r="C4084" s="827"/>
      <c r="D4084" s="961"/>
      <c r="E4084" s="758"/>
      <c r="F4084" s="714"/>
      <c r="G4084" s="714"/>
      <c r="H4084" s="700">
        <f t="shared" si="451"/>
        <v>0</v>
      </c>
      <c r="I4084" s="714"/>
      <c r="J4084" s="714">
        <f t="shared" si="458"/>
        <v>0</v>
      </c>
      <c r="K4084" s="700">
        <f t="shared" si="452"/>
        <v>0</v>
      </c>
      <c r="L4084" s="714"/>
      <c r="M4084" s="714"/>
      <c r="N4084" s="700">
        <f t="shared" si="456"/>
        <v>0</v>
      </c>
      <c r="O4084" s="974">
        <f t="shared" si="457"/>
        <v>0</v>
      </c>
      <c r="P4084" s="956"/>
      <c r="Q4084" s="1821"/>
      <c r="R4084" s="1821"/>
      <c r="S4084" s="1821"/>
      <c r="T4084" s="1821"/>
      <c r="U4084" s="1821"/>
      <c r="V4084" s="1821"/>
      <c r="W4084" s="1821"/>
      <c r="X4084" s="1821"/>
      <c r="Y4084" s="1821"/>
      <c r="Z4084" s="1821"/>
      <c r="AA4084" s="1821"/>
      <c r="AB4084" s="1821"/>
      <c r="AC4084" s="1821"/>
      <c r="AD4084" s="1821"/>
      <c r="AE4084" s="1821"/>
      <c r="AF4084" s="1821"/>
      <c r="AG4084" s="1821"/>
      <c r="AH4084" s="1821"/>
      <c r="AI4084" s="1821"/>
      <c r="AJ4084" s="1821"/>
      <c r="AK4084" s="1821"/>
      <c r="AL4084" s="1821"/>
      <c r="AM4084" s="1821"/>
      <c r="AN4084" s="1821"/>
      <c r="AO4084" s="1821"/>
      <c r="AP4084" s="1821"/>
      <c r="AQ4084" s="1821"/>
      <c r="AR4084" s="1821"/>
      <c r="AS4084" s="1821"/>
      <c r="AT4084" s="1821"/>
      <c r="AU4084" s="1821"/>
      <c r="AV4084" s="1821"/>
      <c r="AW4084" s="1821"/>
      <c r="AX4084" s="1821"/>
      <c r="AY4084" s="1821"/>
      <c r="AZ4084" s="1821"/>
      <c r="BA4084" s="1821"/>
      <c r="BB4084" s="1821"/>
      <c r="BC4084" s="1821"/>
      <c r="BD4084" s="1821"/>
      <c r="BE4084" s="1821"/>
      <c r="BF4084" s="1821"/>
      <c r="BG4084" s="1821"/>
      <c r="BH4084" s="1821"/>
      <c r="BI4084" s="1821"/>
      <c r="BJ4084" s="1821"/>
      <c r="BK4084" s="1821"/>
      <c r="BL4084" s="1821"/>
      <c r="BM4084" s="1821"/>
      <c r="BN4084" s="1821"/>
      <c r="BO4084" s="1821"/>
      <c r="BP4084" s="1821"/>
      <c r="BQ4084" s="1821"/>
      <c r="BR4084" s="1821"/>
      <c r="BS4084" s="1821"/>
      <c r="BT4084" s="1821"/>
      <c r="BU4084" s="1821"/>
      <c r="BV4084" s="1821"/>
      <c r="BW4084" s="1821"/>
      <c r="BX4084" s="1821"/>
      <c r="BY4084" s="1821"/>
      <c r="BZ4084" s="1821"/>
      <c r="CA4084" s="1821"/>
      <c r="CB4084" s="1821"/>
      <c r="CC4084" s="1821"/>
      <c r="CD4084" s="1821"/>
      <c r="CE4084" s="1821"/>
      <c r="CF4084" s="1821"/>
      <c r="CG4084" s="1821"/>
      <c r="CH4084" s="1821"/>
      <c r="CI4084" s="1821"/>
      <c r="CJ4084" s="1821"/>
      <c r="CK4084" s="1821"/>
    </row>
    <row r="4085" spans="1:89" s="744" customFormat="1" ht="16.5" customHeight="1" x14ac:dyDescent="0.25">
      <c r="A4085" s="1033"/>
      <c r="B4085" s="709" t="s">
        <v>397</v>
      </c>
      <c r="C4085" s="827">
        <v>6</v>
      </c>
      <c r="D4085" s="961" t="s">
        <v>55</v>
      </c>
      <c r="E4085" s="758">
        <v>610</v>
      </c>
      <c r="F4085" s="714"/>
      <c r="G4085" s="714"/>
      <c r="H4085" s="700">
        <f>G4085+F4085</f>
        <v>0</v>
      </c>
      <c r="I4085" s="714"/>
      <c r="J4085" s="714">
        <f>C4085*E4085</f>
        <v>3660</v>
      </c>
      <c r="K4085" s="700">
        <f>J4085+I4085</f>
        <v>3660</v>
      </c>
      <c r="L4085" s="714"/>
      <c r="M4085" s="714"/>
      <c r="N4085" s="700">
        <f t="shared" si="456"/>
        <v>0</v>
      </c>
      <c r="O4085" s="974">
        <f t="shared" si="457"/>
        <v>3660</v>
      </c>
      <c r="P4085" s="956"/>
      <c r="Q4085" s="1821"/>
      <c r="R4085" s="1821"/>
      <c r="S4085" s="1821"/>
      <c r="T4085" s="1821"/>
      <c r="U4085" s="1821"/>
      <c r="V4085" s="1821"/>
      <c r="W4085" s="1821"/>
      <c r="X4085" s="1821"/>
      <c r="Y4085" s="1821"/>
      <c r="Z4085" s="1821"/>
      <c r="AA4085" s="1821"/>
      <c r="AB4085" s="1821"/>
      <c r="AC4085" s="1821"/>
      <c r="AD4085" s="1821"/>
      <c r="AE4085" s="1821"/>
      <c r="AF4085" s="1821"/>
      <c r="AG4085" s="1821"/>
      <c r="AH4085" s="1821"/>
      <c r="AI4085" s="1821"/>
      <c r="AJ4085" s="1821"/>
      <c r="AK4085" s="1821"/>
      <c r="AL4085" s="1821"/>
      <c r="AM4085" s="1821"/>
      <c r="AN4085" s="1821"/>
      <c r="AO4085" s="1821"/>
      <c r="AP4085" s="1821"/>
      <c r="AQ4085" s="1821"/>
      <c r="AR4085" s="1821"/>
      <c r="AS4085" s="1821"/>
      <c r="AT4085" s="1821"/>
      <c r="AU4085" s="1821"/>
      <c r="AV4085" s="1821"/>
      <c r="AW4085" s="1821"/>
      <c r="AX4085" s="1821"/>
      <c r="AY4085" s="1821"/>
      <c r="AZ4085" s="1821"/>
      <c r="BA4085" s="1821"/>
      <c r="BB4085" s="1821"/>
      <c r="BC4085" s="1821"/>
      <c r="BD4085" s="1821"/>
      <c r="BE4085" s="1821"/>
      <c r="BF4085" s="1821"/>
      <c r="BG4085" s="1821"/>
      <c r="BH4085" s="1821"/>
      <c r="BI4085" s="1821"/>
      <c r="BJ4085" s="1821"/>
      <c r="BK4085" s="1821"/>
      <c r="BL4085" s="1821"/>
      <c r="BM4085" s="1821"/>
      <c r="BN4085" s="1821"/>
      <c r="BO4085" s="1821"/>
      <c r="BP4085" s="1821"/>
      <c r="BQ4085" s="1821"/>
      <c r="BR4085" s="1821"/>
      <c r="BS4085" s="1821"/>
      <c r="BT4085" s="1821"/>
      <c r="BU4085" s="1821"/>
      <c r="BV4085" s="1821"/>
      <c r="BW4085" s="1821"/>
      <c r="BX4085" s="1821"/>
      <c r="BY4085" s="1821"/>
      <c r="BZ4085" s="1821"/>
      <c r="CA4085" s="1821"/>
      <c r="CB4085" s="1821"/>
      <c r="CC4085" s="1821"/>
      <c r="CD4085" s="1821"/>
      <c r="CE4085" s="1821"/>
      <c r="CF4085" s="1821"/>
      <c r="CG4085" s="1821"/>
      <c r="CH4085" s="1821"/>
      <c r="CI4085" s="1821"/>
      <c r="CJ4085" s="1821"/>
      <c r="CK4085" s="1821"/>
    </row>
    <row r="4086" spans="1:89" s="744" customFormat="1" ht="16.5" customHeight="1" x14ac:dyDescent="0.25">
      <c r="A4086" s="1033"/>
      <c r="B4086" s="709"/>
      <c r="C4086" s="827"/>
      <c r="D4086" s="961"/>
      <c r="E4086" s="758"/>
      <c r="F4086" s="714"/>
      <c r="G4086" s="714"/>
      <c r="H4086" s="700">
        <f t="shared" si="451"/>
        <v>0</v>
      </c>
      <c r="I4086" s="714"/>
      <c r="J4086" s="714"/>
      <c r="K4086" s="700">
        <f t="shared" si="452"/>
        <v>0</v>
      </c>
      <c r="L4086" s="714"/>
      <c r="M4086" s="714"/>
      <c r="N4086" s="700">
        <f t="shared" si="456"/>
        <v>0</v>
      </c>
      <c r="O4086" s="974">
        <f t="shared" si="457"/>
        <v>0</v>
      </c>
      <c r="P4086" s="956"/>
      <c r="Q4086" s="1821"/>
      <c r="R4086" s="1821"/>
      <c r="S4086" s="1821"/>
      <c r="T4086" s="1821"/>
      <c r="U4086" s="1821"/>
      <c r="V4086" s="1821"/>
      <c r="W4086" s="1821"/>
      <c r="X4086" s="1821"/>
      <c r="Y4086" s="1821"/>
      <c r="Z4086" s="1821"/>
      <c r="AA4086" s="1821"/>
      <c r="AB4086" s="1821"/>
      <c r="AC4086" s="1821"/>
      <c r="AD4086" s="1821"/>
      <c r="AE4086" s="1821"/>
      <c r="AF4086" s="1821"/>
      <c r="AG4086" s="1821"/>
      <c r="AH4086" s="1821"/>
      <c r="AI4086" s="1821"/>
      <c r="AJ4086" s="1821"/>
      <c r="AK4086" s="1821"/>
      <c r="AL4086" s="1821"/>
      <c r="AM4086" s="1821"/>
      <c r="AN4086" s="1821"/>
      <c r="AO4086" s="1821"/>
      <c r="AP4086" s="1821"/>
      <c r="AQ4086" s="1821"/>
      <c r="AR4086" s="1821"/>
      <c r="AS4086" s="1821"/>
      <c r="AT4086" s="1821"/>
      <c r="AU4086" s="1821"/>
      <c r="AV4086" s="1821"/>
      <c r="AW4086" s="1821"/>
      <c r="AX4086" s="1821"/>
      <c r="AY4086" s="1821"/>
      <c r="AZ4086" s="1821"/>
      <c r="BA4086" s="1821"/>
      <c r="BB4086" s="1821"/>
      <c r="BC4086" s="1821"/>
      <c r="BD4086" s="1821"/>
      <c r="BE4086" s="1821"/>
      <c r="BF4086" s="1821"/>
      <c r="BG4086" s="1821"/>
      <c r="BH4086" s="1821"/>
      <c r="BI4086" s="1821"/>
      <c r="BJ4086" s="1821"/>
      <c r="BK4086" s="1821"/>
      <c r="BL4086" s="1821"/>
      <c r="BM4086" s="1821"/>
      <c r="BN4086" s="1821"/>
      <c r="BO4086" s="1821"/>
      <c r="BP4086" s="1821"/>
      <c r="BQ4086" s="1821"/>
      <c r="BR4086" s="1821"/>
      <c r="BS4086" s="1821"/>
      <c r="BT4086" s="1821"/>
      <c r="BU4086" s="1821"/>
      <c r="BV4086" s="1821"/>
      <c r="BW4086" s="1821"/>
      <c r="BX4086" s="1821"/>
      <c r="BY4086" s="1821"/>
      <c r="BZ4086" s="1821"/>
      <c r="CA4086" s="1821"/>
      <c r="CB4086" s="1821"/>
      <c r="CC4086" s="1821"/>
      <c r="CD4086" s="1821"/>
      <c r="CE4086" s="1821"/>
      <c r="CF4086" s="1821"/>
      <c r="CG4086" s="1821"/>
      <c r="CH4086" s="1821"/>
      <c r="CI4086" s="1821"/>
      <c r="CJ4086" s="1821"/>
      <c r="CK4086" s="1821"/>
    </row>
    <row r="4087" spans="1:89" s="744" customFormat="1" ht="16.5" customHeight="1" x14ac:dyDescent="0.25">
      <c r="A4087" s="1033">
        <v>1953.0329999999999</v>
      </c>
      <c r="B4087" s="709" t="s">
        <v>407</v>
      </c>
      <c r="C4087" s="827"/>
      <c r="D4087" s="961"/>
      <c r="E4087" s="758"/>
      <c r="F4087" s="714"/>
      <c r="G4087" s="714"/>
      <c r="H4087" s="700">
        <f t="shared" si="451"/>
        <v>0</v>
      </c>
      <c r="I4087" s="714"/>
      <c r="J4087" s="714"/>
      <c r="K4087" s="700">
        <f t="shared" si="452"/>
        <v>0</v>
      </c>
      <c r="L4087" s="714"/>
      <c r="M4087" s="714"/>
      <c r="N4087" s="700">
        <f t="shared" si="456"/>
        <v>0</v>
      </c>
      <c r="O4087" s="974">
        <f t="shared" si="457"/>
        <v>0</v>
      </c>
      <c r="P4087" s="956"/>
      <c r="Q4087" s="1821"/>
      <c r="R4087" s="1821"/>
      <c r="S4087" s="1821"/>
      <c r="T4087" s="1821"/>
      <c r="U4087" s="1821"/>
      <c r="V4087" s="1821"/>
      <c r="W4087" s="1821"/>
      <c r="X4087" s="1821"/>
      <c r="Y4087" s="1821"/>
      <c r="Z4087" s="1821"/>
      <c r="AA4087" s="1821"/>
      <c r="AB4087" s="1821"/>
      <c r="AC4087" s="1821"/>
      <c r="AD4087" s="1821"/>
      <c r="AE4087" s="1821"/>
      <c r="AF4087" s="1821"/>
      <c r="AG4087" s="1821"/>
      <c r="AH4087" s="1821"/>
      <c r="AI4087" s="1821"/>
      <c r="AJ4087" s="1821"/>
      <c r="AK4087" s="1821"/>
      <c r="AL4087" s="1821"/>
      <c r="AM4087" s="1821"/>
      <c r="AN4087" s="1821"/>
      <c r="AO4087" s="1821"/>
      <c r="AP4087" s="1821"/>
      <c r="AQ4087" s="1821"/>
      <c r="AR4087" s="1821"/>
      <c r="AS4087" s="1821"/>
      <c r="AT4087" s="1821"/>
      <c r="AU4087" s="1821"/>
      <c r="AV4087" s="1821"/>
      <c r="AW4087" s="1821"/>
      <c r="AX4087" s="1821"/>
      <c r="AY4087" s="1821"/>
      <c r="AZ4087" s="1821"/>
      <c r="BA4087" s="1821"/>
      <c r="BB4087" s="1821"/>
      <c r="BC4087" s="1821"/>
      <c r="BD4087" s="1821"/>
      <c r="BE4087" s="1821"/>
      <c r="BF4087" s="1821"/>
      <c r="BG4087" s="1821"/>
      <c r="BH4087" s="1821"/>
      <c r="BI4087" s="1821"/>
      <c r="BJ4087" s="1821"/>
      <c r="BK4087" s="1821"/>
      <c r="BL4087" s="1821"/>
      <c r="BM4087" s="1821"/>
      <c r="BN4087" s="1821"/>
      <c r="BO4087" s="1821"/>
      <c r="BP4087" s="1821"/>
      <c r="BQ4087" s="1821"/>
      <c r="BR4087" s="1821"/>
      <c r="BS4087" s="1821"/>
      <c r="BT4087" s="1821"/>
      <c r="BU4087" s="1821"/>
      <c r="BV4087" s="1821"/>
      <c r="BW4087" s="1821"/>
      <c r="BX4087" s="1821"/>
      <c r="BY4087" s="1821"/>
      <c r="BZ4087" s="1821"/>
      <c r="CA4087" s="1821"/>
      <c r="CB4087" s="1821"/>
      <c r="CC4087" s="1821"/>
      <c r="CD4087" s="1821"/>
      <c r="CE4087" s="1821"/>
      <c r="CF4087" s="1821"/>
      <c r="CG4087" s="1821"/>
      <c r="CH4087" s="1821"/>
      <c r="CI4087" s="1821"/>
      <c r="CJ4087" s="1821"/>
      <c r="CK4087" s="1821"/>
    </row>
    <row r="4088" spans="1:89" s="744" customFormat="1" ht="16.5" customHeight="1" x14ac:dyDescent="0.25">
      <c r="A4088" s="1033">
        <v>11</v>
      </c>
      <c r="B4088" s="709" t="s">
        <v>408</v>
      </c>
      <c r="C4088" s="827"/>
      <c r="D4088" s="961"/>
      <c r="E4088" s="758"/>
      <c r="F4088" s="714"/>
      <c r="G4088" s="714"/>
      <c r="H4088" s="700">
        <f t="shared" si="451"/>
        <v>0</v>
      </c>
      <c r="I4088" s="714"/>
      <c r="J4088" s="714"/>
      <c r="K4088" s="700">
        <f t="shared" si="452"/>
        <v>0</v>
      </c>
      <c r="L4088" s="714"/>
      <c r="M4088" s="714"/>
      <c r="N4088" s="700">
        <f t="shared" si="456"/>
        <v>0</v>
      </c>
      <c r="O4088" s="974">
        <f t="shared" si="457"/>
        <v>0</v>
      </c>
      <c r="P4088" s="956"/>
      <c r="Q4088" s="1821"/>
      <c r="R4088" s="1821"/>
      <c r="S4088" s="1821"/>
      <c r="T4088" s="1821"/>
      <c r="U4088" s="1821"/>
      <c r="V4088" s="1821"/>
      <c r="W4088" s="1821"/>
      <c r="X4088" s="1821"/>
      <c r="Y4088" s="1821"/>
      <c r="Z4088" s="1821"/>
      <c r="AA4088" s="1821"/>
      <c r="AB4088" s="1821"/>
      <c r="AC4088" s="1821"/>
      <c r="AD4088" s="1821"/>
      <c r="AE4088" s="1821"/>
      <c r="AF4088" s="1821"/>
      <c r="AG4088" s="1821"/>
      <c r="AH4088" s="1821"/>
      <c r="AI4088" s="1821"/>
      <c r="AJ4088" s="1821"/>
      <c r="AK4088" s="1821"/>
      <c r="AL4088" s="1821"/>
      <c r="AM4088" s="1821"/>
      <c r="AN4088" s="1821"/>
      <c r="AO4088" s="1821"/>
      <c r="AP4088" s="1821"/>
      <c r="AQ4088" s="1821"/>
      <c r="AR4088" s="1821"/>
      <c r="AS4088" s="1821"/>
      <c r="AT4088" s="1821"/>
      <c r="AU4088" s="1821"/>
      <c r="AV4088" s="1821"/>
      <c r="AW4088" s="1821"/>
      <c r="AX4088" s="1821"/>
      <c r="AY4088" s="1821"/>
      <c r="AZ4088" s="1821"/>
      <c r="BA4088" s="1821"/>
      <c r="BB4088" s="1821"/>
      <c r="BC4088" s="1821"/>
      <c r="BD4088" s="1821"/>
      <c r="BE4088" s="1821"/>
      <c r="BF4088" s="1821"/>
      <c r="BG4088" s="1821"/>
      <c r="BH4088" s="1821"/>
      <c r="BI4088" s="1821"/>
      <c r="BJ4088" s="1821"/>
      <c r="BK4088" s="1821"/>
      <c r="BL4088" s="1821"/>
      <c r="BM4088" s="1821"/>
      <c r="BN4088" s="1821"/>
      <c r="BO4088" s="1821"/>
      <c r="BP4088" s="1821"/>
      <c r="BQ4088" s="1821"/>
      <c r="BR4088" s="1821"/>
      <c r="BS4088" s="1821"/>
      <c r="BT4088" s="1821"/>
      <c r="BU4088" s="1821"/>
      <c r="BV4088" s="1821"/>
      <c r="BW4088" s="1821"/>
      <c r="BX4088" s="1821"/>
      <c r="BY4088" s="1821"/>
      <c r="BZ4088" s="1821"/>
      <c r="CA4088" s="1821"/>
      <c r="CB4088" s="1821"/>
      <c r="CC4088" s="1821"/>
      <c r="CD4088" s="1821"/>
      <c r="CE4088" s="1821"/>
      <c r="CF4088" s="1821"/>
      <c r="CG4088" s="1821"/>
      <c r="CH4088" s="1821"/>
      <c r="CI4088" s="1821"/>
      <c r="CJ4088" s="1821"/>
      <c r="CK4088" s="1821"/>
    </row>
    <row r="4089" spans="1:89" s="744" customFormat="1" ht="16.5" customHeight="1" x14ac:dyDescent="0.25">
      <c r="A4089" s="1033" t="s">
        <v>272</v>
      </c>
      <c r="B4089" s="709" t="s">
        <v>1365</v>
      </c>
      <c r="C4089" s="827">
        <f>SUM(O4091:O4098)</f>
        <v>1391742</v>
      </c>
      <c r="D4089" s="961"/>
      <c r="E4089" s="758"/>
      <c r="F4089" s="714"/>
      <c r="G4089" s="714"/>
      <c r="H4089" s="700">
        <f t="shared" si="451"/>
        <v>0</v>
      </c>
      <c r="I4089" s="714"/>
      <c r="J4089" s="714">
        <f>C4089*E4089</f>
        <v>0</v>
      </c>
      <c r="K4089" s="700">
        <f t="shared" si="452"/>
        <v>0</v>
      </c>
      <c r="L4089" s="714"/>
      <c r="M4089" s="714"/>
      <c r="N4089" s="700">
        <f t="shared" si="456"/>
        <v>0</v>
      </c>
      <c r="O4089" s="974">
        <f t="shared" si="457"/>
        <v>0</v>
      </c>
      <c r="P4089" s="956"/>
      <c r="Q4089" s="1821"/>
      <c r="R4089" s="1821"/>
      <c r="S4089" s="1821"/>
      <c r="T4089" s="1821"/>
      <c r="U4089" s="1821"/>
      <c r="V4089" s="1821"/>
      <c r="W4089" s="1821"/>
      <c r="X4089" s="1821"/>
      <c r="Y4089" s="1821"/>
      <c r="Z4089" s="1821"/>
      <c r="AA4089" s="1821"/>
      <c r="AB4089" s="1821"/>
      <c r="AC4089" s="1821"/>
      <c r="AD4089" s="1821"/>
      <c r="AE4089" s="1821"/>
      <c r="AF4089" s="1821"/>
      <c r="AG4089" s="1821"/>
      <c r="AH4089" s="1821"/>
      <c r="AI4089" s="1821"/>
      <c r="AJ4089" s="1821"/>
      <c r="AK4089" s="1821"/>
      <c r="AL4089" s="1821"/>
      <c r="AM4089" s="1821"/>
      <c r="AN4089" s="1821"/>
      <c r="AO4089" s="1821"/>
      <c r="AP4089" s="1821"/>
      <c r="AQ4089" s="1821"/>
      <c r="AR4089" s="1821"/>
      <c r="AS4089" s="1821"/>
      <c r="AT4089" s="1821"/>
      <c r="AU4089" s="1821"/>
      <c r="AV4089" s="1821"/>
      <c r="AW4089" s="1821"/>
      <c r="AX4089" s="1821"/>
      <c r="AY4089" s="1821"/>
      <c r="AZ4089" s="1821"/>
      <c r="BA4089" s="1821"/>
      <c r="BB4089" s="1821"/>
      <c r="BC4089" s="1821"/>
      <c r="BD4089" s="1821"/>
      <c r="BE4089" s="1821"/>
      <c r="BF4089" s="1821"/>
      <c r="BG4089" s="1821"/>
      <c r="BH4089" s="1821"/>
      <c r="BI4089" s="1821"/>
      <c r="BJ4089" s="1821"/>
      <c r="BK4089" s="1821"/>
      <c r="BL4089" s="1821"/>
      <c r="BM4089" s="1821"/>
      <c r="BN4089" s="1821"/>
      <c r="BO4089" s="1821"/>
      <c r="BP4089" s="1821"/>
      <c r="BQ4089" s="1821"/>
      <c r="BR4089" s="1821"/>
      <c r="BS4089" s="1821"/>
      <c r="BT4089" s="1821"/>
      <c r="BU4089" s="1821"/>
      <c r="BV4089" s="1821"/>
      <c r="BW4089" s="1821"/>
      <c r="BX4089" s="1821"/>
      <c r="BY4089" s="1821"/>
      <c r="BZ4089" s="1821"/>
      <c r="CA4089" s="1821"/>
      <c r="CB4089" s="1821"/>
      <c r="CC4089" s="1821"/>
      <c r="CD4089" s="1821"/>
      <c r="CE4089" s="1821"/>
      <c r="CF4089" s="1821"/>
      <c r="CG4089" s="1821"/>
      <c r="CH4089" s="1821"/>
      <c r="CI4089" s="1821"/>
      <c r="CJ4089" s="1821"/>
      <c r="CK4089" s="1821"/>
    </row>
    <row r="4090" spans="1:89" s="744" customFormat="1" ht="16.5" customHeight="1" x14ac:dyDescent="0.25">
      <c r="A4090" s="1033"/>
      <c r="B4090" s="709" t="s">
        <v>402</v>
      </c>
      <c r="C4090" s="827"/>
      <c r="D4090" s="961"/>
      <c r="E4090" s="758"/>
      <c r="F4090" s="714"/>
      <c r="G4090" s="714"/>
      <c r="H4090" s="700">
        <f t="shared" si="451"/>
        <v>0</v>
      </c>
      <c r="I4090" s="714"/>
      <c r="J4090" s="714"/>
      <c r="K4090" s="700">
        <f t="shared" si="452"/>
        <v>0</v>
      </c>
      <c r="L4090" s="714"/>
      <c r="M4090" s="714"/>
      <c r="N4090" s="700">
        <f t="shared" si="456"/>
        <v>0</v>
      </c>
      <c r="O4090" s="974">
        <f t="shared" si="457"/>
        <v>0</v>
      </c>
      <c r="P4090" s="956"/>
      <c r="Q4090" s="1821"/>
      <c r="R4090" s="1821"/>
      <c r="S4090" s="1821"/>
      <c r="T4090" s="1821"/>
      <c r="U4090" s="1821"/>
      <c r="V4090" s="1821"/>
      <c r="W4090" s="1821"/>
      <c r="X4090" s="1821"/>
      <c r="Y4090" s="1821"/>
      <c r="Z4090" s="1821"/>
      <c r="AA4090" s="1821"/>
      <c r="AB4090" s="1821"/>
      <c r="AC4090" s="1821"/>
      <c r="AD4090" s="1821"/>
      <c r="AE4090" s="1821"/>
      <c r="AF4090" s="1821"/>
      <c r="AG4090" s="1821"/>
      <c r="AH4090" s="1821"/>
      <c r="AI4090" s="1821"/>
      <c r="AJ4090" s="1821"/>
      <c r="AK4090" s="1821"/>
      <c r="AL4090" s="1821"/>
      <c r="AM4090" s="1821"/>
      <c r="AN4090" s="1821"/>
      <c r="AO4090" s="1821"/>
      <c r="AP4090" s="1821"/>
      <c r="AQ4090" s="1821"/>
      <c r="AR4090" s="1821"/>
      <c r="AS4090" s="1821"/>
      <c r="AT4090" s="1821"/>
      <c r="AU4090" s="1821"/>
      <c r="AV4090" s="1821"/>
      <c r="AW4090" s="1821"/>
      <c r="AX4090" s="1821"/>
      <c r="AY4090" s="1821"/>
      <c r="AZ4090" s="1821"/>
      <c r="BA4090" s="1821"/>
      <c r="BB4090" s="1821"/>
      <c r="BC4090" s="1821"/>
      <c r="BD4090" s="1821"/>
      <c r="BE4090" s="1821"/>
      <c r="BF4090" s="1821"/>
      <c r="BG4090" s="1821"/>
      <c r="BH4090" s="1821"/>
      <c r="BI4090" s="1821"/>
      <c r="BJ4090" s="1821"/>
      <c r="BK4090" s="1821"/>
      <c r="BL4090" s="1821"/>
      <c r="BM4090" s="1821"/>
      <c r="BN4090" s="1821"/>
      <c r="BO4090" s="1821"/>
      <c r="BP4090" s="1821"/>
      <c r="BQ4090" s="1821"/>
      <c r="BR4090" s="1821"/>
      <c r="BS4090" s="1821"/>
      <c r="BT4090" s="1821"/>
      <c r="BU4090" s="1821"/>
      <c r="BV4090" s="1821"/>
      <c r="BW4090" s="1821"/>
      <c r="BX4090" s="1821"/>
      <c r="BY4090" s="1821"/>
      <c r="BZ4090" s="1821"/>
      <c r="CA4090" s="1821"/>
      <c r="CB4090" s="1821"/>
      <c r="CC4090" s="1821"/>
      <c r="CD4090" s="1821"/>
      <c r="CE4090" s="1821"/>
      <c r="CF4090" s="1821"/>
      <c r="CG4090" s="1821"/>
      <c r="CH4090" s="1821"/>
      <c r="CI4090" s="1821"/>
      <c r="CJ4090" s="1821"/>
      <c r="CK4090" s="1821"/>
    </row>
    <row r="4091" spans="1:89" s="744" customFormat="1" ht="16.5" customHeight="1" x14ac:dyDescent="0.25">
      <c r="A4091" s="1033"/>
      <c r="B4091" s="709" t="s">
        <v>357</v>
      </c>
      <c r="C4091" s="827">
        <v>1</v>
      </c>
      <c r="D4091" s="961" t="s">
        <v>25</v>
      </c>
      <c r="E4091" s="758">
        <v>188338</v>
      </c>
      <c r="F4091" s="714"/>
      <c r="G4091" s="714"/>
      <c r="H4091" s="700">
        <f t="shared" si="451"/>
        <v>0</v>
      </c>
      <c r="I4091" s="714"/>
      <c r="J4091" s="714">
        <f t="shared" ref="J4091:J4100" si="459">C4091*E4091</f>
        <v>188338</v>
      </c>
      <c r="K4091" s="700">
        <f t="shared" si="452"/>
        <v>188338</v>
      </c>
      <c r="L4091" s="714"/>
      <c r="M4091" s="714"/>
      <c r="N4091" s="700">
        <f t="shared" si="456"/>
        <v>0</v>
      </c>
      <c r="O4091" s="974">
        <f t="shared" si="457"/>
        <v>188338</v>
      </c>
      <c r="P4091" s="956"/>
      <c r="Q4091" s="1821"/>
      <c r="R4091" s="1821"/>
      <c r="S4091" s="1821"/>
      <c r="T4091" s="1821"/>
      <c r="U4091" s="1821"/>
      <c r="V4091" s="1821"/>
      <c r="W4091" s="1821"/>
      <c r="X4091" s="1821"/>
      <c r="Y4091" s="1821"/>
      <c r="Z4091" s="1821"/>
      <c r="AA4091" s="1821"/>
      <c r="AB4091" s="1821"/>
      <c r="AC4091" s="1821"/>
      <c r="AD4091" s="1821"/>
      <c r="AE4091" s="1821"/>
      <c r="AF4091" s="1821"/>
      <c r="AG4091" s="1821"/>
      <c r="AH4091" s="1821"/>
      <c r="AI4091" s="1821"/>
      <c r="AJ4091" s="1821"/>
      <c r="AK4091" s="1821"/>
      <c r="AL4091" s="1821"/>
      <c r="AM4091" s="1821"/>
      <c r="AN4091" s="1821"/>
      <c r="AO4091" s="1821"/>
      <c r="AP4091" s="1821"/>
      <c r="AQ4091" s="1821"/>
      <c r="AR4091" s="1821"/>
      <c r="AS4091" s="1821"/>
      <c r="AT4091" s="1821"/>
      <c r="AU4091" s="1821"/>
      <c r="AV4091" s="1821"/>
      <c r="AW4091" s="1821"/>
      <c r="AX4091" s="1821"/>
      <c r="AY4091" s="1821"/>
      <c r="AZ4091" s="1821"/>
      <c r="BA4091" s="1821"/>
      <c r="BB4091" s="1821"/>
      <c r="BC4091" s="1821"/>
      <c r="BD4091" s="1821"/>
      <c r="BE4091" s="1821"/>
      <c r="BF4091" s="1821"/>
      <c r="BG4091" s="1821"/>
      <c r="BH4091" s="1821"/>
      <c r="BI4091" s="1821"/>
      <c r="BJ4091" s="1821"/>
      <c r="BK4091" s="1821"/>
      <c r="BL4091" s="1821"/>
      <c r="BM4091" s="1821"/>
      <c r="BN4091" s="1821"/>
      <c r="BO4091" s="1821"/>
      <c r="BP4091" s="1821"/>
      <c r="BQ4091" s="1821"/>
      <c r="BR4091" s="1821"/>
      <c r="BS4091" s="1821"/>
      <c r="BT4091" s="1821"/>
      <c r="BU4091" s="1821"/>
      <c r="BV4091" s="1821"/>
      <c r="BW4091" s="1821"/>
      <c r="BX4091" s="1821"/>
      <c r="BY4091" s="1821"/>
      <c r="BZ4091" s="1821"/>
      <c r="CA4091" s="1821"/>
      <c r="CB4091" s="1821"/>
      <c r="CC4091" s="1821"/>
      <c r="CD4091" s="1821"/>
      <c r="CE4091" s="1821"/>
      <c r="CF4091" s="1821"/>
      <c r="CG4091" s="1821"/>
      <c r="CH4091" s="1821"/>
      <c r="CI4091" s="1821"/>
      <c r="CJ4091" s="1821"/>
      <c r="CK4091" s="1821"/>
    </row>
    <row r="4092" spans="1:89" s="744" customFormat="1" ht="16.5" customHeight="1" x14ac:dyDescent="0.25">
      <c r="A4092" s="1033"/>
      <c r="B4092" s="709" t="s">
        <v>1366</v>
      </c>
      <c r="C4092" s="827">
        <v>180</v>
      </c>
      <c r="D4092" s="961" t="s">
        <v>207</v>
      </c>
      <c r="E4092" s="758">
        <v>740</v>
      </c>
      <c r="F4092" s="714"/>
      <c r="G4092" s="714"/>
      <c r="H4092" s="700">
        <f>G4092+F4092</f>
        <v>0</v>
      </c>
      <c r="I4092" s="714"/>
      <c r="J4092" s="714">
        <f>C4092*E4092</f>
        <v>133200</v>
      </c>
      <c r="K4092" s="700">
        <f>J4092+I4092</f>
        <v>133200</v>
      </c>
      <c r="L4092" s="714"/>
      <c r="M4092" s="714"/>
      <c r="N4092" s="700">
        <f t="shared" si="456"/>
        <v>0</v>
      </c>
      <c r="O4092" s="974">
        <f t="shared" si="457"/>
        <v>133200</v>
      </c>
      <c r="P4092" s="956"/>
      <c r="Q4092" s="1821"/>
      <c r="R4092" s="1821"/>
      <c r="S4092" s="1821"/>
      <c r="T4092" s="1821"/>
      <c r="U4092" s="1821"/>
      <c r="V4092" s="1821"/>
      <c r="W4092" s="1821"/>
      <c r="X4092" s="1821"/>
      <c r="Y4092" s="1821"/>
      <c r="Z4092" s="1821"/>
      <c r="AA4092" s="1821"/>
      <c r="AB4092" s="1821"/>
      <c r="AC4092" s="1821"/>
      <c r="AD4092" s="1821"/>
      <c r="AE4092" s="1821"/>
      <c r="AF4092" s="1821"/>
      <c r="AG4092" s="1821"/>
      <c r="AH4092" s="1821"/>
      <c r="AI4092" s="1821"/>
      <c r="AJ4092" s="1821"/>
      <c r="AK4092" s="1821"/>
      <c r="AL4092" s="1821"/>
      <c r="AM4092" s="1821"/>
      <c r="AN4092" s="1821"/>
      <c r="AO4092" s="1821"/>
      <c r="AP4092" s="1821"/>
      <c r="AQ4092" s="1821"/>
      <c r="AR4092" s="1821"/>
      <c r="AS4092" s="1821"/>
      <c r="AT4092" s="1821"/>
      <c r="AU4092" s="1821"/>
      <c r="AV4092" s="1821"/>
      <c r="AW4092" s="1821"/>
      <c r="AX4092" s="1821"/>
      <c r="AY4092" s="1821"/>
      <c r="AZ4092" s="1821"/>
      <c r="BA4092" s="1821"/>
      <c r="BB4092" s="1821"/>
      <c r="BC4092" s="1821"/>
      <c r="BD4092" s="1821"/>
      <c r="BE4092" s="1821"/>
      <c r="BF4092" s="1821"/>
      <c r="BG4092" s="1821"/>
      <c r="BH4092" s="1821"/>
      <c r="BI4092" s="1821"/>
      <c r="BJ4092" s="1821"/>
      <c r="BK4092" s="1821"/>
      <c r="BL4092" s="1821"/>
      <c r="BM4092" s="1821"/>
      <c r="BN4092" s="1821"/>
      <c r="BO4092" s="1821"/>
      <c r="BP4092" s="1821"/>
      <c r="BQ4092" s="1821"/>
      <c r="BR4092" s="1821"/>
      <c r="BS4092" s="1821"/>
      <c r="BT4092" s="1821"/>
      <c r="BU4092" s="1821"/>
      <c r="BV4092" s="1821"/>
      <c r="BW4092" s="1821"/>
      <c r="BX4092" s="1821"/>
      <c r="BY4092" s="1821"/>
      <c r="BZ4092" s="1821"/>
      <c r="CA4092" s="1821"/>
      <c r="CB4092" s="1821"/>
      <c r="CC4092" s="1821"/>
      <c r="CD4092" s="1821"/>
      <c r="CE4092" s="1821"/>
      <c r="CF4092" s="1821"/>
      <c r="CG4092" s="1821"/>
      <c r="CH4092" s="1821"/>
      <c r="CI4092" s="1821"/>
      <c r="CJ4092" s="1821"/>
      <c r="CK4092" s="1821"/>
    </row>
    <row r="4093" spans="1:89" s="744" customFormat="1" ht="16.5" customHeight="1" x14ac:dyDescent="0.25">
      <c r="A4093" s="1033"/>
      <c r="B4093" s="709" t="s">
        <v>1368</v>
      </c>
      <c r="C4093" s="827">
        <v>54</v>
      </c>
      <c r="D4093" s="961" t="s">
        <v>210</v>
      </c>
      <c r="E4093" s="758">
        <v>1322</v>
      </c>
      <c r="F4093" s="714"/>
      <c r="G4093" s="714"/>
      <c r="H4093" s="700">
        <f>G4093+F4093</f>
        <v>0</v>
      </c>
      <c r="I4093" s="714"/>
      <c r="J4093" s="714">
        <f>C4093*E4093</f>
        <v>71388</v>
      </c>
      <c r="K4093" s="700">
        <f>J4093+I4093</f>
        <v>71388</v>
      </c>
      <c r="L4093" s="714"/>
      <c r="M4093" s="714"/>
      <c r="N4093" s="700">
        <f t="shared" si="456"/>
        <v>0</v>
      </c>
      <c r="O4093" s="974">
        <f t="shared" si="457"/>
        <v>71388</v>
      </c>
      <c r="P4093" s="956"/>
      <c r="Q4093" s="1821"/>
      <c r="R4093" s="1821"/>
      <c r="S4093" s="1821"/>
      <c r="T4093" s="1821"/>
      <c r="U4093" s="1821"/>
      <c r="V4093" s="1821"/>
      <c r="W4093" s="1821"/>
      <c r="X4093" s="1821"/>
      <c r="Y4093" s="1821"/>
      <c r="Z4093" s="1821"/>
      <c r="AA4093" s="1821"/>
      <c r="AB4093" s="1821"/>
      <c r="AC4093" s="1821"/>
      <c r="AD4093" s="1821"/>
      <c r="AE4093" s="1821"/>
      <c r="AF4093" s="1821"/>
      <c r="AG4093" s="1821"/>
      <c r="AH4093" s="1821"/>
      <c r="AI4093" s="1821"/>
      <c r="AJ4093" s="1821"/>
      <c r="AK4093" s="1821"/>
      <c r="AL4093" s="1821"/>
      <c r="AM4093" s="1821"/>
      <c r="AN4093" s="1821"/>
      <c r="AO4093" s="1821"/>
      <c r="AP4093" s="1821"/>
      <c r="AQ4093" s="1821"/>
      <c r="AR4093" s="1821"/>
      <c r="AS4093" s="1821"/>
      <c r="AT4093" s="1821"/>
      <c r="AU4093" s="1821"/>
      <c r="AV4093" s="1821"/>
      <c r="AW4093" s="1821"/>
      <c r="AX4093" s="1821"/>
      <c r="AY4093" s="1821"/>
      <c r="AZ4093" s="1821"/>
      <c r="BA4093" s="1821"/>
      <c r="BB4093" s="1821"/>
      <c r="BC4093" s="1821"/>
      <c r="BD4093" s="1821"/>
      <c r="BE4093" s="1821"/>
      <c r="BF4093" s="1821"/>
      <c r="BG4093" s="1821"/>
      <c r="BH4093" s="1821"/>
      <c r="BI4093" s="1821"/>
      <c r="BJ4093" s="1821"/>
      <c r="BK4093" s="1821"/>
      <c r="BL4093" s="1821"/>
      <c r="BM4093" s="1821"/>
      <c r="BN4093" s="1821"/>
      <c r="BO4093" s="1821"/>
      <c r="BP4093" s="1821"/>
      <c r="BQ4093" s="1821"/>
      <c r="BR4093" s="1821"/>
      <c r="BS4093" s="1821"/>
      <c r="BT4093" s="1821"/>
      <c r="BU4093" s="1821"/>
      <c r="BV4093" s="1821"/>
      <c r="BW4093" s="1821"/>
      <c r="BX4093" s="1821"/>
      <c r="BY4093" s="1821"/>
      <c r="BZ4093" s="1821"/>
      <c r="CA4093" s="1821"/>
      <c r="CB4093" s="1821"/>
      <c r="CC4093" s="1821"/>
      <c r="CD4093" s="1821"/>
      <c r="CE4093" s="1821"/>
      <c r="CF4093" s="1821"/>
      <c r="CG4093" s="1821"/>
      <c r="CH4093" s="1821"/>
      <c r="CI4093" s="1821"/>
      <c r="CJ4093" s="1821"/>
      <c r="CK4093" s="1821"/>
    </row>
    <row r="4094" spans="1:89" s="744" customFormat="1" ht="16.5" customHeight="1" x14ac:dyDescent="0.25">
      <c r="A4094" s="1033"/>
      <c r="B4094" s="709" t="s">
        <v>48</v>
      </c>
      <c r="C4094" s="827"/>
      <c r="D4094" s="961"/>
      <c r="E4094" s="758"/>
      <c r="F4094" s="714"/>
      <c r="G4094" s="714"/>
      <c r="H4094" s="700">
        <f t="shared" si="451"/>
        <v>0</v>
      </c>
      <c r="I4094" s="714"/>
      <c r="J4094" s="714">
        <f t="shared" si="459"/>
        <v>0</v>
      </c>
      <c r="K4094" s="700">
        <f t="shared" si="452"/>
        <v>0</v>
      </c>
      <c r="L4094" s="714"/>
      <c r="M4094" s="714"/>
      <c r="N4094" s="700">
        <f>M4094+L4094</f>
        <v>0</v>
      </c>
      <c r="O4094" s="974">
        <f>N4094+K4094+H4094</f>
        <v>0</v>
      </c>
      <c r="P4094" s="956"/>
      <c r="Q4094" s="1821"/>
      <c r="R4094" s="1821"/>
      <c r="S4094" s="1821"/>
      <c r="T4094" s="1821"/>
      <c r="U4094" s="1821"/>
      <c r="V4094" s="1821"/>
      <c r="W4094" s="1821"/>
      <c r="X4094" s="1821"/>
      <c r="Y4094" s="1821"/>
      <c r="Z4094" s="1821"/>
      <c r="AA4094" s="1821"/>
      <c r="AB4094" s="1821"/>
      <c r="AC4094" s="1821"/>
      <c r="AD4094" s="1821"/>
      <c r="AE4094" s="1821"/>
      <c r="AF4094" s="1821"/>
      <c r="AG4094" s="1821"/>
      <c r="AH4094" s="1821"/>
      <c r="AI4094" s="1821"/>
      <c r="AJ4094" s="1821"/>
      <c r="AK4094" s="1821"/>
      <c r="AL4094" s="1821"/>
      <c r="AM4094" s="1821"/>
      <c r="AN4094" s="1821"/>
      <c r="AO4094" s="1821"/>
      <c r="AP4094" s="1821"/>
      <c r="AQ4094" s="1821"/>
      <c r="AR4094" s="1821"/>
      <c r="AS4094" s="1821"/>
      <c r="AT4094" s="1821"/>
      <c r="AU4094" s="1821"/>
      <c r="AV4094" s="1821"/>
      <c r="AW4094" s="1821"/>
      <c r="AX4094" s="1821"/>
      <c r="AY4094" s="1821"/>
      <c r="AZ4094" s="1821"/>
      <c r="BA4094" s="1821"/>
      <c r="BB4094" s="1821"/>
      <c r="BC4094" s="1821"/>
      <c r="BD4094" s="1821"/>
      <c r="BE4094" s="1821"/>
      <c r="BF4094" s="1821"/>
      <c r="BG4094" s="1821"/>
      <c r="BH4094" s="1821"/>
      <c r="BI4094" s="1821"/>
      <c r="BJ4094" s="1821"/>
      <c r="BK4094" s="1821"/>
      <c r="BL4094" s="1821"/>
      <c r="BM4094" s="1821"/>
      <c r="BN4094" s="1821"/>
      <c r="BO4094" s="1821"/>
      <c r="BP4094" s="1821"/>
      <c r="BQ4094" s="1821"/>
      <c r="BR4094" s="1821"/>
      <c r="BS4094" s="1821"/>
      <c r="BT4094" s="1821"/>
      <c r="BU4094" s="1821"/>
      <c r="BV4094" s="1821"/>
      <c r="BW4094" s="1821"/>
      <c r="BX4094" s="1821"/>
      <c r="BY4094" s="1821"/>
      <c r="BZ4094" s="1821"/>
      <c r="CA4094" s="1821"/>
      <c r="CB4094" s="1821"/>
      <c r="CC4094" s="1821"/>
      <c r="CD4094" s="1821"/>
      <c r="CE4094" s="1821"/>
      <c r="CF4094" s="1821"/>
      <c r="CG4094" s="1821"/>
      <c r="CH4094" s="1821"/>
      <c r="CI4094" s="1821"/>
      <c r="CJ4094" s="1821"/>
      <c r="CK4094" s="1821"/>
    </row>
    <row r="4095" spans="1:89" s="744" customFormat="1" ht="16.5" customHeight="1" x14ac:dyDescent="0.25">
      <c r="A4095" s="1033"/>
      <c r="B4095" s="709" t="s">
        <v>395</v>
      </c>
      <c r="C4095" s="827">
        <v>208</v>
      </c>
      <c r="D4095" s="961" t="s">
        <v>51</v>
      </c>
      <c r="E4095" s="758">
        <v>1098</v>
      </c>
      <c r="F4095" s="714"/>
      <c r="G4095" s="714"/>
      <c r="H4095" s="700">
        <f t="shared" si="451"/>
        <v>0</v>
      </c>
      <c r="I4095" s="714"/>
      <c r="J4095" s="714">
        <f t="shared" si="459"/>
        <v>228384</v>
      </c>
      <c r="K4095" s="700">
        <f t="shared" si="452"/>
        <v>228384</v>
      </c>
      <c r="L4095" s="714"/>
      <c r="M4095" s="714"/>
      <c r="N4095" s="700">
        <f>M4095+L4095</f>
        <v>0</v>
      </c>
      <c r="O4095" s="974">
        <f>N4095+K4095+H4095</f>
        <v>228384</v>
      </c>
      <c r="P4095" s="956"/>
      <c r="Q4095" s="1821"/>
      <c r="R4095" s="1821"/>
      <c r="S4095" s="1821"/>
      <c r="T4095" s="1821"/>
      <c r="U4095" s="1821"/>
      <c r="V4095" s="1821"/>
      <c r="W4095" s="1821"/>
      <c r="X4095" s="1821"/>
      <c r="Y4095" s="1821"/>
      <c r="Z4095" s="1821"/>
      <c r="AA4095" s="1821"/>
      <c r="AB4095" s="1821"/>
      <c r="AC4095" s="1821"/>
      <c r="AD4095" s="1821"/>
      <c r="AE4095" s="1821"/>
      <c r="AF4095" s="1821"/>
      <c r="AG4095" s="1821"/>
      <c r="AH4095" s="1821"/>
      <c r="AI4095" s="1821"/>
      <c r="AJ4095" s="1821"/>
      <c r="AK4095" s="1821"/>
      <c r="AL4095" s="1821"/>
      <c r="AM4095" s="1821"/>
      <c r="AN4095" s="1821"/>
      <c r="AO4095" s="1821"/>
      <c r="AP4095" s="1821"/>
      <c r="AQ4095" s="1821"/>
      <c r="AR4095" s="1821"/>
      <c r="AS4095" s="1821"/>
      <c r="AT4095" s="1821"/>
      <c r="AU4095" s="1821"/>
      <c r="AV4095" s="1821"/>
      <c r="AW4095" s="1821"/>
      <c r="AX4095" s="1821"/>
      <c r="AY4095" s="1821"/>
      <c r="AZ4095" s="1821"/>
      <c r="BA4095" s="1821"/>
      <c r="BB4095" s="1821"/>
      <c r="BC4095" s="1821"/>
      <c r="BD4095" s="1821"/>
      <c r="BE4095" s="1821"/>
      <c r="BF4095" s="1821"/>
      <c r="BG4095" s="1821"/>
      <c r="BH4095" s="1821"/>
      <c r="BI4095" s="1821"/>
      <c r="BJ4095" s="1821"/>
      <c r="BK4095" s="1821"/>
      <c r="BL4095" s="1821"/>
      <c r="BM4095" s="1821"/>
      <c r="BN4095" s="1821"/>
      <c r="BO4095" s="1821"/>
      <c r="BP4095" s="1821"/>
      <c r="BQ4095" s="1821"/>
      <c r="BR4095" s="1821"/>
      <c r="BS4095" s="1821"/>
      <c r="BT4095" s="1821"/>
      <c r="BU4095" s="1821"/>
      <c r="BV4095" s="1821"/>
      <c r="BW4095" s="1821"/>
      <c r="BX4095" s="1821"/>
      <c r="BY4095" s="1821"/>
      <c r="BZ4095" s="1821"/>
      <c r="CA4095" s="1821"/>
      <c r="CB4095" s="1821"/>
      <c r="CC4095" s="1821"/>
      <c r="CD4095" s="1821"/>
      <c r="CE4095" s="1821"/>
      <c r="CF4095" s="1821"/>
      <c r="CG4095" s="1821"/>
      <c r="CH4095" s="1821"/>
      <c r="CI4095" s="1821"/>
      <c r="CJ4095" s="1821"/>
      <c r="CK4095" s="1821"/>
    </row>
    <row r="4096" spans="1:89" s="744" customFormat="1" ht="16.5" customHeight="1" x14ac:dyDescent="0.25">
      <c r="A4096" s="1033"/>
      <c r="B4096" s="709" t="s">
        <v>396</v>
      </c>
      <c r="C4096" s="827">
        <v>648</v>
      </c>
      <c r="D4096" s="961" t="s">
        <v>55</v>
      </c>
      <c r="E4096" s="758">
        <v>437</v>
      </c>
      <c r="F4096" s="714"/>
      <c r="G4096" s="714"/>
      <c r="H4096" s="700">
        <f t="shared" si="451"/>
        <v>0</v>
      </c>
      <c r="I4096" s="714"/>
      <c r="J4096" s="714">
        <f t="shared" si="459"/>
        <v>283176</v>
      </c>
      <c r="K4096" s="700">
        <f t="shared" si="452"/>
        <v>283176</v>
      </c>
      <c r="L4096" s="714"/>
      <c r="M4096" s="714"/>
      <c r="N4096" s="700">
        <f>M4096+L4096</f>
        <v>0</v>
      </c>
      <c r="O4096" s="974">
        <f>N4096+K4096+H4096</f>
        <v>283176</v>
      </c>
      <c r="P4096" s="956"/>
      <c r="Q4096" s="1821"/>
      <c r="R4096" s="1821"/>
      <c r="S4096" s="1821"/>
      <c r="T4096" s="1821"/>
      <c r="U4096" s="1821"/>
      <c r="V4096" s="1821"/>
      <c r="W4096" s="1821"/>
      <c r="X4096" s="1821"/>
      <c r="Y4096" s="1821"/>
      <c r="Z4096" s="1821"/>
      <c r="AA4096" s="1821"/>
      <c r="AB4096" s="1821"/>
      <c r="AC4096" s="1821"/>
      <c r="AD4096" s="1821"/>
      <c r="AE4096" s="1821"/>
      <c r="AF4096" s="1821"/>
      <c r="AG4096" s="1821"/>
      <c r="AH4096" s="1821"/>
      <c r="AI4096" s="1821"/>
      <c r="AJ4096" s="1821"/>
      <c r="AK4096" s="1821"/>
      <c r="AL4096" s="1821"/>
      <c r="AM4096" s="1821"/>
      <c r="AN4096" s="1821"/>
      <c r="AO4096" s="1821"/>
      <c r="AP4096" s="1821"/>
      <c r="AQ4096" s="1821"/>
      <c r="AR4096" s="1821"/>
      <c r="AS4096" s="1821"/>
      <c r="AT4096" s="1821"/>
      <c r="AU4096" s="1821"/>
      <c r="AV4096" s="1821"/>
      <c r="AW4096" s="1821"/>
      <c r="AX4096" s="1821"/>
      <c r="AY4096" s="1821"/>
      <c r="AZ4096" s="1821"/>
      <c r="BA4096" s="1821"/>
      <c r="BB4096" s="1821"/>
      <c r="BC4096" s="1821"/>
      <c r="BD4096" s="1821"/>
      <c r="BE4096" s="1821"/>
      <c r="BF4096" s="1821"/>
      <c r="BG4096" s="1821"/>
      <c r="BH4096" s="1821"/>
      <c r="BI4096" s="1821"/>
      <c r="BJ4096" s="1821"/>
      <c r="BK4096" s="1821"/>
      <c r="BL4096" s="1821"/>
      <c r="BM4096" s="1821"/>
      <c r="BN4096" s="1821"/>
      <c r="BO4096" s="1821"/>
      <c r="BP4096" s="1821"/>
      <c r="BQ4096" s="1821"/>
      <c r="BR4096" s="1821"/>
      <c r="BS4096" s="1821"/>
      <c r="BT4096" s="1821"/>
      <c r="BU4096" s="1821"/>
      <c r="BV4096" s="1821"/>
      <c r="BW4096" s="1821"/>
      <c r="BX4096" s="1821"/>
      <c r="BY4096" s="1821"/>
      <c r="BZ4096" s="1821"/>
      <c r="CA4096" s="1821"/>
      <c r="CB4096" s="1821"/>
      <c r="CC4096" s="1821"/>
      <c r="CD4096" s="1821"/>
      <c r="CE4096" s="1821"/>
      <c r="CF4096" s="1821"/>
      <c r="CG4096" s="1821"/>
      <c r="CH4096" s="1821"/>
      <c r="CI4096" s="1821"/>
      <c r="CJ4096" s="1821"/>
      <c r="CK4096" s="1821"/>
    </row>
    <row r="4097" spans="1:89" s="744" customFormat="1" ht="16.5" customHeight="1" x14ac:dyDescent="0.25">
      <c r="A4097" s="1033"/>
      <c r="B4097" s="709" t="s">
        <v>397</v>
      </c>
      <c r="C4097" s="827">
        <v>356</v>
      </c>
      <c r="D4097" s="961" t="s">
        <v>55</v>
      </c>
      <c r="E4097" s="758">
        <v>526</v>
      </c>
      <c r="F4097" s="714"/>
      <c r="G4097" s="714"/>
      <c r="H4097" s="700">
        <f t="shared" si="451"/>
        <v>0</v>
      </c>
      <c r="I4097" s="714"/>
      <c r="J4097" s="714">
        <f t="shared" si="459"/>
        <v>187256</v>
      </c>
      <c r="K4097" s="700">
        <f t="shared" si="452"/>
        <v>187256</v>
      </c>
      <c r="L4097" s="714"/>
      <c r="M4097" s="714"/>
      <c r="N4097" s="700">
        <f>M4097+L4097</f>
        <v>0</v>
      </c>
      <c r="O4097" s="974">
        <f>N4097+K4097+H4097</f>
        <v>187256</v>
      </c>
      <c r="P4097" s="956"/>
      <c r="Q4097" s="1821"/>
      <c r="R4097" s="1821"/>
      <c r="S4097" s="1821"/>
      <c r="T4097" s="1821"/>
      <c r="U4097" s="1821"/>
      <c r="V4097" s="1821"/>
      <c r="W4097" s="1821"/>
      <c r="X4097" s="1821"/>
      <c r="Y4097" s="1821"/>
      <c r="Z4097" s="1821"/>
      <c r="AA4097" s="1821"/>
      <c r="AB4097" s="1821"/>
      <c r="AC4097" s="1821"/>
      <c r="AD4097" s="1821"/>
      <c r="AE4097" s="1821"/>
      <c r="AF4097" s="1821"/>
      <c r="AG4097" s="1821"/>
      <c r="AH4097" s="1821"/>
      <c r="AI4097" s="1821"/>
      <c r="AJ4097" s="1821"/>
      <c r="AK4097" s="1821"/>
      <c r="AL4097" s="1821"/>
      <c r="AM4097" s="1821"/>
      <c r="AN4097" s="1821"/>
      <c r="AO4097" s="1821"/>
      <c r="AP4097" s="1821"/>
      <c r="AQ4097" s="1821"/>
      <c r="AR4097" s="1821"/>
      <c r="AS4097" s="1821"/>
      <c r="AT4097" s="1821"/>
      <c r="AU4097" s="1821"/>
      <c r="AV4097" s="1821"/>
      <c r="AW4097" s="1821"/>
      <c r="AX4097" s="1821"/>
      <c r="AY4097" s="1821"/>
      <c r="AZ4097" s="1821"/>
      <c r="BA4097" s="1821"/>
      <c r="BB4097" s="1821"/>
      <c r="BC4097" s="1821"/>
      <c r="BD4097" s="1821"/>
      <c r="BE4097" s="1821"/>
      <c r="BF4097" s="1821"/>
      <c r="BG4097" s="1821"/>
      <c r="BH4097" s="1821"/>
      <c r="BI4097" s="1821"/>
      <c r="BJ4097" s="1821"/>
      <c r="BK4097" s="1821"/>
      <c r="BL4097" s="1821"/>
      <c r="BM4097" s="1821"/>
      <c r="BN4097" s="1821"/>
      <c r="BO4097" s="1821"/>
      <c r="BP4097" s="1821"/>
      <c r="BQ4097" s="1821"/>
      <c r="BR4097" s="1821"/>
      <c r="BS4097" s="1821"/>
      <c r="BT4097" s="1821"/>
      <c r="BU4097" s="1821"/>
      <c r="BV4097" s="1821"/>
      <c r="BW4097" s="1821"/>
      <c r="BX4097" s="1821"/>
      <c r="BY4097" s="1821"/>
      <c r="BZ4097" s="1821"/>
      <c r="CA4097" s="1821"/>
      <c r="CB4097" s="1821"/>
      <c r="CC4097" s="1821"/>
      <c r="CD4097" s="1821"/>
      <c r="CE4097" s="1821"/>
      <c r="CF4097" s="1821"/>
      <c r="CG4097" s="1821"/>
      <c r="CH4097" s="1821"/>
      <c r="CI4097" s="1821"/>
      <c r="CJ4097" s="1821"/>
      <c r="CK4097" s="1821"/>
    </row>
    <row r="4098" spans="1:89" s="744" customFormat="1" ht="16.5" customHeight="1" x14ac:dyDescent="0.25">
      <c r="A4098" s="1033"/>
      <c r="B4098" s="709" t="s">
        <v>1378</v>
      </c>
      <c r="C4098" s="827">
        <v>100</v>
      </c>
      <c r="D4098" s="961" t="s">
        <v>55</v>
      </c>
      <c r="E4098" s="758">
        <v>3000</v>
      </c>
      <c r="F4098" s="714"/>
      <c r="G4098" s="714"/>
      <c r="H4098" s="700">
        <f>G4098+F4098</f>
        <v>0</v>
      </c>
      <c r="I4098" s="714"/>
      <c r="J4098" s="714">
        <f>C4098*E4098</f>
        <v>300000</v>
      </c>
      <c r="K4098" s="700">
        <f>J4098+I4098</f>
        <v>300000</v>
      </c>
      <c r="L4098" s="714"/>
      <c r="M4098" s="714"/>
      <c r="N4098" s="700">
        <f t="shared" ref="N4098:N4120" si="460">M4098+L4098</f>
        <v>0</v>
      </c>
      <c r="O4098" s="974">
        <f t="shared" ref="O4098:O4120" si="461">N4098+K4098+H4098</f>
        <v>300000</v>
      </c>
      <c r="P4098" s="956"/>
      <c r="Q4098" s="1821"/>
      <c r="R4098" s="1821"/>
      <c r="S4098" s="1821"/>
      <c r="T4098" s="1821"/>
      <c r="U4098" s="1821"/>
      <c r="V4098" s="1821"/>
      <c r="W4098" s="1821"/>
      <c r="X4098" s="1821"/>
      <c r="Y4098" s="1821"/>
      <c r="Z4098" s="1821"/>
      <c r="AA4098" s="1821"/>
      <c r="AB4098" s="1821"/>
      <c r="AC4098" s="1821"/>
      <c r="AD4098" s="1821"/>
      <c r="AE4098" s="1821"/>
      <c r="AF4098" s="1821"/>
      <c r="AG4098" s="1821"/>
      <c r="AH4098" s="1821"/>
      <c r="AI4098" s="1821"/>
      <c r="AJ4098" s="1821"/>
      <c r="AK4098" s="1821"/>
      <c r="AL4098" s="1821"/>
      <c r="AM4098" s="1821"/>
      <c r="AN4098" s="1821"/>
      <c r="AO4098" s="1821"/>
      <c r="AP4098" s="1821"/>
      <c r="AQ4098" s="1821"/>
      <c r="AR4098" s="1821"/>
      <c r="AS4098" s="1821"/>
      <c r="AT4098" s="1821"/>
      <c r="AU4098" s="1821"/>
      <c r="AV4098" s="1821"/>
      <c r="AW4098" s="1821"/>
      <c r="AX4098" s="1821"/>
      <c r="AY4098" s="1821"/>
      <c r="AZ4098" s="1821"/>
      <c r="BA4098" s="1821"/>
      <c r="BB4098" s="1821"/>
      <c r="BC4098" s="1821"/>
      <c r="BD4098" s="1821"/>
      <c r="BE4098" s="1821"/>
      <c r="BF4098" s="1821"/>
      <c r="BG4098" s="1821"/>
      <c r="BH4098" s="1821"/>
      <c r="BI4098" s="1821"/>
      <c r="BJ4098" s="1821"/>
      <c r="BK4098" s="1821"/>
      <c r="BL4098" s="1821"/>
      <c r="BM4098" s="1821"/>
      <c r="BN4098" s="1821"/>
      <c r="BO4098" s="1821"/>
      <c r="BP4098" s="1821"/>
      <c r="BQ4098" s="1821"/>
      <c r="BR4098" s="1821"/>
      <c r="BS4098" s="1821"/>
      <c r="BT4098" s="1821"/>
      <c r="BU4098" s="1821"/>
      <c r="BV4098" s="1821"/>
      <c r="BW4098" s="1821"/>
      <c r="BX4098" s="1821"/>
      <c r="BY4098" s="1821"/>
      <c r="BZ4098" s="1821"/>
      <c r="CA4098" s="1821"/>
      <c r="CB4098" s="1821"/>
      <c r="CC4098" s="1821"/>
      <c r="CD4098" s="1821"/>
      <c r="CE4098" s="1821"/>
      <c r="CF4098" s="1821"/>
      <c r="CG4098" s="1821"/>
      <c r="CH4098" s="1821"/>
      <c r="CI4098" s="1821"/>
      <c r="CJ4098" s="1821"/>
      <c r="CK4098" s="1821"/>
    </row>
    <row r="4099" spans="1:89" s="744" customFormat="1" ht="16.5" customHeight="1" x14ac:dyDescent="0.25">
      <c r="A4099" s="1033"/>
      <c r="B4099" s="709"/>
      <c r="C4099" s="827"/>
      <c r="D4099" s="961"/>
      <c r="E4099" s="758"/>
      <c r="F4099" s="714"/>
      <c r="G4099" s="714"/>
      <c r="H4099" s="700">
        <f t="shared" si="451"/>
        <v>0</v>
      </c>
      <c r="I4099" s="714"/>
      <c r="J4099" s="714">
        <f t="shared" si="459"/>
        <v>0</v>
      </c>
      <c r="K4099" s="700">
        <f t="shared" si="452"/>
        <v>0</v>
      </c>
      <c r="L4099" s="714"/>
      <c r="M4099" s="714"/>
      <c r="N4099" s="700">
        <f t="shared" si="460"/>
        <v>0</v>
      </c>
      <c r="O4099" s="974">
        <f t="shared" si="461"/>
        <v>0</v>
      </c>
      <c r="P4099" s="956"/>
      <c r="Q4099" s="1821"/>
      <c r="R4099" s="1821"/>
      <c r="S4099" s="1821"/>
      <c r="T4099" s="1821"/>
      <c r="U4099" s="1821"/>
      <c r="V4099" s="1821"/>
      <c r="W4099" s="1821"/>
      <c r="X4099" s="1821"/>
      <c r="Y4099" s="1821"/>
      <c r="Z4099" s="1821"/>
      <c r="AA4099" s="1821"/>
      <c r="AB4099" s="1821"/>
      <c r="AC4099" s="1821"/>
      <c r="AD4099" s="1821"/>
      <c r="AE4099" s="1821"/>
      <c r="AF4099" s="1821"/>
      <c r="AG4099" s="1821"/>
      <c r="AH4099" s="1821"/>
      <c r="AI4099" s="1821"/>
      <c r="AJ4099" s="1821"/>
      <c r="AK4099" s="1821"/>
      <c r="AL4099" s="1821"/>
      <c r="AM4099" s="1821"/>
      <c r="AN4099" s="1821"/>
      <c r="AO4099" s="1821"/>
      <c r="AP4099" s="1821"/>
      <c r="AQ4099" s="1821"/>
      <c r="AR4099" s="1821"/>
      <c r="AS4099" s="1821"/>
      <c r="AT4099" s="1821"/>
      <c r="AU4099" s="1821"/>
      <c r="AV4099" s="1821"/>
      <c r="AW4099" s="1821"/>
      <c r="AX4099" s="1821"/>
      <c r="AY4099" s="1821"/>
      <c r="AZ4099" s="1821"/>
      <c r="BA4099" s="1821"/>
      <c r="BB4099" s="1821"/>
      <c r="BC4099" s="1821"/>
      <c r="BD4099" s="1821"/>
      <c r="BE4099" s="1821"/>
      <c r="BF4099" s="1821"/>
      <c r="BG4099" s="1821"/>
      <c r="BH4099" s="1821"/>
      <c r="BI4099" s="1821"/>
      <c r="BJ4099" s="1821"/>
      <c r="BK4099" s="1821"/>
      <c r="BL4099" s="1821"/>
      <c r="BM4099" s="1821"/>
      <c r="BN4099" s="1821"/>
      <c r="BO4099" s="1821"/>
      <c r="BP4099" s="1821"/>
      <c r="BQ4099" s="1821"/>
      <c r="BR4099" s="1821"/>
      <c r="BS4099" s="1821"/>
      <c r="BT4099" s="1821"/>
      <c r="BU4099" s="1821"/>
      <c r="BV4099" s="1821"/>
      <c r="BW4099" s="1821"/>
      <c r="BX4099" s="1821"/>
      <c r="BY4099" s="1821"/>
      <c r="BZ4099" s="1821"/>
      <c r="CA4099" s="1821"/>
      <c r="CB4099" s="1821"/>
      <c r="CC4099" s="1821"/>
      <c r="CD4099" s="1821"/>
      <c r="CE4099" s="1821"/>
      <c r="CF4099" s="1821"/>
      <c r="CG4099" s="1821"/>
      <c r="CH4099" s="1821"/>
      <c r="CI4099" s="1821"/>
      <c r="CJ4099" s="1821"/>
      <c r="CK4099" s="1821"/>
    </row>
    <row r="4100" spans="1:89" s="744" customFormat="1" ht="16.5" customHeight="1" x14ac:dyDescent="0.25">
      <c r="A4100" s="1033" t="s">
        <v>276</v>
      </c>
      <c r="B4100" s="709" t="s">
        <v>1367</v>
      </c>
      <c r="C4100" s="827">
        <f>SUM(O4102:O4114)</f>
        <v>640061.99286</v>
      </c>
      <c r="D4100" s="961"/>
      <c r="E4100" s="758"/>
      <c r="F4100" s="714"/>
      <c r="G4100" s="714"/>
      <c r="H4100" s="700">
        <f t="shared" si="451"/>
        <v>0</v>
      </c>
      <c r="I4100" s="714"/>
      <c r="J4100" s="714">
        <f t="shared" si="459"/>
        <v>0</v>
      </c>
      <c r="K4100" s="700">
        <f t="shared" si="452"/>
        <v>0</v>
      </c>
      <c r="L4100" s="714"/>
      <c r="M4100" s="714"/>
      <c r="N4100" s="700">
        <f t="shared" si="460"/>
        <v>0</v>
      </c>
      <c r="O4100" s="974">
        <f t="shared" si="461"/>
        <v>0</v>
      </c>
      <c r="P4100" s="956"/>
      <c r="Q4100" s="1821"/>
      <c r="R4100" s="1821"/>
      <c r="S4100" s="1821"/>
      <c r="T4100" s="1821"/>
      <c r="U4100" s="1821"/>
      <c r="V4100" s="1821"/>
      <c r="W4100" s="1821"/>
      <c r="X4100" s="1821"/>
      <c r="Y4100" s="1821"/>
      <c r="Z4100" s="1821"/>
      <c r="AA4100" s="1821"/>
      <c r="AB4100" s="1821"/>
      <c r="AC4100" s="1821"/>
      <c r="AD4100" s="1821"/>
      <c r="AE4100" s="1821"/>
      <c r="AF4100" s="1821"/>
      <c r="AG4100" s="1821"/>
      <c r="AH4100" s="1821"/>
      <c r="AI4100" s="1821"/>
      <c r="AJ4100" s="1821"/>
      <c r="AK4100" s="1821"/>
      <c r="AL4100" s="1821"/>
      <c r="AM4100" s="1821"/>
      <c r="AN4100" s="1821"/>
      <c r="AO4100" s="1821"/>
      <c r="AP4100" s="1821"/>
      <c r="AQ4100" s="1821"/>
      <c r="AR4100" s="1821"/>
      <c r="AS4100" s="1821"/>
      <c r="AT4100" s="1821"/>
      <c r="AU4100" s="1821"/>
      <c r="AV4100" s="1821"/>
      <c r="AW4100" s="1821"/>
      <c r="AX4100" s="1821"/>
      <c r="AY4100" s="1821"/>
      <c r="AZ4100" s="1821"/>
      <c r="BA4100" s="1821"/>
      <c r="BB4100" s="1821"/>
      <c r="BC4100" s="1821"/>
      <c r="BD4100" s="1821"/>
      <c r="BE4100" s="1821"/>
      <c r="BF4100" s="1821"/>
      <c r="BG4100" s="1821"/>
      <c r="BH4100" s="1821"/>
      <c r="BI4100" s="1821"/>
      <c r="BJ4100" s="1821"/>
      <c r="BK4100" s="1821"/>
      <c r="BL4100" s="1821"/>
      <c r="BM4100" s="1821"/>
      <c r="BN4100" s="1821"/>
      <c r="BO4100" s="1821"/>
      <c r="BP4100" s="1821"/>
      <c r="BQ4100" s="1821"/>
      <c r="BR4100" s="1821"/>
      <c r="BS4100" s="1821"/>
      <c r="BT4100" s="1821"/>
      <c r="BU4100" s="1821"/>
      <c r="BV4100" s="1821"/>
      <c r="BW4100" s="1821"/>
      <c r="BX4100" s="1821"/>
      <c r="BY4100" s="1821"/>
      <c r="BZ4100" s="1821"/>
      <c r="CA4100" s="1821"/>
      <c r="CB4100" s="1821"/>
      <c r="CC4100" s="1821"/>
      <c r="CD4100" s="1821"/>
      <c r="CE4100" s="1821"/>
      <c r="CF4100" s="1821"/>
      <c r="CG4100" s="1821"/>
      <c r="CH4100" s="1821"/>
      <c r="CI4100" s="1821"/>
      <c r="CJ4100" s="1821"/>
      <c r="CK4100" s="1821"/>
    </row>
    <row r="4101" spans="1:89" s="744" customFormat="1" ht="16.5" customHeight="1" x14ac:dyDescent="0.25">
      <c r="A4101" s="1033"/>
      <c r="B4101" s="709" t="s">
        <v>340</v>
      </c>
      <c r="C4101" s="827"/>
      <c r="D4101" s="961"/>
      <c r="E4101" s="758"/>
      <c r="F4101" s="714"/>
      <c r="G4101" s="714"/>
      <c r="H4101" s="700">
        <f t="shared" si="451"/>
        <v>0</v>
      </c>
      <c r="I4101" s="714"/>
      <c r="J4101" s="714"/>
      <c r="K4101" s="700">
        <f t="shared" si="452"/>
        <v>0</v>
      </c>
      <c r="L4101" s="714"/>
      <c r="M4101" s="714"/>
      <c r="N4101" s="700">
        <f t="shared" si="460"/>
        <v>0</v>
      </c>
      <c r="O4101" s="974">
        <f t="shared" si="461"/>
        <v>0</v>
      </c>
      <c r="P4101" s="956"/>
      <c r="Q4101" s="1821"/>
      <c r="R4101" s="1821"/>
      <c r="S4101" s="1821"/>
      <c r="T4101" s="1821"/>
      <c r="U4101" s="1821"/>
      <c r="V4101" s="1821"/>
      <c r="W4101" s="1821"/>
      <c r="X4101" s="1821"/>
      <c r="Y4101" s="1821"/>
      <c r="Z4101" s="1821"/>
      <c r="AA4101" s="1821"/>
      <c r="AB4101" s="1821"/>
      <c r="AC4101" s="1821"/>
      <c r="AD4101" s="1821"/>
      <c r="AE4101" s="1821"/>
      <c r="AF4101" s="1821"/>
      <c r="AG4101" s="1821"/>
      <c r="AH4101" s="1821"/>
      <c r="AI4101" s="1821"/>
      <c r="AJ4101" s="1821"/>
      <c r="AK4101" s="1821"/>
      <c r="AL4101" s="1821"/>
      <c r="AM4101" s="1821"/>
      <c r="AN4101" s="1821"/>
      <c r="AO4101" s="1821"/>
      <c r="AP4101" s="1821"/>
      <c r="AQ4101" s="1821"/>
      <c r="AR4101" s="1821"/>
      <c r="AS4101" s="1821"/>
      <c r="AT4101" s="1821"/>
      <c r="AU4101" s="1821"/>
      <c r="AV4101" s="1821"/>
      <c r="AW4101" s="1821"/>
      <c r="AX4101" s="1821"/>
      <c r="AY4101" s="1821"/>
      <c r="AZ4101" s="1821"/>
      <c r="BA4101" s="1821"/>
      <c r="BB4101" s="1821"/>
      <c r="BC4101" s="1821"/>
      <c r="BD4101" s="1821"/>
      <c r="BE4101" s="1821"/>
      <c r="BF4101" s="1821"/>
      <c r="BG4101" s="1821"/>
      <c r="BH4101" s="1821"/>
      <c r="BI4101" s="1821"/>
      <c r="BJ4101" s="1821"/>
      <c r="BK4101" s="1821"/>
      <c r="BL4101" s="1821"/>
      <c r="BM4101" s="1821"/>
      <c r="BN4101" s="1821"/>
      <c r="BO4101" s="1821"/>
      <c r="BP4101" s="1821"/>
      <c r="BQ4101" s="1821"/>
      <c r="BR4101" s="1821"/>
      <c r="BS4101" s="1821"/>
      <c r="BT4101" s="1821"/>
      <c r="BU4101" s="1821"/>
      <c r="BV4101" s="1821"/>
      <c r="BW4101" s="1821"/>
      <c r="BX4101" s="1821"/>
      <c r="BY4101" s="1821"/>
      <c r="BZ4101" s="1821"/>
      <c r="CA4101" s="1821"/>
      <c r="CB4101" s="1821"/>
      <c r="CC4101" s="1821"/>
      <c r="CD4101" s="1821"/>
      <c r="CE4101" s="1821"/>
      <c r="CF4101" s="1821"/>
      <c r="CG4101" s="1821"/>
      <c r="CH4101" s="1821"/>
      <c r="CI4101" s="1821"/>
      <c r="CJ4101" s="1821"/>
      <c r="CK4101" s="1821"/>
    </row>
    <row r="4102" spans="1:89" s="744" customFormat="1" ht="16.5" customHeight="1" x14ac:dyDescent="0.25">
      <c r="A4102" s="1033"/>
      <c r="B4102" s="709" t="s">
        <v>357</v>
      </c>
      <c r="C4102" s="827">
        <v>1</v>
      </c>
      <c r="D4102" s="961" t="s">
        <v>25</v>
      </c>
      <c r="E4102" s="758">
        <v>100778</v>
      </c>
      <c r="F4102" s="714"/>
      <c r="G4102" s="714"/>
      <c r="H4102" s="700">
        <f t="shared" si="451"/>
        <v>0</v>
      </c>
      <c r="I4102" s="714"/>
      <c r="J4102" s="714">
        <f t="shared" ref="J4102:J4126" si="462">C4102*E4102</f>
        <v>100778</v>
      </c>
      <c r="K4102" s="700">
        <f t="shared" si="452"/>
        <v>100778</v>
      </c>
      <c r="L4102" s="714"/>
      <c r="M4102" s="714"/>
      <c r="N4102" s="700">
        <f t="shared" si="460"/>
        <v>0</v>
      </c>
      <c r="O4102" s="974">
        <f t="shared" si="461"/>
        <v>100778</v>
      </c>
      <c r="P4102" s="956"/>
      <c r="Q4102" s="1821"/>
      <c r="R4102" s="1821"/>
      <c r="S4102" s="1821"/>
      <c r="T4102" s="1821"/>
      <c r="U4102" s="1821"/>
      <c r="V4102" s="1821"/>
      <c r="W4102" s="1821"/>
      <c r="X4102" s="1821"/>
      <c r="Y4102" s="1821"/>
      <c r="Z4102" s="1821"/>
      <c r="AA4102" s="1821"/>
      <c r="AB4102" s="1821"/>
      <c r="AC4102" s="1821"/>
      <c r="AD4102" s="1821"/>
      <c r="AE4102" s="1821"/>
      <c r="AF4102" s="1821"/>
      <c r="AG4102" s="1821"/>
      <c r="AH4102" s="1821"/>
      <c r="AI4102" s="1821"/>
      <c r="AJ4102" s="1821"/>
      <c r="AK4102" s="1821"/>
      <c r="AL4102" s="1821"/>
      <c r="AM4102" s="1821"/>
      <c r="AN4102" s="1821"/>
      <c r="AO4102" s="1821"/>
      <c r="AP4102" s="1821"/>
      <c r="AQ4102" s="1821"/>
      <c r="AR4102" s="1821"/>
      <c r="AS4102" s="1821"/>
      <c r="AT4102" s="1821"/>
      <c r="AU4102" s="1821"/>
      <c r="AV4102" s="1821"/>
      <c r="AW4102" s="1821"/>
      <c r="AX4102" s="1821"/>
      <c r="AY4102" s="1821"/>
      <c r="AZ4102" s="1821"/>
      <c r="BA4102" s="1821"/>
      <c r="BB4102" s="1821"/>
      <c r="BC4102" s="1821"/>
      <c r="BD4102" s="1821"/>
      <c r="BE4102" s="1821"/>
      <c r="BF4102" s="1821"/>
      <c r="BG4102" s="1821"/>
      <c r="BH4102" s="1821"/>
      <c r="BI4102" s="1821"/>
      <c r="BJ4102" s="1821"/>
      <c r="BK4102" s="1821"/>
      <c r="BL4102" s="1821"/>
      <c r="BM4102" s="1821"/>
      <c r="BN4102" s="1821"/>
      <c r="BO4102" s="1821"/>
      <c r="BP4102" s="1821"/>
      <c r="BQ4102" s="1821"/>
      <c r="BR4102" s="1821"/>
      <c r="BS4102" s="1821"/>
      <c r="BT4102" s="1821"/>
      <c r="BU4102" s="1821"/>
      <c r="BV4102" s="1821"/>
      <c r="BW4102" s="1821"/>
      <c r="BX4102" s="1821"/>
      <c r="BY4102" s="1821"/>
      <c r="BZ4102" s="1821"/>
      <c r="CA4102" s="1821"/>
      <c r="CB4102" s="1821"/>
      <c r="CC4102" s="1821"/>
      <c r="CD4102" s="1821"/>
      <c r="CE4102" s="1821"/>
      <c r="CF4102" s="1821"/>
      <c r="CG4102" s="1821"/>
      <c r="CH4102" s="1821"/>
      <c r="CI4102" s="1821"/>
      <c r="CJ4102" s="1821"/>
      <c r="CK4102" s="1821"/>
    </row>
    <row r="4103" spans="1:89" s="744" customFormat="1" ht="16.5" customHeight="1" x14ac:dyDescent="0.25">
      <c r="A4103" s="1033" t="s">
        <v>49</v>
      </c>
      <c r="B4103" s="709" t="s">
        <v>409</v>
      </c>
      <c r="C4103" s="827"/>
      <c r="D4103" s="961"/>
      <c r="E4103" s="758"/>
      <c r="F4103" s="714"/>
      <c r="G4103" s="714"/>
      <c r="H4103" s="700">
        <f t="shared" si="451"/>
        <v>0</v>
      </c>
      <c r="I4103" s="714"/>
      <c r="J4103" s="714">
        <f t="shared" si="462"/>
        <v>0</v>
      </c>
      <c r="K4103" s="700">
        <f t="shared" si="452"/>
        <v>0</v>
      </c>
      <c r="L4103" s="714"/>
      <c r="M4103" s="714"/>
      <c r="N4103" s="700">
        <f t="shared" si="460"/>
        <v>0</v>
      </c>
      <c r="O4103" s="974">
        <f t="shared" si="461"/>
        <v>0</v>
      </c>
      <c r="P4103" s="956"/>
      <c r="Q4103" s="1821"/>
      <c r="R4103" s="1821"/>
      <c r="S4103" s="1821"/>
      <c r="T4103" s="1821"/>
      <c r="U4103" s="1821"/>
      <c r="V4103" s="1821"/>
      <c r="W4103" s="1821"/>
      <c r="X4103" s="1821"/>
      <c r="Y4103" s="1821"/>
      <c r="Z4103" s="1821"/>
      <c r="AA4103" s="1821"/>
      <c r="AB4103" s="1821"/>
      <c r="AC4103" s="1821"/>
      <c r="AD4103" s="1821"/>
      <c r="AE4103" s="1821"/>
      <c r="AF4103" s="1821"/>
      <c r="AG4103" s="1821"/>
      <c r="AH4103" s="1821"/>
      <c r="AI4103" s="1821"/>
      <c r="AJ4103" s="1821"/>
      <c r="AK4103" s="1821"/>
      <c r="AL4103" s="1821"/>
      <c r="AM4103" s="1821"/>
      <c r="AN4103" s="1821"/>
      <c r="AO4103" s="1821"/>
      <c r="AP4103" s="1821"/>
      <c r="AQ4103" s="1821"/>
      <c r="AR4103" s="1821"/>
      <c r="AS4103" s="1821"/>
      <c r="AT4103" s="1821"/>
      <c r="AU4103" s="1821"/>
      <c r="AV4103" s="1821"/>
      <c r="AW4103" s="1821"/>
      <c r="AX4103" s="1821"/>
      <c r="AY4103" s="1821"/>
      <c r="AZ4103" s="1821"/>
      <c r="BA4103" s="1821"/>
      <c r="BB4103" s="1821"/>
      <c r="BC4103" s="1821"/>
      <c r="BD4103" s="1821"/>
      <c r="BE4103" s="1821"/>
      <c r="BF4103" s="1821"/>
      <c r="BG4103" s="1821"/>
      <c r="BH4103" s="1821"/>
      <c r="BI4103" s="1821"/>
      <c r="BJ4103" s="1821"/>
      <c r="BK4103" s="1821"/>
      <c r="BL4103" s="1821"/>
      <c r="BM4103" s="1821"/>
      <c r="BN4103" s="1821"/>
      <c r="BO4103" s="1821"/>
      <c r="BP4103" s="1821"/>
      <c r="BQ4103" s="1821"/>
      <c r="BR4103" s="1821"/>
      <c r="BS4103" s="1821"/>
      <c r="BT4103" s="1821"/>
      <c r="BU4103" s="1821"/>
      <c r="BV4103" s="1821"/>
      <c r="BW4103" s="1821"/>
      <c r="BX4103" s="1821"/>
      <c r="BY4103" s="1821"/>
      <c r="BZ4103" s="1821"/>
      <c r="CA4103" s="1821"/>
      <c r="CB4103" s="1821"/>
      <c r="CC4103" s="1821"/>
      <c r="CD4103" s="1821"/>
      <c r="CE4103" s="1821"/>
      <c r="CF4103" s="1821"/>
      <c r="CG4103" s="1821"/>
      <c r="CH4103" s="1821"/>
      <c r="CI4103" s="1821"/>
      <c r="CJ4103" s="1821"/>
      <c r="CK4103" s="1821"/>
    </row>
    <row r="4104" spans="1:89" s="744" customFormat="1" ht="16.5" customHeight="1" x14ac:dyDescent="0.25">
      <c r="A4104" s="1033"/>
      <c r="B4104" s="709" t="s">
        <v>410</v>
      </c>
      <c r="C4104" s="827">
        <v>150</v>
      </c>
      <c r="D4104" s="961" t="s">
        <v>207</v>
      </c>
      <c r="E4104" s="758">
        <v>400</v>
      </c>
      <c r="F4104" s="714"/>
      <c r="G4104" s="714"/>
      <c r="H4104" s="700">
        <f t="shared" si="451"/>
        <v>0</v>
      </c>
      <c r="I4104" s="714"/>
      <c r="J4104" s="714">
        <f t="shared" si="462"/>
        <v>60000</v>
      </c>
      <c r="K4104" s="700">
        <f t="shared" si="452"/>
        <v>60000</v>
      </c>
      <c r="L4104" s="714"/>
      <c r="M4104" s="714"/>
      <c r="N4104" s="700">
        <f t="shared" si="460"/>
        <v>0</v>
      </c>
      <c r="O4104" s="974">
        <f t="shared" si="461"/>
        <v>60000</v>
      </c>
      <c r="P4104" s="956"/>
      <c r="Q4104" s="1821"/>
      <c r="R4104" s="1821"/>
      <c r="S4104" s="1821"/>
      <c r="T4104" s="1821"/>
      <c r="U4104" s="1821"/>
      <c r="V4104" s="1821"/>
      <c r="W4104" s="1821"/>
      <c r="X4104" s="1821"/>
      <c r="Y4104" s="1821"/>
      <c r="Z4104" s="1821"/>
      <c r="AA4104" s="1821"/>
      <c r="AB4104" s="1821"/>
      <c r="AC4104" s="1821"/>
      <c r="AD4104" s="1821"/>
      <c r="AE4104" s="1821"/>
      <c r="AF4104" s="1821"/>
      <c r="AG4104" s="1821"/>
      <c r="AH4104" s="1821"/>
      <c r="AI4104" s="1821"/>
      <c r="AJ4104" s="1821"/>
      <c r="AK4104" s="1821"/>
      <c r="AL4104" s="1821"/>
      <c r="AM4104" s="1821"/>
      <c r="AN4104" s="1821"/>
      <c r="AO4104" s="1821"/>
      <c r="AP4104" s="1821"/>
      <c r="AQ4104" s="1821"/>
      <c r="AR4104" s="1821"/>
      <c r="AS4104" s="1821"/>
      <c r="AT4104" s="1821"/>
      <c r="AU4104" s="1821"/>
      <c r="AV4104" s="1821"/>
      <c r="AW4104" s="1821"/>
      <c r="AX4104" s="1821"/>
      <c r="AY4104" s="1821"/>
      <c r="AZ4104" s="1821"/>
      <c r="BA4104" s="1821"/>
      <c r="BB4104" s="1821"/>
      <c r="BC4104" s="1821"/>
      <c r="BD4104" s="1821"/>
      <c r="BE4104" s="1821"/>
      <c r="BF4104" s="1821"/>
      <c r="BG4104" s="1821"/>
      <c r="BH4104" s="1821"/>
      <c r="BI4104" s="1821"/>
      <c r="BJ4104" s="1821"/>
      <c r="BK4104" s="1821"/>
      <c r="BL4104" s="1821"/>
      <c r="BM4104" s="1821"/>
      <c r="BN4104" s="1821"/>
      <c r="BO4104" s="1821"/>
      <c r="BP4104" s="1821"/>
      <c r="BQ4104" s="1821"/>
      <c r="BR4104" s="1821"/>
      <c r="BS4104" s="1821"/>
      <c r="BT4104" s="1821"/>
      <c r="BU4104" s="1821"/>
      <c r="BV4104" s="1821"/>
      <c r="BW4104" s="1821"/>
      <c r="BX4104" s="1821"/>
      <c r="BY4104" s="1821"/>
      <c r="BZ4104" s="1821"/>
      <c r="CA4104" s="1821"/>
      <c r="CB4104" s="1821"/>
      <c r="CC4104" s="1821"/>
      <c r="CD4104" s="1821"/>
      <c r="CE4104" s="1821"/>
      <c r="CF4104" s="1821"/>
      <c r="CG4104" s="1821"/>
      <c r="CH4104" s="1821"/>
      <c r="CI4104" s="1821"/>
      <c r="CJ4104" s="1821"/>
      <c r="CK4104" s="1821"/>
    </row>
    <row r="4105" spans="1:89" s="744" customFormat="1" ht="16.5" customHeight="1" x14ac:dyDescent="0.25">
      <c r="A4105" s="1033"/>
      <c r="B4105" s="709" t="s">
        <v>224</v>
      </c>
      <c r="C4105" s="827"/>
      <c r="D4105" s="961"/>
      <c r="E4105" s="758"/>
      <c r="F4105" s="714"/>
      <c r="G4105" s="714"/>
      <c r="H4105" s="700">
        <f t="shared" si="451"/>
        <v>0</v>
      </c>
      <c r="I4105" s="714"/>
      <c r="J4105" s="714">
        <f t="shared" si="462"/>
        <v>0</v>
      </c>
      <c r="K4105" s="700">
        <f t="shared" si="452"/>
        <v>0</v>
      </c>
      <c r="L4105" s="714"/>
      <c r="M4105" s="714"/>
      <c r="N4105" s="700">
        <f t="shared" si="460"/>
        <v>0</v>
      </c>
      <c r="O4105" s="974">
        <f t="shared" si="461"/>
        <v>0</v>
      </c>
      <c r="P4105" s="956"/>
      <c r="Q4105" s="1821"/>
      <c r="R4105" s="1821"/>
      <c r="S4105" s="1821"/>
      <c r="T4105" s="1821"/>
      <c r="U4105" s="1821"/>
      <c r="V4105" s="1821"/>
      <c r="W4105" s="1821"/>
      <c r="X4105" s="1821"/>
      <c r="Y4105" s="1821"/>
      <c r="Z4105" s="1821"/>
      <c r="AA4105" s="1821"/>
      <c r="AB4105" s="1821"/>
      <c r="AC4105" s="1821"/>
      <c r="AD4105" s="1821"/>
      <c r="AE4105" s="1821"/>
      <c r="AF4105" s="1821"/>
      <c r="AG4105" s="1821"/>
      <c r="AH4105" s="1821"/>
      <c r="AI4105" s="1821"/>
      <c r="AJ4105" s="1821"/>
      <c r="AK4105" s="1821"/>
      <c r="AL4105" s="1821"/>
      <c r="AM4105" s="1821"/>
      <c r="AN4105" s="1821"/>
      <c r="AO4105" s="1821"/>
      <c r="AP4105" s="1821"/>
      <c r="AQ4105" s="1821"/>
      <c r="AR4105" s="1821"/>
      <c r="AS4105" s="1821"/>
      <c r="AT4105" s="1821"/>
      <c r="AU4105" s="1821"/>
      <c r="AV4105" s="1821"/>
      <c r="AW4105" s="1821"/>
      <c r="AX4105" s="1821"/>
      <c r="AY4105" s="1821"/>
      <c r="AZ4105" s="1821"/>
      <c r="BA4105" s="1821"/>
      <c r="BB4105" s="1821"/>
      <c r="BC4105" s="1821"/>
      <c r="BD4105" s="1821"/>
      <c r="BE4105" s="1821"/>
      <c r="BF4105" s="1821"/>
      <c r="BG4105" s="1821"/>
      <c r="BH4105" s="1821"/>
      <c r="BI4105" s="1821"/>
      <c r="BJ4105" s="1821"/>
      <c r="BK4105" s="1821"/>
      <c r="BL4105" s="1821"/>
      <c r="BM4105" s="1821"/>
      <c r="BN4105" s="1821"/>
      <c r="BO4105" s="1821"/>
      <c r="BP4105" s="1821"/>
      <c r="BQ4105" s="1821"/>
      <c r="BR4105" s="1821"/>
      <c r="BS4105" s="1821"/>
      <c r="BT4105" s="1821"/>
      <c r="BU4105" s="1821"/>
      <c r="BV4105" s="1821"/>
      <c r="BW4105" s="1821"/>
      <c r="BX4105" s="1821"/>
      <c r="BY4105" s="1821"/>
      <c r="BZ4105" s="1821"/>
      <c r="CA4105" s="1821"/>
      <c r="CB4105" s="1821"/>
      <c r="CC4105" s="1821"/>
      <c r="CD4105" s="1821"/>
      <c r="CE4105" s="1821"/>
      <c r="CF4105" s="1821"/>
      <c r="CG4105" s="1821"/>
      <c r="CH4105" s="1821"/>
      <c r="CI4105" s="1821"/>
      <c r="CJ4105" s="1821"/>
      <c r="CK4105" s="1821"/>
    </row>
    <row r="4106" spans="1:89" s="744" customFormat="1" ht="16.5" customHeight="1" x14ac:dyDescent="0.25">
      <c r="A4106" s="1033"/>
      <c r="B4106" s="709" t="s">
        <v>405</v>
      </c>
      <c r="C4106" s="827">
        <v>17</v>
      </c>
      <c r="D4106" s="961" t="s">
        <v>210</v>
      </c>
      <c r="E4106" s="758">
        <v>678</v>
      </c>
      <c r="F4106" s="714"/>
      <c r="G4106" s="714"/>
      <c r="H4106" s="700">
        <f t="shared" si="451"/>
        <v>0</v>
      </c>
      <c r="I4106" s="714"/>
      <c r="J4106" s="714">
        <f t="shared" si="462"/>
        <v>11526</v>
      </c>
      <c r="K4106" s="700">
        <f t="shared" si="452"/>
        <v>11526</v>
      </c>
      <c r="L4106" s="714"/>
      <c r="M4106" s="714"/>
      <c r="N4106" s="700">
        <f t="shared" si="460"/>
        <v>0</v>
      </c>
      <c r="O4106" s="974">
        <f t="shared" si="461"/>
        <v>11526</v>
      </c>
      <c r="P4106" s="956"/>
      <c r="Q4106" s="1821"/>
      <c r="R4106" s="1821"/>
      <c r="S4106" s="1821"/>
      <c r="T4106" s="1821"/>
      <c r="U4106" s="1821"/>
      <c r="V4106" s="1821"/>
      <c r="W4106" s="1821"/>
      <c r="X4106" s="1821"/>
      <c r="Y4106" s="1821"/>
      <c r="Z4106" s="1821"/>
      <c r="AA4106" s="1821"/>
      <c r="AB4106" s="1821"/>
      <c r="AC4106" s="1821"/>
      <c r="AD4106" s="1821"/>
      <c r="AE4106" s="1821"/>
      <c r="AF4106" s="1821"/>
      <c r="AG4106" s="1821"/>
      <c r="AH4106" s="1821"/>
      <c r="AI4106" s="1821"/>
      <c r="AJ4106" s="1821"/>
      <c r="AK4106" s="1821"/>
      <c r="AL4106" s="1821"/>
      <c r="AM4106" s="1821"/>
      <c r="AN4106" s="1821"/>
      <c r="AO4106" s="1821"/>
      <c r="AP4106" s="1821"/>
      <c r="AQ4106" s="1821"/>
      <c r="AR4106" s="1821"/>
      <c r="AS4106" s="1821"/>
      <c r="AT4106" s="1821"/>
      <c r="AU4106" s="1821"/>
      <c r="AV4106" s="1821"/>
      <c r="AW4106" s="1821"/>
      <c r="AX4106" s="1821"/>
      <c r="AY4106" s="1821"/>
      <c r="AZ4106" s="1821"/>
      <c r="BA4106" s="1821"/>
      <c r="BB4106" s="1821"/>
      <c r="BC4106" s="1821"/>
      <c r="BD4106" s="1821"/>
      <c r="BE4106" s="1821"/>
      <c r="BF4106" s="1821"/>
      <c r="BG4106" s="1821"/>
      <c r="BH4106" s="1821"/>
      <c r="BI4106" s="1821"/>
      <c r="BJ4106" s="1821"/>
      <c r="BK4106" s="1821"/>
      <c r="BL4106" s="1821"/>
      <c r="BM4106" s="1821"/>
      <c r="BN4106" s="1821"/>
      <c r="BO4106" s="1821"/>
      <c r="BP4106" s="1821"/>
      <c r="BQ4106" s="1821"/>
      <c r="BR4106" s="1821"/>
      <c r="BS4106" s="1821"/>
      <c r="BT4106" s="1821"/>
      <c r="BU4106" s="1821"/>
      <c r="BV4106" s="1821"/>
      <c r="BW4106" s="1821"/>
      <c r="BX4106" s="1821"/>
      <c r="BY4106" s="1821"/>
      <c r="BZ4106" s="1821"/>
      <c r="CA4106" s="1821"/>
      <c r="CB4106" s="1821"/>
      <c r="CC4106" s="1821"/>
      <c r="CD4106" s="1821"/>
      <c r="CE4106" s="1821"/>
      <c r="CF4106" s="1821"/>
      <c r="CG4106" s="1821"/>
      <c r="CH4106" s="1821"/>
      <c r="CI4106" s="1821"/>
      <c r="CJ4106" s="1821"/>
      <c r="CK4106" s="1821"/>
    </row>
    <row r="4107" spans="1:89" s="744" customFormat="1" ht="16.5" customHeight="1" x14ac:dyDescent="0.25">
      <c r="A4107" s="1033" t="s">
        <v>49</v>
      </c>
      <c r="B4107" s="709" t="s">
        <v>206</v>
      </c>
      <c r="C4107" s="827"/>
      <c r="D4107" s="961"/>
      <c r="E4107" s="758"/>
      <c r="F4107" s="714"/>
      <c r="G4107" s="714"/>
      <c r="H4107" s="700">
        <f t="shared" si="451"/>
        <v>0</v>
      </c>
      <c r="I4107" s="714"/>
      <c r="J4107" s="714">
        <f t="shared" si="462"/>
        <v>0</v>
      </c>
      <c r="K4107" s="700">
        <f t="shared" si="452"/>
        <v>0</v>
      </c>
      <c r="L4107" s="714"/>
      <c r="M4107" s="714"/>
      <c r="N4107" s="700">
        <f t="shared" si="460"/>
        <v>0</v>
      </c>
      <c r="O4107" s="974">
        <f t="shared" si="461"/>
        <v>0</v>
      </c>
      <c r="P4107" s="956"/>
      <c r="Q4107" s="1821"/>
      <c r="R4107" s="1821"/>
      <c r="S4107" s="1821"/>
      <c r="T4107" s="1821"/>
      <c r="U4107" s="1821"/>
      <c r="V4107" s="1821"/>
      <c r="W4107" s="1821"/>
      <c r="X4107" s="1821"/>
      <c r="Y4107" s="1821"/>
      <c r="Z4107" s="1821"/>
      <c r="AA4107" s="1821"/>
      <c r="AB4107" s="1821"/>
      <c r="AC4107" s="1821"/>
      <c r="AD4107" s="1821"/>
      <c r="AE4107" s="1821"/>
      <c r="AF4107" s="1821"/>
      <c r="AG4107" s="1821"/>
      <c r="AH4107" s="1821"/>
      <c r="AI4107" s="1821"/>
      <c r="AJ4107" s="1821"/>
      <c r="AK4107" s="1821"/>
      <c r="AL4107" s="1821"/>
      <c r="AM4107" s="1821"/>
      <c r="AN4107" s="1821"/>
      <c r="AO4107" s="1821"/>
      <c r="AP4107" s="1821"/>
      <c r="AQ4107" s="1821"/>
      <c r="AR4107" s="1821"/>
      <c r="AS4107" s="1821"/>
      <c r="AT4107" s="1821"/>
      <c r="AU4107" s="1821"/>
      <c r="AV4107" s="1821"/>
      <c r="AW4107" s="1821"/>
      <c r="AX4107" s="1821"/>
      <c r="AY4107" s="1821"/>
      <c r="AZ4107" s="1821"/>
      <c r="BA4107" s="1821"/>
      <c r="BB4107" s="1821"/>
      <c r="BC4107" s="1821"/>
      <c r="BD4107" s="1821"/>
      <c r="BE4107" s="1821"/>
      <c r="BF4107" s="1821"/>
      <c r="BG4107" s="1821"/>
      <c r="BH4107" s="1821"/>
      <c r="BI4107" s="1821"/>
      <c r="BJ4107" s="1821"/>
      <c r="BK4107" s="1821"/>
      <c r="BL4107" s="1821"/>
      <c r="BM4107" s="1821"/>
      <c r="BN4107" s="1821"/>
      <c r="BO4107" s="1821"/>
      <c r="BP4107" s="1821"/>
      <c r="BQ4107" s="1821"/>
      <c r="BR4107" s="1821"/>
      <c r="BS4107" s="1821"/>
      <c r="BT4107" s="1821"/>
      <c r="BU4107" s="1821"/>
      <c r="BV4107" s="1821"/>
      <c r="BW4107" s="1821"/>
      <c r="BX4107" s="1821"/>
      <c r="BY4107" s="1821"/>
      <c r="BZ4107" s="1821"/>
      <c r="CA4107" s="1821"/>
      <c r="CB4107" s="1821"/>
      <c r="CC4107" s="1821"/>
      <c r="CD4107" s="1821"/>
      <c r="CE4107" s="1821"/>
      <c r="CF4107" s="1821"/>
      <c r="CG4107" s="1821"/>
      <c r="CH4107" s="1821"/>
      <c r="CI4107" s="1821"/>
      <c r="CJ4107" s="1821"/>
      <c r="CK4107" s="1821"/>
    </row>
    <row r="4108" spans="1:89" s="744" customFormat="1" ht="16.5" customHeight="1" x14ac:dyDescent="0.25">
      <c r="A4108" s="1033"/>
      <c r="B4108" s="709" t="s">
        <v>394</v>
      </c>
      <c r="C4108" s="827">
        <v>13</v>
      </c>
      <c r="D4108" s="961" t="s">
        <v>207</v>
      </c>
      <c r="E4108" s="758">
        <v>319.23021999999997</v>
      </c>
      <c r="F4108" s="714"/>
      <c r="G4108" s="714"/>
      <c r="H4108" s="700">
        <f t="shared" si="451"/>
        <v>0</v>
      </c>
      <c r="I4108" s="714"/>
      <c r="J4108" s="714">
        <f t="shared" si="462"/>
        <v>4149.9928599999994</v>
      </c>
      <c r="K4108" s="700">
        <f t="shared" si="452"/>
        <v>4149.9928599999994</v>
      </c>
      <c r="L4108" s="714"/>
      <c r="M4108" s="714"/>
      <c r="N4108" s="700">
        <f t="shared" si="460"/>
        <v>0</v>
      </c>
      <c r="O4108" s="974">
        <f t="shared" si="461"/>
        <v>4149.9928599999994</v>
      </c>
      <c r="P4108" s="956"/>
      <c r="Q4108" s="1821"/>
      <c r="R4108" s="1821"/>
      <c r="S4108" s="1821"/>
      <c r="T4108" s="1821"/>
      <c r="U4108" s="1821"/>
      <c r="V4108" s="1821"/>
      <c r="W4108" s="1821"/>
      <c r="X4108" s="1821"/>
      <c r="Y4108" s="1821"/>
      <c r="Z4108" s="1821"/>
      <c r="AA4108" s="1821"/>
      <c r="AB4108" s="1821"/>
      <c r="AC4108" s="1821"/>
      <c r="AD4108" s="1821"/>
      <c r="AE4108" s="1821"/>
      <c r="AF4108" s="1821"/>
      <c r="AG4108" s="1821"/>
      <c r="AH4108" s="1821"/>
      <c r="AI4108" s="1821"/>
      <c r="AJ4108" s="1821"/>
      <c r="AK4108" s="1821"/>
      <c r="AL4108" s="1821"/>
      <c r="AM4108" s="1821"/>
      <c r="AN4108" s="1821"/>
      <c r="AO4108" s="1821"/>
      <c r="AP4108" s="1821"/>
      <c r="AQ4108" s="1821"/>
      <c r="AR4108" s="1821"/>
      <c r="AS4108" s="1821"/>
      <c r="AT4108" s="1821"/>
      <c r="AU4108" s="1821"/>
      <c r="AV4108" s="1821"/>
      <c r="AW4108" s="1821"/>
      <c r="AX4108" s="1821"/>
      <c r="AY4108" s="1821"/>
      <c r="AZ4108" s="1821"/>
      <c r="BA4108" s="1821"/>
      <c r="BB4108" s="1821"/>
      <c r="BC4108" s="1821"/>
      <c r="BD4108" s="1821"/>
      <c r="BE4108" s="1821"/>
      <c r="BF4108" s="1821"/>
      <c r="BG4108" s="1821"/>
      <c r="BH4108" s="1821"/>
      <c r="BI4108" s="1821"/>
      <c r="BJ4108" s="1821"/>
      <c r="BK4108" s="1821"/>
      <c r="BL4108" s="1821"/>
      <c r="BM4108" s="1821"/>
      <c r="BN4108" s="1821"/>
      <c r="BO4108" s="1821"/>
      <c r="BP4108" s="1821"/>
      <c r="BQ4108" s="1821"/>
      <c r="BR4108" s="1821"/>
      <c r="BS4108" s="1821"/>
      <c r="BT4108" s="1821"/>
      <c r="BU4108" s="1821"/>
      <c r="BV4108" s="1821"/>
      <c r="BW4108" s="1821"/>
      <c r="BX4108" s="1821"/>
      <c r="BY4108" s="1821"/>
      <c r="BZ4108" s="1821"/>
      <c r="CA4108" s="1821"/>
      <c r="CB4108" s="1821"/>
      <c r="CC4108" s="1821"/>
      <c r="CD4108" s="1821"/>
      <c r="CE4108" s="1821"/>
      <c r="CF4108" s="1821"/>
      <c r="CG4108" s="1821"/>
      <c r="CH4108" s="1821"/>
      <c r="CI4108" s="1821"/>
      <c r="CJ4108" s="1821"/>
      <c r="CK4108" s="1821"/>
    </row>
    <row r="4109" spans="1:89" s="744" customFormat="1" ht="16.5" customHeight="1" x14ac:dyDescent="0.25">
      <c r="A4109" s="1033"/>
      <c r="B4109" s="709" t="s">
        <v>358</v>
      </c>
      <c r="C4109" s="827"/>
      <c r="D4109" s="961"/>
      <c r="E4109" s="758"/>
      <c r="F4109" s="714"/>
      <c r="G4109" s="714"/>
      <c r="H4109" s="700">
        <f t="shared" si="451"/>
        <v>0</v>
      </c>
      <c r="I4109" s="714"/>
      <c r="J4109" s="714">
        <f t="shared" si="462"/>
        <v>0</v>
      </c>
      <c r="K4109" s="700">
        <f t="shared" si="452"/>
        <v>0</v>
      </c>
      <c r="L4109" s="714"/>
      <c r="M4109" s="714"/>
      <c r="N4109" s="700">
        <f t="shared" si="460"/>
        <v>0</v>
      </c>
      <c r="O4109" s="974">
        <f t="shared" si="461"/>
        <v>0</v>
      </c>
      <c r="P4109" s="956"/>
      <c r="Q4109" s="1821"/>
      <c r="R4109" s="1821"/>
      <c r="S4109" s="1821"/>
      <c r="T4109" s="1821"/>
      <c r="U4109" s="1821"/>
      <c r="V4109" s="1821"/>
      <c r="W4109" s="1821"/>
      <c r="X4109" s="1821"/>
      <c r="Y4109" s="1821"/>
      <c r="Z4109" s="1821"/>
      <c r="AA4109" s="1821"/>
      <c r="AB4109" s="1821"/>
      <c r="AC4109" s="1821"/>
      <c r="AD4109" s="1821"/>
      <c r="AE4109" s="1821"/>
      <c r="AF4109" s="1821"/>
      <c r="AG4109" s="1821"/>
      <c r="AH4109" s="1821"/>
      <c r="AI4109" s="1821"/>
      <c r="AJ4109" s="1821"/>
      <c r="AK4109" s="1821"/>
      <c r="AL4109" s="1821"/>
      <c r="AM4109" s="1821"/>
      <c r="AN4109" s="1821"/>
      <c r="AO4109" s="1821"/>
      <c r="AP4109" s="1821"/>
      <c r="AQ4109" s="1821"/>
      <c r="AR4109" s="1821"/>
      <c r="AS4109" s="1821"/>
      <c r="AT4109" s="1821"/>
      <c r="AU4109" s="1821"/>
      <c r="AV4109" s="1821"/>
      <c r="AW4109" s="1821"/>
      <c r="AX4109" s="1821"/>
      <c r="AY4109" s="1821"/>
      <c r="AZ4109" s="1821"/>
      <c r="BA4109" s="1821"/>
      <c r="BB4109" s="1821"/>
      <c r="BC4109" s="1821"/>
      <c r="BD4109" s="1821"/>
      <c r="BE4109" s="1821"/>
      <c r="BF4109" s="1821"/>
      <c r="BG4109" s="1821"/>
      <c r="BH4109" s="1821"/>
      <c r="BI4109" s="1821"/>
      <c r="BJ4109" s="1821"/>
      <c r="BK4109" s="1821"/>
      <c r="BL4109" s="1821"/>
      <c r="BM4109" s="1821"/>
      <c r="BN4109" s="1821"/>
      <c r="BO4109" s="1821"/>
      <c r="BP4109" s="1821"/>
      <c r="BQ4109" s="1821"/>
      <c r="BR4109" s="1821"/>
      <c r="BS4109" s="1821"/>
      <c r="BT4109" s="1821"/>
      <c r="BU4109" s="1821"/>
      <c r="BV4109" s="1821"/>
      <c r="BW4109" s="1821"/>
      <c r="BX4109" s="1821"/>
      <c r="BY4109" s="1821"/>
      <c r="BZ4109" s="1821"/>
      <c r="CA4109" s="1821"/>
      <c r="CB4109" s="1821"/>
      <c r="CC4109" s="1821"/>
      <c r="CD4109" s="1821"/>
      <c r="CE4109" s="1821"/>
      <c r="CF4109" s="1821"/>
      <c r="CG4109" s="1821"/>
      <c r="CH4109" s="1821"/>
      <c r="CI4109" s="1821"/>
      <c r="CJ4109" s="1821"/>
      <c r="CK4109" s="1821"/>
    </row>
    <row r="4110" spans="1:89" s="744" customFormat="1" ht="16.5" customHeight="1" x14ac:dyDescent="0.25">
      <c r="A4110" s="1033"/>
      <c r="B4110" s="709" t="s">
        <v>395</v>
      </c>
      <c r="C4110" s="827">
        <v>80</v>
      </c>
      <c r="D4110" s="961" t="s">
        <v>51</v>
      </c>
      <c r="E4110" s="758">
        <v>2989</v>
      </c>
      <c r="F4110" s="714"/>
      <c r="G4110" s="714"/>
      <c r="H4110" s="700">
        <f t="shared" si="451"/>
        <v>0</v>
      </c>
      <c r="I4110" s="714"/>
      <c r="J4110" s="714">
        <f t="shared" si="462"/>
        <v>239120</v>
      </c>
      <c r="K4110" s="700">
        <f t="shared" si="452"/>
        <v>239120</v>
      </c>
      <c r="L4110" s="714"/>
      <c r="M4110" s="714"/>
      <c r="N4110" s="700">
        <f t="shared" si="460"/>
        <v>0</v>
      </c>
      <c r="O4110" s="974">
        <f t="shared" si="461"/>
        <v>239120</v>
      </c>
      <c r="P4110" s="956"/>
      <c r="Q4110" s="1821"/>
      <c r="R4110" s="1821"/>
      <c r="S4110" s="1821"/>
      <c r="T4110" s="1821"/>
      <c r="U4110" s="1821"/>
      <c r="V4110" s="1821"/>
      <c r="W4110" s="1821"/>
      <c r="X4110" s="1821"/>
      <c r="Y4110" s="1821"/>
      <c r="Z4110" s="1821"/>
      <c r="AA4110" s="1821"/>
      <c r="AB4110" s="1821"/>
      <c r="AC4110" s="1821"/>
      <c r="AD4110" s="1821"/>
      <c r="AE4110" s="1821"/>
      <c r="AF4110" s="1821"/>
      <c r="AG4110" s="1821"/>
      <c r="AH4110" s="1821"/>
      <c r="AI4110" s="1821"/>
      <c r="AJ4110" s="1821"/>
      <c r="AK4110" s="1821"/>
      <c r="AL4110" s="1821"/>
      <c r="AM4110" s="1821"/>
      <c r="AN4110" s="1821"/>
      <c r="AO4110" s="1821"/>
      <c r="AP4110" s="1821"/>
      <c r="AQ4110" s="1821"/>
      <c r="AR4110" s="1821"/>
      <c r="AS4110" s="1821"/>
      <c r="AT4110" s="1821"/>
      <c r="AU4110" s="1821"/>
      <c r="AV4110" s="1821"/>
      <c r="AW4110" s="1821"/>
      <c r="AX4110" s="1821"/>
      <c r="AY4110" s="1821"/>
      <c r="AZ4110" s="1821"/>
      <c r="BA4110" s="1821"/>
      <c r="BB4110" s="1821"/>
      <c r="BC4110" s="1821"/>
      <c r="BD4110" s="1821"/>
      <c r="BE4110" s="1821"/>
      <c r="BF4110" s="1821"/>
      <c r="BG4110" s="1821"/>
      <c r="BH4110" s="1821"/>
      <c r="BI4110" s="1821"/>
      <c r="BJ4110" s="1821"/>
      <c r="BK4110" s="1821"/>
      <c r="BL4110" s="1821"/>
      <c r="BM4110" s="1821"/>
      <c r="BN4110" s="1821"/>
      <c r="BO4110" s="1821"/>
      <c r="BP4110" s="1821"/>
      <c r="BQ4110" s="1821"/>
      <c r="BR4110" s="1821"/>
      <c r="BS4110" s="1821"/>
      <c r="BT4110" s="1821"/>
      <c r="BU4110" s="1821"/>
      <c r="BV4110" s="1821"/>
      <c r="BW4110" s="1821"/>
      <c r="BX4110" s="1821"/>
      <c r="BY4110" s="1821"/>
      <c r="BZ4110" s="1821"/>
      <c r="CA4110" s="1821"/>
      <c r="CB4110" s="1821"/>
      <c r="CC4110" s="1821"/>
      <c r="CD4110" s="1821"/>
      <c r="CE4110" s="1821"/>
      <c r="CF4110" s="1821"/>
      <c r="CG4110" s="1821"/>
      <c r="CH4110" s="1821"/>
      <c r="CI4110" s="1821"/>
      <c r="CJ4110" s="1821"/>
      <c r="CK4110" s="1821"/>
    </row>
    <row r="4111" spans="1:89" s="744" customFormat="1" ht="16.5" customHeight="1" x14ac:dyDescent="0.25">
      <c r="A4111" s="1033"/>
      <c r="B4111" s="709" t="s">
        <v>396</v>
      </c>
      <c r="C4111" s="827">
        <v>240</v>
      </c>
      <c r="D4111" s="961" t="s">
        <v>55</v>
      </c>
      <c r="E4111" s="758">
        <v>423</v>
      </c>
      <c r="F4111" s="714"/>
      <c r="G4111" s="714"/>
      <c r="H4111" s="700">
        <f t="shared" si="451"/>
        <v>0</v>
      </c>
      <c r="I4111" s="714"/>
      <c r="J4111" s="714">
        <f t="shared" si="462"/>
        <v>101520</v>
      </c>
      <c r="K4111" s="700">
        <f t="shared" si="452"/>
        <v>101520</v>
      </c>
      <c r="L4111" s="714"/>
      <c r="M4111" s="714"/>
      <c r="N4111" s="700">
        <f t="shared" si="460"/>
        <v>0</v>
      </c>
      <c r="O4111" s="974">
        <f t="shared" si="461"/>
        <v>101520</v>
      </c>
      <c r="P4111" s="956"/>
      <c r="Q4111" s="1821"/>
      <c r="R4111" s="1821"/>
      <c r="S4111" s="1821"/>
      <c r="T4111" s="1821"/>
      <c r="U4111" s="1821"/>
      <c r="V4111" s="1821"/>
      <c r="W4111" s="1821"/>
      <c r="X4111" s="1821"/>
      <c r="Y4111" s="1821"/>
      <c r="Z4111" s="1821"/>
      <c r="AA4111" s="1821"/>
      <c r="AB4111" s="1821"/>
      <c r="AC4111" s="1821"/>
      <c r="AD4111" s="1821"/>
      <c r="AE4111" s="1821"/>
      <c r="AF4111" s="1821"/>
      <c r="AG4111" s="1821"/>
      <c r="AH4111" s="1821"/>
      <c r="AI4111" s="1821"/>
      <c r="AJ4111" s="1821"/>
      <c r="AK4111" s="1821"/>
      <c r="AL4111" s="1821"/>
      <c r="AM4111" s="1821"/>
      <c r="AN4111" s="1821"/>
      <c r="AO4111" s="1821"/>
      <c r="AP4111" s="1821"/>
      <c r="AQ4111" s="1821"/>
      <c r="AR4111" s="1821"/>
      <c r="AS4111" s="1821"/>
      <c r="AT4111" s="1821"/>
      <c r="AU4111" s="1821"/>
      <c r="AV4111" s="1821"/>
      <c r="AW4111" s="1821"/>
      <c r="AX4111" s="1821"/>
      <c r="AY4111" s="1821"/>
      <c r="AZ4111" s="1821"/>
      <c r="BA4111" s="1821"/>
      <c r="BB4111" s="1821"/>
      <c r="BC4111" s="1821"/>
      <c r="BD4111" s="1821"/>
      <c r="BE4111" s="1821"/>
      <c r="BF4111" s="1821"/>
      <c r="BG4111" s="1821"/>
      <c r="BH4111" s="1821"/>
      <c r="BI4111" s="1821"/>
      <c r="BJ4111" s="1821"/>
      <c r="BK4111" s="1821"/>
      <c r="BL4111" s="1821"/>
      <c r="BM4111" s="1821"/>
      <c r="BN4111" s="1821"/>
      <c r="BO4111" s="1821"/>
      <c r="BP4111" s="1821"/>
      <c r="BQ4111" s="1821"/>
      <c r="BR4111" s="1821"/>
      <c r="BS4111" s="1821"/>
      <c r="BT4111" s="1821"/>
      <c r="BU4111" s="1821"/>
      <c r="BV4111" s="1821"/>
      <c r="BW4111" s="1821"/>
      <c r="BX4111" s="1821"/>
      <c r="BY4111" s="1821"/>
      <c r="BZ4111" s="1821"/>
      <c r="CA4111" s="1821"/>
      <c r="CB4111" s="1821"/>
      <c r="CC4111" s="1821"/>
      <c r="CD4111" s="1821"/>
      <c r="CE4111" s="1821"/>
      <c r="CF4111" s="1821"/>
      <c r="CG4111" s="1821"/>
      <c r="CH4111" s="1821"/>
      <c r="CI4111" s="1821"/>
      <c r="CJ4111" s="1821"/>
      <c r="CK4111" s="1821"/>
    </row>
    <row r="4112" spans="1:89" s="744" customFormat="1" ht="16.5" customHeight="1" x14ac:dyDescent="0.25">
      <c r="A4112" s="1033"/>
      <c r="B4112" s="709" t="s">
        <v>397</v>
      </c>
      <c r="C4112" s="827">
        <v>164</v>
      </c>
      <c r="D4112" s="961" t="s">
        <v>55</v>
      </c>
      <c r="E4112" s="758">
        <v>502</v>
      </c>
      <c r="F4112" s="714"/>
      <c r="G4112" s="714"/>
      <c r="H4112" s="700">
        <f>G4112+F4112</f>
        <v>0</v>
      </c>
      <c r="I4112" s="714"/>
      <c r="J4112" s="714">
        <f t="shared" si="462"/>
        <v>82328</v>
      </c>
      <c r="K4112" s="700">
        <f>J4112+I4112</f>
        <v>82328</v>
      </c>
      <c r="L4112" s="714"/>
      <c r="M4112" s="714"/>
      <c r="N4112" s="700">
        <f t="shared" si="460"/>
        <v>0</v>
      </c>
      <c r="O4112" s="974">
        <f t="shared" si="461"/>
        <v>82328</v>
      </c>
      <c r="P4112" s="956"/>
      <c r="Q4112" s="1821"/>
      <c r="R4112" s="1821"/>
      <c r="S4112" s="1821"/>
      <c r="T4112" s="1821"/>
      <c r="U4112" s="1821"/>
      <c r="V4112" s="1821"/>
      <c r="W4112" s="1821"/>
      <c r="X4112" s="1821"/>
      <c r="Y4112" s="1821"/>
      <c r="Z4112" s="1821"/>
      <c r="AA4112" s="1821"/>
      <c r="AB4112" s="1821"/>
      <c r="AC4112" s="1821"/>
      <c r="AD4112" s="1821"/>
      <c r="AE4112" s="1821"/>
      <c r="AF4112" s="1821"/>
      <c r="AG4112" s="1821"/>
      <c r="AH4112" s="1821"/>
      <c r="AI4112" s="1821"/>
      <c r="AJ4112" s="1821"/>
      <c r="AK4112" s="1821"/>
      <c r="AL4112" s="1821"/>
      <c r="AM4112" s="1821"/>
      <c r="AN4112" s="1821"/>
      <c r="AO4112" s="1821"/>
      <c r="AP4112" s="1821"/>
      <c r="AQ4112" s="1821"/>
      <c r="AR4112" s="1821"/>
      <c r="AS4112" s="1821"/>
      <c r="AT4112" s="1821"/>
      <c r="AU4112" s="1821"/>
      <c r="AV4112" s="1821"/>
      <c r="AW4112" s="1821"/>
      <c r="AX4112" s="1821"/>
      <c r="AY4112" s="1821"/>
      <c r="AZ4112" s="1821"/>
      <c r="BA4112" s="1821"/>
      <c r="BB4112" s="1821"/>
      <c r="BC4112" s="1821"/>
      <c r="BD4112" s="1821"/>
      <c r="BE4112" s="1821"/>
      <c r="BF4112" s="1821"/>
      <c r="BG4112" s="1821"/>
      <c r="BH4112" s="1821"/>
      <c r="BI4112" s="1821"/>
      <c r="BJ4112" s="1821"/>
      <c r="BK4112" s="1821"/>
      <c r="BL4112" s="1821"/>
      <c r="BM4112" s="1821"/>
      <c r="BN4112" s="1821"/>
      <c r="BO4112" s="1821"/>
      <c r="BP4112" s="1821"/>
      <c r="BQ4112" s="1821"/>
      <c r="BR4112" s="1821"/>
      <c r="BS4112" s="1821"/>
      <c r="BT4112" s="1821"/>
      <c r="BU4112" s="1821"/>
      <c r="BV4112" s="1821"/>
      <c r="BW4112" s="1821"/>
      <c r="BX4112" s="1821"/>
      <c r="BY4112" s="1821"/>
      <c r="BZ4112" s="1821"/>
      <c r="CA4112" s="1821"/>
      <c r="CB4112" s="1821"/>
      <c r="CC4112" s="1821"/>
      <c r="CD4112" s="1821"/>
      <c r="CE4112" s="1821"/>
      <c r="CF4112" s="1821"/>
      <c r="CG4112" s="1821"/>
      <c r="CH4112" s="1821"/>
      <c r="CI4112" s="1821"/>
      <c r="CJ4112" s="1821"/>
      <c r="CK4112" s="1821"/>
    </row>
    <row r="4113" spans="1:89" s="744" customFormat="1" ht="16.5" customHeight="1" x14ac:dyDescent="0.25">
      <c r="A4113" s="1033"/>
      <c r="B4113" s="709" t="s">
        <v>399</v>
      </c>
      <c r="C4113" s="827">
        <v>80</v>
      </c>
      <c r="D4113" s="961" t="s">
        <v>207</v>
      </c>
      <c r="E4113" s="758">
        <v>80</v>
      </c>
      <c r="F4113" s="714"/>
      <c r="G4113" s="714"/>
      <c r="H4113" s="700">
        <f>G4113+F4113</f>
        <v>0</v>
      </c>
      <c r="I4113" s="714"/>
      <c r="J4113" s="714">
        <f t="shared" si="462"/>
        <v>6400</v>
      </c>
      <c r="K4113" s="700">
        <f>J4113+I4113</f>
        <v>6400</v>
      </c>
      <c r="L4113" s="714"/>
      <c r="M4113" s="714"/>
      <c r="N4113" s="700">
        <f t="shared" si="460"/>
        <v>0</v>
      </c>
      <c r="O4113" s="974">
        <f t="shared" si="461"/>
        <v>6400</v>
      </c>
      <c r="P4113" s="956"/>
      <c r="Q4113" s="1821"/>
      <c r="R4113" s="1821"/>
      <c r="S4113" s="1821"/>
      <c r="T4113" s="1821"/>
      <c r="U4113" s="1821"/>
      <c r="V4113" s="1821"/>
      <c r="W4113" s="1821"/>
      <c r="X4113" s="1821"/>
      <c r="Y4113" s="1821"/>
      <c r="Z4113" s="1821"/>
      <c r="AA4113" s="1821"/>
      <c r="AB4113" s="1821"/>
      <c r="AC4113" s="1821"/>
      <c r="AD4113" s="1821"/>
      <c r="AE4113" s="1821"/>
      <c r="AF4113" s="1821"/>
      <c r="AG4113" s="1821"/>
      <c r="AH4113" s="1821"/>
      <c r="AI4113" s="1821"/>
      <c r="AJ4113" s="1821"/>
      <c r="AK4113" s="1821"/>
      <c r="AL4113" s="1821"/>
      <c r="AM4113" s="1821"/>
      <c r="AN4113" s="1821"/>
      <c r="AO4113" s="1821"/>
      <c r="AP4113" s="1821"/>
      <c r="AQ4113" s="1821"/>
      <c r="AR4113" s="1821"/>
      <c r="AS4113" s="1821"/>
      <c r="AT4113" s="1821"/>
      <c r="AU4113" s="1821"/>
      <c r="AV4113" s="1821"/>
      <c r="AW4113" s="1821"/>
      <c r="AX4113" s="1821"/>
      <c r="AY4113" s="1821"/>
      <c r="AZ4113" s="1821"/>
      <c r="BA4113" s="1821"/>
      <c r="BB4113" s="1821"/>
      <c r="BC4113" s="1821"/>
      <c r="BD4113" s="1821"/>
      <c r="BE4113" s="1821"/>
      <c r="BF4113" s="1821"/>
      <c r="BG4113" s="1821"/>
      <c r="BH4113" s="1821"/>
      <c r="BI4113" s="1821"/>
      <c r="BJ4113" s="1821"/>
      <c r="BK4113" s="1821"/>
      <c r="BL4113" s="1821"/>
      <c r="BM4113" s="1821"/>
      <c r="BN4113" s="1821"/>
      <c r="BO4113" s="1821"/>
      <c r="BP4113" s="1821"/>
      <c r="BQ4113" s="1821"/>
      <c r="BR4113" s="1821"/>
      <c r="BS4113" s="1821"/>
      <c r="BT4113" s="1821"/>
      <c r="BU4113" s="1821"/>
      <c r="BV4113" s="1821"/>
      <c r="BW4113" s="1821"/>
      <c r="BX4113" s="1821"/>
      <c r="BY4113" s="1821"/>
      <c r="BZ4113" s="1821"/>
      <c r="CA4113" s="1821"/>
      <c r="CB4113" s="1821"/>
      <c r="CC4113" s="1821"/>
      <c r="CD4113" s="1821"/>
      <c r="CE4113" s="1821"/>
      <c r="CF4113" s="1821"/>
      <c r="CG4113" s="1821"/>
      <c r="CH4113" s="1821"/>
      <c r="CI4113" s="1821"/>
      <c r="CJ4113" s="1821"/>
      <c r="CK4113" s="1821"/>
    </row>
    <row r="4114" spans="1:89" s="744" customFormat="1" ht="16.5" customHeight="1" x14ac:dyDescent="0.25">
      <c r="A4114" s="1033"/>
      <c r="B4114" s="709" t="s">
        <v>400</v>
      </c>
      <c r="C4114" s="827">
        <v>320</v>
      </c>
      <c r="D4114" s="961" t="s">
        <v>55</v>
      </c>
      <c r="E4114" s="758">
        <v>107</v>
      </c>
      <c r="F4114" s="714"/>
      <c r="G4114" s="714"/>
      <c r="H4114" s="700">
        <f t="shared" si="451"/>
        <v>0</v>
      </c>
      <c r="I4114" s="714"/>
      <c r="J4114" s="714">
        <f t="shared" si="462"/>
        <v>34240</v>
      </c>
      <c r="K4114" s="700">
        <f t="shared" si="452"/>
        <v>34240</v>
      </c>
      <c r="L4114" s="714"/>
      <c r="M4114" s="714"/>
      <c r="N4114" s="700">
        <f t="shared" si="460"/>
        <v>0</v>
      </c>
      <c r="O4114" s="974">
        <f t="shared" si="461"/>
        <v>34240</v>
      </c>
      <c r="P4114" s="956"/>
      <c r="Q4114" s="1821"/>
      <c r="R4114" s="1821"/>
      <c r="S4114" s="1821"/>
      <c r="T4114" s="1821"/>
      <c r="U4114" s="1821"/>
      <c r="V4114" s="1821"/>
      <c r="W4114" s="1821"/>
      <c r="X4114" s="1821"/>
      <c r="Y4114" s="1821"/>
      <c r="Z4114" s="1821"/>
      <c r="AA4114" s="1821"/>
      <c r="AB4114" s="1821"/>
      <c r="AC4114" s="1821"/>
      <c r="AD4114" s="1821"/>
      <c r="AE4114" s="1821"/>
      <c r="AF4114" s="1821"/>
      <c r="AG4114" s="1821"/>
      <c r="AH4114" s="1821"/>
      <c r="AI4114" s="1821"/>
      <c r="AJ4114" s="1821"/>
      <c r="AK4114" s="1821"/>
      <c r="AL4114" s="1821"/>
      <c r="AM4114" s="1821"/>
      <c r="AN4114" s="1821"/>
      <c r="AO4114" s="1821"/>
      <c r="AP4114" s="1821"/>
      <c r="AQ4114" s="1821"/>
      <c r="AR4114" s="1821"/>
      <c r="AS4114" s="1821"/>
      <c r="AT4114" s="1821"/>
      <c r="AU4114" s="1821"/>
      <c r="AV4114" s="1821"/>
      <c r="AW4114" s="1821"/>
      <c r="AX4114" s="1821"/>
      <c r="AY4114" s="1821"/>
      <c r="AZ4114" s="1821"/>
      <c r="BA4114" s="1821"/>
      <c r="BB4114" s="1821"/>
      <c r="BC4114" s="1821"/>
      <c r="BD4114" s="1821"/>
      <c r="BE4114" s="1821"/>
      <c r="BF4114" s="1821"/>
      <c r="BG4114" s="1821"/>
      <c r="BH4114" s="1821"/>
      <c r="BI4114" s="1821"/>
      <c r="BJ4114" s="1821"/>
      <c r="BK4114" s="1821"/>
      <c r="BL4114" s="1821"/>
      <c r="BM4114" s="1821"/>
      <c r="BN4114" s="1821"/>
      <c r="BO4114" s="1821"/>
      <c r="BP4114" s="1821"/>
      <c r="BQ4114" s="1821"/>
      <c r="BR4114" s="1821"/>
      <c r="BS4114" s="1821"/>
      <c r="BT4114" s="1821"/>
      <c r="BU4114" s="1821"/>
      <c r="BV4114" s="1821"/>
      <c r="BW4114" s="1821"/>
      <c r="BX4114" s="1821"/>
      <c r="BY4114" s="1821"/>
      <c r="BZ4114" s="1821"/>
      <c r="CA4114" s="1821"/>
      <c r="CB4114" s="1821"/>
      <c r="CC4114" s="1821"/>
      <c r="CD4114" s="1821"/>
      <c r="CE4114" s="1821"/>
      <c r="CF4114" s="1821"/>
      <c r="CG4114" s="1821"/>
      <c r="CH4114" s="1821"/>
      <c r="CI4114" s="1821"/>
      <c r="CJ4114" s="1821"/>
      <c r="CK4114" s="1821"/>
    </row>
    <row r="4115" spans="1:89" s="744" customFormat="1" ht="16.5" customHeight="1" x14ac:dyDescent="0.25">
      <c r="A4115" s="1033"/>
      <c r="B4115" s="709"/>
      <c r="C4115" s="827"/>
      <c r="D4115" s="961"/>
      <c r="E4115" s="758"/>
      <c r="F4115" s="714"/>
      <c r="G4115" s="714"/>
      <c r="H4115" s="700">
        <f t="shared" si="451"/>
        <v>0</v>
      </c>
      <c r="I4115" s="714"/>
      <c r="J4115" s="714">
        <f t="shared" si="462"/>
        <v>0</v>
      </c>
      <c r="K4115" s="700">
        <f t="shared" si="452"/>
        <v>0</v>
      </c>
      <c r="L4115" s="714"/>
      <c r="M4115" s="714"/>
      <c r="N4115" s="700">
        <f t="shared" si="460"/>
        <v>0</v>
      </c>
      <c r="O4115" s="974">
        <f t="shared" si="461"/>
        <v>0</v>
      </c>
      <c r="P4115" s="956"/>
      <c r="Q4115" s="1821"/>
      <c r="R4115" s="1821"/>
      <c r="S4115" s="1821"/>
      <c r="T4115" s="1821"/>
      <c r="U4115" s="1821"/>
      <c r="V4115" s="1821"/>
      <c r="W4115" s="1821"/>
      <c r="X4115" s="1821"/>
      <c r="Y4115" s="1821"/>
      <c r="Z4115" s="1821"/>
      <c r="AA4115" s="1821"/>
      <c r="AB4115" s="1821"/>
      <c r="AC4115" s="1821"/>
      <c r="AD4115" s="1821"/>
      <c r="AE4115" s="1821"/>
      <c r="AF4115" s="1821"/>
      <c r="AG4115" s="1821"/>
      <c r="AH4115" s="1821"/>
      <c r="AI4115" s="1821"/>
      <c r="AJ4115" s="1821"/>
      <c r="AK4115" s="1821"/>
      <c r="AL4115" s="1821"/>
      <c r="AM4115" s="1821"/>
      <c r="AN4115" s="1821"/>
      <c r="AO4115" s="1821"/>
      <c r="AP4115" s="1821"/>
      <c r="AQ4115" s="1821"/>
      <c r="AR4115" s="1821"/>
      <c r="AS4115" s="1821"/>
      <c r="AT4115" s="1821"/>
      <c r="AU4115" s="1821"/>
      <c r="AV4115" s="1821"/>
      <c r="AW4115" s="1821"/>
      <c r="AX4115" s="1821"/>
      <c r="AY4115" s="1821"/>
      <c r="AZ4115" s="1821"/>
      <c r="BA4115" s="1821"/>
      <c r="BB4115" s="1821"/>
      <c r="BC4115" s="1821"/>
      <c r="BD4115" s="1821"/>
      <c r="BE4115" s="1821"/>
      <c r="BF4115" s="1821"/>
      <c r="BG4115" s="1821"/>
      <c r="BH4115" s="1821"/>
      <c r="BI4115" s="1821"/>
      <c r="BJ4115" s="1821"/>
      <c r="BK4115" s="1821"/>
      <c r="BL4115" s="1821"/>
      <c r="BM4115" s="1821"/>
      <c r="BN4115" s="1821"/>
      <c r="BO4115" s="1821"/>
      <c r="BP4115" s="1821"/>
      <c r="BQ4115" s="1821"/>
      <c r="BR4115" s="1821"/>
      <c r="BS4115" s="1821"/>
      <c r="BT4115" s="1821"/>
      <c r="BU4115" s="1821"/>
      <c r="BV4115" s="1821"/>
      <c r="BW4115" s="1821"/>
      <c r="BX4115" s="1821"/>
      <c r="BY4115" s="1821"/>
      <c r="BZ4115" s="1821"/>
      <c r="CA4115" s="1821"/>
      <c r="CB4115" s="1821"/>
      <c r="CC4115" s="1821"/>
      <c r="CD4115" s="1821"/>
      <c r="CE4115" s="1821"/>
      <c r="CF4115" s="1821"/>
      <c r="CG4115" s="1821"/>
      <c r="CH4115" s="1821"/>
      <c r="CI4115" s="1821"/>
      <c r="CJ4115" s="1821"/>
      <c r="CK4115" s="1821"/>
    </row>
    <row r="4116" spans="1:89" s="744" customFormat="1" ht="16.5" customHeight="1" x14ac:dyDescent="0.25">
      <c r="A4116" s="1033" t="s">
        <v>280</v>
      </c>
      <c r="B4116" s="709" t="s">
        <v>411</v>
      </c>
      <c r="C4116" s="827">
        <f>SUM(O4118:O4129)</f>
        <v>532890</v>
      </c>
      <c r="D4116" s="961"/>
      <c r="E4116" s="758"/>
      <c r="F4116" s="714"/>
      <c r="G4116" s="714"/>
      <c r="H4116" s="700">
        <f t="shared" ref="H4116:H4158" si="463">G4116+F4116</f>
        <v>0</v>
      </c>
      <c r="I4116" s="714"/>
      <c r="J4116" s="714">
        <f t="shared" si="462"/>
        <v>0</v>
      </c>
      <c r="K4116" s="700">
        <f t="shared" ref="K4116:K4158" si="464">J4116+I4116</f>
        <v>0</v>
      </c>
      <c r="L4116" s="714"/>
      <c r="M4116" s="714"/>
      <c r="N4116" s="700">
        <f t="shared" si="460"/>
        <v>0</v>
      </c>
      <c r="O4116" s="974">
        <f t="shared" si="461"/>
        <v>0</v>
      </c>
      <c r="P4116" s="956"/>
      <c r="Q4116" s="1821"/>
      <c r="R4116" s="1821"/>
      <c r="S4116" s="1821"/>
      <c r="T4116" s="1821"/>
      <c r="U4116" s="1821"/>
      <c r="V4116" s="1821"/>
      <c r="W4116" s="1821"/>
      <c r="X4116" s="1821"/>
      <c r="Y4116" s="1821"/>
      <c r="Z4116" s="1821"/>
      <c r="AA4116" s="1821"/>
      <c r="AB4116" s="1821"/>
      <c r="AC4116" s="1821"/>
      <c r="AD4116" s="1821"/>
      <c r="AE4116" s="1821"/>
      <c r="AF4116" s="1821"/>
      <c r="AG4116" s="1821"/>
      <c r="AH4116" s="1821"/>
      <c r="AI4116" s="1821"/>
      <c r="AJ4116" s="1821"/>
      <c r="AK4116" s="1821"/>
      <c r="AL4116" s="1821"/>
      <c r="AM4116" s="1821"/>
      <c r="AN4116" s="1821"/>
      <c r="AO4116" s="1821"/>
      <c r="AP4116" s="1821"/>
      <c r="AQ4116" s="1821"/>
      <c r="AR4116" s="1821"/>
      <c r="AS4116" s="1821"/>
      <c r="AT4116" s="1821"/>
      <c r="AU4116" s="1821"/>
      <c r="AV4116" s="1821"/>
      <c r="AW4116" s="1821"/>
      <c r="AX4116" s="1821"/>
      <c r="AY4116" s="1821"/>
      <c r="AZ4116" s="1821"/>
      <c r="BA4116" s="1821"/>
      <c r="BB4116" s="1821"/>
      <c r="BC4116" s="1821"/>
      <c r="BD4116" s="1821"/>
      <c r="BE4116" s="1821"/>
      <c r="BF4116" s="1821"/>
      <c r="BG4116" s="1821"/>
      <c r="BH4116" s="1821"/>
      <c r="BI4116" s="1821"/>
      <c r="BJ4116" s="1821"/>
      <c r="BK4116" s="1821"/>
      <c r="BL4116" s="1821"/>
      <c r="BM4116" s="1821"/>
      <c r="BN4116" s="1821"/>
      <c r="BO4116" s="1821"/>
      <c r="BP4116" s="1821"/>
      <c r="BQ4116" s="1821"/>
      <c r="BR4116" s="1821"/>
      <c r="BS4116" s="1821"/>
      <c r="BT4116" s="1821"/>
      <c r="BU4116" s="1821"/>
      <c r="BV4116" s="1821"/>
      <c r="BW4116" s="1821"/>
      <c r="BX4116" s="1821"/>
      <c r="BY4116" s="1821"/>
      <c r="BZ4116" s="1821"/>
      <c r="CA4116" s="1821"/>
      <c r="CB4116" s="1821"/>
      <c r="CC4116" s="1821"/>
      <c r="CD4116" s="1821"/>
      <c r="CE4116" s="1821"/>
      <c r="CF4116" s="1821"/>
      <c r="CG4116" s="1821"/>
      <c r="CH4116" s="1821"/>
      <c r="CI4116" s="1821"/>
      <c r="CJ4116" s="1821"/>
      <c r="CK4116" s="1821"/>
    </row>
    <row r="4117" spans="1:89" s="744" customFormat="1" ht="16.5" customHeight="1" x14ac:dyDescent="0.25">
      <c r="A4117" s="1033" t="s">
        <v>49</v>
      </c>
      <c r="B4117" s="709" t="s">
        <v>278</v>
      </c>
      <c r="C4117" s="827"/>
      <c r="D4117" s="961"/>
      <c r="E4117" s="758"/>
      <c r="F4117" s="714"/>
      <c r="G4117" s="714"/>
      <c r="H4117" s="700">
        <f t="shared" si="463"/>
        <v>0</v>
      </c>
      <c r="I4117" s="714"/>
      <c r="J4117" s="714">
        <f t="shared" si="462"/>
        <v>0</v>
      </c>
      <c r="K4117" s="700">
        <f t="shared" si="464"/>
        <v>0</v>
      </c>
      <c r="L4117" s="714"/>
      <c r="M4117" s="714"/>
      <c r="N4117" s="700">
        <f t="shared" si="460"/>
        <v>0</v>
      </c>
      <c r="O4117" s="974">
        <f t="shared" si="461"/>
        <v>0</v>
      </c>
      <c r="P4117" s="956"/>
      <c r="Q4117" s="1821"/>
      <c r="R4117" s="1821"/>
      <c r="S4117" s="1821"/>
      <c r="T4117" s="1821"/>
      <c r="U4117" s="1821"/>
      <c r="V4117" s="1821"/>
      <c r="W4117" s="1821"/>
      <c r="X4117" s="1821"/>
      <c r="Y4117" s="1821"/>
      <c r="Z4117" s="1821"/>
      <c r="AA4117" s="1821"/>
      <c r="AB4117" s="1821"/>
      <c r="AC4117" s="1821"/>
      <c r="AD4117" s="1821"/>
      <c r="AE4117" s="1821"/>
      <c r="AF4117" s="1821"/>
      <c r="AG4117" s="1821"/>
      <c r="AH4117" s="1821"/>
      <c r="AI4117" s="1821"/>
      <c r="AJ4117" s="1821"/>
      <c r="AK4117" s="1821"/>
      <c r="AL4117" s="1821"/>
      <c r="AM4117" s="1821"/>
      <c r="AN4117" s="1821"/>
      <c r="AO4117" s="1821"/>
      <c r="AP4117" s="1821"/>
      <c r="AQ4117" s="1821"/>
      <c r="AR4117" s="1821"/>
      <c r="AS4117" s="1821"/>
      <c r="AT4117" s="1821"/>
      <c r="AU4117" s="1821"/>
      <c r="AV4117" s="1821"/>
      <c r="AW4117" s="1821"/>
      <c r="AX4117" s="1821"/>
      <c r="AY4117" s="1821"/>
      <c r="AZ4117" s="1821"/>
      <c r="BA4117" s="1821"/>
      <c r="BB4117" s="1821"/>
      <c r="BC4117" s="1821"/>
      <c r="BD4117" s="1821"/>
      <c r="BE4117" s="1821"/>
      <c r="BF4117" s="1821"/>
      <c r="BG4117" s="1821"/>
      <c r="BH4117" s="1821"/>
      <c r="BI4117" s="1821"/>
      <c r="BJ4117" s="1821"/>
      <c r="BK4117" s="1821"/>
      <c r="BL4117" s="1821"/>
      <c r="BM4117" s="1821"/>
      <c r="BN4117" s="1821"/>
      <c r="BO4117" s="1821"/>
      <c r="BP4117" s="1821"/>
      <c r="BQ4117" s="1821"/>
      <c r="BR4117" s="1821"/>
      <c r="BS4117" s="1821"/>
      <c r="BT4117" s="1821"/>
      <c r="BU4117" s="1821"/>
      <c r="BV4117" s="1821"/>
      <c r="BW4117" s="1821"/>
      <c r="BX4117" s="1821"/>
      <c r="BY4117" s="1821"/>
      <c r="BZ4117" s="1821"/>
      <c r="CA4117" s="1821"/>
      <c r="CB4117" s="1821"/>
      <c r="CC4117" s="1821"/>
      <c r="CD4117" s="1821"/>
      <c r="CE4117" s="1821"/>
      <c r="CF4117" s="1821"/>
      <c r="CG4117" s="1821"/>
      <c r="CH4117" s="1821"/>
      <c r="CI4117" s="1821"/>
      <c r="CJ4117" s="1821"/>
      <c r="CK4117" s="1821"/>
    </row>
    <row r="4118" spans="1:89" s="744" customFormat="1" ht="16.5" customHeight="1" x14ac:dyDescent="0.25">
      <c r="A4118" s="1033"/>
      <c r="B4118" s="709" t="s">
        <v>365</v>
      </c>
      <c r="C4118" s="827">
        <v>1</v>
      </c>
      <c r="D4118" s="961" t="s">
        <v>25</v>
      </c>
      <c r="E4118" s="758">
        <v>26142</v>
      </c>
      <c r="F4118" s="714"/>
      <c r="G4118" s="714"/>
      <c r="H4118" s="700">
        <f t="shared" si="463"/>
        <v>0</v>
      </c>
      <c r="I4118" s="714"/>
      <c r="J4118" s="714">
        <f t="shared" si="462"/>
        <v>26142</v>
      </c>
      <c r="K4118" s="700">
        <f t="shared" si="464"/>
        <v>26142</v>
      </c>
      <c r="L4118" s="714"/>
      <c r="M4118" s="714"/>
      <c r="N4118" s="700">
        <f t="shared" si="460"/>
        <v>0</v>
      </c>
      <c r="O4118" s="974">
        <f t="shared" si="461"/>
        <v>26142</v>
      </c>
      <c r="P4118" s="956"/>
      <c r="Q4118" s="1821"/>
      <c r="R4118" s="1821"/>
      <c r="S4118" s="1821"/>
      <c r="T4118" s="1821"/>
      <c r="U4118" s="1821"/>
      <c r="V4118" s="1821"/>
      <c r="W4118" s="1821"/>
      <c r="X4118" s="1821"/>
      <c r="Y4118" s="1821"/>
      <c r="Z4118" s="1821"/>
      <c r="AA4118" s="1821"/>
      <c r="AB4118" s="1821"/>
      <c r="AC4118" s="1821"/>
      <c r="AD4118" s="1821"/>
      <c r="AE4118" s="1821"/>
      <c r="AF4118" s="1821"/>
      <c r="AG4118" s="1821"/>
      <c r="AH4118" s="1821"/>
      <c r="AI4118" s="1821"/>
      <c r="AJ4118" s="1821"/>
      <c r="AK4118" s="1821"/>
      <c r="AL4118" s="1821"/>
      <c r="AM4118" s="1821"/>
      <c r="AN4118" s="1821"/>
      <c r="AO4118" s="1821"/>
      <c r="AP4118" s="1821"/>
      <c r="AQ4118" s="1821"/>
      <c r="AR4118" s="1821"/>
      <c r="AS4118" s="1821"/>
      <c r="AT4118" s="1821"/>
      <c r="AU4118" s="1821"/>
      <c r="AV4118" s="1821"/>
      <c r="AW4118" s="1821"/>
      <c r="AX4118" s="1821"/>
      <c r="AY4118" s="1821"/>
      <c r="AZ4118" s="1821"/>
      <c r="BA4118" s="1821"/>
      <c r="BB4118" s="1821"/>
      <c r="BC4118" s="1821"/>
      <c r="BD4118" s="1821"/>
      <c r="BE4118" s="1821"/>
      <c r="BF4118" s="1821"/>
      <c r="BG4118" s="1821"/>
      <c r="BH4118" s="1821"/>
      <c r="BI4118" s="1821"/>
      <c r="BJ4118" s="1821"/>
      <c r="BK4118" s="1821"/>
      <c r="BL4118" s="1821"/>
      <c r="BM4118" s="1821"/>
      <c r="BN4118" s="1821"/>
      <c r="BO4118" s="1821"/>
      <c r="BP4118" s="1821"/>
      <c r="BQ4118" s="1821"/>
      <c r="BR4118" s="1821"/>
      <c r="BS4118" s="1821"/>
      <c r="BT4118" s="1821"/>
      <c r="BU4118" s="1821"/>
      <c r="BV4118" s="1821"/>
      <c r="BW4118" s="1821"/>
      <c r="BX4118" s="1821"/>
      <c r="BY4118" s="1821"/>
      <c r="BZ4118" s="1821"/>
      <c r="CA4118" s="1821"/>
      <c r="CB4118" s="1821"/>
      <c r="CC4118" s="1821"/>
      <c r="CD4118" s="1821"/>
      <c r="CE4118" s="1821"/>
      <c r="CF4118" s="1821"/>
      <c r="CG4118" s="1821"/>
      <c r="CH4118" s="1821"/>
      <c r="CI4118" s="1821"/>
      <c r="CJ4118" s="1821"/>
      <c r="CK4118" s="1821"/>
    </row>
    <row r="4119" spans="1:89" s="744" customFormat="1" ht="16.5" customHeight="1" x14ac:dyDescent="0.25">
      <c r="A4119" s="1033" t="s">
        <v>49</v>
      </c>
      <c r="B4119" s="709" t="s">
        <v>206</v>
      </c>
      <c r="C4119" s="827"/>
      <c r="D4119" s="961"/>
      <c r="E4119" s="758"/>
      <c r="F4119" s="714"/>
      <c r="G4119" s="714"/>
      <c r="H4119" s="700">
        <f t="shared" si="463"/>
        <v>0</v>
      </c>
      <c r="I4119" s="714"/>
      <c r="J4119" s="714">
        <f t="shared" si="462"/>
        <v>0</v>
      </c>
      <c r="K4119" s="700">
        <f t="shared" si="464"/>
        <v>0</v>
      </c>
      <c r="L4119" s="714"/>
      <c r="M4119" s="714"/>
      <c r="N4119" s="700">
        <f t="shared" si="460"/>
        <v>0</v>
      </c>
      <c r="O4119" s="974">
        <f t="shared" si="461"/>
        <v>0</v>
      </c>
      <c r="P4119" s="956"/>
      <c r="Q4119" s="1821"/>
      <c r="R4119" s="1821"/>
      <c r="S4119" s="1821"/>
      <c r="T4119" s="1821"/>
      <c r="U4119" s="1821"/>
      <c r="V4119" s="1821"/>
      <c r="W4119" s="1821"/>
      <c r="X4119" s="1821"/>
      <c r="Y4119" s="1821"/>
      <c r="Z4119" s="1821"/>
      <c r="AA4119" s="1821"/>
      <c r="AB4119" s="1821"/>
      <c r="AC4119" s="1821"/>
      <c r="AD4119" s="1821"/>
      <c r="AE4119" s="1821"/>
      <c r="AF4119" s="1821"/>
      <c r="AG4119" s="1821"/>
      <c r="AH4119" s="1821"/>
      <c r="AI4119" s="1821"/>
      <c r="AJ4119" s="1821"/>
      <c r="AK4119" s="1821"/>
      <c r="AL4119" s="1821"/>
      <c r="AM4119" s="1821"/>
      <c r="AN4119" s="1821"/>
      <c r="AO4119" s="1821"/>
      <c r="AP4119" s="1821"/>
      <c r="AQ4119" s="1821"/>
      <c r="AR4119" s="1821"/>
      <c r="AS4119" s="1821"/>
      <c r="AT4119" s="1821"/>
      <c r="AU4119" s="1821"/>
      <c r="AV4119" s="1821"/>
      <c r="AW4119" s="1821"/>
      <c r="AX4119" s="1821"/>
      <c r="AY4119" s="1821"/>
      <c r="AZ4119" s="1821"/>
      <c r="BA4119" s="1821"/>
      <c r="BB4119" s="1821"/>
      <c r="BC4119" s="1821"/>
      <c r="BD4119" s="1821"/>
      <c r="BE4119" s="1821"/>
      <c r="BF4119" s="1821"/>
      <c r="BG4119" s="1821"/>
      <c r="BH4119" s="1821"/>
      <c r="BI4119" s="1821"/>
      <c r="BJ4119" s="1821"/>
      <c r="BK4119" s="1821"/>
      <c r="BL4119" s="1821"/>
      <c r="BM4119" s="1821"/>
      <c r="BN4119" s="1821"/>
      <c r="BO4119" s="1821"/>
      <c r="BP4119" s="1821"/>
      <c r="BQ4119" s="1821"/>
      <c r="BR4119" s="1821"/>
      <c r="BS4119" s="1821"/>
      <c r="BT4119" s="1821"/>
      <c r="BU4119" s="1821"/>
      <c r="BV4119" s="1821"/>
      <c r="BW4119" s="1821"/>
      <c r="BX4119" s="1821"/>
      <c r="BY4119" s="1821"/>
      <c r="BZ4119" s="1821"/>
      <c r="CA4119" s="1821"/>
      <c r="CB4119" s="1821"/>
      <c r="CC4119" s="1821"/>
      <c r="CD4119" s="1821"/>
      <c r="CE4119" s="1821"/>
      <c r="CF4119" s="1821"/>
      <c r="CG4119" s="1821"/>
      <c r="CH4119" s="1821"/>
      <c r="CI4119" s="1821"/>
      <c r="CJ4119" s="1821"/>
      <c r="CK4119" s="1821"/>
    </row>
    <row r="4120" spans="1:89" s="744" customFormat="1" ht="16.5" customHeight="1" x14ac:dyDescent="0.25">
      <c r="A4120" s="1033"/>
      <c r="B4120" s="709" t="s">
        <v>394</v>
      </c>
      <c r="C4120" s="827">
        <v>42</v>
      </c>
      <c r="D4120" s="961" t="s">
        <v>207</v>
      </c>
      <c r="E4120" s="758">
        <v>235</v>
      </c>
      <c r="F4120" s="714"/>
      <c r="G4120" s="714"/>
      <c r="H4120" s="700">
        <f t="shared" si="463"/>
        <v>0</v>
      </c>
      <c r="I4120" s="714"/>
      <c r="J4120" s="714">
        <f t="shared" si="462"/>
        <v>9870</v>
      </c>
      <c r="K4120" s="700">
        <f t="shared" si="464"/>
        <v>9870</v>
      </c>
      <c r="L4120" s="714"/>
      <c r="M4120" s="714"/>
      <c r="N4120" s="700">
        <f t="shared" si="460"/>
        <v>0</v>
      </c>
      <c r="O4120" s="974">
        <f t="shared" si="461"/>
        <v>9870</v>
      </c>
      <c r="P4120" s="956"/>
      <c r="Q4120" s="1821"/>
      <c r="R4120" s="1821"/>
      <c r="S4120" s="1821"/>
      <c r="T4120" s="1821"/>
      <c r="U4120" s="1821"/>
      <c r="V4120" s="1821"/>
      <c r="W4120" s="1821"/>
      <c r="X4120" s="1821"/>
      <c r="Y4120" s="1821"/>
      <c r="Z4120" s="1821"/>
      <c r="AA4120" s="1821"/>
      <c r="AB4120" s="1821"/>
      <c r="AC4120" s="1821"/>
      <c r="AD4120" s="1821"/>
      <c r="AE4120" s="1821"/>
      <c r="AF4120" s="1821"/>
      <c r="AG4120" s="1821"/>
      <c r="AH4120" s="1821"/>
      <c r="AI4120" s="1821"/>
      <c r="AJ4120" s="1821"/>
      <c r="AK4120" s="1821"/>
      <c r="AL4120" s="1821"/>
      <c r="AM4120" s="1821"/>
      <c r="AN4120" s="1821"/>
      <c r="AO4120" s="1821"/>
      <c r="AP4120" s="1821"/>
      <c r="AQ4120" s="1821"/>
      <c r="AR4120" s="1821"/>
      <c r="AS4120" s="1821"/>
      <c r="AT4120" s="1821"/>
      <c r="AU4120" s="1821"/>
      <c r="AV4120" s="1821"/>
      <c r="AW4120" s="1821"/>
      <c r="AX4120" s="1821"/>
      <c r="AY4120" s="1821"/>
      <c r="AZ4120" s="1821"/>
      <c r="BA4120" s="1821"/>
      <c r="BB4120" s="1821"/>
      <c r="BC4120" s="1821"/>
      <c r="BD4120" s="1821"/>
      <c r="BE4120" s="1821"/>
      <c r="BF4120" s="1821"/>
      <c r="BG4120" s="1821"/>
      <c r="BH4120" s="1821"/>
      <c r="BI4120" s="1821"/>
      <c r="BJ4120" s="1821"/>
      <c r="BK4120" s="1821"/>
      <c r="BL4120" s="1821"/>
      <c r="BM4120" s="1821"/>
      <c r="BN4120" s="1821"/>
      <c r="BO4120" s="1821"/>
      <c r="BP4120" s="1821"/>
      <c r="BQ4120" s="1821"/>
      <c r="BR4120" s="1821"/>
      <c r="BS4120" s="1821"/>
      <c r="BT4120" s="1821"/>
      <c r="BU4120" s="1821"/>
      <c r="BV4120" s="1821"/>
      <c r="BW4120" s="1821"/>
      <c r="BX4120" s="1821"/>
      <c r="BY4120" s="1821"/>
      <c r="BZ4120" s="1821"/>
      <c r="CA4120" s="1821"/>
      <c r="CB4120" s="1821"/>
      <c r="CC4120" s="1821"/>
      <c r="CD4120" s="1821"/>
      <c r="CE4120" s="1821"/>
      <c r="CF4120" s="1821"/>
      <c r="CG4120" s="1821"/>
      <c r="CH4120" s="1821"/>
      <c r="CI4120" s="1821"/>
      <c r="CJ4120" s="1821"/>
      <c r="CK4120" s="1821"/>
    </row>
    <row r="4121" spans="1:89" s="744" customFormat="1" ht="16.5" customHeight="1" x14ac:dyDescent="0.25">
      <c r="A4121" s="1033"/>
      <c r="B4121" s="709"/>
      <c r="C4121" s="827"/>
      <c r="D4121" s="961"/>
      <c r="E4121" s="758"/>
      <c r="F4121" s="714"/>
      <c r="G4121" s="714"/>
      <c r="H4121" s="700"/>
      <c r="I4121" s="714"/>
      <c r="J4121" s="714"/>
      <c r="K4121" s="700"/>
      <c r="L4121" s="714"/>
      <c r="M4121" s="714"/>
      <c r="N4121" s="700"/>
      <c r="O4121" s="974"/>
      <c r="P4121" s="956"/>
      <c r="Q4121" s="1821"/>
      <c r="R4121" s="1821"/>
      <c r="S4121" s="1821"/>
      <c r="T4121" s="1821"/>
      <c r="U4121" s="1821"/>
      <c r="V4121" s="1821"/>
      <c r="W4121" s="1821"/>
      <c r="X4121" s="1821"/>
      <c r="Y4121" s="1821"/>
      <c r="Z4121" s="1821"/>
      <c r="AA4121" s="1821"/>
      <c r="AB4121" s="1821"/>
      <c r="AC4121" s="1821"/>
      <c r="AD4121" s="1821"/>
      <c r="AE4121" s="1821"/>
      <c r="AF4121" s="1821"/>
      <c r="AG4121" s="1821"/>
      <c r="AH4121" s="1821"/>
      <c r="AI4121" s="1821"/>
      <c r="AJ4121" s="1821"/>
      <c r="AK4121" s="1821"/>
      <c r="AL4121" s="1821"/>
      <c r="AM4121" s="1821"/>
      <c r="AN4121" s="1821"/>
      <c r="AO4121" s="1821"/>
      <c r="AP4121" s="1821"/>
      <c r="AQ4121" s="1821"/>
      <c r="AR4121" s="1821"/>
      <c r="AS4121" s="1821"/>
      <c r="AT4121" s="1821"/>
      <c r="AU4121" s="1821"/>
      <c r="AV4121" s="1821"/>
      <c r="AW4121" s="1821"/>
      <c r="AX4121" s="1821"/>
      <c r="AY4121" s="1821"/>
      <c r="AZ4121" s="1821"/>
      <c r="BA4121" s="1821"/>
      <c r="BB4121" s="1821"/>
      <c r="BC4121" s="1821"/>
      <c r="BD4121" s="1821"/>
      <c r="BE4121" s="1821"/>
      <c r="BF4121" s="1821"/>
      <c r="BG4121" s="1821"/>
      <c r="BH4121" s="1821"/>
      <c r="BI4121" s="1821"/>
      <c r="BJ4121" s="1821"/>
      <c r="BK4121" s="1821"/>
      <c r="BL4121" s="1821"/>
      <c r="BM4121" s="1821"/>
      <c r="BN4121" s="1821"/>
      <c r="BO4121" s="1821"/>
      <c r="BP4121" s="1821"/>
      <c r="BQ4121" s="1821"/>
      <c r="BR4121" s="1821"/>
      <c r="BS4121" s="1821"/>
      <c r="BT4121" s="1821"/>
      <c r="BU4121" s="1821"/>
      <c r="BV4121" s="1821"/>
      <c r="BW4121" s="1821"/>
      <c r="BX4121" s="1821"/>
      <c r="BY4121" s="1821"/>
      <c r="BZ4121" s="1821"/>
      <c r="CA4121" s="1821"/>
      <c r="CB4121" s="1821"/>
      <c r="CC4121" s="1821"/>
      <c r="CD4121" s="1821"/>
      <c r="CE4121" s="1821"/>
      <c r="CF4121" s="1821"/>
      <c r="CG4121" s="1821"/>
      <c r="CH4121" s="1821"/>
      <c r="CI4121" s="1821"/>
      <c r="CJ4121" s="1821"/>
      <c r="CK4121" s="1821"/>
    </row>
    <row r="4122" spans="1:89" s="744" customFormat="1" ht="16.5" customHeight="1" x14ac:dyDescent="0.25">
      <c r="A4122" s="1033" t="s">
        <v>49</v>
      </c>
      <c r="B4122" s="709" t="s">
        <v>409</v>
      </c>
      <c r="C4122" s="827"/>
      <c r="D4122" s="961"/>
      <c r="E4122" s="758"/>
      <c r="F4122" s="714"/>
      <c r="G4122" s="714"/>
      <c r="H4122" s="700">
        <f t="shared" si="463"/>
        <v>0</v>
      </c>
      <c r="I4122" s="714"/>
      <c r="J4122" s="714">
        <f t="shared" si="462"/>
        <v>0</v>
      </c>
      <c r="K4122" s="700">
        <f t="shared" si="464"/>
        <v>0</v>
      </c>
      <c r="L4122" s="714"/>
      <c r="M4122" s="714"/>
      <c r="N4122" s="700">
        <f t="shared" ref="N4122:N4158" si="465">M4122+L4122</f>
        <v>0</v>
      </c>
      <c r="O4122" s="974">
        <f t="shared" ref="O4122:O4128" si="466">N4122+K4122+H4122</f>
        <v>0</v>
      </c>
      <c r="P4122" s="956"/>
      <c r="Q4122" s="1821"/>
      <c r="R4122" s="1821"/>
      <c r="S4122" s="1821"/>
      <c r="T4122" s="1821"/>
      <c r="U4122" s="1821"/>
      <c r="V4122" s="1821"/>
      <c r="W4122" s="1821"/>
      <c r="X4122" s="1821"/>
      <c r="Y4122" s="1821"/>
      <c r="Z4122" s="1821"/>
      <c r="AA4122" s="1821"/>
      <c r="AB4122" s="1821"/>
      <c r="AC4122" s="1821"/>
      <c r="AD4122" s="1821"/>
      <c r="AE4122" s="1821"/>
      <c r="AF4122" s="1821"/>
      <c r="AG4122" s="1821"/>
      <c r="AH4122" s="1821"/>
      <c r="AI4122" s="1821"/>
      <c r="AJ4122" s="1821"/>
      <c r="AK4122" s="1821"/>
      <c r="AL4122" s="1821"/>
      <c r="AM4122" s="1821"/>
      <c r="AN4122" s="1821"/>
      <c r="AO4122" s="1821"/>
      <c r="AP4122" s="1821"/>
      <c r="AQ4122" s="1821"/>
      <c r="AR4122" s="1821"/>
      <c r="AS4122" s="1821"/>
      <c r="AT4122" s="1821"/>
      <c r="AU4122" s="1821"/>
      <c r="AV4122" s="1821"/>
      <c r="AW4122" s="1821"/>
      <c r="AX4122" s="1821"/>
      <c r="AY4122" s="1821"/>
      <c r="AZ4122" s="1821"/>
      <c r="BA4122" s="1821"/>
      <c r="BB4122" s="1821"/>
      <c r="BC4122" s="1821"/>
      <c r="BD4122" s="1821"/>
      <c r="BE4122" s="1821"/>
      <c r="BF4122" s="1821"/>
      <c r="BG4122" s="1821"/>
      <c r="BH4122" s="1821"/>
      <c r="BI4122" s="1821"/>
      <c r="BJ4122" s="1821"/>
      <c r="BK4122" s="1821"/>
      <c r="BL4122" s="1821"/>
      <c r="BM4122" s="1821"/>
      <c r="BN4122" s="1821"/>
      <c r="BO4122" s="1821"/>
      <c r="BP4122" s="1821"/>
      <c r="BQ4122" s="1821"/>
      <c r="BR4122" s="1821"/>
      <c r="BS4122" s="1821"/>
      <c r="BT4122" s="1821"/>
      <c r="BU4122" s="1821"/>
      <c r="BV4122" s="1821"/>
      <c r="BW4122" s="1821"/>
      <c r="BX4122" s="1821"/>
      <c r="BY4122" s="1821"/>
      <c r="BZ4122" s="1821"/>
      <c r="CA4122" s="1821"/>
      <c r="CB4122" s="1821"/>
      <c r="CC4122" s="1821"/>
      <c r="CD4122" s="1821"/>
      <c r="CE4122" s="1821"/>
      <c r="CF4122" s="1821"/>
      <c r="CG4122" s="1821"/>
      <c r="CH4122" s="1821"/>
      <c r="CI4122" s="1821"/>
      <c r="CJ4122" s="1821"/>
      <c r="CK4122" s="1821"/>
    </row>
    <row r="4123" spans="1:89" s="744" customFormat="1" ht="16.5" customHeight="1" x14ac:dyDescent="0.25">
      <c r="A4123" s="1033"/>
      <c r="B4123" s="709" t="s">
        <v>410</v>
      </c>
      <c r="C4123" s="827">
        <v>300</v>
      </c>
      <c r="D4123" s="961" t="s">
        <v>55</v>
      </c>
      <c r="E4123" s="758">
        <v>400</v>
      </c>
      <c r="F4123" s="714"/>
      <c r="G4123" s="714"/>
      <c r="H4123" s="700">
        <f t="shared" si="463"/>
        <v>0</v>
      </c>
      <c r="I4123" s="714"/>
      <c r="J4123" s="714">
        <f t="shared" si="462"/>
        <v>120000</v>
      </c>
      <c r="K4123" s="700">
        <f t="shared" si="464"/>
        <v>120000</v>
      </c>
      <c r="L4123" s="714"/>
      <c r="M4123" s="714"/>
      <c r="N4123" s="700">
        <f t="shared" si="465"/>
        <v>0</v>
      </c>
      <c r="O4123" s="974">
        <f t="shared" si="466"/>
        <v>120000</v>
      </c>
      <c r="P4123" s="956"/>
      <c r="Q4123" s="1821"/>
      <c r="R4123" s="1821"/>
      <c r="S4123" s="1821"/>
      <c r="T4123" s="1821"/>
      <c r="U4123" s="1821"/>
      <c r="V4123" s="1821"/>
      <c r="W4123" s="1821"/>
      <c r="X4123" s="1821"/>
      <c r="Y4123" s="1821"/>
      <c r="Z4123" s="1821"/>
      <c r="AA4123" s="1821"/>
      <c r="AB4123" s="1821"/>
      <c r="AC4123" s="1821"/>
      <c r="AD4123" s="1821"/>
      <c r="AE4123" s="1821"/>
      <c r="AF4123" s="1821"/>
      <c r="AG4123" s="1821"/>
      <c r="AH4123" s="1821"/>
      <c r="AI4123" s="1821"/>
      <c r="AJ4123" s="1821"/>
      <c r="AK4123" s="1821"/>
      <c r="AL4123" s="1821"/>
      <c r="AM4123" s="1821"/>
      <c r="AN4123" s="1821"/>
      <c r="AO4123" s="1821"/>
      <c r="AP4123" s="1821"/>
      <c r="AQ4123" s="1821"/>
      <c r="AR4123" s="1821"/>
      <c r="AS4123" s="1821"/>
      <c r="AT4123" s="1821"/>
      <c r="AU4123" s="1821"/>
      <c r="AV4123" s="1821"/>
      <c r="AW4123" s="1821"/>
      <c r="AX4123" s="1821"/>
      <c r="AY4123" s="1821"/>
      <c r="AZ4123" s="1821"/>
      <c r="BA4123" s="1821"/>
      <c r="BB4123" s="1821"/>
      <c r="BC4123" s="1821"/>
      <c r="BD4123" s="1821"/>
      <c r="BE4123" s="1821"/>
      <c r="BF4123" s="1821"/>
      <c r="BG4123" s="1821"/>
      <c r="BH4123" s="1821"/>
      <c r="BI4123" s="1821"/>
      <c r="BJ4123" s="1821"/>
      <c r="BK4123" s="1821"/>
      <c r="BL4123" s="1821"/>
      <c r="BM4123" s="1821"/>
      <c r="BN4123" s="1821"/>
      <c r="BO4123" s="1821"/>
      <c r="BP4123" s="1821"/>
      <c r="BQ4123" s="1821"/>
      <c r="BR4123" s="1821"/>
      <c r="BS4123" s="1821"/>
      <c r="BT4123" s="1821"/>
      <c r="BU4123" s="1821"/>
      <c r="BV4123" s="1821"/>
      <c r="BW4123" s="1821"/>
      <c r="BX4123" s="1821"/>
      <c r="BY4123" s="1821"/>
      <c r="BZ4123" s="1821"/>
      <c r="CA4123" s="1821"/>
      <c r="CB4123" s="1821"/>
      <c r="CC4123" s="1821"/>
      <c r="CD4123" s="1821"/>
      <c r="CE4123" s="1821"/>
      <c r="CF4123" s="1821"/>
      <c r="CG4123" s="1821"/>
      <c r="CH4123" s="1821"/>
      <c r="CI4123" s="1821"/>
      <c r="CJ4123" s="1821"/>
      <c r="CK4123" s="1821"/>
    </row>
    <row r="4124" spans="1:89" s="744" customFormat="1" ht="16.5" customHeight="1" x14ac:dyDescent="0.25">
      <c r="A4124" s="1033"/>
      <c r="B4124" s="709" t="s">
        <v>224</v>
      </c>
      <c r="C4124" s="827"/>
      <c r="D4124" s="961"/>
      <c r="E4124" s="758"/>
      <c r="F4124" s="714"/>
      <c r="G4124" s="714"/>
      <c r="H4124" s="700">
        <f t="shared" si="463"/>
        <v>0</v>
      </c>
      <c r="I4124" s="714"/>
      <c r="J4124" s="714">
        <f t="shared" si="462"/>
        <v>0</v>
      </c>
      <c r="K4124" s="700">
        <f t="shared" si="464"/>
        <v>0</v>
      </c>
      <c r="L4124" s="714"/>
      <c r="M4124" s="714"/>
      <c r="N4124" s="700">
        <f t="shared" si="465"/>
        <v>0</v>
      </c>
      <c r="O4124" s="974">
        <f t="shared" si="466"/>
        <v>0</v>
      </c>
      <c r="P4124" s="956"/>
      <c r="Q4124" s="1821"/>
      <c r="R4124" s="1821"/>
      <c r="S4124" s="1821"/>
      <c r="T4124" s="1821"/>
      <c r="U4124" s="1821"/>
      <c r="V4124" s="1821"/>
      <c r="W4124" s="1821"/>
      <c r="X4124" s="1821"/>
      <c r="Y4124" s="1821"/>
      <c r="Z4124" s="1821"/>
      <c r="AA4124" s="1821"/>
      <c r="AB4124" s="1821"/>
      <c r="AC4124" s="1821"/>
      <c r="AD4124" s="1821"/>
      <c r="AE4124" s="1821"/>
      <c r="AF4124" s="1821"/>
      <c r="AG4124" s="1821"/>
      <c r="AH4124" s="1821"/>
      <c r="AI4124" s="1821"/>
      <c r="AJ4124" s="1821"/>
      <c r="AK4124" s="1821"/>
      <c r="AL4124" s="1821"/>
      <c r="AM4124" s="1821"/>
      <c r="AN4124" s="1821"/>
      <c r="AO4124" s="1821"/>
      <c r="AP4124" s="1821"/>
      <c r="AQ4124" s="1821"/>
      <c r="AR4124" s="1821"/>
      <c r="AS4124" s="1821"/>
      <c r="AT4124" s="1821"/>
      <c r="AU4124" s="1821"/>
      <c r="AV4124" s="1821"/>
      <c r="AW4124" s="1821"/>
      <c r="AX4124" s="1821"/>
      <c r="AY4124" s="1821"/>
      <c r="AZ4124" s="1821"/>
      <c r="BA4124" s="1821"/>
      <c r="BB4124" s="1821"/>
      <c r="BC4124" s="1821"/>
      <c r="BD4124" s="1821"/>
      <c r="BE4124" s="1821"/>
      <c r="BF4124" s="1821"/>
      <c r="BG4124" s="1821"/>
      <c r="BH4124" s="1821"/>
      <c r="BI4124" s="1821"/>
      <c r="BJ4124" s="1821"/>
      <c r="BK4124" s="1821"/>
      <c r="BL4124" s="1821"/>
      <c r="BM4124" s="1821"/>
      <c r="BN4124" s="1821"/>
      <c r="BO4124" s="1821"/>
      <c r="BP4124" s="1821"/>
      <c r="BQ4124" s="1821"/>
      <c r="BR4124" s="1821"/>
      <c r="BS4124" s="1821"/>
      <c r="BT4124" s="1821"/>
      <c r="BU4124" s="1821"/>
      <c r="BV4124" s="1821"/>
      <c r="BW4124" s="1821"/>
      <c r="BX4124" s="1821"/>
      <c r="BY4124" s="1821"/>
      <c r="BZ4124" s="1821"/>
      <c r="CA4124" s="1821"/>
      <c r="CB4124" s="1821"/>
      <c r="CC4124" s="1821"/>
      <c r="CD4124" s="1821"/>
      <c r="CE4124" s="1821"/>
      <c r="CF4124" s="1821"/>
      <c r="CG4124" s="1821"/>
      <c r="CH4124" s="1821"/>
      <c r="CI4124" s="1821"/>
      <c r="CJ4124" s="1821"/>
      <c r="CK4124" s="1821"/>
    </row>
    <row r="4125" spans="1:89" s="744" customFormat="1" ht="16.5" customHeight="1" x14ac:dyDescent="0.25">
      <c r="A4125" s="1033"/>
      <c r="B4125" s="709" t="s">
        <v>1368</v>
      </c>
      <c r="C4125" s="827">
        <v>54</v>
      </c>
      <c r="D4125" s="961" t="s">
        <v>210</v>
      </c>
      <c r="E4125" s="758">
        <v>1322</v>
      </c>
      <c r="F4125" s="714"/>
      <c r="G4125" s="714"/>
      <c r="H4125" s="700">
        <f>G4125+F4125</f>
        <v>0</v>
      </c>
      <c r="I4125" s="714"/>
      <c r="J4125" s="714">
        <f>C4125*E4125</f>
        <v>71388</v>
      </c>
      <c r="K4125" s="700">
        <f>J4125+I4125</f>
        <v>71388</v>
      </c>
      <c r="L4125" s="714"/>
      <c r="M4125" s="714"/>
      <c r="N4125" s="700">
        <f t="shared" si="465"/>
        <v>0</v>
      </c>
      <c r="O4125" s="974">
        <f t="shared" si="466"/>
        <v>71388</v>
      </c>
      <c r="P4125" s="956"/>
      <c r="Q4125" s="1821"/>
      <c r="R4125" s="1821"/>
      <c r="S4125" s="1821"/>
      <c r="T4125" s="1821"/>
      <c r="U4125" s="1821"/>
      <c r="V4125" s="1821"/>
      <c r="W4125" s="1821"/>
      <c r="X4125" s="1821"/>
      <c r="Y4125" s="1821"/>
      <c r="Z4125" s="1821"/>
      <c r="AA4125" s="1821"/>
      <c r="AB4125" s="1821"/>
      <c r="AC4125" s="1821"/>
      <c r="AD4125" s="1821"/>
      <c r="AE4125" s="1821"/>
      <c r="AF4125" s="1821"/>
      <c r="AG4125" s="1821"/>
      <c r="AH4125" s="1821"/>
      <c r="AI4125" s="1821"/>
      <c r="AJ4125" s="1821"/>
      <c r="AK4125" s="1821"/>
      <c r="AL4125" s="1821"/>
      <c r="AM4125" s="1821"/>
      <c r="AN4125" s="1821"/>
      <c r="AO4125" s="1821"/>
      <c r="AP4125" s="1821"/>
      <c r="AQ4125" s="1821"/>
      <c r="AR4125" s="1821"/>
      <c r="AS4125" s="1821"/>
      <c r="AT4125" s="1821"/>
      <c r="AU4125" s="1821"/>
      <c r="AV4125" s="1821"/>
      <c r="AW4125" s="1821"/>
      <c r="AX4125" s="1821"/>
      <c r="AY4125" s="1821"/>
      <c r="AZ4125" s="1821"/>
      <c r="BA4125" s="1821"/>
      <c r="BB4125" s="1821"/>
      <c r="BC4125" s="1821"/>
      <c r="BD4125" s="1821"/>
      <c r="BE4125" s="1821"/>
      <c r="BF4125" s="1821"/>
      <c r="BG4125" s="1821"/>
      <c r="BH4125" s="1821"/>
      <c r="BI4125" s="1821"/>
      <c r="BJ4125" s="1821"/>
      <c r="BK4125" s="1821"/>
      <c r="BL4125" s="1821"/>
      <c r="BM4125" s="1821"/>
      <c r="BN4125" s="1821"/>
      <c r="BO4125" s="1821"/>
      <c r="BP4125" s="1821"/>
      <c r="BQ4125" s="1821"/>
      <c r="BR4125" s="1821"/>
      <c r="BS4125" s="1821"/>
      <c r="BT4125" s="1821"/>
      <c r="BU4125" s="1821"/>
      <c r="BV4125" s="1821"/>
      <c r="BW4125" s="1821"/>
      <c r="BX4125" s="1821"/>
      <c r="BY4125" s="1821"/>
      <c r="BZ4125" s="1821"/>
      <c r="CA4125" s="1821"/>
      <c r="CB4125" s="1821"/>
      <c r="CC4125" s="1821"/>
      <c r="CD4125" s="1821"/>
      <c r="CE4125" s="1821"/>
      <c r="CF4125" s="1821"/>
      <c r="CG4125" s="1821"/>
      <c r="CH4125" s="1821"/>
      <c r="CI4125" s="1821"/>
      <c r="CJ4125" s="1821"/>
      <c r="CK4125" s="1821"/>
    </row>
    <row r="4126" spans="1:89" s="744" customFormat="1" ht="16.5" customHeight="1" x14ac:dyDescent="0.25">
      <c r="A4126" s="1033"/>
      <c r="B4126" s="709" t="s">
        <v>358</v>
      </c>
      <c r="C4126" s="827"/>
      <c r="D4126" s="961"/>
      <c r="E4126" s="758"/>
      <c r="F4126" s="714"/>
      <c r="G4126" s="714"/>
      <c r="H4126" s="700">
        <f t="shared" si="463"/>
        <v>0</v>
      </c>
      <c r="I4126" s="714"/>
      <c r="J4126" s="714">
        <f t="shared" si="462"/>
        <v>0</v>
      </c>
      <c r="K4126" s="700">
        <f t="shared" si="464"/>
        <v>0</v>
      </c>
      <c r="L4126" s="714"/>
      <c r="M4126" s="714"/>
      <c r="N4126" s="700">
        <f t="shared" si="465"/>
        <v>0</v>
      </c>
      <c r="O4126" s="974">
        <f t="shared" si="466"/>
        <v>0</v>
      </c>
      <c r="P4126" s="956"/>
      <c r="Q4126" s="1821"/>
      <c r="R4126" s="1821"/>
      <c r="S4126" s="1821"/>
      <c r="T4126" s="1821"/>
      <c r="U4126" s="1821"/>
      <c r="V4126" s="1821"/>
      <c r="W4126" s="1821"/>
      <c r="X4126" s="1821"/>
      <c r="Y4126" s="1821"/>
      <c r="Z4126" s="1821"/>
      <c r="AA4126" s="1821"/>
      <c r="AB4126" s="1821"/>
      <c r="AC4126" s="1821"/>
      <c r="AD4126" s="1821"/>
      <c r="AE4126" s="1821"/>
      <c r="AF4126" s="1821"/>
      <c r="AG4126" s="1821"/>
      <c r="AH4126" s="1821"/>
      <c r="AI4126" s="1821"/>
      <c r="AJ4126" s="1821"/>
      <c r="AK4126" s="1821"/>
      <c r="AL4126" s="1821"/>
      <c r="AM4126" s="1821"/>
      <c r="AN4126" s="1821"/>
      <c r="AO4126" s="1821"/>
      <c r="AP4126" s="1821"/>
      <c r="AQ4126" s="1821"/>
      <c r="AR4126" s="1821"/>
      <c r="AS4126" s="1821"/>
      <c r="AT4126" s="1821"/>
      <c r="AU4126" s="1821"/>
      <c r="AV4126" s="1821"/>
      <c r="AW4126" s="1821"/>
      <c r="AX4126" s="1821"/>
      <c r="AY4126" s="1821"/>
      <c r="AZ4126" s="1821"/>
      <c r="BA4126" s="1821"/>
      <c r="BB4126" s="1821"/>
      <c r="BC4126" s="1821"/>
      <c r="BD4126" s="1821"/>
      <c r="BE4126" s="1821"/>
      <c r="BF4126" s="1821"/>
      <c r="BG4126" s="1821"/>
      <c r="BH4126" s="1821"/>
      <c r="BI4126" s="1821"/>
      <c r="BJ4126" s="1821"/>
      <c r="BK4126" s="1821"/>
      <c r="BL4126" s="1821"/>
      <c r="BM4126" s="1821"/>
      <c r="BN4126" s="1821"/>
      <c r="BO4126" s="1821"/>
      <c r="BP4126" s="1821"/>
      <c r="BQ4126" s="1821"/>
      <c r="BR4126" s="1821"/>
      <c r="BS4126" s="1821"/>
      <c r="BT4126" s="1821"/>
      <c r="BU4126" s="1821"/>
      <c r="BV4126" s="1821"/>
      <c r="BW4126" s="1821"/>
      <c r="BX4126" s="1821"/>
      <c r="BY4126" s="1821"/>
      <c r="BZ4126" s="1821"/>
      <c r="CA4126" s="1821"/>
      <c r="CB4126" s="1821"/>
      <c r="CC4126" s="1821"/>
      <c r="CD4126" s="1821"/>
      <c r="CE4126" s="1821"/>
      <c r="CF4126" s="1821"/>
      <c r="CG4126" s="1821"/>
      <c r="CH4126" s="1821"/>
      <c r="CI4126" s="1821"/>
      <c r="CJ4126" s="1821"/>
      <c r="CK4126" s="1821"/>
    </row>
    <row r="4127" spans="1:89" s="744" customFormat="1" ht="16.5" customHeight="1" x14ac:dyDescent="0.25">
      <c r="A4127" s="1033"/>
      <c r="B4127" s="709" t="s">
        <v>52</v>
      </c>
      <c r="C4127" s="827">
        <v>9</v>
      </c>
      <c r="D4127" s="961" t="s">
        <v>55</v>
      </c>
      <c r="E4127" s="758">
        <v>610</v>
      </c>
      <c r="F4127" s="714"/>
      <c r="G4127" s="714"/>
      <c r="H4127" s="700">
        <f>G4127+F4127</f>
        <v>0</v>
      </c>
      <c r="I4127" s="714"/>
      <c r="J4127" s="714">
        <f>C4127*E4127</f>
        <v>5490</v>
      </c>
      <c r="K4127" s="700">
        <f>J4127+I4127</f>
        <v>5490</v>
      </c>
      <c r="L4127" s="714"/>
      <c r="M4127" s="714"/>
      <c r="N4127" s="700">
        <f t="shared" si="465"/>
        <v>0</v>
      </c>
      <c r="O4127" s="974">
        <f t="shared" si="466"/>
        <v>5490</v>
      </c>
      <c r="P4127" s="956"/>
      <c r="Q4127" s="1821"/>
      <c r="R4127" s="1821"/>
      <c r="S4127" s="1821"/>
      <c r="T4127" s="1821"/>
      <c r="U4127" s="1821"/>
      <c r="V4127" s="1821"/>
      <c r="W4127" s="1821"/>
      <c r="X4127" s="1821"/>
      <c r="Y4127" s="1821"/>
      <c r="Z4127" s="1821"/>
      <c r="AA4127" s="1821"/>
      <c r="AB4127" s="1821"/>
      <c r="AC4127" s="1821"/>
      <c r="AD4127" s="1821"/>
      <c r="AE4127" s="1821"/>
      <c r="AF4127" s="1821"/>
      <c r="AG4127" s="1821"/>
      <c r="AH4127" s="1821"/>
      <c r="AI4127" s="1821"/>
      <c r="AJ4127" s="1821"/>
      <c r="AK4127" s="1821"/>
      <c r="AL4127" s="1821"/>
      <c r="AM4127" s="1821"/>
      <c r="AN4127" s="1821"/>
      <c r="AO4127" s="1821"/>
      <c r="AP4127" s="1821"/>
      <c r="AQ4127" s="1821"/>
      <c r="AR4127" s="1821"/>
      <c r="AS4127" s="1821"/>
      <c r="AT4127" s="1821"/>
      <c r="AU4127" s="1821"/>
      <c r="AV4127" s="1821"/>
      <c r="AW4127" s="1821"/>
      <c r="AX4127" s="1821"/>
      <c r="AY4127" s="1821"/>
      <c r="AZ4127" s="1821"/>
      <c r="BA4127" s="1821"/>
      <c r="BB4127" s="1821"/>
      <c r="BC4127" s="1821"/>
      <c r="BD4127" s="1821"/>
      <c r="BE4127" s="1821"/>
      <c r="BF4127" s="1821"/>
      <c r="BG4127" s="1821"/>
      <c r="BH4127" s="1821"/>
      <c r="BI4127" s="1821"/>
      <c r="BJ4127" s="1821"/>
      <c r="BK4127" s="1821"/>
      <c r="BL4127" s="1821"/>
      <c r="BM4127" s="1821"/>
      <c r="BN4127" s="1821"/>
      <c r="BO4127" s="1821"/>
      <c r="BP4127" s="1821"/>
      <c r="BQ4127" s="1821"/>
      <c r="BR4127" s="1821"/>
      <c r="BS4127" s="1821"/>
      <c r="BT4127" s="1821"/>
      <c r="BU4127" s="1821"/>
      <c r="BV4127" s="1821"/>
      <c r="BW4127" s="1821"/>
      <c r="BX4127" s="1821"/>
      <c r="BY4127" s="1821"/>
      <c r="BZ4127" s="1821"/>
      <c r="CA4127" s="1821"/>
      <c r="CB4127" s="1821"/>
      <c r="CC4127" s="1821"/>
      <c r="CD4127" s="1821"/>
      <c r="CE4127" s="1821"/>
      <c r="CF4127" s="1821"/>
      <c r="CG4127" s="1821"/>
      <c r="CH4127" s="1821"/>
      <c r="CI4127" s="1821"/>
      <c r="CJ4127" s="1821"/>
      <c r="CK4127" s="1821"/>
    </row>
    <row r="4128" spans="1:89" s="744" customFormat="1" ht="16.5" customHeight="1" x14ac:dyDescent="0.25">
      <c r="A4128" s="1033"/>
      <c r="B4128" s="709" t="s">
        <v>1378</v>
      </c>
      <c r="C4128" s="827">
        <v>100</v>
      </c>
      <c r="D4128" s="961" t="s">
        <v>55</v>
      </c>
      <c r="E4128" s="758">
        <v>3000</v>
      </c>
      <c r="F4128" s="714"/>
      <c r="G4128" s="714"/>
      <c r="H4128" s="700">
        <f>G4128+F4128</f>
        <v>0</v>
      </c>
      <c r="I4128" s="714"/>
      <c r="J4128" s="714">
        <f>C4128*E4128</f>
        <v>300000</v>
      </c>
      <c r="K4128" s="700">
        <f>J4128+I4128</f>
        <v>300000</v>
      </c>
      <c r="L4128" s="714"/>
      <c r="M4128" s="714"/>
      <c r="N4128" s="700">
        <f t="shared" si="465"/>
        <v>0</v>
      </c>
      <c r="O4128" s="974">
        <f t="shared" si="466"/>
        <v>300000</v>
      </c>
      <c r="P4128" s="956"/>
      <c r="Q4128" s="1821"/>
      <c r="R4128" s="1821"/>
      <c r="S4128" s="1821"/>
      <c r="T4128" s="1821"/>
      <c r="U4128" s="1821"/>
      <c r="V4128" s="1821"/>
      <c r="W4128" s="1821"/>
      <c r="X4128" s="1821"/>
      <c r="Y4128" s="1821"/>
      <c r="Z4128" s="1821"/>
      <c r="AA4128" s="1821"/>
      <c r="AB4128" s="1821"/>
      <c r="AC4128" s="1821"/>
      <c r="AD4128" s="1821"/>
      <c r="AE4128" s="1821"/>
      <c r="AF4128" s="1821"/>
      <c r="AG4128" s="1821"/>
      <c r="AH4128" s="1821"/>
      <c r="AI4128" s="1821"/>
      <c r="AJ4128" s="1821"/>
      <c r="AK4128" s="1821"/>
      <c r="AL4128" s="1821"/>
      <c r="AM4128" s="1821"/>
      <c r="AN4128" s="1821"/>
      <c r="AO4128" s="1821"/>
      <c r="AP4128" s="1821"/>
      <c r="AQ4128" s="1821"/>
      <c r="AR4128" s="1821"/>
      <c r="AS4128" s="1821"/>
      <c r="AT4128" s="1821"/>
      <c r="AU4128" s="1821"/>
      <c r="AV4128" s="1821"/>
      <c r="AW4128" s="1821"/>
      <c r="AX4128" s="1821"/>
      <c r="AY4128" s="1821"/>
      <c r="AZ4128" s="1821"/>
      <c r="BA4128" s="1821"/>
      <c r="BB4128" s="1821"/>
      <c r="BC4128" s="1821"/>
      <c r="BD4128" s="1821"/>
      <c r="BE4128" s="1821"/>
      <c r="BF4128" s="1821"/>
      <c r="BG4128" s="1821"/>
      <c r="BH4128" s="1821"/>
      <c r="BI4128" s="1821"/>
      <c r="BJ4128" s="1821"/>
      <c r="BK4128" s="1821"/>
      <c r="BL4128" s="1821"/>
      <c r="BM4128" s="1821"/>
      <c r="BN4128" s="1821"/>
      <c r="BO4128" s="1821"/>
      <c r="BP4128" s="1821"/>
      <c r="BQ4128" s="1821"/>
      <c r="BR4128" s="1821"/>
      <c r="BS4128" s="1821"/>
      <c r="BT4128" s="1821"/>
      <c r="BU4128" s="1821"/>
      <c r="BV4128" s="1821"/>
      <c r="BW4128" s="1821"/>
      <c r="BX4128" s="1821"/>
      <c r="BY4128" s="1821"/>
      <c r="BZ4128" s="1821"/>
      <c r="CA4128" s="1821"/>
      <c r="CB4128" s="1821"/>
      <c r="CC4128" s="1821"/>
      <c r="CD4128" s="1821"/>
      <c r="CE4128" s="1821"/>
      <c r="CF4128" s="1821"/>
      <c r="CG4128" s="1821"/>
      <c r="CH4128" s="1821"/>
      <c r="CI4128" s="1821"/>
      <c r="CJ4128" s="1821"/>
      <c r="CK4128" s="1821"/>
    </row>
    <row r="4129" spans="1:89" s="744" customFormat="1" ht="16.5" customHeight="1" x14ac:dyDescent="0.25">
      <c r="A4129" s="1033"/>
      <c r="B4129" s="709"/>
      <c r="C4129" s="827"/>
      <c r="D4129" s="961"/>
      <c r="E4129" s="758"/>
      <c r="F4129" s="714"/>
      <c r="G4129" s="714"/>
      <c r="H4129" s="700"/>
      <c r="I4129" s="714"/>
      <c r="J4129" s="714"/>
      <c r="K4129" s="700"/>
      <c r="L4129" s="714"/>
      <c r="M4129" s="714"/>
      <c r="N4129" s="700"/>
      <c r="O4129" s="974"/>
      <c r="P4129" s="956"/>
      <c r="Q4129" s="1821"/>
      <c r="R4129" s="1821"/>
      <c r="S4129" s="1821"/>
      <c r="T4129" s="1821"/>
      <c r="U4129" s="1821"/>
      <c r="V4129" s="1821"/>
      <c r="W4129" s="1821"/>
      <c r="X4129" s="1821"/>
      <c r="Y4129" s="1821"/>
      <c r="Z4129" s="1821"/>
      <c r="AA4129" s="1821"/>
      <c r="AB4129" s="1821"/>
      <c r="AC4129" s="1821"/>
      <c r="AD4129" s="1821"/>
      <c r="AE4129" s="1821"/>
      <c r="AF4129" s="1821"/>
      <c r="AG4129" s="1821"/>
      <c r="AH4129" s="1821"/>
      <c r="AI4129" s="1821"/>
      <c r="AJ4129" s="1821"/>
      <c r="AK4129" s="1821"/>
      <c r="AL4129" s="1821"/>
      <c r="AM4129" s="1821"/>
      <c r="AN4129" s="1821"/>
      <c r="AO4129" s="1821"/>
      <c r="AP4129" s="1821"/>
      <c r="AQ4129" s="1821"/>
      <c r="AR4129" s="1821"/>
      <c r="AS4129" s="1821"/>
      <c r="AT4129" s="1821"/>
      <c r="AU4129" s="1821"/>
      <c r="AV4129" s="1821"/>
      <c r="AW4129" s="1821"/>
      <c r="AX4129" s="1821"/>
      <c r="AY4129" s="1821"/>
      <c r="AZ4129" s="1821"/>
      <c r="BA4129" s="1821"/>
      <c r="BB4129" s="1821"/>
      <c r="BC4129" s="1821"/>
      <c r="BD4129" s="1821"/>
      <c r="BE4129" s="1821"/>
      <c r="BF4129" s="1821"/>
      <c r="BG4129" s="1821"/>
      <c r="BH4129" s="1821"/>
      <c r="BI4129" s="1821"/>
      <c r="BJ4129" s="1821"/>
      <c r="BK4129" s="1821"/>
      <c r="BL4129" s="1821"/>
      <c r="BM4129" s="1821"/>
      <c r="BN4129" s="1821"/>
      <c r="BO4129" s="1821"/>
      <c r="BP4129" s="1821"/>
      <c r="BQ4129" s="1821"/>
      <c r="BR4129" s="1821"/>
      <c r="BS4129" s="1821"/>
      <c r="BT4129" s="1821"/>
      <c r="BU4129" s="1821"/>
      <c r="BV4129" s="1821"/>
      <c r="BW4129" s="1821"/>
      <c r="BX4129" s="1821"/>
      <c r="BY4129" s="1821"/>
      <c r="BZ4129" s="1821"/>
      <c r="CA4129" s="1821"/>
      <c r="CB4129" s="1821"/>
      <c r="CC4129" s="1821"/>
      <c r="CD4129" s="1821"/>
      <c r="CE4129" s="1821"/>
      <c r="CF4129" s="1821"/>
      <c r="CG4129" s="1821"/>
      <c r="CH4129" s="1821"/>
      <c r="CI4129" s="1821"/>
      <c r="CJ4129" s="1821"/>
      <c r="CK4129" s="1821"/>
    </row>
    <row r="4130" spans="1:89" s="744" customFormat="1" ht="16.5" customHeight="1" x14ac:dyDescent="0.25">
      <c r="A4130" s="1033"/>
      <c r="B4130" s="709"/>
      <c r="C4130" s="827"/>
      <c r="D4130" s="961"/>
      <c r="E4130" s="758"/>
      <c r="F4130" s="714"/>
      <c r="G4130" s="714"/>
      <c r="H4130" s="700"/>
      <c r="I4130" s="714"/>
      <c r="J4130" s="714"/>
      <c r="K4130" s="700"/>
      <c r="L4130" s="714"/>
      <c r="M4130" s="714"/>
      <c r="N4130" s="700"/>
      <c r="O4130" s="974"/>
      <c r="P4130" s="956"/>
      <c r="Q4130" s="1821"/>
      <c r="R4130" s="1821"/>
      <c r="S4130" s="1821"/>
      <c r="T4130" s="1821"/>
      <c r="U4130" s="1821"/>
      <c r="V4130" s="1821"/>
      <c r="W4130" s="1821"/>
      <c r="X4130" s="1821"/>
      <c r="Y4130" s="1821"/>
      <c r="Z4130" s="1821"/>
      <c r="AA4130" s="1821"/>
      <c r="AB4130" s="1821"/>
      <c r="AC4130" s="1821"/>
      <c r="AD4130" s="1821"/>
      <c r="AE4130" s="1821"/>
      <c r="AF4130" s="1821"/>
      <c r="AG4130" s="1821"/>
      <c r="AH4130" s="1821"/>
      <c r="AI4130" s="1821"/>
      <c r="AJ4130" s="1821"/>
      <c r="AK4130" s="1821"/>
      <c r="AL4130" s="1821"/>
      <c r="AM4130" s="1821"/>
      <c r="AN4130" s="1821"/>
      <c r="AO4130" s="1821"/>
      <c r="AP4130" s="1821"/>
      <c r="AQ4130" s="1821"/>
      <c r="AR4130" s="1821"/>
      <c r="AS4130" s="1821"/>
      <c r="AT4130" s="1821"/>
      <c r="AU4130" s="1821"/>
      <c r="AV4130" s="1821"/>
      <c r="AW4130" s="1821"/>
      <c r="AX4130" s="1821"/>
      <c r="AY4130" s="1821"/>
      <c r="AZ4130" s="1821"/>
      <c r="BA4130" s="1821"/>
      <c r="BB4130" s="1821"/>
      <c r="BC4130" s="1821"/>
      <c r="BD4130" s="1821"/>
      <c r="BE4130" s="1821"/>
      <c r="BF4130" s="1821"/>
      <c r="BG4130" s="1821"/>
      <c r="BH4130" s="1821"/>
      <c r="BI4130" s="1821"/>
      <c r="BJ4130" s="1821"/>
      <c r="BK4130" s="1821"/>
      <c r="BL4130" s="1821"/>
      <c r="BM4130" s="1821"/>
      <c r="BN4130" s="1821"/>
      <c r="BO4130" s="1821"/>
      <c r="BP4130" s="1821"/>
      <c r="BQ4130" s="1821"/>
      <c r="BR4130" s="1821"/>
      <c r="BS4130" s="1821"/>
      <c r="BT4130" s="1821"/>
      <c r="BU4130" s="1821"/>
      <c r="BV4130" s="1821"/>
      <c r="BW4130" s="1821"/>
      <c r="BX4130" s="1821"/>
      <c r="BY4130" s="1821"/>
      <c r="BZ4130" s="1821"/>
      <c r="CA4130" s="1821"/>
      <c r="CB4130" s="1821"/>
      <c r="CC4130" s="1821"/>
      <c r="CD4130" s="1821"/>
      <c r="CE4130" s="1821"/>
      <c r="CF4130" s="1821"/>
      <c r="CG4130" s="1821"/>
      <c r="CH4130" s="1821"/>
      <c r="CI4130" s="1821"/>
      <c r="CJ4130" s="1821"/>
      <c r="CK4130" s="1821"/>
    </row>
    <row r="4131" spans="1:89" s="744" customFormat="1" ht="16.5" customHeight="1" x14ac:dyDescent="0.25">
      <c r="A4131" s="1033" t="s">
        <v>286</v>
      </c>
      <c r="B4131" s="709" t="s">
        <v>1369</v>
      </c>
      <c r="C4131" s="827">
        <f>SUM(O4132:O4140)</f>
        <v>353620</v>
      </c>
      <c r="D4131" s="961"/>
      <c r="E4131" s="758"/>
      <c r="F4131" s="714"/>
      <c r="G4131" s="714"/>
      <c r="H4131" s="700">
        <f t="shared" ref="H4131:H4137" si="467">G4131+F4131</f>
        <v>0</v>
      </c>
      <c r="I4131" s="714"/>
      <c r="J4131" s="714">
        <f t="shared" ref="J4131:J4137" si="468">C4131*E4131</f>
        <v>0</v>
      </c>
      <c r="K4131" s="700">
        <f t="shared" ref="K4131:K4137" si="469">J4131+I4131</f>
        <v>0</v>
      </c>
      <c r="L4131" s="714"/>
      <c r="M4131" s="714"/>
      <c r="N4131" s="700">
        <f t="shared" ref="N4131:N4137" si="470">M4131+L4131</f>
        <v>0</v>
      </c>
      <c r="O4131" s="974">
        <f t="shared" ref="O4131:O4137" si="471">N4131+K4131+H4131</f>
        <v>0</v>
      </c>
      <c r="P4131" s="956"/>
      <c r="Q4131" s="1821"/>
      <c r="R4131" s="1821"/>
      <c r="S4131" s="1821"/>
      <c r="T4131" s="1821"/>
      <c r="U4131" s="1821"/>
      <c r="V4131" s="1821"/>
      <c r="W4131" s="1821"/>
      <c r="X4131" s="1821"/>
      <c r="Y4131" s="1821"/>
      <c r="Z4131" s="1821"/>
      <c r="AA4131" s="1821"/>
      <c r="AB4131" s="1821"/>
      <c r="AC4131" s="1821"/>
      <c r="AD4131" s="1821"/>
      <c r="AE4131" s="1821"/>
      <c r="AF4131" s="1821"/>
      <c r="AG4131" s="1821"/>
      <c r="AH4131" s="1821"/>
      <c r="AI4131" s="1821"/>
      <c r="AJ4131" s="1821"/>
      <c r="AK4131" s="1821"/>
      <c r="AL4131" s="1821"/>
      <c r="AM4131" s="1821"/>
      <c r="AN4131" s="1821"/>
      <c r="AO4131" s="1821"/>
      <c r="AP4131" s="1821"/>
      <c r="AQ4131" s="1821"/>
      <c r="AR4131" s="1821"/>
      <c r="AS4131" s="1821"/>
      <c r="AT4131" s="1821"/>
      <c r="AU4131" s="1821"/>
      <c r="AV4131" s="1821"/>
      <c r="AW4131" s="1821"/>
      <c r="AX4131" s="1821"/>
      <c r="AY4131" s="1821"/>
      <c r="AZ4131" s="1821"/>
      <c r="BA4131" s="1821"/>
      <c r="BB4131" s="1821"/>
      <c r="BC4131" s="1821"/>
      <c r="BD4131" s="1821"/>
      <c r="BE4131" s="1821"/>
      <c r="BF4131" s="1821"/>
      <c r="BG4131" s="1821"/>
      <c r="BH4131" s="1821"/>
      <c r="BI4131" s="1821"/>
      <c r="BJ4131" s="1821"/>
      <c r="BK4131" s="1821"/>
      <c r="BL4131" s="1821"/>
      <c r="BM4131" s="1821"/>
      <c r="BN4131" s="1821"/>
      <c r="BO4131" s="1821"/>
      <c r="BP4131" s="1821"/>
      <c r="BQ4131" s="1821"/>
      <c r="BR4131" s="1821"/>
      <c r="BS4131" s="1821"/>
      <c r="BT4131" s="1821"/>
      <c r="BU4131" s="1821"/>
      <c r="BV4131" s="1821"/>
      <c r="BW4131" s="1821"/>
      <c r="BX4131" s="1821"/>
      <c r="BY4131" s="1821"/>
      <c r="BZ4131" s="1821"/>
      <c r="CA4131" s="1821"/>
      <c r="CB4131" s="1821"/>
      <c r="CC4131" s="1821"/>
      <c r="CD4131" s="1821"/>
      <c r="CE4131" s="1821"/>
      <c r="CF4131" s="1821"/>
      <c r="CG4131" s="1821"/>
      <c r="CH4131" s="1821"/>
      <c r="CI4131" s="1821"/>
      <c r="CJ4131" s="1821"/>
      <c r="CK4131" s="1821"/>
    </row>
    <row r="4132" spans="1:89" s="744" customFormat="1" ht="16.5" customHeight="1" x14ac:dyDescent="0.25">
      <c r="A4132" s="1033"/>
      <c r="B4132" s="709" t="s">
        <v>358</v>
      </c>
      <c r="C4132" s="827"/>
      <c r="D4132" s="961"/>
      <c r="E4132" s="758"/>
      <c r="F4132" s="714"/>
      <c r="G4132" s="714"/>
      <c r="H4132" s="700">
        <f t="shared" si="467"/>
        <v>0</v>
      </c>
      <c r="I4132" s="714"/>
      <c r="J4132" s="714">
        <f t="shared" si="468"/>
        <v>0</v>
      </c>
      <c r="K4132" s="700">
        <f t="shared" si="469"/>
        <v>0</v>
      </c>
      <c r="L4132" s="714"/>
      <c r="M4132" s="714"/>
      <c r="N4132" s="700">
        <f t="shared" si="470"/>
        <v>0</v>
      </c>
      <c r="O4132" s="974">
        <f t="shared" si="471"/>
        <v>0</v>
      </c>
      <c r="P4132" s="956"/>
      <c r="Q4132" s="1821"/>
      <c r="R4132" s="1821"/>
      <c r="S4132" s="1821"/>
      <c r="T4132" s="1821"/>
      <c r="U4132" s="1821"/>
      <c r="V4132" s="1821"/>
      <c r="W4132" s="1821"/>
      <c r="X4132" s="1821"/>
      <c r="Y4132" s="1821"/>
      <c r="Z4132" s="1821"/>
      <c r="AA4132" s="1821"/>
      <c r="AB4132" s="1821"/>
      <c r="AC4132" s="1821"/>
      <c r="AD4132" s="1821"/>
      <c r="AE4132" s="1821"/>
      <c r="AF4132" s="1821"/>
      <c r="AG4132" s="1821"/>
      <c r="AH4132" s="1821"/>
      <c r="AI4132" s="1821"/>
      <c r="AJ4132" s="1821"/>
      <c r="AK4132" s="1821"/>
      <c r="AL4132" s="1821"/>
      <c r="AM4132" s="1821"/>
      <c r="AN4132" s="1821"/>
      <c r="AO4132" s="1821"/>
      <c r="AP4132" s="1821"/>
      <c r="AQ4132" s="1821"/>
      <c r="AR4132" s="1821"/>
      <c r="AS4132" s="1821"/>
      <c r="AT4132" s="1821"/>
      <c r="AU4132" s="1821"/>
      <c r="AV4132" s="1821"/>
      <c r="AW4132" s="1821"/>
      <c r="AX4132" s="1821"/>
      <c r="AY4132" s="1821"/>
      <c r="AZ4132" s="1821"/>
      <c r="BA4132" s="1821"/>
      <c r="BB4132" s="1821"/>
      <c r="BC4132" s="1821"/>
      <c r="BD4132" s="1821"/>
      <c r="BE4132" s="1821"/>
      <c r="BF4132" s="1821"/>
      <c r="BG4132" s="1821"/>
      <c r="BH4132" s="1821"/>
      <c r="BI4132" s="1821"/>
      <c r="BJ4132" s="1821"/>
      <c r="BK4132" s="1821"/>
      <c r="BL4132" s="1821"/>
      <c r="BM4132" s="1821"/>
      <c r="BN4132" s="1821"/>
      <c r="BO4132" s="1821"/>
      <c r="BP4132" s="1821"/>
      <c r="BQ4132" s="1821"/>
      <c r="BR4132" s="1821"/>
      <c r="BS4132" s="1821"/>
      <c r="BT4132" s="1821"/>
      <c r="BU4132" s="1821"/>
      <c r="BV4132" s="1821"/>
      <c r="BW4132" s="1821"/>
      <c r="BX4132" s="1821"/>
      <c r="BY4132" s="1821"/>
      <c r="BZ4132" s="1821"/>
      <c r="CA4132" s="1821"/>
      <c r="CB4132" s="1821"/>
      <c r="CC4132" s="1821"/>
      <c r="CD4132" s="1821"/>
      <c r="CE4132" s="1821"/>
      <c r="CF4132" s="1821"/>
      <c r="CG4132" s="1821"/>
      <c r="CH4132" s="1821"/>
      <c r="CI4132" s="1821"/>
      <c r="CJ4132" s="1821"/>
      <c r="CK4132" s="1821"/>
    </row>
    <row r="4133" spans="1:89" s="744" customFormat="1" ht="16.5" customHeight="1" x14ac:dyDescent="0.25">
      <c r="A4133" s="1033"/>
      <c r="B4133" s="709" t="s">
        <v>395</v>
      </c>
      <c r="C4133" s="827">
        <v>40</v>
      </c>
      <c r="D4133" s="961" t="s">
        <v>51</v>
      </c>
      <c r="E4133" s="758">
        <v>2500</v>
      </c>
      <c r="F4133" s="714"/>
      <c r="G4133" s="714"/>
      <c r="H4133" s="700">
        <f t="shared" si="467"/>
        <v>0</v>
      </c>
      <c r="I4133" s="714"/>
      <c r="J4133" s="714">
        <f t="shared" si="468"/>
        <v>100000</v>
      </c>
      <c r="K4133" s="700">
        <f t="shared" si="469"/>
        <v>100000</v>
      </c>
      <c r="L4133" s="714"/>
      <c r="M4133" s="714"/>
      <c r="N4133" s="700">
        <f t="shared" si="470"/>
        <v>0</v>
      </c>
      <c r="O4133" s="974">
        <f t="shared" si="471"/>
        <v>100000</v>
      </c>
      <c r="P4133" s="956"/>
      <c r="Q4133" s="1821"/>
      <c r="R4133" s="1821"/>
      <c r="S4133" s="1821"/>
      <c r="T4133" s="1821"/>
      <c r="U4133" s="1821"/>
      <c r="V4133" s="1821"/>
      <c r="W4133" s="1821"/>
      <c r="X4133" s="1821"/>
      <c r="Y4133" s="1821"/>
      <c r="Z4133" s="1821"/>
      <c r="AA4133" s="1821"/>
      <c r="AB4133" s="1821"/>
      <c r="AC4133" s="1821"/>
      <c r="AD4133" s="1821"/>
      <c r="AE4133" s="1821"/>
      <c r="AF4133" s="1821"/>
      <c r="AG4133" s="1821"/>
      <c r="AH4133" s="1821"/>
      <c r="AI4133" s="1821"/>
      <c r="AJ4133" s="1821"/>
      <c r="AK4133" s="1821"/>
      <c r="AL4133" s="1821"/>
      <c r="AM4133" s="1821"/>
      <c r="AN4133" s="1821"/>
      <c r="AO4133" s="1821"/>
      <c r="AP4133" s="1821"/>
      <c r="AQ4133" s="1821"/>
      <c r="AR4133" s="1821"/>
      <c r="AS4133" s="1821"/>
      <c r="AT4133" s="1821"/>
      <c r="AU4133" s="1821"/>
      <c r="AV4133" s="1821"/>
      <c r="AW4133" s="1821"/>
      <c r="AX4133" s="1821"/>
      <c r="AY4133" s="1821"/>
      <c r="AZ4133" s="1821"/>
      <c r="BA4133" s="1821"/>
      <c r="BB4133" s="1821"/>
      <c r="BC4133" s="1821"/>
      <c r="BD4133" s="1821"/>
      <c r="BE4133" s="1821"/>
      <c r="BF4133" s="1821"/>
      <c r="BG4133" s="1821"/>
      <c r="BH4133" s="1821"/>
      <c r="BI4133" s="1821"/>
      <c r="BJ4133" s="1821"/>
      <c r="BK4133" s="1821"/>
      <c r="BL4133" s="1821"/>
      <c r="BM4133" s="1821"/>
      <c r="BN4133" s="1821"/>
      <c r="BO4133" s="1821"/>
      <c r="BP4133" s="1821"/>
      <c r="BQ4133" s="1821"/>
      <c r="BR4133" s="1821"/>
      <c r="BS4133" s="1821"/>
      <c r="BT4133" s="1821"/>
      <c r="BU4133" s="1821"/>
      <c r="BV4133" s="1821"/>
      <c r="BW4133" s="1821"/>
      <c r="BX4133" s="1821"/>
      <c r="BY4133" s="1821"/>
      <c r="BZ4133" s="1821"/>
      <c r="CA4133" s="1821"/>
      <c r="CB4133" s="1821"/>
      <c r="CC4133" s="1821"/>
      <c r="CD4133" s="1821"/>
      <c r="CE4133" s="1821"/>
      <c r="CF4133" s="1821"/>
      <c r="CG4133" s="1821"/>
      <c r="CH4133" s="1821"/>
      <c r="CI4133" s="1821"/>
      <c r="CJ4133" s="1821"/>
      <c r="CK4133" s="1821"/>
    </row>
    <row r="4134" spans="1:89" s="744" customFormat="1" ht="16.5" customHeight="1" x14ac:dyDescent="0.25">
      <c r="A4134" s="1033"/>
      <c r="B4134" s="709" t="s">
        <v>396</v>
      </c>
      <c r="C4134" s="827">
        <v>120</v>
      </c>
      <c r="D4134" s="961" t="s">
        <v>55</v>
      </c>
      <c r="E4134" s="758">
        <v>413</v>
      </c>
      <c r="F4134" s="714"/>
      <c r="G4134" s="714"/>
      <c r="H4134" s="700">
        <f t="shared" si="467"/>
        <v>0</v>
      </c>
      <c r="I4134" s="714"/>
      <c r="J4134" s="714">
        <f t="shared" si="468"/>
        <v>49560</v>
      </c>
      <c r="K4134" s="700">
        <f t="shared" si="469"/>
        <v>49560</v>
      </c>
      <c r="L4134" s="714"/>
      <c r="M4134" s="714"/>
      <c r="N4134" s="700">
        <f t="shared" si="470"/>
        <v>0</v>
      </c>
      <c r="O4134" s="974">
        <f t="shared" si="471"/>
        <v>49560</v>
      </c>
      <c r="P4134" s="956"/>
      <c r="Q4134" s="1821"/>
      <c r="R4134" s="1821"/>
      <c r="S4134" s="1821"/>
      <c r="T4134" s="1821"/>
      <c r="U4134" s="1821"/>
      <c r="V4134" s="1821"/>
      <c r="W4134" s="1821"/>
      <c r="X4134" s="1821"/>
      <c r="Y4134" s="1821"/>
      <c r="Z4134" s="1821"/>
      <c r="AA4134" s="1821"/>
      <c r="AB4134" s="1821"/>
      <c r="AC4134" s="1821"/>
      <c r="AD4134" s="1821"/>
      <c r="AE4134" s="1821"/>
      <c r="AF4134" s="1821"/>
      <c r="AG4134" s="1821"/>
      <c r="AH4134" s="1821"/>
      <c r="AI4134" s="1821"/>
      <c r="AJ4134" s="1821"/>
      <c r="AK4134" s="1821"/>
      <c r="AL4134" s="1821"/>
      <c r="AM4134" s="1821"/>
      <c r="AN4134" s="1821"/>
      <c r="AO4134" s="1821"/>
      <c r="AP4134" s="1821"/>
      <c r="AQ4134" s="1821"/>
      <c r="AR4134" s="1821"/>
      <c r="AS4134" s="1821"/>
      <c r="AT4134" s="1821"/>
      <c r="AU4134" s="1821"/>
      <c r="AV4134" s="1821"/>
      <c r="AW4134" s="1821"/>
      <c r="AX4134" s="1821"/>
      <c r="AY4134" s="1821"/>
      <c r="AZ4134" s="1821"/>
      <c r="BA4134" s="1821"/>
      <c r="BB4134" s="1821"/>
      <c r="BC4134" s="1821"/>
      <c r="BD4134" s="1821"/>
      <c r="BE4134" s="1821"/>
      <c r="BF4134" s="1821"/>
      <c r="BG4134" s="1821"/>
      <c r="BH4134" s="1821"/>
      <c r="BI4134" s="1821"/>
      <c r="BJ4134" s="1821"/>
      <c r="BK4134" s="1821"/>
      <c r="BL4134" s="1821"/>
      <c r="BM4134" s="1821"/>
      <c r="BN4134" s="1821"/>
      <c r="BO4134" s="1821"/>
      <c r="BP4134" s="1821"/>
      <c r="BQ4134" s="1821"/>
      <c r="BR4134" s="1821"/>
      <c r="BS4134" s="1821"/>
      <c r="BT4134" s="1821"/>
      <c r="BU4134" s="1821"/>
      <c r="BV4134" s="1821"/>
      <c r="BW4134" s="1821"/>
      <c r="BX4134" s="1821"/>
      <c r="BY4134" s="1821"/>
      <c r="BZ4134" s="1821"/>
      <c r="CA4134" s="1821"/>
      <c r="CB4134" s="1821"/>
      <c r="CC4134" s="1821"/>
      <c r="CD4134" s="1821"/>
      <c r="CE4134" s="1821"/>
      <c r="CF4134" s="1821"/>
      <c r="CG4134" s="1821"/>
      <c r="CH4134" s="1821"/>
      <c r="CI4134" s="1821"/>
      <c r="CJ4134" s="1821"/>
      <c r="CK4134" s="1821"/>
    </row>
    <row r="4135" spans="1:89" s="744" customFormat="1" ht="16.5" customHeight="1" x14ac:dyDescent="0.25">
      <c r="A4135" s="1033"/>
      <c r="B4135" s="709" t="s">
        <v>397</v>
      </c>
      <c r="C4135" s="827">
        <v>80</v>
      </c>
      <c r="D4135" s="961" t="s">
        <v>55</v>
      </c>
      <c r="E4135" s="758">
        <v>502</v>
      </c>
      <c r="F4135" s="714"/>
      <c r="G4135" s="714"/>
      <c r="H4135" s="700">
        <f t="shared" si="467"/>
        <v>0</v>
      </c>
      <c r="I4135" s="714"/>
      <c r="J4135" s="714">
        <f t="shared" si="468"/>
        <v>40160</v>
      </c>
      <c r="K4135" s="700">
        <f t="shared" si="469"/>
        <v>40160</v>
      </c>
      <c r="L4135" s="714"/>
      <c r="M4135" s="714"/>
      <c r="N4135" s="700">
        <f t="shared" si="470"/>
        <v>0</v>
      </c>
      <c r="O4135" s="974">
        <f t="shared" si="471"/>
        <v>40160</v>
      </c>
      <c r="P4135" s="956"/>
      <c r="Q4135" s="1821"/>
      <c r="R4135" s="1821"/>
      <c r="S4135" s="1821"/>
      <c r="T4135" s="1821"/>
      <c r="U4135" s="1821"/>
      <c r="V4135" s="1821"/>
      <c r="W4135" s="1821"/>
      <c r="X4135" s="1821"/>
      <c r="Y4135" s="1821"/>
      <c r="Z4135" s="1821"/>
      <c r="AA4135" s="1821"/>
      <c r="AB4135" s="1821"/>
      <c r="AC4135" s="1821"/>
      <c r="AD4135" s="1821"/>
      <c r="AE4135" s="1821"/>
      <c r="AF4135" s="1821"/>
      <c r="AG4135" s="1821"/>
      <c r="AH4135" s="1821"/>
      <c r="AI4135" s="1821"/>
      <c r="AJ4135" s="1821"/>
      <c r="AK4135" s="1821"/>
      <c r="AL4135" s="1821"/>
      <c r="AM4135" s="1821"/>
      <c r="AN4135" s="1821"/>
      <c r="AO4135" s="1821"/>
      <c r="AP4135" s="1821"/>
      <c r="AQ4135" s="1821"/>
      <c r="AR4135" s="1821"/>
      <c r="AS4135" s="1821"/>
      <c r="AT4135" s="1821"/>
      <c r="AU4135" s="1821"/>
      <c r="AV4135" s="1821"/>
      <c r="AW4135" s="1821"/>
      <c r="AX4135" s="1821"/>
      <c r="AY4135" s="1821"/>
      <c r="AZ4135" s="1821"/>
      <c r="BA4135" s="1821"/>
      <c r="BB4135" s="1821"/>
      <c r="BC4135" s="1821"/>
      <c r="BD4135" s="1821"/>
      <c r="BE4135" s="1821"/>
      <c r="BF4135" s="1821"/>
      <c r="BG4135" s="1821"/>
      <c r="BH4135" s="1821"/>
      <c r="BI4135" s="1821"/>
      <c r="BJ4135" s="1821"/>
      <c r="BK4135" s="1821"/>
      <c r="BL4135" s="1821"/>
      <c r="BM4135" s="1821"/>
      <c r="BN4135" s="1821"/>
      <c r="BO4135" s="1821"/>
      <c r="BP4135" s="1821"/>
      <c r="BQ4135" s="1821"/>
      <c r="BR4135" s="1821"/>
      <c r="BS4135" s="1821"/>
      <c r="BT4135" s="1821"/>
      <c r="BU4135" s="1821"/>
      <c r="BV4135" s="1821"/>
      <c r="BW4135" s="1821"/>
      <c r="BX4135" s="1821"/>
      <c r="BY4135" s="1821"/>
      <c r="BZ4135" s="1821"/>
      <c r="CA4135" s="1821"/>
      <c r="CB4135" s="1821"/>
      <c r="CC4135" s="1821"/>
      <c r="CD4135" s="1821"/>
      <c r="CE4135" s="1821"/>
      <c r="CF4135" s="1821"/>
      <c r="CG4135" s="1821"/>
      <c r="CH4135" s="1821"/>
      <c r="CI4135" s="1821"/>
      <c r="CJ4135" s="1821"/>
      <c r="CK4135" s="1821"/>
    </row>
    <row r="4136" spans="1:89" s="744" customFormat="1" ht="16.5" customHeight="1" x14ac:dyDescent="0.25">
      <c r="A4136" s="1033"/>
      <c r="B4136" s="709" t="s">
        <v>399</v>
      </c>
      <c r="C4136" s="827">
        <v>40</v>
      </c>
      <c r="D4136" s="961" t="s">
        <v>207</v>
      </c>
      <c r="E4136" s="758">
        <v>80</v>
      </c>
      <c r="F4136" s="714"/>
      <c r="G4136" s="714"/>
      <c r="H4136" s="700">
        <f t="shared" si="467"/>
        <v>0</v>
      </c>
      <c r="I4136" s="714"/>
      <c r="J4136" s="714">
        <f t="shared" si="468"/>
        <v>3200</v>
      </c>
      <c r="K4136" s="700">
        <f t="shared" si="469"/>
        <v>3200</v>
      </c>
      <c r="L4136" s="714"/>
      <c r="M4136" s="714"/>
      <c r="N4136" s="700">
        <f t="shared" si="470"/>
        <v>0</v>
      </c>
      <c r="O4136" s="974">
        <f t="shared" si="471"/>
        <v>3200</v>
      </c>
      <c r="P4136" s="956"/>
      <c r="Q4136" s="1821"/>
      <c r="R4136" s="1821"/>
      <c r="S4136" s="1821"/>
      <c r="T4136" s="1821"/>
      <c r="U4136" s="1821"/>
      <c r="V4136" s="1821"/>
      <c r="W4136" s="1821"/>
      <c r="X4136" s="1821"/>
      <c r="Y4136" s="1821"/>
      <c r="Z4136" s="1821"/>
      <c r="AA4136" s="1821"/>
      <c r="AB4136" s="1821"/>
      <c r="AC4136" s="1821"/>
      <c r="AD4136" s="1821"/>
      <c r="AE4136" s="1821"/>
      <c r="AF4136" s="1821"/>
      <c r="AG4136" s="1821"/>
      <c r="AH4136" s="1821"/>
      <c r="AI4136" s="1821"/>
      <c r="AJ4136" s="1821"/>
      <c r="AK4136" s="1821"/>
      <c r="AL4136" s="1821"/>
      <c r="AM4136" s="1821"/>
      <c r="AN4136" s="1821"/>
      <c r="AO4136" s="1821"/>
      <c r="AP4136" s="1821"/>
      <c r="AQ4136" s="1821"/>
      <c r="AR4136" s="1821"/>
      <c r="AS4136" s="1821"/>
      <c r="AT4136" s="1821"/>
      <c r="AU4136" s="1821"/>
      <c r="AV4136" s="1821"/>
      <c r="AW4136" s="1821"/>
      <c r="AX4136" s="1821"/>
      <c r="AY4136" s="1821"/>
      <c r="AZ4136" s="1821"/>
      <c r="BA4136" s="1821"/>
      <c r="BB4136" s="1821"/>
      <c r="BC4136" s="1821"/>
      <c r="BD4136" s="1821"/>
      <c r="BE4136" s="1821"/>
      <c r="BF4136" s="1821"/>
      <c r="BG4136" s="1821"/>
      <c r="BH4136" s="1821"/>
      <c r="BI4136" s="1821"/>
      <c r="BJ4136" s="1821"/>
      <c r="BK4136" s="1821"/>
      <c r="BL4136" s="1821"/>
      <c r="BM4136" s="1821"/>
      <c r="BN4136" s="1821"/>
      <c r="BO4136" s="1821"/>
      <c r="BP4136" s="1821"/>
      <c r="BQ4136" s="1821"/>
      <c r="BR4136" s="1821"/>
      <c r="BS4136" s="1821"/>
      <c r="BT4136" s="1821"/>
      <c r="BU4136" s="1821"/>
      <c r="BV4136" s="1821"/>
      <c r="BW4136" s="1821"/>
      <c r="BX4136" s="1821"/>
      <c r="BY4136" s="1821"/>
      <c r="BZ4136" s="1821"/>
      <c r="CA4136" s="1821"/>
      <c r="CB4136" s="1821"/>
      <c r="CC4136" s="1821"/>
      <c r="CD4136" s="1821"/>
      <c r="CE4136" s="1821"/>
      <c r="CF4136" s="1821"/>
      <c r="CG4136" s="1821"/>
      <c r="CH4136" s="1821"/>
      <c r="CI4136" s="1821"/>
      <c r="CJ4136" s="1821"/>
      <c r="CK4136" s="1821"/>
    </row>
    <row r="4137" spans="1:89" s="744" customFormat="1" ht="16.5" customHeight="1" x14ac:dyDescent="0.25">
      <c r="A4137" s="1033"/>
      <c r="B4137" s="709" t="s">
        <v>400</v>
      </c>
      <c r="C4137" s="827">
        <v>100</v>
      </c>
      <c r="D4137" s="961" t="s">
        <v>55</v>
      </c>
      <c r="E4137" s="758">
        <v>107</v>
      </c>
      <c r="F4137" s="714"/>
      <c r="G4137" s="714"/>
      <c r="H4137" s="700">
        <f t="shared" si="467"/>
        <v>0</v>
      </c>
      <c r="I4137" s="714"/>
      <c r="J4137" s="714">
        <f t="shared" si="468"/>
        <v>10700</v>
      </c>
      <c r="K4137" s="700">
        <f t="shared" si="469"/>
        <v>10700</v>
      </c>
      <c r="L4137" s="714"/>
      <c r="M4137" s="714"/>
      <c r="N4137" s="700">
        <f t="shared" si="470"/>
        <v>0</v>
      </c>
      <c r="O4137" s="974">
        <f t="shared" si="471"/>
        <v>10700</v>
      </c>
      <c r="P4137" s="956"/>
      <c r="Q4137" s="1821"/>
      <c r="R4137" s="1821"/>
      <c r="S4137" s="1821"/>
      <c r="T4137" s="1821"/>
      <c r="U4137" s="1821"/>
      <c r="V4137" s="1821"/>
      <c r="W4137" s="1821"/>
      <c r="X4137" s="1821"/>
      <c r="Y4137" s="1821"/>
      <c r="Z4137" s="1821"/>
      <c r="AA4137" s="1821"/>
      <c r="AB4137" s="1821"/>
      <c r="AC4137" s="1821"/>
      <c r="AD4137" s="1821"/>
      <c r="AE4137" s="1821"/>
      <c r="AF4137" s="1821"/>
      <c r="AG4137" s="1821"/>
      <c r="AH4137" s="1821"/>
      <c r="AI4137" s="1821"/>
      <c r="AJ4137" s="1821"/>
      <c r="AK4137" s="1821"/>
      <c r="AL4137" s="1821"/>
      <c r="AM4137" s="1821"/>
      <c r="AN4137" s="1821"/>
      <c r="AO4137" s="1821"/>
      <c r="AP4137" s="1821"/>
      <c r="AQ4137" s="1821"/>
      <c r="AR4137" s="1821"/>
      <c r="AS4137" s="1821"/>
      <c r="AT4137" s="1821"/>
      <c r="AU4137" s="1821"/>
      <c r="AV4137" s="1821"/>
      <c r="AW4137" s="1821"/>
      <c r="AX4137" s="1821"/>
      <c r="AY4137" s="1821"/>
      <c r="AZ4137" s="1821"/>
      <c r="BA4137" s="1821"/>
      <c r="BB4137" s="1821"/>
      <c r="BC4137" s="1821"/>
      <c r="BD4137" s="1821"/>
      <c r="BE4137" s="1821"/>
      <c r="BF4137" s="1821"/>
      <c r="BG4137" s="1821"/>
      <c r="BH4137" s="1821"/>
      <c r="BI4137" s="1821"/>
      <c r="BJ4137" s="1821"/>
      <c r="BK4137" s="1821"/>
      <c r="BL4137" s="1821"/>
      <c r="BM4137" s="1821"/>
      <c r="BN4137" s="1821"/>
      <c r="BO4137" s="1821"/>
      <c r="BP4137" s="1821"/>
      <c r="BQ4137" s="1821"/>
      <c r="BR4137" s="1821"/>
      <c r="BS4137" s="1821"/>
      <c r="BT4137" s="1821"/>
      <c r="BU4137" s="1821"/>
      <c r="BV4137" s="1821"/>
      <c r="BW4137" s="1821"/>
      <c r="BX4137" s="1821"/>
      <c r="BY4137" s="1821"/>
      <c r="BZ4137" s="1821"/>
      <c r="CA4137" s="1821"/>
      <c r="CB4137" s="1821"/>
      <c r="CC4137" s="1821"/>
      <c r="CD4137" s="1821"/>
      <c r="CE4137" s="1821"/>
      <c r="CF4137" s="1821"/>
      <c r="CG4137" s="1821"/>
      <c r="CH4137" s="1821"/>
      <c r="CI4137" s="1821"/>
      <c r="CJ4137" s="1821"/>
      <c r="CK4137" s="1821"/>
    </row>
    <row r="4138" spans="1:89" s="744" customFormat="1" ht="16.5" customHeight="1" x14ac:dyDescent="0.25">
      <c r="A4138" s="1033"/>
      <c r="B4138" s="709"/>
      <c r="C4138" s="827"/>
      <c r="D4138" s="961"/>
      <c r="E4138" s="758"/>
      <c r="F4138" s="714"/>
      <c r="G4138" s="714"/>
      <c r="H4138" s="700"/>
      <c r="I4138" s="714"/>
      <c r="J4138" s="714"/>
      <c r="K4138" s="700"/>
      <c r="L4138" s="714"/>
      <c r="M4138" s="714"/>
      <c r="N4138" s="700"/>
      <c r="O4138" s="974"/>
      <c r="P4138" s="956"/>
      <c r="Q4138" s="1821"/>
      <c r="R4138" s="1821"/>
      <c r="S4138" s="1821"/>
      <c r="T4138" s="1821"/>
      <c r="U4138" s="1821"/>
      <c r="V4138" s="1821"/>
      <c r="W4138" s="1821"/>
      <c r="X4138" s="1821"/>
      <c r="Y4138" s="1821"/>
      <c r="Z4138" s="1821"/>
      <c r="AA4138" s="1821"/>
      <c r="AB4138" s="1821"/>
      <c r="AC4138" s="1821"/>
      <c r="AD4138" s="1821"/>
      <c r="AE4138" s="1821"/>
      <c r="AF4138" s="1821"/>
      <c r="AG4138" s="1821"/>
      <c r="AH4138" s="1821"/>
      <c r="AI4138" s="1821"/>
      <c r="AJ4138" s="1821"/>
      <c r="AK4138" s="1821"/>
      <c r="AL4138" s="1821"/>
      <c r="AM4138" s="1821"/>
      <c r="AN4138" s="1821"/>
      <c r="AO4138" s="1821"/>
      <c r="AP4138" s="1821"/>
      <c r="AQ4138" s="1821"/>
      <c r="AR4138" s="1821"/>
      <c r="AS4138" s="1821"/>
      <c r="AT4138" s="1821"/>
      <c r="AU4138" s="1821"/>
      <c r="AV4138" s="1821"/>
      <c r="AW4138" s="1821"/>
      <c r="AX4138" s="1821"/>
      <c r="AY4138" s="1821"/>
      <c r="AZ4138" s="1821"/>
      <c r="BA4138" s="1821"/>
      <c r="BB4138" s="1821"/>
      <c r="BC4138" s="1821"/>
      <c r="BD4138" s="1821"/>
      <c r="BE4138" s="1821"/>
      <c r="BF4138" s="1821"/>
      <c r="BG4138" s="1821"/>
      <c r="BH4138" s="1821"/>
      <c r="BI4138" s="1821"/>
      <c r="BJ4138" s="1821"/>
      <c r="BK4138" s="1821"/>
      <c r="BL4138" s="1821"/>
      <c r="BM4138" s="1821"/>
      <c r="BN4138" s="1821"/>
      <c r="BO4138" s="1821"/>
      <c r="BP4138" s="1821"/>
      <c r="BQ4138" s="1821"/>
      <c r="BR4138" s="1821"/>
      <c r="BS4138" s="1821"/>
      <c r="BT4138" s="1821"/>
      <c r="BU4138" s="1821"/>
      <c r="BV4138" s="1821"/>
      <c r="BW4138" s="1821"/>
      <c r="BX4138" s="1821"/>
      <c r="BY4138" s="1821"/>
      <c r="BZ4138" s="1821"/>
      <c r="CA4138" s="1821"/>
      <c r="CB4138" s="1821"/>
      <c r="CC4138" s="1821"/>
      <c r="CD4138" s="1821"/>
      <c r="CE4138" s="1821"/>
      <c r="CF4138" s="1821"/>
      <c r="CG4138" s="1821"/>
      <c r="CH4138" s="1821"/>
      <c r="CI4138" s="1821"/>
      <c r="CJ4138" s="1821"/>
      <c r="CK4138" s="1821"/>
    </row>
    <row r="4139" spans="1:89" s="744" customFormat="1" ht="16.5" customHeight="1" x14ac:dyDescent="0.25">
      <c r="A4139" s="1033"/>
      <c r="B4139" s="709" t="s">
        <v>1379</v>
      </c>
      <c r="C4139" s="827">
        <v>1</v>
      </c>
      <c r="D4139" s="961" t="s">
        <v>47</v>
      </c>
      <c r="E4139" s="758">
        <v>150000</v>
      </c>
      <c r="F4139" s="714"/>
      <c r="G4139" s="714"/>
      <c r="H4139" s="700">
        <f>G4139+F4139</f>
        <v>0</v>
      </c>
      <c r="I4139" s="714"/>
      <c r="J4139" s="714">
        <f t="shared" ref="J4139:J4144" si="472">C4139*E4139</f>
        <v>150000</v>
      </c>
      <c r="K4139" s="700">
        <f>J4139+I4139</f>
        <v>150000</v>
      </c>
      <c r="L4139" s="714"/>
      <c r="M4139" s="714"/>
      <c r="N4139" s="700">
        <f>M4139+L4139</f>
        <v>0</v>
      </c>
      <c r="O4139" s="974">
        <f t="shared" ref="O4139:O4158" si="473">N4139+K4139+H4139</f>
        <v>150000</v>
      </c>
      <c r="P4139" s="956"/>
      <c r="Q4139" s="1821"/>
      <c r="R4139" s="1821"/>
      <c r="S4139" s="1821"/>
      <c r="T4139" s="1821"/>
      <c r="U4139" s="1821"/>
      <c r="V4139" s="1821"/>
      <c r="W4139" s="1821"/>
      <c r="X4139" s="1821"/>
      <c r="Y4139" s="1821"/>
      <c r="Z4139" s="1821"/>
      <c r="AA4139" s="1821"/>
      <c r="AB4139" s="1821"/>
      <c r="AC4139" s="1821"/>
      <c r="AD4139" s="1821"/>
      <c r="AE4139" s="1821"/>
      <c r="AF4139" s="1821"/>
      <c r="AG4139" s="1821"/>
      <c r="AH4139" s="1821"/>
      <c r="AI4139" s="1821"/>
      <c r="AJ4139" s="1821"/>
      <c r="AK4139" s="1821"/>
      <c r="AL4139" s="1821"/>
      <c r="AM4139" s="1821"/>
      <c r="AN4139" s="1821"/>
      <c r="AO4139" s="1821"/>
      <c r="AP4139" s="1821"/>
      <c r="AQ4139" s="1821"/>
      <c r="AR4139" s="1821"/>
      <c r="AS4139" s="1821"/>
      <c r="AT4139" s="1821"/>
      <c r="AU4139" s="1821"/>
      <c r="AV4139" s="1821"/>
      <c r="AW4139" s="1821"/>
      <c r="AX4139" s="1821"/>
      <c r="AY4139" s="1821"/>
      <c r="AZ4139" s="1821"/>
      <c r="BA4139" s="1821"/>
      <c r="BB4139" s="1821"/>
      <c r="BC4139" s="1821"/>
      <c r="BD4139" s="1821"/>
      <c r="BE4139" s="1821"/>
      <c r="BF4139" s="1821"/>
      <c r="BG4139" s="1821"/>
      <c r="BH4139" s="1821"/>
      <c r="BI4139" s="1821"/>
      <c r="BJ4139" s="1821"/>
      <c r="BK4139" s="1821"/>
      <c r="BL4139" s="1821"/>
      <c r="BM4139" s="1821"/>
      <c r="BN4139" s="1821"/>
      <c r="BO4139" s="1821"/>
      <c r="BP4139" s="1821"/>
      <c r="BQ4139" s="1821"/>
      <c r="BR4139" s="1821"/>
      <c r="BS4139" s="1821"/>
      <c r="BT4139" s="1821"/>
      <c r="BU4139" s="1821"/>
      <c r="BV4139" s="1821"/>
      <c r="BW4139" s="1821"/>
      <c r="BX4139" s="1821"/>
      <c r="BY4139" s="1821"/>
      <c r="BZ4139" s="1821"/>
      <c r="CA4139" s="1821"/>
      <c r="CB4139" s="1821"/>
      <c r="CC4139" s="1821"/>
      <c r="CD4139" s="1821"/>
      <c r="CE4139" s="1821"/>
      <c r="CF4139" s="1821"/>
      <c r="CG4139" s="1821"/>
      <c r="CH4139" s="1821"/>
      <c r="CI4139" s="1821"/>
      <c r="CJ4139" s="1821"/>
      <c r="CK4139" s="1821"/>
    </row>
    <row r="4140" spans="1:89" s="744" customFormat="1" ht="16.5" customHeight="1" x14ac:dyDescent="0.25">
      <c r="A4140" s="1033"/>
      <c r="B4140" s="709"/>
      <c r="C4140" s="827"/>
      <c r="D4140" s="961"/>
      <c r="E4140" s="758"/>
      <c r="F4140" s="714"/>
      <c r="G4140" s="714"/>
      <c r="H4140" s="700">
        <f t="shared" si="463"/>
        <v>0</v>
      </c>
      <c r="I4140" s="714"/>
      <c r="J4140" s="714">
        <f t="shared" si="472"/>
        <v>0</v>
      </c>
      <c r="K4140" s="700">
        <f t="shared" si="464"/>
        <v>0</v>
      </c>
      <c r="L4140" s="714"/>
      <c r="M4140" s="714"/>
      <c r="N4140" s="700">
        <f t="shared" si="465"/>
        <v>0</v>
      </c>
      <c r="O4140" s="974">
        <f t="shared" si="473"/>
        <v>0</v>
      </c>
      <c r="P4140" s="956"/>
      <c r="Q4140" s="1821"/>
      <c r="R4140" s="1821"/>
      <c r="S4140" s="1821"/>
      <c r="T4140" s="1821"/>
      <c r="U4140" s="1821"/>
      <c r="V4140" s="1821"/>
      <c r="W4140" s="1821"/>
      <c r="X4140" s="1821"/>
      <c r="Y4140" s="1821"/>
      <c r="Z4140" s="1821"/>
      <c r="AA4140" s="1821"/>
      <c r="AB4140" s="1821"/>
      <c r="AC4140" s="1821"/>
      <c r="AD4140" s="1821"/>
      <c r="AE4140" s="1821"/>
      <c r="AF4140" s="1821"/>
      <c r="AG4140" s="1821"/>
      <c r="AH4140" s="1821"/>
      <c r="AI4140" s="1821"/>
      <c r="AJ4140" s="1821"/>
      <c r="AK4140" s="1821"/>
      <c r="AL4140" s="1821"/>
      <c r="AM4140" s="1821"/>
      <c r="AN4140" s="1821"/>
      <c r="AO4140" s="1821"/>
      <c r="AP4140" s="1821"/>
      <c r="AQ4140" s="1821"/>
      <c r="AR4140" s="1821"/>
      <c r="AS4140" s="1821"/>
      <c r="AT4140" s="1821"/>
      <c r="AU4140" s="1821"/>
      <c r="AV4140" s="1821"/>
      <c r="AW4140" s="1821"/>
      <c r="AX4140" s="1821"/>
      <c r="AY4140" s="1821"/>
      <c r="AZ4140" s="1821"/>
      <c r="BA4140" s="1821"/>
      <c r="BB4140" s="1821"/>
      <c r="BC4140" s="1821"/>
      <c r="BD4140" s="1821"/>
      <c r="BE4140" s="1821"/>
      <c r="BF4140" s="1821"/>
      <c r="BG4140" s="1821"/>
      <c r="BH4140" s="1821"/>
      <c r="BI4140" s="1821"/>
      <c r="BJ4140" s="1821"/>
      <c r="BK4140" s="1821"/>
      <c r="BL4140" s="1821"/>
      <c r="BM4140" s="1821"/>
      <c r="BN4140" s="1821"/>
      <c r="BO4140" s="1821"/>
      <c r="BP4140" s="1821"/>
      <c r="BQ4140" s="1821"/>
      <c r="BR4140" s="1821"/>
      <c r="BS4140" s="1821"/>
      <c r="BT4140" s="1821"/>
      <c r="BU4140" s="1821"/>
      <c r="BV4140" s="1821"/>
      <c r="BW4140" s="1821"/>
      <c r="BX4140" s="1821"/>
      <c r="BY4140" s="1821"/>
      <c r="BZ4140" s="1821"/>
      <c r="CA4140" s="1821"/>
      <c r="CB4140" s="1821"/>
      <c r="CC4140" s="1821"/>
      <c r="CD4140" s="1821"/>
      <c r="CE4140" s="1821"/>
      <c r="CF4140" s="1821"/>
      <c r="CG4140" s="1821"/>
      <c r="CH4140" s="1821"/>
      <c r="CI4140" s="1821"/>
      <c r="CJ4140" s="1821"/>
      <c r="CK4140" s="1821"/>
    </row>
    <row r="4141" spans="1:89" s="744" customFormat="1" ht="16.5" customHeight="1" x14ac:dyDescent="0.25">
      <c r="A4141" s="1033">
        <v>1953.0350000000001</v>
      </c>
      <c r="B4141" s="709" t="s">
        <v>412</v>
      </c>
      <c r="C4141" s="827"/>
      <c r="D4141" s="961"/>
      <c r="E4141" s="758"/>
      <c r="F4141" s="714"/>
      <c r="G4141" s="714"/>
      <c r="H4141" s="700">
        <f t="shared" si="463"/>
        <v>0</v>
      </c>
      <c r="I4141" s="714"/>
      <c r="J4141" s="714">
        <f t="shared" si="472"/>
        <v>0</v>
      </c>
      <c r="K4141" s="700">
        <f t="shared" si="464"/>
        <v>0</v>
      </c>
      <c r="L4141" s="714"/>
      <c r="M4141" s="714"/>
      <c r="N4141" s="700">
        <f t="shared" si="465"/>
        <v>0</v>
      </c>
      <c r="O4141" s="974">
        <f t="shared" si="473"/>
        <v>0</v>
      </c>
      <c r="P4141" s="956"/>
      <c r="Q4141" s="1821"/>
      <c r="R4141" s="1821"/>
      <c r="S4141" s="1821"/>
      <c r="T4141" s="1821"/>
      <c r="U4141" s="1821"/>
      <c r="V4141" s="1821"/>
      <c r="W4141" s="1821"/>
      <c r="X4141" s="1821"/>
      <c r="Y4141" s="1821"/>
      <c r="Z4141" s="1821"/>
      <c r="AA4141" s="1821"/>
      <c r="AB4141" s="1821"/>
      <c r="AC4141" s="1821"/>
      <c r="AD4141" s="1821"/>
      <c r="AE4141" s="1821"/>
      <c r="AF4141" s="1821"/>
      <c r="AG4141" s="1821"/>
      <c r="AH4141" s="1821"/>
      <c r="AI4141" s="1821"/>
      <c r="AJ4141" s="1821"/>
      <c r="AK4141" s="1821"/>
      <c r="AL4141" s="1821"/>
      <c r="AM4141" s="1821"/>
      <c r="AN4141" s="1821"/>
      <c r="AO4141" s="1821"/>
      <c r="AP4141" s="1821"/>
      <c r="AQ4141" s="1821"/>
      <c r="AR4141" s="1821"/>
      <c r="AS4141" s="1821"/>
      <c r="AT4141" s="1821"/>
      <c r="AU4141" s="1821"/>
      <c r="AV4141" s="1821"/>
      <c r="AW4141" s="1821"/>
      <c r="AX4141" s="1821"/>
      <c r="AY4141" s="1821"/>
      <c r="AZ4141" s="1821"/>
      <c r="BA4141" s="1821"/>
      <c r="BB4141" s="1821"/>
      <c r="BC4141" s="1821"/>
      <c r="BD4141" s="1821"/>
      <c r="BE4141" s="1821"/>
      <c r="BF4141" s="1821"/>
      <c r="BG4141" s="1821"/>
      <c r="BH4141" s="1821"/>
      <c r="BI4141" s="1821"/>
      <c r="BJ4141" s="1821"/>
      <c r="BK4141" s="1821"/>
      <c r="BL4141" s="1821"/>
      <c r="BM4141" s="1821"/>
      <c r="BN4141" s="1821"/>
      <c r="BO4141" s="1821"/>
      <c r="BP4141" s="1821"/>
      <c r="BQ4141" s="1821"/>
      <c r="BR4141" s="1821"/>
      <c r="BS4141" s="1821"/>
      <c r="BT4141" s="1821"/>
      <c r="BU4141" s="1821"/>
      <c r="BV4141" s="1821"/>
      <c r="BW4141" s="1821"/>
      <c r="BX4141" s="1821"/>
      <c r="BY4141" s="1821"/>
      <c r="BZ4141" s="1821"/>
      <c r="CA4141" s="1821"/>
      <c r="CB4141" s="1821"/>
      <c r="CC4141" s="1821"/>
      <c r="CD4141" s="1821"/>
      <c r="CE4141" s="1821"/>
      <c r="CF4141" s="1821"/>
      <c r="CG4141" s="1821"/>
      <c r="CH4141" s="1821"/>
      <c r="CI4141" s="1821"/>
      <c r="CJ4141" s="1821"/>
      <c r="CK4141" s="1821"/>
    </row>
    <row r="4142" spans="1:89" s="744" customFormat="1" ht="16.5" customHeight="1" x14ac:dyDescent="0.25">
      <c r="A4142" s="1033" t="s">
        <v>413</v>
      </c>
      <c r="B4142" s="709" t="s">
        <v>414</v>
      </c>
      <c r="C4142" s="827"/>
      <c r="D4142" s="961"/>
      <c r="E4142" s="758"/>
      <c r="F4142" s="714"/>
      <c r="G4142" s="714"/>
      <c r="H4142" s="700">
        <f t="shared" si="463"/>
        <v>0</v>
      </c>
      <c r="I4142" s="714"/>
      <c r="J4142" s="714">
        <f t="shared" si="472"/>
        <v>0</v>
      </c>
      <c r="K4142" s="700">
        <f t="shared" si="464"/>
        <v>0</v>
      </c>
      <c r="L4142" s="714"/>
      <c r="M4142" s="714"/>
      <c r="N4142" s="700">
        <f t="shared" si="465"/>
        <v>0</v>
      </c>
      <c r="O4142" s="974">
        <f t="shared" si="473"/>
        <v>0</v>
      </c>
      <c r="P4142" s="956"/>
      <c r="Q4142" s="1821"/>
      <c r="R4142" s="1821"/>
      <c r="S4142" s="1821"/>
      <c r="T4142" s="1821"/>
      <c r="U4142" s="1821"/>
      <c r="V4142" s="1821"/>
      <c r="W4142" s="1821"/>
      <c r="X4142" s="1821"/>
      <c r="Y4142" s="1821"/>
      <c r="Z4142" s="1821"/>
      <c r="AA4142" s="1821"/>
      <c r="AB4142" s="1821"/>
      <c r="AC4142" s="1821"/>
      <c r="AD4142" s="1821"/>
      <c r="AE4142" s="1821"/>
      <c r="AF4142" s="1821"/>
      <c r="AG4142" s="1821"/>
      <c r="AH4142" s="1821"/>
      <c r="AI4142" s="1821"/>
      <c r="AJ4142" s="1821"/>
      <c r="AK4142" s="1821"/>
      <c r="AL4142" s="1821"/>
      <c r="AM4142" s="1821"/>
      <c r="AN4142" s="1821"/>
      <c r="AO4142" s="1821"/>
      <c r="AP4142" s="1821"/>
      <c r="AQ4142" s="1821"/>
      <c r="AR4142" s="1821"/>
      <c r="AS4142" s="1821"/>
      <c r="AT4142" s="1821"/>
      <c r="AU4142" s="1821"/>
      <c r="AV4142" s="1821"/>
      <c r="AW4142" s="1821"/>
      <c r="AX4142" s="1821"/>
      <c r="AY4142" s="1821"/>
      <c r="AZ4142" s="1821"/>
      <c r="BA4142" s="1821"/>
      <c r="BB4142" s="1821"/>
      <c r="BC4142" s="1821"/>
      <c r="BD4142" s="1821"/>
      <c r="BE4142" s="1821"/>
      <c r="BF4142" s="1821"/>
      <c r="BG4142" s="1821"/>
      <c r="BH4142" s="1821"/>
      <c r="BI4142" s="1821"/>
      <c r="BJ4142" s="1821"/>
      <c r="BK4142" s="1821"/>
      <c r="BL4142" s="1821"/>
      <c r="BM4142" s="1821"/>
      <c r="BN4142" s="1821"/>
      <c r="BO4142" s="1821"/>
      <c r="BP4142" s="1821"/>
      <c r="BQ4142" s="1821"/>
      <c r="BR4142" s="1821"/>
      <c r="BS4142" s="1821"/>
      <c r="BT4142" s="1821"/>
      <c r="BU4142" s="1821"/>
      <c r="BV4142" s="1821"/>
      <c r="BW4142" s="1821"/>
      <c r="BX4142" s="1821"/>
      <c r="BY4142" s="1821"/>
      <c r="BZ4142" s="1821"/>
      <c r="CA4142" s="1821"/>
      <c r="CB4142" s="1821"/>
      <c r="CC4142" s="1821"/>
      <c r="CD4142" s="1821"/>
      <c r="CE4142" s="1821"/>
      <c r="CF4142" s="1821"/>
      <c r="CG4142" s="1821"/>
      <c r="CH4142" s="1821"/>
      <c r="CI4142" s="1821"/>
      <c r="CJ4142" s="1821"/>
      <c r="CK4142" s="1821"/>
    </row>
    <row r="4143" spans="1:89" s="744" customFormat="1" ht="16.5" customHeight="1" x14ac:dyDescent="0.25">
      <c r="A4143" s="1033">
        <v>11</v>
      </c>
      <c r="B4143" s="709" t="s">
        <v>415</v>
      </c>
      <c r="C4143" s="827"/>
      <c r="D4143" s="961"/>
      <c r="E4143" s="758"/>
      <c r="F4143" s="714"/>
      <c r="G4143" s="714"/>
      <c r="H4143" s="700">
        <f t="shared" si="463"/>
        <v>0</v>
      </c>
      <c r="I4143" s="714"/>
      <c r="J4143" s="714">
        <f t="shared" si="472"/>
        <v>0</v>
      </c>
      <c r="K4143" s="700">
        <f t="shared" si="464"/>
        <v>0</v>
      </c>
      <c r="L4143" s="714"/>
      <c r="M4143" s="714"/>
      <c r="N4143" s="700">
        <f t="shared" si="465"/>
        <v>0</v>
      </c>
      <c r="O4143" s="974">
        <f t="shared" si="473"/>
        <v>0</v>
      </c>
      <c r="P4143" s="956"/>
      <c r="Q4143" s="1821"/>
      <c r="R4143" s="1821"/>
      <c r="S4143" s="1821"/>
      <c r="T4143" s="1821"/>
      <c r="U4143" s="1821"/>
      <c r="V4143" s="1821"/>
      <c r="W4143" s="1821"/>
      <c r="X4143" s="1821"/>
      <c r="Y4143" s="1821"/>
      <c r="Z4143" s="1821"/>
      <c r="AA4143" s="1821"/>
      <c r="AB4143" s="1821"/>
      <c r="AC4143" s="1821"/>
      <c r="AD4143" s="1821"/>
      <c r="AE4143" s="1821"/>
      <c r="AF4143" s="1821"/>
      <c r="AG4143" s="1821"/>
      <c r="AH4143" s="1821"/>
      <c r="AI4143" s="1821"/>
      <c r="AJ4143" s="1821"/>
      <c r="AK4143" s="1821"/>
      <c r="AL4143" s="1821"/>
      <c r="AM4143" s="1821"/>
      <c r="AN4143" s="1821"/>
      <c r="AO4143" s="1821"/>
      <c r="AP4143" s="1821"/>
      <c r="AQ4143" s="1821"/>
      <c r="AR4143" s="1821"/>
      <c r="AS4143" s="1821"/>
      <c r="AT4143" s="1821"/>
      <c r="AU4143" s="1821"/>
      <c r="AV4143" s="1821"/>
      <c r="AW4143" s="1821"/>
      <c r="AX4143" s="1821"/>
      <c r="AY4143" s="1821"/>
      <c r="AZ4143" s="1821"/>
      <c r="BA4143" s="1821"/>
      <c r="BB4143" s="1821"/>
      <c r="BC4143" s="1821"/>
      <c r="BD4143" s="1821"/>
      <c r="BE4143" s="1821"/>
      <c r="BF4143" s="1821"/>
      <c r="BG4143" s="1821"/>
      <c r="BH4143" s="1821"/>
      <c r="BI4143" s="1821"/>
      <c r="BJ4143" s="1821"/>
      <c r="BK4143" s="1821"/>
      <c r="BL4143" s="1821"/>
      <c r="BM4143" s="1821"/>
      <c r="BN4143" s="1821"/>
      <c r="BO4143" s="1821"/>
      <c r="BP4143" s="1821"/>
      <c r="BQ4143" s="1821"/>
      <c r="BR4143" s="1821"/>
      <c r="BS4143" s="1821"/>
      <c r="BT4143" s="1821"/>
      <c r="BU4143" s="1821"/>
      <c r="BV4143" s="1821"/>
      <c r="BW4143" s="1821"/>
      <c r="BX4143" s="1821"/>
      <c r="BY4143" s="1821"/>
      <c r="BZ4143" s="1821"/>
      <c r="CA4143" s="1821"/>
      <c r="CB4143" s="1821"/>
      <c r="CC4143" s="1821"/>
      <c r="CD4143" s="1821"/>
      <c r="CE4143" s="1821"/>
      <c r="CF4143" s="1821"/>
      <c r="CG4143" s="1821"/>
      <c r="CH4143" s="1821"/>
      <c r="CI4143" s="1821"/>
      <c r="CJ4143" s="1821"/>
      <c r="CK4143" s="1821"/>
    </row>
    <row r="4144" spans="1:89" s="744" customFormat="1" ht="16.5" customHeight="1" x14ac:dyDescent="0.25">
      <c r="A4144" s="1033" t="s">
        <v>49</v>
      </c>
      <c r="B4144" s="709" t="s">
        <v>57</v>
      </c>
      <c r="C4144" s="827"/>
      <c r="D4144" s="961"/>
      <c r="E4144" s="758"/>
      <c r="F4144" s="714"/>
      <c r="G4144" s="714"/>
      <c r="H4144" s="700">
        <f t="shared" si="463"/>
        <v>0</v>
      </c>
      <c r="I4144" s="714"/>
      <c r="J4144" s="714">
        <f t="shared" si="472"/>
        <v>0</v>
      </c>
      <c r="K4144" s="700">
        <f t="shared" si="464"/>
        <v>0</v>
      </c>
      <c r="L4144" s="714"/>
      <c r="M4144" s="714"/>
      <c r="N4144" s="700">
        <f t="shared" si="465"/>
        <v>0</v>
      </c>
      <c r="O4144" s="974">
        <f t="shared" si="473"/>
        <v>0</v>
      </c>
      <c r="P4144" s="956"/>
      <c r="Q4144" s="1821"/>
      <c r="R4144" s="1821"/>
      <c r="S4144" s="1821"/>
      <c r="T4144" s="1821"/>
      <c r="U4144" s="1821"/>
      <c r="V4144" s="1821"/>
      <c r="W4144" s="1821"/>
      <c r="X4144" s="1821"/>
      <c r="Y4144" s="1821"/>
      <c r="Z4144" s="1821"/>
      <c r="AA4144" s="1821"/>
      <c r="AB4144" s="1821"/>
      <c r="AC4144" s="1821"/>
      <c r="AD4144" s="1821"/>
      <c r="AE4144" s="1821"/>
      <c r="AF4144" s="1821"/>
      <c r="AG4144" s="1821"/>
      <c r="AH4144" s="1821"/>
      <c r="AI4144" s="1821"/>
      <c r="AJ4144" s="1821"/>
      <c r="AK4144" s="1821"/>
      <c r="AL4144" s="1821"/>
      <c r="AM4144" s="1821"/>
      <c r="AN4144" s="1821"/>
      <c r="AO4144" s="1821"/>
      <c r="AP4144" s="1821"/>
      <c r="AQ4144" s="1821"/>
      <c r="AR4144" s="1821"/>
      <c r="AS4144" s="1821"/>
      <c r="AT4144" s="1821"/>
      <c r="AU4144" s="1821"/>
      <c r="AV4144" s="1821"/>
      <c r="AW4144" s="1821"/>
      <c r="AX4144" s="1821"/>
      <c r="AY4144" s="1821"/>
      <c r="AZ4144" s="1821"/>
      <c r="BA4144" s="1821"/>
      <c r="BB4144" s="1821"/>
      <c r="BC4144" s="1821"/>
      <c r="BD4144" s="1821"/>
      <c r="BE4144" s="1821"/>
      <c r="BF4144" s="1821"/>
      <c r="BG4144" s="1821"/>
      <c r="BH4144" s="1821"/>
      <c r="BI4144" s="1821"/>
      <c r="BJ4144" s="1821"/>
      <c r="BK4144" s="1821"/>
      <c r="BL4144" s="1821"/>
      <c r="BM4144" s="1821"/>
      <c r="BN4144" s="1821"/>
      <c r="BO4144" s="1821"/>
      <c r="BP4144" s="1821"/>
      <c r="BQ4144" s="1821"/>
      <c r="BR4144" s="1821"/>
      <c r="BS4144" s="1821"/>
      <c r="BT4144" s="1821"/>
      <c r="BU4144" s="1821"/>
      <c r="BV4144" s="1821"/>
      <c r="BW4144" s="1821"/>
      <c r="BX4144" s="1821"/>
      <c r="BY4144" s="1821"/>
      <c r="BZ4144" s="1821"/>
      <c r="CA4144" s="1821"/>
      <c r="CB4144" s="1821"/>
      <c r="CC4144" s="1821"/>
      <c r="CD4144" s="1821"/>
      <c r="CE4144" s="1821"/>
      <c r="CF4144" s="1821"/>
      <c r="CG4144" s="1821"/>
      <c r="CH4144" s="1821"/>
      <c r="CI4144" s="1821"/>
      <c r="CJ4144" s="1821"/>
      <c r="CK4144" s="1821"/>
    </row>
    <row r="4145" spans="1:89" s="744" customFormat="1" ht="16.5" customHeight="1" x14ac:dyDescent="0.25">
      <c r="A4145" s="1033"/>
      <c r="B4145" s="709" t="s">
        <v>416</v>
      </c>
      <c r="C4145" s="827">
        <v>1</v>
      </c>
      <c r="D4145" s="961" t="s">
        <v>16</v>
      </c>
      <c r="E4145" s="758">
        <v>100000</v>
      </c>
      <c r="F4145" s="714"/>
      <c r="G4145" s="714"/>
      <c r="H4145" s="700">
        <f t="shared" si="463"/>
        <v>0</v>
      </c>
      <c r="I4145" s="714"/>
      <c r="J4145" s="714"/>
      <c r="K4145" s="700">
        <f t="shared" si="464"/>
        <v>0</v>
      </c>
      <c r="L4145" s="714">
        <f>E4145*C4145</f>
        <v>100000</v>
      </c>
      <c r="M4145" s="714"/>
      <c r="N4145" s="700">
        <f t="shared" si="465"/>
        <v>100000</v>
      </c>
      <c r="O4145" s="974">
        <f t="shared" si="473"/>
        <v>100000</v>
      </c>
      <c r="P4145" s="956"/>
      <c r="Q4145" s="1821"/>
      <c r="R4145" s="1821"/>
      <c r="S4145" s="1821"/>
      <c r="T4145" s="1821"/>
      <c r="U4145" s="1821"/>
      <c r="V4145" s="1821"/>
      <c r="W4145" s="1821"/>
      <c r="X4145" s="1821"/>
      <c r="Y4145" s="1821"/>
      <c r="Z4145" s="1821"/>
      <c r="AA4145" s="1821"/>
      <c r="AB4145" s="1821"/>
      <c r="AC4145" s="1821"/>
      <c r="AD4145" s="1821"/>
      <c r="AE4145" s="1821"/>
      <c r="AF4145" s="1821"/>
      <c r="AG4145" s="1821"/>
      <c r="AH4145" s="1821"/>
      <c r="AI4145" s="1821"/>
      <c r="AJ4145" s="1821"/>
      <c r="AK4145" s="1821"/>
      <c r="AL4145" s="1821"/>
      <c r="AM4145" s="1821"/>
      <c r="AN4145" s="1821"/>
      <c r="AO4145" s="1821"/>
      <c r="AP4145" s="1821"/>
      <c r="AQ4145" s="1821"/>
      <c r="AR4145" s="1821"/>
      <c r="AS4145" s="1821"/>
      <c r="AT4145" s="1821"/>
      <c r="AU4145" s="1821"/>
      <c r="AV4145" s="1821"/>
      <c r="AW4145" s="1821"/>
      <c r="AX4145" s="1821"/>
      <c r="AY4145" s="1821"/>
      <c r="AZ4145" s="1821"/>
      <c r="BA4145" s="1821"/>
      <c r="BB4145" s="1821"/>
      <c r="BC4145" s="1821"/>
      <c r="BD4145" s="1821"/>
      <c r="BE4145" s="1821"/>
      <c r="BF4145" s="1821"/>
      <c r="BG4145" s="1821"/>
      <c r="BH4145" s="1821"/>
      <c r="BI4145" s="1821"/>
      <c r="BJ4145" s="1821"/>
      <c r="BK4145" s="1821"/>
      <c r="BL4145" s="1821"/>
      <c r="BM4145" s="1821"/>
      <c r="BN4145" s="1821"/>
      <c r="BO4145" s="1821"/>
      <c r="BP4145" s="1821"/>
      <c r="BQ4145" s="1821"/>
      <c r="BR4145" s="1821"/>
      <c r="BS4145" s="1821"/>
      <c r="BT4145" s="1821"/>
      <c r="BU4145" s="1821"/>
      <c r="BV4145" s="1821"/>
      <c r="BW4145" s="1821"/>
      <c r="BX4145" s="1821"/>
      <c r="BY4145" s="1821"/>
      <c r="BZ4145" s="1821"/>
      <c r="CA4145" s="1821"/>
      <c r="CB4145" s="1821"/>
      <c r="CC4145" s="1821"/>
      <c r="CD4145" s="1821"/>
      <c r="CE4145" s="1821"/>
      <c r="CF4145" s="1821"/>
      <c r="CG4145" s="1821"/>
      <c r="CH4145" s="1821"/>
      <c r="CI4145" s="1821"/>
      <c r="CJ4145" s="1821"/>
      <c r="CK4145" s="1821"/>
    </row>
    <row r="4146" spans="1:89" s="744" customFormat="1" ht="16.5" customHeight="1" x14ac:dyDescent="0.25">
      <c r="A4146" s="1033"/>
      <c r="B4146" s="709"/>
      <c r="C4146" s="827"/>
      <c r="D4146" s="961"/>
      <c r="E4146" s="758"/>
      <c r="F4146" s="714"/>
      <c r="G4146" s="714"/>
      <c r="H4146" s="700">
        <f t="shared" si="463"/>
        <v>0</v>
      </c>
      <c r="I4146" s="714"/>
      <c r="J4146" s="714">
        <f>C4146*E4146</f>
        <v>0</v>
      </c>
      <c r="K4146" s="700">
        <f t="shared" si="464"/>
        <v>0</v>
      </c>
      <c r="L4146" s="714"/>
      <c r="M4146" s="714"/>
      <c r="N4146" s="700">
        <f t="shared" si="465"/>
        <v>0</v>
      </c>
      <c r="O4146" s="974">
        <f t="shared" si="473"/>
        <v>0</v>
      </c>
      <c r="P4146" s="956"/>
      <c r="Q4146" s="1821"/>
      <c r="R4146" s="1821"/>
      <c r="S4146" s="1821"/>
      <c r="T4146" s="1821"/>
      <c r="U4146" s="1821"/>
      <c r="V4146" s="1821"/>
      <c r="W4146" s="1821"/>
      <c r="X4146" s="1821"/>
      <c r="Y4146" s="1821"/>
      <c r="Z4146" s="1821"/>
      <c r="AA4146" s="1821"/>
      <c r="AB4146" s="1821"/>
      <c r="AC4146" s="1821"/>
      <c r="AD4146" s="1821"/>
      <c r="AE4146" s="1821"/>
      <c r="AF4146" s="1821"/>
      <c r="AG4146" s="1821"/>
      <c r="AH4146" s="1821"/>
      <c r="AI4146" s="1821"/>
      <c r="AJ4146" s="1821"/>
      <c r="AK4146" s="1821"/>
      <c r="AL4146" s="1821"/>
      <c r="AM4146" s="1821"/>
      <c r="AN4146" s="1821"/>
      <c r="AO4146" s="1821"/>
      <c r="AP4146" s="1821"/>
      <c r="AQ4146" s="1821"/>
      <c r="AR4146" s="1821"/>
      <c r="AS4146" s="1821"/>
      <c r="AT4146" s="1821"/>
      <c r="AU4146" s="1821"/>
      <c r="AV4146" s="1821"/>
      <c r="AW4146" s="1821"/>
      <c r="AX4146" s="1821"/>
      <c r="AY4146" s="1821"/>
      <c r="AZ4146" s="1821"/>
      <c r="BA4146" s="1821"/>
      <c r="BB4146" s="1821"/>
      <c r="BC4146" s="1821"/>
      <c r="BD4146" s="1821"/>
      <c r="BE4146" s="1821"/>
      <c r="BF4146" s="1821"/>
      <c r="BG4146" s="1821"/>
      <c r="BH4146" s="1821"/>
      <c r="BI4146" s="1821"/>
      <c r="BJ4146" s="1821"/>
      <c r="BK4146" s="1821"/>
      <c r="BL4146" s="1821"/>
      <c r="BM4146" s="1821"/>
      <c r="BN4146" s="1821"/>
      <c r="BO4146" s="1821"/>
      <c r="BP4146" s="1821"/>
      <c r="BQ4146" s="1821"/>
      <c r="BR4146" s="1821"/>
      <c r="BS4146" s="1821"/>
      <c r="BT4146" s="1821"/>
      <c r="BU4146" s="1821"/>
      <c r="BV4146" s="1821"/>
      <c r="BW4146" s="1821"/>
      <c r="BX4146" s="1821"/>
      <c r="BY4146" s="1821"/>
      <c r="BZ4146" s="1821"/>
      <c r="CA4146" s="1821"/>
      <c r="CB4146" s="1821"/>
      <c r="CC4146" s="1821"/>
      <c r="CD4146" s="1821"/>
      <c r="CE4146" s="1821"/>
      <c r="CF4146" s="1821"/>
      <c r="CG4146" s="1821"/>
      <c r="CH4146" s="1821"/>
      <c r="CI4146" s="1821"/>
      <c r="CJ4146" s="1821"/>
      <c r="CK4146" s="1821"/>
    </row>
    <row r="4147" spans="1:89" s="744" customFormat="1" ht="16.5" customHeight="1" x14ac:dyDescent="0.25">
      <c r="A4147" s="1033">
        <v>13</v>
      </c>
      <c r="B4147" s="709" t="s">
        <v>417</v>
      </c>
      <c r="C4147" s="827"/>
      <c r="D4147" s="961"/>
      <c r="E4147" s="758"/>
      <c r="F4147" s="714"/>
      <c r="G4147" s="714"/>
      <c r="H4147" s="700">
        <f t="shared" si="463"/>
        <v>0</v>
      </c>
      <c r="I4147" s="714"/>
      <c r="J4147" s="714">
        <f>C4147*E4147</f>
        <v>0</v>
      </c>
      <c r="K4147" s="700">
        <f t="shared" si="464"/>
        <v>0</v>
      </c>
      <c r="L4147" s="714"/>
      <c r="M4147" s="714"/>
      <c r="N4147" s="700">
        <f t="shared" si="465"/>
        <v>0</v>
      </c>
      <c r="O4147" s="974">
        <f t="shared" si="473"/>
        <v>0</v>
      </c>
      <c r="P4147" s="956"/>
      <c r="Q4147" s="1821"/>
      <c r="R4147" s="1821"/>
      <c r="S4147" s="1821"/>
      <c r="T4147" s="1821"/>
      <c r="U4147" s="1821"/>
      <c r="V4147" s="1821"/>
      <c r="W4147" s="1821"/>
      <c r="X4147" s="1821"/>
      <c r="Y4147" s="1821"/>
      <c r="Z4147" s="1821"/>
      <c r="AA4147" s="1821"/>
      <c r="AB4147" s="1821"/>
      <c r="AC4147" s="1821"/>
      <c r="AD4147" s="1821"/>
      <c r="AE4147" s="1821"/>
      <c r="AF4147" s="1821"/>
      <c r="AG4147" s="1821"/>
      <c r="AH4147" s="1821"/>
      <c r="AI4147" s="1821"/>
      <c r="AJ4147" s="1821"/>
      <c r="AK4147" s="1821"/>
      <c r="AL4147" s="1821"/>
      <c r="AM4147" s="1821"/>
      <c r="AN4147" s="1821"/>
      <c r="AO4147" s="1821"/>
      <c r="AP4147" s="1821"/>
      <c r="AQ4147" s="1821"/>
      <c r="AR4147" s="1821"/>
      <c r="AS4147" s="1821"/>
      <c r="AT4147" s="1821"/>
      <c r="AU4147" s="1821"/>
      <c r="AV4147" s="1821"/>
      <c r="AW4147" s="1821"/>
      <c r="AX4147" s="1821"/>
      <c r="AY4147" s="1821"/>
      <c r="AZ4147" s="1821"/>
      <c r="BA4147" s="1821"/>
      <c r="BB4147" s="1821"/>
      <c r="BC4147" s="1821"/>
      <c r="BD4147" s="1821"/>
      <c r="BE4147" s="1821"/>
      <c r="BF4147" s="1821"/>
      <c r="BG4147" s="1821"/>
      <c r="BH4147" s="1821"/>
      <c r="BI4147" s="1821"/>
      <c r="BJ4147" s="1821"/>
      <c r="BK4147" s="1821"/>
      <c r="BL4147" s="1821"/>
      <c r="BM4147" s="1821"/>
      <c r="BN4147" s="1821"/>
      <c r="BO4147" s="1821"/>
      <c r="BP4147" s="1821"/>
      <c r="BQ4147" s="1821"/>
      <c r="BR4147" s="1821"/>
      <c r="BS4147" s="1821"/>
      <c r="BT4147" s="1821"/>
      <c r="BU4147" s="1821"/>
      <c r="BV4147" s="1821"/>
      <c r="BW4147" s="1821"/>
      <c r="BX4147" s="1821"/>
      <c r="BY4147" s="1821"/>
      <c r="BZ4147" s="1821"/>
      <c r="CA4147" s="1821"/>
      <c r="CB4147" s="1821"/>
      <c r="CC4147" s="1821"/>
      <c r="CD4147" s="1821"/>
      <c r="CE4147" s="1821"/>
      <c r="CF4147" s="1821"/>
      <c r="CG4147" s="1821"/>
      <c r="CH4147" s="1821"/>
      <c r="CI4147" s="1821"/>
      <c r="CJ4147" s="1821"/>
      <c r="CK4147" s="1821"/>
    </row>
    <row r="4148" spans="1:89" s="744" customFormat="1" ht="16.5" customHeight="1" x14ac:dyDescent="0.25">
      <c r="A4148" s="1033" t="s">
        <v>49</v>
      </c>
      <c r="B4148" s="709" t="s">
        <v>57</v>
      </c>
      <c r="C4148" s="827"/>
      <c r="D4148" s="961"/>
      <c r="E4148" s="758"/>
      <c r="F4148" s="714"/>
      <c r="G4148" s="714"/>
      <c r="H4148" s="700">
        <f t="shared" si="463"/>
        <v>0</v>
      </c>
      <c r="I4148" s="714"/>
      <c r="J4148" s="714">
        <f>C4148*E4148</f>
        <v>0</v>
      </c>
      <c r="K4148" s="700">
        <f t="shared" si="464"/>
        <v>0</v>
      </c>
      <c r="L4148" s="714"/>
      <c r="M4148" s="714"/>
      <c r="N4148" s="700">
        <f t="shared" si="465"/>
        <v>0</v>
      </c>
      <c r="O4148" s="974">
        <f t="shared" si="473"/>
        <v>0</v>
      </c>
      <c r="P4148" s="956"/>
      <c r="Q4148" s="1821"/>
      <c r="R4148" s="1821"/>
      <c r="S4148" s="1821"/>
      <c r="T4148" s="1821"/>
      <c r="U4148" s="1821"/>
      <c r="V4148" s="1821"/>
      <c r="W4148" s="1821"/>
      <c r="X4148" s="1821"/>
      <c r="Y4148" s="1821"/>
      <c r="Z4148" s="1821"/>
      <c r="AA4148" s="1821"/>
      <c r="AB4148" s="1821"/>
      <c r="AC4148" s="1821"/>
      <c r="AD4148" s="1821"/>
      <c r="AE4148" s="1821"/>
      <c r="AF4148" s="1821"/>
      <c r="AG4148" s="1821"/>
      <c r="AH4148" s="1821"/>
      <c r="AI4148" s="1821"/>
      <c r="AJ4148" s="1821"/>
      <c r="AK4148" s="1821"/>
      <c r="AL4148" s="1821"/>
      <c r="AM4148" s="1821"/>
      <c r="AN4148" s="1821"/>
      <c r="AO4148" s="1821"/>
      <c r="AP4148" s="1821"/>
      <c r="AQ4148" s="1821"/>
      <c r="AR4148" s="1821"/>
      <c r="AS4148" s="1821"/>
      <c r="AT4148" s="1821"/>
      <c r="AU4148" s="1821"/>
      <c r="AV4148" s="1821"/>
      <c r="AW4148" s="1821"/>
      <c r="AX4148" s="1821"/>
      <c r="AY4148" s="1821"/>
      <c r="AZ4148" s="1821"/>
      <c r="BA4148" s="1821"/>
      <c r="BB4148" s="1821"/>
      <c r="BC4148" s="1821"/>
      <c r="BD4148" s="1821"/>
      <c r="BE4148" s="1821"/>
      <c r="BF4148" s="1821"/>
      <c r="BG4148" s="1821"/>
      <c r="BH4148" s="1821"/>
      <c r="BI4148" s="1821"/>
      <c r="BJ4148" s="1821"/>
      <c r="BK4148" s="1821"/>
      <c r="BL4148" s="1821"/>
      <c r="BM4148" s="1821"/>
      <c r="BN4148" s="1821"/>
      <c r="BO4148" s="1821"/>
      <c r="BP4148" s="1821"/>
      <c r="BQ4148" s="1821"/>
      <c r="BR4148" s="1821"/>
      <c r="BS4148" s="1821"/>
      <c r="BT4148" s="1821"/>
      <c r="BU4148" s="1821"/>
      <c r="BV4148" s="1821"/>
      <c r="BW4148" s="1821"/>
      <c r="BX4148" s="1821"/>
      <c r="BY4148" s="1821"/>
      <c r="BZ4148" s="1821"/>
      <c r="CA4148" s="1821"/>
      <c r="CB4148" s="1821"/>
      <c r="CC4148" s="1821"/>
      <c r="CD4148" s="1821"/>
      <c r="CE4148" s="1821"/>
      <c r="CF4148" s="1821"/>
      <c r="CG4148" s="1821"/>
      <c r="CH4148" s="1821"/>
      <c r="CI4148" s="1821"/>
      <c r="CJ4148" s="1821"/>
      <c r="CK4148" s="1821"/>
    </row>
    <row r="4149" spans="1:89" s="744" customFormat="1" ht="16.5" customHeight="1" x14ac:dyDescent="0.25">
      <c r="A4149" s="1033"/>
      <c r="B4149" s="709" t="s">
        <v>1370</v>
      </c>
      <c r="C4149" s="827">
        <v>1</v>
      </c>
      <c r="D4149" s="961" t="s">
        <v>16</v>
      </c>
      <c r="E4149" s="758">
        <v>200000</v>
      </c>
      <c r="F4149" s="714"/>
      <c r="G4149" s="714"/>
      <c r="H4149" s="700">
        <f t="shared" si="463"/>
        <v>0</v>
      </c>
      <c r="I4149" s="714"/>
      <c r="J4149" s="714"/>
      <c r="K4149" s="700">
        <f t="shared" si="464"/>
        <v>0</v>
      </c>
      <c r="L4149" s="714">
        <f>E4149*C4149</f>
        <v>200000</v>
      </c>
      <c r="M4149" s="714"/>
      <c r="N4149" s="700">
        <f t="shared" si="465"/>
        <v>200000</v>
      </c>
      <c r="O4149" s="974">
        <f t="shared" si="473"/>
        <v>200000</v>
      </c>
      <c r="P4149" s="956"/>
      <c r="Q4149" s="1821"/>
      <c r="R4149" s="1821"/>
      <c r="S4149" s="1821"/>
      <c r="T4149" s="1821"/>
      <c r="U4149" s="1821"/>
      <c r="V4149" s="1821"/>
      <c r="W4149" s="1821"/>
      <c r="X4149" s="1821"/>
      <c r="Y4149" s="1821"/>
      <c r="Z4149" s="1821"/>
      <c r="AA4149" s="1821"/>
      <c r="AB4149" s="1821"/>
      <c r="AC4149" s="1821"/>
      <c r="AD4149" s="1821"/>
      <c r="AE4149" s="1821"/>
      <c r="AF4149" s="1821"/>
      <c r="AG4149" s="1821"/>
      <c r="AH4149" s="1821"/>
      <c r="AI4149" s="1821"/>
      <c r="AJ4149" s="1821"/>
      <c r="AK4149" s="1821"/>
      <c r="AL4149" s="1821"/>
      <c r="AM4149" s="1821"/>
      <c r="AN4149" s="1821"/>
      <c r="AO4149" s="1821"/>
      <c r="AP4149" s="1821"/>
      <c r="AQ4149" s="1821"/>
      <c r="AR4149" s="1821"/>
      <c r="AS4149" s="1821"/>
      <c r="AT4149" s="1821"/>
      <c r="AU4149" s="1821"/>
      <c r="AV4149" s="1821"/>
      <c r="AW4149" s="1821"/>
      <c r="AX4149" s="1821"/>
      <c r="AY4149" s="1821"/>
      <c r="AZ4149" s="1821"/>
      <c r="BA4149" s="1821"/>
      <c r="BB4149" s="1821"/>
      <c r="BC4149" s="1821"/>
      <c r="BD4149" s="1821"/>
      <c r="BE4149" s="1821"/>
      <c r="BF4149" s="1821"/>
      <c r="BG4149" s="1821"/>
      <c r="BH4149" s="1821"/>
      <c r="BI4149" s="1821"/>
      <c r="BJ4149" s="1821"/>
      <c r="BK4149" s="1821"/>
      <c r="BL4149" s="1821"/>
      <c r="BM4149" s="1821"/>
      <c r="BN4149" s="1821"/>
      <c r="BO4149" s="1821"/>
      <c r="BP4149" s="1821"/>
      <c r="BQ4149" s="1821"/>
      <c r="BR4149" s="1821"/>
      <c r="BS4149" s="1821"/>
      <c r="BT4149" s="1821"/>
      <c r="BU4149" s="1821"/>
      <c r="BV4149" s="1821"/>
      <c r="BW4149" s="1821"/>
      <c r="BX4149" s="1821"/>
      <c r="BY4149" s="1821"/>
      <c r="BZ4149" s="1821"/>
      <c r="CA4149" s="1821"/>
      <c r="CB4149" s="1821"/>
      <c r="CC4149" s="1821"/>
      <c r="CD4149" s="1821"/>
      <c r="CE4149" s="1821"/>
      <c r="CF4149" s="1821"/>
      <c r="CG4149" s="1821"/>
      <c r="CH4149" s="1821"/>
      <c r="CI4149" s="1821"/>
      <c r="CJ4149" s="1821"/>
      <c r="CK4149" s="1821"/>
    </row>
    <row r="4150" spans="1:89" s="744" customFormat="1" ht="16.5" customHeight="1" x14ac:dyDescent="0.25">
      <c r="A4150" s="1033"/>
      <c r="B4150" s="709"/>
      <c r="C4150" s="827"/>
      <c r="D4150" s="961"/>
      <c r="E4150" s="758"/>
      <c r="F4150" s="714"/>
      <c r="G4150" s="714"/>
      <c r="H4150" s="700">
        <f t="shared" si="463"/>
        <v>0</v>
      </c>
      <c r="I4150" s="714"/>
      <c r="J4150" s="714">
        <f>C4150*E4150</f>
        <v>0</v>
      </c>
      <c r="K4150" s="700">
        <f t="shared" si="464"/>
        <v>0</v>
      </c>
      <c r="L4150" s="714"/>
      <c r="M4150" s="714"/>
      <c r="N4150" s="700">
        <f t="shared" si="465"/>
        <v>0</v>
      </c>
      <c r="O4150" s="974">
        <f t="shared" si="473"/>
        <v>0</v>
      </c>
      <c r="P4150" s="956"/>
      <c r="Q4150" s="1821"/>
      <c r="R4150" s="1821"/>
      <c r="S4150" s="1821"/>
      <c r="T4150" s="1821"/>
      <c r="U4150" s="1821"/>
      <c r="V4150" s="1821"/>
      <c r="W4150" s="1821"/>
      <c r="X4150" s="1821"/>
      <c r="Y4150" s="1821"/>
      <c r="Z4150" s="1821"/>
      <c r="AA4150" s="1821"/>
      <c r="AB4150" s="1821"/>
      <c r="AC4150" s="1821"/>
      <c r="AD4150" s="1821"/>
      <c r="AE4150" s="1821"/>
      <c r="AF4150" s="1821"/>
      <c r="AG4150" s="1821"/>
      <c r="AH4150" s="1821"/>
      <c r="AI4150" s="1821"/>
      <c r="AJ4150" s="1821"/>
      <c r="AK4150" s="1821"/>
      <c r="AL4150" s="1821"/>
      <c r="AM4150" s="1821"/>
      <c r="AN4150" s="1821"/>
      <c r="AO4150" s="1821"/>
      <c r="AP4150" s="1821"/>
      <c r="AQ4150" s="1821"/>
      <c r="AR4150" s="1821"/>
      <c r="AS4150" s="1821"/>
      <c r="AT4150" s="1821"/>
      <c r="AU4150" s="1821"/>
      <c r="AV4150" s="1821"/>
      <c r="AW4150" s="1821"/>
      <c r="AX4150" s="1821"/>
      <c r="AY4150" s="1821"/>
      <c r="AZ4150" s="1821"/>
      <c r="BA4150" s="1821"/>
      <c r="BB4150" s="1821"/>
      <c r="BC4150" s="1821"/>
      <c r="BD4150" s="1821"/>
      <c r="BE4150" s="1821"/>
      <c r="BF4150" s="1821"/>
      <c r="BG4150" s="1821"/>
      <c r="BH4150" s="1821"/>
      <c r="BI4150" s="1821"/>
      <c r="BJ4150" s="1821"/>
      <c r="BK4150" s="1821"/>
      <c r="BL4150" s="1821"/>
      <c r="BM4150" s="1821"/>
      <c r="BN4150" s="1821"/>
      <c r="BO4150" s="1821"/>
      <c r="BP4150" s="1821"/>
      <c r="BQ4150" s="1821"/>
      <c r="BR4150" s="1821"/>
      <c r="BS4150" s="1821"/>
      <c r="BT4150" s="1821"/>
      <c r="BU4150" s="1821"/>
      <c r="BV4150" s="1821"/>
      <c r="BW4150" s="1821"/>
      <c r="BX4150" s="1821"/>
      <c r="BY4150" s="1821"/>
      <c r="BZ4150" s="1821"/>
      <c r="CA4150" s="1821"/>
      <c r="CB4150" s="1821"/>
      <c r="CC4150" s="1821"/>
      <c r="CD4150" s="1821"/>
      <c r="CE4150" s="1821"/>
      <c r="CF4150" s="1821"/>
      <c r="CG4150" s="1821"/>
      <c r="CH4150" s="1821"/>
      <c r="CI4150" s="1821"/>
      <c r="CJ4150" s="1821"/>
      <c r="CK4150" s="1821"/>
    </row>
    <row r="4151" spans="1:89" s="744" customFormat="1" ht="16.5" customHeight="1" x14ac:dyDescent="0.25">
      <c r="A4151" s="1033">
        <v>14</v>
      </c>
      <c r="B4151" s="709" t="s">
        <v>418</v>
      </c>
      <c r="C4151" s="827"/>
      <c r="D4151" s="961"/>
      <c r="E4151" s="758"/>
      <c r="F4151" s="714"/>
      <c r="G4151" s="714"/>
      <c r="H4151" s="700">
        <f t="shared" si="463"/>
        <v>0</v>
      </c>
      <c r="I4151" s="714"/>
      <c r="J4151" s="714">
        <f>C4151*E4151</f>
        <v>0</v>
      </c>
      <c r="K4151" s="700">
        <f t="shared" si="464"/>
        <v>0</v>
      </c>
      <c r="L4151" s="714"/>
      <c r="M4151" s="714"/>
      <c r="N4151" s="700">
        <f t="shared" si="465"/>
        <v>0</v>
      </c>
      <c r="O4151" s="974">
        <f t="shared" si="473"/>
        <v>0</v>
      </c>
      <c r="P4151" s="956"/>
      <c r="Q4151" s="1821"/>
      <c r="R4151" s="1821"/>
      <c r="S4151" s="1821"/>
      <c r="T4151" s="1821"/>
      <c r="U4151" s="1821"/>
      <c r="V4151" s="1821"/>
      <c r="W4151" s="1821"/>
      <c r="X4151" s="1821"/>
      <c r="Y4151" s="1821"/>
      <c r="Z4151" s="1821"/>
      <c r="AA4151" s="1821"/>
      <c r="AB4151" s="1821"/>
      <c r="AC4151" s="1821"/>
      <c r="AD4151" s="1821"/>
      <c r="AE4151" s="1821"/>
      <c r="AF4151" s="1821"/>
      <c r="AG4151" s="1821"/>
      <c r="AH4151" s="1821"/>
      <c r="AI4151" s="1821"/>
      <c r="AJ4151" s="1821"/>
      <c r="AK4151" s="1821"/>
      <c r="AL4151" s="1821"/>
      <c r="AM4151" s="1821"/>
      <c r="AN4151" s="1821"/>
      <c r="AO4151" s="1821"/>
      <c r="AP4151" s="1821"/>
      <c r="AQ4151" s="1821"/>
      <c r="AR4151" s="1821"/>
      <c r="AS4151" s="1821"/>
      <c r="AT4151" s="1821"/>
      <c r="AU4151" s="1821"/>
      <c r="AV4151" s="1821"/>
      <c r="AW4151" s="1821"/>
      <c r="AX4151" s="1821"/>
      <c r="AY4151" s="1821"/>
      <c r="AZ4151" s="1821"/>
      <c r="BA4151" s="1821"/>
      <c r="BB4151" s="1821"/>
      <c r="BC4151" s="1821"/>
      <c r="BD4151" s="1821"/>
      <c r="BE4151" s="1821"/>
      <c r="BF4151" s="1821"/>
      <c r="BG4151" s="1821"/>
      <c r="BH4151" s="1821"/>
      <c r="BI4151" s="1821"/>
      <c r="BJ4151" s="1821"/>
      <c r="BK4151" s="1821"/>
      <c r="BL4151" s="1821"/>
      <c r="BM4151" s="1821"/>
      <c r="BN4151" s="1821"/>
      <c r="BO4151" s="1821"/>
      <c r="BP4151" s="1821"/>
      <c r="BQ4151" s="1821"/>
      <c r="BR4151" s="1821"/>
      <c r="BS4151" s="1821"/>
      <c r="BT4151" s="1821"/>
      <c r="BU4151" s="1821"/>
      <c r="BV4151" s="1821"/>
      <c r="BW4151" s="1821"/>
      <c r="BX4151" s="1821"/>
      <c r="BY4151" s="1821"/>
      <c r="BZ4151" s="1821"/>
      <c r="CA4151" s="1821"/>
      <c r="CB4151" s="1821"/>
      <c r="CC4151" s="1821"/>
      <c r="CD4151" s="1821"/>
      <c r="CE4151" s="1821"/>
      <c r="CF4151" s="1821"/>
      <c r="CG4151" s="1821"/>
      <c r="CH4151" s="1821"/>
      <c r="CI4151" s="1821"/>
      <c r="CJ4151" s="1821"/>
      <c r="CK4151" s="1821"/>
    </row>
    <row r="4152" spans="1:89" s="744" customFormat="1" ht="16.5" customHeight="1" x14ac:dyDescent="0.25">
      <c r="A4152" s="1033" t="s">
        <v>49</v>
      </c>
      <c r="B4152" s="709" t="s">
        <v>419</v>
      </c>
      <c r="C4152" s="827"/>
      <c r="D4152" s="961"/>
      <c r="E4152" s="758"/>
      <c r="F4152" s="714"/>
      <c r="G4152" s="714"/>
      <c r="H4152" s="700">
        <f t="shared" si="463"/>
        <v>0</v>
      </c>
      <c r="I4152" s="714"/>
      <c r="J4152" s="714">
        <f>C4152*E4152</f>
        <v>0</v>
      </c>
      <c r="K4152" s="700">
        <f t="shared" si="464"/>
        <v>0</v>
      </c>
      <c r="L4152" s="714"/>
      <c r="M4152" s="714"/>
      <c r="N4152" s="700">
        <f t="shared" si="465"/>
        <v>0</v>
      </c>
      <c r="O4152" s="974">
        <f t="shared" si="473"/>
        <v>0</v>
      </c>
      <c r="P4152" s="956"/>
      <c r="Q4152" s="1821"/>
      <c r="R4152" s="1821"/>
      <c r="S4152" s="1821"/>
      <c r="T4152" s="1821"/>
      <c r="U4152" s="1821"/>
      <c r="V4152" s="1821"/>
      <c r="W4152" s="1821"/>
      <c r="X4152" s="1821"/>
      <c r="Y4152" s="1821"/>
      <c r="Z4152" s="1821"/>
      <c r="AA4152" s="1821"/>
      <c r="AB4152" s="1821"/>
      <c r="AC4152" s="1821"/>
      <c r="AD4152" s="1821"/>
      <c r="AE4152" s="1821"/>
      <c r="AF4152" s="1821"/>
      <c r="AG4152" s="1821"/>
      <c r="AH4152" s="1821"/>
      <c r="AI4152" s="1821"/>
      <c r="AJ4152" s="1821"/>
      <c r="AK4152" s="1821"/>
      <c r="AL4152" s="1821"/>
      <c r="AM4152" s="1821"/>
      <c r="AN4152" s="1821"/>
      <c r="AO4152" s="1821"/>
      <c r="AP4152" s="1821"/>
      <c r="AQ4152" s="1821"/>
      <c r="AR4152" s="1821"/>
      <c r="AS4152" s="1821"/>
      <c r="AT4152" s="1821"/>
      <c r="AU4152" s="1821"/>
      <c r="AV4152" s="1821"/>
      <c r="AW4152" s="1821"/>
      <c r="AX4152" s="1821"/>
      <c r="AY4152" s="1821"/>
      <c r="AZ4152" s="1821"/>
      <c r="BA4152" s="1821"/>
      <c r="BB4152" s="1821"/>
      <c r="BC4152" s="1821"/>
      <c r="BD4152" s="1821"/>
      <c r="BE4152" s="1821"/>
      <c r="BF4152" s="1821"/>
      <c r="BG4152" s="1821"/>
      <c r="BH4152" s="1821"/>
      <c r="BI4152" s="1821"/>
      <c r="BJ4152" s="1821"/>
      <c r="BK4152" s="1821"/>
      <c r="BL4152" s="1821"/>
      <c r="BM4152" s="1821"/>
      <c r="BN4152" s="1821"/>
      <c r="BO4152" s="1821"/>
      <c r="BP4152" s="1821"/>
      <c r="BQ4152" s="1821"/>
      <c r="BR4152" s="1821"/>
      <c r="BS4152" s="1821"/>
      <c r="BT4152" s="1821"/>
      <c r="BU4152" s="1821"/>
      <c r="BV4152" s="1821"/>
      <c r="BW4152" s="1821"/>
      <c r="BX4152" s="1821"/>
      <c r="BY4152" s="1821"/>
      <c r="BZ4152" s="1821"/>
      <c r="CA4152" s="1821"/>
      <c r="CB4152" s="1821"/>
      <c r="CC4152" s="1821"/>
      <c r="CD4152" s="1821"/>
      <c r="CE4152" s="1821"/>
      <c r="CF4152" s="1821"/>
      <c r="CG4152" s="1821"/>
      <c r="CH4152" s="1821"/>
      <c r="CI4152" s="1821"/>
      <c r="CJ4152" s="1821"/>
      <c r="CK4152" s="1821"/>
    </row>
    <row r="4153" spans="1:89" s="744" customFormat="1" ht="16.5" customHeight="1" x14ac:dyDescent="0.25">
      <c r="A4153" s="1033"/>
      <c r="B4153" s="709" t="s">
        <v>1370</v>
      </c>
      <c r="C4153" s="827">
        <v>1</v>
      </c>
      <c r="D4153" s="961" t="s">
        <v>16</v>
      </c>
      <c r="E4153" s="758">
        <v>100000</v>
      </c>
      <c r="F4153" s="714"/>
      <c r="G4153" s="714"/>
      <c r="H4153" s="700">
        <f t="shared" si="463"/>
        <v>0</v>
      </c>
      <c r="I4153" s="714"/>
      <c r="J4153" s="714"/>
      <c r="K4153" s="700">
        <f t="shared" si="464"/>
        <v>0</v>
      </c>
      <c r="L4153" s="714">
        <f>E4153*C4153</f>
        <v>100000</v>
      </c>
      <c r="M4153" s="714"/>
      <c r="N4153" s="700">
        <f t="shared" si="465"/>
        <v>100000</v>
      </c>
      <c r="O4153" s="974">
        <f t="shared" si="473"/>
        <v>100000</v>
      </c>
      <c r="P4153" s="956"/>
      <c r="Q4153" s="1821"/>
      <c r="R4153" s="1821"/>
      <c r="S4153" s="1821"/>
      <c r="T4153" s="1821"/>
      <c r="U4153" s="1821"/>
      <c r="V4153" s="1821"/>
      <c r="W4153" s="1821"/>
      <c r="X4153" s="1821"/>
      <c r="Y4153" s="1821"/>
      <c r="Z4153" s="1821"/>
      <c r="AA4153" s="1821"/>
      <c r="AB4153" s="1821"/>
      <c r="AC4153" s="1821"/>
      <c r="AD4153" s="1821"/>
      <c r="AE4153" s="1821"/>
      <c r="AF4153" s="1821"/>
      <c r="AG4153" s="1821"/>
      <c r="AH4153" s="1821"/>
      <c r="AI4153" s="1821"/>
      <c r="AJ4153" s="1821"/>
      <c r="AK4153" s="1821"/>
      <c r="AL4153" s="1821"/>
      <c r="AM4153" s="1821"/>
      <c r="AN4153" s="1821"/>
      <c r="AO4153" s="1821"/>
      <c r="AP4153" s="1821"/>
      <c r="AQ4153" s="1821"/>
      <c r="AR4153" s="1821"/>
      <c r="AS4153" s="1821"/>
      <c r="AT4153" s="1821"/>
      <c r="AU4153" s="1821"/>
      <c r="AV4153" s="1821"/>
      <c r="AW4153" s="1821"/>
      <c r="AX4153" s="1821"/>
      <c r="AY4153" s="1821"/>
      <c r="AZ4153" s="1821"/>
      <c r="BA4153" s="1821"/>
      <c r="BB4153" s="1821"/>
      <c r="BC4153" s="1821"/>
      <c r="BD4153" s="1821"/>
      <c r="BE4153" s="1821"/>
      <c r="BF4153" s="1821"/>
      <c r="BG4153" s="1821"/>
      <c r="BH4153" s="1821"/>
      <c r="BI4153" s="1821"/>
      <c r="BJ4153" s="1821"/>
      <c r="BK4153" s="1821"/>
      <c r="BL4153" s="1821"/>
      <c r="BM4153" s="1821"/>
      <c r="BN4153" s="1821"/>
      <c r="BO4153" s="1821"/>
      <c r="BP4153" s="1821"/>
      <c r="BQ4153" s="1821"/>
      <c r="BR4153" s="1821"/>
      <c r="BS4153" s="1821"/>
      <c r="BT4153" s="1821"/>
      <c r="BU4153" s="1821"/>
      <c r="BV4153" s="1821"/>
      <c r="BW4153" s="1821"/>
      <c r="BX4153" s="1821"/>
      <c r="BY4153" s="1821"/>
      <c r="BZ4153" s="1821"/>
      <c r="CA4153" s="1821"/>
      <c r="CB4153" s="1821"/>
      <c r="CC4153" s="1821"/>
      <c r="CD4153" s="1821"/>
      <c r="CE4153" s="1821"/>
      <c r="CF4153" s="1821"/>
      <c r="CG4153" s="1821"/>
      <c r="CH4153" s="1821"/>
      <c r="CI4153" s="1821"/>
      <c r="CJ4153" s="1821"/>
      <c r="CK4153" s="1821"/>
    </row>
    <row r="4154" spans="1:89" s="744" customFormat="1" ht="16.5" customHeight="1" x14ac:dyDescent="0.25">
      <c r="A4154" s="1033"/>
      <c r="B4154" s="709"/>
      <c r="C4154" s="827"/>
      <c r="D4154" s="961"/>
      <c r="E4154" s="758"/>
      <c r="F4154" s="714"/>
      <c r="G4154" s="714"/>
      <c r="H4154" s="700">
        <f t="shared" si="463"/>
        <v>0</v>
      </c>
      <c r="I4154" s="714"/>
      <c r="J4154" s="714">
        <f>C4154*E4154</f>
        <v>0</v>
      </c>
      <c r="K4154" s="700">
        <f t="shared" si="464"/>
        <v>0</v>
      </c>
      <c r="L4154" s="714"/>
      <c r="M4154" s="714"/>
      <c r="N4154" s="700">
        <f t="shared" si="465"/>
        <v>0</v>
      </c>
      <c r="O4154" s="974">
        <f t="shared" si="473"/>
        <v>0</v>
      </c>
      <c r="P4154" s="956"/>
      <c r="Q4154" s="1821"/>
      <c r="R4154" s="1821"/>
      <c r="S4154" s="1821"/>
      <c r="T4154" s="1821"/>
      <c r="U4154" s="1821"/>
      <c r="V4154" s="1821"/>
      <c r="W4154" s="1821"/>
      <c r="X4154" s="1821"/>
      <c r="Y4154" s="1821"/>
      <c r="Z4154" s="1821"/>
      <c r="AA4154" s="1821"/>
      <c r="AB4154" s="1821"/>
      <c r="AC4154" s="1821"/>
      <c r="AD4154" s="1821"/>
      <c r="AE4154" s="1821"/>
      <c r="AF4154" s="1821"/>
      <c r="AG4154" s="1821"/>
      <c r="AH4154" s="1821"/>
      <c r="AI4154" s="1821"/>
      <c r="AJ4154" s="1821"/>
      <c r="AK4154" s="1821"/>
      <c r="AL4154" s="1821"/>
      <c r="AM4154" s="1821"/>
      <c r="AN4154" s="1821"/>
      <c r="AO4154" s="1821"/>
      <c r="AP4154" s="1821"/>
      <c r="AQ4154" s="1821"/>
      <c r="AR4154" s="1821"/>
      <c r="AS4154" s="1821"/>
      <c r="AT4154" s="1821"/>
      <c r="AU4154" s="1821"/>
      <c r="AV4154" s="1821"/>
      <c r="AW4154" s="1821"/>
      <c r="AX4154" s="1821"/>
      <c r="AY4154" s="1821"/>
      <c r="AZ4154" s="1821"/>
      <c r="BA4154" s="1821"/>
      <c r="BB4154" s="1821"/>
      <c r="BC4154" s="1821"/>
      <c r="BD4154" s="1821"/>
      <c r="BE4154" s="1821"/>
      <c r="BF4154" s="1821"/>
      <c r="BG4154" s="1821"/>
      <c r="BH4154" s="1821"/>
      <c r="BI4154" s="1821"/>
      <c r="BJ4154" s="1821"/>
      <c r="BK4154" s="1821"/>
      <c r="BL4154" s="1821"/>
      <c r="BM4154" s="1821"/>
      <c r="BN4154" s="1821"/>
      <c r="BO4154" s="1821"/>
      <c r="BP4154" s="1821"/>
      <c r="BQ4154" s="1821"/>
      <c r="BR4154" s="1821"/>
      <c r="BS4154" s="1821"/>
      <c r="BT4154" s="1821"/>
      <c r="BU4154" s="1821"/>
      <c r="BV4154" s="1821"/>
      <c r="BW4154" s="1821"/>
      <c r="BX4154" s="1821"/>
      <c r="BY4154" s="1821"/>
      <c r="BZ4154" s="1821"/>
      <c r="CA4154" s="1821"/>
      <c r="CB4154" s="1821"/>
      <c r="CC4154" s="1821"/>
      <c r="CD4154" s="1821"/>
      <c r="CE4154" s="1821"/>
      <c r="CF4154" s="1821"/>
      <c r="CG4154" s="1821"/>
      <c r="CH4154" s="1821"/>
      <c r="CI4154" s="1821"/>
      <c r="CJ4154" s="1821"/>
      <c r="CK4154" s="1821"/>
    </row>
    <row r="4155" spans="1:89" s="744" customFormat="1" ht="16.5" customHeight="1" x14ac:dyDescent="0.25">
      <c r="A4155" s="1033" t="s">
        <v>420</v>
      </c>
      <c r="B4155" s="709" t="s">
        <v>421</v>
      </c>
      <c r="C4155" s="827"/>
      <c r="D4155" s="961"/>
      <c r="E4155" s="758" t="s">
        <v>49</v>
      </c>
      <c r="F4155" s="714"/>
      <c r="G4155" s="714"/>
      <c r="H4155" s="700">
        <f t="shared" si="463"/>
        <v>0</v>
      </c>
      <c r="I4155" s="714"/>
      <c r="J4155" s="714"/>
      <c r="K4155" s="700">
        <f t="shared" si="464"/>
        <v>0</v>
      </c>
      <c r="L4155" s="714"/>
      <c r="M4155" s="714"/>
      <c r="N4155" s="700">
        <f t="shared" si="465"/>
        <v>0</v>
      </c>
      <c r="O4155" s="974">
        <f t="shared" si="473"/>
        <v>0</v>
      </c>
      <c r="P4155" s="956"/>
      <c r="Q4155" s="1821"/>
      <c r="R4155" s="1821"/>
      <c r="S4155" s="1821"/>
      <c r="T4155" s="1821"/>
      <c r="U4155" s="1821"/>
      <c r="V4155" s="1821"/>
      <c r="W4155" s="1821"/>
      <c r="X4155" s="1821"/>
      <c r="Y4155" s="1821"/>
      <c r="Z4155" s="1821"/>
      <c r="AA4155" s="1821"/>
      <c r="AB4155" s="1821"/>
      <c r="AC4155" s="1821"/>
      <c r="AD4155" s="1821"/>
      <c r="AE4155" s="1821"/>
      <c r="AF4155" s="1821"/>
      <c r="AG4155" s="1821"/>
      <c r="AH4155" s="1821"/>
      <c r="AI4155" s="1821"/>
      <c r="AJ4155" s="1821"/>
      <c r="AK4155" s="1821"/>
      <c r="AL4155" s="1821"/>
      <c r="AM4155" s="1821"/>
      <c r="AN4155" s="1821"/>
      <c r="AO4155" s="1821"/>
      <c r="AP4155" s="1821"/>
      <c r="AQ4155" s="1821"/>
      <c r="AR4155" s="1821"/>
      <c r="AS4155" s="1821"/>
      <c r="AT4155" s="1821"/>
      <c r="AU4155" s="1821"/>
      <c r="AV4155" s="1821"/>
      <c r="AW4155" s="1821"/>
      <c r="AX4155" s="1821"/>
      <c r="AY4155" s="1821"/>
      <c r="AZ4155" s="1821"/>
      <c r="BA4155" s="1821"/>
      <c r="BB4155" s="1821"/>
      <c r="BC4155" s="1821"/>
      <c r="BD4155" s="1821"/>
      <c r="BE4155" s="1821"/>
      <c r="BF4155" s="1821"/>
      <c r="BG4155" s="1821"/>
      <c r="BH4155" s="1821"/>
      <c r="BI4155" s="1821"/>
      <c r="BJ4155" s="1821"/>
      <c r="BK4155" s="1821"/>
      <c r="BL4155" s="1821"/>
      <c r="BM4155" s="1821"/>
      <c r="BN4155" s="1821"/>
      <c r="BO4155" s="1821"/>
      <c r="BP4155" s="1821"/>
      <c r="BQ4155" s="1821"/>
      <c r="BR4155" s="1821"/>
      <c r="BS4155" s="1821"/>
      <c r="BT4155" s="1821"/>
      <c r="BU4155" s="1821"/>
      <c r="BV4155" s="1821"/>
      <c r="BW4155" s="1821"/>
      <c r="BX4155" s="1821"/>
      <c r="BY4155" s="1821"/>
      <c r="BZ4155" s="1821"/>
      <c r="CA4155" s="1821"/>
      <c r="CB4155" s="1821"/>
      <c r="CC4155" s="1821"/>
      <c r="CD4155" s="1821"/>
      <c r="CE4155" s="1821"/>
      <c r="CF4155" s="1821"/>
      <c r="CG4155" s="1821"/>
      <c r="CH4155" s="1821"/>
      <c r="CI4155" s="1821"/>
      <c r="CJ4155" s="1821"/>
      <c r="CK4155" s="1821"/>
    </row>
    <row r="4156" spans="1:89" s="744" customFormat="1" ht="16.5" customHeight="1" x14ac:dyDescent="0.25">
      <c r="A4156" s="1033">
        <v>11</v>
      </c>
      <c r="B4156" s="709" t="s">
        <v>422</v>
      </c>
      <c r="C4156" s="827"/>
      <c r="D4156" s="961"/>
      <c r="E4156" s="758"/>
      <c r="F4156" s="714"/>
      <c r="G4156" s="714"/>
      <c r="H4156" s="700">
        <f t="shared" si="463"/>
        <v>0</v>
      </c>
      <c r="I4156" s="714"/>
      <c r="J4156" s="714"/>
      <c r="K4156" s="700">
        <f t="shared" si="464"/>
        <v>0</v>
      </c>
      <c r="L4156" s="714"/>
      <c r="M4156" s="714"/>
      <c r="N4156" s="700">
        <f t="shared" si="465"/>
        <v>0</v>
      </c>
      <c r="O4156" s="974">
        <f t="shared" si="473"/>
        <v>0</v>
      </c>
      <c r="P4156" s="956"/>
      <c r="Q4156" s="1821"/>
      <c r="R4156" s="1821"/>
      <c r="S4156" s="1821"/>
      <c r="T4156" s="1821"/>
      <c r="U4156" s="1821"/>
      <c r="V4156" s="1821"/>
      <c r="W4156" s="1821"/>
      <c r="X4156" s="1821"/>
      <c r="Y4156" s="1821"/>
      <c r="Z4156" s="1821"/>
      <c r="AA4156" s="1821"/>
      <c r="AB4156" s="1821"/>
      <c r="AC4156" s="1821"/>
      <c r="AD4156" s="1821"/>
      <c r="AE4156" s="1821"/>
      <c r="AF4156" s="1821"/>
      <c r="AG4156" s="1821"/>
      <c r="AH4156" s="1821"/>
      <c r="AI4156" s="1821"/>
      <c r="AJ4156" s="1821"/>
      <c r="AK4156" s="1821"/>
      <c r="AL4156" s="1821"/>
      <c r="AM4156" s="1821"/>
      <c r="AN4156" s="1821"/>
      <c r="AO4156" s="1821"/>
      <c r="AP4156" s="1821"/>
      <c r="AQ4156" s="1821"/>
      <c r="AR4156" s="1821"/>
      <c r="AS4156" s="1821"/>
      <c r="AT4156" s="1821"/>
      <c r="AU4156" s="1821"/>
      <c r="AV4156" s="1821"/>
      <c r="AW4156" s="1821"/>
      <c r="AX4156" s="1821"/>
      <c r="AY4156" s="1821"/>
      <c r="AZ4156" s="1821"/>
      <c r="BA4156" s="1821"/>
      <c r="BB4156" s="1821"/>
      <c r="BC4156" s="1821"/>
      <c r="BD4156" s="1821"/>
      <c r="BE4156" s="1821"/>
      <c r="BF4156" s="1821"/>
      <c r="BG4156" s="1821"/>
      <c r="BH4156" s="1821"/>
      <c r="BI4156" s="1821"/>
      <c r="BJ4156" s="1821"/>
      <c r="BK4156" s="1821"/>
      <c r="BL4156" s="1821"/>
      <c r="BM4156" s="1821"/>
      <c r="BN4156" s="1821"/>
      <c r="BO4156" s="1821"/>
      <c r="BP4156" s="1821"/>
      <c r="BQ4156" s="1821"/>
      <c r="BR4156" s="1821"/>
      <c r="BS4156" s="1821"/>
      <c r="BT4156" s="1821"/>
      <c r="BU4156" s="1821"/>
      <c r="BV4156" s="1821"/>
      <c r="BW4156" s="1821"/>
      <c r="BX4156" s="1821"/>
      <c r="BY4156" s="1821"/>
      <c r="BZ4156" s="1821"/>
      <c r="CA4156" s="1821"/>
      <c r="CB4156" s="1821"/>
      <c r="CC4156" s="1821"/>
      <c r="CD4156" s="1821"/>
      <c r="CE4156" s="1821"/>
      <c r="CF4156" s="1821"/>
      <c r="CG4156" s="1821"/>
      <c r="CH4156" s="1821"/>
      <c r="CI4156" s="1821"/>
      <c r="CJ4156" s="1821"/>
      <c r="CK4156" s="1821"/>
    </row>
    <row r="4157" spans="1:89" s="744" customFormat="1" ht="16.5" customHeight="1" x14ac:dyDescent="0.25">
      <c r="A4157" s="1033" t="s">
        <v>49</v>
      </c>
      <c r="B4157" s="709" t="s">
        <v>278</v>
      </c>
      <c r="C4157" s="827">
        <f>SUM(O4158:O4164)</f>
        <v>397996</v>
      </c>
      <c r="D4157" s="961"/>
      <c r="E4157" s="758"/>
      <c r="F4157" s="714"/>
      <c r="G4157" s="714"/>
      <c r="H4157" s="700">
        <f t="shared" si="463"/>
        <v>0</v>
      </c>
      <c r="I4157" s="714"/>
      <c r="J4157" s="714">
        <f t="shared" ref="J4157:J4163" si="474">C4157*E4157</f>
        <v>0</v>
      </c>
      <c r="K4157" s="700">
        <f t="shared" si="464"/>
        <v>0</v>
      </c>
      <c r="L4157" s="714"/>
      <c r="M4157" s="714"/>
      <c r="N4157" s="700">
        <f t="shared" si="465"/>
        <v>0</v>
      </c>
      <c r="O4157" s="974">
        <f t="shared" si="473"/>
        <v>0</v>
      </c>
      <c r="P4157" s="956"/>
      <c r="Q4157" s="1821"/>
      <c r="R4157" s="1821"/>
      <c r="S4157" s="1821"/>
      <c r="T4157" s="1821"/>
      <c r="U4157" s="1821"/>
      <c r="V4157" s="1821"/>
      <c r="W4157" s="1821"/>
      <c r="X4157" s="1821"/>
      <c r="Y4157" s="1821"/>
      <c r="Z4157" s="1821"/>
      <c r="AA4157" s="1821"/>
      <c r="AB4157" s="1821"/>
      <c r="AC4157" s="1821"/>
      <c r="AD4157" s="1821"/>
      <c r="AE4157" s="1821"/>
      <c r="AF4157" s="1821"/>
      <c r="AG4157" s="1821"/>
      <c r="AH4157" s="1821"/>
      <c r="AI4157" s="1821"/>
      <c r="AJ4157" s="1821"/>
      <c r="AK4157" s="1821"/>
      <c r="AL4157" s="1821"/>
      <c r="AM4157" s="1821"/>
      <c r="AN4157" s="1821"/>
      <c r="AO4157" s="1821"/>
      <c r="AP4157" s="1821"/>
      <c r="AQ4157" s="1821"/>
      <c r="AR4157" s="1821"/>
      <c r="AS4157" s="1821"/>
      <c r="AT4157" s="1821"/>
      <c r="AU4157" s="1821"/>
      <c r="AV4157" s="1821"/>
      <c r="AW4157" s="1821"/>
      <c r="AX4157" s="1821"/>
      <c r="AY4157" s="1821"/>
      <c r="AZ4157" s="1821"/>
      <c r="BA4157" s="1821"/>
      <c r="BB4157" s="1821"/>
      <c r="BC4157" s="1821"/>
      <c r="BD4157" s="1821"/>
      <c r="BE4157" s="1821"/>
      <c r="BF4157" s="1821"/>
      <c r="BG4157" s="1821"/>
      <c r="BH4157" s="1821"/>
      <c r="BI4157" s="1821"/>
      <c r="BJ4157" s="1821"/>
      <c r="BK4157" s="1821"/>
      <c r="BL4157" s="1821"/>
      <c r="BM4157" s="1821"/>
      <c r="BN4157" s="1821"/>
      <c r="BO4157" s="1821"/>
      <c r="BP4157" s="1821"/>
      <c r="BQ4157" s="1821"/>
      <c r="BR4157" s="1821"/>
      <c r="BS4157" s="1821"/>
      <c r="BT4157" s="1821"/>
      <c r="BU4157" s="1821"/>
      <c r="BV4157" s="1821"/>
      <c r="BW4157" s="1821"/>
      <c r="BX4157" s="1821"/>
      <c r="BY4157" s="1821"/>
      <c r="BZ4157" s="1821"/>
      <c r="CA4157" s="1821"/>
      <c r="CB4157" s="1821"/>
      <c r="CC4157" s="1821"/>
      <c r="CD4157" s="1821"/>
      <c r="CE4157" s="1821"/>
      <c r="CF4157" s="1821"/>
      <c r="CG4157" s="1821"/>
      <c r="CH4157" s="1821"/>
      <c r="CI4157" s="1821"/>
      <c r="CJ4157" s="1821"/>
      <c r="CK4157" s="1821"/>
    </row>
    <row r="4158" spans="1:89" s="744" customFormat="1" ht="16.5" customHeight="1" x14ac:dyDescent="0.25">
      <c r="A4158" s="1033"/>
      <c r="B4158" s="709" t="s">
        <v>365</v>
      </c>
      <c r="C4158" s="827">
        <v>1</v>
      </c>
      <c r="D4158" s="961" t="s">
        <v>25</v>
      </c>
      <c r="E4158" s="758">
        <v>74310</v>
      </c>
      <c r="F4158" s="714"/>
      <c r="G4158" s="714"/>
      <c r="H4158" s="700">
        <f t="shared" si="463"/>
        <v>0</v>
      </c>
      <c r="I4158" s="714"/>
      <c r="J4158" s="714">
        <f t="shared" si="474"/>
        <v>74310</v>
      </c>
      <c r="K4158" s="700">
        <f t="shared" si="464"/>
        <v>74310</v>
      </c>
      <c r="L4158" s="714"/>
      <c r="M4158" s="714"/>
      <c r="N4158" s="700">
        <f t="shared" si="465"/>
        <v>0</v>
      </c>
      <c r="O4158" s="974">
        <f t="shared" si="473"/>
        <v>74310</v>
      </c>
      <c r="P4158" s="956"/>
      <c r="Q4158" s="1821"/>
      <c r="R4158" s="1821"/>
      <c r="S4158" s="1821"/>
      <c r="T4158" s="1821"/>
      <c r="U4158" s="1821"/>
      <c r="V4158" s="1821"/>
      <c r="W4158" s="1821"/>
      <c r="X4158" s="1821"/>
      <c r="Y4158" s="1821"/>
      <c r="Z4158" s="1821"/>
      <c r="AA4158" s="1821"/>
      <c r="AB4158" s="1821"/>
      <c r="AC4158" s="1821"/>
      <c r="AD4158" s="1821"/>
      <c r="AE4158" s="1821"/>
      <c r="AF4158" s="1821"/>
      <c r="AG4158" s="1821"/>
      <c r="AH4158" s="1821"/>
      <c r="AI4158" s="1821"/>
      <c r="AJ4158" s="1821"/>
      <c r="AK4158" s="1821"/>
      <c r="AL4158" s="1821"/>
      <c r="AM4158" s="1821"/>
      <c r="AN4158" s="1821"/>
      <c r="AO4158" s="1821"/>
      <c r="AP4158" s="1821"/>
      <c r="AQ4158" s="1821"/>
      <c r="AR4158" s="1821"/>
      <c r="AS4158" s="1821"/>
      <c r="AT4158" s="1821"/>
      <c r="AU4158" s="1821"/>
      <c r="AV4158" s="1821"/>
      <c r="AW4158" s="1821"/>
      <c r="AX4158" s="1821"/>
      <c r="AY4158" s="1821"/>
      <c r="AZ4158" s="1821"/>
      <c r="BA4158" s="1821"/>
      <c r="BB4158" s="1821"/>
      <c r="BC4158" s="1821"/>
      <c r="BD4158" s="1821"/>
      <c r="BE4158" s="1821"/>
      <c r="BF4158" s="1821"/>
      <c r="BG4158" s="1821"/>
      <c r="BH4158" s="1821"/>
      <c r="BI4158" s="1821"/>
      <c r="BJ4158" s="1821"/>
      <c r="BK4158" s="1821"/>
      <c r="BL4158" s="1821"/>
      <c r="BM4158" s="1821"/>
      <c r="BN4158" s="1821"/>
      <c r="BO4158" s="1821"/>
      <c r="BP4158" s="1821"/>
      <c r="BQ4158" s="1821"/>
      <c r="BR4158" s="1821"/>
      <c r="BS4158" s="1821"/>
      <c r="BT4158" s="1821"/>
      <c r="BU4158" s="1821"/>
      <c r="BV4158" s="1821"/>
      <c r="BW4158" s="1821"/>
      <c r="BX4158" s="1821"/>
      <c r="BY4158" s="1821"/>
      <c r="BZ4158" s="1821"/>
      <c r="CA4158" s="1821"/>
      <c r="CB4158" s="1821"/>
      <c r="CC4158" s="1821"/>
      <c r="CD4158" s="1821"/>
      <c r="CE4158" s="1821"/>
      <c r="CF4158" s="1821"/>
      <c r="CG4158" s="1821"/>
      <c r="CH4158" s="1821"/>
      <c r="CI4158" s="1821"/>
      <c r="CJ4158" s="1821"/>
      <c r="CK4158" s="1821"/>
    </row>
    <row r="4159" spans="1:89" s="744" customFormat="1" ht="16.5" customHeight="1" x14ac:dyDescent="0.25">
      <c r="A4159" s="1033"/>
      <c r="B4159" s="709"/>
      <c r="C4159" s="827"/>
      <c r="D4159" s="961"/>
      <c r="E4159" s="758"/>
      <c r="F4159" s="714"/>
      <c r="G4159" s="714"/>
      <c r="H4159" s="700"/>
      <c r="I4159" s="714"/>
      <c r="J4159" s="714"/>
      <c r="K4159" s="700"/>
      <c r="L4159" s="714"/>
      <c r="M4159" s="714"/>
      <c r="N4159" s="700"/>
      <c r="O4159" s="974"/>
      <c r="P4159" s="956"/>
      <c r="Q4159" s="1821"/>
      <c r="R4159" s="1821"/>
      <c r="S4159" s="1821"/>
      <c r="T4159" s="1821"/>
      <c r="U4159" s="1821"/>
      <c r="V4159" s="1821"/>
      <c r="W4159" s="1821"/>
      <c r="X4159" s="1821"/>
      <c r="Y4159" s="1821"/>
      <c r="Z4159" s="1821"/>
      <c r="AA4159" s="1821"/>
      <c r="AB4159" s="1821"/>
      <c r="AC4159" s="1821"/>
      <c r="AD4159" s="1821"/>
      <c r="AE4159" s="1821"/>
      <c r="AF4159" s="1821"/>
      <c r="AG4159" s="1821"/>
      <c r="AH4159" s="1821"/>
      <c r="AI4159" s="1821"/>
      <c r="AJ4159" s="1821"/>
      <c r="AK4159" s="1821"/>
      <c r="AL4159" s="1821"/>
      <c r="AM4159" s="1821"/>
      <c r="AN4159" s="1821"/>
      <c r="AO4159" s="1821"/>
      <c r="AP4159" s="1821"/>
      <c r="AQ4159" s="1821"/>
      <c r="AR4159" s="1821"/>
      <c r="AS4159" s="1821"/>
      <c r="AT4159" s="1821"/>
      <c r="AU4159" s="1821"/>
      <c r="AV4159" s="1821"/>
      <c r="AW4159" s="1821"/>
      <c r="AX4159" s="1821"/>
      <c r="AY4159" s="1821"/>
      <c r="AZ4159" s="1821"/>
      <c r="BA4159" s="1821"/>
      <c r="BB4159" s="1821"/>
      <c r="BC4159" s="1821"/>
      <c r="BD4159" s="1821"/>
      <c r="BE4159" s="1821"/>
      <c r="BF4159" s="1821"/>
      <c r="BG4159" s="1821"/>
      <c r="BH4159" s="1821"/>
      <c r="BI4159" s="1821"/>
      <c r="BJ4159" s="1821"/>
      <c r="BK4159" s="1821"/>
      <c r="BL4159" s="1821"/>
      <c r="BM4159" s="1821"/>
      <c r="BN4159" s="1821"/>
      <c r="BO4159" s="1821"/>
      <c r="BP4159" s="1821"/>
      <c r="BQ4159" s="1821"/>
      <c r="BR4159" s="1821"/>
      <c r="BS4159" s="1821"/>
      <c r="BT4159" s="1821"/>
      <c r="BU4159" s="1821"/>
      <c r="BV4159" s="1821"/>
      <c r="BW4159" s="1821"/>
      <c r="BX4159" s="1821"/>
      <c r="BY4159" s="1821"/>
      <c r="BZ4159" s="1821"/>
      <c r="CA4159" s="1821"/>
      <c r="CB4159" s="1821"/>
      <c r="CC4159" s="1821"/>
      <c r="CD4159" s="1821"/>
      <c r="CE4159" s="1821"/>
      <c r="CF4159" s="1821"/>
      <c r="CG4159" s="1821"/>
      <c r="CH4159" s="1821"/>
      <c r="CI4159" s="1821"/>
      <c r="CJ4159" s="1821"/>
      <c r="CK4159" s="1821"/>
    </row>
    <row r="4160" spans="1:89" s="744" customFormat="1" ht="16.5" customHeight="1" x14ac:dyDescent="0.25">
      <c r="A4160" s="1033"/>
      <c r="B4160" s="709" t="s">
        <v>358</v>
      </c>
      <c r="C4160" s="827"/>
      <c r="D4160" s="961"/>
      <c r="E4160" s="758"/>
      <c r="F4160" s="714"/>
      <c r="G4160" s="714"/>
      <c r="H4160" s="700">
        <f>G4160+F4160</f>
        <v>0</v>
      </c>
      <c r="I4160" s="714"/>
      <c r="J4160" s="714">
        <f t="shared" si="474"/>
        <v>0</v>
      </c>
      <c r="K4160" s="700">
        <f>J4160+I4160</f>
        <v>0</v>
      </c>
      <c r="L4160" s="714"/>
      <c r="M4160" s="714"/>
      <c r="N4160" s="700">
        <f>M4160+L4160</f>
        <v>0</v>
      </c>
      <c r="O4160" s="974">
        <f>N4160+K4160+H4160</f>
        <v>0</v>
      </c>
      <c r="P4160" s="956"/>
      <c r="Q4160" s="1821"/>
      <c r="R4160" s="1821"/>
      <c r="S4160" s="1821"/>
      <c r="T4160" s="1821"/>
      <c r="U4160" s="1821"/>
      <c r="V4160" s="1821"/>
      <c r="W4160" s="1821"/>
      <c r="X4160" s="1821"/>
      <c r="Y4160" s="1821"/>
      <c r="Z4160" s="1821"/>
      <c r="AA4160" s="1821"/>
      <c r="AB4160" s="1821"/>
      <c r="AC4160" s="1821"/>
      <c r="AD4160" s="1821"/>
      <c r="AE4160" s="1821"/>
      <c r="AF4160" s="1821"/>
      <c r="AG4160" s="1821"/>
      <c r="AH4160" s="1821"/>
      <c r="AI4160" s="1821"/>
      <c r="AJ4160" s="1821"/>
      <c r="AK4160" s="1821"/>
      <c r="AL4160" s="1821"/>
      <c r="AM4160" s="1821"/>
      <c r="AN4160" s="1821"/>
      <c r="AO4160" s="1821"/>
      <c r="AP4160" s="1821"/>
      <c r="AQ4160" s="1821"/>
      <c r="AR4160" s="1821"/>
      <c r="AS4160" s="1821"/>
      <c r="AT4160" s="1821"/>
      <c r="AU4160" s="1821"/>
      <c r="AV4160" s="1821"/>
      <c r="AW4160" s="1821"/>
      <c r="AX4160" s="1821"/>
      <c r="AY4160" s="1821"/>
      <c r="AZ4160" s="1821"/>
      <c r="BA4160" s="1821"/>
      <c r="BB4160" s="1821"/>
      <c r="BC4160" s="1821"/>
      <c r="BD4160" s="1821"/>
      <c r="BE4160" s="1821"/>
      <c r="BF4160" s="1821"/>
      <c r="BG4160" s="1821"/>
      <c r="BH4160" s="1821"/>
      <c r="BI4160" s="1821"/>
      <c r="BJ4160" s="1821"/>
      <c r="BK4160" s="1821"/>
      <c r="BL4160" s="1821"/>
      <c r="BM4160" s="1821"/>
      <c r="BN4160" s="1821"/>
      <c r="BO4160" s="1821"/>
      <c r="BP4160" s="1821"/>
      <c r="BQ4160" s="1821"/>
      <c r="BR4160" s="1821"/>
      <c r="BS4160" s="1821"/>
      <c r="BT4160" s="1821"/>
      <c r="BU4160" s="1821"/>
      <c r="BV4160" s="1821"/>
      <c r="BW4160" s="1821"/>
      <c r="BX4160" s="1821"/>
      <c r="BY4160" s="1821"/>
      <c r="BZ4160" s="1821"/>
      <c r="CA4160" s="1821"/>
      <c r="CB4160" s="1821"/>
      <c r="CC4160" s="1821"/>
      <c r="CD4160" s="1821"/>
      <c r="CE4160" s="1821"/>
      <c r="CF4160" s="1821"/>
      <c r="CG4160" s="1821"/>
      <c r="CH4160" s="1821"/>
      <c r="CI4160" s="1821"/>
      <c r="CJ4160" s="1821"/>
      <c r="CK4160" s="1821"/>
    </row>
    <row r="4161" spans="1:89" s="744" customFormat="1" ht="16.5" customHeight="1" x14ac:dyDescent="0.25">
      <c r="A4161" s="1033"/>
      <c r="B4161" s="709" t="s">
        <v>350</v>
      </c>
      <c r="C4161" s="827">
        <v>1</v>
      </c>
      <c r="D4161" s="961" t="s">
        <v>25</v>
      </c>
      <c r="E4161" s="758">
        <v>84572</v>
      </c>
      <c r="F4161" s="714"/>
      <c r="G4161" s="714"/>
      <c r="H4161" s="700">
        <f>G4161+F4161</f>
        <v>0</v>
      </c>
      <c r="I4161" s="714"/>
      <c r="J4161" s="714">
        <f t="shared" si="474"/>
        <v>84572</v>
      </c>
      <c r="K4161" s="700">
        <f>J4161+I4161</f>
        <v>84572</v>
      </c>
      <c r="L4161" s="714"/>
      <c r="M4161" s="714"/>
      <c r="N4161" s="700">
        <f>M4161+L4161</f>
        <v>0</v>
      </c>
      <c r="O4161" s="974">
        <f>N4161+K4161+H4161</f>
        <v>84572</v>
      </c>
      <c r="P4161" s="956"/>
      <c r="Q4161" s="1821"/>
      <c r="R4161" s="1821"/>
      <c r="S4161" s="1821"/>
      <c r="T4161" s="1821"/>
      <c r="U4161" s="1821"/>
      <c r="V4161" s="1821"/>
      <c r="W4161" s="1821"/>
      <c r="X4161" s="1821"/>
      <c r="Y4161" s="1821"/>
      <c r="Z4161" s="1821"/>
      <c r="AA4161" s="1821"/>
      <c r="AB4161" s="1821"/>
      <c r="AC4161" s="1821"/>
      <c r="AD4161" s="1821"/>
      <c r="AE4161" s="1821"/>
      <c r="AF4161" s="1821"/>
      <c r="AG4161" s="1821"/>
      <c r="AH4161" s="1821"/>
      <c r="AI4161" s="1821"/>
      <c r="AJ4161" s="1821"/>
      <c r="AK4161" s="1821"/>
      <c r="AL4161" s="1821"/>
      <c r="AM4161" s="1821"/>
      <c r="AN4161" s="1821"/>
      <c r="AO4161" s="1821"/>
      <c r="AP4161" s="1821"/>
      <c r="AQ4161" s="1821"/>
      <c r="AR4161" s="1821"/>
      <c r="AS4161" s="1821"/>
      <c r="AT4161" s="1821"/>
      <c r="AU4161" s="1821"/>
      <c r="AV4161" s="1821"/>
      <c r="AW4161" s="1821"/>
      <c r="AX4161" s="1821"/>
      <c r="AY4161" s="1821"/>
      <c r="AZ4161" s="1821"/>
      <c r="BA4161" s="1821"/>
      <c r="BB4161" s="1821"/>
      <c r="BC4161" s="1821"/>
      <c r="BD4161" s="1821"/>
      <c r="BE4161" s="1821"/>
      <c r="BF4161" s="1821"/>
      <c r="BG4161" s="1821"/>
      <c r="BH4161" s="1821"/>
      <c r="BI4161" s="1821"/>
      <c r="BJ4161" s="1821"/>
      <c r="BK4161" s="1821"/>
      <c r="BL4161" s="1821"/>
      <c r="BM4161" s="1821"/>
      <c r="BN4161" s="1821"/>
      <c r="BO4161" s="1821"/>
      <c r="BP4161" s="1821"/>
      <c r="BQ4161" s="1821"/>
      <c r="BR4161" s="1821"/>
      <c r="BS4161" s="1821"/>
      <c r="BT4161" s="1821"/>
      <c r="BU4161" s="1821"/>
      <c r="BV4161" s="1821"/>
      <c r="BW4161" s="1821"/>
      <c r="BX4161" s="1821"/>
      <c r="BY4161" s="1821"/>
      <c r="BZ4161" s="1821"/>
      <c r="CA4161" s="1821"/>
      <c r="CB4161" s="1821"/>
      <c r="CC4161" s="1821"/>
      <c r="CD4161" s="1821"/>
      <c r="CE4161" s="1821"/>
      <c r="CF4161" s="1821"/>
      <c r="CG4161" s="1821"/>
      <c r="CH4161" s="1821"/>
      <c r="CI4161" s="1821"/>
      <c r="CJ4161" s="1821"/>
      <c r="CK4161" s="1821"/>
    </row>
    <row r="4162" spans="1:89" s="744" customFormat="1" ht="16.5" customHeight="1" x14ac:dyDescent="0.25">
      <c r="A4162" s="1033"/>
      <c r="B4162" s="709" t="s">
        <v>54</v>
      </c>
      <c r="C4162" s="827">
        <v>1</v>
      </c>
      <c r="D4162" s="961" t="s">
        <v>25</v>
      </c>
      <c r="E4162" s="758">
        <v>132360</v>
      </c>
      <c r="F4162" s="714"/>
      <c r="G4162" s="714"/>
      <c r="H4162" s="700">
        <f>G4162+F4162</f>
        <v>0</v>
      </c>
      <c r="I4162" s="714"/>
      <c r="J4162" s="714">
        <f t="shared" si="474"/>
        <v>132360</v>
      </c>
      <c r="K4162" s="700">
        <f>J4162+I4162</f>
        <v>132360</v>
      </c>
      <c r="L4162" s="714"/>
      <c r="M4162" s="714"/>
      <c r="N4162" s="700">
        <f>M4162+L4162</f>
        <v>0</v>
      </c>
      <c r="O4162" s="974">
        <f>N4162+K4162+H4162</f>
        <v>132360</v>
      </c>
      <c r="P4162" s="956"/>
      <c r="Q4162" s="1821"/>
      <c r="R4162" s="1821"/>
      <c r="S4162" s="1821"/>
      <c r="T4162" s="1821"/>
      <c r="U4162" s="1821"/>
      <c r="V4162" s="1821"/>
      <c r="W4162" s="1821"/>
      <c r="X4162" s="1821"/>
      <c r="Y4162" s="1821"/>
      <c r="Z4162" s="1821"/>
      <c r="AA4162" s="1821"/>
      <c r="AB4162" s="1821"/>
      <c r="AC4162" s="1821"/>
      <c r="AD4162" s="1821"/>
      <c r="AE4162" s="1821"/>
      <c r="AF4162" s="1821"/>
      <c r="AG4162" s="1821"/>
      <c r="AH4162" s="1821"/>
      <c r="AI4162" s="1821"/>
      <c r="AJ4162" s="1821"/>
      <c r="AK4162" s="1821"/>
      <c r="AL4162" s="1821"/>
      <c r="AM4162" s="1821"/>
      <c r="AN4162" s="1821"/>
      <c r="AO4162" s="1821"/>
      <c r="AP4162" s="1821"/>
      <c r="AQ4162" s="1821"/>
      <c r="AR4162" s="1821"/>
      <c r="AS4162" s="1821"/>
      <c r="AT4162" s="1821"/>
      <c r="AU4162" s="1821"/>
      <c r="AV4162" s="1821"/>
      <c r="AW4162" s="1821"/>
      <c r="AX4162" s="1821"/>
      <c r="AY4162" s="1821"/>
      <c r="AZ4162" s="1821"/>
      <c r="BA4162" s="1821"/>
      <c r="BB4162" s="1821"/>
      <c r="BC4162" s="1821"/>
      <c r="BD4162" s="1821"/>
      <c r="BE4162" s="1821"/>
      <c r="BF4162" s="1821"/>
      <c r="BG4162" s="1821"/>
      <c r="BH4162" s="1821"/>
      <c r="BI4162" s="1821"/>
      <c r="BJ4162" s="1821"/>
      <c r="BK4162" s="1821"/>
      <c r="BL4162" s="1821"/>
      <c r="BM4162" s="1821"/>
      <c r="BN4162" s="1821"/>
      <c r="BO4162" s="1821"/>
      <c r="BP4162" s="1821"/>
      <c r="BQ4162" s="1821"/>
      <c r="BR4162" s="1821"/>
      <c r="BS4162" s="1821"/>
      <c r="BT4162" s="1821"/>
      <c r="BU4162" s="1821"/>
      <c r="BV4162" s="1821"/>
      <c r="BW4162" s="1821"/>
      <c r="BX4162" s="1821"/>
      <c r="BY4162" s="1821"/>
      <c r="BZ4162" s="1821"/>
      <c r="CA4162" s="1821"/>
      <c r="CB4162" s="1821"/>
      <c r="CC4162" s="1821"/>
      <c r="CD4162" s="1821"/>
      <c r="CE4162" s="1821"/>
      <c r="CF4162" s="1821"/>
      <c r="CG4162" s="1821"/>
      <c r="CH4162" s="1821"/>
      <c r="CI4162" s="1821"/>
      <c r="CJ4162" s="1821"/>
      <c r="CK4162" s="1821"/>
    </row>
    <row r="4163" spans="1:89" s="744" customFormat="1" ht="16.5" customHeight="1" x14ac:dyDescent="0.25">
      <c r="A4163" s="1033"/>
      <c r="B4163" s="709" t="s">
        <v>52</v>
      </c>
      <c r="C4163" s="827">
        <v>1</v>
      </c>
      <c r="D4163" s="961" t="s">
        <v>25</v>
      </c>
      <c r="E4163" s="758">
        <v>106754</v>
      </c>
      <c r="F4163" s="714"/>
      <c r="G4163" s="714"/>
      <c r="H4163" s="700">
        <f>G4163+F4163</f>
        <v>0</v>
      </c>
      <c r="I4163" s="714"/>
      <c r="J4163" s="714">
        <f t="shared" si="474"/>
        <v>106754</v>
      </c>
      <c r="K4163" s="700">
        <f>J4163+I4163</f>
        <v>106754</v>
      </c>
      <c r="L4163" s="714"/>
      <c r="M4163" s="714"/>
      <c r="N4163" s="700">
        <f>M4163+L4163</f>
        <v>0</v>
      </c>
      <c r="O4163" s="974">
        <f>N4163+K4163+H4163</f>
        <v>106754</v>
      </c>
      <c r="P4163" s="956"/>
      <c r="Q4163" s="1821"/>
      <c r="R4163" s="1821"/>
      <c r="S4163" s="1821"/>
      <c r="T4163" s="1821"/>
      <c r="U4163" s="1821"/>
      <c r="V4163" s="1821"/>
      <c r="W4163" s="1821"/>
      <c r="X4163" s="1821"/>
      <c r="Y4163" s="1821"/>
      <c r="Z4163" s="1821"/>
      <c r="AA4163" s="1821"/>
      <c r="AB4163" s="1821"/>
      <c r="AC4163" s="1821"/>
      <c r="AD4163" s="1821"/>
      <c r="AE4163" s="1821"/>
      <c r="AF4163" s="1821"/>
      <c r="AG4163" s="1821"/>
      <c r="AH4163" s="1821"/>
      <c r="AI4163" s="1821"/>
      <c r="AJ4163" s="1821"/>
      <c r="AK4163" s="1821"/>
      <c r="AL4163" s="1821"/>
      <c r="AM4163" s="1821"/>
      <c r="AN4163" s="1821"/>
      <c r="AO4163" s="1821"/>
      <c r="AP4163" s="1821"/>
      <c r="AQ4163" s="1821"/>
      <c r="AR4163" s="1821"/>
      <c r="AS4163" s="1821"/>
      <c r="AT4163" s="1821"/>
      <c r="AU4163" s="1821"/>
      <c r="AV4163" s="1821"/>
      <c r="AW4163" s="1821"/>
      <c r="AX4163" s="1821"/>
      <c r="AY4163" s="1821"/>
      <c r="AZ4163" s="1821"/>
      <c r="BA4163" s="1821"/>
      <c r="BB4163" s="1821"/>
      <c r="BC4163" s="1821"/>
      <c r="BD4163" s="1821"/>
      <c r="BE4163" s="1821"/>
      <c r="BF4163" s="1821"/>
      <c r="BG4163" s="1821"/>
      <c r="BH4163" s="1821"/>
      <c r="BI4163" s="1821"/>
      <c r="BJ4163" s="1821"/>
      <c r="BK4163" s="1821"/>
      <c r="BL4163" s="1821"/>
      <c r="BM4163" s="1821"/>
      <c r="BN4163" s="1821"/>
      <c r="BO4163" s="1821"/>
      <c r="BP4163" s="1821"/>
      <c r="BQ4163" s="1821"/>
      <c r="BR4163" s="1821"/>
      <c r="BS4163" s="1821"/>
      <c r="BT4163" s="1821"/>
      <c r="BU4163" s="1821"/>
      <c r="BV4163" s="1821"/>
      <c r="BW4163" s="1821"/>
      <c r="BX4163" s="1821"/>
      <c r="BY4163" s="1821"/>
      <c r="BZ4163" s="1821"/>
      <c r="CA4163" s="1821"/>
      <c r="CB4163" s="1821"/>
      <c r="CC4163" s="1821"/>
      <c r="CD4163" s="1821"/>
      <c r="CE4163" s="1821"/>
      <c r="CF4163" s="1821"/>
      <c r="CG4163" s="1821"/>
      <c r="CH4163" s="1821"/>
      <c r="CI4163" s="1821"/>
      <c r="CJ4163" s="1821"/>
      <c r="CK4163" s="1821"/>
    </row>
    <row r="4164" spans="1:89" s="744" customFormat="1" ht="16.5" customHeight="1" x14ac:dyDescent="0.25">
      <c r="A4164" s="1033"/>
      <c r="B4164" s="709"/>
      <c r="C4164" s="827"/>
      <c r="D4164" s="961"/>
      <c r="E4164" s="758"/>
      <c r="F4164" s="714"/>
      <c r="G4164" s="714"/>
      <c r="H4164" s="700"/>
      <c r="I4164" s="714"/>
      <c r="J4164" s="714"/>
      <c r="K4164" s="700"/>
      <c r="L4164" s="714"/>
      <c r="M4164" s="714"/>
      <c r="N4164" s="700"/>
      <c r="O4164" s="974"/>
      <c r="P4164" s="956"/>
      <c r="Q4164" s="1821"/>
      <c r="R4164" s="1821"/>
      <c r="S4164" s="1821"/>
      <c r="T4164" s="1821"/>
      <c r="U4164" s="1821"/>
      <c r="V4164" s="1821"/>
      <c r="W4164" s="1821"/>
      <c r="X4164" s="1821"/>
      <c r="Y4164" s="1821"/>
      <c r="Z4164" s="1821"/>
      <c r="AA4164" s="1821"/>
      <c r="AB4164" s="1821"/>
      <c r="AC4164" s="1821"/>
      <c r="AD4164" s="1821"/>
      <c r="AE4164" s="1821"/>
      <c r="AF4164" s="1821"/>
      <c r="AG4164" s="1821"/>
      <c r="AH4164" s="1821"/>
      <c r="AI4164" s="1821"/>
      <c r="AJ4164" s="1821"/>
      <c r="AK4164" s="1821"/>
      <c r="AL4164" s="1821"/>
      <c r="AM4164" s="1821"/>
      <c r="AN4164" s="1821"/>
      <c r="AO4164" s="1821"/>
      <c r="AP4164" s="1821"/>
      <c r="AQ4164" s="1821"/>
      <c r="AR4164" s="1821"/>
      <c r="AS4164" s="1821"/>
      <c r="AT4164" s="1821"/>
      <c r="AU4164" s="1821"/>
      <c r="AV4164" s="1821"/>
      <c r="AW4164" s="1821"/>
      <c r="AX4164" s="1821"/>
      <c r="AY4164" s="1821"/>
      <c r="AZ4164" s="1821"/>
      <c r="BA4164" s="1821"/>
      <c r="BB4164" s="1821"/>
      <c r="BC4164" s="1821"/>
      <c r="BD4164" s="1821"/>
      <c r="BE4164" s="1821"/>
      <c r="BF4164" s="1821"/>
      <c r="BG4164" s="1821"/>
      <c r="BH4164" s="1821"/>
      <c r="BI4164" s="1821"/>
      <c r="BJ4164" s="1821"/>
      <c r="BK4164" s="1821"/>
      <c r="BL4164" s="1821"/>
      <c r="BM4164" s="1821"/>
      <c r="BN4164" s="1821"/>
      <c r="BO4164" s="1821"/>
      <c r="BP4164" s="1821"/>
      <c r="BQ4164" s="1821"/>
      <c r="BR4164" s="1821"/>
      <c r="BS4164" s="1821"/>
      <c r="BT4164" s="1821"/>
      <c r="BU4164" s="1821"/>
      <c r="BV4164" s="1821"/>
      <c r="BW4164" s="1821"/>
      <c r="BX4164" s="1821"/>
      <c r="BY4164" s="1821"/>
      <c r="BZ4164" s="1821"/>
      <c r="CA4164" s="1821"/>
      <c r="CB4164" s="1821"/>
      <c r="CC4164" s="1821"/>
      <c r="CD4164" s="1821"/>
      <c r="CE4164" s="1821"/>
      <c r="CF4164" s="1821"/>
      <c r="CG4164" s="1821"/>
      <c r="CH4164" s="1821"/>
      <c r="CI4164" s="1821"/>
      <c r="CJ4164" s="1821"/>
      <c r="CK4164" s="1821"/>
    </row>
    <row r="4165" spans="1:89" s="744" customFormat="1" ht="16.5" customHeight="1" x14ac:dyDescent="0.25">
      <c r="A4165" s="1033"/>
      <c r="B4165" s="709" t="s">
        <v>1371</v>
      </c>
      <c r="C4165" s="827"/>
      <c r="D4165" s="961"/>
      <c r="E4165" s="758"/>
      <c r="F4165" s="714"/>
      <c r="G4165" s="714"/>
      <c r="H4165" s="700"/>
      <c r="I4165" s="714"/>
      <c r="J4165" s="714"/>
      <c r="K4165" s="700"/>
      <c r="L4165" s="714"/>
      <c r="M4165" s="714"/>
      <c r="N4165" s="700"/>
      <c r="O4165" s="974"/>
      <c r="P4165" s="956"/>
      <c r="Q4165" s="1821"/>
      <c r="R4165" s="1821"/>
      <c r="S4165" s="1821"/>
      <c r="T4165" s="1821"/>
      <c r="U4165" s="1821"/>
      <c r="V4165" s="1821"/>
      <c r="W4165" s="1821"/>
      <c r="X4165" s="1821"/>
      <c r="Y4165" s="1821"/>
      <c r="Z4165" s="1821"/>
      <c r="AA4165" s="1821"/>
      <c r="AB4165" s="1821"/>
      <c r="AC4165" s="1821"/>
      <c r="AD4165" s="1821"/>
      <c r="AE4165" s="1821"/>
      <c r="AF4165" s="1821"/>
      <c r="AG4165" s="1821"/>
      <c r="AH4165" s="1821"/>
      <c r="AI4165" s="1821"/>
      <c r="AJ4165" s="1821"/>
      <c r="AK4165" s="1821"/>
      <c r="AL4165" s="1821"/>
      <c r="AM4165" s="1821"/>
      <c r="AN4165" s="1821"/>
      <c r="AO4165" s="1821"/>
      <c r="AP4165" s="1821"/>
      <c r="AQ4165" s="1821"/>
      <c r="AR4165" s="1821"/>
      <c r="AS4165" s="1821"/>
      <c r="AT4165" s="1821"/>
      <c r="AU4165" s="1821"/>
      <c r="AV4165" s="1821"/>
      <c r="AW4165" s="1821"/>
      <c r="AX4165" s="1821"/>
      <c r="AY4165" s="1821"/>
      <c r="AZ4165" s="1821"/>
      <c r="BA4165" s="1821"/>
      <c r="BB4165" s="1821"/>
      <c r="BC4165" s="1821"/>
      <c r="BD4165" s="1821"/>
      <c r="BE4165" s="1821"/>
      <c r="BF4165" s="1821"/>
      <c r="BG4165" s="1821"/>
      <c r="BH4165" s="1821"/>
      <c r="BI4165" s="1821"/>
      <c r="BJ4165" s="1821"/>
      <c r="BK4165" s="1821"/>
      <c r="BL4165" s="1821"/>
      <c r="BM4165" s="1821"/>
      <c r="BN4165" s="1821"/>
      <c r="BO4165" s="1821"/>
      <c r="BP4165" s="1821"/>
      <c r="BQ4165" s="1821"/>
      <c r="BR4165" s="1821"/>
      <c r="BS4165" s="1821"/>
      <c r="BT4165" s="1821"/>
      <c r="BU4165" s="1821"/>
      <c r="BV4165" s="1821"/>
      <c r="BW4165" s="1821"/>
      <c r="BX4165" s="1821"/>
      <c r="BY4165" s="1821"/>
      <c r="BZ4165" s="1821"/>
      <c r="CA4165" s="1821"/>
      <c r="CB4165" s="1821"/>
      <c r="CC4165" s="1821"/>
      <c r="CD4165" s="1821"/>
      <c r="CE4165" s="1821"/>
      <c r="CF4165" s="1821"/>
      <c r="CG4165" s="1821"/>
      <c r="CH4165" s="1821"/>
      <c r="CI4165" s="1821"/>
      <c r="CJ4165" s="1821"/>
      <c r="CK4165" s="1821"/>
    </row>
    <row r="4166" spans="1:89" s="744" customFormat="1" ht="16.5" customHeight="1" x14ac:dyDescent="0.25">
      <c r="A4166" s="1033" t="s">
        <v>49</v>
      </c>
      <c r="B4166" s="709" t="s">
        <v>278</v>
      </c>
      <c r="C4166" s="827">
        <f>SUM(O4167:O4174)</f>
        <v>194104</v>
      </c>
      <c r="D4166" s="961"/>
      <c r="E4166" s="758"/>
      <c r="F4166" s="714"/>
      <c r="G4166" s="714"/>
      <c r="H4166" s="700">
        <f>G4166+F4166</f>
        <v>0</v>
      </c>
      <c r="I4166" s="714"/>
      <c r="J4166" s="714">
        <f>C4166*E4166</f>
        <v>0</v>
      </c>
      <c r="K4166" s="700">
        <f>J4166+I4166</f>
        <v>0</v>
      </c>
      <c r="L4166" s="714"/>
      <c r="M4166" s="714"/>
      <c r="N4166" s="700">
        <f>M4166+L4166</f>
        <v>0</v>
      </c>
      <c r="O4166" s="974">
        <f>N4166+K4166+H4166</f>
        <v>0</v>
      </c>
      <c r="P4166" s="956"/>
      <c r="Q4166" s="1821"/>
      <c r="R4166" s="1821"/>
      <c r="S4166" s="1821"/>
      <c r="T4166" s="1821"/>
      <c r="U4166" s="1821"/>
      <c r="V4166" s="1821"/>
      <c r="W4166" s="1821"/>
      <c r="X4166" s="1821"/>
      <c r="Y4166" s="1821"/>
      <c r="Z4166" s="1821"/>
      <c r="AA4166" s="1821"/>
      <c r="AB4166" s="1821"/>
      <c r="AC4166" s="1821"/>
      <c r="AD4166" s="1821"/>
      <c r="AE4166" s="1821"/>
      <c r="AF4166" s="1821"/>
      <c r="AG4166" s="1821"/>
      <c r="AH4166" s="1821"/>
      <c r="AI4166" s="1821"/>
      <c r="AJ4166" s="1821"/>
      <c r="AK4166" s="1821"/>
      <c r="AL4166" s="1821"/>
      <c r="AM4166" s="1821"/>
      <c r="AN4166" s="1821"/>
      <c r="AO4166" s="1821"/>
      <c r="AP4166" s="1821"/>
      <c r="AQ4166" s="1821"/>
      <c r="AR4166" s="1821"/>
      <c r="AS4166" s="1821"/>
      <c r="AT4166" s="1821"/>
      <c r="AU4166" s="1821"/>
      <c r="AV4166" s="1821"/>
      <c r="AW4166" s="1821"/>
      <c r="AX4166" s="1821"/>
      <c r="AY4166" s="1821"/>
      <c r="AZ4166" s="1821"/>
      <c r="BA4166" s="1821"/>
      <c r="BB4166" s="1821"/>
      <c r="BC4166" s="1821"/>
      <c r="BD4166" s="1821"/>
      <c r="BE4166" s="1821"/>
      <c r="BF4166" s="1821"/>
      <c r="BG4166" s="1821"/>
      <c r="BH4166" s="1821"/>
      <c r="BI4166" s="1821"/>
      <c r="BJ4166" s="1821"/>
      <c r="BK4166" s="1821"/>
      <c r="BL4166" s="1821"/>
      <c r="BM4166" s="1821"/>
      <c r="BN4166" s="1821"/>
      <c r="BO4166" s="1821"/>
      <c r="BP4166" s="1821"/>
      <c r="BQ4166" s="1821"/>
      <c r="BR4166" s="1821"/>
      <c r="BS4166" s="1821"/>
      <c r="BT4166" s="1821"/>
      <c r="BU4166" s="1821"/>
      <c r="BV4166" s="1821"/>
      <c r="BW4166" s="1821"/>
      <c r="BX4166" s="1821"/>
      <c r="BY4166" s="1821"/>
      <c r="BZ4166" s="1821"/>
      <c r="CA4166" s="1821"/>
      <c r="CB4166" s="1821"/>
      <c r="CC4166" s="1821"/>
      <c r="CD4166" s="1821"/>
      <c r="CE4166" s="1821"/>
      <c r="CF4166" s="1821"/>
      <c r="CG4166" s="1821"/>
      <c r="CH4166" s="1821"/>
      <c r="CI4166" s="1821"/>
      <c r="CJ4166" s="1821"/>
      <c r="CK4166" s="1821"/>
    </row>
    <row r="4167" spans="1:89" s="744" customFormat="1" ht="16.5" customHeight="1" x14ac:dyDescent="0.25">
      <c r="A4167" s="1033"/>
      <c r="B4167" s="709" t="s">
        <v>365</v>
      </c>
      <c r="C4167" s="827">
        <v>1</v>
      </c>
      <c r="D4167" s="961" t="s">
        <v>25</v>
      </c>
      <c r="E4167" s="758">
        <v>70004</v>
      </c>
      <c r="F4167" s="714"/>
      <c r="G4167" s="714"/>
      <c r="H4167" s="700">
        <f>G4167+F4167</f>
        <v>0</v>
      </c>
      <c r="I4167" s="714"/>
      <c r="J4167" s="714">
        <f>C4167*E4167</f>
        <v>70004</v>
      </c>
      <c r="K4167" s="700">
        <f>J4167+I4167</f>
        <v>70004</v>
      </c>
      <c r="L4167" s="714"/>
      <c r="M4167" s="714"/>
      <c r="N4167" s="700">
        <f>M4167+L4167</f>
        <v>0</v>
      </c>
      <c r="O4167" s="974">
        <f>N4167+K4167+H4167</f>
        <v>70004</v>
      </c>
      <c r="P4167" s="956"/>
      <c r="Q4167" s="1821"/>
      <c r="R4167" s="1821"/>
      <c r="S4167" s="1821"/>
      <c r="T4167" s="1821"/>
      <c r="U4167" s="1821"/>
      <c r="V4167" s="1821"/>
      <c r="W4167" s="1821"/>
      <c r="X4167" s="1821"/>
      <c r="Y4167" s="1821"/>
      <c r="Z4167" s="1821"/>
      <c r="AA4167" s="1821"/>
      <c r="AB4167" s="1821"/>
      <c r="AC4167" s="1821"/>
      <c r="AD4167" s="1821"/>
      <c r="AE4167" s="1821"/>
      <c r="AF4167" s="1821"/>
      <c r="AG4167" s="1821"/>
      <c r="AH4167" s="1821"/>
      <c r="AI4167" s="1821"/>
      <c r="AJ4167" s="1821"/>
      <c r="AK4167" s="1821"/>
      <c r="AL4167" s="1821"/>
      <c r="AM4167" s="1821"/>
      <c r="AN4167" s="1821"/>
      <c r="AO4167" s="1821"/>
      <c r="AP4167" s="1821"/>
      <c r="AQ4167" s="1821"/>
      <c r="AR4167" s="1821"/>
      <c r="AS4167" s="1821"/>
      <c r="AT4167" s="1821"/>
      <c r="AU4167" s="1821"/>
      <c r="AV4167" s="1821"/>
      <c r="AW4167" s="1821"/>
      <c r="AX4167" s="1821"/>
      <c r="AY4167" s="1821"/>
      <c r="AZ4167" s="1821"/>
      <c r="BA4167" s="1821"/>
      <c r="BB4167" s="1821"/>
      <c r="BC4167" s="1821"/>
      <c r="BD4167" s="1821"/>
      <c r="BE4167" s="1821"/>
      <c r="BF4167" s="1821"/>
      <c r="BG4167" s="1821"/>
      <c r="BH4167" s="1821"/>
      <c r="BI4167" s="1821"/>
      <c r="BJ4167" s="1821"/>
      <c r="BK4167" s="1821"/>
      <c r="BL4167" s="1821"/>
      <c r="BM4167" s="1821"/>
      <c r="BN4167" s="1821"/>
      <c r="BO4167" s="1821"/>
      <c r="BP4167" s="1821"/>
      <c r="BQ4167" s="1821"/>
      <c r="BR4167" s="1821"/>
      <c r="BS4167" s="1821"/>
      <c r="BT4167" s="1821"/>
      <c r="BU4167" s="1821"/>
      <c r="BV4167" s="1821"/>
      <c r="BW4167" s="1821"/>
      <c r="BX4167" s="1821"/>
      <c r="BY4167" s="1821"/>
      <c r="BZ4167" s="1821"/>
      <c r="CA4167" s="1821"/>
      <c r="CB4167" s="1821"/>
      <c r="CC4167" s="1821"/>
      <c r="CD4167" s="1821"/>
      <c r="CE4167" s="1821"/>
      <c r="CF4167" s="1821"/>
      <c r="CG4167" s="1821"/>
      <c r="CH4167" s="1821"/>
      <c r="CI4167" s="1821"/>
      <c r="CJ4167" s="1821"/>
      <c r="CK4167" s="1821"/>
    </row>
    <row r="4168" spans="1:89" s="744" customFormat="1" ht="16.5" customHeight="1" x14ac:dyDescent="0.25">
      <c r="A4168" s="1033"/>
      <c r="B4168" s="709"/>
      <c r="C4168" s="827"/>
      <c r="D4168" s="961"/>
      <c r="E4168" s="758"/>
      <c r="F4168" s="714"/>
      <c r="G4168" s="714"/>
      <c r="H4168" s="700"/>
      <c r="I4168" s="714"/>
      <c r="J4168" s="714"/>
      <c r="K4168" s="700"/>
      <c r="L4168" s="714"/>
      <c r="M4168" s="714"/>
      <c r="N4168" s="700"/>
      <c r="O4168" s="974"/>
      <c r="P4168" s="956"/>
      <c r="Q4168" s="1821"/>
      <c r="R4168" s="1821"/>
      <c r="S4168" s="1821"/>
      <c r="T4168" s="1821"/>
      <c r="U4168" s="1821"/>
      <c r="V4168" s="1821"/>
      <c r="W4168" s="1821"/>
      <c r="X4168" s="1821"/>
      <c r="Y4168" s="1821"/>
      <c r="Z4168" s="1821"/>
      <c r="AA4168" s="1821"/>
      <c r="AB4168" s="1821"/>
      <c r="AC4168" s="1821"/>
      <c r="AD4168" s="1821"/>
      <c r="AE4168" s="1821"/>
      <c r="AF4168" s="1821"/>
      <c r="AG4168" s="1821"/>
      <c r="AH4168" s="1821"/>
      <c r="AI4168" s="1821"/>
      <c r="AJ4168" s="1821"/>
      <c r="AK4168" s="1821"/>
      <c r="AL4168" s="1821"/>
      <c r="AM4168" s="1821"/>
      <c r="AN4168" s="1821"/>
      <c r="AO4168" s="1821"/>
      <c r="AP4168" s="1821"/>
      <c r="AQ4168" s="1821"/>
      <c r="AR4168" s="1821"/>
      <c r="AS4168" s="1821"/>
      <c r="AT4168" s="1821"/>
      <c r="AU4168" s="1821"/>
      <c r="AV4168" s="1821"/>
      <c r="AW4168" s="1821"/>
      <c r="AX4168" s="1821"/>
      <c r="AY4168" s="1821"/>
      <c r="AZ4168" s="1821"/>
      <c r="BA4168" s="1821"/>
      <c r="BB4168" s="1821"/>
      <c r="BC4168" s="1821"/>
      <c r="BD4168" s="1821"/>
      <c r="BE4168" s="1821"/>
      <c r="BF4168" s="1821"/>
      <c r="BG4168" s="1821"/>
      <c r="BH4168" s="1821"/>
      <c r="BI4168" s="1821"/>
      <c r="BJ4168" s="1821"/>
      <c r="BK4168" s="1821"/>
      <c r="BL4168" s="1821"/>
      <c r="BM4168" s="1821"/>
      <c r="BN4168" s="1821"/>
      <c r="BO4168" s="1821"/>
      <c r="BP4168" s="1821"/>
      <c r="BQ4168" s="1821"/>
      <c r="BR4168" s="1821"/>
      <c r="BS4168" s="1821"/>
      <c r="BT4168" s="1821"/>
      <c r="BU4168" s="1821"/>
      <c r="BV4168" s="1821"/>
      <c r="BW4168" s="1821"/>
      <c r="BX4168" s="1821"/>
      <c r="BY4168" s="1821"/>
      <c r="BZ4168" s="1821"/>
      <c r="CA4168" s="1821"/>
      <c r="CB4168" s="1821"/>
      <c r="CC4168" s="1821"/>
      <c r="CD4168" s="1821"/>
      <c r="CE4168" s="1821"/>
      <c r="CF4168" s="1821"/>
      <c r="CG4168" s="1821"/>
      <c r="CH4168" s="1821"/>
      <c r="CI4168" s="1821"/>
      <c r="CJ4168" s="1821"/>
      <c r="CK4168" s="1821"/>
    </row>
    <row r="4169" spans="1:89" s="744" customFormat="1" ht="16.5" customHeight="1" x14ac:dyDescent="0.25">
      <c r="A4169" s="1033"/>
      <c r="B4169" s="709" t="s">
        <v>358</v>
      </c>
      <c r="C4169" s="827"/>
      <c r="D4169" s="961"/>
      <c r="E4169" s="758"/>
      <c r="F4169" s="714"/>
      <c r="G4169" s="714"/>
      <c r="H4169" s="700">
        <f t="shared" ref="H4169:H4174" si="475">G4169+F4169</f>
        <v>0</v>
      </c>
      <c r="I4169" s="714"/>
      <c r="J4169" s="714">
        <f t="shared" ref="J4169:J4174" si="476">C4169*E4169</f>
        <v>0</v>
      </c>
      <c r="K4169" s="700">
        <f t="shared" ref="K4169:K4174" si="477">J4169+I4169</f>
        <v>0</v>
      </c>
      <c r="L4169" s="714"/>
      <c r="M4169" s="714"/>
      <c r="N4169" s="700">
        <f t="shared" ref="N4169:N4174" si="478">M4169+L4169</f>
        <v>0</v>
      </c>
      <c r="O4169" s="974">
        <f t="shared" ref="O4169:O4174" si="479">N4169+K4169+H4169</f>
        <v>0</v>
      </c>
      <c r="P4169" s="956"/>
      <c r="Q4169" s="1821"/>
      <c r="R4169" s="1821"/>
      <c r="S4169" s="1821"/>
      <c r="T4169" s="1821"/>
      <c r="U4169" s="1821"/>
      <c r="V4169" s="1821"/>
      <c r="W4169" s="1821"/>
      <c r="X4169" s="1821"/>
      <c r="Y4169" s="1821"/>
      <c r="Z4169" s="1821"/>
      <c r="AA4169" s="1821"/>
      <c r="AB4169" s="1821"/>
      <c r="AC4169" s="1821"/>
      <c r="AD4169" s="1821"/>
      <c r="AE4169" s="1821"/>
      <c r="AF4169" s="1821"/>
      <c r="AG4169" s="1821"/>
      <c r="AH4169" s="1821"/>
      <c r="AI4169" s="1821"/>
      <c r="AJ4169" s="1821"/>
      <c r="AK4169" s="1821"/>
      <c r="AL4169" s="1821"/>
      <c r="AM4169" s="1821"/>
      <c r="AN4169" s="1821"/>
      <c r="AO4169" s="1821"/>
      <c r="AP4169" s="1821"/>
      <c r="AQ4169" s="1821"/>
      <c r="AR4169" s="1821"/>
      <c r="AS4169" s="1821"/>
      <c r="AT4169" s="1821"/>
      <c r="AU4169" s="1821"/>
      <c r="AV4169" s="1821"/>
      <c r="AW4169" s="1821"/>
      <c r="AX4169" s="1821"/>
      <c r="AY4169" s="1821"/>
      <c r="AZ4169" s="1821"/>
      <c r="BA4169" s="1821"/>
      <c r="BB4169" s="1821"/>
      <c r="BC4169" s="1821"/>
      <c r="BD4169" s="1821"/>
      <c r="BE4169" s="1821"/>
      <c r="BF4169" s="1821"/>
      <c r="BG4169" s="1821"/>
      <c r="BH4169" s="1821"/>
      <c r="BI4169" s="1821"/>
      <c r="BJ4169" s="1821"/>
      <c r="BK4169" s="1821"/>
      <c r="BL4169" s="1821"/>
      <c r="BM4169" s="1821"/>
      <c r="BN4169" s="1821"/>
      <c r="BO4169" s="1821"/>
      <c r="BP4169" s="1821"/>
      <c r="BQ4169" s="1821"/>
      <c r="BR4169" s="1821"/>
      <c r="BS4169" s="1821"/>
      <c r="BT4169" s="1821"/>
      <c r="BU4169" s="1821"/>
      <c r="BV4169" s="1821"/>
      <c r="BW4169" s="1821"/>
      <c r="BX4169" s="1821"/>
      <c r="BY4169" s="1821"/>
      <c r="BZ4169" s="1821"/>
      <c r="CA4169" s="1821"/>
      <c r="CB4169" s="1821"/>
      <c r="CC4169" s="1821"/>
      <c r="CD4169" s="1821"/>
      <c r="CE4169" s="1821"/>
      <c r="CF4169" s="1821"/>
      <c r="CG4169" s="1821"/>
      <c r="CH4169" s="1821"/>
      <c r="CI4169" s="1821"/>
      <c r="CJ4169" s="1821"/>
      <c r="CK4169" s="1821"/>
    </row>
    <row r="4170" spans="1:89" s="744" customFormat="1" ht="16.5" customHeight="1" x14ac:dyDescent="0.25">
      <c r="A4170" s="1033"/>
      <c r="B4170" s="709" t="s">
        <v>350</v>
      </c>
      <c r="C4170" s="827">
        <v>1</v>
      </c>
      <c r="D4170" s="961" t="s">
        <v>25</v>
      </c>
      <c r="E4170" s="758">
        <v>32620</v>
      </c>
      <c r="F4170" s="714"/>
      <c r="G4170" s="714"/>
      <c r="H4170" s="700">
        <f t="shared" si="475"/>
        <v>0</v>
      </c>
      <c r="I4170" s="714"/>
      <c r="J4170" s="714">
        <f t="shared" si="476"/>
        <v>32620</v>
      </c>
      <c r="K4170" s="700">
        <f t="shared" si="477"/>
        <v>32620</v>
      </c>
      <c r="L4170" s="714"/>
      <c r="M4170" s="714"/>
      <c r="N4170" s="700">
        <f t="shared" si="478"/>
        <v>0</v>
      </c>
      <c r="O4170" s="974">
        <f t="shared" si="479"/>
        <v>32620</v>
      </c>
      <c r="P4170" s="956"/>
      <c r="Q4170" s="1821"/>
      <c r="R4170" s="1821"/>
      <c r="S4170" s="1821"/>
      <c r="T4170" s="1821"/>
      <c r="U4170" s="1821"/>
      <c r="V4170" s="1821"/>
      <c r="W4170" s="1821"/>
      <c r="X4170" s="1821"/>
      <c r="Y4170" s="1821"/>
      <c r="Z4170" s="1821"/>
      <c r="AA4170" s="1821"/>
      <c r="AB4170" s="1821"/>
      <c r="AC4170" s="1821"/>
      <c r="AD4170" s="1821"/>
      <c r="AE4170" s="1821"/>
      <c r="AF4170" s="1821"/>
      <c r="AG4170" s="1821"/>
      <c r="AH4170" s="1821"/>
      <c r="AI4170" s="1821"/>
      <c r="AJ4170" s="1821"/>
      <c r="AK4170" s="1821"/>
      <c r="AL4170" s="1821"/>
      <c r="AM4170" s="1821"/>
      <c r="AN4170" s="1821"/>
      <c r="AO4170" s="1821"/>
      <c r="AP4170" s="1821"/>
      <c r="AQ4170" s="1821"/>
      <c r="AR4170" s="1821"/>
      <c r="AS4170" s="1821"/>
      <c r="AT4170" s="1821"/>
      <c r="AU4170" s="1821"/>
      <c r="AV4170" s="1821"/>
      <c r="AW4170" s="1821"/>
      <c r="AX4170" s="1821"/>
      <c r="AY4170" s="1821"/>
      <c r="AZ4170" s="1821"/>
      <c r="BA4170" s="1821"/>
      <c r="BB4170" s="1821"/>
      <c r="BC4170" s="1821"/>
      <c r="BD4170" s="1821"/>
      <c r="BE4170" s="1821"/>
      <c r="BF4170" s="1821"/>
      <c r="BG4170" s="1821"/>
      <c r="BH4170" s="1821"/>
      <c r="BI4170" s="1821"/>
      <c r="BJ4170" s="1821"/>
      <c r="BK4170" s="1821"/>
      <c r="BL4170" s="1821"/>
      <c r="BM4170" s="1821"/>
      <c r="BN4170" s="1821"/>
      <c r="BO4170" s="1821"/>
      <c r="BP4170" s="1821"/>
      <c r="BQ4170" s="1821"/>
      <c r="BR4170" s="1821"/>
      <c r="BS4170" s="1821"/>
      <c r="BT4170" s="1821"/>
      <c r="BU4170" s="1821"/>
      <c r="BV4170" s="1821"/>
      <c r="BW4170" s="1821"/>
      <c r="BX4170" s="1821"/>
      <c r="BY4170" s="1821"/>
      <c r="BZ4170" s="1821"/>
      <c r="CA4170" s="1821"/>
      <c r="CB4170" s="1821"/>
      <c r="CC4170" s="1821"/>
      <c r="CD4170" s="1821"/>
      <c r="CE4170" s="1821"/>
      <c r="CF4170" s="1821"/>
      <c r="CG4170" s="1821"/>
      <c r="CH4170" s="1821"/>
      <c r="CI4170" s="1821"/>
      <c r="CJ4170" s="1821"/>
      <c r="CK4170" s="1821"/>
    </row>
    <row r="4171" spans="1:89" s="744" customFormat="1" ht="16.5" customHeight="1" x14ac:dyDescent="0.25">
      <c r="A4171" s="1033"/>
      <c r="B4171" s="709" t="s">
        <v>54</v>
      </c>
      <c r="C4171" s="827">
        <v>1</v>
      </c>
      <c r="D4171" s="961" t="s">
        <v>25</v>
      </c>
      <c r="E4171" s="758">
        <v>14400</v>
      </c>
      <c r="F4171" s="714"/>
      <c r="G4171" s="714"/>
      <c r="H4171" s="700">
        <f t="shared" si="475"/>
        <v>0</v>
      </c>
      <c r="I4171" s="714"/>
      <c r="J4171" s="714">
        <f t="shared" si="476"/>
        <v>14400</v>
      </c>
      <c r="K4171" s="700">
        <f t="shared" si="477"/>
        <v>14400</v>
      </c>
      <c r="L4171" s="714"/>
      <c r="M4171" s="714"/>
      <c r="N4171" s="700">
        <f t="shared" si="478"/>
        <v>0</v>
      </c>
      <c r="O4171" s="974">
        <f t="shared" si="479"/>
        <v>14400</v>
      </c>
      <c r="P4171" s="956"/>
      <c r="Q4171" s="1821"/>
      <c r="R4171" s="1821"/>
      <c r="S4171" s="1821"/>
      <c r="T4171" s="1821"/>
      <c r="U4171" s="1821"/>
      <c r="V4171" s="1821"/>
      <c r="W4171" s="1821"/>
      <c r="X4171" s="1821"/>
      <c r="Y4171" s="1821"/>
      <c r="Z4171" s="1821"/>
      <c r="AA4171" s="1821"/>
      <c r="AB4171" s="1821"/>
      <c r="AC4171" s="1821"/>
      <c r="AD4171" s="1821"/>
      <c r="AE4171" s="1821"/>
      <c r="AF4171" s="1821"/>
      <c r="AG4171" s="1821"/>
      <c r="AH4171" s="1821"/>
      <c r="AI4171" s="1821"/>
      <c r="AJ4171" s="1821"/>
      <c r="AK4171" s="1821"/>
      <c r="AL4171" s="1821"/>
      <c r="AM4171" s="1821"/>
      <c r="AN4171" s="1821"/>
      <c r="AO4171" s="1821"/>
      <c r="AP4171" s="1821"/>
      <c r="AQ4171" s="1821"/>
      <c r="AR4171" s="1821"/>
      <c r="AS4171" s="1821"/>
      <c r="AT4171" s="1821"/>
      <c r="AU4171" s="1821"/>
      <c r="AV4171" s="1821"/>
      <c r="AW4171" s="1821"/>
      <c r="AX4171" s="1821"/>
      <c r="AY4171" s="1821"/>
      <c r="AZ4171" s="1821"/>
      <c r="BA4171" s="1821"/>
      <c r="BB4171" s="1821"/>
      <c r="BC4171" s="1821"/>
      <c r="BD4171" s="1821"/>
      <c r="BE4171" s="1821"/>
      <c r="BF4171" s="1821"/>
      <c r="BG4171" s="1821"/>
      <c r="BH4171" s="1821"/>
      <c r="BI4171" s="1821"/>
      <c r="BJ4171" s="1821"/>
      <c r="BK4171" s="1821"/>
      <c r="BL4171" s="1821"/>
      <c r="BM4171" s="1821"/>
      <c r="BN4171" s="1821"/>
      <c r="BO4171" s="1821"/>
      <c r="BP4171" s="1821"/>
      <c r="BQ4171" s="1821"/>
      <c r="BR4171" s="1821"/>
      <c r="BS4171" s="1821"/>
      <c r="BT4171" s="1821"/>
      <c r="BU4171" s="1821"/>
      <c r="BV4171" s="1821"/>
      <c r="BW4171" s="1821"/>
      <c r="BX4171" s="1821"/>
      <c r="BY4171" s="1821"/>
      <c r="BZ4171" s="1821"/>
      <c r="CA4171" s="1821"/>
      <c r="CB4171" s="1821"/>
      <c r="CC4171" s="1821"/>
      <c r="CD4171" s="1821"/>
      <c r="CE4171" s="1821"/>
      <c r="CF4171" s="1821"/>
      <c r="CG4171" s="1821"/>
      <c r="CH4171" s="1821"/>
      <c r="CI4171" s="1821"/>
      <c r="CJ4171" s="1821"/>
      <c r="CK4171" s="1821"/>
    </row>
    <row r="4172" spans="1:89" s="744" customFormat="1" ht="16.5" customHeight="1" x14ac:dyDescent="0.25">
      <c r="A4172" s="1033"/>
      <c r="B4172" s="709" t="s">
        <v>52</v>
      </c>
      <c r="C4172" s="827">
        <v>1</v>
      </c>
      <c r="D4172" s="961" t="s">
        <v>25</v>
      </c>
      <c r="E4172" s="758">
        <v>18080</v>
      </c>
      <c r="F4172" s="714"/>
      <c r="G4172" s="714"/>
      <c r="H4172" s="700">
        <f t="shared" si="475"/>
        <v>0</v>
      </c>
      <c r="I4172" s="714"/>
      <c r="J4172" s="714">
        <f t="shared" si="476"/>
        <v>18080</v>
      </c>
      <c r="K4172" s="700">
        <f t="shared" si="477"/>
        <v>18080</v>
      </c>
      <c r="L4172" s="714"/>
      <c r="M4172" s="714"/>
      <c r="N4172" s="700">
        <f t="shared" si="478"/>
        <v>0</v>
      </c>
      <c r="O4172" s="974">
        <f t="shared" si="479"/>
        <v>18080</v>
      </c>
      <c r="P4172" s="956"/>
      <c r="Q4172" s="1821"/>
      <c r="R4172" s="1821"/>
      <c r="S4172" s="1821"/>
      <c r="T4172" s="1821"/>
      <c r="U4172" s="1821"/>
      <c r="V4172" s="1821"/>
      <c r="W4172" s="1821"/>
      <c r="X4172" s="1821"/>
      <c r="Y4172" s="1821"/>
      <c r="Z4172" s="1821"/>
      <c r="AA4172" s="1821"/>
      <c r="AB4172" s="1821"/>
      <c r="AC4172" s="1821"/>
      <c r="AD4172" s="1821"/>
      <c r="AE4172" s="1821"/>
      <c r="AF4172" s="1821"/>
      <c r="AG4172" s="1821"/>
      <c r="AH4172" s="1821"/>
      <c r="AI4172" s="1821"/>
      <c r="AJ4172" s="1821"/>
      <c r="AK4172" s="1821"/>
      <c r="AL4172" s="1821"/>
      <c r="AM4172" s="1821"/>
      <c r="AN4172" s="1821"/>
      <c r="AO4172" s="1821"/>
      <c r="AP4172" s="1821"/>
      <c r="AQ4172" s="1821"/>
      <c r="AR4172" s="1821"/>
      <c r="AS4172" s="1821"/>
      <c r="AT4172" s="1821"/>
      <c r="AU4172" s="1821"/>
      <c r="AV4172" s="1821"/>
      <c r="AW4172" s="1821"/>
      <c r="AX4172" s="1821"/>
      <c r="AY4172" s="1821"/>
      <c r="AZ4172" s="1821"/>
      <c r="BA4172" s="1821"/>
      <c r="BB4172" s="1821"/>
      <c r="BC4172" s="1821"/>
      <c r="BD4172" s="1821"/>
      <c r="BE4172" s="1821"/>
      <c r="BF4172" s="1821"/>
      <c r="BG4172" s="1821"/>
      <c r="BH4172" s="1821"/>
      <c r="BI4172" s="1821"/>
      <c r="BJ4172" s="1821"/>
      <c r="BK4172" s="1821"/>
      <c r="BL4172" s="1821"/>
      <c r="BM4172" s="1821"/>
      <c r="BN4172" s="1821"/>
      <c r="BO4172" s="1821"/>
      <c r="BP4172" s="1821"/>
      <c r="BQ4172" s="1821"/>
      <c r="BR4172" s="1821"/>
      <c r="BS4172" s="1821"/>
      <c r="BT4172" s="1821"/>
      <c r="BU4172" s="1821"/>
      <c r="BV4172" s="1821"/>
      <c r="BW4172" s="1821"/>
      <c r="BX4172" s="1821"/>
      <c r="BY4172" s="1821"/>
      <c r="BZ4172" s="1821"/>
      <c r="CA4172" s="1821"/>
      <c r="CB4172" s="1821"/>
      <c r="CC4172" s="1821"/>
      <c r="CD4172" s="1821"/>
      <c r="CE4172" s="1821"/>
      <c r="CF4172" s="1821"/>
      <c r="CG4172" s="1821"/>
      <c r="CH4172" s="1821"/>
      <c r="CI4172" s="1821"/>
      <c r="CJ4172" s="1821"/>
      <c r="CK4172" s="1821"/>
    </row>
    <row r="4173" spans="1:89" s="744" customFormat="1" ht="16.5" customHeight="1" x14ac:dyDescent="0.25">
      <c r="A4173" s="1033"/>
      <c r="B4173" s="709" t="s">
        <v>1860</v>
      </c>
      <c r="C4173" s="827">
        <v>1</v>
      </c>
      <c r="D4173" s="961" t="s">
        <v>25</v>
      </c>
      <c r="E4173" s="758">
        <v>49000</v>
      </c>
      <c r="F4173" s="714"/>
      <c r="G4173" s="714"/>
      <c r="H4173" s="700">
        <f t="shared" si="475"/>
        <v>0</v>
      </c>
      <c r="I4173" s="714"/>
      <c r="J4173" s="714">
        <f t="shared" si="476"/>
        <v>49000</v>
      </c>
      <c r="K4173" s="700">
        <f t="shared" si="477"/>
        <v>49000</v>
      </c>
      <c r="L4173" s="714"/>
      <c r="M4173" s="714"/>
      <c r="N4173" s="700">
        <f t="shared" si="478"/>
        <v>0</v>
      </c>
      <c r="O4173" s="974">
        <f t="shared" si="479"/>
        <v>49000</v>
      </c>
      <c r="P4173" s="956"/>
      <c r="Q4173" s="1821"/>
      <c r="R4173" s="1821"/>
      <c r="S4173" s="1821"/>
      <c r="T4173" s="1821"/>
      <c r="U4173" s="1821"/>
      <c r="V4173" s="1821"/>
      <c r="W4173" s="1821"/>
      <c r="X4173" s="1821"/>
      <c r="Y4173" s="1821"/>
      <c r="Z4173" s="1821"/>
      <c r="AA4173" s="1821"/>
      <c r="AB4173" s="1821"/>
      <c r="AC4173" s="1821"/>
      <c r="AD4173" s="1821"/>
      <c r="AE4173" s="1821"/>
      <c r="AF4173" s="1821"/>
      <c r="AG4173" s="1821"/>
      <c r="AH4173" s="1821"/>
      <c r="AI4173" s="1821"/>
      <c r="AJ4173" s="1821"/>
      <c r="AK4173" s="1821"/>
      <c r="AL4173" s="1821"/>
      <c r="AM4173" s="1821"/>
      <c r="AN4173" s="1821"/>
      <c r="AO4173" s="1821"/>
      <c r="AP4173" s="1821"/>
      <c r="AQ4173" s="1821"/>
      <c r="AR4173" s="1821"/>
      <c r="AS4173" s="1821"/>
      <c r="AT4173" s="1821"/>
      <c r="AU4173" s="1821"/>
      <c r="AV4173" s="1821"/>
      <c r="AW4173" s="1821"/>
      <c r="AX4173" s="1821"/>
      <c r="AY4173" s="1821"/>
      <c r="AZ4173" s="1821"/>
      <c r="BA4173" s="1821"/>
      <c r="BB4173" s="1821"/>
      <c r="BC4173" s="1821"/>
      <c r="BD4173" s="1821"/>
      <c r="BE4173" s="1821"/>
      <c r="BF4173" s="1821"/>
      <c r="BG4173" s="1821"/>
      <c r="BH4173" s="1821"/>
      <c r="BI4173" s="1821"/>
      <c r="BJ4173" s="1821"/>
      <c r="BK4173" s="1821"/>
      <c r="BL4173" s="1821"/>
      <c r="BM4173" s="1821"/>
      <c r="BN4173" s="1821"/>
      <c r="BO4173" s="1821"/>
      <c r="BP4173" s="1821"/>
      <c r="BQ4173" s="1821"/>
      <c r="BR4173" s="1821"/>
      <c r="BS4173" s="1821"/>
      <c r="BT4173" s="1821"/>
      <c r="BU4173" s="1821"/>
      <c r="BV4173" s="1821"/>
      <c r="BW4173" s="1821"/>
      <c r="BX4173" s="1821"/>
      <c r="BY4173" s="1821"/>
      <c r="BZ4173" s="1821"/>
      <c r="CA4173" s="1821"/>
      <c r="CB4173" s="1821"/>
      <c r="CC4173" s="1821"/>
      <c r="CD4173" s="1821"/>
      <c r="CE4173" s="1821"/>
      <c r="CF4173" s="1821"/>
      <c r="CG4173" s="1821"/>
      <c r="CH4173" s="1821"/>
      <c r="CI4173" s="1821"/>
      <c r="CJ4173" s="1821"/>
      <c r="CK4173" s="1821"/>
    </row>
    <row r="4174" spans="1:89" s="744" customFormat="1" ht="16.5" customHeight="1" x14ac:dyDescent="0.25">
      <c r="A4174" s="1033"/>
      <c r="B4174" s="709" t="s">
        <v>54</v>
      </c>
      <c r="C4174" s="827">
        <v>1</v>
      </c>
      <c r="D4174" s="961" t="s">
        <v>25</v>
      </c>
      <c r="E4174" s="758">
        <v>10000</v>
      </c>
      <c r="F4174" s="714"/>
      <c r="G4174" s="714"/>
      <c r="H4174" s="700">
        <f t="shared" si="475"/>
        <v>0</v>
      </c>
      <c r="I4174" s="714"/>
      <c r="J4174" s="714">
        <f t="shared" si="476"/>
        <v>10000</v>
      </c>
      <c r="K4174" s="700">
        <f t="shared" si="477"/>
        <v>10000</v>
      </c>
      <c r="L4174" s="714"/>
      <c r="M4174" s="714"/>
      <c r="N4174" s="700">
        <f t="shared" si="478"/>
        <v>0</v>
      </c>
      <c r="O4174" s="974">
        <f t="shared" si="479"/>
        <v>10000</v>
      </c>
      <c r="P4174" s="956"/>
      <c r="Q4174" s="1821"/>
      <c r="R4174" s="1821"/>
      <c r="S4174" s="1821"/>
      <c r="T4174" s="1821"/>
      <c r="U4174" s="1821"/>
      <c r="V4174" s="1821"/>
      <c r="W4174" s="1821"/>
      <c r="X4174" s="1821"/>
      <c r="Y4174" s="1821"/>
      <c r="Z4174" s="1821"/>
      <c r="AA4174" s="1821"/>
      <c r="AB4174" s="1821"/>
      <c r="AC4174" s="1821"/>
      <c r="AD4174" s="1821"/>
      <c r="AE4174" s="1821"/>
      <c r="AF4174" s="1821"/>
      <c r="AG4174" s="1821"/>
      <c r="AH4174" s="1821"/>
      <c r="AI4174" s="1821"/>
      <c r="AJ4174" s="1821"/>
      <c r="AK4174" s="1821"/>
      <c r="AL4174" s="1821"/>
      <c r="AM4174" s="1821"/>
      <c r="AN4174" s="1821"/>
      <c r="AO4174" s="1821"/>
      <c r="AP4174" s="1821"/>
      <c r="AQ4174" s="1821"/>
      <c r="AR4174" s="1821"/>
      <c r="AS4174" s="1821"/>
      <c r="AT4174" s="1821"/>
      <c r="AU4174" s="1821"/>
      <c r="AV4174" s="1821"/>
      <c r="AW4174" s="1821"/>
      <c r="AX4174" s="1821"/>
      <c r="AY4174" s="1821"/>
      <c r="AZ4174" s="1821"/>
      <c r="BA4174" s="1821"/>
      <c r="BB4174" s="1821"/>
      <c r="BC4174" s="1821"/>
      <c r="BD4174" s="1821"/>
      <c r="BE4174" s="1821"/>
      <c r="BF4174" s="1821"/>
      <c r="BG4174" s="1821"/>
      <c r="BH4174" s="1821"/>
      <c r="BI4174" s="1821"/>
      <c r="BJ4174" s="1821"/>
      <c r="BK4174" s="1821"/>
      <c r="BL4174" s="1821"/>
      <c r="BM4174" s="1821"/>
      <c r="BN4174" s="1821"/>
      <c r="BO4174" s="1821"/>
      <c r="BP4174" s="1821"/>
      <c r="BQ4174" s="1821"/>
      <c r="BR4174" s="1821"/>
      <c r="BS4174" s="1821"/>
      <c r="BT4174" s="1821"/>
      <c r="BU4174" s="1821"/>
      <c r="BV4174" s="1821"/>
      <c r="BW4174" s="1821"/>
      <c r="BX4174" s="1821"/>
      <c r="BY4174" s="1821"/>
      <c r="BZ4174" s="1821"/>
      <c r="CA4174" s="1821"/>
      <c r="CB4174" s="1821"/>
      <c r="CC4174" s="1821"/>
      <c r="CD4174" s="1821"/>
      <c r="CE4174" s="1821"/>
      <c r="CF4174" s="1821"/>
      <c r="CG4174" s="1821"/>
      <c r="CH4174" s="1821"/>
      <c r="CI4174" s="1821"/>
      <c r="CJ4174" s="1821"/>
      <c r="CK4174" s="1821"/>
    </row>
    <row r="4175" spans="1:89" s="744" customFormat="1" ht="16.5" customHeight="1" x14ac:dyDescent="0.25">
      <c r="A4175" s="1033"/>
      <c r="B4175" s="709"/>
      <c r="C4175" s="827"/>
      <c r="D4175" s="961"/>
      <c r="E4175" s="758"/>
      <c r="F4175" s="714"/>
      <c r="G4175" s="714"/>
      <c r="H4175" s="700"/>
      <c r="I4175" s="714"/>
      <c r="J4175" s="714"/>
      <c r="K4175" s="700"/>
      <c r="L4175" s="714"/>
      <c r="M4175" s="714"/>
      <c r="N4175" s="700"/>
      <c r="O4175" s="974"/>
      <c r="P4175" s="956"/>
      <c r="Q4175" s="1821"/>
      <c r="R4175" s="1821"/>
      <c r="S4175" s="1821"/>
      <c r="T4175" s="1821"/>
      <c r="U4175" s="1821"/>
      <c r="V4175" s="1821"/>
      <c r="W4175" s="1821"/>
      <c r="X4175" s="1821"/>
      <c r="Y4175" s="1821"/>
      <c r="Z4175" s="1821"/>
      <c r="AA4175" s="1821"/>
      <c r="AB4175" s="1821"/>
      <c r="AC4175" s="1821"/>
      <c r="AD4175" s="1821"/>
      <c r="AE4175" s="1821"/>
      <c r="AF4175" s="1821"/>
      <c r="AG4175" s="1821"/>
      <c r="AH4175" s="1821"/>
      <c r="AI4175" s="1821"/>
      <c r="AJ4175" s="1821"/>
      <c r="AK4175" s="1821"/>
      <c r="AL4175" s="1821"/>
      <c r="AM4175" s="1821"/>
      <c r="AN4175" s="1821"/>
      <c r="AO4175" s="1821"/>
      <c r="AP4175" s="1821"/>
      <c r="AQ4175" s="1821"/>
      <c r="AR4175" s="1821"/>
      <c r="AS4175" s="1821"/>
      <c r="AT4175" s="1821"/>
      <c r="AU4175" s="1821"/>
      <c r="AV4175" s="1821"/>
      <c r="AW4175" s="1821"/>
      <c r="AX4175" s="1821"/>
      <c r="AY4175" s="1821"/>
      <c r="AZ4175" s="1821"/>
      <c r="BA4175" s="1821"/>
      <c r="BB4175" s="1821"/>
      <c r="BC4175" s="1821"/>
      <c r="BD4175" s="1821"/>
      <c r="BE4175" s="1821"/>
      <c r="BF4175" s="1821"/>
      <c r="BG4175" s="1821"/>
      <c r="BH4175" s="1821"/>
      <c r="BI4175" s="1821"/>
      <c r="BJ4175" s="1821"/>
      <c r="BK4175" s="1821"/>
      <c r="BL4175" s="1821"/>
      <c r="BM4175" s="1821"/>
      <c r="BN4175" s="1821"/>
      <c r="BO4175" s="1821"/>
      <c r="BP4175" s="1821"/>
      <c r="BQ4175" s="1821"/>
      <c r="BR4175" s="1821"/>
      <c r="BS4175" s="1821"/>
      <c r="BT4175" s="1821"/>
      <c r="BU4175" s="1821"/>
      <c r="BV4175" s="1821"/>
      <c r="BW4175" s="1821"/>
      <c r="BX4175" s="1821"/>
      <c r="BY4175" s="1821"/>
      <c r="BZ4175" s="1821"/>
      <c r="CA4175" s="1821"/>
      <c r="CB4175" s="1821"/>
      <c r="CC4175" s="1821"/>
      <c r="CD4175" s="1821"/>
      <c r="CE4175" s="1821"/>
      <c r="CF4175" s="1821"/>
      <c r="CG4175" s="1821"/>
      <c r="CH4175" s="1821"/>
      <c r="CI4175" s="1821"/>
      <c r="CJ4175" s="1821"/>
      <c r="CK4175" s="1821"/>
    </row>
    <row r="4176" spans="1:89" s="744" customFormat="1" ht="16.5" customHeight="1" x14ac:dyDescent="0.25">
      <c r="A4176" s="1033"/>
      <c r="B4176" s="709"/>
      <c r="C4176" s="827"/>
      <c r="D4176" s="961"/>
      <c r="E4176" s="758"/>
      <c r="F4176" s="714"/>
      <c r="G4176" s="714"/>
      <c r="H4176" s="700"/>
      <c r="I4176" s="714"/>
      <c r="J4176" s="714"/>
      <c r="K4176" s="700"/>
      <c r="L4176" s="714"/>
      <c r="M4176" s="714"/>
      <c r="N4176" s="700"/>
      <c r="O4176" s="974"/>
      <c r="P4176" s="956"/>
      <c r="Q4176" s="1821"/>
      <c r="R4176" s="1821"/>
      <c r="S4176" s="1821"/>
      <c r="T4176" s="1821"/>
      <c r="U4176" s="1821"/>
      <c r="V4176" s="1821"/>
      <c r="W4176" s="1821"/>
      <c r="X4176" s="1821"/>
      <c r="Y4176" s="1821"/>
      <c r="Z4176" s="1821"/>
      <c r="AA4176" s="1821"/>
      <c r="AB4176" s="1821"/>
      <c r="AC4176" s="1821"/>
      <c r="AD4176" s="1821"/>
      <c r="AE4176" s="1821"/>
      <c r="AF4176" s="1821"/>
      <c r="AG4176" s="1821"/>
      <c r="AH4176" s="1821"/>
      <c r="AI4176" s="1821"/>
      <c r="AJ4176" s="1821"/>
      <c r="AK4176" s="1821"/>
      <c r="AL4176" s="1821"/>
      <c r="AM4176" s="1821"/>
      <c r="AN4176" s="1821"/>
      <c r="AO4176" s="1821"/>
      <c r="AP4176" s="1821"/>
      <c r="AQ4176" s="1821"/>
      <c r="AR4176" s="1821"/>
      <c r="AS4176" s="1821"/>
      <c r="AT4176" s="1821"/>
      <c r="AU4176" s="1821"/>
      <c r="AV4176" s="1821"/>
      <c r="AW4176" s="1821"/>
      <c r="AX4176" s="1821"/>
      <c r="AY4176" s="1821"/>
      <c r="AZ4176" s="1821"/>
      <c r="BA4176" s="1821"/>
      <c r="BB4176" s="1821"/>
      <c r="BC4176" s="1821"/>
      <c r="BD4176" s="1821"/>
      <c r="BE4176" s="1821"/>
      <c r="BF4176" s="1821"/>
      <c r="BG4176" s="1821"/>
      <c r="BH4176" s="1821"/>
      <c r="BI4176" s="1821"/>
      <c r="BJ4176" s="1821"/>
      <c r="BK4176" s="1821"/>
      <c r="BL4176" s="1821"/>
      <c r="BM4176" s="1821"/>
      <c r="BN4176" s="1821"/>
      <c r="BO4176" s="1821"/>
      <c r="BP4176" s="1821"/>
      <c r="BQ4176" s="1821"/>
      <c r="BR4176" s="1821"/>
      <c r="BS4176" s="1821"/>
      <c r="BT4176" s="1821"/>
      <c r="BU4176" s="1821"/>
      <c r="BV4176" s="1821"/>
      <c r="BW4176" s="1821"/>
      <c r="BX4176" s="1821"/>
      <c r="BY4176" s="1821"/>
      <c r="BZ4176" s="1821"/>
      <c r="CA4176" s="1821"/>
      <c r="CB4176" s="1821"/>
      <c r="CC4176" s="1821"/>
      <c r="CD4176" s="1821"/>
      <c r="CE4176" s="1821"/>
      <c r="CF4176" s="1821"/>
      <c r="CG4176" s="1821"/>
      <c r="CH4176" s="1821"/>
      <c r="CI4176" s="1821"/>
      <c r="CJ4176" s="1821"/>
      <c r="CK4176" s="1821"/>
    </row>
    <row r="4177" spans="1:89" s="744" customFormat="1" ht="16.5" customHeight="1" x14ac:dyDescent="0.25">
      <c r="A4177" s="1033"/>
      <c r="B4177" s="709"/>
      <c r="C4177" s="827"/>
      <c r="D4177" s="961"/>
      <c r="E4177" s="758"/>
      <c r="F4177" s="714"/>
      <c r="G4177" s="714"/>
      <c r="H4177" s="700"/>
      <c r="I4177" s="714"/>
      <c r="J4177" s="714"/>
      <c r="K4177" s="700"/>
      <c r="L4177" s="714"/>
      <c r="M4177" s="714"/>
      <c r="N4177" s="700"/>
      <c r="O4177" s="974"/>
      <c r="P4177" s="956"/>
      <c r="Q4177" s="1821"/>
      <c r="R4177" s="1821"/>
      <c r="S4177" s="1821"/>
      <c r="T4177" s="1821"/>
      <c r="U4177" s="1821"/>
      <c r="V4177" s="1821"/>
      <c r="W4177" s="1821"/>
      <c r="X4177" s="1821"/>
      <c r="Y4177" s="1821"/>
      <c r="Z4177" s="1821"/>
      <c r="AA4177" s="1821"/>
      <c r="AB4177" s="1821"/>
      <c r="AC4177" s="1821"/>
      <c r="AD4177" s="1821"/>
      <c r="AE4177" s="1821"/>
      <c r="AF4177" s="1821"/>
      <c r="AG4177" s="1821"/>
      <c r="AH4177" s="1821"/>
      <c r="AI4177" s="1821"/>
      <c r="AJ4177" s="1821"/>
      <c r="AK4177" s="1821"/>
      <c r="AL4177" s="1821"/>
      <c r="AM4177" s="1821"/>
      <c r="AN4177" s="1821"/>
      <c r="AO4177" s="1821"/>
      <c r="AP4177" s="1821"/>
      <c r="AQ4177" s="1821"/>
      <c r="AR4177" s="1821"/>
      <c r="AS4177" s="1821"/>
      <c r="AT4177" s="1821"/>
      <c r="AU4177" s="1821"/>
      <c r="AV4177" s="1821"/>
      <c r="AW4177" s="1821"/>
      <c r="AX4177" s="1821"/>
      <c r="AY4177" s="1821"/>
      <c r="AZ4177" s="1821"/>
      <c r="BA4177" s="1821"/>
      <c r="BB4177" s="1821"/>
      <c r="BC4177" s="1821"/>
      <c r="BD4177" s="1821"/>
      <c r="BE4177" s="1821"/>
      <c r="BF4177" s="1821"/>
      <c r="BG4177" s="1821"/>
      <c r="BH4177" s="1821"/>
      <c r="BI4177" s="1821"/>
      <c r="BJ4177" s="1821"/>
      <c r="BK4177" s="1821"/>
      <c r="BL4177" s="1821"/>
      <c r="BM4177" s="1821"/>
      <c r="BN4177" s="1821"/>
      <c r="BO4177" s="1821"/>
      <c r="BP4177" s="1821"/>
      <c r="BQ4177" s="1821"/>
      <c r="BR4177" s="1821"/>
      <c r="BS4177" s="1821"/>
      <c r="BT4177" s="1821"/>
      <c r="BU4177" s="1821"/>
      <c r="BV4177" s="1821"/>
      <c r="BW4177" s="1821"/>
      <c r="BX4177" s="1821"/>
      <c r="BY4177" s="1821"/>
      <c r="BZ4177" s="1821"/>
      <c r="CA4177" s="1821"/>
      <c r="CB4177" s="1821"/>
      <c r="CC4177" s="1821"/>
      <c r="CD4177" s="1821"/>
      <c r="CE4177" s="1821"/>
      <c r="CF4177" s="1821"/>
      <c r="CG4177" s="1821"/>
      <c r="CH4177" s="1821"/>
      <c r="CI4177" s="1821"/>
      <c r="CJ4177" s="1821"/>
      <c r="CK4177" s="1821"/>
    </row>
    <row r="4178" spans="1:89" s="744" customFormat="1" ht="16.5" hidden="1" customHeight="1" x14ac:dyDescent="0.25">
      <c r="A4178" s="1033">
        <v>1953.0360000000001</v>
      </c>
      <c r="B4178" s="709" t="s">
        <v>423</v>
      </c>
      <c r="C4178" s="827"/>
      <c r="D4178" s="961"/>
      <c r="E4178" s="758" t="s">
        <v>49</v>
      </c>
      <c r="F4178" s="714"/>
      <c r="G4178" s="714"/>
      <c r="H4178" s="700"/>
      <c r="I4178" s="714"/>
      <c r="J4178" s="714"/>
      <c r="K4178" s="700"/>
      <c r="L4178" s="714"/>
      <c r="M4178" s="714"/>
      <c r="N4178" s="700"/>
      <c r="O4178" s="974"/>
      <c r="P4178" s="956"/>
      <c r="Q4178" s="1821"/>
      <c r="R4178" s="1821"/>
      <c r="S4178" s="1821"/>
      <c r="T4178" s="1821"/>
      <c r="U4178" s="1821"/>
      <c r="V4178" s="1821"/>
      <c r="W4178" s="1821"/>
      <c r="X4178" s="1821"/>
      <c r="Y4178" s="1821"/>
      <c r="Z4178" s="1821"/>
      <c r="AA4178" s="1821"/>
      <c r="AB4178" s="1821"/>
      <c r="AC4178" s="1821"/>
      <c r="AD4178" s="1821"/>
      <c r="AE4178" s="1821"/>
      <c r="AF4178" s="1821"/>
      <c r="AG4178" s="1821"/>
      <c r="AH4178" s="1821"/>
      <c r="AI4178" s="1821"/>
      <c r="AJ4178" s="1821"/>
      <c r="AK4178" s="1821"/>
      <c r="AL4178" s="1821"/>
      <c r="AM4178" s="1821"/>
      <c r="AN4178" s="1821"/>
      <c r="AO4178" s="1821"/>
      <c r="AP4178" s="1821"/>
      <c r="AQ4178" s="1821"/>
      <c r="AR4178" s="1821"/>
      <c r="AS4178" s="1821"/>
      <c r="AT4178" s="1821"/>
      <c r="AU4178" s="1821"/>
      <c r="AV4178" s="1821"/>
      <c r="AW4178" s="1821"/>
      <c r="AX4178" s="1821"/>
      <c r="AY4178" s="1821"/>
      <c r="AZ4178" s="1821"/>
      <c r="BA4178" s="1821"/>
      <c r="BB4178" s="1821"/>
      <c r="BC4178" s="1821"/>
      <c r="BD4178" s="1821"/>
      <c r="BE4178" s="1821"/>
      <c r="BF4178" s="1821"/>
      <c r="BG4178" s="1821"/>
      <c r="BH4178" s="1821"/>
      <c r="BI4178" s="1821"/>
      <c r="BJ4178" s="1821"/>
      <c r="BK4178" s="1821"/>
      <c r="BL4178" s="1821"/>
      <c r="BM4178" s="1821"/>
      <c r="BN4178" s="1821"/>
      <c r="BO4178" s="1821"/>
      <c r="BP4178" s="1821"/>
      <c r="BQ4178" s="1821"/>
      <c r="BR4178" s="1821"/>
      <c r="BS4178" s="1821"/>
      <c r="BT4178" s="1821"/>
      <c r="BU4178" s="1821"/>
      <c r="BV4178" s="1821"/>
      <c r="BW4178" s="1821"/>
      <c r="BX4178" s="1821"/>
      <c r="BY4178" s="1821"/>
      <c r="BZ4178" s="1821"/>
      <c r="CA4178" s="1821"/>
      <c r="CB4178" s="1821"/>
      <c r="CC4178" s="1821"/>
      <c r="CD4178" s="1821"/>
      <c r="CE4178" s="1821"/>
      <c r="CF4178" s="1821"/>
      <c r="CG4178" s="1821"/>
      <c r="CH4178" s="1821"/>
      <c r="CI4178" s="1821"/>
      <c r="CJ4178" s="1821"/>
      <c r="CK4178" s="1821"/>
    </row>
    <row r="4179" spans="1:89" s="744" customFormat="1" ht="16.5" hidden="1" customHeight="1" x14ac:dyDescent="0.25">
      <c r="A4179" s="1033" t="s">
        <v>424</v>
      </c>
      <c r="B4179" s="709" t="s">
        <v>1087</v>
      </c>
      <c r="C4179" s="827"/>
      <c r="D4179" s="961"/>
      <c r="E4179" s="758" t="s">
        <v>49</v>
      </c>
      <c r="F4179" s="714"/>
      <c r="G4179" s="714"/>
      <c r="H4179" s="700"/>
      <c r="I4179" s="714"/>
      <c r="J4179" s="714"/>
      <c r="K4179" s="700"/>
      <c r="L4179" s="714"/>
      <c r="M4179" s="714"/>
      <c r="N4179" s="700"/>
      <c r="O4179" s="974"/>
      <c r="P4179" s="956"/>
      <c r="Q4179" s="1821"/>
      <c r="R4179" s="1821"/>
      <c r="S4179" s="1821"/>
      <c r="T4179" s="1821"/>
      <c r="U4179" s="1821"/>
      <c r="V4179" s="1821"/>
      <c r="W4179" s="1821"/>
      <c r="X4179" s="1821"/>
      <c r="Y4179" s="1821"/>
      <c r="Z4179" s="1821"/>
      <c r="AA4179" s="1821"/>
      <c r="AB4179" s="1821"/>
      <c r="AC4179" s="1821"/>
      <c r="AD4179" s="1821"/>
      <c r="AE4179" s="1821"/>
      <c r="AF4179" s="1821"/>
      <c r="AG4179" s="1821"/>
      <c r="AH4179" s="1821"/>
      <c r="AI4179" s="1821"/>
      <c r="AJ4179" s="1821"/>
      <c r="AK4179" s="1821"/>
      <c r="AL4179" s="1821"/>
      <c r="AM4179" s="1821"/>
      <c r="AN4179" s="1821"/>
      <c r="AO4179" s="1821"/>
      <c r="AP4179" s="1821"/>
      <c r="AQ4179" s="1821"/>
      <c r="AR4179" s="1821"/>
      <c r="AS4179" s="1821"/>
      <c r="AT4179" s="1821"/>
      <c r="AU4179" s="1821"/>
      <c r="AV4179" s="1821"/>
      <c r="AW4179" s="1821"/>
      <c r="AX4179" s="1821"/>
      <c r="AY4179" s="1821"/>
      <c r="AZ4179" s="1821"/>
      <c r="BA4179" s="1821"/>
      <c r="BB4179" s="1821"/>
      <c r="BC4179" s="1821"/>
      <c r="BD4179" s="1821"/>
      <c r="BE4179" s="1821"/>
      <c r="BF4179" s="1821"/>
      <c r="BG4179" s="1821"/>
      <c r="BH4179" s="1821"/>
      <c r="BI4179" s="1821"/>
      <c r="BJ4179" s="1821"/>
      <c r="BK4179" s="1821"/>
      <c r="BL4179" s="1821"/>
      <c r="BM4179" s="1821"/>
      <c r="BN4179" s="1821"/>
      <c r="BO4179" s="1821"/>
      <c r="BP4179" s="1821"/>
      <c r="BQ4179" s="1821"/>
      <c r="BR4179" s="1821"/>
      <c r="BS4179" s="1821"/>
      <c r="BT4179" s="1821"/>
      <c r="BU4179" s="1821"/>
      <c r="BV4179" s="1821"/>
      <c r="BW4179" s="1821"/>
      <c r="BX4179" s="1821"/>
      <c r="BY4179" s="1821"/>
      <c r="BZ4179" s="1821"/>
      <c r="CA4179" s="1821"/>
      <c r="CB4179" s="1821"/>
      <c r="CC4179" s="1821"/>
      <c r="CD4179" s="1821"/>
      <c r="CE4179" s="1821"/>
      <c r="CF4179" s="1821"/>
      <c r="CG4179" s="1821"/>
      <c r="CH4179" s="1821"/>
      <c r="CI4179" s="1821"/>
      <c r="CJ4179" s="1821"/>
      <c r="CK4179" s="1821"/>
    </row>
    <row r="4180" spans="1:89" s="744" customFormat="1" ht="16.5" hidden="1" customHeight="1" x14ac:dyDescent="0.25">
      <c r="A4180" s="1033"/>
      <c r="B4180" s="709"/>
      <c r="C4180" s="827"/>
      <c r="D4180" s="961"/>
      <c r="E4180" s="758"/>
      <c r="F4180" s="714"/>
      <c r="G4180" s="714"/>
      <c r="H4180" s="700"/>
      <c r="I4180" s="714"/>
      <c r="J4180" s="714"/>
      <c r="K4180" s="700"/>
      <c r="L4180" s="714"/>
      <c r="M4180" s="714"/>
      <c r="N4180" s="700"/>
      <c r="O4180" s="974"/>
      <c r="P4180" s="956"/>
      <c r="Q4180" s="1821"/>
      <c r="R4180" s="1821"/>
      <c r="S4180" s="1821"/>
      <c r="T4180" s="1821"/>
      <c r="U4180" s="1821"/>
      <c r="V4180" s="1821"/>
      <c r="W4180" s="1821"/>
      <c r="X4180" s="1821"/>
      <c r="Y4180" s="1821"/>
      <c r="Z4180" s="1821"/>
      <c r="AA4180" s="1821"/>
      <c r="AB4180" s="1821"/>
      <c r="AC4180" s="1821"/>
      <c r="AD4180" s="1821"/>
      <c r="AE4180" s="1821"/>
      <c r="AF4180" s="1821"/>
      <c r="AG4180" s="1821"/>
      <c r="AH4180" s="1821"/>
      <c r="AI4180" s="1821"/>
      <c r="AJ4180" s="1821"/>
      <c r="AK4180" s="1821"/>
      <c r="AL4180" s="1821"/>
      <c r="AM4180" s="1821"/>
      <c r="AN4180" s="1821"/>
      <c r="AO4180" s="1821"/>
      <c r="AP4180" s="1821"/>
      <c r="AQ4180" s="1821"/>
      <c r="AR4180" s="1821"/>
      <c r="AS4180" s="1821"/>
      <c r="AT4180" s="1821"/>
      <c r="AU4180" s="1821"/>
      <c r="AV4180" s="1821"/>
      <c r="AW4180" s="1821"/>
      <c r="AX4180" s="1821"/>
      <c r="AY4180" s="1821"/>
      <c r="AZ4180" s="1821"/>
      <c r="BA4180" s="1821"/>
      <c r="BB4180" s="1821"/>
      <c r="BC4180" s="1821"/>
      <c r="BD4180" s="1821"/>
      <c r="BE4180" s="1821"/>
      <c r="BF4180" s="1821"/>
      <c r="BG4180" s="1821"/>
      <c r="BH4180" s="1821"/>
      <c r="BI4180" s="1821"/>
      <c r="BJ4180" s="1821"/>
      <c r="BK4180" s="1821"/>
      <c r="BL4180" s="1821"/>
      <c r="BM4180" s="1821"/>
      <c r="BN4180" s="1821"/>
      <c r="BO4180" s="1821"/>
      <c r="BP4180" s="1821"/>
      <c r="BQ4180" s="1821"/>
      <c r="BR4180" s="1821"/>
      <c r="BS4180" s="1821"/>
      <c r="BT4180" s="1821"/>
      <c r="BU4180" s="1821"/>
      <c r="BV4180" s="1821"/>
      <c r="BW4180" s="1821"/>
      <c r="BX4180" s="1821"/>
      <c r="BY4180" s="1821"/>
      <c r="BZ4180" s="1821"/>
      <c r="CA4180" s="1821"/>
      <c r="CB4180" s="1821"/>
      <c r="CC4180" s="1821"/>
      <c r="CD4180" s="1821"/>
      <c r="CE4180" s="1821"/>
      <c r="CF4180" s="1821"/>
      <c r="CG4180" s="1821"/>
      <c r="CH4180" s="1821"/>
      <c r="CI4180" s="1821"/>
      <c r="CJ4180" s="1821"/>
      <c r="CK4180" s="1821"/>
    </row>
    <row r="4181" spans="1:89" s="744" customFormat="1" ht="16.5" hidden="1" customHeight="1" x14ac:dyDescent="0.25">
      <c r="A4181" s="1033">
        <v>11</v>
      </c>
      <c r="B4181" s="709" t="s">
        <v>425</v>
      </c>
      <c r="C4181" s="827"/>
      <c r="D4181" s="961"/>
      <c r="E4181" s="758"/>
      <c r="F4181" s="714"/>
      <c r="G4181" s="714"/>
      <c r="H4181" s="700"/>
      <c r="I4181" s="714"/>
      <c r="J4181" s="714"/>
      <c r="K4181" s="700"/>
      <c r="L4181" s="714"/>
      <c r="M4181" s="714"/>
      <c r="N4181" s="700"/>
      <c r="O4181" s="974"/>
      <c r="P4181" s="956"/>
      <c r="Q4181" s="1821"/>
      <c r="R4181" s="1821"/>
      <c r="S4181" s="1821"/>
      <c r="T4181" s="1821"/>
      <c r="U4181" s="1821"/>
      <c r="V4181" s="1821"/>
      <c r="W4181" s="1821"/>
      <c r="X4181" s="1821"/>
      <c r="Y4181" s="1821"/>
      <c r="Z4181" s="1821"/>
      <c r="AA4181" s="1821"/>
      <c r="AB4181" s="1821"/>
      <c r="AC4181" s="1821"/>
      <c r="AD4181" s="1821"/>
      <c r="AE4181" s="1821"/>
      <c r="AF4181" s="1821"/>
      <c r="AG4181" s="1821"/>
      <c r="AH4181" s="1821"/>
      <c r="AI4181" s="1821"/>
      <c r="AJ4181" s="1821"/>
      <c r="AK4181" s="1821"/>
      <c r="AL4181" s="1821"/>
      <c r="AM4181" s="1821"/>
      <c r="AN4181" s="1821"/>
      <c r="AO4181" s="1821"/>
      <c r="AP4181" s="1821"/>
      <c r="AQ4181" s="1821"/>
      <c r="AR4181" s="1821"/>
      <c r="AS4181" s="1821"/>
      <c r="AT4181" s="1821"/>
      <c r="AU4181" s="1821"/>
      <c r="AV4181" s="1821"/>
      <c r="AW4181" s="1821"/>
      <c r="AX4181" s="1821"/>
      <c r="AY4181" s="1821"/>
      <c r="AZ4181" s="1821"/>
      <c r="BA4181" s="1821"/>
      <c r="BB4181" s="1821"/>
      <c r="BC4181" s="1821"/>
      <c r="BD4181" s="1821"/>
      <c r="BE4181" s="1821"/>
      <c r="BF4181" s="1821"/>
      <c r="BG4181" s="1821"/>
      <c r="BH4181" s="1821"/>
      <c r="BI4181" s="1821"/>
      <c r="BJ4181" s="1821"/>
      <c r="BK4181" s="1821"/>
      <c r="BL4181" s="1821"/>
      <c r="BM4181" s="1821"/>
      <c r="BN4181" s="1821"/>
      <c r="BO4181" s="1821"/>
      <c r="BP4181" s="1821"/>
      <c r="BQ4181" s="1821"/>
      <c r="BR4181" s="1821"/>
      <c r="BS4181" s="1821"/>
      <c r="BT4181" s="1821"/>
      <c r="BU4181" s="1821"/>
      <c r="BV4181" s="1821"/>
      <c r="BW4181" s="1821"/>
      <c r="BX4181" s="1821"/>
      <c r="BY4181" s="1821"/>
      <c r="BZ4181" s="1821"/>
      <c r="CA4181" s="1821"/>
      <c r="CB4181" s="1821"/>
      <c r="CC4181" s="1821"/>
      <c r="CD4181" s="1821"/>
      <c r="CE4181" s="1821"/>
      <c r="CF4181" s="1821"/>
      <c r="CG4181" s="1821"/>
      <c r="CH4181" s="1821"/>
      <c r="CI4181" s="1821"/>
      <c r="CJ4181" s="1821"/>
      <c r="CK4181" s="1821"/>
    </row>
    <row r="4182" spans="1:89" s="744" customFormat="1" ht="16.5" hidden="1" customHeight="1" x14ac:dyDescent="0.25">
      <c r="A4182" s="1033" t="s">
        <v>49</v>
      </c>
      <c r="B4182" s="709" t="s">
        <v>278</v>
      </c>
      <c r="C4182" s="827">
        <f>SUM(O4183:O4197)</f>
        <v>513002</v>
      </c>
      <c r="D4182" s="961"/>
      <c r="E4182" s="758"/>
      <c r="F4182" s="714"/>
      <c r="G4182" s="714"/>
      <c r="H4182" s="700"/>
      <c r="I4182" s="714"/>
      <c r="J4182" s="714"/>
      <c r="K4182" s="700"/>
      <c r="L4182" s="714"/>
      <c r="M4182" s="714"/>
      <c r="N4182" s="700"/>
      <c r="O4182" s="974"/>
      <c r="P4182" s="956"/>
      <c r="Q4182" s="1821"/>
      <c r="R4182" s="1821"/>
      <c r="S4182" s="1821"/>
      <c r="T4182" s="1821"/>
      <c r="U4182" s="1821"/>
      <c r="V4182" s="1821"/>
      <c r="W4182" s="1821"/>
      <c r="X4182" s="1821"/>
      <c r="Y4182" s="1821"/>
      <c r="Z4182" s="1821"/>
      <c r="AA4182" s="1821"/>
      <c r="AB4182" s="1821"/>
      <c r="AC4182" s="1821"/>
      <c r="AD4182" s="1821"/>
      <c r="AE4182" s="1821"/>
      <c r="AF4182" s="1821"/>
      <c r="AG4182" s="1821"/>
      <c r="AH4182" s="1821"/>
      <c r="AI4182" s="1821"/>
      <c r="AJ4182" s="1821"/>
      <c r="AK4182" s="1821"/>
      <c r="AL4182" s="1821"/>
      <c r="AM4182" s="1821"/>
      <c r="AN4182" s="1821"/>
      <c r="AO4182" s="1821"/>
      <c r="AP4182" s="1821"/>
      <c r="AQ4182" s="1821"/>
      <c r="AR4182" s="1821"/>
      <c r="AS4182" s="1821"/>
      <c r="AT4182" s="1821"/>
      <c r="AU4182" s="1821"/>
      <c r="AV4182" s="1821"/>
      <c r="AW4182" s="1821"/>
      <c r="AX4182" s="1821"/>
      <c r="AY4182" s="1821"/>
      <c r="AZ4182" s="1821"/>
      <c r="BA4182" s="1821"/>
      <c r="BB4182" s="1821"/>
      <c r="BC4182" s="1821"/>
      <c r="BD4182" s="1821"/>
      <c r="BE4182" s="1821"/>
      <c r="BF4182" s="1821"/>
      <c r="BG4182" s="1821"/>
      <c r="BH4182" s="1821"/>
      <c r="BI4182" s="1821"/>
      <c r="BJ4182" s="1821"/>
      <c r="BK4182" s="1821"/>
      <c r="BL4182" s="1821"/>
      <c r="BM4182" s="1821"/>
      <c r="BN4182" s="1821"/>
      <c r="BO4182" s="1821"/>
      <c r="BP4182" s="1821"/>
      <c r="BQ4182" s="1821"/>
      <c r="BR4182" s="1821"/>
      <c r="BS4182" s="1821"/>
      <c r="BT4182" s="1821"/>
      <c r="BU4182" s="1821"/>
      <c r="BV4182" s="1821"/>
      <c r="BW4182" s="1821"/>
      <c r="BX4182" s="1821"/>
      <c r="BY4182" s="1821"/>
      <c r="BZ4182" s="1821"/>
      <c r="CA4182" s="1821"/>
      <c r="CB4182" s="1821"/>
      <c r="CC4182" s="1821"/>
      <c r="CD4182" s="1821"/>
      <c r="CE4182" s="1821"/>
      <c r="CF4182" s="1821"/>
      <c r="CG4182" s="1821"/>
      <c r="CH4182" s="1821"/>
      <c r="CI4182" s="1821"/>
      <c r="CJ4182" s="1821"/>
      <c r="CK4182" s="1821"/>
    </row>
    <row r="4183" spans="1:89" s="744" customFormat="1" ht="16.5" hidden="1" customHeight="1" x14ac:dyDescent="0.25">
      <c r="A4183" s="1033"/>
      <c r="B4183" s="709" t="s">
        <v>365</v>
      </c>
      <c r="C4183" s="827">
        <v>1</v>
      </c>
      <c r="D4183" s="961" t="s">
        <v>25</v>
      </c>
      <c r="E4183" s="758">
        <v>50000</v>
      </c>
      <c r="F4183" s="714"/>
      <c r="G4183" s="714"/>
      <c r="H4183" s="700">
        <f>G4183+F4183</f>
        <v>0</v>
      </c>
      <c r="I4183" s="714"/>
      <c r="J4183" s="714">
        <f>E4183*C4183</f>
        <v>50000</v>
      </c>
      <c r="K4183" s="700">
        <f t="shared" ref="K4183:K4249" si="480">J4183+I4183</f>
        <v>50000</v>
      </c>
      <c r="L4183" s="714"/>
      <c r="M4183" s="714"/>
      <c r="N4183" s="700">
        <f t="shared" ref="N4183:N4190" si="481">M4183+L4183</f>
        <v>0</v>
      </c>
      <c r="O4183" s="974">
        <f>N4183+K4183+H4183</f>
        <v>50000</v>
      </c>
      <c r="P4183" s="956"/>
      <c r="Q4183" s="1821"/>
      <c r="R4183" s="1821"/>
      <c r="S4183" s="1821"/>
      <c r="T4183" s="1821"/>
      <c r="U4183" s="1821"/>
      <c r="V4183" s="1821"/>
      <c r="W4183" s="1821"/>
      <c r="X4183" s="1821"/>
      <c r="Y4183" s="1821"/>
      <c r="Z4183" s="1821"/>
      <c r="AA4183" s="1821"/>
      <c r="AB4183" s="1821"/>
      <c r="AC4183" s="1821"/>
      <c r="AD4183" s="1821"/>
      <c r="AE4183" s="1821"/>
      <c r="AF4183" s="1821"/>
      <c r="AG4183" s="1821"/>
      <c r="AH4183" s="1821"/>
      <c r="AI4183" s="1821"/>
      <c r="AJ4183" s="1821"/>
      <c r="AK4183" s="1821"/>
      <c r="AL4183" s="1821"/>
      <c r="AM4183" s="1821"/>
      <c r="AN4183" s="1821"/>
      <c r="AO4183" s="1821"/>
      <c r="AP4183" s="1821"/>
      <c r="AQ4183" s="1821"/>
      <c r="AR4183" s="1821"/>
      <c r="AS4183" s="1821"/>
      <c r="AT4183" s="1821"/>
      <c r="AU4183" s="1821"/>
      <c r="AV4183" s="1821"/>
      <c r="AW4183" s="1821"/>
      <c r="AX4183" s="1821"/>
      <c r="AY4183" s="1821"/>
      <c r="AZ4183" s="1821"/>
      <c r="BA4183" s="1821"/>
      <c r="BB4183" s="1821"/>
      <c r="BC4183" s="1821"/>
      <c r="BD4183" s="1821"/>
      <c r="BE4183" s="1821"/>
      <c r="BF4183" s="1821"/>
      <c r="BG4183" s="1821"/>
      <c r="BH4183" s="1821"/>
      <c r="BI4183" s="1821"/>
      <c r="BJ4183" s="1821"/>
      <c r="BK4183" s="1821"/>
      <c r="BL4183" s="1821"/>
      <c r="BM4183" s="1821"/>
      <c r="BN4183" s="1821"/>
      <c r="BO4183" s="1821"/>
      <c r="BP4183" s="1821"/>
      <c r="BQ4183" s="1821"/>
      <c r="BR4183" s="1821"/>
      <c r="BS4183" s="1821"/>
      <c r="BT4183" s="1821"/>
      <c r="BU4183" s="1821"/>
      <c r="BV4183" s="1821"/>
      <c r="BW4183" s="1821"/>
      <c r="BX4183" s="1821"/>
      <c r="BY4183" s="1821"/>
      <c r="BZ4183" s="1821"/>
      <c r="CA4183" s="1821"/>
      <c r="CB4183" s="1821"/>
      <c r="CC4183" s="1821"/>
      <c r="CD4183" s="1821"/>
      <c r="CE4183" s="1821"/>
      <c r="CF4183" s="1821"/>
      <c r="CG4183" s="1821"/>
      <c r="CH4183" s="1821"/>
      <c r="CI4183" s="1821"/>
      <c r="CJ4183" s="1821"/>
      <c r="CK4183" s="1821"/>
    </row>
    <row r="4184" spans="1:89" s="744" customFormat="1" ht="16.5" hidden="1" customHeight="1" x14ac:dyDescent="0.25">
      <c r="A4184" s="1033"/>
      <c r="B4184" s="709" t="s">
        <v>224</v>
      </c>
      <c r="C4184" s="827"/>
      <c r="D4184" s="961"/>
      <c r="E4184" s="758"/>
      <c r="F4184" s="714"/>
      <c r="G4184" s="714"/>
      <c r="H4184" s="700"/>
      <c r="I4184" s="714"/>
      <c r="J4184" s="714">
        <f t="shared" ref="J4184:J4195" si="482">E4184*C4184</f>
        <v>0</v>
      </c>
      <c r="K4184" s="700"/>
      <c r="L4184" s="714"/>
      <c r="M4184" s="714"/>
      <c r="N4184" s="700"/>
      <c r="O4184" s="974"/>
      <c r="P4184" s="956"/>
      <c r="Q4184" s="1821"/>
      <c r="R4184" s="1821"/>
      <c r="S4184" s="1821"/>
      <c r="T4184" s="1821"/>
      <c r="U4184" s="1821"/>
      <c r="V4184" s="1821"/>
      <c r="W4184" s="1821"/>
      <c r="X4184" s="1821"/>
      <c r="Y4184" s="1821"/>
      <c r="Z4184" s="1821"/>
      <c r="AA4184" s="1821"/>
      <c r="AB4184" s="1821"/>
      <c r="AC4184" s="1821"/>
      <c r="AD4184" s="1821"/>
      <c r="AE4184" s="1821"/>
      <c r="AF4184" s="1821"/>
      <c r="AG4184" s="1821"/>
      <c r="AH4184" s="1821"/>
      <c r="AI4184" s="1821"/>
      <c r="AJ4184" s="1821"/>
      <c r="AK4184" s="1821"/>
      <c r="AL4184" s="1821"/>
      <c r="AM4184" s="1821"/>
      <c r="AN4184" s="1821"/>
      <c r="AO4184" s="1821"/>
      <c r="AP4184" s="1821"/>
      <c r="AQ4184" s="1821"/>
      <c r="AR4184" s="1821"/>
      <c r="AS4184" s="1821"/>
      <c r="AT4184" s="1821"/>
      <c r="AU4184" s="1821"/>
      <c r="AV4184" s="1821"/>
      <c r="AW4184" s="1821"/>
      <c r="AX4184" s="1821"/>
      <c r="AY4184" s="1821"/>
      <c r="AZ4184" s="1821"/>
      <c r="BA4184" s="1821"/>
      <c r="BB4184" s="1821"/>
      <c r="BC4184" s="1821"/>
      <c r="BD4184" s="1821"/>
      <c r="BE4184" s="1821"/>
      <c r="BF4184" s="1821"/>
      <c r="BG4184" s="1821"/>
      <c r="BH4184" s="1821"/>
      <c r="BI4184" s="1821"/>
      <c r="BJ4184" s="1821"/>
      <c r="BK4184" s="1821"/>
      <c r="BL4184" s="1821"/>
      <c r="BM4184" s="1821"/>
      <c r="BN4184" s="1821"/>
      <c r="BO4184" s="1821"/>
      <c r="BP4184" s="1821"/>
      <c r="BQ4184" s="1821"/>
      <c r="BR4184" s="1821"/>
      <c r="BS4184" s="1821"/>
      <c r="BT4184" s="1821"/>
      <c r="BU4184" s="1821"/>
      <c r="BV4184" s="1821"/>
      <c r="BW4184" s="1821"/>
      <c r="BX4184" s="1821"/>
      <c r="BY4184" s="1821"/>
      <c r="BZ4184" s="1821"/>
      <c r="CA4184" s="1821"/>
      <c r="CB4184" s="1821"/>
      <c r="CC4184" s="1821"/>
      <c r="CD4184" s="1821"/>
      <c r="CE4184" s="1821"/>
      <c r="CF4184" s="1821"/>
      <c r="CG4184" s="1821"/>
      <c r="CH4184" s="1821"/>
      <c r="CI4184" s="1821"/>
      <c r="CJ4184" s="1821"/>
      <c r="CK4184" s="1821"/>
    </row>
    <row r="4185" spans="1:89" s="744" customFormat="1" ht="16.5" hidden="1" customHeight="1" x14ac:dyDescent="0.25">
      <c r="A4185" s="1033"/>
      <c r="B4185" s="709" t="s">
        <v>1385</v>
      </c>
      <c r="C4185" s="827">
        <v>4</v>
      </c>
      <c r="D4185" s="961" t="s">
        <v>210</v>
      </c>
      <c r="E4185" s="758">
        <v>1000</v>
      </c>
      <c r="F4185" s="714"/>
      <c r="G4185" s="714"/>
      <c r="H4185" s="700"/>
      <c r="I4185" s="714"/>
      <c r="J4185" s="714">
        <f t="shared" si="482"/>
        <v>4000</v>
      </c>
      <c r="K4185" s="700">
        <f t="shared" si="480"/>
        <v>4000</v>
      </c>
      <c r="L4185" s="714"/>
      <c r="M4185" s="714"/>
      <c r="N4185" s="700"/>
      <c r="O4185" s="974">
        <f>N4185+K4185+H4185</f>
        <v>4000</v>
      </c>
      <c r="P4185" s="956"/>
      <c r="Q4185" s="1821"/>
      <c r="R4185" s="1821"/>
      <c r="S4185" s="1821"/>
      <c r="T4185" s="1821"/>
      <c r="U4185" s="1821"/>
      <c r="V4185" s="1821"/>
      <c r="W4185" s="1821"/>
      <c r="X4185" s="1821"/>
      <c r="Y4185" s="1821"/>
      <c r="Z4185" s="1821"/>
      <c r="AA4185" s="1821"/>
      <c r="AB4185" s="1821"/>
      <c r="AC4185" s="1821"/>
      <c r="AD4185" s="1821"/>
      <c r="AE4185" s="1821"/>
      <c r="AF4185" s="1821"/>
      <c r="AG4185" s="1821"/>
      <c r="AH4185" s="1821"/>
      <c r="AI4185" s="1821"/>
      <c r="AJ4185" s="1821"/>
      <c r="AK4185" s="1821"/>
      <c r="AL4185" s="1821"/>
      <c r="AM4185" s="1821"/>
      <c r="AN4185" s="1821"/>
      <c r="AO4185" s="1821"/>
      <c r="AP4185" s="1821"/>
      <c r="AQ4185" s="1821"/>
      <c r="AR4185" s="1821"/>
      <c r="AS4185" s="1821"/>
      <c r="AT4185" s="1821"/>
      <c r="AU4185" s="1821"/>
      <c r="AV4185" s="1821"/>
      <c r="AW4185" s="1821"/>
      <c r="AX4185" s="1821"/>
      <c r="AY4185" s="1821"/>
      <c r="AZ4185" s="1821"/>
      <c r="BA4185" s="1821"/>
      <c r="BB4185" s="1821"/>
      <c r="BC4185" s="1821"/>
      <c r="BD4185" s="1821"/>
      <c r="BE4185" s="1821"/>
      <c r="BF4185" s="1821"/>
      <c r="BG4185" s="1821"/>
      <c r="BH4185" s="1821"/>
      <c r="BI4185" s="1821"/>
      <c r="BJ4185" s="1821"/>
      <c r="BK4185" s="1821"/>
      <c r="BL4185" s="1821"/>
      <c r="BM4185" s="1821"/>
      <c r="BN4185" s="1821"/>
      <c r="BO4185" s="1821"/>
      <c r="BP4185" s="1821"/>
      <c r="BQ4185" s="1821"/>
      <c r="BR4185" s="1821"/>
      <c r="BS4185" s="1821"/>
      <c r="BT4185" s="1821"/>
      <c r="BU4185" s="1821"/>
      <c r="BV4185" s="1821"/>
      <c r="BW4185" s="1821"/>
      <c r="BX4185" s="1821"/>
      <c r="BY4185" s="1821"/>
      <c r="BZ4185" s="1821"/>
      <c r="CA4185" s="1821"/>
      <c r="CB4185" s="1821"/>
      <c r="CC4185" s="1821"/>
      <c r="CD4185" s="1821"/>
      <c r="CE4185" s="1821"/>
      <c r="CF4185" s="1821"/>
      <c r="CG4185" s="1821"/>
      <c r="CH4185" s="1821"/>
      <c r="CI4185" s="1821"/>
      <c r="CJ4185" s="1821"/>
      <c r="CK4185" s="1821"/>
    </row>
    <row r="4186" spans="1:89" s="744" customFormat="1" ht="16.5" hidden="1" customHeight="1" x14ac:dyDescent="0.25">
      <c r="A4186" s="1033"/>
      <c r="B4186" s="709" t="s">
        <v>1386</v>
      </c>
      <c r="C4186" s="827">
        <v>8</v>
      </c>
      <c r="D4186" s="961" t="s">
        <v>210</v>
      </c>
      <c r="E4186" s="758">
        <v>900</v>
      </c>
      <c r="F4186" s="714"/>
      <c r="G4186" s="714"/>
      <c r="H4186" s="700"/>
      <c r="I4186" s="714"/>
      <c r="J4186" s="714">
        <f t="shared" si="482"/>
        <v>7200</v>
      </c>
      <c r="K4186" s="700">
        <f t="shared" si="480"/>
        <v>7200</v>
      </c>
      <c r="L4186" s="714"/>
      <c r="M4186" s="714"/>
      <c r="N4186" s="700"/>
      <c r="O4186" s="974">
        <f>N4186+K4186+H4186</f>
        <v>7200</v>
      </c>
      <c r="P4186" s="956"/>
      <c r="Q4186" s="1821"/>
      <c r="R4186" s="1821"/>
      <c r="S4186" s="1821"/>
      <c r="T4186" s="1821"/>
      <c r="U4186" s="1821"/>
      <c r="V4186" s="1821"/>
      <c r="W4186" s="1821"/>
      <c r="X4186" s="1821"/>
      <c r="Y4186" s="1821"/>
      <c r="Z4186" s="1821"/>
      <c r="AA4186" s="1821"/>
      <c r="AB4186" s="1821"/>
      <c r="AC4186" s="1821"/>
      <c r="AD4186" s="1821"/>
      <c r="AE4186" s="1821"/>
      <c r="AF4186" s="1821"/>
      <c r="AG4186" s="1821"/>
      <c r="AH4186" s="1821"/>
      <c r="AI4186" s="1821"/>
      <c r="AJ4186" s="1821"/>
      <c r="AK4186" s="1821"/>
      <c r="AL4186" s="1821"/>
      <c r="AM4186" s="1821"/>
      <c r="AN4186" s="1821"/>
      <c r="AO4186" s="1821"/>
      <c r="AP4186" s="1821"/>
      <c r="AQ4186" s="1821"/>
      <c r="AR4186" s="1821"/>
      <c r="AS4186" s="1821"/>
      <c r="AT4186" s="1821"/>
      <c r="AU4186" s="1821"/>
      <c r="AV4186" s="1821"/>
      <c r="AW4186" s="1821"/>
      <c r="AX4186" s="1821"/>
      <c r="AY4186" s="1821"/>
      <c r="AZ4186" s="1821"/>
      <c r="BA4186" s="1821"/>
      <c r="BB4186" s="1821"/>
      <c r="BC4186" s="1821"/>
      <c r="BD4186" s="1821"/>
      <c r="BE4186" s="1821"/>
      <c r="BF4186" s="1821"/>
      <c r="BG4186" s="1821"/>
      <c r="BH4186" s="1821"/>
      <c r="BI4186" s="1821"/>
      <c r="BJ4186" s="1821"/>
      <c r="BK4186" s="1821"/>
      <c r="BL4186" s="1821"/>
      <c r="BM4186" s="1821"/>
      <c r="BN4186" s="1821"/>
      <c r="BO4186" s="1821"/>
      <c r="BP4186" s="1821"/>
      <c r="BQ4186" s="1821"/>
      <c r="BR4186" s="1821"/>
      <c r="BS4186" s="1821"/>
      <c r="BT4186" s="1821"/>
      <c r="BU4186" s="1821"/>
      <c r="BV4186" s="1821"/>
      <c r="BW4186" s="1821"/>
      <c r="BX4186" s="1821"/>
      <c r="BY4186" s="1821"/>
      <c r="BZ4186" s="1821"/>
      <c r="CA4186" s="1821"/>
      <c r="CB4186" s="1821"/>
      <c r="CC4186" s="1821"/>
      <c r="CD4186" s="1821"/>
      <c r="CE4186" s="1821"/>
      <c r="CF4186" s="1821"/>
      <c r="CG4186" s="1821"/>
      <c r="CH4186" s="1821"/>
      <c r="CI4186" s="1821"/>
      <c r="CJ4186" s="1821"/>
      <c r="CK4186" s="1821"/>
    </row>
    <row r="4187" spans="1:89" s="744" customFormat="1" ht="16.5" hidden="1" customHeight="1" x14ac:dyDescent="0.25">
      <c r="A4187" s="1033"/>
      <c r="B4187" s="709" t="s">
        <v>358</v>
      </c>
      <c r="C4187" s="827"/>
      <c r="D4187" s="961"/>
      <c r="E4187" s="758"/>
      <c r="F4187" s="714"/>
      <c r="G4187" s="714"/>
      <c r="H4187" s="700"/>
      <c r="I4187" s="714"/>
      <c r="J4187" s="714">
        <f t="shared" si="482"/>
        <v>0</v>
      </c>
      <c r="K4187" s="700"/>
      <c r="L4187" s="714"/>
      <c r="M4187" s="714"/>
      <c r="N4187" s="700"/>
      <c r="O4187" s="974"/>
      <c r="P4187" s="956"/>
      <c r="Q4187" s="1821"/>
      <c r="R4187" s="1821"/>
      <c r="S4187" s="1821"/>
      <c r="T4187" s="1821"/>
      <c r="U4187" s="1821"/>
      <c r="V4187" s="1821"/>
      <c r="W4187" s="1821"/>
      <c r="X4187" s="1821"/>
      <c r="Y4187" s="1821"/>
      <c r="Z4187" s="1821"/>
      <c r="AA4187" s="1821"/>
      <c r="AB4187" s="1821"/>
      <c r="AC4187" s="1821"/>
      <c r="AD4187" s="1821"/>
      <c r="AE4187" s="1821"/>
      <c r="AF4187" s="1821"/>
      <c r="AG4187" s="1821"/>
      <c r="AH4187" s="1821"/>
      <c r="AI4187" s="1821"/>
      <c r="AJ4187" s="1821"/>
      <c r="AK4187" s="1821"/>
      <c r="AL4187" s="1821"/>
      <c r="AM4187" s="1821"/>
      <c r="AN4187" s="1821"/>
      <c r="AO4187" s="1821"/>
      <c r="AP4187" s="1821"/>
      <c r="AQ4187" s="1821"/>
      <c r="AR4187" s="1821"/>
      <c r="AS4187" s="1821"/>
      <c r="AT4187" s="1821"/>
      <c r="AU4187" s="1821"/>
      <c r="AV4187" s="1821"/>
      <c r="AW4187" s="1821"/>
      <c r="AX4187" s="1821"/>
      <c r="AY4187" s="1821"/>
      <c r="AZ4187" s="1821"/>
      <c r="BA4187" s="1821"/>
      <c r="BB4187" s="1821"/>
      <c r="BC4187" s="1821"/>
      <c r="BD4187" s="1821"/>
      <c r="BE4187" s="1821"/>
      <c r="BF4187" s="1821"/>
      <c r="BG4187" s="1821"/>
      <c r="BH4187" s="1821"/>
      <c r="BI4187" s="1821"/>
      <c r="BJ4187" s="1821"/>
      <c r="BK4187" s="1821"/>
      <c r="BL4187" s="1821"/>
      <c r="BM4187" s="1821"/>
      <c r="BN4187" s="1821"/>
      <c r="BO4187" s="1821"/>
      <c r="BP4187" s="1821"/>
      <c r="BQ4187" s="1821"/>
      <c r="BR4187" s="1821"/>
      <c r="BS4187" s="1821"/>
      <c r="BT4187" s="1821"/>
      <c r="BU4187" s="1821"/>
      <c r="BV4187" s="1821"/>
      <c r="BW4187" s="1821"/>
      <c r="BX4187" s="1821"/>
      <c r="BY4187" s="1821"/>
      <c r="BZ4187" s="1821"/>
      <c r="CA4187" s="1821"/>
      <c r="CB4187" s="1821"/>
      <c r="CC4187" s="1821"/>
      <c r="CD4187" s="1821"/>
      <c r="CE4187" s="1821"/>
      <c r="CF4187" s="1821"/>
      <c r="CG4187" s="1821"/>
      <c r="CH4187" s="1821"/>
      <c r="CI4187" s="1821"/>
      <c r="CJ4187" s="1821"/>
      <c r="CK4187" s="1821"/>
    </row>
    <row r="4188" spans="1:89" s="744" customFormat="1" ht="16.5" hidden="1" customHeight="1" x14ac:dyDescent="0.25">
      <c r="A4188" s="1033"/>
      <c r="B4188" s="709" t="s">
        <v>359</v>
      </c>
      <c r="C4188" s="827">
        <v>50</v>
      </c>
      <c r="D4188" s="961" t="s">
        <v>51</v>
      </c>
      <c r="E4188" s="758">
        <v>3943</v>
      </c>
      <c r="F4188" s="714"/>
      <c r="G4188" s="714"/>
      <c r="H4188" s="700">
        <f>G4188+F4188</f>
        <v>0</v>
      </c>
      <c r="I4188" s="714"/>
      <c r="J4188" s="714">
        <f t="shared" si="482"/>
        <v>197150</v>
      </c>
      <c r="K4188" s="700">
        <f t="shared" si="480"/>
        <v>197150</v>
      </c>
      <c r="L4188" s="714"/>
      <c r="M4188" s="714"/>
      <c r="N4188" s="700">
        <f t="shared" si="481"/>
        <v>0</v>
      </c>
      <c r="O4188" s="974">
        <f>N4188+K4188+H4188</f>
        <v>197150</v>
      </c>
      <c r="P4188" s="956"/>
      <c r="Q4188" s="1821"/>
      <c r="R4188" s="1821"/>
      <c r="S4188" s="1821"/>
      <c r="T4188" s="1821"/>
      <c r="U4188" s="1821"/>
      <c r="V4188" s="1821"/>
      <c r="W4188" s="1821"/>
      <c r="X4188" s="1821"/>
      <c r="Y4188" s="1821"/>
      <c r="Z4188" s="1821"/>
      <c r="AA4188" s="1821"/>
      <c r="AB4188" s="1821"/>
      <c r="AC4188" s="1821"/>
      <c r="AD4188" s="1821"/>
      <c r="AE4188" s="1821"/>
      <c r="AF4188" s="1821"/>
      <c r="AG4188" s="1821"/>
      <c r="AH4188" s="1821"/>
      <c r="AI4188" s="1821"/>
      <c r="AJ4188" s="1821"/>
      <c r="AK4188" s="1821"/>
      <c r="AL4188" s="1821"/>
      <c r="AM4188" s="1821"/>
      <c r="AN4188" s="1821"/>
      <c r="AO4188" s="1821"/>
      <c r="AP4188" s="1821"/>
      <c r="AQ4188" s="1821"/>
      <c r="AR4188" s="1821"/>
      <c r="AS4188" s="1821"/>
      <c r="AT4188" s="1821"/>
      <c r="AU4188" s="1821"/>
      <c r="AV4188" s="1821"/>
      <c r="AW4188" s="1821"/>
      <c r="AX4188" s="1821"/>
      <c r="AY4188" s="1821"/>
      <c r="AZ4188" s="1821"/>
      <c r="BA4188" s="1821"/>
      <c r="BB4188" s="1821"/>
      <c r="BC4188" s="1821"/>
      <c r="BD4188" s="1821"/>
      <c r="BE4188" s="1821"/>
      <c r="BF4188" s="1821"/>
      <c r="BG4188" s="1821"/>
      <c r="BH4188" s="1821"/>
      <c r="BI4188" s="1821"/>
      <c r="BJ4188" s="1821"/>
      <c r="BK4188" s="1821"/>
      <c r="BL4188" s="1821"/>
      <c r="BM4188" s="1821"/>
      <c r="BN4188" s="1821"/>
      <c r="BO4188" s="1821"/>
      <c r="BP4188" s="1821"/>
      <c r="BQ4188" s="1821"/>
      <c r="BR4188" s="1821"/>
      <c r="BS4188" s="1821"/>
      <c r="BT4188" s="1821"/>
      <c r="BU4188" s="1821"/>
      <c r="BV4188" s="1821"/>
      <c r="BW4188" s="1821"/>
      <c r="BX4188" s="1821"/>
      <c r="BY4188" s="1821"/>
      <c r="BZ4188" s="1821"/>
      <c r="CA4188" s="1821"/>
      <c r="CB4188" s="1821"/>
      <c r="CC4188" s="1821"/>
      <c r="CD4188" s="1821"/>
      <c r="CE4188" s="1821"/>
      <c r="CF4188" s="1821"/>
      <c r="CG4188" s="1821"/>
      <c r="CH4188" s="1821"/>
      <c r="CI4188" s="1821"/>
      <c r="CJ4188" s="1821"/>
      <c r="CK4188" s="1821"/>
    </row>
    <row r="4189" spans="1:89" s="744" customFormat="1" ht="16.5" hidden="1" customHeight="1" x14ac:dyDescent="0.25">
      <c r="A4189" s="1033"/>
      <c r="B4189" s="709" t="s">
        <v>54</v>
      </c>
      <c r="C4189" s="827">
        <v>186</v>
      </c>
      <c r="D4189" s="961" t="s">
        <v>55</v>
      </c>
      <c r="E4189" s="758">
        <v>410</v>
      </c>
      <c r="F4189" s="714"/>
      <c r="G4189" s="714"/>
      <c r="H4189" s="700">
        <f>G4189+F4189</f>
        <v>0</v>
      </c>
      <c r="I4189" s="714"/>
      <c r="J4189" s="714">
        <f t="shared" si="482"/>
        <v>76260</v>
      </c>
      <c r="K4189" s="700">
        <f t="shared" si="480"/>
        <v>76260</v>
      </c>
      <c r="L4189" s="714"/>
      <c r="M4189" s="714"/>
      <c r="N4189" s="700">
        <f t="shared" si="481"/>
        <v>0</v>
      </c>
      <c r="O4189" s="974">
        <f>N4189+K4189+H4189</f>
        <v>76260</v>
      </c>
      <c r="P4189" s="956"/>
      <c r="Q4189" s="1821"/>
      <c r="R4189" s="1821"/>
      <c r="S4189" s="1821"/>
      <c r="T4189" s="1821"/>
      <c r="U4189" s="1821"/>
      <c r="V4189" s="1821"/>
      <c r="W4189" s="1821"/>
      <c r="X4189" s="1821"/>
      <c r="Y4189" s="1821"/>
      <c r="Z4189" s="1821"/>
      <c r="AA4189" s="1821"/>
      <c r="AB4189" s="1821"/>
      <c r="AC4189" s="1821"/>
      <c r="AD4189" s="1821"/>
      <c r="AE4189" s="1821"/>
      <c r="AF4189" s="1821"/>
      <c r="AG4189" s="1821"/>
      <c r="AH4189" s="1821"/>
      <c r="AI4189" s="1821"/>
      <c r="AJ4189" s="1821"/>
      <c r="AK4189" s="1821"/>
      <c r="AL4189" s="1821"/>
      <c r="AM4189" s="1821"/>
      <c r="AN4189" s="1821"/>
      <c r="AO4189" s="1821"/>
      <c r="AP4189" s="1821"/>
      <c r="AQ4189" s="1821"/>
      <c r="AR4189" s="1821"/>
      <c r="AS4189" s="1821"/>
      <c r="AT4189" s="1821"/>
      <c r="AU4189" s="1821"/>
      <c r="AV4189" s="1821"/>
      <c r="AW4189" s="1821"/>
      <c r="AX4189" s="1821"/>
      <c r="AY4189" s="1821"/>
      <c r="AZ4189" s="1821"/>
      <c r="BA4189" s="1821"/>
      <c r="BB4189" s="1821"/>
      <c r="BC4189" s="1821"/>
      <c r="BD4189" s="1821"/>
      <c r="BE4189" s="1821"/>
      <c r="BF4189" s="1821"/>
      <c r="BG4189" s="1821"/>
      <c r="BH4189" s="1821"/>
      <c r="BI4189" s="1821"/>
      <c r="BJ4189" s="1821"/>
      <c r="BK4189" s="1821"/>
      <c r="BL4189" s="1821"/>
      <c r="BM4189" s="1821"/>
      <c r="BN4189" s="1821"/>
      <c r="BO4189" s="1821"/>
      <c r="BP4189" s="1821"/>
      <c r="BQ4189" s="1821"/>
      <c r="BR4189" s="1821"/>
      <c r="BS4189" s="1821"/>
      <c r="BT4189" s="1821"/>
      <c r="BU4189" s="1821"/>
      <c r="BV4189" s="1821"/>
      <c r="BW4189" s="1821"/>
      <c r="BX4189" s="1821"/>
      <c r="BY4189" s="1821"/>
      <c r="BZ4189" s="1821"/>
      <c r="CA4189" s="1821"/>
      <c r="CB4189" s="1821"/>
      <c r="CC4189" s="1821"/>
      <c r="CD4189" s="1821"/>
      <c r="CE4189" s="1821"/>
      <c r="CF4189" s="1821"/>
      <c r="CG4189" s="1821"/>
      <c r="CH4189" s="1821"/>
      <c r="CI4189" s="1821"/>
      <c r="CJ4189" s="1821"/>
      <c r="CK4189" s="1821"/>
    </row>
    <row r="4190" spans="1:89" s="744" customFormat="1" ht="16.5" hidden="1" customHeight="1" x14ac:dyDescent="0.25">
      <c r="A4190" s="1033"/>
      <c r="B4190" s="709" t="s">
        <v>52</v>
      </c>
      <c r="C4190" s="827">
        <v>132</v>
      </c>
      <c r="D4190" s="961" t="s">
        <v>55</v>
      </c>
      <c r="E4190" s="758">
        <v>501</v>
      </c>
      <c r="F4190" s="714"/>
      <c r="G4190" s="714"/>
      <c r="H4190" s="700">
        <f>G4190+F4190</f>
        <v>0</v>
      </c>
      <c r="I4190" s="714"/>
      <c r="J4190" s="714">
        <f t="shared" si="482"/>
        <v>66132</v>
      </c>
      <c r="K4190" s="700">
        <f t="shared" si="480"/>
        <v>66132</v>
      </c>
      <c r="L4190" s="714"/>
      <c r="M4190" s="714"/>
      <c r="N4190" s="700">
        <f t="shared" si="481"/>
        <v>0</v>
      </c>
      <c r="O4190" s="974">
        <f>N4190+K4190+H4190</f>
        <v>66132</v>
      </c>
      <c r="P4190" s="956"/>
      <c r="Q4190" s="1821"/>
      <c r="R4190" s="1821"/>
      <c r="S4190" s="1821"/>
      <c r="T4190" s="1821"/>
      <c r="U4190" s="1821"/>
      <c r="V4190" s="1821"/>
      <c r="W4190" s="1821"/>
      <c r="X4190" s="1821"/>
      <c r="Y4190" s="1821"/>
      <c r="Z4190" s="1821"/>
      <c r="AA4190" s="1821"/>
      <c r="AB4190" s="1821"/>
      <c r="AC4190" s="1821"/>
      <c r="AD4190" s="1821"/>
      <c r="AE4190" s="1821"/>
      <c r="AF4190" s="1821"/>
      <c r="AG4190" s="1821"/>
      <c r="AH4190" s="1821"/>
      <c r="AI4190" s="1821"/>
      <c r="AJ4190" s="1821"/>
      <c r="AK4190" s="1821"/>
      <c r="AL4190" s="1821"/>
      <c r="AM4190" s="1821"/>
      <c r="AN4190" s="1821"/>
      <c r="AO4190" s="1821"/>
      <c r="AP4190" s="1821"/>
      <c r="AQ4190" s="1821"/>
      <c r="AR4190" s="1821"/>
      <c r="AS4190" s="1821"/>
      <c r="AT4190" s="1821"/>
      <c r="AU4190" s="1821"/>
      <c r="AV4190" s="1821"/>
      <c r="AW4190" s="1821"/>
      <c r="AX4190" s="1821"/>
      <c r="AY4190" s="1821"/>
      <c r="AZ4190" s="1821"/>
      <c r="BA4190" s="1821"/>
      <c r="BB4190" s="1821"/>
      <c r="BC4190" s="1821"/>
      <c r="BD4190" s="1821"/>
      <c r="BE4190" s="1821"/>
      <c r="BF4190" s="1821"/>
      <c r="BG4190" s="1821"/>
      <c r="BH4190" s="1821"/>
      <c r="BI4190" s="1821"/>
      <c r="BJ4190" s="1821"/>
      <c r="BK4190" s="1821"/>
      <c r="BL4190" s="1821"/>
      <c r="BM4190" s="1821"/>
      <c r="BN4190" s="1821"/>
      <c r="BO4190" s="1821"/>
      <c r="BP4190" s="1821"/>
      <c r="BQ4190" s="1821"/>
      <c r="BR4190" s="1821"/>
      <c r="BS4190" s="1821"/>
      <c r="BT4190" s="1821"/>
      <c r="BU4190" s="1821"/>
      <c r="BV4190" s="1821"/>
      <c r="BW4190" s="1821"/>
      <c r="BX4190" s="1821"/>
      <c r="BY4190" s="1821"/>
      <c r="BZ4190" s="1821"/>
      <c r="CA4190" s="1821"/>
      <c r="CB4190" s="1821"/>
      <c r="CC4190" s="1821"/>
      <c r="CD4190" s="1821"/>
      <c r="CE4190" s="1821"/>
      <c r="CF4190" s="1821"/>
      <c r="CG4190" s="1821"/>
      <c r="CH4190" s="1821"/>
      <c r="CI4190" s="1821"/>
      <c r="CJ4190" s="1821"/>
      <c r="CK4190" s="1821"/>
    </row>
    <row r="4191" spans="1:89" s="744" customFormat="1" ht="16.5" hidden="1" customHeight="1" x14ac:dyDescent="0.25">
      <c r="A4191" s="1033"/>
      <c r="B4191" s="709" t="s">
        <v>1372</v>
      </c>
      <c r="C4191" s="827">
        <v>108</v>
      </c>
      <c r="D4191" s="961" t="s">
        <v>55</v>
      </c>
      <c r="E4191" s="758">
        <v>131</v>
      </c>
      <c r="F4191" s="714"/>
      <c r="G4191" s="714"/>
      <c r="H4191" s="700"/>
      <c r="I4191" s="714"/>
      <c r="J4191" s="714">
        <f t="shared" si="482"/>
        <v>14148</v>
      </c>
      <c r="K4191" s="700">
        <f t="shared" si="480"/>
        <v>14148</v>
      </c>
      <c r="L4191" s="714"/>
      <c r="M4191" s="714"/>
      <c r="N4191" s="700"/>
      <c r="O4191" s="974">
        <f>N4191+K4191+H4191</f>
        <v>14148</v>
      </c>
      <c r="P4191" s="956"/>
      <c r="Q4191" s="1821"/>
      <c r="R4191" s="1821"/>
      <c r="S4191" s="1821"/>
      <c r="T4191" s="1821"/>
      <c r="U4191" s="1821"/>
      <c r="V4191" s="1821"/>
      <c r="W4191" s="1821"/>
      <c r="X4191" s="1821"/>
      <c r="Y4191" s="1821"/>
      <c r="Z4191" s="1821"/>
      <c r="AA4191" s="1821"/>
      <c r="AB4191" s="1821"/>
      <c r="AC4191" s="1821"/>
      <c r="AD4191" s="1821"/>
      <c r="AE4191" s="1821"/>
      <c r="AF4191" s="1821"/>
      <c r="AG4191" s="1821"/>
      <c r="AH4191" s="1821"/>
      <c r="AI4191" s="1821"/>
      <c r="AJ4191" s="1821"/>
      <c r="AK4191" s="1821"/>
      <c r="AL4191" s="1821"/>
      <c r="AM4191" s="1821"/>
      <c r="AN4191" s="1821"/>
      <c r="AO4191" s="1821"/>
      <c r="AP4191" s="1821"/>
      <c r="AQ4191" s="1821"/>
      <c r="AR4191" s="1821"/>
      <c r="AS4191" s="1821"/>
      <c r="AT4191" s="1821"/>
      <c r="AU4191" s="1821"/>
      <c r="AV4191" s="1821"/>
      <c r="AW4191" s="1821"/>
      <c r="AX4191" s="1821"/>
      <c r="AY4191" s="1821"/>
      <c r="AZ4191" s="1821"/>
      <c r="BA4191" s="1821"/>
      <c r="BB4191" s="1821"/>
      <c r="BC4191" s="1821"/>
      <c r="BD4191" s="1821"/>
      <c r="BE4191" s="1821"/>
      <c r="BF4191" s="1821"/>
      <c r="BG4191" s="1821"/>
      <c r="BH4191" s="1821"/>
      <c r="BI4191" s="1821"/>
      <c r="BJ4191" s="1821"/>
      <c r="BK4191" s="1821"/>
      <c r="BL4191" s="1821"/>
      <c r="BM4191" s="1821"/>
      <c r="BN4191" s="1821"/>
      <c r="BO4191" s="1821"/>
      <c r="BP4191" s="1821"/>
      <c r="BQ4191" s="1821"/>
      <c r="BR4191" s="1821"/>
      <c r="BS4191" s="1821"/>
      <c r="BT4191" s="1821"/>
      <c r="BU4191" s="1821"/>
      <c r="BV4191" s="1821"/>
      <c r="BW4191" s="1821"/>
      <c r="BX4191" s="1821"/>
      <c r="BY4191" s="1821"/>
      <c r="BZ4191" s="1821"/>
      <c r="CA4191" s="1821"/>
      <c r="CB4191" s="1821"/>
      <c r="CC4191" s="1821"/>
      <c r="CD4191" s="1821"/>
      <c r="CE4191" s="1821"/>
      <c r="CF4191" s="1821"/>
      <c r="CG4191" s="1821"/>
      <c r="CH4191" s="1821"/>
      <c r="CI4191" s="1821"/>
      <c r="CJ4191" s="1821"/>
      <c r="CK4191" s="1821"/>
    </row>
    <row r="4192" spans="1:89" s="744" customFormat="1" ht="16.5" hidden="1" customHeight="1" x14ac:dyDescent="0.25">
      <c r="A4192" s="1033"/>
      <c r="B4192" s="709" t="s">
        <v>1286</v>
      </c>
      <c r="C4192" s="827"/>
      <c r="D4192" s="961"/>
      <c r="E4192" s="758"/>
      <c r="F4192" s="714"/>
      <c r="G4192" s="714"/>
      <c r="H4192" s="700"/>
      <c r="I4192" s="714"/>
      <c r="J4192" s="714">
        <f t="shared" si="482"/>
        <v>0</v>
      </c>
      <c r="K4192" s="700"/>
      <c r="L4192" s="714"/>
      <c r="M4192" s="714"/>
      <c r="N4192" s="700"/>
      <c r="O4192" s="974"/>
      <c r="P4192" s="956"/>
      <c r="Q4192" s="1821"/>
      <c r="R4192" s="1821"/>
      <c r="S4192" s="1821"/>
      <c r="T4192" s="1821"/>
      <c r="U4192" s="1821"/>
      <c r="V4192" s="1821"/>
      <c r="W4192" s="1821"/>
      <c r="X4192" s="1821"/>
      <c r="Y4192" s="1821"/>
      <c r="Z4192" s="1821"/>
      <c r="AA4192" s="1821"/>
      <c r="AB4192" s="1821"/>
      <c r="AC4192" s="1821"/>
      <c r="AD4192" s="1821"/>
      <c r="AE4192" s="1821"/>
      <c r="AF4192" s="1821"/>
      <c r="AG4192" s="1821"/>
      <c r="AH4192" s="1821"/>
      <c r="AI4192" s="1821"/>
      <c r="AJ4192" s="1821"/>
      <c r="AK4192" s="1821"/>
      <c r="AL4192" s="1821"/>
      <c r="AM4192" s="1821"/>
      <c r="AN4192" s="1821"/>
      <c r="AO4192" s="1821"/>
      <c r="AP4192" s="1821"/>
      <c r="AQ4192" s="1821"/>
      <c r="AR4192" s="1821"/>
      <c r="AS4192" s="1821"/>
      <c r="AT4192" s="1821"/>
      <c r="AU4192" s="1821"/>
      <c r="AV4192" s="1821"/>
      <c r="AW4192" s="1821"/>
      <c r="AX4192" s="1821"/>
      <c r="AY4192" s="1821"/>
      <c r="AZ4192" s="1821"/>
      <c r="BA4192" s="1821"/>
      <c r="BB4192" s="1821"/>
      <c r="BC4192" s="1821"/>
      <c r="BD4192" s="1821"/>
      <c r="BE4192" s="1821"/>
      <c r="BF4192" s="1821"/>
      <c r="BG4192" s="1821"/>
      <c r="BH4192" s="1821"/>
      <c r="BI4192" s="1821"/>
      <c r="BJ4192" s="1821"/>
      <c r="BK4192" s="1821"/>
      <c r="BL4192" s="1821"/>
      <c r="BM4192" s="1821"/>
      <c r="BN4192" s="1821"/>
      <c r="BO4192" s="1821"/>
      <c r="BP4192" s="1821"/>
      <c r="BQ4192" s="1821"/>
      <c r="BR4192" s="1821"/>
      <c r="BS4192" s="1821"/>
      <c r="BT4192" s="1821"/>
      <c r="BU4192" s="1821"/>
      <c r="BV4192" s="1821"/>
      <c r="BW4192" s="1821"/>
      <c r="BX4192" s="1821"/>
      <c r="BY4192" s="1821"/>
      <c r="BZ4192" s="1821"/>
      <c r="CA4192" s="1821"/>
      <c r="CB4192" s="1821"/>
      <c r="CC4192" s="1821"/>
      <c r="CD4192" s="1821"/>
      <c r="CE4192" s="1821"/>
      <c r="CF4192" s="1821"/>
      <c r="CG4192" s="1821"/>
      <c r="CH4192" s="1821"/>
      <c r="CI4192" s="1821"/>
      <c r="CJ4192" s="1821"/>
      <c r="CK4192" s="1821"/>
    </row>
    <row r="4193" spans="1:89" s="744" customFormat="1" ht="16.5" hidden="1" customHeight="1" x14ac:dyDescent="0.25">
      <c r="A4193" s="1033"/>
      <c r="B4193" s="709" t="s">
        <v>359</v>
      </c>
      <c r="C4193" s="827">
        <v>8</v>
      </c>
      <c r="D4193" s="961" t="s">
        <v>51</v>
      </c>
      <c r="E4193" s="758">
        <v>200</v>
      </c>
      <c r="F4193" s="714"/>
      <c r="G4193" s="714"/>
      <c r="H4193" s="700"/>
      <c r="I4193" s="714"/>
      <c r="J4193" s="714">
        <f t="shared" si="482"/>
        <v>1600</v>
      </c>
      <c r="K4193" s="700">
        <f>H4193+J4193</f>
        <v>1600</v>
      </c>
      <c r="L4193" s="714"/>
      <c r="M4193" s="714"/>
      <c r="N4193" s="700"/>
      <c r="O4193" s="974">
        <f>H4193+K4193+N4193</f>
        <v>1600</v>
      </c>
      <c r="P4193" s="956"/>
      <c r="Q4193" s="1821"/>
      <c r="R4193" s="1821"/>
      <c r="S4193" s="1821"/>
      <c r="T4193" s="1821"/>
      <c r="U4193" s="1821"/>
      <c r="V4193" s="1821"/>
      <c r="W4193" s="1821"/>
      <c r="X4193" s="1821"/>
      <c r="Y4193" s="1821"/>
      <c r="Z4193" s="1821"/>
      <c r="AA4193" s="1821"/>
      <c r="AB4193" s="1821"/>
      <c r="AC4193" s="1821"/>
      <c r="AD4193" s="1821"/>
      <c r="AE4193" s="1821"/>
      <c r="AF4193" s="1821"/>
      <c r="AG4193" s="1821"/>
      <c r="AH4193" s="1821"/>
      <c r="AI4193" s="1821"/>
      <c r="AJ4193" s="1821"/>
      <c r="AK4193" s="1821"/>
      <c r="AL4193" s="1821"/>
      <c r="AM4193" s="1821"/>
      <c r="AN4193" s="1821"/>
      <c r="AO4193" s="1821"/>
      <c r="AP4193" s="1821"/>
      <c r="AQ4193" s="1821"/>
      <c r="AR4193" s="1821"/>
      <c r="AS4193" s="1821"/>
      <c r="AT4193" s="1821"/>
      <c r="AU4193" s="1821"/>
      <c r="AV4193" s="1821"/>
      <c r="AW4193" s="1821"/>
      <c r="AX4193" s="1821"/>
      <c r="AY4193" s="1821"/>
      <c r="AZ4193" s="1821"/>
      <c r="BA4193" s="1821"/>
      <c r="BB4193" s="1821"/>
      <c r="BC4193" s="1821"/>
      <c r="BD4193" s="1821"/>
      <c r="BE4193" s="1821"/>
      <c r="BF4193" s="1821"/>
      <c r="BG4193" s="1821"/>
      <c r="BH4193" s="1821"/>
      <c r="BI4193" s="1821"/>
      <c r="BJ4193" s="1821"/>
      <c r="BK4193" s="1821"/>
      <c r="BL4193" s="1821"/>
      <c r="BM4193" s="1821"/>
      <c r="BN4193" s="1821"/>
      <c r="BO4193" s="1821"/>
      <c r="BP4193" s="1821"/>
      <c r="BQ4193" s="1821"/>
      <c r="BR4193" s="1821"/>
      <c r="BS4193" s="1821"/>
      <c r="BT4193" s="1821"/>
      <c r="BU4193" s="1821"/>
      <c r="BV4193" s="1821"/>
      <c r="BW4193" s="1821"/>
      <c r="BX4193" s="1821"/>
      <c r="BY4193" s="1821"/>
      <c r="BZ4193" s="1821"/>
      <c r="CA4193" s="1821"/>
      <c r="CB4193" s="1821"/>
      <c r="CC4193" s="1821"/>
      <c r="CD4193" s="1821"/>
      <c r="CE4193" s="1821"/>
      <c r="CF4193" s="1821"/>
      <c r="CG4193" s="1821"/>
      <c r="CH4193" s="1821"/>
      <c r="CI4193" s="1821"/>
      <c r="CJ4193" s="1821"/>
      <c r="CK4193" s="1821"/>
    </row>
    <row r="4194" spans="1:89" s="744" customFormat="1" ht="16.5" hidden="1" customHeight="1" x14ac:dyDescent="0.25">
      <c r="A4194" s="1033"/>
      <c r="B4194" s="709" t="s">
        <v>1387</v>
      </c>
      <c r="C4194" s="827">
        <v>104</v>
      </c>
      <c r="D4194" s="961" t="s">
        <v>66</v>
      </c>
      <c r="E4194" s="758">
        <v>703</v>
      </c>
      <c r="F4194" s="714"/>
      <c r="G4194" s="714"/>
      <c r="H4194" s="700"/>
      <c r="I4194" s="714"/>
      <c r="J4194" s="714">
        <f t="shared" si="482"/>
        <v>73112</v>
      </c>
      <c r="K4194" s="700">
        <f>H4194+J4194</f>
        <v>73112</v>
      </c>
      <c r="L4194" s="714"/>
      <c r="M4194" s="714"/>
      <c r="N4194" s="700"/>
      <c r="O4194" s="974">
        <f>H4194+K4194+N4194</f>
        <v>73112</v>
      </c>
      <c r="P4194" s="956"/>
      <c r="Q4194" s="1821"/>
      <c r="R4194" s="1821"/>
      <c r="S4194" s="1821"/>
      <c r="T4194" s="1821"/>
      <c r="U4194" s="1821"/>
      <c r="V4194" s="1821"/>
      <c r="W4194" s="1821"/>
      <c r="X4194" s="1821"/>
      <c r="Y4194" s="1821"/>
      <c r="Z4194" s="1821"/>
      <c r="AA4194" s="1821"/>
      <c r="AB4194" s="1821"/>
      <c r="AC4194" s="1821"/>
      <c r="AD4194" s="1821"/>
      <c r="AE4194" s="1821"/>
      <c r="AF4194" s="1821"/>
      <c r="AG4194" s="1821"/>
      <c r="AH4194" s="1821"/>
      <c r="AI4194" s="1821"/>
      <c r="AJ4194" s="1821"/>
      <c r="AK4194" s="1821"/>
      <c r="AL4194" s="1821"/>
      <c r="AM4194" s="1821"/>
      <c r="AN4194" s="1821"/>
      <c r="AO4194" s="1821"/>
      <c r="AP4194" s="1821"/>
      <c r="AQ4194" s="1821"/>
      <c r="AR4194" s="1821"/>
      <c r="AS4194" s="1821"/>
      <c r="AT4194" s="1821"/>
      <c r="AU4194" s="1821"/>
      <c r="AV4194" s="1821"/>
      <c r="AW4194" s="1821"/>
      <c r="AX4194" s="1821"/>
      <c r="AY4194" s="1821"/>
      <c r="AZ4194" s="1821"/>
      <c r="BA4194" s="1821"/>
      <c r="BB4194" s="1821"/>
      <c r="BC4194" s="1821"/>
      <c r="BD4194" s="1821"/>
      <c r="BE4194" s="1821"/>
      <c r="BF4194" s="1821"/>
      <c r="BG4194" s="1821"/>
      <c r="BH4194" s="1821"/>
      <c r="BI4194" s="1821"/>
      <c r="BJ4194" s="1821"/>
      <c r="BK4194" s="1821"/>
      <c r="BL4194" s="1821"/>
      <c r="BM4194" s="1821"/>
      <c r="BN4194" s="1821"/>
      <c r="BO4194" s="1821"/>
      <c r="BP4194" s="1821"/>
      <c r="BQ4194" s="1821"/>
      <c r="BR4194" s="1821"/>
      <c r="BS4194" s="1821"/>
      <c r="BT4194" s="1821"/>
      <c r="BU4194" s="1821"/>
      <c r="BV4194" s="1821"/>
      <c r="BW4194" s="1821"/>
      <c r="BX4194" s="1821"/>
      <c r="BY4194" s="1821"/>
      <c r="BZ4194" s="1821"/>
      <c r="CA4194" s="1821"/>
      <c r="CB4194" s="1821"/>
      <c r="CC4194" s="1821"/>
      <c r="CD4194" s="1821"/>
      <c r="CE4194" s="1821"/>
      <c r="CF4194" s="1821"/>
      <c r="CG4194" s="1821"/>
      <c r="CH4194" s="1821"/>
      <c r="CI4194" s="1821"/>
      <c r="CJ4194" s="1821"/>
      <c r="CK4194" s="1821"/>
    </row>
    <row r="4195" spans="1:89" s="744" customFormat="1" ht="16.5" hidden="1" customHeight="1" x14ac:dyDescent="0.25">
      <c r="A4195" s="1033"/>
      <c r="B4195" s="709" t="s">
        <v>1388</v>
      </c>
      <c r="C4195" s="827">
        <v>156</v>
      </c>
      <c r="D4195" s="961" t="s">
        <v>55</v>
      </c>
      <c r="E4195" s="758">
        <v>150</v>
      </c>
      <c r="F4195" s="714"/>
      <c r="G4195" s="714"/>
      <c r="H4195" s="700"/>
      <c r="I4195" s="714"/>
      <c r="J4195" s="714">
        <f t="shared" si="482"/>
        <v>23400</v>
      </c>
      <c r="K4195" s="700">
        <f>H4195+J4195</f>
        <v>23400</v>
      </c>
      <c r="L4195" s="714"/>
      <c r="M4195" s="714"/>
      <c r="N4195" s="700"/>
      <c r="O4195" s="974">
        <f>H4195+K4195+N4195</f>
        <v>23400</v>
      </c>
      <c r="P4195" s="956"/>
      <c r="Q4195" s="1821"/>
      <c r="R4195" s="1821"/>
      <c r="S4195" s="1821"/>
      <c r="T4195" s="1821"/>
      <c r="U4195" s="1821"/>
      <c r="V4195" s="1821"/>
      <c r="W4195" s="1821"/>
      <c r="X4195" s="1821"/>
      <c r="Y4195" s="1821"/>
      <c r="Z4195" s="1821"/>
      <c r="AA4195" s="1821"/>
      <c r="AB4195" s="1821"/>
      <c r="AC4195" s="1821"/>
      <c r="AD4195" s="1821"/>
      <c r="AE4195" s="1821"/>
      <c r="AF4195" s="1821"/>
      <c r="AG4195" s="1821"/>
      <c r="AH4195" s="1821"/>
      <c r="AI4195" s="1821"/>
      <c r="AJ4195" s="1821"/>
      <c r="AK4195" s="1821"/>
      <c r="AL4195" s="1821"/>
      <c r="AM4195" s="1821"/>
      <c r="AN4195" s="1821"/>
      <c r="AO4195" s="1821"/>
      <c r="AP4195" s="1821"/>
      <c r="AQ4195" s="1821"/>
      <c r="AR4195" s="1821"/>
      <c r="AS4195" s="1821"/>
      <c r="AT4195" s="1821"/>
      <c r="AU4195" s="1821"/>
      <c r="AV4195" s="1821"/>
      <c r="AW4195" s="1821"/>
      <c r="AX4195" s="1821"/>
      <c r="AY4195" s="1821"/>
      <c r="AZ4195" s="1821"/>
      <c r="BA4195" s="1821"/>
      <c r="BB4195" s="1821"/>
      <c r="BC4195" s="1821"/>
      <c r="BD4195" s="1821"/>
      <c r="BE4195" s="1821"/>
      <c r="BF4195" s="1821"/>
      <c r="BG4195" s="1821"/>
      <c r="BH4195" s="1821"/>
      <c r="BI4195" s="1821"/>
      <c r="BJ4195" s="1821"/>
      <c r="BK4195" s="1821"/>
      <c r="BL4195" s="1821"/>
      <c r="BM4195" s="1821"/>
      <c r="BN4195" s="1821"/>
      <c r="BO4195" s="1821"/>
      <c r="BP4195" s="1821"/>
      <c r="BQ4195" s="1821"/>
      <c r="BR4195" s="1821"/>
      <c r="BS4195" s="1821"/>
      <c r="BT4195" s="1821"/>
      <c r="BU4195" s="1821"/>
      <c r="BV4195" s="1821"/>
      <c r="BW4195" s="1821"/>
      <c r="BX4195" s="1821"/>
      <c r="BY4195" s="1821"/>
      <c r="BZ4195" s="1821"/>
      <c r="CA4195" s="1821"/>
      <c r="CB4195" s="1821"/>
      <c r="CC4195" s="1821"/>
      <c r="CD4195" s="1821"/>
      <c r="CE4195" s="1821"/>
      <c r="CF4195" s="1821"/>
      <c r="CG4195" s="1821"/>
      <c r="CH4195" s="1821"/>
      <c r="CI4195" s="1821"/>
      <c r="CJ4195" s="1821"/>
      <c r="CK4195" s="1821"/>
    </row>
    <row r="4196" spans="1:89" s="744" customFormat="1" ht="16.5" hidden="1" customHeight="1" x14ac:dyDescent="0.25">
      <c r="A4196" s="1033"/>
      <c r="B4196" s="709" t="s">
        <v>57</v>
      </c>
      <c r="C4196" s="827"/>
      <c r="D4196" s="961"/>
      <c r="E4196" s="758"/>
      <c r="F4196" s="714"/>
      <c r="G4196" s="714"/>
      <c r="H4196" s="700"/>
      <c r="I4196" s="714"/>
      <c r="J4196" s="714"/>
      <c r="K4196" s="700"/>
      <c r="L4196" s="714"/>
      <c r="M4196" s="714"/>
      <c r="N4196" s="700"/>
      <c r="O4196" s="974"/>
      <c r="P4196" s="956"/>
      <c r="Q4196" s="1821"/>
      <c r="R4196" s="1821"/>
      <c r="S4196" s="1821"/>
      <c r="T4196" s="1821"/>
      <c r="U4196" s="1821"/>
      <c r="V4196" s="1821"/>
      <c r="W4196" s="1821"/>
      <c r="X4196" s="1821"/>
      <c r="Y4196" s="1821"/>
      <c r="Z4196" s="1821"/>
      <c r="AA4196" s="1821"/>
      <c r="AB4196" s="1821"/>
      <c r="AC4196" s="1821"/>
      <c r="AD4196" s="1821"/>
      <c r="AE4196" s="1821"/>
      <c r="AF4196" s="1821"/>
      <c r="AG4196" s="1821"/>
      <c r="AH4196" s="1821"/>
      <c r="AI4196" s="1821"/>
      <c r="AJ4196" s="1821"/>
      <c r="AK4196" s="1821"/>
      <c r="AL4196" s="1821"/>
      <c r="AM4196" s="1821"/>
      <c r="AN4196" s="1821"/>
      <c r="AO4196" s="1821"/>
      <c r="AP4196" s="1821"/>
      <c r="AQ4196" s="1821"/>
      <c r="AR4196" s="1821"/>
      <c r="AS4196" s="1821"/>
      <c r="AT4196" s="1821"/>
      <c r="AU4196" s="1821"/>
      <c r="AV4196" s="1821"/>
      <c r="AW4196" s="1821"/>
      <c r="AX4196" s="1821"/>
      <c r="AY4196" s="1821"/>
      <c r="AZ4196" s="1821"/>
      <c r="BA4196" s="1821"/>
      <c r="BB4196" s="1821"/>
      <c r="BC4196" s="1821"/>
      <c r="BD4196" s="1821"/>
      <c r="BE4196" s="1821"/>
      <c r="BF4196" s="1821"/>
      <c r="BG4196" s="1821"/>
      <c r="BH4196" s="1821"/>
      <c r="BI4196" s="1821"/>
      <c r="BJ4196" s="1821"/>
      <c r="BK4196" s="1821"/>
      <c r="BL4196" s="1821"/>
      <c r="BM4196" s="1821"/>
      <c r="BN4196" s="1821"/>
      <c r="BO4196" s="1821"/>
      <c r="BP4196" s="1821"/>
      <c r="BQ4196" s="1821"/>
      <c r="BR4196" s="1821"/>
      <c r="BS4196" s="1821"/>
      <c r="BT4196" s="1821"/>
      <c r="BU4196" s="1821"/>
      <c r="BV4196" s="1821"/>
      <c r="BW4196" s="1821"/>
      <c r="BX4196" s="1821"/>
      <c r="BY4196" s="1821"/>
      <c r="BZ4196" s="1821"/>
      <c r="CA4196" s="1821"/>
      <c r="CB4196" s="1821"/>
      <c r="CC4196" s="1821"/>
      <c r="CD4196" s="1821"/>
      <c r="CE4196" s="1821"/>
      <c r="CF4196" s="1821"/>
      <c r="CG4196" s="1821"/>
      <c r="CH4196" s="1821"/>
      <c r="CI4196" s="1821"/>
      <c r="CJ4196" s="1821"/>
      <c r="CK4196" s="1821"/>
    </row>
    <row r="4197" spans="1:89" s="744" customFormat="1" ht="16.5" hidden="1" customHeight="1" x14ac:dyDescent="0.25">
      <c r="A4197" s="1033"/>
      <c r="B4197" s="709" t="s">
        <v>1373</v>
      </c>
      <c r="C4197" s="827"/>
      <c r="D4197" s="961" t="s">
        <v>660</v>
      </c>
      <c r="E4197" s="758">
        <v>15000</v>
      </c>
      <c r="F4197" s="714"/>
      <c r="G4197" s="714"/>
      <c r="H4197" s="700"/>
      <c r="I4197" s="714"/>
      <c r="J4197" s="714"/>
      <c r="K4197" s="700"/>
      <c r="L4197" s="714">
        <f>C4197*E4197</f>
        <v>0</v>
      </c>
      <c r="M4197" s="714"/>
      <c r="N4197" s="700">
        <f>L4197</f>
        <v>0</v>
      </c>
      <c r="O4197" s="974">
        <f>N4197+K4197+H4197</f>
        <v>0</v>
      </c>
      <c r="P4197" s="956"/>
      <c r="Q4197" s="1821"/>
      <c r="R4197" s="1821"/>
      <c r="S4197" s="1821"/>
      <c r="T4197" s="1821"/>
      <c r="U4197" s="1821"/>
      <c r="V4197" s="1821"/>
      <c r="W4197" s="1821"/>
      <c r="X4197" s="1821"/>
      <c r="Y4197" s="1821"/>
      <c r="Z4197" s="1821"/>
      <c r="AA4197" s="1821"/>
      <c r="AB4197" s="1821"/>
      <c r="AC4197" s="1821"/>
      <c r="AD4197" s="1821"/>
      <c r="AE4197" s="1821"/>
      <c r="AF4197" s="1821"/>
      <c r="AG4197" s="1821"/>
      <c r="AH4197" s="1821"/>
      <c r="AI4197" s="1821"/>
      <c r="AJ4197" s="1821"/>
      <c r="AK4197" s="1821"/>
      <c r="AL4197" s="1821"/>
      <c r="AM4197" s="1821"/>
      <c r="AN4197" s="1821"/>
      <c r="AO4197" s="1821"/>
      <c r="AP4197" s="1821"/>
      <c r="AQ4197" s="1821"/>
      <c r="AR4197" s="1821"/>
      <c r="AS4197" s="1821"/>
      <c r="AT4197" s="1821"/>
      <c r="AU4197" s="1821"/>
      <c r="AV4197" s="1821"/>
      <c r="AW4197" s="1821"/>
      <c r="AX4197" s="1821"/>
      <c r="AY4197" s="1821"/>
      <c r="AZ4197" s="1821"/>
      <c r="BA4197" s="1821"/>
      <c r="BB4197" s="1821"/>
      <c r="BC4197" s="1821"/>
      <c r="BD4197" s="1821"/>
      <c r="BE4197" s="1821"/>
      <c r="BF4197" s="1821"/>
      <c r="BG4197" s="1821"/>
      <c r="BH4197" s="1821"/>
      <c r="BI4197" s="1821"/>
      <c r="BJ4197" s="1821"/>
      <c r="BK4197" s="1821"/>
      <c r="BL4197" s="1821"/>
      <c r="BM4197" s="1821"/>
      <c r="BN4197" s="1821"/>
      <c r="BO4197" s="1821"/>
      <c r="BP4197" s="1821"/>
      <c r="BQ4197" s="1821"/>
      <c r="BR4197" s="1821"/>
      <c r="BS4197" s="1821"/>
      <c r="BT4197" s="1821"/>
      <c r="BU4197" s="1821"/>
      <c r="BV4197" s="1821"/>
      <c r="BW4197" s="1821"/>
      <c r="BX4197" s="1821"/>
      <c r="BY4197" s="1821"/>
      <c r="BZ4197" s="1821"/>
      <c r="CA4197" s="1821"/>
      <c r="CB4197" s="1821"/>
      <c r="CC4197" s="1821"/>
      <c r="CD4197" s="1821"/>
      <c r="CE4197" s="1821"/>
      <c r="CF4197" s="1821"/>
      <c r="CG4197" s="1821"/>
      <c r="CH4197" s="1821"/>
      <c r="CI4197" s="1821"/>
      <c r="CJ4197" s="1821"/>
      <c r="CK4197" s="1821"/>
    </row>
    <row r="4198" spans="1:89" s="744" customFormat="1" ht="16.5" hidden="1" customHeight="1" x14ac:dyDescent="0.25">
      <c r="A4198" s="1033"/>
      <c r="B4198" s="709"/>
      <c r="C4198" s="827"/>
      <c r="D4198" s="961"/>
      <c r="E4198" s="758"/>
      <c r="F4198" s="714"/>
      <c r="G4198" s="714"/>
      <c r="H4198" s="700"/>
      <c r="I4198" s="714"/>
      <c r="J4198" s="714"/>
      <c r="K4198" s="700"/>
      <c r="L4198" s="714"/>
      <c r="M4198" s="714"/>
      <c r="N4198" s="700"/>
      <c r="O4198" s="974"/>
      <c r="P4198" s="956"/>
      <c r="Q4198" s="1821"/>
      <c r="R4198" s="1821"/>
      <c r="S4198" s="1821"/>
      <c r="T4198" s="1821"/>
      <c r="U4198" s="1821"/>
      <c r="V4198" s="1821"/>
      <c r="W4198" s="1821"/>
      <c r="X4198" s="1821"/>
      <c r="Y4198" s="1821"/>
      <c r="Z4198" s="1821"/>
      <c r="AA4198" s="1821"/>
      <c r="AB4198" s="1821"/>
      <c r="AC4198" s="1821"/>
      <c r="AD4198" s="1821"/>
      <c r="AE4198" s="1821"/>
      <c r="AF4198" s="1821"/>
      <c r="AG4198" s="1821"/>
      <c r="AH4198" s="1821"/>
      <c r="AI4198" s="1821"/>
      <c r="AJ4198" s="1821"/>
      <c r="AK4198" s="1821"/>
      <c r="AL4198" s="1821"/>
      <c r="AM4198" s="1821"/>
      <c r="AN4198" s="1821"/>
      <c r="AO4198" s="1821"/>
      <c r="AP4198" s="1821"/>
      <c r="AQ4198" s="1821"/>
      <c r="AR4198" s="1821"/>
      <c r="AS4198" s="1821"/>
      <c r="AT4198" s="1821"/>
      <c r="AU4198" s="1821"/>
      <c r="AV4198" s="1821"/>
      <c r="AW4198" s="1821"/>
      <c r="AX4198" s="1821"/>
      <c r="AY4198" s="1821"/>
      <c r="AZ4198" s="1821"/>
      <c r="BA4198" s="1821"/>
      <c r="BB4198" s="1821"/>
      <c r="BC4198" s="1821"/>
      <c r="BD4198" s="1821"/>
      <c r="BE4198" s="1821"/>
      <c r="BF4198" s="1821"/>
      <c r="BG4198" s="1821"/>
      <c r="BH4198" s="1821"/>
      <c r="BI4198" s="1821"/>
      <c r="BJ4198" s="1821"/>
      <c r="BK4198" s="1821"/>
      <c r="BL4198" s="1821"/>
      <c r="BM4198" s="1821"/>
      <c r="BN4198" s="1821"/>
      <c r="BO4198" s="1821"/>
      <c r="BP4198" s="1821"/>
      <c r="BQ4198" s="1821"/>
      <c r="BR4198" s="1821"/>
      <c r="BS4198" s="1821"/>
      <c r="BT4198" s="1821"/>
      <c r="BU4198" s="1821"/>
      <c r="BV4198" s="1821"/>
      <c r="BW4198" s="1821"/>
      <c r="BX4198" s="1821"/>
      <c r="BY4198" s="1821"/>
      <c r="BZ4198" s="1821"/>
      <c r="CA4198" s="1821"/>
      <c r="CB4198" s="1821"/>
      <c r="CC4198" s="1821"/>
      <c r="CD4198" s="1821"/>
      <c r="CE4198" s="1821"/>
      <c r="CF4198" s="1821"/>
      <c r="CG4198" s="1821"/>
      <c r="CH4198" s="1821"/>
      <c r="CI4198" s="1821"/>
      <c r="CJ4198" s="1821"/>
      <c r="CK4198" s="1821"/>
    </row>
    <row r="4199" spans="1:89" s="796" customFormat="1" ht="16.5" hidden="1" customHeight="1" x14ac:dyDescent="0.25">
      <c r="A4199" s="1044">
        <v>12</v>
      </c>
      <c r="B4199" s="1038" t="s">
        <v>426</v>
      </c>
      <c r="C4199" s="1045"/>
      <c r="D4199" s="1046"/>
      <c r="E4199" s="1047" t="s">
        <v>49</v>
      </c>
      <c r="F4199" s="745"/>
      <c r="G4199" s="745"/>
      <c r="H4199" s="1048"/>
      <c r="I4199" s="745"/>
      <c r="J4199" s="745"/>
      <c r="K4199" s="1048"/>
      <c r="L4199" s="745"/>
      <c r="M4199" s="745"/>
      <c r="N4199" s="1048"/>
      <c r="O4199" s="1049"/>
      <c r="P4199" s="1050"/>
      <c r="Q4199" s="1839"/>
      <c r="R4199" s="1839"/>
      <c r="S4199" s="1839"/>
      <c r="T4199" s="1839"/>
      <c r="U4199" s="1839"/>
      <c r="V4199" s="1839"/>
      <c r="W4199" s="1839"/>
      <c r="X4199" s="1839"/>
      <c r="Y4199" s="1839"/>
      <c r="Z4199" s="1839"/>
      <c r="AA4199" s="1839"/>
      <c r="AB4199" s="1839"/>
      <c r="AC4199" s="1839"/>
      <c r="AD4199" s="1839"/>
      <c r="AE4199" s="1839"/>
      <c r="AF4199" s="1839"/>
      <c r="AG4199" s="1839"/>
      <c r="AH4199" s="1839"/>
      <c r="AI4199" s="1839"/>
      <c r="AJ4199" s="1839"/>
      <c r="AK4199" s="1839"/>
      <c r="AL4199" s="1839"/>
      <c r="AM4199" s="1839"/>
      <c r="AN4199" s="1839"/>
      <c r="AO4199" s="1839"/>
      <c r="AP4199" s="1839"/>
      <c r="AQ4199" s="1839"/>
      <c r="AR4199" s="1839"/>
      <c r="AS4199" s="1839"/>
      <c r="AT4199" s="1839"/>
      <c r="AU4199" s="1839"/>
      <c r="AV4199" s="1839"/>
      <c r="AW4199" s="1839"/>
      <c r="AX4199" s="1839"/>
      <c r="AY4199" s="1839"/>
      <c r="AZ4199" s="1839"/>
      <c r="BA4199" s="1839"/>
      <c r="BB4199" s="1839"/>
      <c r="BC4199" s="1839"/>
      <c r="BD4199" s="1839"/>
      <c r="BE4199" s="1839"/>
      <c r="BF4199" s="1839"/>
      <c r="BG4199" s="1839"/>
      <c r="BH4199" s="1839"/>
      <c r="BI4199" s="1839"/>
      <c r="BJ4199" s="1839"/>
      <c r="BK4199" s="1839"/>
      <c r="BL4199" s="1839"/>
      <c r="BM4199" s="1839"/>
      <c r="BN4199" s="1839"/>
      <c r="BO4199" s="1839"/>
      <c r="BP4199" s="1839"/>
      <c r="BQ4199" s="1839"/>
      <c r="BR4199" s="1839"/>
      <c r="BS4199" s="1839"/>
      <c r="BT4199" s="1839"/>
      <c r="BU4199" s="1839"/>
      <c r="BV4199" s="1839"/>
      <c r="BW4199" s="1839"/>
      <c r="BX4199" s="1839"/>
      <c r="BY4199" s="1839"/>
      <c r="BZ4199" s="1839"/>
      <c r="CA4199" s="1839"/>
      <c r="CB4199" s="1839"/>
      <c r="CC4199" s="1839"/>
      <c r="CD4199" s="1839"/>
      <c r="CE4199" s="1839"/>
      <c r="CF4199" s="1839"/>
      <c r="CG4199" s="1839"/>
      <c r="CH4199" s="1839"/>
      <c r="CI4199" s="1839"/>
      <c r="CJ4199" s="1839"/>
      <c r="CK4199" s="1839"/>
    </row>
    <row r="4200" spans="1:89" s="796" customFormat="1" ht="16.5" hidden="1" customHeight="1" x14ac:dyDescent="0.25">
      <c r="A4200" s="1044" t="s">
        <v>49</v>
      </c>
      <c r="B4200" s="1038" t="s">
        <v>27</v>
      </c>
      <c r="C4200" s="1045">
        <f>SUM(O4201:O4211)</f>
        <v>279824</v>
      </c>
      <c r="D4200" s="1046"/>
      <c r="E4200" s="1047"/>
      <c r="F4200" s="745"/>
      <c r="G4200" s="745"/>
      <c r="H4200" s="1048"/>
      <c r="I4200" s="745"/>
      <c r="J4200" s="745"/>
      <c r="K4200" s="1048"/>
      <c r="L4200" s="745"/>
      <c r="M4200" s="745"/>
      <c r="N4200" s="1048"/>
      <c r="O4200" s="1049"/>
      <c r="P4200" s="1050"/>
      <c r="Q4200" s="1839"/>
      <c r="R4200" s="1839"/>
      <c r="S4200" s="1839"/>
      <c r="T4200" s="1839"/>
      <c r="U4200" s="1839"/>
      <c r="V4200" s="1839"/>
      <c r="W4200" s="1839"/>
      <c r="X4200" s="1839"/>
      <c r="Y4200" s="1839"/>
      <c r="Z4200" s="1839"/>
      <c r="AA4200" s="1839"/>
      <c r="AB4200" s="1839"/>
      <c r="AC4200" s="1839"/>
      <c r="AD4200" s="1839"/>
      <c r="AE4200" s="1839"/>
      <c r="AF4200" s="1839"/>
      <c r="AG4200" s="1839"/>
      <c r="AH4200" s="1839"/>
      <c r="AI4200" s="1839"/>
      <c r="AJ4200" s="1839"/>
      <c r="AK4200" s="1839"/>
      <c r="AL4200" s="1839"/>
      <c r="AM4200" s="1839"/>
      <c r="AN4200" s="1839"/>
      <c r="AO4200" s="1839"/>
      <c r="AP4200" s="1839"/>
      <c r="AQ4200" s="1839"/>
      <c r="AR4200" s="1839"/>
      <c r="AS4200" s="1839"/>
      <c r="AT4200" s="1839"/>
      <c r="AU4200" s="1839"/>
      <c r="AV4200" s="1839"/>
      <c r="AW4200" s="1839"/>
      <c r="AX4200" s="1839"/>
      <c r="AY4200" s="1839"/>
      <c r="AZ4200" s="1839"/>
      <c r="BA4200" s="1839"/>
      <c r="BB4200" s="1839"/>
      <c r="BC4200" s="1839"/>
      <c r="BD4200" s="1839"/>
      <c r="BE4200" s="1839"/>
      <c r="BF4200" s="1839"/>
      <c r="BG4200" s="1839"/>
      <c r="BH4200" s="1839"/>
      <c r="BI4200" s="1839"/>
      <c r="BJ4200" s="1839"/>
      <c r="BK4200" s="1839"/>
      <c r="BL4200" s="1839"/>
      <c r="BM4200" s="1839"/>
      <c r="BN4200" s="1839"/>
      <c r="BO4200" s="1839"/>
      <c r="BP4200" s="1839"/>
      <c r="BQ4200" s="1839"/>
      <c r="BR4200" s="1839"/>
      <c r="BS4200" s="1839"/>
      <c r="BT4200" s="1839"/>
      <c r="BU4200" s="1839"/>
      <c r="BV4200" s="1839"/>
      <c r="BW4200" s="1839"/>
      <c r="BX4200" s="1839"/>
      <c r="BY4200" s="1839"/>
      <c r="BZ4200" s="1839"/>
      <c r="CA4200" s="1839"/>
      <c r="CB4200" s="1839"/>
      <c r="CC4200" s="1839"/>
      <c r="CD4200" s="1839"/>
      <c r="CE4200" s="1839"/>
      <c r="CF4200" s="1839"/>
      <c r="CG4200" s="1839"/>
      <c r="CH4200" s="1839"/>
      <c r="CI4200" s="1839"/>
      <c r="CJ4200" s="1839"/>
      <c r="CK4200" s="1839"/>
    </row>
    <row r="4201" spans="1:89" s="744" customFormat="1" ht="16.5" hidden="1" customHeight="1" x14ac:dyDescent="0.25">
      <c r="A4201" s="1033"/>
      <c r="B4201" s="709" t="s">
        <v>213</v>
      </c>
      <c r="C4201" s="827">
        <v>1</v>
      </c>
      <c r="D4201" s="961" t="s">
        <v>25</v>
      </c>
      <c r="E4201" s="758">
        <v>50000</v>
      </c>
      <c r="F4201" s="714"/>
      <c r="G4201" s="714"/>
      <c r="H4201" s="700">
        <f>G4201+F4201</f>
        <v>0</v>
      </c>
      <c r="I4201" s="714"/>
      <c r="J4201" s="714">
        <f t="shared" ref="J4201:J4264" si="483">E4201*C4201</f>
        <v>50000</v>
      </c>
      <c r="K4201" s="700">
        <f t="shared" si="480"/>
        <v>50000</v>
      </c>
      <c r="L4201" s="714"/>
      <c r="M4201" s="714"/>
      <c r="N4201" s="700">
        <f t="shared" ref="N4201:N4210" si="484">M4201+L4201</f>
        <v>0</v>
      </c>
      <c r="O4201" s="974">
        <f>N4201+K4201+H4201</f>
        <v>50000</v>
      </c>
      <c r="P4201" s="956"/>
      <c r="Q4201" s="1821"/>
      <c r="R4201" s="1821"/>
      <c r="S4201" s="1821"/>
      <c r="T4201" s="1821"/>
      <c r="U4201" s="1821"/>
      <c r="V4201" s="1821"/>
      <c r="W4201" s="1821"/>
      <c r="X4201" s="1821"/>
      <c r="Y4201" s="1821"/>
      <c r="Z4201" s="1821"/>
      <c r="AA4201" s="1821"/>
      <c r="AB4201" s="1821"/>
      <c r="AC4201" s="1821"/>
      <c r="AD4201" s="1821"/>
      <c r="AE4201" s="1821"/>
      <c r="AF4201" s="1821"/>
      <c r="AG4201" s="1821"/>
      <c r="AH4201" s="1821"/>
      <c r="AI4201" s="1821"/>
      <c r="AJ4201" s="1821"/>
      <c r="AK4201" s="1821"/>
      <c r="AL4201" s="1821"/>
      <c r="AM4201" s="1821"/>
      <c r="AN4201" s="1821"/>
      <c r="AO4201" s="1821"/>
      <c r="AP4201" s="1821"/>
      <c r="AQ4201" s="1821"/>
      <c r="AR4201" s="1821"/>
      <c r="AS4201" s="1821"/>
      <c r="AT4201" s="1821"/>
      <c r="AU4201" s="1821"/>
      <c r="AV4201" s="1821"/>
      <c r="AW4201" s="1821"/>
      <c r="AX4201" s="1821"/>
      <c r="AY4201" s="1821"/>
      <c r="AZ4201" s="1821"/>
      <c r="BA4201" s="1821"/>
      <c r="BB4201" s="1821"/>
      <c r="BC4201" s="1821"/>
      <c r="BD4201" s="1821"/>
      <c r="BE4201" s="1821"/>
      <c r="BF4201" s="1821"/>
      <c r="BG4201" s="1821"/>
      <c r="BH4201" s="1821"/>
      <c r="BI4201" s="1821"/>
      <c r="BJ4201" s="1821"/>
      <c r="BK4201" s="1821"/>
      <c r="BL4201" s="1821"/>
      <c r="BM4201" s="1821"/>
      <c r="BN4201" s="1821"/>
      <c r="BO4201" s="1821"/>
      <c r="BP4201" s="1821"/>
      <c r="BQ4201" s="1821"/>
      <c r="BR4201" s="1821"/>
      <c r="BS4201" s="1821"/>
      <c r="BT4201" s="1821"/>
      <c r="BU4201" s="1821"/>
      <c r="BV4201" s="1821"/>
      <c r="BW4201" s="1821"/>
      <c r="BX4201" s="1821"/>
      <c r="BY4201" s="1821"/>
      <c r="BZ4201" s="1821"/>
      <c r="CA4201" s="1821"/>
      <c r="CB4201" s="1821"/>
      <c r="CC4201" s="1821"/>
      <c r="CD4201" s="1821"/>
      <c r="CE4201" s="1821"/>
      <c r="CF4201" s="1821"/>
      <c r="CG4201" s="1821"/>
      <c r="CH4201" s="1821"/>
      <c r="CI4201" s="1821"/>
      <c r="CJ4201" s="1821"/>
      <c r="CK4201" s="1821"/>
    </row>
    <row r="4202" spans="1:89" s="744" customFormat="1" ht="16.5" hidden="1" customHeight="1" x14ac:dyDescent="0.25">
      <c r="A4202" s="1033"/>
      <c r="B4202" s="709" t="s">
        <v>206</v>
      </c>
      <c r="C4202" s="827"/>
      <c r="D4202" s="961"/>
      <c r="E4202" s="758"/>
      <c r="F4202" s="714"/>
      <c r="G4202" s="714"/>
      <c r="H4202" s="700"/>
      <c r="I4202" s="714"/>
      <c r="J4202" s="714"/>
      <c r="K4202" s="700"/>
      <c r="L4202" s="714"/>
      <c r="M4202" s="714"/>
      <c r="N4202" s="700"/>
      <c r="O4202" s="974"/>
      <c r="P4202" s="956"/>
      <c r="Q4202" s="1821"/>
      <c r="R4202" s="1821"/>
      <c r="S4202" s="1821"/>
      <c r="T4202" s="1821"/>
      <c r="U4202" s="1821"/>
      <c r="V4202" s="1821"/>
      <c r="W4202" s="1821"/>
      <c r="X4202" s="1821"/>
      <c r="Y4202" s="1821"/>
      <c r="Z4202" s="1821"/>
      <c r="AA4202" s="1821"/>
      <c r="AB4202" s="1821"/>
      <c r="AC4202" s="1821"/>
      <c r="AD4202" s="1821"/>
      <c r="AE4202" s="1821"/>
      <c r="AF4202" s="1821"/>
      <c r="AG4202" s="1821"/>
      <c r="AH4202" s="1821"/>
      <c r="AI4202" s="1821"/>
      <c r="AJ4202" s="1821"/>
      <c r="AK4202" s="1821"/>
      <c r="AL4202" s="1821"/>
      <c r="AM4202" s="1821"/>
      <c r="AN4202" s="1821"/>
      <c r="AO4202" s="1821"/>
      <c r="AP4202" s="1821"/>
      <c r="AQ4202" s="1821"/>
      <c r="AR4202" s="1821"/>
      <c r="AS4202" s="1821"/>
      <c r="AT4202" s="1821"/>
      <c r="AU4202" s="1821"/>
      <c r="AV4202" s="1821"/>
      <c r="AW4202" s="1821"/>
      <c r="AX4202" s="1821"/>
      <c r="AY4202" s="1821"/>
      <c r="AZ4202" s="1821"/>
      <c r="BA4202" s="1821"/>
      <c r="BB4202" s="1821"/>
      <c r="BC4202" s="1821"/>
      <c r="BD4202" s="1821"/>
      <c r="BE4202" s="1821"/>
      <c r="BF4202" s="1821"/>
      <c r="BG4202" s="1821"/>
      <c r="BH4202" s="1821"/>
      <c r="BI4202" s="1821"/>
      <c r="BJ4202" s="1821"/>
      <c r="BK4202" s="1821"/>
      <c r="BL4202" s="1821"/>
      <c r="BM4202" s="1821"/>
      <c r="BN4202" s="1821"/>
      <c r="BO4202" s="1821"/>
      <c r="BP4202" s="1821"/>
      <c r="BQ4202" s="1821"/>
      <c r="BR4202" s="1821"/>
      <c r="BS4202" s="1821"/>
      <c r="BT4202" s="1821"/>
      <c r="BU4202" s="1821"/>
      <c r="BV4202" s="1821"/>
      <c r="BW4202" s="1821"/>
      <c r="BX4202" s="1821"/>
      <c r="BY4202" s="1821"/>
      <c r="BZ4202" s="1821"/>
      <c r="CA4202" s="1821"/>
      <c r="CB4202" s="1821"/>
      <c r="CC4202" s="1821"/>
      <c r="CD4202" s="1821"/>
      <c r="CE4202" s="1821"/>
      <c r="CF4202" s="1821"/>
      <c r="CG4202" s="1821"/>
      <c r="CH4202" s="1821"/>
      <c r="CI4202" s="1821"/>
      <c r="CJ4202" s="1821"/>
      <c r="CK4202" s="1821"/>
    </row>
    <row r="4203" spans="1:89" s="744" customFormat="1" ht="16.5" hidden="1" customHeight="1" x14ac:dyDescent="0.25">
      <c r="A4203" s="1033"/>
      <c r="B4203" s="709" t="s">
        <v>427</v>
      </c>
      <c r="C4203" s="827">
        <v>12</v>
      </c>
      <c r="D4203" s="961" t="s">
        <v>20</v>
      </c>
      <c r="E4203" s="758">
        <v>450</v>
      </c>
      <c r="F4203" s="714"/>
      <c r="G4203" s="714"/>
      <c r="H4203" s="700">
        <f t="shared" ref="H4203:H4210" si="485">G4203+F4203</f>
        <v>0</v>
      </c>
      <c r="I4203" s="714"/>
      <c r="J4203" s="714">
        <f t="shared" si="483"/>
        <v>5400</v>
      </c>
      <c r="K4203" s="700">
        <f t="shared" si="480"/>
        <v>5400</v>
      </c>
      <c r="L4203" s="714"/>
      <c r="M4203" s="714"/>
      <c r="N4203" s="700">
        <f t="shared" si="484"/>
        <v>0</v>
      </c>
      <c r="O4203" s="974">
        <f>N4203+K4203+H4203</f>
        <v>5400</v>
      </c>
      <c r="P4203" s="956"/>
      <c r="Q4203" s="1821"/>
      <c r="R4203" s="1821"/>
      <c r="S4203" s="1821"/>
      <c r="T4203" s="1821"/>
      <c r="U4203" s="1821"/>
      <c r="V4203" s="1821"/>
      <c r="W4203" s="1821"/>
      <c r="X4203" s="1821"/>
      <c r="Y4203" s="1821"/>
      <c r="Z4203" s="1821"/>
      <c r="AA4203" s="1821"/>
      <c r="AB4203" s="1821"/>
      <c r="AC4203" s="1821"/>
      <c r="AD4203" s="1821"/>
      <c r="AE4203" s="1821"/>
      <c r="AF4203" s="1821"/>
      <c r="AG4203" s="1821"/>
      <c r="AH4203" s="1821"/>
      <c r="AI4203" s="1821"/>
      <c r="AJ4203" s="1821"/>
      <c r="AK4203" s="1821"/>
      <c r="AL4203" s="1821"/>
      <c r="AM4203" s="1821"/>
      <c r="AN4203" s="1821"/>
      <c r="AO4203" s="1821"/>
      <c r="AP4203" s="1821"/>
      <c r="AQ4203" s="1821"/>
      <c r="AR4203" s="1821"/>
      <c r="AS4203" s="1821"/>
      <c r="AT4203" s="1821"/>
      <c r="AU4203" s="1821"/>
      <c r="AV4203" s="1821"/>
      <c r="AW4203" s="1821"/>
      <c r="AX4203" s="1821"/>
      <c r="AY4203" s="1821"/>
      <c r="AZ4203" s="1821"/>
      <c r="BA4203" s="1821"/>
      <c r="BB4203" s="1821"/>
      <c r="BC4203" s="1821"/>
      <c r="BD4203" s="1821"/>
      <c r="BE4203" s="1821"/>
      <c r="BF4203" s="1821"/>
      <c r="BG4203" s="1821"/>
      <c r="BH4203" s="1821"/>
      <c r="BI4203" s="1821"/>
      <c r="BJ4203" s="1821"/>
      <c r="BK4203" s="1821"/>
      <c r="BL4203" s="1821"/>
      <c r="BM4203" s="1821"/>
      <c r="BN4203" s="1821"/>
      <c r="BO4203" s="1821"/>
      <c r="BP4203" s="1821"/>
      <c r="BQ4203" s="1821"/>
      <c r="BR4203" s="1821"/>
      <c r="BS4203" s="1821"/>
      <c r="BT4203" s="1821"/>
      <c r="BU4203" s="1821"/>
      <c r="BV4203" s="1821"/>
      <c r="BW4203" s="1821"/>
      <c r="BX4203" s="1821"/>
      <c r="BY4203" s="1821"/>
      <c r="BZ4203" s="1821"/>
      <c r="CA4203" s="1821"/>
      <c r="CB4203" s="1821"/>
      <c r="CC4203" s="1821"/>
      <c r="CD4203" s="1821"/>
      <c r="CE4203" s="1821"/>
      <c r="CF4203" s="1821"/>
      <c r="CG4203" s="1821"/>
      <c r="CH4203" s="1821"/>
      <c r="CI4203" s="1821"/>
      <c r="CJ4203" s="1821"/>
      <c r="CK4203" s="1821"/>
    </row>
    <row r="4204" spans="1:89" s="744" customFormat="1" ht="16.5" hidden="1" customHeight="1" x14ac:dyDescent="0.25">
      <c r="A4204" s="1033"/>
      <c r="B4204" s="709" t="s">
        <v>237</v>
      </c>
      <c r="C4204" s="827">
        <v>12</v>
      </c>
      <c r="D4204" s="961" t="s">
        <v>20</v>
      </c>
      <c r="E4204" s="758">
        <v>400</v>
      </c>
      <c r="F4204" s="714"/>
      <c r="G4204" s="714"/>
      <c r="H4204" s="700">
        <f t="shared" si="485"/>
        <v>0</v>
      </c>
      <c r="I4204" s="714"/>
      <c r="J4204" s="714">
        <f t="shared" si="483"/>
        <v>4800</v>
      </c>
      <c r="K4204" s="700">
        <f t="shared" si="480"/>
        <v>4800</v>
      </c>
      <c r="L4204" s="714"/>
      <c r="M4204" s="714"/>
      <c r="N4204" s="700">
        <f t="shared" si="484"/>
        <v>0</v>
      </c>
      <c r="O4204" s="974">
        <f>N4204+K4204+H4204</f>
        <v>4800</v>
      </c>
      <c r="P4204" s="956"/>
      <c r="Q4204" s="1821"/>
      <c r="R4204" s="1821"/>
      <c r="S4204" s="1821"/>
      <c r="T4204" s="1821"/>
      <c r="U4204" s="1821"/>
      <c r="V4204" s="1821"/>
      <c r="W4204" s="1821"/>
      <c r="X4204" s="1821"/>
      <c r="Y4204" s="1821"/>
      <c r="Z4204" s="1821"/>
      <c r="AA4204" s="1821"/>
      <c r="AB4204" s="1821"/>
      <c r="AC4204" s="1821"/>
      <c r="AD4204" s="1821"/>
      <c r="AE4204" s="1821"/>
      <c r="AF4204" s="1821"/>
      <c r="AG4204" s="1821"/>
      <c r="AH4204" s="1821"/>
      <c r="AI4204" s="1821"/>
      <c r="AJ4204" s="1821"/>
      <c r="AK4204" s="1821"/>
      <c r="AL4204" s="1821"/>
      <c r="AM4204" s="1821"/>
      <c r="AN4204" s="1821"/>
      <c r="AO4204" s="1821"/>
      <c r="AP4204" s="1821"/>
      <c r="AQ4204" s="1821"/>
      <c r="AR4204" s="1821"/>
      <c r="AS4204" s="1821"/>
      <c r="AT4204" s="1821"/>
      <c r="AU4204" s="1821"/>
      <c r="AV4204" s="1821"/>
      <c r="AW4204" s="1821"/>
      <c r="AX4204" s="1821"/>
      <c r="AY4204" s="1821"/>
      <c r="AZ4204" s="1821"/>
      <c r="BA4204" s="1821"/>
      <c r="BB4204" s="1821"/>
      <c r="BC4204" s="1821"/>
      <c r="BD4204" s="1821"/>
      <c r="BE4204" s="1821"/>
      <c r="BF4204" s="1821"/>
      <c r="BG4204" s="1821"/>
      <c r="BH4204" s="1821"/>
      <c r="BI4204" s="1821"/>
      <c r="BJ4204" s="1821"/>
      <c r="BK4204" s="1821"/>
      <c r="BL4204" s="1821"/>
      <c r="BM4204" s="1821"/>
      <c r="BN4204" s="1821"/>
      <c r="BO4204" s="1821"/>
      <c r="BP4204" s="1821"/>
      <c r="BQ4204" s="1821"/>
      <c r="BR4204" s="1821"/>
      <c r="BS4204" s="1821"/>
      <c r="BT4204" s="1821"/>
      <c r="BU4204" s="1821"/>
      <c r="BV4204" s="1821"/>
      <c r="BW4204" s="1821"/>
      <c r="BX4204" s="1821"/>
      <c r="BY4204" s="1821"/>
      <c r="BZ4204" s="1821"/>
      <c r="CA4204" s="1821"/>
      <c r="CB4204" s="1821"/>
      <c r="CC4204" s="1821"/>
      <c r="CD4204" s="1821"/>
      <c r="CE4204" s="1821"/>
      <c r="CF4204" s="1821"/>
      <c r="CG4204" s="1821"/>
      <c r="CH4204" s="1821"/>
      <c r="CI4204" s="1821"/>
      <c r="CJ4204" s="1821"/>
      <c r="CK4204" s="1821"/>
    </row>
    <row r="4205" spans="1:89" s="744" customFormat="1" ht="16.5" hidden="1" customHeight="1" x14ac:dyDescent="0.25">
      <c r="A4205" s="1033"/>
      <c r="B4205" s="709" t="s">
        <v>428</v>
      </c>
      <c r="C4205" s="827">
        <v>12</v>
      </c>
      <c r="D4205" s="961" t="s">
        <v>20</v>
      </c>
      <c r="E4205" s="758">
        <v>350</v>
      </c>
      <c r="F4205" s="714"/>
      <c r="G4205" s="714"/>
      <c r="H4205" s="700">
        <f t="shared" si="485"/>
        <v>0</v>
      </c>
      <c r="I4205" s="714"/>
      <c r="J4205" s="714">
        <f t="shared" si="483"/>
        <v>4200</v>
      </c>
      <c r="K4205" s="700">
        <f t="shared" si="480"/>
        <v>4200</v>
      </c>
      <c r="L4205" s="714"/>
      <c r="M4205" s="714"/>
      <c r="N4205" s="700">
        <f t="shared" si="484"/>
        <v>0</v>
      </c>
      <c r="O4205" s="974">
        <f>N4205+K4205+H4205</f>
        <v>4200</v>
      </c>
      <c r="P4205" s="956"/>
      <c r="Q4205" s="1821"/>
      <c r="R4205" s="1821"/>
      <c r="S4205" s="1821"/>
      <c r="T4205" s="1821"/>
      <c r="U4205" s="1821"/>
      <c r="V4205" s="1821"/>
      <c r="W4205" s="1821"/>
      <c r="X4205" s="1821"/>
      <c r="Y4205" s="1821"/>
      <c r="Z4205" s="1821"/>
      <c r="AA4205" s="1821"/>
      <c r="AB4205" s="1821"/>
      <c r="AC4205" s="1821"/>
      <c r="AD4205" s="1821"/>
      <c r="AE4205" s="1821"/>
      <c r="AF4205" s="1821"/>
      <c r="AG4205" s="1821"/>
      <c r="AH4205" s="1821"/>
      <c r="AI4205" s="1821"/>
      <c r="AJ4205" s="1821"/>
      <c r="AK4205" s="1821"/>
      <c r="AL4205" s="1821"/>
      <c r="AM4205" s="1821"/>
      <c r="AN4205" s="1821"/>
      <c r="AO4205" s="1821"/>
      <c r="AP4205" s="1821"/>
      <c r="AQ4205" s="1821"/>
      <c r="AR4205" s="1821"/>
      <c r="AS4205" s="1821"/>
      <c r="AT4205" s="1821"/>
      <c r="AU4205" s="1821"/>
      <c r="AV4205" s="1821"/>
      <c r="AW4205" s="1821"/>
      <c r="AX4205" s="1821"/>
      <c r="AY4205" s="1821"/>
      <c r="AZ4205" s="1821"/>
      <c r="BA4205" s="1821"/>
      <c r="BB4205" s="1821"/>
      <c r="BC4205" s="1821"/>
      <c r="BD4205" s="1821"/>
      <c r="BE4205" s="1821"/>
      <c r="BF4205" s="1821"/>
      <c r="BG4205" s="1821"/>
      <c r="BH4205" s="1821"/>
      <c r="BI4205" s="1821"/>
      <c r="BJ4205" s="1821"/>
      <c r="BK4205" s="1821"/>
      <c r="BL4205" s="1821"/>
      <c r="BM4205" s="1821"/>
      <c r="BN4205" s="1821"/>
      <c r="BO4205" s="1821"/>
      <c r="BP4205" s="1821"/>
      <c r="BQ4205" s="1821"/>
      <c r="BR4205" s="1821"/>
      <c r="BS4205" s="1821"/>
      <c r="BT4205" s="1821"/>
      <c r="BU4205" s="1821"/>
      <c r="BV4205" s="1821"/>
      <c r="BW4205" s="1821"/>
      <c r="BX4205" s="1821"/>
      <c r="BY4205" s="1821"/>
      <c r="BZ4205" s="1821"/>
      <c r="CA4205" s="1821"/>
      <c r="CB4205" s="1821"/>
      <c r="CC4205" s="1821"/>
      <c r="CD4205" s="1821"/>
      <c r="CE4205" s="1821"/>
      <c r="CF4205" s="1821"/>
      <c r="CG4205" s="1821"/>
      <c r="CH4205" s="1821"/>
      <c r="CI4205" s="1821"/>
      <c r="CJ4205" s="1821"/>
      <c r="CK4205" s="1821"/>
    </row>
    <row r="4206" spans="1:89" s="744" customFormat="1" ht="16.5" hidden="1" customHeight="1" x14ac:dyDescent="0.25">
      <c r="A4206" s="1033"/>
      <c r="B4206" s="709" t="s">
        <v>238</v>
      </c>
      <c r="C4206" s="827">
        <v>60</v>
      </c>
      <c r="D4206" s="961" t="s">
        <v>20</v>
      </c>
      <c r="E4206" s="758">
        <v>300</v>
      </c>
      <c r="F4206" s="714"/>
      <c r="G4206" s="714"/>
      <c r="H4206" s="700">
        <f t="shared" si="485"/>
        <v>0</v>
      </c>
      <c r="I4206" s="714"/>
      <c r="J4206" s="714">
        <f t="shared" si="483"/>
        <v>18000</v>
      </c>
      <c r="K4206" s="700">
        <f t="shared" si="480"/>
        <v>18000</v>
      </c>
      <c r="L4206" s="714"/>
      <c r="M4206" s="714"/>
      <c r="N4206" s="700">
        <f t="shared" si="484"/>
        <v>0</v>
      </c>
      <c r="O4206" s="974">
        <f>N4206+K4206+H4206</f>
        <v>18000</v>
      </c>
      <c r="P4206" s="956"/>
      <c r="Q4206" s="1821"/>
      <c r="R4206" s="1821"/>
      <c r="S4206" s="1821"/>
      <c r="T4206" s="1821"/>
      <c r="U4206" s="1821"/>
      <c r="V4206" s="1821"/>
      <c r="W4206" s="1821"/>
      <c r="X4206" s="1821"/>
      <c r="Y4206" s="1821"/>
      <c r="Z4206" s="1821"/>
      <c r="AA4206" s="1821"/>
      <c r="AB4206" s="1821"/>
      <c r="AC4206" s="1821"/>
      <c r="AD4206" s="1821"/>
      <c r="AE4206" s="1821"/>
      <c r="AF4206" s="1821"/>
      <c r="AG4206" s="1821"/>
      <c r="AH4206" s="1821"/>
      <c r="AI4206" s="1821"/>
      <c r="AJ4206" s="1821"/>
      <c r="AK4206" s="1821"/>
      <c r="AL4206" s="1821"/>
      <c r="AM4206" s="1821"/>
      <c r="AN4206" s="1821"/>
      <c r="AO4206" s="1821"/>
      <c r="AP4206" s="1821"/>
      <c r="AQ4206" s="1821"/>
      <c r="AR4206" s="1821"/>
      <c r="AS4206" s="1821"/>
      <c r="AT4206" s="1821"/>
      <c r="AU4206" s="1821"/>
      <c r="AV4206" s="1821"/>
      <c r="AW4206" s="1821"/>
      <c r="AX4206" s="1821"/>
      <c r="AY4206" s="1821"/>
      <c r="AZ4206" s="1821"/>
      <c r="BA4206" s="1821"/>
      <c r="BB4206" s="1821"/>
      <c r="BC4206" s="1821"/>
      <c r="BD4206" s="1821"/>
      <c r="BE4206" s="1821"/>
      <c r="BF4206" s="1821"/>
      <c r="BG4206" s="1821"/>
      <c r="BH4206" s="1821"/>
      <c r="BI4206" s="1821"/>
      <c r="BJ4206" s="1821"/>
      <c r="BK4206" s="1821"/>
      <c r="BL4206" s="1821"/>
      <c r="BM4206" s="1821"/>
      <c r="BN4206" s="1821"/>
      <c r="BO4206" s="1821"/>
      <c r="BP4206" s="1821"/>
      <c r="BQ4206" s="1821"/>
      <c r="BR4206" s="1821"/>
      <c r="BS4206" s="1821"/>
      <c r="BT4206" s="1821"/>
      <c r="BU4206" s="1821"/>
      <c r="BV4206" s="1821"/>
      <c r="BW4206" s="1821"/>
      <c r="BX4206" s="1821"/>
      <c r="BY4206" s="1821"/>
      <c r="BZ4206" s="1821"/>
      <c r="CA4206" s="1821"/>
      <c r="CB4206" s="1821"/>
      <c r="CC4206" s="1821"/>
      <c r="CD4206" s="1821"/>
      <c r="CE4206" s="1821"/>
      <c r="CF4206" s="1821"/>
      <c r="CG4206" s="1821"/>
      <c r="CH4206" s="1821"/>
      <c r="CI4206" s="1821"/>
      <c r="CJ4206" s="1821"/>
      <c r="CK4206" s="1821"/>
    </row>
    <row r="4207" spans="1:89" s="744" customFormat="1" ht="16.5" hidden="1" customHeight="1" x14ac:dyDescent="0.25">
      <c r="A4207" s="1033"/>
      <c r="B4207" s="709" t="s">
        <v>429</v>
      </c>
      <c r="C4207" s="827"/>
      <c r="D4207" s="961"/>
      <c r="E4207" s="758"/>
      <c r="F4207" s="714"/>
      <c r="G4207" s="714"/>
      <c r="H4207" s="700">
        <f t="shared" si="485"/>
        <v>0</v>
      </c>
      <c r="I4207" s="714"/>
      <c r="J4207" s="714"/>
      <c r="K4207" s="700"/>
      <c r="L4207" s="714"/>
      <c r="M4207" s="714"/>
      <c r="N4207" s="700"/>
      <c r="O4207" s="974"/>
      <c r="P4207" s="956"/>
      <c r="Q4207" s="1821"/>
      <c r="R4207" s="1821"/>
      <c r="S4207" s="1821"/>
      <c r="T4207" s="1821"/>
      <c r="U4207" s="1821"/>
      <c r="V4207" s="1821"/>
      <c r="W4207" s="1821"/>
      <c r="X4207" s="1821"/>
      <c r="Y4207" s="1821"/>
      <c r="Z4207" s="1821"/>
      <c r="AA4207" s="1821"/>
      <c r="AB4207" s="1821"/>
      <c r="AC4207" s="1821"/>
      <c r="AD4207" s="1821"/>
      <c r="AE4207" s="1821"/>
      <c r="AF4207" s="1821"/>
      <c r="AG4207" s="1821"/>
      <c r="AH4207" s="1821"/>
      <c r="AI4207" s="1821"/>
      <c r="AJ4207" s="1821"/>
      <c r="AK4207" s="1821"/>
      <c r="AL4207" s="1821"/>
      <c r="AM4207" s="1821"/>
      <c r="AN4207" s="1821"/>
      <c r="AO4207" s="1821"/>
      <c r="AP4207" s="1821"/>
      <c r="AQ4207" s="1821"/>
      <c r="AR4207" s="1821"/>
      <c r="AS4207" s="1821"/>
      <c r="AT4207" s="1821"/>
      <c r="AU4207" s="1821"/>
      <c r="AV4207" s="1821"/>
      <c r="AW4207" s="1821"/>
      <c r="AX4207" s="1821"/>
      <c r="AY4207" s="1821"/>
      <c r="AZ4207" s="1821"/>
      <c r="BA4207" s="1821"/>
      <c r="BB4207" s="1821"/>
      <c r="BC4207" s="1821"/>
      <c r="BD4207" s="1821"/>
      <c r="BE4207" s="1821"/>
      <c r="BF4207" s="1821"/>
      <c r="BG4207" s="1821"/>
      <c r="BH4207" s="1821"/>
      <c r="BI4207" s="1821"/>
      <c r="BJ4207" s="1821"/>
      <c r="BK4207" s="1821"/>
      <c r="BL4207" s="1821"/>
      <c r="BM4207" s="1821"/>
      <c r="BN4207" s="1821"/>
      <c r="BO4207" s="1821"/>
      <c r="BP4207" s="1821"/>
      <c r="BQ4207" s="1821"/>
      <c r="BR4207" s="1821"/>
      <c r="BS4207" s="1821"/>
      <c r="BT4207" s="1821"/>
      <c r="BU4207" s="1821"/>
      <c r="BV4207" s="1821"/>
      <c r="BW4207" s="1821"/>
      <c r="BX4207" s="1821"/>
      <c r="BY4207" s="1821"/>
      <c r="BZ4207" s="1821"/>
      <c r="CA4207" s="1821"/>
      <c r="CB4207" s="1821"/>
      <c r="CC4207" s="1821"/>
      <c r="CD4207" s="1821"/>
      <c r="CE4207" s="1821"/>
      <c r="CF4207" s="1821"/>
      <c r="CG4207" s="1821"/>
      <c r="CH4207" s="1821"/>
      <c r="CI4207" s="1821"/>
      <c r="CJ4207" s="1821"/>
      <c r="CK4207" s="1821"/>
    </row>
    <row r="4208" spans="1:89" s="744" customFormat="1" ht="16.5" hidden="1" customHeight="1" x14ac:dyDescent="0.25">
      <c r="A4208" s="1033"/>
      <c r="B4208" s="709" t="s">
        <v>359</v>
      </c>
      <c r="C4208" s="827">
        <v>50</v>
      </c>
      <c r="D4208" s="961" t="s">
        <v>51</v>
      </c>
      <c r="E4208" s="758">
        <v>1765</v>
      </c>
      <c r="F4208" s="714"/>
      <c r="G4208" s="714"/>
      <c r="H4208" s="700">
        <f t="shared" si="485"/>
        <v>0</v>
      </c>
      <c r="I4208" s="714"/>
      <c r="J4208" s="714">
        <f t="shared" si="483"/>
        <v>88250</v>
      </c>
      <c r="K4208" s="700">
        <f t="shared" si="480"/>
        <v>88250</v>
      </c>
      <c r="L4208" s="714"/>
      <c r="M4208" s="714"/>
      <c r="N4208" s="700">
        <f t="shared" si="484"/>
        <v>0</v>
      </c>
      <c r="O4208" s="974">
        <f>N4208+K4208+H4208</f>
        <v>88250</v>
      </c>
      <c r="P4208" s="956"/>
      <c r="Q4208" s="1821"/>
      <c r="R4208" s="1821"/>
      <c r="S4208" s="1821"/>
      <c r="T4208" s="1821"/>
      <c r="U4208" s="1821"/>
      <c r="V4208" s="1821"/>
      <c r="W4208" s="1821"/>
      <c r="X4208" s="1821"/>
      <c r="Y4208" s="1821"/>
      <c r="Z4208" s="1821"/>
      <c r="AA4208" s="1821"/>
      <c r="AB4208" s="1821"/>
      <c r="AC4208" s="1821"/>
      <c r="AD4208" s="1821"/>
      <c r="AE4208" s="1821"/>
      <c r="AF4208" s="1821"/>
      <c r="AG4208" s="1821"/>
      <c r="AH4208" s="1821"/>
      <c r="AI4208" s="1821"/>
      <c r="AJ4208" s="1821"/>
      <c r="AK4208" s="1821"/>
      <c r="AL4208" s="1821"/>
      <c r="AM4208" s="1821"/>
      <c r="AN4208" s="1821"/>
      <c r="AO4208" s="1821"/>
      <c r="AP4208" s="1821"/>
      <c r="AQ4208" s="1821"/>
      <c r="AR4208" s="1821"/>
      <c r="AS4208" s="1821"/>
      <c r="AT4208" s="1821"/>
      <c r="AU4208" s="1821"/>
      <c r="AV4208" s="1821"/>
      <c r="AW4208" s="1821"/>
      <c r="AX4208" s="1821"/>
      <c r="AY4208" s="1821"/>
      <c r="AZ4208" s="1821"/>
      <c r="BA4208" s="1821"/>
      <c r="BB4208" s="1821"/>
      <c r="BC4208" s="1821"/>
      <c r="BD4208" s="1821"/>
      <c r="BE4208" s="1821"/>
      <c r="BF4208" s="1821"/>
      <c r="BG4208" s="1821"/>
      <c r="BH4208" s="1821"/>
      <c r="BI4208" s="1821"/>
      <c r="BJ4208" s="1821"/>
      <c r="BK4208" s="1821"/>
      <c r="BL4208" s="1821"/>
      <c r="BM4208" s="1821"/>
      <c r="BN4208" s="1821"/>
      <c r="BO4208" s="1821"/>
      <c r="BP4208" s="1821"/>
      <c r="BQ4208" s="1821"/>
      <c r="BR4208" s="1821"/>
      <c r="BS4208" s="1821"/>
      <c r="BT4208" s="1821"/>
      <c r="BU4208" s="1821"/>
      <c r="BV4208" s="1821"/>
      <c r="BW4208" s="1821"/>
      <c r="BX4208" s="1821"/>
      <c r="BY4208" s="1821"/>
      <c r="BZ4208" s="1821"/>
      <c r="CA4208" s="1821"/>
      <c r="CB4208" s="1821"/>
      <c r="CC4208" s="1821"/>
      <c r="CD4208" s="1821"/>
      <c r="CE4208" s="1821"/>
      <c r="CF4208" s="1821"/>
      <c r="CG4208" s="1821"/>
      <c r="CH4208" s="1821"/>
      <c r="CI4208" s="1821"/>
      <c r="CJ4208" s="1821"/>
      <c r="CK4208" s="1821"/>
    </row>
    <row r="4209" spans="1:89" s="744" customFormat="1" ht="16.5" hidden="1" customHeight="1" x14ac:dyDescent="0.25">
      <c r="A4209" s="1033"/>
      <c r="B4209" s="709" t="s">
        <v>54</v>
      </c>
      <c r="C4209" s="827">
        <v>168</v>
      </c>
      <c r="D4209" s="961" t="s">
        <v>55</v>
      </c>
      <c r="E4209" s="758">
        <v>313</v>
      </c>
      <c r="F4209" s="714"/>
      <c r="G4209" s="714"/>
      <c r="H4209" s="700">
        <f t="shared" si="485"/>
        <v>0</v>
      </c>
      <c r="I4209" s="714"/>
      <c r="J4209" s="714">
        <f t="shared" si="483"/>
        <v>52584</v>
      </c>
      <c r="K4209" s="700">
        <f t="shared" si="480"/>
        <v>52584</v>
      </c>
      <c r="L4209" s="714"/>
      <c r="M4209" s="714"/>
      <c r="N4209" s="700">
        <f t="shared" si="484"/>
        <v>0</v>
      </c>
      <c r="O4209" s="974">
        <f>N4209+K4209+H4209</f>
        <v>52584</v>
      </c>
      <c r="P4209" s="956"/>
      <c r="Q4209" s="1821"/>
      <c r="R4209" s="1821"/>
      <c r="S4209" s="1821"/>
      <c r="T4209" s="1821"/>
      <c r="U4209" s="1821"/>
      <c r="V4209" s="1821"/>
      <c r="W4209" s="1821"/>
      <c r="X4209" s="1821"/>
      <c r="Y4209" s="1821"/>
      <c r="Z4209" s="1821"/>
      <c r="AA4209" s="1821"/>
      <c r="AB4209" s="1821"/>
      <c r="AC4209" s="1821"/>
      <c r="AD4209" s="1821"/>
      <c r="AE4209" s="1821"/>
      <c r="AF4209" s="1821"/>
      <c r="AG4209" s="1821"/>
      <c r="AH4209" s="1821"/>
      <c r="AI4209" s="1821"/>
      <c r="AJ4209" s="1821"/>
      <c r="AK4209" s="1821"/>
      <c r="AL4209" s="1821"/>
      <c r="AM4209" s="1821"/>
      <c r="AN4209" s="1821"/>
      <c r="AO4209" s="1821"/>
      <c r="AP4209" s="1821"/>
      <c r="AQ4209" s="1821"/>
      <c r="AR4209" s="1821"/>
      <c r="AS4209" s="1821"/>
      <c r="AT4209" s="1821"/>
      <c r="AU4209" s="1821"/>
      <c r="AV4209" s="1821"/>
      <c r="AW4209" s="1821"/>
      <c r="AX4209" s="1821"/>
      <c r="AY4209" s="1821"/>
      <c r="AZ4209" s="1821"/>
      <c r="BA4209" s="1821"/>
      <c r="BB4209" s="1821"/>
      <c r="BC4209" s="1821"/>
      <c r="BD4209" s="1821"/>
      <c r="BE4209" s="1821"/>
      <c r="BF4209" s="1821"/>
      <c r="BG4209" s="1821"/>
      <c r="BH4209" s="1821"/>
      <c r="BI4209" s="1821"/>
      <c r="BJ4209" s="1821"/>
      <c r="BK4209" s="1821"/>
      <c r="BL4209" s="1821"/>
      <c r="BM4209" s="1821"/>
      <c r="BN4209" s="1821"/>
      <c r="BO4209" s="1821"/>
      <c r="BP4209" s="1821"/>
      <c r="BQ4209" s="1821"/>
      <c r="BR4209" s="1821"/>
      <c r="BS4209" s="1821"/>
      <c r="BT4209" s="1821"/>
      <c r="BU4209" s="1821"/>
      <c r="BV4209" s="1821"/>
      <c r="BW4209" s="1821"/>
      <c r="BX4209" s="1821"/>
      <c r="BY4209" s="1821"/>
      <c r="BZ4209" s="1821"/>
      <c r="CA4209" s="1821"/>
      <c r="CB4209" s="1821"/>
      <c r="CC4209" s="1821"/>
      <c r="CD4209" s="1821"/>
      <c r="CE4209" s="1821"/>
      <c r="CF4209" s="1821"/>
      <c r="CG4209" s="1821"/>
      <c r="CH4209" s="1821"/>
      <c r="CI4209" s="1821"/>
      <c r="CJ4209" s="1821"/>
      <c r="CK4209" s="1821"/>
    </row>
    <row r="4210" spans="1:89" s="744" customFormat="1" ht="16.5" hidden="1" customHeight="1" x14ac:dyDescent="0.25">
      <c r="A4210" s="1033"/>
      <c r="B4210" s="709" t="s">
        <v>52</v>
      </c>
      <c r="C4210" s="827">
        <v>125</v>
      </c>
      <c r="D4210" s="961" t="s">
        <v>55</v>
      </c>
      <c r="E4210" s="758">
        <v>390</v>
      </c>
      <c r="F4210" s="714"/>
      <c r="G4210" s="714"/>
      <c r="H4210" s="700">
        <f t="shared" si="485"/>
        <v>0</v>
      </c>
      <c r="I4210" s="714"/>
      <c r="J4210" s="714">
        <f t="shared" si="483"/>
        <v>48750</v>
      </c>
      <c r="K4210" s="700">
        <f t="shared" si="480"/>
        <v>48750</v>
      </c>
      <c r="L4210" s="714"/>
      <c r="M4210" s="714"/>
      <c r="N4210" s="700">
        <f t="shared" si="484"/>
        <v>0</v>
      </c>
      <c r="O4210" s="974">
        <f>N4210+K4210+H4210</f>
        <v>48750</v>
      </c>
      <c r="P4210" s="956"/>
      <c r="Q4210" s="1821"/>
      <c r="R4210" s="1821"/>
      <c r="S4210" s="1821"/>
      <c r="T4210" s="1821"/>
      <c r="U4210" s="1821"/>
      <c r="V4210" s="1821"/>
      <c r="W4210" s="1821"/>
      <c r="X4210" s="1821"/>
      <c r="Y4210" s="1821"/>
      <c r="Z4210" s="1821"/>
      <c r="AA4210" s="1821"/>
      <c r="AB4210" s="1821"/>
      <c r="AC4210" s="1821"/>
      <c r="AD4210" s="1821"/>
      <c r="AE4210" s="1821"/>
      <c r="AF4210" s="1821"/>
      <c r="AG4210" s="1821"/>
      <c r="AH4210" s="1821"/>
      <c r="AI4210" s="1821"/>
      <c r="AJ4210" s="1821"/>
      <c r="AK4210" s="1821"/>
      <c r="AL4210" s="1821"/>
      <c r="AM4210" s="1821"/>
      <c r="AN4210" s="1821"/>
      <c r="AO4210" s="1821"/>
      <c r="AP4210" s="1821"/>
      <c r="AQ4210" s="1821"/>
      <c r="AR4210" s="1821"/>
      <c r="AS4210" s="1821"/>
      <c r="AT4210" s="1821"/>
      <c r="AU4210" s="1821"/>
      <c r="AV4210" s="1821"/>
      <c r="AW4210" s="1821"/>
      <c r="AX4210" s="1821"/>
      <c r="AY4210" s="1821"/>
      <c r="AZ4210" s="1821"/>
      <c r="BA4210" s="1821"/>
      <c r="BB4210" s="1821"/>
      <c r="BC4210" s="1821"/>
      <c r="BD4210" s="1821"/>
      <c r="BE4210" s="1821"/>
      <c r="BF4210" s="1821"/>
      <c r="BG4210" s="1821"/>
      <c r="BH4210" s="1821"/>
      <c r="BI4210" s="1821"/>
      <c r="BJ4210" s="1821"/>
      <c r="BK4210" s="1821"/>
      <c r="BL4210" s="1821"/>
      <c r="BM4210" s="1821"/>
      <c r="BN4210" s="1821"/>
      <c r="BO4210" s="1821"/>
      <c r="BP4210" s="1821"/>
      <c r="BQ4210" s="1821"/>
      <c r="BR4210" s="1821"/>
      <c r="BS4210" s="1821"/>
      <c r="BT4210" s="1821"/>
      <c r="BU4210" s="1821"/>
      <c r="BV4210" s="1821"/>
      <c r="BW4210" s="1821"/>
      <c r="BX4210" s="1821"/>
      <c r="BY4210" s="1821"/>
      <c r="BZ4210" s="1821"/>
      <c r="CA4210" s="1821"/>
      <c r="CB4210" s="1821"/>
      <c r="CC4210" s="1821"/>
      <c r="CD4210" s="1821"/>
      <c r="CE4210" s="1821"/>
      <c r="CF4210" s="1821"/>
      <c r="CG4210" s="1821"/>
      <c r="CH4210" s="1821"/>
      <c r="CI4210" s="1821"/>
      <c r="CJ4210" s="1821"/>
      <c r="CK4210" s="1821"/>
    </row>
    <row r="4211" spans="1:89" s="744" customFormat="1" ht="16.5" hidden="1" customHeight="1" x14ac:dyDescent="0.25">
      <c r="A4211" s="1033"/>
      <c r="B4211" s="709" t="s">
        <v>1372</v>
      </c>
      <c r="C4211" s="827">
        <v>80</v>
      </c>
      <c r="D4211" s="961" t="s">
        <v>55</v>
      </c>
      <c r="E4211" s="758">
        <v>98</v>
      </c>
      <c r="F4211" s="714"/>
      <c r="G4211" s="714"/>
      <c r="H4211" s="700"/>
      <c r="I4211" s="714"/>
      <c r="J4211" s="714">
        <f t="shared" si="483"/>
        <v>7840</v>
      </c>
      <c r="K4211" s="700">
        <f t="shared" si="480"/>
        <v>7840</v>
      </c>
      <c r="L4211" s="714"/>
      <c r="M4211" s="714"/>
      <c r="N4211" s="700"/>
      <c r="O4211" s="974">
        <f>N4211+K4211+H4211</f>
        <v>7840</v>
      </c>
      <c r="P4211" s="956"/>
      <c r="Q4211" s="1821"/>
      <c r="R4211" s="1821"/>
      <c r="S4211" s="1821"/>
      <c r="T4211" s="1821"/>
      <c r="U4211" s="1821"/>
      <c r="V4211" s="1821"/>
      <c r="W4211" s="1821"/>
      <c r="X4211" s="1821"/>
      <c r="Y4211" s="1821"/>
      <c r="Z4211" s="1821"/>
      <c r="AA4211" s="1821"/>
      <c r="AB4211" s="1821"/>
      <c r="AC4211" s="1821"/>
      <c r="AD4211" s="1821"/>
      <c r="AE4211" s="1821"/>
      <c r="AF4211" s="1821"/>
      <c r="AG4211" s="1821"/>
      <c r="AH4211" s="1821"/>
      <c r="AI4211" s="1821"/>
      <c r="AJ4211" s="1821"/>
      <c r="AK4211" s="1821"/>
      <c r="AL4211" s="1821"/>
      <c r="AM4211" s="1821"/>
      <c r="AN4211" s="1821"/>
      <c r="AO4211" s="1821"/>
      <c r="AP4211" s="1821"/>
      <c r="AQ4211" s="1821"/>
      <c r="AR4211" s="1821"/>
      <c r="AS4211" s="1821"/>
      <c r="AT4211" s="1821"/>
      <c r="AU4211" s="1821"/>
      <c r="AV4211" s="1821"/>
      <c r="AW4211" s="1821"/>
      <c r="AX4211" s="1821"/>
      <c r="AY4211" s="1821"/>
      <c r="AZ4211" s="1821"/>
      <c r="BA4211" s="1821"/>
      <c r="BB4211" s="1821"/>
      <c r="BC4211" s="1821"/>
      <c r="BD4211" s="1821"/>
      <c r="BE4211" s="1821"/>
      <c r="BF4211" s="1821"/>
      <c r="BG4211" s="1821"/>
      <c r="BH4211" s="1821"/>
      <c r="BI4211" s="1821"/>
      <c r="BJ4211" s="1821"/>
      <c r="BK4211" s="1821"/>
      <c r="BL4211" s="1821"/>
      <c r="BM4211" s="1821"/>
      <c r="BN4211" s="1821"/>
      <c r="BO4211" s="1821"/>
      <c r="BP4211" s="1821"/>
      <c r="BQ4211" s="1821"/>
      <c r="BR4211" s="1821"/>
      <c r="BS4211" s="1821"/>
      <c r="BT4211" s="1821"/>
      <c r="BU4211" s="1821"/>
      <c r="BV4211" s="1821"/>
      <c r="BW4211" s="1821"/>
      <c r="BX4211" s="1821"/>
      <c r="BY4211" s="1821"/>
      <c r="BZ4211" s="1821"/>
      <c r="CA4211" s="1821"/>
      <c r="CB4211" s="1821"/>
      <c r="CC4211" s="1821"/>
      <c r="CD4211" s="1821"/>
      <c r="CE4211" s="1821"/>
      <c r="CF4211" s="1821"/>
      <c r="CG4211" s="1821"/>
      <c r="CH4211" s="1821"/>
      <c r="CI4211" s="1821"/>
      <c r="CJ4211" s="1821"/>
      <c r="CK4211" s="1821"/>
    </row>
    <row r="4212" spans="1:89" s="744" customFormat="1" ht="16.5" hidden="1" customHeight="1" x14ac:dyDescent="0.25">
      <c r="A4212" s="1033"/>
      <c r="B4212" s="709"/>
      <c r="C4212" s="827"/>
      <c r="D4212" s="961"/>
      <c r="E4212" s="758"/>
      <c r="F4212" s="714"/>
      <c r="G4212" s="714"/>
      <c r="H4212" s="700"/>
      <c r="I4212" s="714"/>
      <c r="J4212" s="714">
        <f t="shared" si="483"/>
        <v>0</v>
      </c>
      <c r="K4212" s="700"/>
      <c r="L4212" s="714"/>
      <c r="M4212" s="714"/>
      <c r="N4212" s="700"/>
      <c r="O4212" s="974"/>
      <c r="P4212" s="956"/>
      <c r="Q4212" s="1821"/>
      <c r="R4212" s="1821"/>
      <c r="S4212" s="1821"/>
      <c r="T4212" s="1821"/>
      <c r="U4212" s="1821"/>
      <c r="V4212" s="1821"/>
      <c r="W4212" s="1821"/>
      <c r="X4212" s="1821"/>
      <c r="Y4212" s="1821"/>
      <c r="Z4212" s="1821"/>
      <c r="AA4212" s="1821"/>
      <c r="AB4212" s="1821"/>
      <c r="AC4212" s="1821"/>
      <c r="AD4212" s="1821"/>
      <c r="AE4212" s="1821"/>
      <c r="AF4212" s="1821"/>
      <c r="AG4212" s="1821"/>
      <c r="AH4212" s="1821"/>
      <c r="AI4212" s="1821"/>
      <c r="AJ4212" s="1821"/>
      <c r="AK4212" s="1821"/>
      <c r="AL4212" s="1821"/>
      <c r="AM4212" s="1821"/>
      <c r="AN4212" s="1821"/>
      <c r="AO4212" s="1821"/>
      <c r="AP4212" s="1821"/>
      <c r="AQ4212" s="1821"/>
      <c r="AR4212" s="1821"/>
      <c r="AS4212" s="1821"/>
      <c r="AT4212" s="1821"/>
      <c r="AU4212" s="1821"/>
      <c r="AV4212" s="1821"/>
      <c r="AW4212" s="1821"/>
      <c r="AX4212" s="1821"/>
      <c r="AY4212" s="1821"/>
      <c r="AZ4212" s="1821"/>
      <c r="BA4212" s="1821"/>
      <c r="BB4212" s="1821"/>
      <c r="BC4212" s="1821"/>
      <c r="BD4212" s="1821"/>
      <c r="BE4212" s="1821"/>
      <c r="BF4212" s="1821"/>
      <c r="BG4212" s="1821"/>
      <c r="BH4212" s="1821"/>
      <c r="BI4212" s="1821"/>
      <c r="BJ4212" s="1821"/>
      <c r="BK4212" s="1821"/>
      <c r="BL4212" s="1821"/>
      <c r="BM4212" s="1821"/>
      <c r="BN4212" s="1821"/>
      <c r="BO4212" s="1821"/>
      <c r="BP4212" s="1821"/>
      <c r="BQ4212" s="1821"/>
      <c r="BR4212" s="1821"/>
      <c r="BS4212" s="1821"/>
      <c r="BT4212" s="1821"/>
      <c r="BU4212" s="1821"/>
      <c r="BV4212" s="1821"/>
      <c r="BW4212" s="1821"/>
      <c r="BX4212" s="1821"/>
      <c r="BY4212" s="1821"/>
      <c r="BZ4212" s="1821"/>
      <c r="CA4212" s="1821"/>
      <c r="CB4212" s="1821"/>
      <c r="CC4212" s="1821"/>
      <c r="CD4212" s="1821"/>
      <c r="CE4212" s="1821"/>
      <c r="CF4212" s="1821"/>
      <c r="CG4212" s="1821"/>
      <c r="CH4212" s="1821"/>
      <c r="CI4212" s="1821"/>
      <c r="CJ4212" s="1821"/>
      <c r="CK4212" s="1821"/>
    </row>
    <row r="4213" spans="1:89" s="744" customFormat="1" ht="16.5" hidden="1" customHeight="1" x14ac:dyDescent="0.25">
      <c r="A4213" s="1033">
        <v>13</v>
      </c>
      <c r="B4213" s="709" t="s">
        <v>431</v>
      </c>
      <c r="C4213" s="827"/>
      <c r="D4213" s="961"/>
      <c r="E4213" s="758"/>
      <c r="F4213" s="714"/>
      <c r="G4213" s="714"/>
      <c r="H4213" s="700"/>
      <c r="I4213" s="714"/>
      <c r="J4213" s="714">
        <f t="shared" si="483"/>
        <v>0</v>
      </c>
      <c r="K4213" s="700"/>
      <c r="L4213" s="714"/>
      <c r="M4213" s="714"/>
      <c r="N4213" s="700"/>
      <c r="O4213" s="974"/>
      <c r="P4213" s="956"/>
      <c r="Q4213" s="1821"/>
      <c r="R4213" s="1821"/>
      <c r="S4213" s="1821"/>
      <c r="T4213" s="1821"/>
      <c r="U4213" s="1821"/>
      <c r="V4213" s="1821"/>
      <c r="W4213" s="1821"/>
      <c r="X4213" s="1821"/>
      <c r="Y4213" s="1821"/>
      <c r="Z4213" s="1821"/>
      <c r="AA4213" s="1821"/>
      <c r="AB4213" s="1821"/>
      <c r="AC4213" s="1821"/>
      <c r="AD4213" s="1821"/>
      <c r="AE4213" s="1821"/>
      <c r="AF4213" s="1821"/>
      <c r="AG4213" s="1821"/>
      <c r="AH4213" s="1821"/>
      <c r="AI4213" s="1821"/>
      <c r="AJ4213" s="1821"/>
      <c r="AK4213" s="1821"/>
      <c r="AL4213" s="1821"/>
      <c r="AM4213" s="1821"/>
      <c r="AN4213" s="1821"/>
      <c r="AO4213" s="1821"/>
      <c r="AP4213" s="1821"/>
      <c r="AQ4213" s="1821"/>
      <c r="AR4213" s="1821"/>
      <c r="AS4213" s="1821"/>
      <c r="AT4213" s="1821"/>
      <c r="AU4213" s="1821"/>
      <c r="AV4213" s="1821"/>
      <c r="AW4213" s="1821"/>
      <c r="AX4213" s="1821"/>
      <c r="AY4213" s="1821"/>
      <c r="AZ4213" s="1821"/>
      <c r="BA4213" s="1821"/>
      <c r="BB4213" s="1821"/>
      <c r="BC4213" s="1821"/>
      <c r="BD4213" s="1821"/>
      <c r="BE4213" s="1821"/>
      <c r="BF4213" s="1821"/>
      <c r="BG4213" s="1821"/>
      <c r="BH4213" s="1821"/>
      <c r="BI4213" s="1821"/>
      <c r="BJ4213" s="1821"/>
      <c r="BK4213" s="1821"/>
      <c r="BL4213" s="1821"/>
      <c r="BM4213" s="1821"/>
      <c r="BN4213" s="1821"/>
      <c r="BO4213" s="1821"/>
      <c r="BP4213" s="1821"/>
      <c r="BQ4213" s="1821"/>
      <c r="BR4213" s="1821"/>
      <c r="BS4213" s="1821"/>
      <c r="BT4213" s="1821"/>
      <c r="BU4213" s="1821"/>
      <c r="BV4213" s="1821"/>
      <c r="BW4213" s="1821"/>
      <c r="BX4213" s="1821"/>
      <c r="BY4213" s="1821"/>
      <c r="BZ4213" s="1821"/>
      <c r="CA4213" s="1821"/>
      <c r="CB4213" s="1821"/>
      <c r="CC4213" s="1821"/>
      <c r="CD4213" s="1821"/>
      <c r="CE4213" s="1821"/>
      <c r="CF4213" s="1821"/>
      <c r="CG4213" s="1821"/>
      <c r="CH4213" s="1821"/>
      <c r="CI4213" s="1821"/>
      <c r="CJ4213" s="1821"/>
      <c r="CK4213" s="1821"/>
    </row>
    <row r="4214" spans="1:89" s="744" customFormat="1" ht="16.5" hidden="1" customHeight="1" x14ac:dyDescent="0.25">
      <c r="A4214" s="1033" t="s">
        <v>49</v>
      </c>
      <c r="B4214" s="709" t="s">
        <v>278</v>
      </c>
      <c r="C4214" s="827">
        <f>SUM(O4215:O4233)</f>
        <v>1946319</v>
      </c>
      <c r="D4214" s="961"/>
      <c r="E4214" s="758"/>
      <c r="F4214" s="714"/>
      <c r="G4214" s="714"/>
      <c r="H4214" s="700"/>
      <c r="I4214" s="714"/>
      <c r="J4214" s="714">
        <f t="shared" si="483"/>
        <v>0</v>
      </c>
      <c r="K4214" s="700"/>
      <c r="L4214" s="714"/>
      <c r="M4214" s="714"/>
      <c r="N4214" s="700"/>
      <c r="O4214" s="974"/>
      <c r="P4214" s="956"/>
      <c r="Q4214" s="1821"/>
      <c r="R4214" s="1821"/>
      <c r="S4214" s="1821"/>
      <c r="T4214" s="1821"/>
      <c r="U4214" s="1821"/>
      <c r="V4214" s="1821"/>
      <c r="W4214" s="1821"/>
      <c r="X4214" s="1821"/>
      <c r="Y4214" s="1821"/>
      <c r="Z4214" s="1821"/>
      <c r="AA4214" s="1821"/>
      <c r="AB4214" s="1821"/>
      <c r="AC4214" s="1821"/>
      <c r="AD4214" s="1821"/>
      <c r="AE4214" s="1821"/>
      <c r="AF4214" s="1821"/>
      <c r="AG4214" s="1821"/>
      <c r="AH4214" s="1821"/>
      <c r="AI4214" s="1821"/>
      <c r="AJ4214" s="1821"/>
      <c r="AK4214" s="1821"/>
      <c r="AL4214" s="1821"/>
      <c r="AM4214" s="1821"/>
      <c r="AN4214" s="1821"/>
      <c r="AO4214" s="1821"/>
      <c r="AP4214" s="1821"/>
      <c r="AQ4214" s="1821"/>
      <c r="AR4214" s="1821"/>
      <c r="AS4214" s="1821"/>
      <c r="AT4214" s="1821"/>
      <c r="AU4214" s="1821"/>
      <c r="AV4214" s="1821"/>
      <c r="AW4214" s="1821"/>
      <c r="AX4214" s="1821"/>
      <c r="AY4214" s="1821"/>
      <c r="AZ4214" s="1821"/>
      <c r="BA4214" s="1821"/>
      <c r="BB4214" s="1821"/>
      <c r="BC4214" s="1821"/>
      <c r="BD4214" s="1821"/>
      <c r="BE4214" s="1821"/>
      <c r="BF4214" s="1821"/>
      <c r="BG4214" s="1821"/>
      <c r="BH4214" s="1821"/>
      <c r="BI4214" s="1821"/>
      <c r="BJ4214" s="1821"/>
      <c r="BK4214" s="1821"/>
      <c r="BL4214" s="1821"/>
      <c r="BM4214" s="1821"/>
      <c r="BN4214" s="1821"/>
      <c r="BO4214" s="1821"/>
      <c r="BP4214" s="1821"/>
      <c r="BQ4214" s="1821"/>
      <c r="BR4214" s="1821"/>
      <c r="BS4214" s="1821"/>
      <c r="BT4214" s="1821"/>
      <c r="BU4214" s="1821"/>
      <c r="BV4214" s="1821"/>
      <c r="BW4214" s="1821"/>
      <c r="BX4214" s="1821"/>
      <c r="BY4214" s="1821"/>
      <c r="BZ4214" s="1821"/>
      <c r="CA4214" s="1821"/>
      <c r="CB4214" s="1821"/>
      <c r="CC4214" s="1821"/>
      <c r="CD4214" s="1821"/>
      <c r="CE4214" s="1821"/>
      <c r="CF4214" s="1821"/>
      <c r="CG4214" s="1821"/>
      <c r="CH4214" s="1821"/>
      <c r="CI4214" s="1821"/>
      <c r="CJ4214" s="1821"/>
      <c r="CK4214" s="1821"/>
    </row>
    <row r="4215" spans="1:89" s="744" customFormat="1" ht="16.5" hidden="1" customHeight="1" x14ac:dyDescent="0.25">
      <c r="A4215" s="1033"/>
      <c r="B4215" s="709" t="s">
        <v>365</v>
      </c>
      <c r="C4215" s="827">
        <v>1</v>
      </c>
      <c r="D4215" s="961" t="s">
        <v>25</v>
      </c>
      <c r="E4215" s="758">
        <v>200000</v>
      </c>
      <c r="F4215" s="714"/>
      <c r="G4215" s="714"/>
      <c r="H4215" s="700">
        <f>G4215+F4215</f>
        <v>0</v>
      </c>
      <c r="I4215" s="714"/>
      <c r="J4215" s="714">
        <f t="shared" si="483"/>
        <v>200000</v>
      </c>
      <c r="K4215" s="700">
        <f t="shared" si="480"/>
        <v>200000</v>
      </c>
      <c r="L4215" s="714"/>
      <c r="M4215" s="714"/>
      <c r="N4215" s="700">
        <f>M4215+L4215</f>
        <v>0</v>
      </c>
      <c r="O4215" s="974">
        <f>N4215+K4215+H4215</f>
        <v>200000</v>
      </c>
      <c r="P4215" s="956"/>
      <c r="Q4215" s="1821"/>
      <c r="R4215" s="1821"/>
      <c r="S4215" s="1821"/>
      <c r="T4215" s="1821"/>
      <c r="U4215" s="1821"/>
      <c r="V4215" s="1821"/>
      <c r="W4215" s="1821"/>
      <c r="X4215" s="1821"/>
      <c r="Y4215" s="1821"/>
      <c r="Z4215" s="1821"/>
      <c r="AA4215" s="1821"/>
      <c r="AB4215" s="1821"/>
      <c r="AC4215" s="1821"/>
      <c r="AD4215" s="1821"/>
      <c r="AE4215" s="1821"/>
      <c r="AF4215" s="1821"/>
      <c r="AG4215" s="1821"/>
      <c r="AH4215" s="1821"/>
      <c r="AI4215" s="1821"/>
      <c r="AJ4215" s="1821"/>
      <c r="AK4215" s="1821"/>
      <c r="AL4215" s="1821"/>
      <c r="AM4215" s="1821"/>
      <c r="AN4215" s="1821"/>
      <c r="AO4215" s="1821"/>
      <c r="AP4215" s="1821"/>
      <c r="AQ4215" s="1821"/>
      <c r="AR4215" s="1821"/>
      <c r="AS4215" s="1821"/>
      <c r="AT4215" s="1821"/>
      <c r="AU4215" s="1821"/>
      <c r="AV4215" s="1821"/>
      <c r="AW4215" s="1821"/>
      <c r="AX4215" s="1821"/>
      <c r="AY4215" s="1821"/>
      <c r="AZ4215" s="1821"/>
      <c r="BA4215" s="1821"/>
      <c r="BB4215" s="1821"/>
      <c r="BC4215" s="1821"/>
      <c r="BD4215" s="1821"/>
      <c r="BE4215" s="1821"/>
      <c r="BF4215" s="1821"/>
      <c r="BG4215" s="1821"/>
      <c r="BH4215" s="1821"/>
      <c r="BI4215" s="1821"/>
      <c r="BJ4215" s="1821"/>
      <c r="BK4215" s="1821"/>
      <c r="BL4215" s="1821"/>
      <c r="BM4215" s="1821"/>
      <c r="BN4215" s="1821"/>
      <c r="BO4215" s="1821"/>
      <c r="BP4215" s="1821"/>
      <c r="BQ4215" s="1821"/>
      <c r="BR4215" s="1821"/>
      <c r="BS4215" s="1821"/>
      <c r="BT4215" s="1821"/>
      <c r="BU4215" s="1821"/>
      <c r="BV4215" s="1821"/>
      <c r="BW4215" s="1821"/>
      <c r="BX4215" s="1821"/>
      <c r="BY4215" s="1821"/>
      <c r="BZ4215" s="1821"/>
      <c r="CA4215" s="1821"/>
      <c r="CB4215" s="1821"/>
      <c r="CC4215" s="1821"/>
      <c r="CD4215" s="1821"/>
      <c r="CE4215" s="1821"/>
      <c r="CF4215" s="1821"/>
      <c r="CG4215" s="1821"/>
      <c r="CH4215" s="1821"/>
      <c r="CI4215" s="1821"/>
      <c r="CJ4215" s="1821"/>
      <c r="CK4215" s="1821"/>
    </row>
    <row r="4216" spans="1:89" s="744" customFormat="1" ht="16.5" hidden="1" customHeight="1" x14ac:dyDescent="0.25">
      <c r="A4216" s="1033"/>
      <c r="B4216" s="709" t="s">
        <v>206</v>
      </c>
      <c r="C4216" s="827"/>
      <c r="D4216" s="961"/>
      <c r="E4216" s="758"/>
      <c r="F4216" s="714"/>
      <c r="G4216" s="714"/>
      <c r="H4216" s="700"/>
      <c r="I4216" s="714"/>
      <c r="J4216" s="714">
        <f t="shared" si="483"/>
        <v>0</v>
      </c>
      <c r="K4216" s="700"/>
      <c r="L4216" s="714"/>
      <c r="M4216" s="714"/>
      <c r="N4216" s="700"/>
      <c r="O4216" s="974"/>
      <c r="P4216" s="956"/>
      <c r="Q4216" s="1821"/>
      <c r="R4216" s="1821"/>
      <c r="S4216" s="1821"/>
      <c r="T4216" s="1821"/>
      <c r="U4216" s="1821"/>
      <c r="V4216" s="1821"/>
      <c r="W4216" s="1821"/>
      <c r="X4216" s="1821"/>
      <c r="Y4216" s="1821"/>
      <c r="Z4216" s="1821"/>
      <c r="AA4216" s="1821"/>
      <c r="AB4216" s="1821"/>
      <c r="AC4216" s="1821"/>
      <c r="AD4216" s="1821"/>
      <c r="AE4216" s="1821"/>
      <c r="AF4216" s="1821"/>
      <c r="AG4216" s="1821"/>
      <c r="AH4216" s="1821"/>
      <c r="AI4216" s="1821"/>
      <c r="AJ4216" s="1821"/>
      <c r="AK4216" s="1821"/>
      <c r="AL4216" s="1821"/>
      <c r="AM4216" s="1821"/>
      <c r="AN4216" s="1821"/>
      <c r="AO4216" s="1821"/>
      <c r="AP4216" s="1821"/>
      <c r="AQ4216" s="1821"/>
      <c r="AR4216" s="1821"/>
      <c r="AS4216" s="1821"/>
      <c r="AT4216" s="1821"/>
      <c r="AU4216" s="1821"/>
      <c r="AV4216" s="1821"/>
      <c r="AW4216" s="1821"/>
      <c r="AX4216" s="1821"/>
      <c r="AY4216" s="1821"/>
      <c r="AZ4216" s="1821"/>
      <c r="BA4216" s="1821"/>
      <c r="BB4216" s="1821"/>
      <c r="BC4216" s="1821"/>
      <c r="BD4216" s="1821"/>
      <c r="BE4216" s="1821"/>
      <c r="BF4216" s="1821"/>
      <c r="BG4216" s="1821"/>
      <c r="BH4216" s="1821"/>
      <c r="BI4216" s="1821"/>
      <c r="BJ4216" s="1821"/>
      <c r="BK4216" s="1821"/>
      <c r="BL4216" s="1821"/>
      <c r="BM4216" s="1821"/>
      <c r="BN4216" s="1821"/>
      <c r="BO4216" s="1821"/>
      <c r="BP4216" s="1821"/>
      <c r="BQ4216" s="1821"/>
      <c r="BR4216" s="1821"/>
      <c r="BS4216" s="1821"/>
      <c r="BT4216" s="1821"/>
      <c r="BU4216" s="1821"/>
      <c r="BV4216" s="1821"/>
      <c r="BW4216" s="1821"/>
      <c r="BX4216" s="1821"/>
      <c r="BY4216" s="1821"/>
      <c r="BZ4216" s="1821"/>
      <c r="CA4216" s="1821"/>
      <c r="CB4216" s="1821"/>
      <c r="CC4216" s="1821"/>
      <c r="CD4216" s="1821"/>
      <c r="CE4216" s="1821"/>
      <c r="CF4216" s="1821"/>
      <c r="CG4216" s="1821"/>
      <c r="CH4216" s="1821"/>
      <c r="CI4216" s="1821"/>
      <c r="CJ4216" s="1821"/>
      <c r="CK4216" s="1821"/>
    </row>
    <row r="4217" spans="1:89" s="744" customFormat="1" ht="16.5" hidden="1" customHeight="1" x14ac:dyDescent="0.25">
      <c r="A4217" s="1033"/>
      <c r="B4217" s="709" t="s">
        <v>1374</v>
      </c>
      <c r="C4217" s="827">
        <v>12</v>
      </c>
      <c r="D4217" s="961" t="s">
        <v>20</v>
      </c>
      <c r="E4217" s="758">
        <v>450</v>
      </c>
      <c r="F4217" s="714"/>
      <c r="G4217" s="714"/>
      <c r="H4217" s="700">
        <f>G4217+F4217</f>
        <v>0</v>
      </c>
      <c r="I4217" s="714"/>
      <c r="J4217" s="714">
        <f t="shared" si="483"/>
        <v>5400</v>
      </c>
      <c r="K4217" s="700">
        <f t="shared" si="480"/>
        <v>5400</v>
      </c>
      <c r="L4217" s="714"/>
      <c r="M4217" s="714"/>
      <c r="N4217" s="700">
        <f>M4217+L4217</f>
        <v>0</v>
      </c>
      <c r="O4217" s="974">
        <f>N4217+K4217+H4217</f>
        <v>5400</v>
      </c>
      <c r="P4217" s="956"/>
      <c r="Q4217" s="1821"/>
      <c r="R4217" s="1821"/>
      <c r="S4217" s="1821"/>
      <c r="T4217" s="1821"/>
      <c r="U4217" s="1821"/>
      <c r="V4217" s="1821"/>
      <c r="W4217" s="1821"/>
      <c r="X4217" s="1821"/>
      <c r="Y4217" s="1821"/>
      <c r="Z4217" s="1821"/>
      <c r="AA4217" s="1821"/>
      <c r="AB4217" s="1821"/>
      <c r="AC4217" s="1821"/>
      <c r="AD4217" s="1821"/>
      <c r="AE4217" s="1821"/>
      <c r="AF4217" s="1821"/>
      <c r="AG4217" s="1821"/>
      <c r="AH4217" s="1821"/>
      <c r="AI4217" s="1821"/>
      <c r="AJ4217" s="1821"/>
      <c r="AK4217" s="1821"/>
      <c r="AL4217" s="1821"/>
      <c r="AM4217" s="1821"/>
      <c r="AN4217" s="1821"/>
      <c r="AO4217" s="1821"/>
      <c r="AP4217" s="1821"/>
      <c r="AQ4217" s="1821"/>
      <c r="AR4217" s="1821"/>
      <c r="AS4217" s="1821"/>
      <c r="AT4217" s="1821"/>
      <c r="AU4217" s="1821"/>
      <c r="AV4217" s="1821"/>
      <c r="AW4217" s="1821"/>
      <c r="AX4217" s="1821"/>
      <c r="AY4217" s="1821"/>
      <c r="AZ4217" s="1821"/>
      <c r="BA4217" s="1821"/>
      <c r="BB4217" s="1821"/>
      <c r="BC4217" s="1821"/>
      <c r="BD4217" s="1821"/>
      <c r="BE4217" s="1821"/>
      <c r="BF4217" s="1821"/>
      <c r="BG4217" s="1821"/>
      <c r="BH4217" s="1821"/>
      <c r="BI4217" s="1821"/>
      <c r="BJ4217" s="1821"/>
      <c r="BK4217" s="1821"/>
      <c r="BL4217" s="1821"/>
      <c r="BM4217" s="1821"/>
      <c r="BN4217" s="1821"/>
      <c r="BO4217" s="1821"/>
      <c r="BP4217" s="1821"/>
      <c r="BQ4217" s="1821"/>
      <c r="BR4217" s="1821"/>
      <c r="BS4217" s="1821"/>
      <c r="BT4217" s="1821"/>
      <c r="BU4217" s="1821"/>
      <c r="BV4217" s="1821"/>
      <c r="BW4217" s="1821"/>
      <c r="BX4217" s="1821"/>
      <c r="BY4217" s="1821"/>
      <c r="BZ4217" s="1821"/>
      <c r="CA4217" s="1821"/>
      <c r="CB4217" s="1821"/>
      <c r="CC4217" s="1821"/>
      <c r="CD4217" s="1821"/>
      <c r="CE4217" s="1821"/>
      <c r="CF4217" s="1821"/>
      <c r="CG4217" s="1821"/>
      <c r="CH4217" s="1821"/>
      <c r="CI4217" s="1821"/>
      <c r="CJ4217" s="1821"/>
      <c r="CK4217" s="1821"/>
    </row>
    <row r="4218" spans="1:89" s="744" customFormat="1" ht="16.5" hidden="1" customHeight="1" x14ac:dyDescent="0.25">
      <c r="A4218" s="1033"/>
      <c r="B4218" s="709" t="s">
        <v>1375</v>
      </c>
      <c r="C4218" s="827">
        <v>12</v>
      </c>
      <c r="D4218" s="961" t="s">
        <v>20</v>
      </c>
      <c r="E4218" s="758">
        <v>400</v>
      </c>
      <c r="F4218" s="714"/>
      <c r="G4218" s="714"/>
      <c r="H4218" s="700">
        <f>G4218+F4218</f>
        <v>0</v>
      </c>
      <c r="I4218" s="714"/>
      <c r="J4218" s="714">
        <f t="shared" si="483"/>
        <v>4800</v>
      </c>
      <c r="K4218" s="700">
        <f t="shared" si="480"/>
        <v>4800</v>
      </c>
      <c r="L4218" s="714"/>
      <c r="M4218" s="714"/>
      <c r="N4218" s="700">
        <f>M4218+L4218</f>
        <v>0</v>
      </c>
      <c r="O4218" s="974">
        <f>N4218+K4218+H4218</f>
        <v>4800</v>
      </c>
      <c r="P4218" s="956"/>
      <c r="Q4218" s="1821"/>
      <c r="R4218" s="1821"/>
      <c r="S4218" s="1821"/>
      <c r="T4218" s="1821"/>
      <c r="U4218" s="1821"/>
      <c r="V4218" s="1821"/>
      <c r="W4218" s="1821"/>
      <c r="X4218" s="1821"/>
      <c r="Y4218" s="1821"/>
      <c r="Z4218" s="1821"/>
      <c r="AA4218" s="1821"/>
      <c r="AB4218" s="1821"/>
      <c r="AC4218" s="1821"/>
      <c r="AD4218" s="1821"/>
      <c r="AE4218" s="1821"/>
      <c r="AF4218" s="1821"/>
      <c r="AG4218" s="1821"/>
      <c r="AH4218" s="1821"/>
      <c r="AI4218" s="1821"/>
      <c r="AJ4218" s="1821"/>
      <c r="AK4218" s="1821"/>
      <c r="AL4218" s="1821"/>
      <c r="AM4218" s="1821"/>
      <c r="AN4218" s="1821"/>
      <c r="AO4218" s="1821"/>
      <c r="AP4218" s="1821"/>
      <c r="AQ4218" s="1821"/>
      <c r="AR4218" s="1821"/>
      <c r="AS4218" s="1821"/>
      <c r="AT4218" s="1821"/>
      <c r="AU4218" s="1821"/>
      <c r="AV4218" s="1821"/>
      <c r="AW4218" s="1821"/>
      <c r="AX4218" s="1821"/>
      <c r="AY4218" s="1821"/>
      <c r="AZ4218" s="1821"/>
      <c r="BA4218" s="1821"/>
      <c r="BB4218" s="1821"/>
      <c r="BC4218" s="1821"/>
      <c r="BD4218" s="1821"/>
      <c r="BE4218" s="1821"/>
      <c r="BF4218" s="1821"/>
      <c r="BG4218" s="1821"/>
      <c r="BH4218" s="1821"/>
      <c r="BI4218" s="1821"/>
      <c r="BJ4218" s="1821"/>
      <c r="BK4218" s="1821"/>
      <c r="BL4218" s="1821"/>
      <c r="BM4218" s="1821"/>
      <c r="BN4218" s="1821"/>
      <c r="BO4218" s="1821"/>
      <c r="BP4218" s="1821"/>
      <c r="BQ4218" s="1821"/>
      <c r="BR4218" s="1821"/>
      <c r="BS4218" s="1821"/>
      <c r="BT4218" s="1821"/>
      <c r="BU4218" s="1821"/>
      <c r="BV4218" s="1821"/>
      <c r="BW4218" s="1821"/>
      <c r="BX4218" s="1821"/>
      <c r="BY4218" s="1821"/>
      <c r="BZ4218" s="1821"/>
      <c r="CA4218" s="1821"/>
      <c r="CB4218" s="1821"/>
      <c r="CC4218" s="1821"/>
      <c r="CD4218" s="1821"/>
      <c r="CE4218" s="1821"/>
      <c r="CF4218" s="1821"/>
      <c r="CG4218" s="1821"/>
      <c r="CH4218" s="1821"/>
      <c r="CI4218" s="1821"/>
      <c r="CJ4218" s="1821"/>
      <c r="CK4218" s="1821"/>
    </row>
    <row r="4219" spans="1:89" s="744" customFormat="1" ht="16.5" hidden="1" customHeight="1" x14ac:dyDescent="0.25">
      <c r="A4219" s="1033"/>
      <c r="B4219" s="709" t="s">
        <v>237</v>
      </c>
      <c r="C4219" s="827">
        <v>12</v>
      </c>
      <c r="D4219" s="961" t="s">
        <v>20</v>
      </c>
      <c r="E4219" s="758">
        <v>350</v>
      </c>
      <c r="F4219" s="714"/>
      <c r="G4219" s="714"/>
      <c r="H4219" s="700">
        <f>G4219+F4219</f>
        <v>0</v>
      </c>
      <c r="I4219" s="714"/>
      <c r="J4219" s="714">
        <f t="shared" si="483"/>
        <v>4200</v>
      </c>
      <c r="K4219" s="700">
        <f t="shared" si="480"/>
        <v>4200</v>
      </c>
      <c r="L4219" s="714"/>
      <c r="M4219" s="714"/>
      <c r="N4219" s="700">
        <f>M4219+L4219</f>
        <v>0</v>
      </c>
      <c r="O4219" s="974">
        <f>N4219+K4219+H4219</f>
        <v>4200</v>
      </c>
      <c r="P4219" s="956"/>
      <c r="Q4219" s="1821"/>
      <c r="R4219" s="1821"/>
      <c r="S4219" s="1821"/>
      <c r="T4219" s="1821"/>
      <c r="U4219" s="1821"/>
      <c r="V4219" s="1821"/>
      <c r="W4219" s="1821"/>
      <c r="X4219" s="1821"/>
      <c r="Y4219" s="1821"/>
      <c r="Z4219" s="1821"/>
      <c r="AA4219" s="1821"/>
      <c r="AB4219" s="1821"/>
      <c r="AC4219" s="1821"/>
      <c r="AD4219" s="1821"/>
      <c r="AE4219" s="1821"/>
      <c r="AF4219" s="1821"/>
      <c r="AG4219" s="1821"/>
      <c r="AH4219" s="1821"/>
      <c r="AI4219" s="1821"/>
      <c r="AJ4219" s="1821"/>
      <c r="AK4219" s="1821"/>
      <c r="AL4219" s="1821"/>
      <c r="AM4219" s="1821"/>
      <c r="AN4219" s="1821"/>
      <c r="AO4219" s="1821"/>
      <c r="AP4219" s="1821"/>
      <c r="AQ4219" s="1821"/>
      <c r="AR4219" s="1821"/>
      <c r="AS4219" s="1821"/>
      <c r="AT4219" s="1821"/>
      <c r="AU4219" s="1821"/>
      <c r="AV4219" s="1821"/>
      <c r="AW4219" s="1821"/>
      <c r="AX4219" s="1821"/>
      <c r="AY4219" s="1821"/>
      <c r="AZ4219" s="1821"/>
      <c r="BA4219" s="1821"/>
      <c r="BB4219" s="1821"/>
      <c r="BC4219" s="1821"/>
      <c r="BD4219" s="1821"/>
      <c r="BE4219" s="1821"/>
      <c r="BF4219" s="1821"/>
      <c r="BG4219" s="1821"/>
      <c r="BH4219" s="1821"/>
      <c r="BI4219" s="1821"/>
      <c r="BJ4219" s="1821"/>
      <c r="BK4219" s="1821"/>
      <c r="BL4219" s="1821"/>
      <c r="BM4219" s="1821"/>
      <c r="BN4219" s="1821"/>
      <c r="BO4219" s="1821"/>
      <c r="BP4219" s="1821"/>
      <c r="BQ4219" s="1821"/>
      <c r="BR4219" s="1821"/>
      <c r="BS4219" s="1821"/>
      <c r="BT4219" s="1821"/>
      <c r="BU4219" s="1821"/>
      <c r="BV4219" s="1821"/>
      <c r="BW4219" s="1821"/>
      <c r="BX4219" s="1821"/>
      <c r="BY4219" s="1821"/>
      <c r="BZ4219" s="1821"/>
      <c r="CA4219" s="1821"/>
      <c r="CB4219" s="1821"/>
      <c r="CC4219" s="1821"/>
      <c r="CD4219" s="1821"/>
      <c r="CE4219" s="1821"/>
      <c r="CF4219" s="1821"/>
      <c r="CG4219" s="1821"/>
      <c r="CH4219" s="1821"/>
      <c r="CI4219" s="1821"/>
      <c r="CJ4219" s="1821"/>
      <c r="CK4219" s="1821"/>
    </row>
    <row r="4220" spans="1:89" s="744" customFormat="1" ht="16.5" hidden="1" customHeight="1" x14ac:dyDescent="0.25">
      <c r="A4220" s="1033"/>
      <c r="B4220" s="709" t="s">
        <v>428</v>
      </c>
      <c r="C4220" s="827">
        <v>12</v>
      </c>
      <c r="D4220" s="961" t="s">
        <v>20</v>
      </c>
      <c r="E4220" s="758">
        <v>350</v>
      </c>
      <c r="F4220" s="714"/>
      <c r="G4220" s="714"/>
      <c r="H4220" s="700">
        <f>G4220+F4220</f>
        <v>0</v>
      </c>
      <c r="I4220" s="714"/>
      <c r="J4220" s="714">
        <f t="shared" si="483"/>
        <v>4200</v>
      </c>
      <c r="K4220" s="700">
        <f t="shared" si="480"/>
        <v>4200</v>
      </c>
      <c r="L4220" s="714"/>
      <c r="M4220" s="714"/>
      <c r="N4220" s="700">
        <f>M4220+L4220</f>
        <v>0</v>
      </c>
      <c r="O4220" s="974">
        <f>N4220+K4220+H4220</f>
        <v>4200</v>
      </c>
      <c r="P4220" s="956"/>
      <c r="Q4220" s="1821"/>
      <c r="R4220" s="1821"/>
      <c r="S4220" s="1821"/>
      <c r="T4220" s="1821"/>
      <c r="U4220" s="1821"/>
      <c r="V4220" s="1821"/>
      <c r="W4220" s="1821"/>
      <c r="X4220" s="1821"/>
      <c r="Y4220" s="1821"/>
      <c r="Z4220" s="1821"/>
      <c r="AA4220" s="1821"/>
      <c r="AB4220" s="1821"/>
      <c r="AC4220" s="1821"/>
      <c r="AD4220" s="1821"/>
      <c r="AE4220" s="1821"/>
      <c r="AF4220" s="1821"/>
      <c r="AG4220" s="1821"/>
      <c r="AH4220" s="1821"/>
      <c r="AI4220" s="1821"/>
      <c r="AJ4220" s="1821"/>
      <c r="AK4220" s="1821"/>
      <c r="AL4220" s="1821"/>
      <c r="AM4220" s="1821"/>
      <c r="AN4220" s="1821"/>
      <c r="AO4220" s="1821"/>
      <c r="AP4220" s="1821"/>
      <c r="AQ4220" s="1821"/>
      <c r="AR4220" s="1821"/>
      <c r="AS4220" s="1821"/>
      <c r="AT4220" s="1821"/>
      <c r="AU4220" s="1821"/>
      <c r="AV4220" s="1821"/>
      <c r="AW4220" s="1821"/>
      <c r="AX4220" s="1821"/>
      <c r="AY4220" s="1821"/>
      <c r="AZ4220" s="1821"/>
      <c r="BA4220" s="1821"/>
      <c r="BB4220" s="1821"/>
      <c r="BC4220" s="1821"/>
      <c r="BD4220" s="1821"/>
      <c r="BE4220" s="1821"/>
      <c r="BF4220" s="1821"/>
      <c r="BG4220" s="1821"/>
      <c r="BH4220" s="1821"/>
      <c r="BI4220" s="1821"/>
      <c r="BJ4220" s="1821"/>
      <c r="BK4220" s="1821"/>
      <c r="BL4220" s="1821"/>
      <c r="BM4220" s="1821"/>
      <c r="BN4220" s="1821"/>
      <c r="BO4220" s="1821"/>
      <c r="BP4220" s="1821"/>
      <c r="BQ4220" s="1821"/>
      <c r="BR4220" s="1821"/>
      <c r="BS4220" s="1821"/>
      <c r="BT4220" s="1821"/>
      <c r="BU4220" s="1821"/>
      <c r="BV4220" s="1821"/>
      <c r="BW4220" s="1821"/>
      <c r="BX4220" s="1821"/>
      <c r="BY4220" s="1821"/>
      <c r="BZ4220" s="1821"/>
      <c r="CA4220" s="1821"/>
      <c r="CB4220" s="1821"/>
      <c r="CC4220" s="1821"/>
      <c r="CD4220" s="1821"/>
      <c r="CE4220" s="1821"/>
      <c r="CF4220" s="1821"/>
      <c r="CG4220" s="1821"/>
      <c r="CH4220" s="1821"/>
      <c r="CI4220" s="1821"/>
      <c r="CJ4220" s="1821"/>
      <c r="CK4220" s="1821"/>
    </row>
    <row r="4221" spans="1:89" s="744" customFormat="1" ht="16.5" hidden="1" customHeight="1" x14ac:dyDescent="0.25">
      <c r="A4221" s="1033"/>
      <c r="B4221" s="709" t="s">
        <v>238</v>
      </c>
      <c r="C4221" s="827">
        <v>144</v>
      </c>
      <c r="D4221" s="961" t="s">
        <v>20</v>
      </c>
      <c r="E4221" s="758">
        <v>300</v>
      </c>
      <c r="F4221" s="714"/>
      <c r="G4221" s="714"/>
      <c r="H4221" s="700">
        <f>G4221+F4221</f>
        <v>0</v>
      </c>
      <c r="I4221" s="714"/>
      <c r="J4221" s="714">
        <f t="shared" si="483"/>
        <v>43200</v>
      </c>
      <c r="K4221" s="700">
        <f t="shared" si="480"/>
        <v>43200</v>
      </c>
      <c r="L4221" s="714"/>
      <c r="M4221" s="714"/>
      <c r="N4221" s="700">
        <f>M4221+L4221</f>
        <v>0</v>
      </c>
      <c r="O4221" s="974">
        <f>N4221+K4221+H4221</f>
        <v>43200</v>
      </c>
      <c r="P4221" s="956"/>
      <c r="Q4221" s="1821"/>
      <c r="R4221" s="1821"/>
      <c r="S4221" s="1821"/>
      <c r="T4221" s="1821"/>
      <c r="U4221" s="1821"/>
      <c r="V4221" s="1821"/>
      <c r="W4221" s="1821"/>
      <c r="X4221" s="1821"/>
      <c r="Y4221" s="1821"/>
      <c r="Z4221" s="1821"/>
      <c r="AA4221" s="1821"/>
      <c r="AB4221" s="1821"/>
      <c r="AC4221" s="1821"/>
      <c r="AD4221" s="1821"/>
      <c r="AE4221" s="1821"/>
      <c r="AF4221" s="1821"/>
      <c r="AG4221" s="1821"/>
      <c r="AH4221" s="1821"/>
      <c r="AI4221" s="1821"/>
      <c r="AJ4221" s="1821"/>
      <c r="AK4221" s="1821"/>
      <c r="AL4221" s="1821"/>
      <c r="AM4221" s="1821"/>
      <c r="AN4221" s="1821"/>
      <c r="AO4221" s="1821"/>
      <c r="AP4221" s="1821"/>
      <c r="AQ4221" s="1821"/>
      <c r="AR4221" s="1821"/>
      <c r="AS4221" s="1821"/>
      <c r="AT4221" s="1821"/>
      <c r="AU4221" s="1821"/>
      <c r="AV4221" s="1821"/>
      <c r="AW4221" s="1821"/>
      <c r="AX4221" s="1821"/>
      <c r="AY4221" s="1821"/>
      <c r="AZ4221" s="1821"/>
      <c r="BA4221" s="1821"/>
      <c r="BB4221" s="1821"/>
      <c r="BC4221" s="1821"/>
      <c r="BD4221" s="1821"/>
      <c r="BE4221" s="1821"/>
      <c r="BF4221" s="1821"/>
      <c r="BG4221" s="1821"/>
      <c r="BH4221" s="1821"/>
      <c r="BI4221" s="1821"/>
      <c r="BJ4221" s="1821"/>
      <c r="BK4221" s="1821"/>
      <c r="BL4221" s="1821"/>
      <c r="BM4221" s="1821"/>
      <c r="BN4221" s="1821"/>
      <c r="BO4221" s="1821"/>
      <c r="BP4221" s="1821"/>
      <c r="BQ4221" s="1821"/>
      <c r="BR4221" s="1821"/>
      <c r="BS4221" s="1821"/>
      <c r="BT4221" s="1821"/>
      <c r="BU4221" s="1821"/>
      <c r="BV4221" s="1821"/>
      <c r="BW4221" s="1821"/>
      <c r="BX4221" s="1821"/>
      <c r="BY4221" s="1821"/>
      <c r="BZ4221" s="1821"/>
      <c r="CA4221" s="1821"/>
      <c r="CB4221" s="1821"/>
      <c r="CC4221" s="1821"/>
      <c r="CD4221" s="1821"/>
      <c r="CE4221" s="1821"/>
      <c r="CF4221" s="1821"/>
      <c r="CG4221" s="1821"/>
      <c r="CH4221" s="1821"/>
      <c r="CI4221" s="1821"/>
      <c r="CJ4221" s="1821"/>
      <c r="CK4221" s="1821"/>
    </row>
    <row r="4222" spans="1:89" s="744" customFormat="1" ht="16.5" hidden="1" customHeight="1" x14ac:dyDescent="0.25">
      <c r="A4222" s="1033"/>
      <c r="B4222" s="709" t="s">
        <v>224</v>
      </c>
      <c r="C4222" s="827"/>
      <c r="D4222" s="961"/>
      <c r="E4222" s="758"/>
      <c r="F4222" s="714"/>
      <c r="G4222" s="714"/>
      <c r="H4222" s="700"/>
      <c r="I4222" s="714"/>
      <c r="J4222" s="714">
        <f t="shared" si="483"/>
        <v>0</v>
      </c>
      <c r="K4222" s="700"/>
      <c r="L4222" s="714"/>
      <c r="M4222" s="714"/>
      <c r="N4222" s="700"/>
      <c r="O4222" s="974"/>
      <c r="P4222" s="956"/>
      <c r="Q4222" s="1821"/>
      <c r="R4222" s="1821"/>
      <c r="S4222" s="1821"/>
      <c r="T4222" s="1821"/>
      <c r="U4222" s="1821"/>
      <c r="V4222" s="1821"/>
      <c r="W4222" s="1821"/>
      <c r="X4222" s="1821"/>
      <c r="Y4222" s="1821"/>
      <c r="Z4222" s="1821"/>
      <c r="AA4222" s="1821"/>
      <c r="AB4222" s="1821"/>
      <c r="AC4222" s="1821"/>
      <c r="AD4222" s="1821"/>
      <c r="AE4222" s="1821"/>
      <c r="AF4222" s="1821"/>
      <c r="AG4222" s="1821"/>
      <c r="AH4222" s="1821"/>
      <c r="AI4222" s="1821"/>
      <c r="AJ4222" s="1821"/>
      <c r="AK4222" s="1821"/>
      <c r="AL4222" s="1821"/>
      <c r="AM4222" s="1821"/>
      <c r="AN4222" s="1821"/>
      <c r="AO4222" s="1821"/>
      <c r="AP4222" s="1821"/>
      <c r="AQ4222" s="1821"/>
      <c r="AR4222" s="1821"/>
      <c r="AS4222" s="1821"/>
      <c r="AT4222" s="1821"/>
      <c r="AU4222" s="1821"/>
      <c r="AV4222" s="1821"/>
      <c r="AW4222" s="1821"/>
      <c r="AX4222" s="1821"/>
      <c r="AY4222" s="1821"/>
      <c r="AZ4222" s="1821"/>
      <c r="BA4222" s="1821"/>
      <c r="BB4222" s="1821"/>
      <c r="BC4222" s="1821"/>
      <c r="BD4222" s="1821"/>
      <c r="BE4222" s="1821"/>
      <c r="BF4222" s="1821"/>
      <c r="BG4222" s="1821"/>
      <c r="BH4222" s="1821"/>
      <c r="BI4222" s="1821"/>
      <c r="BJ4222" s="1821"/>
      <c r="BK4222" s="1821"/>
      <c r="BL4222" s="1821"/>
      <c r="BM4222" s="1821"/>
      <c r="BN4222" s="1821"/>
      <c r="BO4222" s="1821"/>
      <c r="BP4222" s="1821"/>
      <c r="BQ4222" s="1821"/>
      <c r="BR4222" s="1821"/>
      <c r="BS4222" s="1821"/>
      <c r="BT4222" s="1821"/>
      <c r="BU4222" s="1821"/>
      <c r="BV4222" s="1821"/>
      <c r="BW4222" s="1821"/>
      <c r="BX4222" s="1821"/>
      <c r="BY4222" s="1821"/>
      <c r="BZ4222" s="1821"/>
      <c r="CA4222" s="1821"/>
      <c r="CB4222" s="1821"/>
      <c r="CC4222" s="1821"/>
      <c r="CD4222" s="1821"/>
      <c r="CE4222" s="1821"/>
      <c r="CF4222" s="1821"/>
      <c r="CG4222" s="1821"/>
      <c r="CH4222" s="1821"/>
      <c r="CI4222" s="1821"/>
      <c r="CJ4222" s="1821"/>
      <c r="CK4222" s="1821"/>
    </row>
    <row r="4223" spans="1:89" s="744" customFormat="1" ht="16.5" hidden="1" customHeight="1" x14ac:dyDescent="0.25">
      <c r="A4223" s="1033"/>
      <c r="B4223" s="709" t="s">
        <v>1385</v>
      </c>
      <c r="C4223" s="827">
        <v>8</v>
      </c>
      <c r="D4223" s="961" t="s">
        <v>210</v>
      </c>
      <c r="E4223" s="758">
        <v>1000</v>
      </c>
      <c r="F4223" s="714"/>
      <c r="G4223" s="714"/>
      <c r="H4223" s="700"/>
      <c r="I4223" s="714"/>
      <c r="J4223" s="714">
        <f t="shared" si="483"/>
        <v>8000</v>
      </c>
      <c r="K4223" s="700">
        <f>H4223+J4223</f>
        <v>8000</v>
      </c>
      <c r="L4223" s="714"/>
      <c r="M4223" s="714"/>
      <c r="N4223" s="700"/>
      <c r="O4223" s="974">
        <f>H4223+K4223+N4223</f>
        <v>8000</v>
      </c>
      <c r="P4223" s="956"/>
      <c r="Q4223" s="1821"/>
      <c r="R4223" s="1821"/>
      <c r="S4223" s="1821"/>
      <c r="T4223" s="1821"/>
      <c r="U4223" s="1821"/>
      <c r="V4223" s="1821"/>
      <c r="W4223" s="1821"/>
      <c r="X4223" s="1821"/>
      <c r="Y4223" s="1821"/>
      <c r="Z4223" s="1821"/>
      <c r="AA4223" s="1821"/>
      <c r="AB4223" s="1821"/>
      <c r="AC4223" s="1821"/>
      <c r="AD4223" s="1821"/>
      <c r="AE4223" s="1821"/>
      <c r="AF4223" s="1821"/>
      <c r="AG4223" s="1821"/>
      <c r="AH4223" s="1821"/>
      <c r="AI4223" s="1821"/>
      <c r="AJ4223" s="1821"/>
      <c r="AK4223" s="1821"/>
      <c r="AL4223" s="1821"/>
      <c r="AM4223" s="1821"/>
      <c r="AN4223" s="1821"/>
      <c r="AO4223" s="1821"/>
      <c r="AP4223" s="1821"/>
      <c r="AQ4223" s="1821"/>
      <c r="AR4223" s="1821"/>
      <c r="AS4223" s="1821"/>
      <c r="AT4223" s="1821"/>
      <c r="AU4223" s="1821"/>
      <c r="AV4223" s="1821"/>
      <c r="AW4223" s="1821"/>
      <c r="AX4223" s="1821"/>
      <c r="AY4223" s="1821"/>
      <c r="AZ4223" s="1821"/>
      <c r="BA4223" s="1821"/>
      <c r="BB4223" s="1821"/>
      <c r="BC4223" s="1821"/>
      <c r="BD4223" s="1821"/>
      <c r="BE4223" s="1821"/>
      <c r="BF4223" s="1821"/>
      <c r="BG4223" s="1821"/>
      <c r="BH4223" s="1821"/>
      <c r="BI4223" s="1821"/>
      <c r="BJ4223" s="1821"/>
      <c r="BK4223" s="1821"/>
      <c r="BL4223" s="1821"/>
      <c r="BM4223" s="1821"/>
      <c r="BN4223" s="1821"/>
      <c r="BO4223" s="1821"/>
      <c r="BP4223" s="1821"/>
      <c r="BQ4223" s="1821"/>
      <c r="BR4223" s="1821"/>
      <c r="BS4223" s="1821"/>
      <c r="BT4223" s="1821"/>
      <c r="BU4223" s="1821"/>
      <c r="BV4223" s="1821"/>
      <c r="BW4223" s="1821"/>
      <c r="BX4223" s="1821"/>
      <c r="BY4223" s="1821"/>
      <c r="BZ4223" s="1821"/>
      <c r="CA4223" s="1821"/>
      <c r="CB4223" s="1821"/>
      <c r="CC4223" s="1821"/>
      <c r="CD4223" s="1821"/>
      <c r="CE4223" s="1821"/>
      <c r="CF4223" s="1821"/>
      <c r="CG4223" s="1821"/>
      <c r="CH4223" s="1821"/>
      <c r="CI4223" s="1821"/>
      <c r="CJ4223" s="1821"/>
      <c r="CK4223" s="1821"/>
    </row>
    <row r="4224" spans="1:89" s="744" customFormat="1" ht="16.5" hidden="1" customHeight="1" x14ac:dyDescent="0.25">
      <c r="A4224" s="1033"/>
      <c r="B4224" s="709" t="s">
        <v>1386</v>
      </c>
      <c r="C4224" s="827">
        <v>24</v>
      </c>
      <c r="D4224" s="961" t="s">
        <v>210</v>
      </c>
      <c r="E4224" s="758">
        <v>900</v>
      </c>
      <c r="F4224" s="714"/>
      <c r="G4224" s="714"/>
      <c r="H4224" s="700"/>
      <c r="I4224" s="714"/>
      <c r="J4224" s="714">
        <f t="shared" si="483"/>
        <v>21600</v>
      </c>
      <c r="K4224" s="700">
        <f>H4224+J4224</f>
        <v>21600</v>
      </c>
      <c r="L4224" s="714"/>
      <c r="M4224" s="714"/>
      <c r="N4224" s="700"/>
      <c r="O4224" s="974">
        <f>H4224+K4224+N4224</f>
        <v>21600</v>
      </c>
      <c r="P4224" s="956"/>
      <c r="Q4224" s="1821"/>
      <c r="R4224" s="1821"/>
      <c r="S4224" s="1821"/>
      <c r="T4224" s="1821"/>
      <c r="U4224" s="1821"/>
      <c r="V4224" s="1821"/>
      <c r="W4224" s="1821"/>
      <c r="X4224" s="1821"/>
      <c r="Y4224" s="1821"/>
      <c r="Z4224" s="1821"/>
      <c r="AA4224" s="1821"/>
      <c r="AB4224" s="1821"/>
      <c r="AC4224" s="1821"/>
      <c r="AD4224" s="1821"/>
      <c r="AE4224" s="1821"/>
      <c r="AF4224" s="1821"/>
      <c r="AG4224" s="1821"/>
      <c r="AH4224" s="1821"/>
      <c r="AI4224" s="1821"/>
      <c r="AJ4224" s="1821"/>
      <c r="AK4224" s="1821"/>
      <c r="AL4224" s="1821"/>
      <c r="AM4224" s="1821"/>
      <c r="AN4224" s="1821"/>
      <c r="AO4224" s="1821"/>
      <c r="AP4224" s="1821"/>
      <c r="AQ4224" s="1821"/>
      <c r="AR4224" s="1821"/>
      <c r="AS4224" s="1821"/>
      <c r="AT4224" s="1821"/>
      <c r="AU4224" s="1821"/>
      <c r="AV4224" s="1821"/>
      <c r="AW4224" s="1821"/>
      <c r="AX4224" s="1821"/>
      <c r="AY4224" s="1821"/>
      <c r="AZ4224" s="1821"/>
      <c r="BA4224" s="1821"/>
      <c r="BB4224" s="1821"/>
      <c r="BC4224" s="1821"/>
      <c r="BD4224" s="1821"/>
      <c r="BE4224" s="1821"/>
      <c r="BF4224" s="1821"/>
      <c r="BG4224" s="1821"/>
      <c r="BH4224" s="1821"/>
      <c r="BI4224" s="1821"/>
      <c r="BJ4224" s="1821"/>
      <c r="BK4224" s="1821"/>
      <c r="BL4224" s="1821"/>
      <c r="BM4224" s="1821"/>
      <c r="BN4224" s="1821"/>
      <c r="BO4224" s="1821"/>
      <c r="BP4224" s="1821"/>
      <c r="BQ4224" s="1821"/>
      <c r="BR4224" s="1821"/>
      <c r="BS4224" s="1821"/>
      <c r="BT4224" s="1821"/>
      <c r="BU4224" s="1821"/>
      <c r="BV4224" s="1821"/>
      <c r="BW4224" s="1821"/>
      <c r="BX4224" s="1821"/>
      <c r="BY4224" s="1821"/>
      <c r="BZ4224" s="1821"/>
      <c r="CA4224" s="1821"/>
      <c r="CB4224" s="1821"/>
      <c r="CC4224" s="1821"/>
      <c r="CD4224" s="1821"/>
      <c r="CE4224" s="1821"/>
      <c r="CF4224" s="1821"/>
      <c r="CG4224" s="1821"/>
      <c r="CH4224" s="1821"/>
      <c r="CI4224" s="1821"/>
      <c r="CJ4224" s="1821"/>
      <c r="CK4224" s="1821"/>
    </row>
    <row r="4225" spans="1:89" s="744" customFormat="1" ht="16.5" hidden="1" customHeight="1" x14ac:dyDescent="0.25">
      <c r="A4225" s="1033"/>
      <c r="B4225" s="709" t="s">
        <v>429</v>
      </c>
      <c r="C4225" s="827"/>
      <c r="D4225" s="961"/>
      <c r="E4225" s="758"/>
      <c r="F4225" s="714"/>
      <c r="G4225" s="714"/>
      <c r="H4225" s="700"/>
      <c r="I4225" s="714"/>
      <c r="J4225" s="714">
        <f t="shared" si="483"/>
        <v>0</v>
      </c>
      <c r="K4225" s="700"/>
      <c r="L4225" s="714"/>
      <c r="M4225" s="714"/>
      <c r="N4225" s="700"/>
      <c r="O4225" s="974"/>
      <c r="P4225" s="956"/>
      <c r="Q4225" s="1821"/>
      <c r="R4225" s="1821"/>
      <c r="S4225" s="1821"/>
      <c r="T4225" s="1821"/>
      <c r="U4225" s="1821"/>
      <c r="V4225" s="1821"/>
      <c r="W4225" s="1821"/>
      <c r="X4225" s="1821"/>
      <c r="Y4225" s="1821"/>
      <c r="Z4225" s="1821"/>
      <c r="AA4225" s="1821"/>
      <c r="AB4225" s="1821"/>
      <c r="AC4225" s="1821"/>
      <c r="AD4225" s="1821"/>
      <c r="AE4225" s="1821"/>
      <c r="AF4225" s="1821"/>
      <c r="AG4225" s="1821"/>
      <c r="AH4225" s="1821"/>
      <c r="AI4225" s="1821"/>
      <c r="AJ4225" s="1821"/>
      <c r="AK4225" s="1821"/>
      <c r="AL4225" s="1821"/>
      <c r="AM4225" s="1821"/>
      <c r="AN4225" s="1821"/>
      <c r="AO4225" s="1821"/>
      <c r="AP4225" s="1821"/>
      <c r="AQ4225" s="1821"/>
      <c r="AR4225" s="1821"/>
      <c r="AS4225" s="1821"/>
      <c r="AT4225" s="1821"/>
      <c r="AU4225" s="1821"/>
      <c r="AV4225" s="1821"/>
      <c r="AW4225" s="1821"/>
      <c r="AX4225" s="1821"/>
      <c r="AY4225" s="1821"/>
      <c r="AZ4225" s="1821"/>
      <c r="BA4225" s="1821"/>
      <c r="BB4225" s="1821"/>
      <c r="BC4225" s="1821"/>
      <c r="BD4225" s="1821"/>
      <c r="BE4225" s="1821"/>
      <c r="BF4225" s="1821"/>
      <c r="BG4225" s="1821"/>
      <c r="BH4225" s="1821"/>
      <c r="BI4225" s="1821"/>
      <c r="BJ4225" s="1821"/>
      <c r="BK4225" s="1821"/>
      <c r="BL4225" s="1821"/>
      <c r="BM4225" s="1821"/>
      <c r="BN4225" s="1821"/>
      <c r="BO4225" s="1821"/>
      <c r="BP4225" s="1821"/>
      <c r="BQ4225" s="1821"/>
      <c r="BR4225" s="1821"/>
      <c r="BS4225" s="1821"/>
      <c r="BT4225" s="1821"/>
      <c r="BU4225" s="1821"/>
      <c r="BV4225" s="1821"/>
      <c r="BW4225" s="1821"/>
      <c r="BX4225" s="1821"/>
      <c r="BY4225" s="1821"/>
      <c r="BZ4225" s="1821"/>
      <c r="CA4225" s="1821"/>
      <c r="CB4225" s="1821"/>
      <c r="CC4225" s="1821"/>
      <c r="CD4225" s="1821"/>
      <c r="CE4225" s="1821"/>
      <c r="CF4225" s="1821"/>
      <c r="CG4225" s="1821"/>
      <c r="CH4225" s="1821"/>
      <c r="CI4225" s="1821"/>
      <c r="CJ4225" s="1821"/>
      <c r="CK4225" s="1821"/>
    </row>
    <row r="4226" spans="1:89" s="744" customFormat="1" ht="16.5" hidden="1" customHeight="1" x14ac:dyDescent="0.25">
      <c r="A4226" s="1033"/>
      <c r="B4226" s="709" t="s">
        <v>359</v>
      </c>
      <c r="C4226" s="827">
        <v>70</v>
      </c>
      <c r="D4226" s="961" t="s">
        <v>51</v>
      </c>
      <c r="E4226" s="758">
        <v>2860</v>
      </c>
      <c r="F4226" s="714"/>
      <c r="G4226" s="714"/>
      <c r="H4226" s="700">
        <f>G4226+F4226</f>
        <v>0</v>
      </c>
      <c r="I4226" s="714"/>
      <c r="J4226" s="714">
        <f t="shared" si="483"/>
        <v>200200</v>
      </c>
      <c r="K4226" s="700">
        <f t="shared" si="480"/>
        <v>200200</v>
      </c>
      <c r="L4226" s="714"/>
      <c r="M4226" s="714"/>
      <c r="N4226" s="700">
        <f>M4226+L4226</f>
        <v>0</v>
      </c>
      <c r="O4226" s="974">
        <f>N4226+K4226+H4226</f>
        <v>200200</v>
      </c>
      <c r="P4226" s="956"/>
      <c r="Q4226" s="1821"/>
      <c r="R4226" s="1821"/>
      <c r="S4226" s="1821"/>
      <c r="T4226" s="1821"/>
      <c r="U4226" s="1821"/>
      <c r="V4226" s="1821"/>
      <c r="W4226" s="1821"/>
      <c r="X4226" s="1821"/>
      <c r="Y4226" s="1821"/>
      <c r="Z4226" s="1821"/>
      <c r="AA4226" s="1821"/>
      <c r="AB4226" s="1821"/>
      <c r="AC4226" s="1821"/>
      <c r="AD4226" s="1821"/>
      <c r="AE4226" s="1821"/>
      <c r="AF4226" s="1821"/>
      <c r="AG4226" s="1821"/>
      <c r="AH4226" s="1821"/>
      <c r="AI4226" s="1821"/>
      <c r="AJ4226" s="1821"/>
      <c r="AK4226" s="1821"/>
      <c r="AL4226" s="1821"/>
      <c r="AM4226" s="1821"/>
      <c r="AN4226" s="1821"/>
      <c r="AO4226" s="1821"/>
      <c r="AP4226" s="1821"/>
      <c r="AQ4226" s="1821"/>
      <c r="AR4226" s="1821"/>
      <c r="AS4226" s="1821"/>
      <c r="AT4226" s="1821"/>
      <c r="AU4226" s="1821"/>
      <c r="AV4226" s="1821"/>
      <c r="AW4226" s="1821"/>
      <c r="AX4226" s="1821"/>
      <c r="AY4226" s="1821"/>
      <c r="AZ4226" s="1821"/>
      <c r="BA4226" s="1821"/>
      <c r="BB4226" s="1821"/>
      <c r="BC4226" s="1821"/>
      <c r="BD4226" s="1821"/>
      <c r="BE4226" s="1821"/>
      <c r="BF4226" s="1821"/>
      <c r="BG4226" s="1821"/>
      <c r="BH4226" s="1821"/>
      <c r="BI4226" s="1821"/>
      <c r="BJ4226" s="1821"/>
      <c r="BK4226" s="1821"/>
      <c r="BL4226" s="1821"/>
      <c r="BM4226" s="1821"/>
      <c r="BN4226" s="1821"/>
      <c r="BO4226" s="1821"/>
      <c r="BP4226" s="1821"/>
      <c r="BQ4226" s="1821"/>
      <c r="BR4226" s="1821"/>
      <c r="BS4226" s="1821"/>
      <c r="BT4226" s="1821"/>
      <c r="BU4226" s="1821"/>
      <c r="BV4226" s="1821"/>
      <c r="BW4226" s="1821"/>
      <c r="BX4226" s="1821"/>
      <c r="BY4226" s="1821"/>
      <c r="BZ4226" s="1821"/>
      <c r="CA4226" s="1821"/>
      <c r="CB4226" s="1821"/>
      <c r="CC4226" s="1821"/>
      <c r="CD4226" s="1821"/>
      <c r="CE4226" s="1821"/>
      <c r="CF4226" s="1821"/>
      <c r="CG4226" s="1821"/>
      <c r="CH4226" s="1821"/>
      <c r="CI4226" s="1821"/>
      <c r="CJ4226" s="1821"/>
      <c r="CK4226" s="1821"/>
    </row>
    <row r="4227" spans="1:89" s="744" customFormat="1" ht="16.5" hidden="1" customHeight="1" x14ac:dyDescent="0.25">
      <c r="A4227" s="1033"/>
      <c r="B4227" s="709" t="s">
        <v>54</v>
      </c>
      <c r="C4227" s="827">
        <v>200</v>
      </c>
      <c r="D4227" s="961" t="s">
        <v>55</v>
      </c>
      <c r="E4227" s="758">
        <v>511</v>
      </c>
      <c r="F4227" s="714"/>
      <c r="G4227" s="714"/>
      <c r="H4227" s="700">
        <f>G4227+F4227</f>
        <v>0</v>
      </c>
      <c r="I4227" s="714"/>
      <c r="J4227" s="714">
        <f t="shared" si="483"/>
        <v>102200</v>
      </c>
      <c r="K4227" s="700">
        <f t="shared" si="480"/>
        <v>102200</v>
      </c>
      <c r="L4227" s="714"/>
      <c r="M4227" s="714"/>
      <c r="N4227" s="700">
        <f>M4227+L4227</f>
        <v>0</v>
      </c>
      <c r="O4227" s="974">
        <f>N4227+K4227+H4227</f>
        <v>102200</v>
      </c>
      <c r="P4227" s="956"/>
      <c r="Q4227" s="1821"/>
      <c r="R4227" s="1821"/>
      <c r="S4227" s="1821"/>
      <c r="T4227" s="1821"/>
      <c r="U4227" s="1821"/>
      <c r="V4227" s="1821"/>
      <c r="W4227" s="1821"/>
      <c r="X4227" s="1821"/>
      <c r="Y4227" s="1821"/>
      <c r="Z4227" s="1821"/>
      <c r="AA4227" s="1821"/>
      <c r="AB4227" s="1821"/>
      <c r="AC4227" s="1821"/>
      <c r="AD4227" s="1821"/>
      <c r="AE4227" s="1821"/>
      <c r="AF4227" s="1821"/>
      <c r="AG4227" s="1821"/>
      <c r="AH4227" s="1821"/>
      <c r="AI4227" s="1821"/>
      <c r="AJ4227" s="1821"/>
      <c r="AK4227" s="1821"/>
      <c r="AL4227" s="1821"/>
      <c r="AM4227" s="1821"/>
      <c r="AN4227" s="1821"/>
      <c r="AO4227" s="1821"/>
      <c r="AP4227" s="1821"/>
      <c r="AQ4227" s="1821"/>
      <c r="AR4227" s="1821"/>
      <c r="AS4227" s="1821"/>
      <c r="AT4227" s="1821"/>
      <c r="AU4227" s="1821"/>
      <c r="AV4227" s="1821"/>
      <c r="AW4227" s="1821"/>
      <c r="AX4227" s="1821"/>
      <c r="AY4227" s="1821"/>
      <c r="AZ4227" s="1821"/>
      <c r="BA4227" s="1821"/>
      <c r="BB4227" s="1821"/>
      <c r="BC4227" s="1821"/>
      <c r="BD4227" s="1821"/>
      <c r="BE4227" s="1821"/>
      <c r="BF4227" s="1821"/>
      <c r="BG4227" s="1821"/>
      <c r="BH4227" s="1821"/>
      <c r="BI4227" s="1821"/>
      <c r="BJ4227" s="1821"/>
      <c r="BK4227" s="1821"/>
      <c r="BL4227" s="1821"/>
      <c r="BM4227" s="1821"/>
      <c r="BN4227" s="1821"/>
      <c r="BO4227" s="1821"/>
      <c r="BP4227" s="1821"/>
      <c r="BQ4227" s="1821"/>
      <c r="BR4227" s="1821"/>
      <c r="BS4227" s="1821"/>
      <c r="BT4227" s="1821"/>
      <c r="BU4227" s="1821"/>
      <c r="BV4227" s="1821"/>
      <c r="BW4227" s="1821"/>
      <c r="BX4227" s="1821"/>
      <c r="BY4227" s="1821"/>
      <c r="BZ4227" s="1821"/>
      <c r="CA4227" s="1821"/>
      <c r="CB4227" s="1821"/>
      <c r="CC4227" s="1821"/>
      <c r="CD4227" s="1821"/>
      <c r="CE4227" s="1821"/>
      <c r="CF4227" s="1821"/>
      <c r="CG4227" s="1821"/>
      <c r="CH4227" s="1821"/>
      <c r="CI4227" s="1821"/>
      <c r="CJ4227" s="1821"/>
      <c r="CK4227" s="1821"/>
    </row>
    <row r="4228" spans="1:89" s="744" customFormat="1" ht="16.5" hidden="1" customHeight="1" x14ac:dyDescent="0.25">
      <c r="A4228" s="1033"/>
      <c r="B4228" s="709" t="s">
        <v>52</v>
      </c>
      <c r="C4228" s="827">
        <v>163</v>
      </c>
      <c r="D4228" s="961" t="s">
        <v>55</v>
      </c>
      <c r="E4228" s="758">
        <v>501</v>
      </c>
      <c r="F4228" s="714"/>
      <c r="G4228" s="714"/>
      <c r="H4228" s="700">
        <f>G4228+F4228</f>
        <v>0</v>
      </c>
      <c r="I4228" s="714"/>
      <c r="J4228" s="714">
        <f t="shared" si="483"/>
        <v>81663</v>
      </c>
      <c r="K4228" s="700">
        <f t="shared" si="480"/>
        <v>81663</v>
      </c>
      <c r="L4228" s="714"/>
      <c r="M4228" s="714"/>
      <c r="N4228" s="700">
        <f>M4228+L4228</f>
        <v>0</v>
      </c>
      <c r="O4228" s="974">
        <f>N4228+K4228+H4228</f>
        <v>81663</v>
      </c>
      <c r="P4228" s="956"/>
      <c r="Q4228" s="1821"/>
      <c r="R4228" s="1821"/>
      <c r="S4228" s="1821"/>
      <c r="T4228" s="1821"/>
      <c r="U4228" s="1821"/>
      <c r="V4228" s="1821"/>
      <c r="W4228" s="1821"/>
      <c r="X4228" s="1821"/>
      <c r="Y4228" s="1821"/>
      <c r="Z4228" s="1821"/>
      <c r="AA4228" s="1821"/>
      <c r="AB4228" s="1821"/>
      <c r="AC4228" s="1821"/>
      <c r="AD4228" s="1821"/>
      <c r="AE4228" s="1821"/>
      <c r="AF4228" s="1821"/>
      <c r="AG4228" s="1821"/>
      <c r="AH4228" s="1821"/>
      <c r="AI4228" s="1821"/>
      <c r="AJ4228" s="1821"/>
      <c r="AK4228" s="1821"/>
      <c r="AL4228" s="1821"/>
      <c r="AM4228" s="1821"/>
      <c r="AN4228" s="1821"/>
      <c r="AO4228" s="1821"/>
      <c r="AP4228" s="1821"/>
      <c r="AQ4228" s="1821"/>
      <c r="AR4228" s="1821"/>
      <c r="AS4228" s="1821"/>
      <c r="AT4228" s="1821"/>
      <c r="AU4228" s="1821"/>
      <c r="AV4228" s="1821"/>
      <c r="AW4228" s="1821"/>
      <c r="AX4228" s="1821"/>
      <c r="AY4228" s="1821"/>
      <c r="AZ4228" s="1821"/>
      <c r="BA4228" s="1821"/>
      <c r="BB4228" s="1821"/>
      <c r="BC4228" s="1821"/>
      <c r="BD4228" s="1821"/>
      <c r="BE4228" s="1821"/>
      <c r="BF4228" s="1821"/>
      <c r="BG4228" s="1821"/>
      <c r="BH4228" s="1821"/>
      <c r="BI4228" s="1821"/>
      <c r="BJ4228" s="1821"/>
      <c r="BK4228" s="1821"/>
      <c r="BL4228" s="1821"/>
      <c r="BM4228" s="1821"/>
      <c r="BN4228" s="1821"/>
      <c r="BO4228" s="1821"/>
      <c r="BP4228" s="1821"/>
      <c r="BQ4228" s="1821"/>
      <c r="BR4228" s="1821"/>
      <c r="BS4228" s="1821"/>
      <c r="BT4228" s="1821"/>
      <c r="BU4228" s="1821"/>
      <c r="BV4228" s="1821"/>
      <c r="BW4228" s="1821"/>
      <c r="BX4228" s="1821"/>
      <c r="BY4228" s="1821"/>
      <c r="BZ4228" s="1821"/>
      <c r="CA4228" s="1821"/>
      <c r="CB4228" s="1821"/>
      <c r="CC4228" s="1821"/>
      <c r="CD4228" s="1821"/>
      <c r="CE4228" s="1821"/>
      <c r="CF4228" s="1821"/>
      <c r="CG4228" s="1821"/>
      <c r="CH4228" s="1821"/>
      <c r="CI4228" s="1821"/>
      <c r="CJ4228" s="1821"/>
      <c r="CK4228" s="1821"/>
    </row>
    <row r="4229" spans="1:89" s="744" customFormat="1" ht="16.5" hidden="1" customHeight="1" x14ac:dyDescent="0.25">
      <c r="A4229" s="1033"/>
      <c r="B4229" s="709" t="s">
        <v>1372</v>
      </c>
      <c r="C4229" s="827">
        <v>140</v>
      </c>
      <c r="D4229" s="961" t="s">
        <v>55</v>
      </c>
      <c r="E4229" s="758">
        <v>100</v>
      </c>
      <c r="F4229" s="714"/>
      <c r="G4229" s="714"/>
      <c r="H4229" s="700"/>
      <c r="I4229" s="714"/>
      <c r="J4229" s="714">
        <f t="shared" si="483"/>
        <v>14000</v>
      </c>
      <c r="K4229" s="700">
        <f t="shared" si="480"/>
        <v>14000</v>
      </c>
      <c r="L4229" s="714"/>
      <c r="M4229" s="714"/>
      <c r="N4229" s="700"/>
      <c r="O4229" s="974">
        <f>N4229+K4229+H4229</f>
        <v>14000</v>
      </c>
      <c r="P4229" s="956"/>
      <c r="Q4229" s="1821"/>
      <c r="R4229" s="1821"/>
      <c r="S4229" s="1821"/>
      <c r="T4229" s="1821"/>
      <c r="U4229" s="1821"/>
      <c r="V4229" s="1821"/>
      <c r="W4229" s="1821"/>
      <c r="X4229" s="1821"/>
      <c r="Y4229" s="1821"/>
      <c r="Z4229" s="1821"/>
      <c r="AA4229" s="1821"/>
      <c r="AB4229" s="1821"/>
      <c r="AC4229" s="1821"/>
      <c r="AD4229" s="1821"/>
      <c r="AE4229" s="1821"/>
      <c r="AF4229" s="1821"/>
      <c r="AG4229" s="1821"/>
      <c r="AH4229" s="1821"/>
      <c r="AI4229" s="1821"/>
      <c r="AJ4229" s="1821"/>
      <c r="AK4229" s="1821"/>
      <c r="AL4229" s="1821"/>
      <c r="AM4229" s="1821"/>
      <c r="AN4229" s="1821"/>
      <c r="AO4229" s="1821"/>
      <c r="AP4229" s="1821"/>
      <c r="AQ4229" s="1821"/>
      <c r="AR4229" s="1821"/>
      <c r="AS4229" s="1821"/>
      <c r="AT4229" s="1821"/>
      <c r="AU4229" s="1821"/>
      <c r="AV4229" s="1821"/>
      <c r="AW4229" s="1821"/>
      <c r="AX4229" s="1821"/>
      <c r="AY4229" s="1821"/>
      <c r="AZ4229" s="1821"/>
      <c r="BA4229" s="1821"/>
      <c r="BB4229" s="1821"/>
      <c r="BC4229" s="1821"/>
      <c r="BD4229" s="1821"/>
      <c r="BE4229" s="1821"/>
      <c r="BF4229" s="1821"/>
      <c r="BG4229" s="1821"/>
      <c r="BH4229" s="1821"/>
      <c r="BI4229" s="1821"/>
      <c r="BJ4229" s="1821"/>
      <c r="BK4229" s="1821"/>
      <c r="BL4229" s="1821"/>
      <c r="BM4229" s="1821"/>
      <c r="BN4229" s="1821"/>
      <c r="BO4229" s="1821"/>
      <c r="BP4229" s="1821"/>
      <c r="BQ4229" s="1821"/>
      <c r="BR4229" s="1821"/>
      <c r="BS4229" s="1821"/>
      <c r="BT4229" s="1821"/>
      <c r="BU4229" s="1821"/>
      <c r="BV4229" s="1821"/>
      <c r="BW4229" s="1821"/>
      <c r="BX4229" s="1821"/>
      <c r="BY4229" s="1821"/>
      <c r="BZ4229" s="1821"/>
      <c r="CA4229" s="1821"/>
      <c r="CB4229" s="1821"/>
      <c r="CC4229" s="1821"/>
      <c r="CD4229" s="1821"/>
      <c r="CE4229" s="1821"/>
      <c r="CF4229" s="1821"/>
      <c r="CG4229" s="1821"/>
      <c r="CH4229" s="1821"/>
      <c r="CI4229" s="1821"/>
      <c r="CJ4229" s="1821"/>
      <c r="CK4229" s="1821"/>
    </row>
    <row r="4230" spans="1:89" s="744" customFormat="1" ht="16.5" hidden="1" customHeight="1" x14ac:dyDescent="0.25">
      <c r="A4230" s="1033"/>
      <c r="B4230" s="709" t="s">
        <v>1286</v>
      </c>
      <c r="C4230" s="827"/>
      <c r="D4230" s="961"/>
      <c r="E4230" s="758"/>
      <c r="F4230" s="714"/>
      <c r="G4230" s="714"/>
      <c r="H4230" s="700"/>
      <c r="I4230" s="714"/>
      <c r="J4230" s="714">
        <f t="shared" si="483"/>
        <v>0</v>
      </c>
      <c r="K4230" s="700"/>
      <c r="L4230" s="714"/>
      <c r="M4230" s="714"/>
      <c r="N4230" s="700"/>
      <c r="O4230" s="974"/>
      <c r="P4230" s="956"/>
      <c r="Q4230" s="1821"/>
      <c r="R4230" s="1821"/>
      <c r="S4230" s="1821"/>
      <c r="T4230" s="1821"/>
      <c r="U4230" s="1821"/>
      <c r="V4230" s="1821"/>
      <c r="W4230" s="1821"/>
      <c r="X4230" s="1821"/>
      <c r="Y4230" s="1821"/>
      <c r="Z4230" s="1821"/>
      <c r="AA4230" s="1821"/>
      <c r="AB4230" s="1821"/>
      <c r="AC4230" s="1821"/>
      <c r="AD4230" s="1821"/>
      <c r="AE4230" s="1821"/>
      <c r="AF4230" s="1821"/>
      <c r="AG4230" s="1821"/>
      <c r="AH4230" s="1821"/>
      <c r="AI4230" s="1821"/>
      <c r="AJ4230" s="1821"/>
      <c r="AK4230" s="1821"/>
      <c r="AL4230" s="1821"/>
      <c r="AM4230" s="1821"/>
      <c r="AN4230" s="1821"/>
      <c r="AO4230" s="1821"/>
      <c r="AP4230" s="1821"/>
      <c r="AQ4230" s="1821"/>
      <c r="AR4230" s="1821"/>
      <c r="AS4230" s="1821"/>
      <c r="AT4230" s="1821"/>
      <c r="AU4230" s="1821"/>
      <c r="AV4230" s="1821"/>
      <c r="AW4230" s="1821"/>
      <c r="AX4230" s="1821"/>
      <c r="AY4230" s="1821"/>
      <c r="AZ4230" s="1821"/>
      <c r="BA4230" s="1821"/>
      <c r="BB4230" s="1821"/>
      <c r="BC4230" s="1821"/>
      <c r="BD4230" s="1821"/>
      <c r="BE4230" s="1821"/>
      <c r="BF4230" s="1821"/>
      <c r="BG4230" s="1821"/>
      <c r="BH4230" s="1821"/>
      <c r="BI4230" s="1821"/>
      <c r="BJ4230" s="1821"/>
      <c r="BK4230" s="1821"/>
      <c r="BL4230" s="1821"/>
      <c r="BM4230" s="1821"/>
      <c r="BN4230" s="1821"/>
      <c r="BO4230" s="1821"/>
      <c r="BP4230" s="1821"/>
      <c r="BQ4230" s="1821"/>
      <c r="BR4230" s="1821"/>
      <c r="BS4230" s="1821"/>
      <c r="BT4230" s="1821"/>
      <c r="BU4230" s="1821"/>
      <c r="BV4230" s="1821"/>
      <c r="BW4230" s="1821"/>
      <c r="BX4230" s="1821"/>
      <c r="BY4230" s="1821"/>
      <c r="BZ4230" s="1821"/>
      <c r="CA4230" s="1821"/>
      <c r="CB4230" s="1821"/>
      <c r="CC4230" s="1821"/>
      <c r="CD4230" s="1821"/>
      <c r="CE4230" s="1821"/>
      <c r="CF4230" s="1821"/>
      <c r="CG4230" s="1821"/>
      <c r="CH4230" s="1821"/>
      <c r="CI4230" s="1821"/>
      <c r="CJ4230" s="1821"/>
      <c r="CK4230" s="1821"/>
    </row>
    <row r="4231" spans="1:89" s="744" customFormat="1" ht="16.5" hidden="1" customHeight="1" x14ac:dyDescent="0.25">
      <c r="A4231" s="1033"/>
      <c r="B4231" s="709" t="s">
        <v>1387</v>
      </c>
      <c r="C4231" s="827">
        <v>1170</v>
      </c>
      <c r="D4231" s="961" t="s">
        <v>66</v>
      </c>
      <c r="E4231" s="758">
        <v>850</v>
      </c>
      <c r="F4231" s="714"/>
      <c r="G4231" s="714"/>
      <c r="H4231" s="700"/>
      <c r="I4231" s="714"/>
      <c r="J4231" s="714">
        <f t="shared" si="483"/>
        <v>994500</v>
      </c>
      <c r="K4231" s="700">
        <f>H4231+J4231</f>
        <v>994500</v>
      </c>
      <c r="L4231" s="714"/>
      <c r="M4231" s="714"/>
      <c r="N4231" s="700"/>
      <c r="O4231" s="974">
        <f>H4231+K4231+N4231</f>
        <v>994500</v>
      </c>
      <c r="P4231" s="956"/>
      <c r="Q4231" s="1821"/>
      <c r="R4231" s="1821"/>
      <c r="S4231" s="1821"/>
      <c r="T4231" s="1821"/>
      <c r="U4231" s="1821"/>
      <c r="V4231" s="1821"/>
      <c r="W4231" s="1821"/>
      <c r="X4231" s="1821"/>
      <c r="Y4231" s="1821"/>
      <c r="Z4231" s="1821"/>
      <c r="AA4231" s="1821"/>
      <c r="AB4231" s="1821"/>
      <c r="AC4231" s="1821"/>
      <c r="AD4231" s="1821"/>
      <c r="AE4231" s="1821"/>
      <c r="AF4231" s="1821"/>
      <c r="AG4231" s="1821"/>
      <c r="AH4231" s="1821"/>
      <c r="AI4231" s="1821"/>
      <c r="AJ4231" s="1821"/>
      <c r="AK4231" s="1821"/>
      <c r="AL4231" s="1821"/>
      <c r="AM4231" s="1821"/>
      <c r="AN4231" s="1821"/>
      <c r="AO4231" s="1821"/>
      <c r="AP4231" s="1821"/>
      <c r="AQ4231" s="1821"/>
      <c r="AR4231" s="1821"/>
      <c r="AS4231" s="1821"/>
      <c r="AT4231" s="1821"/>
      <c r="AU4231" s="1821"/>
      <c r="AV4231" s="1821"/>
      <c r="AW4231" s="1821"/>
      <c r="AX4231" s="1821"/>
      <c r="AY4231" s="1821"/>
      <c r="AZ4231" s="1821"/>
      <c r="BA4231" s="1821"/>
      <c r="BB4231" s="1821"/>
      <c r="BC4231" s="1821"/>
      <c r="BD4231" s="1821"/>
      <c r="BE4231" s="1821"/>
      <c r="BF4231" s="1821"/>
      <c r="BG4231" s="1821"/>
      <c r="BH4231" s="1821"/>
      <c r="BI4231" s="1821"/>
      <c r="BJ4231" s="1821"/>
      <c r="BK4231" s="1821"/>
      <c r="BL4231" s="1821"/>
      <c r="BM4231" s="1821"/>
      <c r="BN4231" s="1821"/>
      <c r="BO4231" s="1821"/>
      <c r="BP4231" s="1821"/>
      <c r="BQ4231" s="1821"/>
      <c r="BR4231" s="1821"/>
      <c r="BS4231" s="1821"/>
      <c r="BT4231" s="1821"/>
      <c r="BU4231" s="1821"/>
      <c r="BV4231" s="1821"/>
      <c r="BW4231" s="1821"/>
      <c r="BX4231" s="1821"/>
      <c r="BY4231" s="1821"/>
      <c r="BZ4231" s="1821"/>
      <c r="CA4231" s="1821"/>
      <c r="CB4231" s="1821"/>
      <c r="CC4231" s="1821"/>
      <c r="CD4231" s="1821"/>
      <c r="CE4231" s="1821"/>
      <c r="CF4231" s="1821"/>
      <c r="CG4231" s="1821"/>
      <c r="CH4231" s="1821"/>
      <c r="CI4231" s="1821"/>
      <c r="CJ4231" s="1821"/>
      <c r="CK4231" s="1821"/>
    </row>
    <row r="4232" spans="1:89" s="744" customFormat="1" ht="16.5" hidden="1" customHeight="1" x14ac:dyDescent="0.25">
      <c r="A4232" s="1033"/>
      <c r="B4232" s="709" t="s">
        <v>350</v>
      </c>
      <c r="C4232" s="827">
        <v>64</v>
      </c>
      <c r="D4232" s="961" t="s">
        <v>51</v>
      </c>
      <c r="E4232" s="758">
        <v>3500</v>
      </c>
      <c r="F4232" s="714"/>
      <c r="G4232" s="714"/>
      <c r="H4232" s="700"/>
      <c r="I4232" s="714"/>
      <c r="J4232" s="714">
        <f t="shared" si="483"/>
        <v>224000</v>
      </c>
      <c r="K4232" s="700">
        <f>H4232+J4232</f>
        <v>224000</v>
      </c>
      <c r="L4232" s="714"/>
      <c r="M4232" s="714"/>
      <c r="N4232" s="700"/>
      <c r="O4232" s="974">
        <f>H4232+K4232+N4232</f>
        <v>224000</v>
      </c>
      <c r="P4232" s="956"/>
      <c r="Q4232" s="1821"/>
      <c r="R4232" s="1821"/>
      <c r="S4232" s="1821"/>
      <c r="T4232" s="1821"/>
      <c r="U4232" s="1821"/>
      <c r="V4232" s="1821"/>
      <c r="W4232" s="1821"/>
      <c r="X4232" s="1821"/>
      <c r="Y4232" s="1821"/>
      <c r="Z4232" s="1821"/>
      <c r="AA4232" s="1821"/>
      <c r="AB4232" s="1821"/>
      <c r="AC4232" s="1821"/>
      <c r="AD4232" s="1821"/>
      <c r="AE4232" s="1821"/>
      <c r="AF4232" s="1821"/>
      <c r="AG4232" s="1821"/>
      <c r="AH4232" s="1821"/>
      <c r="AI4232" s="1821"/>
      <c r="AJ4232" s="1821"/>
      <c r="AK4232" s="1821"/>
      <c r="AL4232" s="1821"/>
      <c r="AM4232" s="1821"/>
      <c r="AN4232" s="1821"/>
      <c r="AO4232" s="1821"/>
      <c r="AP4232" s="1821"/>
      <c r="AQ4232" s="1821"/>
      <c r="AR4232" s="1821"/>
      <c r="AS4232" s="1821"/>
      <c r="AT4232" s="1821"/>
      <c r="AU4232" s="1821"/>
      <c r="AV4232" s="1821"/>
      <c r="AW4232" s="1821"/>
      <c r="AX4232" s="1821"/>
      <c r="AY4232" s="1821"/>
      <c r="AZ4232" s="1821"/>
      <c r="BA4232" s="1821"/>
      <c r="BB4232" s="1821"/>
      <c r="BC4232" s="1821"/>
      <c r="BD4232" s="1821"/>
      <c r="BE4232" s="1821"/>
      <c r="BF4232" s="1821"/>
      <c r="BG4232" s="1821"/>
      <c r="BH4232" s="1821"/>
      <c r="BI4232" s="1821"/>
      <c r="BJ4232" s="1821"/>
      <c r="BK4232" s="1821"/>
      <c r="BL4232" s="1821"/>
      <c r="BM4232" s="1821"/>
      <c r="BN4232" s="1821"/>
      <c r="BO4232" s="1821"/>
      <c r="BP4232" s="1821"/>
      <c r="BQ4232" s="1821"/>
      <c r="BR4232" s="1821"/>
      <c r="BS4232" s="1821"/>
      <c r="BT4232" s="1821"/>
      <c r="BU4232" s="1821"/>
      <c r="BV4232" s="1821"/>
      <c r="BW4232" s="1821"/>
      <c r="BX4232" s="1821"/>
      <c r="BY4232" s="1821"/>
      <c r="BZ4232" s="1821"/>
      <c r="CA4232" s="1821"/>
      <c r="CB4232" s="1821"/>
      <c r="CC4232" s="1821"/>
      <c r="CD4232" s="1821"/>
      <c r="CE4232" s="1821"/>
      <c r="CF4232" s="1821"/>
      <c r="CG4232" s="1821"/>
      <c r="CH4232" s="1821"/>
      <c r="CI4232" s="1821"/>
      <c r="CJ4232" s="1821"/>
      <c r="CK4232" s="1821"/>
    </row>
    <row r="4233" spans="1:89" s="744" customFormat="1" ht="16.5" hidden="1" customHeight="1" x14ac:dyDescent="0.25">
      <c r="A4233" s="1033"/>
      <c r="B4233" s="709" t="s">
        <v>1388</v>
      </c>
      <c r="C4233" s="827">
        <v>223</v>
      </c>
      <c r="D4233" s="961" t="s">
        <v>55</v>
      </c>
      <c r="E4233" s="758">
        <v>172</v>
      </c>
      <c r="F4233" s="714"/>
      <c r="G4233" s="714"/>
      <c r="H4233" s="700"/>
      <c r="I4233" s="714"/>
      <c r="J4233" s="714">
        <f t="shared" si="483"/>
        <v>38356</v>
      </c>
      <c r="K4233" s="700">
        <f>H4233+J4233</f>
        <v>38356</v>
      </c>
      <c r="L4233" s="714"/>
      <c r="M4233" s="714"/>
      <c r="N4233" s="700"/>
      <c r="O4233" s="974">
        <f>H4233+K4233+N4233</f>
        <v>38356</v>
      </c>
      <c r="P4233" s="956"/>
      <c r="Q4233" s="1821"/>
      <c r="R4233" s="1821"/>
      <c r="S4233" s="1821"/>
      <c r="T4233" s="1821"/>
      <c r="U4233" s="1821"/>
      <c r="V4233" s="1821"/>
      <c r="W4233" s="1821"/>
      <c r="X4233" s="1821"/>
      <c r="Y4233" s="1821"/>
      <c r="Z4233" s="1821"/>
      <c r="AA4233" s="1821"/>
      <c r="AB4233" s="1821"/>
      <c r="AC4233" s="1821"/>
      <c r="AD4233" s="1821"/>
      <c r="AE4233" s="1821"/>
      <c r="AF4233" s="1821"/>
      <c r="AG4233" s="1821"/>
      <c r="AH4233" s="1821"/>
      <c r="AI4233" s="1821"/>
      <c r="AJ4233" s="1821"/>
      <c r="AK4233" s="1821"/>
      <c r="AL4233" s="1821"/>
      <c r="AM4233" s="1821"/>
      <c r="AN4233" s="1821"/>
      <c r="AO4233" s="1821"/>
      <c r="AP4233" s="1821"/>
      <c r="AQ4233" s="1821"/>
      <c r="AR4233" s="1821"/>
      <c r="AS4233" s="1821"/>
      <c r="AT4233" s="1821"/>
      <c r="AU4233" s="1821"/>
      <c r="AV4233" s="1821"/>
      <c r="AW4233" s="1821"/>
      <c r="AX4233" s="1821"/>
      <c r="AY4233" s="1821"/>
      <c r="AZ4233" s="1821"/>
      <c r="BA4233" s="1821"/>
      <c r="BB4233" s="1821"/>
      <c r="BC4233" s="1821"/>
      <c r="BD4233" s="1821"/>
      <c r="BE4233" s="1821"/>
      <c r="BF4233" s="1821"/>
      <c r="BG4233" s="1821"/>
      <c r="BH4233" s="1821"/>
      <c r="BI4233" s="1821"/>
      <c r="BJ4233" s="1821"/>
      <c r="BK4233" s="1821"/>
      <c r="BL4233" s="1821"/>
      <c r="BM4233" s="1821"/>
      <c r="BN4233" s="1821"/>
      <c r="BO4233" s="1821"/>
      <c r="BP4233" s="1821"/>
      <c r="BQ4233" s="1821"/>
      <c r="BR4233" s="1821"/>
      <c r="BS4233" s="1821"/>
      <c r="BT4233" s="1821"/>
      <c r="BU4233" s="1821"/>
      <c r="BV4233" s="1821"/>
      <c r="BW4233" s="1821"/>
      <c r="BX4233" s="1821"/>
      <c r="BY4233" s="1821"/>
      <c r="BZ4233" s="1821"/>
      <c r="CA4233" s="1821"/>
      <c r="CB4233" s="1821"/>
      <c r="CC4233" s="1821"/>
      <c r="CD4233" s="1821"/>
      <c r="CE4233" s="1821"/>
      <c r="CF4233" s="1821"/>
      <c r="CG4233" s="1821"/>
      <c r="CH4233" s="1821"/>
      <c r="CI4233" s="1821"/>
      <c r="CJ4233" s="1821"/>
      <c r="CK4233" s="1821"/>
    </row>
    <row r="4234" spans="1:89" s="744" customFormat="1" ht="16.5" hidden="1" customHeight="1" x14ac:dyDescent="0.25">
      <c r="A4234" s="1033"/>
      <c r="B4234" s="709"/>
      <c r="C4234" s="827"/>
      <c r="D4234" s="961"/>
      <c r="E4234" s="758"/>
      <c r="F4234" s="714"/>
      <c r="G4234" s="714"/>
      <c r="H4234" s="700"/>
      <c r="I4234" s="714"/>
      <c r="J4234" s="714">
        <f t="shared" si="483"/>
        <v>0</v>
      </c>
      <c r="K4234" s="700"/>
      <c r="L4234" s="714"/>
      <c r="M4234" s="714"/>
      <c r="N4234" s="700"/>
      <c r="O4234" s="974"/>
      <c r="P4234" s="956"/>
      <c r="Q4234" s="1821"/>
      <c r="R4234" s="1821"/>
      <c r="S4234" s="1821"/>
      <c r="T4234" s="1821"/>
      <c r="U4234" s="1821"/>
      <c r="V4234" s="1821"/>
      <c r="W4234" s="1821"/>
      <c r="X4234" s="1821"/>
      <c r="Y4234" s="1821"/>
      <c r="Z4234" s="1821"/>
      <c r="AA4234" s="1821"/>
      <c r="AB4234" s="1821"/>
      <c r="AC4234" s="1821"/>
      <c r="AD4234" s="1821"/>
      <c r="AE4234" s="1821"/>
      <c r="AF4234" s="1821"/>
      <c r="AG4234" s="1821"/>
      <c r="AH4234" s="1821"/>
      <c r="AI4234" s="1821"/>
      <c r="AJ4234" s="1821"/>
      <c r="AK4234" s="1821"/>
      <c r="AL4234" s="1821"/>
      <c r="AM4234" s="1821"/>
      <c r="AN4234" s="1821"/>
      <c r="AO4234" s="1821"/>
      <c r="AP4234" s="1821"/>
      <c r="AQ4234" s="1821"/>
      <c r="AR4234" s="1821"/>
      <c r="AS4234" s="1821"/>
      <c r="AT4234" s="1821"/>
      <c r="AU4234" s="1821"/>
      <c r="AV4234" s="1821"/>
      <c r="AW4234" s="1821"/>
      <c r="AX4234" s="1821"/>
      <c r="AY4234" s="1821"/>
      <c r="AZ4234" s="1821"/>
      <c r="BA4234" s="1821"/>
      <c r="BB4234" s="1821"/>
      <c r="BC4234" s="1821"/>
      <c r="BD4234" s="1821"/>
      <c r="BE4234" s="1821"/>
      <c r="BF4234" s="1821"/>
      <c r="BG4234" s="1821"/>
      <c r="BH4234" s="1821"/>
      <c r="BI4234" s="1821"/>
      <c r="BJ4234" s="1821"/>
      <c r="BK4234" s="1821"/>
      <c r="BL4234" s="1821"/>
      <c r="BM4234" s="1821"/>
      <c r="BN4234" s="1821"/>
      <c r="BO4234" s="1821"/>
      <c r="BP4234" s="1821"/>
      <c r="BQ4234" s="1821"/>
      <c r="BR4234" s="1821"/>
      <c r="BS4234" s="1821"/>
      <c r="BT4234" s="1821"/>
      <c r="BU4234" s="1821"/>
      <c r="BV4234" s="1821"/>
      <c r="BW4234" s="1821"/>
      <c r="BX4234" s="1821"/>
      <c r="BY4234" s="1821"/>
      <c r="BZ4234" s="1821"/>
      <c r="CA4234" s="1821"/>
      <c r="CB4234" s="1821"/>
      <c r="CC4234" s="1821"/>
      <c r="CD4234" s="1821"/>
      <c r="CE4234" s="1821"/>
      <c r="CF4234" s="1821"/>
      <c r="CG4234" s="1821"/>
      <c r="CH4234" s="1821"/>
      <c r="CI4234" s="1821"/>
      <c r="CJ4234" s="1821"/>
      <c r="CK4234" s="1821"/>
    </row>
    <row r="4235" spans="1:89" s="744" customFormat="1" ht="16.5" hidden="1" customHeight="1" x14ac:dyDescent="0.25">
      <c r="A4235" s="1033">
        <v>14</v>
      </c>
      <c r="B4235" s="709" t="s">
        <v>1088</v>
      </c>
      <c r="C4235" s="827"/>
      <c r="D4235" s="961"/>
      <c r="E4235" s="758"/>
      <c r="F4235" s="714"/>
      <c r="G4235" s="714"/>
      <c r="H4235" s="700"/>
      <c r="I4235" s="714"/>
      <c r="J4235" s="714">
        <f t="shared" si="483"/>
        <v>0</v>
      </c>
      <c r="K4235" s="700"/>
      <c r="L4235" s="714"/>
      <c r="M4235" s="714"/>
      <c r="N4235" s="700"/>
      <c r="O4235" s="974"/>
      <c r="P4235" s="956"/>
      <c r="Q4235" s="1821"/>
      <c r="R4235" s="1821"/>
      <c r="S4235" s="1821"/>
      <c r="T4235" s="1821"/>
      <c r="U4235" s="1821"/>
      <c r="V4235" s="1821"/>
      <c r="W4235" s="1821"/>
      <c r="X4235" s="1821"/>
      <c r="Y4235" s="1821"/>
      <c r="Z4235" s="1821"/>
      <c r="AA4235" s="1821"/>
      <c r="AB4235" s="1821"/>
      <c r="AC4235" s="1821"/>
      <c r="AD4235" s="1821"/>
      <c r="AE4235" s="1821"/>
      <c r="AF4235" s="1821"/>
      <c r="AG4235" s="1821"/>
      <c r="AH4235" s="1821"/>
      <c r="AI4235" s="1821"/>
      <c r="AJ4235" s="1821"/>
      <c r="AK4235" s="1821"/>
      <c r="AL4235" s="1821"/>
      <c r="AM4235" s="1821"/>
      <c r="AN4235" s="1821"/>
      <c r="AO4235" s="1821"/>
      <c r="AP4235" s="1821"/>
      <c r="AQ4235" s="1821"/>
      <c r="AR4235" s="1821"/>
      <c r="AS4235" s="1821"/>
      <c r="AT4235" s="1821"/>
      <c r="AU4235" s="1821"/>
      <c r="AV4235" s="1821"/>
      <c r="AW4235" s="1821"/>
      <c r="AX4235" s="1821"/>
      <c r="AY4235" s="1821"/>
      <c r="AZ4235" s="1821"/>
      <c r="BA4235" s="1821"/>
      <c r="BB4235" s="1821"/>
      <c r="BC4235" s="1821"/>
      <c r="BD4235" s="1821"/>
      <c r="BE4235" s="1821"/>
      <c r="BF4235" s="1821"/>
      <c r="BG4235" s="1821"/>
      <c r="BH4235" s="1821"/>
      <c r="BI4235" s="1821"/>
      <c r="BJ4235" s="1821"/>
      <c r="BK4235" s="1821"/>
      <c r="BL4235" s="1821"/>
      <c r="BM4235" s="1821"/>
      <c r="BN4235" s="1821"/>
      <c r="BO4235" s="1821"/>
      <c r="BP4235" s="1821"/>
      <c r="BQ4235" s="1821"/>
      <c r="BR4235" s="1821"/>
      <c r="BS4235" s="1821"/>
      <c r="BT4235" s="1821"/>
      <c r="BU4235" s="1821"/>
      <c r="BV4235" s="1821"/>
      <c r="BW4235" s="1821"/>
      <c r="BX4235" s="1821"/>
      <c r="BY4235" s="1821"/>
      <c r="BZ4235" s="1821"/>
      <c r="CA4235" s="1821"/>
      <c r="CB4235" s="1821"/>
      <c r="CC4235" s="1821"/>
      <c r="CD4235" s="1821"/>
      <c r="CE4235" s="1821"/>
      <c r="CF4235" s="1821"/>
      <c r="CG4235" s="1821"/>
      <c r="CH4235" s="1821"/>
      <c r="CI4235" s="1821"/>
      <c r="CJ4235" s="1821"/>
      <c r="CK4235" s="1821"/>
    </row>
    <row r="4236" spans="1:89" s="744" customFormat="1" ht="16.5" hidden="1" customHeight="1" x14ac:dyDescent="0.25">
      <c r="A4236" s="1033" t="s">
        <v>49</v>
      </c>
      <c r="B4236" s="709" t="s">
        <v>278</v>
      </c>
      <c r="C4236" s="827">
        <f>SUM(O4237:O4241)</f>
        <v>121680</v>
      </c>
      <c r="D4236" s="961"/>
      <c r="E4236" s="758"/>
      <c r="F4236" s="714"/>
      <c r="G4236" s="714"/>
      <c r="H4236" s="700"/>
      <c r="I4236" s="714"/>
      <c r="J4236" s="714">
        <f t="shared" si="483"/>
        <v>0</v>
      </c>
      <c r="K4236" s="700"/>
      <c r="L4236" s="714"/>
      <c r="M4236" s="714"/>
      <c r="N4236" s="700"/>
      <c r="O4236" s="974"/>
      <c r="P4236" s="956"/>
      <c r="Q4236" s="1821"/>
      <c r="R4236" s="1821"/>
      <c r="S4236" s="1821"/>
      <c r="T4236" s="1821"/>
      <c r="U4236" s="1821"/>
      <c r="V4236" s="1821"/>
      <c r="W4236" s="1821"/>
      <c r="X4236" s="1821"/>
      <c r="Y4236" s="1821"/>
      <c r="Z4236" s="1821"/>
      <c r="AA4236" s="1821"/>
      <c r="AB4236" s="1821"/>
      <c r="AC4236" s="1821"/>
      <c r="AD4236" s="1821"/>
      <c r="AE4236" s="1821"/>
      <c r="AF4236" s="1821"/>
      <c r="AG4236" s="1821"/>
      <c r="AH4236" s="1821"/>
      <c r="AI4236" s="1821"/>
      <c r="AJ4236" s="1821"/>
      <c r="AK4236" s="1821"/>
      <c r="AL4236" s="1821"/>
      <c r="AM4236" s="1821"/>
      <c r="AN4236" s="1821"/>
      <c r="AO4236" s="1821"/>
      <c r="AP4236" s="1821"/>
      <c r="AQ4236" s="1821"/>
      <c r="AR4236" s="1821"/>
      <c r="AS4236" s="1821"/>
      <c r="AT4236" s="1821"/>
      <c r="AU4236" s="1821"/>
      <c r="AV4236" s="1821"/>
      <c r="AW4236" s="1821"/>
      <c r="AX4236" s="1821"/>
      <c r="AY4236" s="1821"/>
      <c r="AZ4236" s="1821"/>
      <c r="BA4236" s="1821"/>
      <c r="BB4236" s="1821"/>
      <c r="BC4236" s="1821"/>
      <c r="BD4236" s="1821"/>
      <c r="BE4236" s="1821"/>
      <c r="BF4236" s="1821"/>
      <c r="BG4236" s="1821"/>
      <c r="BH4236" s="1821"/>
      <c r="BI4236" s="1821"/>
      <c r="BJ4236" s="1821"/>
      <c r="BK4236" s="1821"/>
      <c r="BL4236" s="1821"/>
      <c r="BM4236" s="1821"/>
      <c r="BN4236" s="1821"/>
      <c r="BO4236" s="1821"/>
      <c r="BP4236" s="1821"/>
      <c r="BQ4236" s="1821"/>
      <c r="BR4236" s="1821"/>
      <c r="BS4236" s="1821"/>
      <c r="BT4236" s="1821"/>
      <c r="BU4236" s="1821"/>
      <c r="BV4236" s="1821"/>
      <c r="BW4236" s="1821"/>
      <c r="BX4236" s="1821"/>
      <c r="BY4236" s="1821"/>
      <c r="BZ4236" s="1821"/>
      <c r="CA4236" s="1821"/>
      <c r="CB4236" s="1821"/>
      <c r="CC4236" s="1821"/>
      <c r="CD4236" s="1821"/>
      <c r="CE4236" s="1821"/>
      <c r="CF4236" s="1821"/>
      <c r="CG4236" s="1821"/>
      <c r="CH4236" s="1821"/>
      <c r="CI4236" s="1821"/>
      <c r="CJ4236" s="1821"/>
      <c r="CK4236" s="1821"/>
    </row>
    <row r="4237" spans="1:89" s="744" customFormat="1" ht="16.5" hidden="1" customHeight="1" x14ac:dyDescent="0.25">
      <c r="A4237" s="1033"/>
      <c r="B4237" s="709" t="s">
        <v>365</v>
      </c>
      <c r="C4237" s="827">
        <v>1</v>
      </c>
      <c r="D4237" s="961" t="s">
        <v>25</v>
      </c>
      <c r="E4237" s="758">
        <v>72000</v>
      </c>
      <c r="F4237" s="714"/>
      <c r="G4237" s="714"/>
      <c r="H4237" s="700"/>
      <c r="I4237" s="714"/>
      <c r="J4237" s="714">
        <f t="shared" si="483"/>
        <v>72000</v>
      </c>
      <c r="K4237" s="700">
        <f t="shared" si="480"/>
        <v>72000</v>
      </c>
      <c r="L4237" s="714"/>
      <c r="M4237" s="714"/>
      <c r="N4237" s="700"/>
      <c r="O4237" s="974">
        <f>N4237+K4237+H4237</f>
        <v>72000</v>
      </c>
      <c r="P4237" s="956"/>
      <c r="Q4237" s="1821"/>
      <c r="R4237" s="1821"/>
      <c r="S4237" s="1821"/>
      <c r="T4237" s="1821"/>
      <c r="U4237" s="1821"/>
      <c r="V4237" s="1821"/>
      <c r="W4237" s="1821"/>
      <c r="X4237" s="1821"/>
      <c r="Y4237" s="1821"/>
      <c r="Z4237" s="1821"/>
      <c r="AA4237" s="1821"/>
      <c r="AB4237" s="1821"/>
      <c r="AC4237" s="1821"/>
      <c r="AD4237" s="1821"/>
      <c r="AE4237" s="1821"/>
      <c r="AF4237" s="1821"/>
      <c r="AG4237" s="1821"/>
      <c r="AH4237" s="1821"/>
      <c r="AI4237" s="1821"/>
      <c r="AJ4237" s="1821"/>
      <c r="AK4237" s="1821"/>
      <c r="AL4237" s="1821"/>
      <c r="AM4237" s="1821"/>
      <c r="AN4237" s="1821"/>
      <c r="AO4237" s="1821"/>
      <c r="AP4237" s="1821"/>
      <c r="AQ4237" s="1821"/>
      <c r="AR4237" s="1821"/>
      <c r="AS4237" s="1821"/>
      <c r="AT4237" s="1821"/>
      <c r="AU4237" s="1821"/>
      <c r="AV4237" s="1821"/>
      <c r="AW4237" s="1821"/>
      <c r="AX4237" s="1821"/>
      <c r="AY4237" s="1821"/>
      <c r="AZ4237" s="1821"/>
      <c r="BA4237" s="1821"/>
      <c r="BB4237" s="1821"/>
      <c r="BC4237" s="1821"/>
      <c r="BD4237" s="1821"/>
      <c r="BE4237" s="1821"/>
      <c r="BF4237" s="1821"/>
      <c r="BG4237" s="1821"/>
      <c r="BH4237" s="1821"/>
      <c r="BI4237" s="1821"/>
      <c r="BJ4237" s="1821"/>
      <c r="BK4237" s="1821"/>
      <c r="BL4237" s="1821"/>
      <c r="BM4237" s="1821"/>
      <c r="BN4237" s="1821"/>
      <c r="BO4237" s="1821"/>
      <c r="BP4237" s="1821"/>
      <c r="BQ4237" s="1821"/>
      <c r="BR4237" s="1821"/>
      <c r="BS4237" s="1821"/>
      <c r="BT4237" s="1821"/>
      <c r="BU4237" s="1821"/>
      <c r="BV4237" s="1821"/>
      <c r="BW4237" s="1821"/>
      <c r="BX4237" s="1821"/>
      <c r="BY4237" s="1821"/>
      <c r="BZ4237" s="1821"/>
      <c r="CA4237" s="1821"/>
      <c r="CB4237" s="1821"/>
      <c r="CC4237" s="1821"/>
      <c r="CD4237" s="1821"/>
      <c r="CE4237" s="1821"/>
      <c r="CF4237" s="1821"/>
      <c r="CG4237" s="1821"/>
      <c r="CH4237" s="1821"/>
      <c r="CI4237" s="1821"/>
      <c r="CJ4237" s="1821"/>
      <c r="CK4237" s="1821"/>
    </row>
    <row r="4238" spans="1:89" s="744" customFormat="1" ht="16.5" hidden="1" customHeight="1" x14ac:dyDescent="0.25">
      <c r="A4238" s="1033"/>
      <c r="B4238" s="709" t="s">
        <v>429</v>
      </c>
      <c r="C4238" s="827"/>
      <c r="D4238" s="961"/>
      <c r="E4238" s="758"/>
      <c r="F4238" s="714"/>
      <c r="G4238" s="714"/>
      <c r="H4238" s="700"/>
      <c r="I4238" s="714"/>
      <c r="J4238" s="714">
        <f t="shared" si="483"/>
        <v>0</v>
      </c>
      <c r="K4238" s="700"/>
      <c r="L4238" s="714"/>
      <c r="M4238" s="714"/>
      <c r="N4238" s="700"/>
      <c r="O4238" s="974"/>
      <c r="P4238" s="956"/>
      <c r="Q4238" s="1821"/>
      <c r="R4238" s="1821"/>
      <c r="S4238" s="1821"/>
      <c r="T4238" s="1821"/>
      <c r="U4238" s="1821"/>
      <c r="V4238" s="1821"/>
      <c r="W4238" s="1821"/>
      <c r="X4238" s="1821"/>
      <c r="Y4238" s="1821"/>
      <c r="Z4238" s="1821"/>
      <c r="AA4238" s="1821"/>
      <c r="AB4238" s="1821"/>
      <c r="AC4238" s="1821"/>
      <c r="AD4238" s="1821"/>
      <c r="AE4238" s="1821"/>
      <c r="AF4238" s="1821"/>
      <c r="AG4238" s="1821"/>
      <c r="AH4238" s="1821"/>
      <c r="AI4238" s="1821"/>
      <c r="AJ4238" s="1821"/>
      <c r="AK4238" s="1821"/>
      <c r="AL4238" s="1821"/>
      <c r="AM4238" s="1821"/>
      <c r="AN4238" s="1821"/>
      <c r="AO4238" s="1821"/>
      <c r="AP4238" s="1821"/>
      <c r="AQ4238" s="1821"/>
      <c r="AR4238" s="1821"/>
      <c r="AS4238" s="1821"/>
      <c r="AT4238" s="1821"/>
      <c r="AU4238" s="1821"/>
      <c r="AV4238" s="1821"/>
      <c r="AW4238" s="1821"/>
      <c r="AX4238" s="1821"/>
      <c r="AY4238" s="1821"/>
      <c r="AZ4238" s="1821"/>
      <c r="BA4238" s="1821"/>
      <c r="BB4238" s="1821"/>
      <c r="BC4238" s="1821"/>
      <c r="BD4238" s="1821"/>
      <c r="BE4238" s="1821"/>
      <c r="BF4238" s="1821"/>
      <c r="BG4238" s="1821"/>
      <c r="BH4238" s="1821"/>
      <c r="BI4238" s="1821"/>
      <c r="BJ4238" s="1821"/>
      <c r="BK4238" s="1821"/>
      <c r="BL4238" s="1821"/>
      <c r="BM4238" s="1821"/>
      <c r="BN4238" s="1821"/>
      <c r="BO4238" s="1821"/>
      <c r="BP4238" s="1821"/>
      <c r="BQ4238" s="1821"/>
      <c r="BR4238" s="1821"/>
      <c r="BS4238" s="1821"/>
      <c r="BT4238" s="1821"/>
      <c r="BU4238" s="1821"/>
      <c r="BV4238" s="1821"/>
      <c r="BW4238" s="1821"/>
      <c r="BX4238" s="1821"/>
      <c r="BY4238" s="1821"/>
      <c r="BZ4238" s="1821"/>
      <c r="CA4238" s="1821"/>
      <c r="CB4238" s="1821"/>
      <c r="CC4238" s="1821"/>
      <c r="CD4238" s="1821"/>
      <c r="CE4238" s="1821"/>
      <c r="CF4238" s="1821"/>
      <c r="CG4238" s="1821"/>
      <c r="CH4238" s="1821"/>
      <c r="CI4238" s="1821"/>
      <c r="CJ4238" s="1821"/>
      <c r="CK4238" s="1821"/>
    </row>
    <row r="4239" spans="1:89" s="744" customFormat="1" ht="16.5" hidden="1" customHeight="1" x14ac:dyDescent="0.25">
      <c r="A4239" s="1033"/>
      <c r="B4239" s="709" t="s">
        <v>359</v>
      </c>
      <c r="C4239" s="827">
        <v>20</v>
      </c>
      <c r="D4239" s="961" t="s">
        <v>51</v>
      </c>
      <c r="E4239" s="758">
        <v>200</v>
      </c>
      <c r="F4239" s="714"/>
      <c r="G4239" s="714"/>
      <c r="H4239" s="700">
        <f>G4239+F4239</f>
        <v>0</v>
      </c>
      <c r="I4239" s="714"/>
      <c r="J4239" s="714">
        <f t="shared" si="483"/>
        <v>4000</v>
      </c>
      <c r="K4239" s="700">
        <f t="shared" si="480"/>
        <v>4000</v>
      </c>
      <c r="L4239" s="714"/>
      <c r="M4239" s="714"/>
      <c r="N4239" s="700">
        <f>M4239+L4239</f>
        <v>0</v>
      </c>
      <c r="O4239" s="974">
        <f>N4239+K4239+H4239</f>
        <v>4000</v>
      </c>
      <c r="P4239" s="956"/>
      <c r="Q4239" s="1821"/>
      <c r="R4239" s="1821"/>
      <c r="S4239" s="1821"/>
      <c r="T4239" s="1821"/>
      <c r="U4239" s="1821"/>
      <c r="V4239" s="1821"/>
      <c r="W4239" s="1821"/>
      <c r="X4239" s="1821"/>
      <c r="Y4239" s="1821"/>
      <c r="Z4239" s="1821"/>
      <c r="AA4239" s="1821"/>
      <c r="AB4239" s="1821"/>
      <c r="AC4239" s="1821"/>
      <c r="AD4239" s="1821"/>
      <c r="AE4239" s="1821"/>
      <c r="AF4239" s="1821"/>
      <c r="AG4239" s="1821"/>
      <c r="AH4239" s="1821"/>
      <c r="AI4239" s="1821"/>
      <c r="AJ4239" s="1821"/>
      <c r="AK4239" s="1821"/>
      <c r="AL4239" s="1821"/>
      <c r="AM4239" s="1821"/>
      <c r="AN4239" s="1821"/>
      <c r="AO4239" s="1821"/>
      <c r="AP4239" s="1821"/>
      <c r="AQ4239" s="1821"/>
      <c r="AR4239" s="1821"/>
      <c r="AS4239" s="1821"/>
      <c r="AT4239" s="1821"/>
      <c r="AU4239" s="1821"/>
      <c r="AV4239" s="1821"/>
      <c r="AW4239" s="1821"/>
      <c r="AX4239" s="1821"/>
      <c r="AY4239" s="1821"/>
      <c r="AZ4239" s="1821"/>
      <c r="BA4239" s="1821"/>
      <c r="BB4239" s="1821"/>
      <c r="BC4239" s="1821"/>
      <c r="BD4239" s="1821"/>
      <c r="BE4239" s="1821"/>
      <c r="BF4239" s="1821"/>
      <c r="BG4239" s="1821"/>
      <c r="BH4239" s="1821"/>
      <c r="BI4239" s="1821"/>
      <c r="BJ4239" s="1821"/>
      <c r="BK4239" s="1821"/>
      <c r="BL4239" s="1821"/>
      <c r="BM4239" s="1821"/>
      <c r="BN4239" s="1821"/>
      <c r="BO4239" s="1821"/>
      <c r="BP4239" s="1821"/>
      <c r="BQ4239" s="1821"/>
      <c r="BR4239" s="1821"/>
      <c r="BS4239" s="1821"/>
      <c r="BT4239" s="1821"/>
      <c r="BU4239" s="1821"/>
      <c r="BV4239" s="1821"/>
      <c r="BW4239" s="1821"/>
      <c r="BX4239" s="1821"/>
      <c r="BY4239" s="1821"/>
      <c r="BZ4239" s="1821"/>
      <c r="CA4239" s="1821"/>
      <c r="CB4239" s="1821"/>
      <c r="CC4239" s="1821"/>
      <c r="CD4239" s="1821"/>
      <c r="CE4239" s="1821"/>
      <c r="CF4239" s="1821"/>
      <c r="CG4239" s="1821"/>
      <c r="CH4239" s="1821"/>
      <c r="CI4239" s="1821"/>
      <c r="CJ4239" s="1821"/>
      <c r="CK4239" s="1821"/>
    </row>
    <row r="4240" spans="1:89" s="744" customFormat="1" ht="16.5" hidden="1" customHeight="1" x14ac:dyDescent="0.25">
      <c r="A4240" s="1033"/>
      <c r="B4240" s="709" t="s">
        <v>54</v>
      </c>
      <c r="C4240" s="827">
        <v>60</v>
      </c>
      <c r="D4240" s="961" t="s">
        <v>55</v>
      </c>
      <c r="E4240" s="758">
        <v>430</v>
      </c>
      <c r="F4240" s="714"/>
      <c r="G4240" s="714"/>
      <c r="H4240" s="700">
        <f>G4240+F4240</f>
        <v>0</v>
      </c>
      <c r="I4240" s="714"/>
      <c r="J4240" s="714">
        <f t="shared" si="483"/>
        <v>25800</v>
      </c>
      <c r="K4240" s="700">
        <f t="shared" si="480"/>
        <v>25800</v>
      </c>
      <c r="L4240" s="714"/>
      <c r="M4240" s="714"/>
      <c r="N4240" s="700">
        <f>M4240+L4240</f>
        <v>0</v>
      </c>
      <c r="O4240" s="974">
        <f>N4240+K4240+H4240</f>
        <v>25800</v>
      </c>
      <c r="P4240" s="956"/>
      <c r="Q4240" s="1821"/>
      <c r="R4240" s="1821"/>
      <c r="S4240" s="1821"/>
      <c r="T4240" s="1821"/>
      <c r="U4240" s="1821"/>
      <c r="V4240" s="1821"/>
      <c r="W4240" s="1821"/>
      <c r="X4240" s="1821"/>
      <c r="Y4240" s="1821"/>
      <c r="Z4240" s="1821"/>
      <c r="AA4240" s="1821"/>
      <c r="AB4240" s="1821"/>
      <c r="AC4240" s="1821"/>
      <c r="AD4240" s="1821"/>
      <c r="AE4240" s="1821"/>
      <c r="AF4240" s="1821"/>
      <c r="AG4240" s="1821"/>
      <c r="AH4240" s="1821"/>
      <c r="AI4240" s="1821"/>
      <c r="AJ4240" s="1821"/>
      <c r="AK4240" s="1821"/>
      <c r="AL4240" s="1821"/>
      <c r="AM4240" s="1821"/>
      <c r="AN4240" s="1821"/>
      <c r="AO4240" s="1821"/>
      <c r="AP4240" s="1821"/>
      <c r="AQ4240" s="1821"/>
      <c r="AR4240" s="1821"/>
      <c r="AS4240" s="1821"/>
      <c r="AT4240" s="1821"/>
      <c r="AU4240" s="1821"/>
      <c r="AV4240" s="1821"/>
      <c r="AW4240" s="1821"/>
      <c r="AX4240" s="1821"/>
      <c r="AY4240" s="1821"/>
      <c r="AZ4240" s="1821"/>
      <c r="BA4240" s="1821"/>
      <c r="BB4240" s="1821"/>
      <c r="BC4240" s="1821"/>
      <c r="BD4240" s="1821"/>
      <c r="BE4240" s="1821"/>
      <c r="BF4240" s="1821"/>
      <c r="BG4240" s="1821"/>
      <c r="BH4240" s="1821"/>
      <c r="BI4240" s="1821"/>
      <c r="BJ4240" s="1821"/>
      <c r="BK4240" s="1821"/>
      <c r="BL4240" s="1821"/>
      <c r="BM4240" s="1821"/>
      <c r="BN4240" s="1821"/>
      <c r="BO4240" s="1821"/>
      <c r="BP4240" s="1821"/>
      <c r="BQ4240" s="1821"/>
      <c r="BR4240" s="1821"/>
      <c r="BS4240" s="1821"/>
      <c r="BT4240" s="1821"/>
      <c r="BU4240" s="1821"/>
      <c r="BV4240" s="1821"/>
      <c r="BW4240" s="1821"/>
      <c r="BX4240" s="1821"/>
      <c r="BY4240" s="1821"/>
      <c r="BZ4240" s="1821"/>
      <c r="CA4240" s="1821"/>
      <c r="CB4240" s="1821"/>
      <c r="CC4240" s="1821"/>
      <c r="CD4240" s="1821"/>
      <c r="CE4240" s="1821"/>
      <c r="CF4240" s="1821"/>
      <c r="CG4240" s="1821"/>
      <c r="CH4240" s="1821"/>
      <c r="CI4240" s="1821"/>
      <c r="CJ4240" s="1821"/>
      <c r="CK4240" s="1821"/>
    </row>
    <row r="4241" spans="1:89" s="744" customFormat="1" ht="16.5" hidden="1" customHeight="1" x14ac:dyDescent="0.25">
      <c r="A4241" s="1033"/>
      <c r="B4241" s="709" t="s">
        <v>52</v>
      </c>
      <c r="C4241" s="827">
        <v>40</v>
      </c>
      <c r="D4241" s="961" t="s">
        <v>55</v>
      </c>
      <c r="E4241" s="758">
        <v>497</v>
      </c>
      <c r="F4241" s="714"/>
      <c r="G4241" s="714"/>
      <c r="H4241" s="700">
        <f>G4241+F4241</f>
        <v>0</v>
      </c>
      <c r="I4241" s="714"/>
      <c r="J4241" s="714">
        <f t="shared" si="483"/>
        <v>19880</v>
      </c>
      <c r="K4241" s="700">
        <f t="shared" si="480"/>
        <v>19880</v>
      </c>
      <c r="L4241" s="714"/>
      <c r="M4241" s="714"/>
      <c r="N4241" s="700">
        <f>M4241+L4241</f>
        <v>0</v>
      </c>
      <c r="O4241" s="974">
        <f>N4241+K4241+H4241</f>
        <v>19880</v>
      </c>
      <c r="P4241" s="956"/>
      <c r="Q4241" s="1821"/>
      <c r="R4241" s="1821"/>
      <c r="S4241" s="1821"/>
      <c r="T4241" s="1821"/>
      <c r="U4241" s="1821"/>
      <c r="V4241" s="1821"/>
      <c r="W4241" s="1821"/>
      <c r="X4241" s="1821"/>
      <c r="Y4241" s="1821"/>
      <c r="Z4241" s="1821"/>
      <c r="AA4241" s="1821"/>
      <c r="AB4241" s="1821"/>
      <c r="AC4241" s="1821"/>
      <c r="AD4241" s="1821"/>
      <c r="AE4241" s="1821"/>
      <c r="AF4241" s="1821"/>
      <c r="AG4241" s="1821"/>
      <c r="AH4241" s="1821"/>
      <c r="AI4241" s="1821"/>
      <c r="AJ4241" s="1821"/>
      <c r="AK4241" s="1821"/>
      <c r="AL4241" s="1821"/>
      <c r="AM4241" s="1821"/>
      <c r="AN4241" s="1821"/>
      <c r="AO4241" s="1821"/>
      <c r="AP4241" s="1821"/>
      <c r="AQ4241" s="1821"/>
      <c r="AR4241" s="1821"/>
      <c r="AS4241" s="1821"/>
      <c r="AT4241" s="1821"/>
      <c r="AU4241" s="1821"/>
      <c r="AV4241" s="1821"/>
      <c r="AW4241" s="1821"/>
      <c r="AX4241" s="1821"/>
      <c r="AY4241" s="1821"/>
      <c r="AZ4241" s="1821"/>
      <c r="BA4241" s="1821"/>
      <c r="BB4241" s="1821"/>
      <c r="BC4241" s="1821"/>
      <c r="BD4241" s="1821"/>
      <c r="BE4241" s="1821"/>
      <c r="BF4241" s="1821"/>
      <c r="BG4241" s="1821"/>
      <c r="BH4241" s="1821"/>
      <c r="BI4241" s="1821"/>
      <c r="BJ4241" s="1821"/>
      <c r="BK4241" s="1821"/>
      <c r="BL4241" s="1821"/>
      <c r="BM4241" s="1821"/>
      <c r="BN4241" s="1821"/>
      <c r="BO4241" s="1821"/>
      <c r="BP4241" s="1821"/>
      <c r="BQ4241" s="1821"/>
      <c r="BR4241" s="1821"/>
      <c r="BS4241" s="1821"/>
      <c r="BT4241" s="1821"/>
      <c r="BU4241" s="1821"/>
      <c r="BV4241" s="1821"/>
      <c r="BW4241" s="1821"/>
      <c r="BX4241" s="1821"/>
      <c r="BY4241" s="1821"/>
      <c r="BZ4241" s="1821"/>
      <c r="CA4241" s="1821"/>
      <c r="CB4241" s="1821"/>
      <c r="CC4241" s="1821"/>
      <c r="CD4241" s="1821"/>
      <c r="CE4241" s="1821"/>
      <c r="CF4241" s="1821"/>
      <c r="CG4241" s="1821"/>
      <c r="CH4241" s="1821"/>
      <c r="CI4241" s="1821"/>
      <c r="CJ4241" s="1821"/>
      <c r="CK4241" s="1821"/>
    </row>
    <row r="4242" spans="1:89" s="744" customFormat="1" ht="16.5" hidden="1" customHeight="1" x14ac:dyDescent="0.25">
      <c r="A4242" s="1033"/>
      <c r="B4242" s="709"/>
      <c r="C4242" s="827"/>
      <c r="D4242" s="961"/>
      <c r="E4242" s="758"/>
      <c r="F4242" s="714"/>
      <c r="G4242" s="714"/>
      <c r="H4242" s="700"/>
      <c r="I4242" s="714"/>
      <c r="J4242" s="714">
        <f t="shared" si="483"/>
        <v>0</v>
      </c>
      <c r="K4242" s="700"/>
      <c r="L4242" s="714"/>
      <c r="M4242" s="714"/>
      <c r="N4242" s="700"/>
      <c r="O4242" s="974"/>
      <c r="P4242" s="956"/>
      <c r="Q4242" s="1821"/>
      <c r="R4242" s="1821"/>
      <c r="S4242" s="1821"/>
      <c r="T4242" s="1821"/>
      <c r="U4242" s="1821"/>
      <c r="V4242" s="1821"/>
      <c r="W4242" s="1821"/>
      <c r="X4242" s="1821"/>
      <c r="Y4242" s="1821"/>
      <c r="Z4242" s="1821"/>
      <c r="AA4242" s="1821"/>
      <c r="AB4242" s="1821"/>
      <c r="AC4242" s="1821"/>
      <c r="AD4242" s="1821"/>
      <c r="AE4242" s="1821"/>
      <c r="AF4242" s="1821"/>
      <c r="AG4242" s="1821"/>
      <c r="AH4242" s="1821"/>
      <c r="AI4242" s="1821"/>
      <c r="AJ4242" s="1821"/>
      <c r="AK4242" s="1821"/>
      <c r="AL4242" s="1821"/>
      <c r="AM4242" s="1821"/>
      <c r="AN4242" s="1821"/>
      <c r="AO4242" s="1821"/>
      <c r="AP4242" s="1821"/>
      <c r="AQ4242" s="1821"/>
      <c r="AR4242" s="1821"/>
      <c r="AS4242" s="1821"/>
      <c r="AT4242" s="1821"/>
      <c r="AU4242" s="1821"/>
      <c r="AV4242" s="1821"/>
      <c r="AW4242" s="1821"/>
      <c r="AX4242" s="1821"/>
      <c r="AY4242" s="1821"/>
      <c r="AZ4242" s="1821"/>
      <c r="BA4242" s="1821"/>
      <c r="BB4242" s="1821"/>
      <c r="BC4242" s="1821"/>
      <c r="BD4242" s="1821"/>
      <c r="BE4242" s="1821"/>
      <c r="BF4242" s="1821"/>
      <c r="BG4242" s="1821"/>
      <c r="BH4242" s="1821"/>
      <c r="BI4242" s="1821"/>
      <c r="BJ4242" s="1821"/>
      <c r="BK4242" s="1821"/>
      <c r="BL4242" s="1821"/>
      <c r="BM4242" s="1821"/>
      <c r="BN4242" s="1821"/>
      <c r="BO4242" s="1821"/>
      <c r="BP4242" s="1821"/>
      <c r="BQ4242" s="1821"/>
      <c r="BR4242" s="1821"/>
      <c r="BS4242" s="1821"/>
      <c r="BT4242" s="1821"/>
      <c r="BU4242" s="1821"/>
      <c r="BV4242" s="1821"/>
      <c r="BW4242" s="1821"/>
      <c r="BX4242" s="1821"/>
      <c r="BY4242" s="1821"/>
      <c r="BZ4242" s="1821"/>
      <c r="CA4242" s="1821"/>
      <c r="CB4242" s="1821"/>
      <c r="CC4242" s="1821"/>
      <c r="CD4242" s="1821"/>
      <c r="CE4242" s="1821"/>
      <c r="CF4242" s="1821"/>
      <c r="CG4242" s="1821"/>
      <c r="CH4242" s="1821"/>
      <c r="CI4242" s="1821"/>
      <c r="CJ4242" s="1821"/>
      <c r="CK4242" s="1821"/>
    </row>
    <row r="4243" spans="1:89" s="744" customFormat="1" ht="16.5" hidden="1" customHeight="1" x14ac:dyDescent="0.25">
      <c r="A4243" s="1033">
        <v>15</v>
      </c>
      <c r="B4243" s="709" t="s">
        <v>1089</v>
      </c>
      <c r="C4243" s="827"/>
      <c r="D4243" s="961"/>
      <c r="E4243" s="758"/>
      <c r="F4243" s="714"/>
      <c r="G4243" s="714"/>
      <c r="H4243" s="700"/>
      <c r="I4243" s="714"/>
      <c r="J4243" s="714">
        <f t="shared" si="483"/>
        <v>0</v>
      </c>
      <c r="K4243" s="700"/>
      <c r="L4243" s="714"/>
      <c r="M4243" s="714"/>
      <c r="N4243" s="700"/>
      <c r="O4243" s="974"/>
      <c r="P4243" s="956"/>
      <c r="Q4243" s="1821"/>
      <c r="R4243" s="1821"/>
      <c r="S4243" s="1821"/>
      <c r="T4243" s="1821"/>
      <c r="U4243" s="1821"/>
      <c r="V4243" s="1821"/>
      <c r="W4243" s="1821"/>
      <c r="X4243" s="1821"/>
      <c r="Y4243" s="1821"/>
      <c r="Z4243" s="1821"/>
      <c r="AA4243" s="1821"/>
      <c r="AB4243" s="1821"/>
      <c r="AC4243" s="1821"/>
      <c r="AD4243" s="1821"/>
      <c r="AE4243" s="1821"/>
      <c r="AF4243" s="1821"/>
      <c r="AG4243" s="1821"/>
      <c r="AH4243" s="1821"/>
      <c r="AI4243" s="1821"/>
      <c r="AJ4243" s="1821"/>
      <c r="AK4243" s="1821"/>
      <c r="AL4243" s="1821"/>
      <c r="AM4243" s="1821"/>
      <c r="AN4243" s="1821"/>
      <c r="AO4243" s="1821"/>
      <c r="AP4243" s="1821"/>
      <c r="AQ4243" s="1821"/>
      <c r="AR4243" s="1821"/>
      <c r="AS4243" s="1821"/>
      <c r="AT4243" s="1821"/>
      <c r="AU4243" s="1821"/>
      <c r="AV4243" s="1821"/>
      <c r="AW4243" s="1821"/>
      <c r="AX4243" s="1821"/>
      <c r="AY4243" s="1821"/>
      <c r="AZ4243" s="1821"/>
      <c r="BA4243" s="1821"/>
      <c r="BB4243" s="1821"/>
      <c r="BC4243" s="1821"/>
      <c r="BD4243" s="1821"/>
      <c r="BE4243" s="1821"/>
      <c r="BF4243" s="1821"/>
      <c r="BG4243" s="1821"/>
      <c r="BH4243" s="1821"/>
      <c r="BI4243" s="1821"/>
      <c r="BJ4243" s="1821"/>
      <c r="BK4243" s="1821"/>
      <c r="BL4243" s="1821"/>
      <c r="BM4243" s="1821"/>
      <c r="BN4243" s="1821"/>
      <c r="BO4243" s="1821"/>
      <c r="BP4243" s="1821"/>
      <c r="BQ4243" s="1821"/>
      <c r="BR4243" s="1821"/>
      <c r="BS4243" s="1821"/>
      <c r="BT4243" s="1821"/>
      <c r="BU4243" s="1821"/>
      <c r="BV4243" s="1821"/>
      <c r="BW4243" s="1821"/>
      <c r="BX4243" s="1821"/>
      <c r="BY4243" s="1821"/>
      <c r="BZ4243" s="1821"/>
      <c r="CA4243" s="1821"/>
      <c r="CB4243" s="1821"/>
      <c r="CC4243" s="1821"/>
      <c r="CD4243" s="1821"/>
      <c r="CE4243" s="1821"/>
      <c r="CF4243" s="1821"/>
      <c r="CG4243" s="1821"/>
      <c r="CH4243" s="1821"/>
      <c r="CI4243" s="1821"/>
      <c r="CJ4243" s="1821"/>
      <c r="CK4243" s="1821"/>
    </row>
    <row r="4244" spans="1:89" s="744" customFormat="1" ht="16.5" hidden="1" customHeight="1" x14ac:dyDescent="0.25">
      <c r="A4244" s="1033" t="s">
        <v>49</v>
      </c>
      <c r="B4244" s="709" t="s">
        <v>278</v>
      </c>
      <c r="C4244" s="827">
        <f>SUM(O4245:O4250)</f>
        <v>1622460</v>
      </c>
      <c r="D4244" s="961"/>
      <c r="E4244" s="758"/>
      <c r="F4244" s="714"/>
      <c r="G4244" s="714"/>
      <c r="H4244" s="700"/>
      <c r="I4244" s="714"/>
      <c r="J4244" s="714">
        <f t="shared" si="483"/>
        <v>0</v>
      </c>
      <c r="K4244" s="700"/>
      <c r="L4244" s="714"/>
      <c r="M4244" s="714"/>
      <c r="N4244" s="700"/>
      <c r="O4244" s="974"/>
      <c r="P4244" s="956"/>
      <c r="Q4244" s="1821"/>
      <c r="R4244" s="1821"/>
      <c r="S4244" s="1821"/>
      <c r="T4244" s="1821"/>
      <c r="U4244" s="1821"/>
      <c r="V4244" s="1821"/>
      <c r="W4244" s="1821"/>
      <c r="X4244" s="1821"/>
      <c r="Y4244" s="1821"/>
      <c r="Z4244" s="1821"/>
      <c r="AA4244" s="1821"/>
      <c r="AB4244" s="1821"/>
      <c r="AC4244" s="1821"/>
      <c r="AD4244" s="1821"/>
      <c r="AE4244" s="1821"/>
      <c r="AF4244" s="1821"/>
      <c r="AG4244" s="1821"/>
      <c r="AH4244" s="1821"/>
      <c r="AI4244" s="1821"/>
      <c r="AJ4244" s="1821"/>
      <c r="AK4244" s="1821"/>
      <c r="AL4244" s="1821"/>
      <c r="AM4244" s="1821"/>
      <c r="AN4244" s="1821"/>
      <c r="AO4244" s="1821"/>
      <c r="AP4244" s="1821"/>
      <c r="AQ4244" s="1821"/>
      <c r="AR4244" s="1821"/>
      <c r="AS4244" s="1821"/>
      <c r="AT4244" s="1821"/>
      <c r="AU4244" s="1821"/>
      <c r="AV4244" s="1821"/>
      <c r="AW4244" s="1821"/>
      <c r="AX4244" s="1821"/>
      <c r="AY4244" s="1821"/>
      <c r="AZ4244" s="1821"/>
      <c r="BA4244" s="1821"/>
      <c r="BB4244" s="1821"/>
      <c r="BC4244" s="1821"/>
      <c r="BD4244" s="1821"/>
      <c r="BE4244" s="1821"/>
      <c r="BF4244" s="1821"/>
      <c r="BG4244" s="1821"/>
      <c r="BH4244" s="1821"/>
      <c r="BI4244" s="1821"/>
      <c r="BJ4244" s="1821"/>
      <c r="BK4244" s="1821"/>
      <c r="BL4244" s="1821"/>
      <c r="BM4244" s="1821"/>
      <c r="BN4244" s="1821"/>
      <c r="BO4244" s="1821"/>
      <c r="BP4244" s="1821"/>
      <c r="BQ4244" s="1821"/>
      <c r="BR4244" s="1821"/>
      <c r="BS4244" s="1821"/>
      <c r="BT4244" s="1821"/>
      <c r="BU4244" s="1821"/>
      <c r="BV4244" s="1821"/>
      <c r="BW4244" s="1821"/>
      <c r="BX4244" s="1821"/>
      <c r="BY4244" s="1821"/>
      <c r="BZ4244" s="1821"/>
      <c r="CA4244" s="1821"/>
      <c r="CB4244" s="1821"/>
      <c r="CC4244" s="1821"/>
      <c r="CD4244" s="1821"/>
      <c r="CE4244" s="1821"/>
      <c r="CF4244" s="1821"/>
      <c r="CG4244" s="1821"/>
      <c r="CH4244" s="1821"/>
      <c r="CI4244" s="1821"/>
      <c r="CJ4244" s="1821"/>
      <c r="CK4244" s="1821"/>
    </row>
    <row r="4245" spans="1:89" s="744" customFormat="1" ht="16.5" hidden="1" customHeight="1" x14ac:dyDescent="0.25">
      <c r="A4245" s="1033"/>
      <c r="B4245" s="709" t="s">
        <v>365</v>
      </c>
      <c r="C4245" s="827">
        <v>1</v>
      </c>
      <c r="D4245" s="961" t="s">
        <v>25</v>
      </c>
      <c r="E4245" s="758">
        <v>84000</v>
      </c>
      <c r="F4245" s="714"/>
      <c r="G4245" s="714"/>
      <c r="H4245" s="700">
        <f>G4245+F4245</f>
        <v>0</v>
      </c>
      <c r="I4245" s="714"/>
      <c r="J4245" s="714">
        <f t="shared" si="483"/>
        <v>84000</v>
      </c>
      <c r="K4245" s="700">
        <f t="shared" si="480"/>
        <v>84000</v>
      </c>
      <c r="L4245" s="714"/>
      <c r="M4245" s="714"/>
      <c r="N4245" s="700">
        <f t="shared" ref="N4245:N4250" si="486">M4245+L4245</f>
        <v>0</v>
      </c>
      <c r="O4245" s="974">
        <f>N4245+K4245+H4245</f>
        <v>84000</v>
      </c>
      <c r="P4245" s="956"/>
      <c r="Q4245" s="1821"/>
      <c r="R4245" s="1821"/>
      <c r="S4245" s="1821"/>
      <c r="T4245" s="1821"/>
      <c r="U4245" s="1821"/>
      <c r="V4245" s="1821"/>
      <c r="W4245" s="1821"/>
      <c r="X4245" s="1821"/>
      <c r="Y4245" s="1821"/>
      <c r="Z4245" s="1821"/>
      <c r="AA4245" s="1821"/>
      <c r="AB4245" s="1821"/>
      <c r="AC4245" s="1821"/>
      <c r="AD4245" s="1821"/>
      <c r="AE4245" s="1821"/>
      <c r="AF4245" s="1821"/>
      <c r="AG4245" s="1821"/>
      <c r="AH4245" s="1821"/>
      <c r="AI4245" s="1821"/>
      <c r="AJ4245" s="1821"/>
      <c r="AK4245" s="1821"/>
      <c r="AL4245" s="1821"/>
      <c r="AM4245" s="1821"/>
      <c r="AN4245" s="1821"/>
      <c r="AO4245" s="1821"/>
      <c r="AP4245" s="1821"/>
      <c r="AQ4245" s="1821"/>
      <c r="AR4245" s="1821"/>
      <c r="AS4245" s="1821"/>
      <c r="AT4245" s="1821"/>
      <c r="AU4245" s="1821"/>
      <c r="AV4245" s="1821"/>
      <c r="AW4245" s="1821"/>
      <c r="AX4245" s="1821"/>
      <c r="AY4245" s="1821"/>
      <c r="AZ4245" s="1821"/>
      <c r="BA4245" s="1821"/>
      <c r="BB4245" s="1821"/>
      <c r="BC4245" s="1821"/>
      <c r="BD4245" s="1821"/>
      <c r="BE4245" s="1821"/>
      <c r="BF4245" s="1821"/>
      <c r="BG4245" s="1821"/>
      <c r="BH4245" s="1821"/>
      <c r="BI4245" s="1821"/>
      <c r="BJ4245" s="1821"/>
      <c r="BK4245" s="1821"/>
      <c r="BL4245" s="1821"/>
      <c r="BM4245" s="1821"/>
      <c r="BN4245" s="1821"/>
      <c r="BO4245" s="1821"/>
      <c r="BP4245" s="1821"/>
      <c r="BQ4245" s="1821"/>
      <c r="BR4245" s="1821"/>
      <c r="BS4245" s="1821"/>
      <c r="BT4245" s="1821"/>
      <c r="BU4245" s="1821"/>
      <c r="BV4245" s="1821"/>
      <c r="BW4245" s="1821"/>
      <c r="BX4245" s="1821"/>
      <c r="BY4245" s="1821"/>
      <c r="BZ4245" s="1821"/>
      <c r="CA4245" s="1821"/>
      <c r="CB4245" s="1821"/>
      <c r="CC4245" s="1821"/>
      <c r="CD4245" s="1821"/>
      <c r="CE4245" s="1821"/>
      <c r="CF4245" s="1821"/>
      <c r="CG4245" s="1821"/>
      <c r="CH4245" s="1821"/>
      <c r="CI4245" s="1821"/>
      <c r="CJ4245" s="1821"/>
      <c r="CK4245" s="1821"/>
    </row>
    <row r="4246" spans="1:89" s="744" customFormat="1" ht="16.5" hidden="1" customHeight="1" x14ac:dyDescent="0.25">
      <c r="A4246" s="1033"/>
      <c r="B4246" s="709" t="s">
        <v>429</v>
      </c>
      <c r="C4246" s="827"/>
      <c r="D4246" s="961"/>
      <c r="E4246" s="758"/>
      <c r="F4246" s="714"/>
      <c r="G4246" s="714"/>
      <c r="H4246" s="700"/>
      <c r="I4246" s="714"/>
      <c r="J4246" s="714">
        <f t="shared" si="483"/>
        <v>0</v>
      </c>
      <c r="K4246" s="700"/>
      <c r="L4246" s="714"/>
      <c r="M4246" s="714"/>
      <c r="N4246" s="700"/>
      <c r="O4246" s="974"/>
      <c r="P4246" s="956"/>
      <c r="Q4246" s="1821"/>
      <c r="R4246" s="1821"/>
      <c r="S4246" s="1821"/>
      <c r="T4246" s="1821"/>
      <c r="U4246" s="1821"/>
      <c r="V4246" s="1821"/>
      <c r="W4246" s="1821"/>
      <c r="X4246" s="1821"/>
      <c r="Y4246" s="1821"/>
      <c r="Z4246" s="1821"/>
      <c r="AA4246" s="1821"/>
      <c r="AB4246" s="1821"/>
      <c r="AC4246" s="1821"/>
      <c r="AD4246" s="1821"/>
      <c r="AE4246" s="1821"/>
      <c r="AF4246" s="1821"/>
      <c r="AG4246" s="1821"/>
      <c r="AH4246" s="1821"/>
      <c r="AI4246" s="1821"/>
      <c r="AJ4246" s="1821"/>
      <c r="AK4246" s="1821"/>
      <c r="AL4246" s="1821"/>
      <c r="AM4246" s="1821"/>
      <c r="AN4246" s="1821"/>
      <c r="AO4246" s="1821"/>
      <c r="AP4246" s="1821"/>
      <c r="AQ4246" s="1821"/>
      <c r="AR4246" s="1821"/>
      <c r="AS4246" s="1821"/>
      <c r="AT4246" s="1821"/>
      <c r="AU4246" s="1821"/>
      <c r="AV4246" s="1821"/>
      <c r="AW4246" s="1821"/>
      <c r="AX4246" s="1821"/>
      <c r="AY4246" s="1821"/>
      <c r="AZ4246" s="1821"/>
      <c r="BA4246" s="1821"/>
      <c r="BB4246" s="1821"/>
      <c r="BC4246" s="1821"/>
      <c r="BD4246" s="1821"/>
      <c r="BE4246" s="1821"/>
      <c r="BF4246" s="1821"/>
      <c r="BG4246" s="1821"/>
      <c r="BH4246" s="1821"/>
      <c r="BI4246" s="1821"/>
      <c r="BJ4246" s="1821"/>
      <c r="BK4246" s="1821"/>
      <c r="BL4246" s="1821"/>
      <c r="BM4246" s="1821"/>
      <c r="BN4246" s="1821"/>
      <c r="BO4246" s="1821"/>
      <c r="BP4246" s="1821"/>
      <c r="BQ4246" s="1821"/>
      <c r="BR4246" s="1821"/>
      <c r="BS4246" s="1821"/>
      <c r="BT4246" s="1821"/>
      <c r="BU4246" s="1821"/>
      <c r="BV4246" s="1821"/>
      <c r="BW4246" s="1821"/>
      <c r="BX4246" s="1821"/>
      <c r="BY4246" s="1821"/>
      <c r="BZ4246" s="1821"/>
      <c r="CA4246" s="1821"/>
      <c r="CB4246" s="1821"/>
      <c r="CC4246" s="1821"/>
      <c r="CD4246" s="1821"/>
      <c r="CE4246" s="1821"/>
      <c r="CF4246" s="1821"/>
      <c r="CG4246" s="1821"/>
      <c r="CH4246" s="1821"/>
      <c r="CI4246" s="1821"/>
      <c r="CJ4246" s="1821"/>
      <c r="CK4246" s="1821"/>
    </row>
    <row r="4247" spans="1:89" s="744" customFormat="1" ht="16.5" hidden="1" customHeight="1" x14ac:dyDescent="0.25">
      <c r="A4247" s="1033"/>
      <c r="B4247" s="709" t="s">
        <v>359</v>
      </c>
      <c r="C4247" s="827">
        <v>231</v>
      </c>
      <c r="D4247" s="961" t="s">
        <v>51</v>
      </c>
      <c r="E4247" s="758">
        <v>3846</v>
      </c>
      <c r="F4247" s="714"/>
      <c r="G4247" s="714"/>
      <c r="H4247" s="700">
        <f>G4247+F4247</f>
        <v>0</v>
      </c>
      <c r="I4247" s="714"/>
      <c r="J4247" s="714">
        <f t="shared" si="483"/>
        <v>888426</v>
      </c>
      <c r="K4247" s="700">
        <f t="shared" si="480"/>
        <v>888426</v>
      </c>
      <c r="L4247" s="714"/>
      <c r="M4247" s="714"/>
      <c r="N4247" s="700">
        <f t="shared" si="486"/>
        <v>0</v>
      </c>
      <c r="O4247" s="974">
        <f>N4247+K4247+H4247</f>
        <v>888426</v>
      </c>
      <c r="P4247" s="956"/>
      <c r="Q4247" s="1821"/>
      <c r="R4247" s="1821"/>
      <c r="S4247" s="1821"/>
      <c r="T4247" s="1821"/>
      <c r="U4247" s="1821"/>
      <c r="V4247" s="1821"/>
      <c r="W4247" s="1821"/>
      <c r="X4247" s="1821"/>
      <c r="Y4247" s="1821"/>
      <c r="Z4247" s="1821"/>
      <c r="AA4247" s="1821"/>
      <c r="AB4247" s="1821"/>
      <c r="AC4247" s="1821"/>
      <c r="AD4247" s="1821"/>
      <c r="AE4247" s="1821"/>
      <c r="AF4247" s="1821"/>
      <c r="AG4247" s="1821"/>
      <c r="AH4247" s="1821"/>
      <c r="AI4247" s="1821"/>
      <c r="AJ4247" s="1821"/>
      <c r="AK4247" s="1821"/>
      <c r="AL4247" s="1821"/>
      <c r="AM4247" s="1821"/>
      <c r="AN4247" s="1821"/>
      <c r="AO4247" s="1821"/>
      <c r="AP4247" s="1821"/>
      <c r="AQ4247" s="1821"/>
      <c r="AR4247" s="1821"/>
      <c r="AS4247" s="1821"/>
      <c r="AT4247" s="1821"/>
      <c r="AU4247" s="1821"/>
      <c r="AV4247" s="1821"/>
      <c r="AW4247" s="1821"/>
      <c r="AX4247" s="1821"/>
      <c r="AY4247" s="1821"/>
      <c r="AZ4247" s="1821"/>
      <c r="BA4247" s="1821"/>
      <c r="BB4247" s="1821"/>
      <c r="BC4247" s="1821"/>
      <c r="BD4247" s="1821"/>
      <c r="BE4247" s="1821"/>
      <c r="BF4247" s="1821"/>
      <c r="BG4247" s="1821"/>
      <c r="BH4247" s="1821"/>
      <c r="BI4247" s="1821"/>
      <c r="BJ4247" s="1821"/>
      <c r="BK4247" s="1821"/>
      <c r="BL4247" s="1821"/>
      <c r="BM4247" s="1821"/>
      <c r="BN4247" s="1821"/>
      <c r="BO4247" s="1821"/>
      <c r="BP4247" s="1821"/>
      <c r="BQ4247" s="1821"/>
      <c r="BR4247" s="1821"/>
      <c r="BS4247" s="1821"/>
      <c r="BT4247" s="1821"/>
      <c r="BU4247" s="1821"/>
      <c r="BV4247" s="1821"/>
      <c r="BW4247" s="1821"/>
      <c r="BX4247" s="1821"/>
      <c r="BY4247" s="1821"/>
      <c r="BZ4247" s="1821"/>
      <c r="CA4247" s="1821"/>
      <c r="CB4247" s="1821"/>
      <c r="CC4247" s="1821"/>
      <c r="CD4247" s="1821"/>
      <c r="CE4247" s="1821"/>
      <c r="CF4247" s="1821"/>
      <c r="CG4247" s="1821"/>
      <c r="CH4247" s="1821"/>
      <c r="CI4247" s="1821"/>
      <c r="CJ4247" s="1821"/>
      <c r="CK4247" s="1821"/>
    </row>
    <row r="4248" spans="1:89" s="744" customFormat="1" ht="16.5" hidden="1" customHeight="1" x14ac:dyDescent="0.25">
      <c r="A4248" s="1033"/>
      <c r="B4248" s="709" t="s">
        <v>54</v>
      </c>
      <c r="C4248" s="827">
        <v>693</v>
      </c>
      <c r="D4248" s="961" t="s">
        <v>55</v>
      </c>
      <c r="E4248" s="758">
        <v>404</v>
      </c>
      <c r="F4248" s="714"/>
      <c r="G4248" s="714"/>
      <c r="H4248" s="700">
        <f>G4248+F4248</f>
        <v>0</v>
      </c>
      <c r="I4248" s="714"/>
      <c r="J4248" s="714">
        <f t="shared" si="483"/>
        <v>279972</v>
      </c>
      <c r="K4248" s="700">
        <f t="shared" si="480"/>
        <v>279972</v>
      </c>
      <c r="L4248" s="714"/>
      <c r="M4248" s="714"/>
      <c r="N4248" s="700">
        <f t="shared" si="486"/>
        <v>0</v>
      </c>
      <c r="O4248" s="974">
        <f>N4248+K4248+H4248</f>
        <v>279972</v>
      </c>
      <c r="P4248" s="956"/>
      <c r="Q4248" s="1821"/>
      <c r="R4248" s="1821"/>
      <c r="S4248" s="1821"/>
      <c r="T4248" s="1821"/>
      <c r="U4248" s="1821"/>
      <c r="V4248" s="1821"/>
      <c r="W4248" s="1821"/>
      <c r="X4248" s="1821"/>
      <c r="Y4248" s="1821"/>
      <c r="Z4248" s="1821"/>
      <c r="AA4248" s="1821"/>
      <c r="AB4248" s="1821"/>
      <c r="AC4248" s="1821"/>
      <c r="AD4248" s="1821"/>
      <c r="AE4248" s="1821"/>
      <c r="AF4248" s="1821"/>
      <c r="AG4248" s="1821"/>
      <c r="AH4248" s="1821"/>
      <c r="AI4248" s="1821"/>
      <c r="AJ4248" s="1821"/>
      <c r="AK4248" s="1821"/>
      <c r="AL4248" s="1821"/>
      <c r="AM4248" s="1821"/>
      <c r="AN4248" s="1821"/>
      <c r="AO4248" s="1821"/>
      <c r="AP4248" s="1821"/>
      <c r="AQ4248" s="1821"/>
      <c r="AR4248" s="1821"/>
      <c r="AS4248" s="1821"/>
      <c r="AT4248" s="1821"/>
      <c r="AU4248" s="1821"/>
      <c r="AV4248" s="1821"/>
      <c r="AW4248" s="1821"/>
      <c r="AX4248" s="1821"/>
      <c r="AY4248" s="1821"/>
      <c r="AZ4248" s="1821"/>
      <c r="BA4248" s="1821"/>
      <c r="BB4248" s="1821"/>
      <c r="BC4248" s="1821"/>
      <c r="BD4248" s="1821"/>
      <c r="BE4248" s="1821"/>
      <c r="BF4248" s="1821"/>
      <c r="BG4248" s="1821"/>
      <c r="BH4248" s="1821"/>
      <c r="BI4248" s="1821"/>
      <c r="BJ4248" s="1821"/>
      <c r="BK4248" s="1821"/>
      <c r="BL4248" s="1821"/>
      <c r="BM4248" s="1821"/>
      <c r="BN4248" s="1821"/>
      <c r="BO4248" s="1821"/>
      <c r="BP4248" s="1821"/>
      <c r="BQ4248" s="1821"/>
      <c r="BR4248" s="1821"/>
      <c r="BS4248" s="1821"/>
      <c r="BT4248" s="1821"/>
      <c r="BU4248" s="1821"/>
      <c r="BV4248" s="1821"/>
      <c r="BW4248" s="1821"/>
      <c r="BX4248" s="1821"/>
      <c r="BY4248" s="1821"/>
      <c r="BZ4248" s="1821"/>
      <c r="CA4248" s="1821"/>
      <c r="CB4248" s="1821"/>
      <c r="CC4248" s="1821"/>
      <c r="CD4248" s="1821"/>
      <c r="CE4248" s="1821"/>
      <c r="CF4248" s="1821"/>
      <c r="CG4248" s="1821"/>
      <c r="CH4248" s="1821"/>
      <c r="CI4248" s="1821"/>
      <c r="CJ4248" s="1821"/>
      <c r="CK4248" s="1821"/>
    </row>
    <row r="4249" spans="1:89" s="744" customFormat="1" ht="16.5" hidden="1" customHeight="1" x14ac:dyDescent="0.25">
      <c r="A4249" s="1033"/>
      <c r="B4249" s="709" t="s">
        <v>52</v>
      </c>
      <c r="C4249" s="827">
        <v>462</v>
      </c>
      <c r="D4249" s="961" t="s">
        <v>55</v>
      </c>
      <c r="E4249" s="758">
        <v>496</v>
      </c>
      <c r="F4249" s="714"/>
      <c r="G4249" s="714"/>
      <c r="H4249" s="700">
        <f>G4249+F4249</f>
        <v>0</v>
      </c>
      <c r="I4249" s="714"/>
      <c r="J4249" s="714">
        <f t="shared" si="483"/>
        <v>229152</v>
      </c>
      <c r="K4249" s="700">
        <f t="shared" si="480"/>
        <v>229152</v>
      </c>
      <c r="L4249" s="714"/>
      <c r="M4249" s="714"/>
      <c r="N4249" s="700">
        <f t="shared" si="486"/>
        <v>0</v>
      </c>
      <c r="O4249" s="974">
        <f>N4249+K4249+H4249</f>
        <v>229152</v>
      </c>
      <c r="P4249" s="956"/>
      <c r="Q4249" s="1821"/>
      <c r="R4249" s="1821"/>
      <c r="S4249" s="1821"/>
      <c r="T4249" s="1821"/>
      <c r="U4249" s="1821"/>
      <c r="V4249" s="1821"/>
      <c r="W4249" s="1821"/>
      <c r="X4249" s="1821"/>
      <c r="Y4249" s="1821"/>
      <c r="Z4249" s="1821"/>
      <c r="AA4249" s="1821"/>
      <c r="AB4249" s="1821"/>
      <c r="AC4249" s="1821"/>
      <c r="AD4249" s="1821"/>
      <c r="AE4249" s="1821"/>
      <c r="AF4249" s="1821"/>
      <c r="AG4249" s="1821"/>
      <c r="AH4249" s="1821"/>
      <c r="AI4249" s="1821"/>
      <c r="AJ4249" s="1821"/>
      <c r="AK4249" s="1821"/>
      <c r="AL4249" s="1821"/>
      <c r="AM4249" s="1821"/>
      <c r="AN4249" s="1821"/>
      <c r="AO4249" s="1821"/>
      <c r="AP4249" s="1821"/>
      <c r="AQ4249" s="1821"/>
      <c r="AR4249" s="1821"/>
      <c r="AS4249" s="1821"/>
      <c r="AT4249" s="1821"/>
      <c r="AU4249" s="1821"/>
      <c r="AV4249" s="1821"/>
      <c r="AW4249" s="1821"/>
      <c r="AX4249" s="1821"/>
      <c r="AY4249" s="1821"/>
      <c r="AZ4249" s="1821"/>
      <c r="BA4249" s="1821"/>
      <c r="BB4249" s="1821"/>
      <c r="BC4249" s="1821"/>
      <c r="BD4249" s="1821"/>
      <c r="BE4249" s="1821"/>
      <c r="BF4249" s="1821"/>
      <c r="BG4249" s="1821"/>
      <c r="BH4249" s="1821"/>
      <c r="BI4249" s="1821"/>
      <c r="BJ4249" s="1821"/>
      <c r="BK4249" s="1821"/>
      <c r="BL4249" s="1821"/>
      <c r="BM4249" s="1821"/>
      <c r="BN4249" s="1821"/>
      <c r="BO4249" s="1821"/>
      <c r="BP4249" s="1821"/>
      <c r="BQ4249" s="1821"/>
      <c r="BR4249" s="1821"/>
      <c r="BS4249" s="1821"/>
      <c r="BT4249" s="1821"/>
      <c r="BU4249" s="1821"/>
      <c r="BV4249" s="1821"/>
      <c r="BW4249" s="1821"/>
      <c r="BX4249" s="1821"/>
      <c r="BY4249" s="1821"/>
      <c r="BZ4249" s="1821"/>
      <c r="CA4249" s="1821"/>
      <c r="CB4249" s="1821"/>
      <c r="CC4249" s="1821"/>
      <c r="CD4249" s="1821"/>
      <c r="CE4249" s="1821"/>
      <c r="CF4249" s="1821"/>
      <c r="CG4249" s="1821"/>
      <c r="CH4249" s="1821"/>
      <c r="CI4249" s="1821"/>
      <c r="CJ4249" s="1821"/>
      <c r="CK4249" s="1821"/>
    </row>
    <row r="4250" spans="1:89" s="744" customFormat="1" ht="16.5" hidden="1" customHeight="1" x14ac:dyDescent="0.25">
      <c r="A4250" s="1033"/>
      <c r="B4250" s="709" t="s">
        <v>1372</v>
      </c>
      <c r="C4250" s="827">
        <v>462</v>
      </c>
      <c r="D4250" s="961" t="s">
        <v>51</v>
      </c>
      <c r="E4250" s="758">
        <v>305</v>
      </c>
      <c r="F4250" s="714"/>
      <c r="G4250" s="714"/>
      <c r="H4250" s="700">
        <f>G4250+F4250</f>
        <v>0</v>
      </c>
      <c r="I4250" s="714"/>
      <c r="J4250" s="714">
        <f t="shared" si="483"/>
        <v>140910</v>
      </c>
      <c r="K4250" s="700">
        <f>J4250+I4250</f>
        <v>140910</v>
      </c>
      <c r="L4250" s="714"/>
      <c r="M4250" s="714"/>
      <c r="N4250" s="700">
        <f t="shared" si="486"/>
        <v>0</v>
      </c>
      <c r="O4250" s="974">
        <f>N4250+K4250+H4250</f>
        <v>140910</v>
      </c>
      <c r="P4250" s="956"/>
      <c r="Q4250" s="1821"/>
      <c r="R4250" s="1821"/>
      <c r="S4250" s="1821"/>
      <c r="T4250" s="1821"/>
      <c r="U4250" s="1821"/>
      <c r="V4250" s="1821"/>
      <c r="W4250" s="1821"/>
      <c r="X4250" s="1821"/>
      <c r="Y4250" s="1821"/>
      <c r="Z4250" s="1821"/>
      <c r="AA4250" s="1821"/>
      <c r="AB4250" s="1821"/>
      <c r="AC4250" s="1821"/>
      <c r="AD4250" s="1821"/>
      <c r="AE4250" s="1821"/>
      <c r="AF4250" s="1821"/>
      <c r="AG4250" s="1821"/>
      <c r="AH4250" s="1821"/>
      <c r="AI4250" s="1821"/>
      <c r="AJ4250" s="1821"/>
      <c r="AK4250" s="1821"/>
      <c r="AL4250" s="1821"/>
      <c r="AM4250" s="1821"/>
      <c r="AN4250" s="1821"/>
      <c r="AO4250" s="1821"/>
      <c r="AP4250" s="1821"/>
      <c r="AQ4250" s="1821"/>
      <c r="AR4250" s="1821"/>
      <c r="AS4250" s="1821"/>
      <c r="AT4250" s="1821"/>
      <c r="AU4250" s="1821"/>
      <c r="AV4250" s="1821"/>
      <c r="AW4250" s="1821"/>
      <c r="AX4250" s="1821"/>
      <c r="AY4250" s="1821"/>
      <c r="AZ4250" s="1821"/>
      <c r="BA4250" s="1821"/>
      <c r="BB4250" s="1821"/>
      <c r="BC4250" s="1821"/>
      <c r="BD4250" s="1821"/>
      <c r="BE4250" s="1821"/>
      <c r="BF4250" s="1821"/>
      <c r="BG4250" s="1821"/>
      <c r="BH4250" s="1821"/>
      <c r="BI4250" s="1821"/>
      <c r="BJ4250" s="1821"/>
      <c r="BK4250" s="1821"/>
      <c r="BL4250" s="1821"/>
      <c r="BM4250" s="1821"/>
      <c r="BN4250" s="1821"/>
      <c r="BO4250" s="1821"/>
      <c r="BP4250" s="1821"/>
      <c r="BQ4250" s="1821"/>
      <c r="BR4250" s="1821"/>
      <c r="BS4250" s="1821"/>
      <c r="BT4250" s="1821"/>
      <c r="BU4250" s="1821"/>
      <c r="BV4250" s="1821"/>
      <c r="BW4250" s="1821"/>
      <c r="BX4250" s="1821"/>
      <c r="BY4250" s="1821"/>
      <c r="BZ4250" s="1821"/>
      <c r="CA4250" s="1821"/>
      <c r="CB4250" s="1821"/>
      <c r="CC4250" s="1821"/>
      <c r="CD4250" s="1821"/>
      <c r="CE4250" s="1821"/>
      <c r="CF4250" s="1821"/>
      <c r="CG4250" s="1821"/>
      <c r="CH4250" s="1821"/>
      <c r="CI4250" s="1821"/>
      <c r="CJ4250" s="1821"/>
      <c r="CK4250" s="1821"/>
    </row>
    <row r="4251" spans="1:89" s="744" customFormat="1" ht="16.5" hidden="1" customHeight="1" x14ac:dyDescent="0.25">
      <c r="A4251" s="1033"/>
      <c r="B4251" s="709"/>
      <c r="C4251" s="827"/>
      <c r="D4251" s="961"/>
      <c r="E4251" s="758"/>
      <c r="F4251" s="714"/>
      <c r="G4251" s="714"/>
      <c r="H4251" s="700"/>
      <c r="I4251" s="714"/>
      <c r="J4251" s="714">
        <f t="shared" si="483"/>
        <v>0</v>
      </c>
      <c r="K4251" s="700"/>
      <c r="L4251" s="714"/>
      <c r="M4251" s="714"/>
      <c r="N4251" s="700"/>
      <c r="O4251" s="974"/>
      <c r="P4251" s="956"/>
      <c r="Q4251" s="1821"/>
      <c r="R4251" s="1821"/>
      <c r="S4251" s="1821"/>
      <c r="T4251" s="1821"/>
      <c r="U4251" s="1821"/>
      <c r="V4251" s="1821"/>
      <c r="W4251" s="1821"/>
      <c r="X4251" s="1821"/>
      <c r="Y4251" s="1821"/>
      <c r="Z4251" s="1821"/>
      <c r="AA4251" s="1821"/>
      <c r="AB4251" s="1821"/>
      <c r="AC4251" s="1821"/>
      <c r="AD4251" s="1821"/>
      <c r="AE4251" s="1821"/>
      <c r="AF4251" s="1821"/>
      <c r="AG4251" s="1821"/>
      <c r="AH4251" s="1821"/>
      <c r="AI4251" s="1821"/>
      <c r="AJ4251" s="1821"/>
      <c r="AK4251" s="1821"/>
      <c r="AL4251" s="1821"/>
      <c r="AM4251" s="1821"/>
      <c r="AN4251" s="1821"/>
      <c r="AO4251" s="1821"/>
      <c r="AP4251" s="1821"/>
      <c r="AQ4251" s="1821"/>
      <c r="AR4251" s="1821"/>
      <c r="AS4251" s="1821"/>
      <c r="AT4251" s="1821"/>
      <c r="AU4251" s="1821"/>
      <c r="AV4251" s="1821"/>
      <c r="AW4251" s="1821"/>
      <c r="AX4251" s="1821"/>
      <c r="AY4251" s="1821"/>
      <c r="AZ4251" s="1821"/>
      <c r="BA4251" s="1821"/>
      <c r="BB4251" s="1821"/>
      <c r="BC4251" s="1821"/>
      <c r="BD4251" s="1821"/>
      <c r="BE4251" s="1821"/>
      <c r="BF4251" s="1821"/>
      <c r="BG4251" s="1821"/>
      <c r="BH4251" s="1821"/>
      <c r="BI4251" s="1821"/>
      <c r="BJ4251" s="1821"/>
      <c r="BK4251" s="1821"/>
      <c r="BL4251" s="1821"/>
      <c r="BM4251" s="1821"/>
      <c r="BN4251" s="1821"/>
      <c r="BO4251" s="1821"/>
      <c r="BP4251" s="1821"/>
      <c r="BQ4251" s="1821"/>
      <c r="BR4251" s="1821"/>
      <c r="BS4251" s="1821"/>
      <c r="BT4251" s="1821"/>
      <c r="BU4251" s="1821"/>
      <c r="BV4251" s="1821"/>
      <c r="BW4251" s="1821"/>
      <c r="BX4251" s="1821"/>
      <c r="BY4251" s="1821"/>
      <c r="BZ4251" s="1821"/>
      <c r="CA4251" s="1821"/>
      <c r="CB4251" s="1821"/>
      <c r="CC4251" s="1821"/>
      <c r="CD4251" s="1821"/>
      <c r="CE4251" s="1821"/>
      <c r="CF4251" s="1821"/>
      <c r="CG4251" s="1821"/>
      <c r="CH4251" s="1821"/>
      <c r="CI4251" s="1821"/>
      <c r="CJ4251" s="1821"/>
      <c r="CK4251" s="1821"/>
    </row>
    <row r="4252" spans="1:89" s="744" customFormat="1" ht="16.5" hidden="1" customHeight="1" x14ac:dyDescent="0.25">
      <c r="A4252" s="1033">
        <v>16</v>
      </c>
      <c r="B4252" s="709" t="s">
        <v>1090</v>
      </c>
      <c r="C4252" s="827"/>
      <c r="D4252" s="961"/>
      <c r="E4252" s="758"/>
      <c r="F4252" s="714"/>
      <c r="G4252" s="714"/>
      <c r="H4252" s="700"/>
      <c r="I4252" s="714"/>
      <c r="J4252" s="714">
        <f t="shared" si="483"/>
        <v>0</v>
      </c>
      <c r="K4252" s="700"/>
      <c r="L4252" s="714"/>
      <c r="M4252" s="714"/>
      <c r="N4252" s="700"/>
      <c r="O4252" s="974"/>
      <c r="P4252" s="956"/>
      <c r="Q4252" s="1821"/>
      <c r="R4252" s="1821"/>
      <c r="S4252" s="1821"/>
      <c r="T4252" s="1821"/>
      <c r="U4252" s="1821"/>
      <c r="V4252" s="1821"/>
      <c r="W4252" s="1821"/>
      <c r="X4252" s="1821"/>
      <c r="Y4252" s="1821"/>
      <c r="Z4252" s="1821"/>
      <c r="AA4252" s="1821"/>
      <c r="AB4252" s="1821"/>
      <c r="AC4252" s="1821"/>
      <c r="AD4252" s="1821"/>
      <c r="AE4252" s="1821"/>
      <c r="AF4252" s="1821"/>
      <c r="AG4252" s="1821"/>
      <c r="AH4252" s="1821"/>
      <c r="AI4252" s="1821"/>
      <c r="AJ4252" s="1821"/>
      <c r="AK4252" s="1821"/>
      <c r="AL4252" s="1821"/>
      <c r="AM4252" s="1821"/>
      <c r="AN4252" s="1821"/>
      <c r="AO4252" s="1821"/>
      <c r="AP4252" s="1821"/>
      <c r="AQ4252" s="1821"/>
      <c r="AR4252" s="1821"/>
      <c r="AS4252" s="1821"/>
      <c r="AT4252" s="1821"/>
      <c r="AU4252" s="1821"/>
      <c r="AV4252" s="1821"/>
      <c r="AW4252" s="1821"/>
      <c r="AX4252" s="1821"/>
      <c r="AY4252" s="1821"/>
      <c r="AZ4252" s="1821"/>
      <c r="BA4252" s="1821"/>
      <c r="BB4252" s="1821"/>
      <c r="BC4252" s="1821"/>
      <c r="BD4252" s="1821"/>
      <c r="BE4252" s="1821"/>
      <c r="BF4252" s="1821"/>
      <c r="BG4252" s="1821"/>
      <c r="BH4252" s="1821"/>
      <c r="BI4252" s="1821"/>
      <c r="BJ4252" s="1821"/>
      <c r="BK4252" s="1821"/>
      <c r="BL4252" s="1821"/>
      <c r="BM4252" s="1821"/>
      <c r="BN4252" s="1821"/>
      <c r="BO4252" s="1821"/>
      <c r="BP4252" s="1821"/>
      <c r="BQ4252" s="1821"/>
      <c r="BR4252" s="1821"/>
      <c r="BS4252" s="1821"/>
      <c r="BT4252" s="1821"/>
      <c r="BU4252" s="1821"/>
      <c r="BV4252" s="1821"/>
      <c r="BW4252" s="1821"/>
      <c r="BX4252" s="1821"/>
      <c r="BY4252" s="1821"/>
      <c r="BZ4252" s="1821"/>
      <c r="CA4252" s="1821"/>
      <c r="CB4252" s="1821"/>
      <c r="CC4252" s="1821"/>
      <c r="CD4252" s="1821"/>
      <c r="CE4252" s="1821"/>
      <c r="CF4252" s="1821"/>
      <c r="CG4252" s="1821"/>
      <c r="CH4252" s="1821"/>
      <c r="CI4252" s="1821"/>
      <c r="CJ4252" s="1821"/>
      <c r="CK4252" s="1821"/>
    </row>
    <row r="4253" spans="1:89" s="744" customFormat="1" ht="16.5" hidden="1" customHeight="1" x14ac:dyDescent="0.25">
      <c r="A4253" s="1033" t="s">
        <v>49</v>
      </c>
      <c r="B4253" s="709" t="s">
        <v>278</v>
      </c>
      <c r="C4253" s="827"/>
      <c r="D4253" s="961"/>
      <c r="E4253" s="758"/>
      <c r="F4253" s="714"/>
      <c r="G4253" s="714"/>
      <c r="H4253" s="700"/>
      <c r="I4253" s="714"/>
      <c r="J4253" s="714">
        <f t="shared" si="483"/>
        <v>0</v>
      </c>
      <c r="K4253" s="700"/>
      <c r="L4253" s="714"/>
      <c r="M4253" s="714"/>
      <c r="N4253" s="700"/>
      <c r="O4253" s="974"/>
      <c r="P4253" s="956"/>
      <c r="Q4253" s="1821"/>
      <c r="R4253" s="1821"/>
      <c r="S4253" s="1821"/>
      <c r="T4253" s="1821"/>
      <c r="U4253" s="1821"/>
      <c r="V4253" s="1821"/>
      <c r="W4253" s="1821"/>
      <c r="X4253" s="1821"/>
      <c r="Y4253" s="1821"/>
      <c r="Z4253" s="1821"/>
      <c r="AA4253" s="1821"/>
      <c r="AB4253" s="1821"/>
      <c r="AC4253" s="1821"/>
      <c r="AD4253" s="1821"/>
      <c r="AE4253" s="1821"/>
      <c r="AF4253" s="1821"/>
      <c r="AG4253" s="1821"/>
      <c r="AH4253" s="1821"/>
      <c r="AI4253" s="1821"/>
      <c r="AJ4253" s="1821"/>
      <c r="AK4253" s="1821"/>
      <c r="AL4253" s="1821"/>
      <c r="AM4253" s="1821"/>
      <c r="AN4253" s="1821"/>
      <c r="AO4253" s="1821"/>
      <c r="AP4253" s="1821"/>
      <c r="AQ4253" s="1821"/>
      <c r="AR4253" s="1821"/>
      <c r="AS4253" s="1821"/>
      <c r="AT4253" s="1821"/>
      <c r="AU4253" s="1821"/>
      <c r="AV4253" s="1821"/>
      <c r="AW4253" s="1821"/>
      <c r="AX4253" s="1821"/>
      <c r="AY4253" s="1821"/>
      <c r="AZ4253" s="1821"/>
      <c r="BA4253" s="1821"/>
      <c r="BB4253" s="1821"/>
      <c r="BC4253" s="1821"/>
      <c r="BD4253" s="1821"/>
      <c r="BE4253" s="1821"/>
      <c r="BF4253" s="1821"/>
      <c r="BG4253" s="1821"/>
      <c r="BH4253" s="1821"/>
      <c r="BI4253" s="1821"/>
      <c r="BJ4253" s="1821"/>
      <c r="BK4253" s="1821"/>
      <c r="BL4253" s="1821"/>
      <c r="BM4253" s="1821"/>
      <c r="BN4253" s="1821"/>
      <c r="BO4253" s="1821"/>
      <c r="BP4253" s="1821"/>
      <c r="BQ4253" s="1821"/>
      <c r="BR4253" s="1821"/>
      <c r="BS4253" s="1821"/>
      <c r="BT4253" s="1821"/>
      <c r="BU4253" s="1821"/>
      <c r="BV4253" s="1821"/>
      <c r="BW4253" s="1821"/>
      <c r="BX4253" s="1821"/>
      <c r="BY4253" s="1821"/>
      <c r="BZ4253" s="1821"/>
      <c r="CA4253" s="1821"/>
      <c r="CB4253" s="1821"/>
      <c r="CC4253" s="1821"/>
      <c r="CD4253" s="1821"/>
      <c r="CE4253" s="1821"/>
      <c r="CF4253" s="1821"/>
      <c r="CG4253" s="1821"/>
      <c r="CH4253" s="1821"/>
      <c r="CI4253" s="1821"/>
      <c r="CJ4253" s="1821"/>
      <c r="CK4253" s="1821"/>
    </row>
    <row r="4254" spans="1:89" s="744" customFormat="1" ht="16.5" hidden="1" customHeight="1" x14ac:dyDescent="0.25">
      <c r="A4254" s="1033"/>
      <c r="B4254" s="709" t="s">
        <v>365</v>
      </c>
      <c r="C4254" s="827">
        <v>1</v>
      </c>
      <c r="D4254" s="961" t="s">
        <v>25</v>
      </c>
      <c r="E4254" s="758">
        <v>60000</v>
      </c>
      <c r="F4254" s="714"/>
      <c r="G4254" s="714"/>
      <c r="H4254" s="700">
        <f>G4254+F4254</f>
        <v>0</v>
      </c>
      <c r="I4254" s="714"/>
      <c r="J4254" s="714">
        <f t="shared" si="483"/>
        <v>60000</v>
      </c>
      <c r="K4254" s="700">
        <f>J4254+I4254</f>
        <v>60000</v>
      </c>
      <c r="L4254" s="714"/>
      <c r="M4254" s="714"/>
      <c r="N4254" s="700">
        <f>M4254+L4254</f>
        <v>0</v>
      </c>
      <c r="O4254" s="974">
        <f>N4254+K4254+H4254</f>
        <v>60000</v>
      </c>
      <c r="P4254" s="956"/>
      <c r="Q4254" s="1821"/>
      <c r="R4254" s="1821"/>
      <c r="S4254" s="1821"/>
      <c r="T4254" s="1821"/>
      <c r="U4254" s="1821"/>
      <c r="V4254" s="1821"/>
      <c r="W4254" s="1821"/>
      <c r="X4254" s="1821"/>
      <c r="Y4254" s="1821"/>
      <c r="Z4254" s="1821"/>
      <c r="AA4254" s="1821"/>
      <c r="AB4254" s="1821"/>
      <c r="AC4254" s="1821"/>
      <c r="AD4254" s="1821"/>
      <c r="AE4254" s="1821"/>
      <c r="AF4254" s="1821"/>
      <c r="AG4254" s="1821"/>
      <c r="AH4254" s="1821"/>
      <c r="AI4254" s="1821"/>
      <c r="AJ4254" s="1821"/>
      <c r="AK4254" s="1821"/>
      <c r="AL4254" s="1821"/>
      <c r="AM4254" s="1821"/>
      <c r="AN4254" s="1821"/>
      <c r="AO4254" s="1821"/>
      <c r="AP4254" s="1821"/>
      <c r="AQ4254" s="1821"/>
      <c r="AR4254" s="1821"/>
      <c r="AS4254" s="1821"/>
      <c r="AT4254" s="1821"/>
      <c r="AU4254" s="1821"/>
      <c r="AV4254" s="1821"/>
      <c r="AW4254" s="1821"/>
      <c r="AX4254" s="1821"/>
      <c r="AY4254" s="1821"/>
      <c r="AZ4254" s="1821"/>
      <c r="BA4254" s="1821"/>
      <c r="BB4254" s="1821"/>
      <c r="BC4254" s="1821"/>
      <c r="BD4254" s="1821"/>
      <c r="BE4254" s="1821"/>
      <c r="BF4254" s="1821"/>
      <c r="BG4254" s="1821"/>
      <c r="BH4254" s="1821"/>
      <c r="BI4254" s="1821"/>
      <c r="BJ4254" s="1821"/>
      <c r="BK4254" s="1821"/>
      <c r="BL4254" s="1821"/>
      <c r="BM4254" s="1821"/>
      <c r="BN4254" s="1821"/>
      <c r="BO4254" s="1821"/>
      <c r="BP4254" s="1821"/>
      <c r="BQ4254" s="1821"/>
      <c r="BR4254" s="1821"/>
      <c r="BS4254" s="1821"/>
      <c r="BT4254" s="1821"/>
      <c r="BU4254" s="1821"/>
      <c r="BV4254" s="1821"/>
      <c r="BW4254" s="1821"/>
      <c r="BX4254" s="1821"/>
      <c r="BY4254" s="1821"/>
      <c r="BZ4254" s="1821"/>
      <c r="CA4254" s="1821"/>
      <c r="CB4254" s="1821"/>
      <c r="CC4254" s="1821"/>
      <c r="CD4254" s="1821"/>
      <c r="CE4254" s="1821"/>
      <c r="CF4254" s="1821"/>
      <c r="CG4254" s="1821"/>
      <c r="CH4254" s="1821"/>
      <c r="CI4254" s="1821"/>
      <c r="CJ4254" s="1821"/>
      <c r="CK4254" s="1821"/>
    </row>
    <row r="4255" spans="1:89" s="744" customFormat="1" ht="16.5" hidden="1" customHeight="1" x14ac:dyDescent="0.25">
      <c r="A4255" s="1033"/>
      <c r="B4255" s="709" t="s">
        <v>429</v>
      </c>
      <c r="C4255" s="827"/>
      <c r="D4255" s="961"/>
      <c r="E4255" s="758"/>
      <c r="F4255" s="714"/>
      <c r="G4255" s="714"/>
      <c r="H4255" s="700"/>
      <c r="I4255" s="714"/>
      <c r="J4255" s="714">
        <f t="shared" si="483"/>
        <v>0</v>
      </c>
      <c r="K4255" s="700"/>
      <c r="L4255" s="714"/>
      <c r="M4255" s="714"/>
      <c r="N4255" s="700"/>
      <c r="O4255" s="974"/>
      <c r="P4255" s="956"/>
      <c r="Q4255" s="1821"/>
      <c r="R4255" s="1821"/>
      <c r="S4255" s="1821"/>
      <c r="T4255" s="1821"/>
      <c r="U4255" s="1821"/>
      <c r="V4255" s="1821"/>
      <c r="W4255" s="1821"/>
      <c r="X4255" s="1821"/>
      <c r="Y4255" s="1821"/>
      <c r="Z4255" s="1821"/>
      <c r="AA4255" s="1821"/>
      <c r="AB4255" s="1821"/>
      <c r="AC4255" s="1821"/>
      <c r="AD4255" s="1821"/>
      <c r="AE4255" s="1821"/>
      <c r="AF4255" s="1821"/>
      <c r="AG4255" s="1821"/>
      <c r="AH4255" s="1821"/>
      <c r="AI4255" s="1821"/>
      <c r="AJ4255" s="1821"/>
      <c r="AK4255" s="1821"/>
      <c r="AL4255" s="1821"/>
      <c r="AM4255" s="1821"/>
      <c r="AN4255" s="1821"/>
      <c r="AO4255" s="1821"/>
      <c r="AP4255" s="1821"/>
      <c r="AQ4255" s="1821"/>
      <c r="AR4255" s="1821"/>
      <c r="AS4255" s="1821"/>
      <c r="AT4255" s="1821"/>
      <c r="AU4255" s="1821"/>
      <c r="AV4255" s="1821"/>
      <c r="AW4255" s="1821"/>
      <c r="AX4255" s="1821"/>
      <c r="AY4255" s="1821"/>
      <c r="AZ4255" s="1821"/>
      <c r="BA4255" s="1821"/>
      <c r="BB4255" s="1821"/>
      <c r="BC4255" s="1821"/>
      <c r="BD4255" s="1821"/>
      <c r="BE4255" s="1821"/>
      <c r="BF4255" s="1821"/>
      <c r="BG4255" s="1821"/>
      <c r="BH4255" s="1821"/>
      <c r="BI4255" s="1821"/>
      <c r="BJ4255" s="1821"/>
      <c r="BK4255" s="1821"/>
      <c r="BL4255" s="1821"/>
      <c r="BM4255" s="1821"/>
      <c r="BN4255" s="1821"/>
      <c r="BO4255" s="1821"/>
      <c r="BP4255" s="1821"/>
      <c r="BQ4255" s="1821"/>
      <c r="BR4255" s="1821"/>
      <c r="BS4255" s="1821"/>
      <c r="BT4255" s="1821"/>
      <c r="BU4255" s="1821"/>
      <c r="BV4255" s="1821"/>
      <c r="BW4255" s="1821"/>
      <c r="BX4255" s="1821"/>
      <c r="BY4255" s="1821"/>
      <c r="BZ4255" s="1821"/>
      <c r="CA4255" s="1821"/>
      <c r="CB4255" s="1821"/>
      <c r="CC4255" s="1821"/>
      <c r="CD4255" s="1821"/>
      <c r="CE4255" s="1821"/>
      <c r="CF4255" s="1821"/>
      <c r="CG4255" s="1821"/>
      <c r="CH4255" s="1821"/>
      <c r="CI4255" s="1821"/>
      <c r="CJ4255" s="1821"/>
      <c r="CK4255" s="1821"/>
    </row>
    <row r="4256" spans="1:89" s="744" customFormat="1" ht="16.5" hidden="1" customHeight="1" x14ac:dyDescent="0.25">
      <c r="A4256" s="1033"/>
      <c r="B4256" s="709" t="s">
        <v>359</v>
      </c>
      <c r="C4256" s="827">
        <v>66</v>
      </c>
      <c r="D4256" s="961" t="s">
        <v>51</v>
      </c>
      <c r="E4256" s="758">
        <v>3735</v>
      </c>
      <c r="F4256" s="714"/>
      <c r="G4256" s="714"/>
      <c r="H4256" s="700">
        <f>G4256+F4256</f>
        <v>0</v>
      </c>
      <c r="I4256" s="714"/>
      <c r="J4256" s="714">
        <f t="shared" si="483"/>
        <v>246510</v>
      </c>
      <c r="K4256" s="700">
        <f>J4256+I4256</f>
        <v>246510</v>
      </c>
      <c r="L4256" s="714"/>
      <c r="M4256" s="714"/>
      <c r="N4256" s="700">
        <f>M4256+L4256</f>
        <v>0</v>
      </c>
      <c r="O4256" s="974">
        <f>N4256+K4256+H4256</f>
        <v>246510</v>
      </c>
      <c r="P4256" s="956"/>
      <c r="Q4256" s="1821"/>
      <c r="R4256" s="1821"/>
      <c r="S4256" s="1821"/>
      <c r="T4256" s="1821"/>
      <c r="U4256" s="1821"/>
      <c r="V4256" s="1821"/>
      <c r="W4256" s="1821"/>
      <c r="X4256" s="1821"/>
      <c r="Y4256" s="1821"/>
      <c r="Z4256" s="1821"/>
      <c r="AA4256" s="1821"/>
      <c r="AB4256" s="1821"/>
      <c r="AC4256" s="1821"/>
      <c r="AD4256" s="1821"/>
      <c r="AE4256" s="1821"/>
      <c r="AF4256" s="1821"/>
      <c r="AG4256" s="1821"/>
      <c r="AH4256" s="1821"/>
      <c r="AI4256" s="1821"/>
      <c r="AJ4256" s="1821"/>
      <c r="AK4256" s="1821"/>
      <c r="AL4256" s="1821"/>
      <c r="AM4256" s="1821"/>
      <c r="AN4256" s="1821"/>
      <c r="AO4256" s="1821"/>
      <c r="AP4256" s="1821"/>
      <c r="AQ4256" s="1821"/>
      <c r="AR4256" s="1821"/>
      <c r="AS4256" s="1821"/>
      <c r="AT4256" s="1821"/>
      <c r="AU4256" s="1821"/>
      <c r="AV4256" s="1821"/>
      <c r="AW4256" s="1821"/>
      <c r="AX4256" s="1821"/>
      <c r="AY4256" s="1821"/>
      <c r="AZ4256" s="1821"/>
      <c r="BA4256" s="1821"/>
      <c r="BB4256" s="1821"/>
      <c r="BC4256" s="1821"/>
      <c r="BD4256" s="1821"/>
      <c r="BE4256" s="1821"/>
      <c r="BF4256" s="1821"/>
      <c r="BG4256" s="1821"/>
      <c r="BH4256" s="1821"/>
      <c r="BI4256" s="1821"/>
      <c r="BJ4256" s="1821"/>
      <c r="BK4256" s="1821"/>
      <c r="BL4256" s="1821"/>
      <c r="BM4256" s="1821"/>
      <c r="BN4256" s="1821"/>
      <c r="BO4256" s="1821"/>
      <c r="BP4256" s="1821"/>
      <c r="BQ4256" s="1821"/>
      <c r="BR4256" s="1821"/>
      <c r="BS4256" s="1821"/>
      <c r="BT4256" s="1821"/>
      <c r="BU4256" s="1821"/>
      <c r="BV4256" s="1821"/>
      <c r="BW4256" s="1821"/>
      <c r="BX4256" s="1821"/>
      <c r="BY4256" s="1821"/>
      <c r="BZ4256" s="1821"/>
      <c r="CA4256" s="1821"/>
      <c r="CB4256" s="1821"/>
      <c r="CC4256" s="1821"/>
      <c r="CD4256" s="1821"/>
      <c r="CE4256" s="1821"/>
      <c r="CF4256" s="1821"/>
      <c r="CG4256" s="1821"/>
      <c r="CH4256" s="1821"/>
      <c r="CI4256" s="1821"/>
      <c r="CJ4256" s="1821"/>
      <c r="CK4256" s="1821"/>
    </row>
    <row r="4257" spans="1:89" s="744" customFormat="1" ht="16.5" hidden="1" customHeight="1" x14ac:dyDescent="0.25">
      <c r="A4257" s="1033"/>
      <c r="B4257" s="709" t="s">
        <v>54</v>
      </c>
      <c r="C4257" s="827">
        <v>198</v>
      </c>
      <c r="D4257" s="961" t="s">
        <v>55</v>
      </c>
      <c r="E4257" s="758">
        <v>403</v>
      </c>
      <c r="F4257" s="714"/>
      <c r="G4257" s="714"/>
      <c r="H4257" s="700">
        <f>G4257+F4257</f>
        <v>0</v>
      </c>
      <c r="I4257" s="714"/>
      <c r="J4257" s="714">
        <f t="shared" si="483"/>
        <v>79794</v>
      </c>
      <c r="K4257" s="700">
        <f>J4257+I4257</f>
        <v>79794</v>
      </c>
      <c r="L4257" s="714"/>
      <c r="M4257" s="714"/>
      <c r="N4257" s="700">
        <f>M4257+L4257</f>
        <v>0</v>
      </c>
      <c r="O4257" s="974">
        <f>N4257+K4257+H4257</f>
        <v>79794</v>
      </c>
      <c r="P4257" s="956"/>
      <c r="Q4257" s="1821"/>
      <c r="R4257" s="1821"/>
      <c r="S4257" s="1821"/>
      <c r="T4257" s="1821"/>
      <c r="U4257" s="1821"/>
      <c r="V4257" s="1821"/>
      <c r="W4257" s="1821"/>
      <c r="X4257" s="1821"/>
      <c r="Y4257" s="1821"/>
      <c r="Z4257" s="1821"/>
      <c r="AA4257" s="1821"/>
      <c r="AB4257" s="1821"/>
      <c r="AC4257" s="1821"/>
      <c r="AD4257" s="1821"/>
      <c r="AE4257" s="1821"/>
      <c r="AF4257" s="1821"/>
      <c r="AG4257" s="1821"/>
      <c r="AH4257" s="1821"/>
      <c r="AI4257" s="1821"/>
      <c r="AJ4257" s="1821"/>
      <c r="AK4257" s="1821"/>
      <c r="AL4257" s="1821"/>
      <c r="AM4257" s="1821"/>
      <c r="AN4257" s="1821"/>
      <c r="AO4257" s="1821"/>
      <c r="AP4257" s="1821"/>
      <c r="AQ4257" s="1821"/>
      <c r="AR4257" s="1821"/>
      <c r="AS4257" s="1821"/>
      <c r="AT4257" s="1821"/>
      <c r="AU4257" s="1821"/>
      <c r="AV4257" s="1821"/>
      <c r="AW4257" s="1821"/>
      <c r="AX4257" s="1821"/>
      <c r="AY4257" s="1821"/>
      <c r="AZ4257" s="1821"/>
      <c r="BA4257" s="1821"/>
      <c r="BB4257" s="1821"/>
      <c r="BC4257" s="1821"/>
      <c r="BD4257" s="1821"/>
      <c r="BE4257" s="1821"/>
      <c r="BF4257" s="1821"/>
      <c r="BG4257" s="1821"/>
      <c r="BH4257" s="1821"/>
      <c r="BI4257" s="1821"/>
      <c r="BJ4257" s="1821"/>
      <c r="BK4257" s="1821"/>
      <c r="BL4257" s="1821"/>
      <c r="BM4257" s="1821"/>
      <c r="BN4257" s="1821"/>
      <c r="BO4257" s="1821"/>
      <c r="BP4257" s="1821"/>
      <c r="BQ4257" s="1821"/>
      <c r="BR4257" s="1821"/>
      <c r="BS4257" s="1821"/>
      <c r="BT4257" s="1821"/>
      <c r="BU4257" s="1821"/>
      <c r="BV4257" s="1821"/>
      <c r="BW4257" s="1821"/>
      <c r="BX4257" s="1821"/>
      <c r="BY4257" s="1821"/>
      <c r="BZ4257" s="1821"/>
      <c r="CA4257" s="1821"/>
      <c r="CB4257" s="1821"/>
      <c r="CC4257" s="1821"/>
      <c r="CD4257" s="1821"/>
      <c r="CE4257" s="1821"/>
      <c r="CF4257" s="1821"/>
      <c r="CG4257" s="1821"/>
      <c r="CH4257" s="1821"/>
      <c r="CI4257" s="1821"/>
      <c r="CJ4257" s="1821"/>
      <c r="CK4257" s="1821"/>
    </row>
    <row r="4258" spans="1:89" s="744" customFormat="1" ht="16.5" hidden="1" customHeight="1" x14ac:dyDescent="0.25">
      <c r="A4258" s="1033"/>
      <c r="B4258" s="709" t="s">
        <v>52</v>
      </c>
      <c r="C4258" s="827">
        <v>132</v>
      </c>
      <c r="D4258" s="961" t="s">
        <v>55</v>
      </c>
      <c r="E4258" s="758">
        <v>486</v>
      </c>
      <c r="F4258" s="714"/>
      <c r="G4258" s="714"/>
      <c r="H4258" s="700">
        <f>G4258+F4258</f>
        <v>0</v>
      </c>
      <c r="I4258" s="714"/>
      <c r="J4258" s="714">
        <f t="shared" si="483"/>
        <v>64152</v>
      </c>
      <c r="K4258" s="700">
        <f>J4258+I4258</f>
        <v>64152</v>
      </c>
      <c r="L4258" s="714"/>
      <c r="M4258" s="714"/>
      <c r="N4258" s="700">
        <f>M4258+L4258</f>
        <v>0</v>
      </c>
      <c r="O4258" s="974">
        <f>N4258+K4258+H4258</f>
        <v>64152</v>
      </c>
      <c r="P4258" s="956"/>
      <c r="Q4258" s="1821"/>
      <c r="R4258" s="1821"/>
      <c r="S4258" s="1821"/>
      <c r="T4258" s="1821"/>
      <c r="U4258" s="1821"/>
      <c r="V4258" s="1821"/>
      <c r="W4258" s="1821"/>
      <c r="X4258" s="1821"/>
      <c r="Y4258" s="1821"/>
      <c r="Z4258" s="1821"/>
      <c r="AA4258" s="1821"/>
      <c r="AB4258" s="1821"/>
      <c r="AC4258" s="1821"/>
      <c r="AD4258" s="1821"/>
      <c r="AE4258" s="1821"/>
      <c r="AF4258" s="1821"/>
      <c r="AG4258" s="1821"/>
      <c r="AH4258" s="1821"/>
      <c r="AI4258" s="1821"/>
      <c r="AJ4258" s="1821"/>
      <c r="AK4258" s="1821"/>
      <c r="AL4258" s="1821"/>
      <c r="AM4258" s="1821"/>
      <c r="AN4258" s="1821"/>
      <c r="AO4258" s="1821"/>
      <c r="AP4258" s="1821"/>
      <c r="AQ4258" s="1821"/>
      <c r="AR4258" s="1821"/>
      <c r="AS4258" s="1821"/>
      <c r="AT4258" s="1821"/>
      <c r="AU4258" s="1821"/>
      <c r="AV4258" s="1821"/>
      <c r="AW4258" s="1821"/>
      <c r="AX4258" s="1821"/>
      <c r="AY4258" s="1821"/>
      <c r="AZ4258" s="1821"/>
      <c r="BA4258" s="1821"/>
      <c r="BB4258" s="1821"/>
      <c r="BC4258" s="1821"/>
      <c r="BD4258" s="1821"/>
      <c r="BE4258" s="1821"/>
      <c r="BF4258" s="1821"/>
      <c r="BG4258" s="1821"/>
      <c r="BH4258" s="1821"/>
      <c r="BI4258" s="1821"/>
      <c r="BJ4258" s="1821"/>
      <c r="BK4258" s="1821"/>
      <c r="BL4258" s="1821"/>
      <c r="BM4258" s="1821"/>
      <c r="BN4258" s="1821"/>
      <c r="BO4258" s="1821"/>
      <c r="BP4258" s="1821"/>
      <c r="BQ4258" s="1821"/>
      <c r="BR4258" s="1821"/>
      <c r="BS4258" s="1821"/>
      <c r="BT4258" s="1821"/>
      <c r="BU4258" s="1821"/>
      <c r="BV4258" s="1821"/>
      <c r="BW4258" s="1821"/>
      <c r="BX4258" s="1821"/>
      <c r="BY4258" s="1821"/>
      <c r="BZ4258" s="1821"/>
      <c r="CA4258" s="1821"/>
      <c r="CB4258" s="1821"/>
      <c r="CC4258" s="1821"/>
      <c r="CD4258" s="1821"/>
      <c r="CE4258" s="1821"/>
      <c r="CF4258" s="1821"/>
      <c r="CG4258" s="1821"/>
      <c r="CH4258" s="1821"/>
      <c r="CI4258" s="1821"/>
      <c r="CJ4258" s="1821"/>
      <c r="CK4258" s="1821"/>
    </row>
    <row r="4259" spans="1:89" s="744" customFormat="1" ht="16.5" hidden="1" customHeight="1" x14ac:dyDescent="0.25">
      <c r="A4259" s="1033"/>
      <c r="B4259" s="709" t="s">
        <v>1372</v>
      </c>
      <c r="C4259" s="827">
        <v>132</v>
      </c>
      <c r="D4259" s="961" t="s">
        <v>51</v>
      </c>
      <c r="E4259" s="758">
        <v>307</v>
      </c>
      <c r="F4259" s="714"/>
      <c r="G4259" s="714"/>
      <c r="H4259" s="700"/>
      <c r="I4259" s="714"/>
      <c r="J4259" s="714">
        <f t="shared" si="483"/>
        <v>40524</v>
      </c>
      <c r="K4259" s="700">
        <f>J4259+I4259</f>
        <v>40524</v>
      </c>
      <c r="L4259" s="714"/>
      <c r="M4259" s="714"/>
      <c r="N4259" s="700"/>
      <c r="O4259" s="974">
        <f>N4259+K4259+H4259</f>
        <v>40524</v>
      </c>
      <c r="P4259" s="956"/>
      <c r="Q4259" s="1821"/>
      <c r="R4259" s="1821"/>
      <c r="S4259" s="1821"/>
      <c r="T4259" s="1821"/>
      <c r="U4259" s="1821"/>
      <c r="V4259" s="1821"/>
      <c r="W4259" s="1821"/>
      <c r="X4259" s="1821"/>
      <c r="Y4259" s="1821"/>
      <c r="Z4259" s="1821"/>
      <c r="AA4259" s="1821"/>
      <c r="AB4259" s="1821"/>
      <c r="AC4259" s="1821"/>
      <c r="AD4259" s="1821"/>
      <c r="AE4259" s="1821"/>
      <c r="AF4259" s="1821"/>
      <c r="AG4259" s="1821"/>
      <c r="AH4259" s="1821"/>
      <c r="AI4259" s="1821"/>
      <c r="AJ4259" s="1821"/>
      <c r="AK4259" s="1821"/>
      <c r="AL4259" s="1821"/>
      <c r="AM4259" s="1821"/>
      <c r="AN4259" s="1821"/>
      <c r="AO4259" s="1821"/>
      <c r="AP4259" s="1821"/>
      <c r="AQ4259" s="1821"/>
      <c r="AR4259" s="1821"/>
      <c r="AS4259" s="1821"/>
      <c r="AT4259" s="1821"/>
      <c r="AU4259" s="1821"/>
      <c r="AV4259" s="1821"/>
      <c r="AW4259" s="1821"/>
      <c r="AX4259" s="1821"/>
      <c r="AY4259" s="1821"/>
      <c r="AZ4259" s="1821"/>
      <c r="BA4259" s="1821"/>
      <c r="BB4259" s="1821"/>
      <c r="BC4259" s="1821"/>
      <c r="BD4259" s="1821"/>
      <c r="BE4259" s="1821"/>
      <c r="BF4259" s="1821"/>
      <c r="BG4259" s="1821"/>
      <c r="BH4259" s="1821"/>
      <c r="BI4259" s="1821"/>
      <c r="BJ4259" s="1821"/>
      <c r="BK4259" s="1821"/>
      <c r="BL4259" s="1821"/>
      <c r="BM4259" s="1821"/>
      <c r="BN4259" s="1821"/>
      <c r="BO4259" s="1821"/>
      <c r="BP4259" s="1821"/>
      <c r="BQ4259" s="1821"/>
      <c r="BR4259" s="1821"/>
      <c r="BS4259" s="1821"/>
      <c r="BT4259" s="1821"/>
      <c r="BU4259" s="1821"/>
      <c r="BV4259" s="1821"/>
      <c r="BW4259" s="1821"/>
      <c r="BX4259" s="1821"/>
      <c r="BY4259" s="1821"/>
      <c r="BZ4259" s="1821"/>
      <c r="CA4259" s="1821"/>
      <c r="CB4259" s="1821"/>
      <c r="CC4259" s="1821"/>
      <c r="CD4259" s="1821"/>
      <c r="CE4259" s="1821"/>
      <c r="CF4259" s="1821"/>
      <c r="CG4259" s="1821"/>
      <c r="CH4259" s="1821"/>
      <c r="CI4259" s="1821"/>
      <c r="CJ4259" s="1821"/>
      <c r="CK4259" s="1821"/>
    </row>
    <row r="4260" spans="1:89" s="744" customFormat="1" ht="16.5" hidden="1" customHeight="1" x14ac:dyDescent="0.25">
      <c r="A4260" s="1033"/>
      <c r="B4260" s="709"/>
      <c r="C4260" s="827"/>
      <c r="D4260" s="961"/>
      <c r="E4260" s="758"/>
      <c r="F4260" s="714"/>
      <c r="G4260" s="714"/>
      <c r="H4260" s="700"/>
      <c r="I4260" s="714"/>
      <c r="J4260" s="714">
        <f t="shared" si="483"/>
        <v>0</v>
      </c>
      <c r="K4260" s="700"/>
      <c r="L4260" s="714"/>
      <c r="M4260" s="714"/>
      <c r="N4260" s="700"/>
      <c r="O4260" s="974"/>
      <c r="P4260" s="956"/>
      <c r="Q4260" s="1821"/>
      <c r="R4260" s="1821"/>
      <c r="S4260" s="1821"/>
      <c r="T4260" s="1821"/>
      <c r="U4260" s="1821"/>
      <c r="V4260" s="1821"/>
      <c r="W4260" s="1821"/>
      <c r="X4260" s="1821"/>
      <c r="Y4260" s="1821"/>
      <c r="Z4260" s="1821"/>
      <c r="AA4260" s="1821"/>
      <c r="AB4260" s="1821"/>
      <c r="AC4260" s="1821"/>
      <c r="AD4260" s="1821"/>
      <c r="AE4260" s="1821"/>
      <c r="AF4260" s="1821"/>
      <c r="AG4260" s="1821"/>
      <c r="AH4260" s="1821"/>
      <c r="AI4260" s="1821"/>
      <c r="AJ4260" s="1821"/>
      <c r="AK4260" s="1821"/>
      <c r="AL4260" s="1821"/>
      <c r="AM4260" s="1821"/>
      <c r="AN4260" s="1821"/>
      <c r="AO4260" s="1821"/>
      <c r="AP4260" s="1821"/>
      <c r="AQ4260" s="1821"/>
      <c r="AR4260" s="1821"/>
      <c r="AS4260" s="1821"/>
      <c r="AT4260" s="1821"/>
      <c r="AU4260" s="1821"/>
      <c r="AV4260" s="1821"/>
      <c r="AW4260" s="1821"/>
      <c r="AX4260" s="1821"/>
      <c r="AY4260" s="1821"/>
      <c r="AZ4260" s="1821"/>
      <c r="BA4260" s="1821"/>
      <c r="BB4260" s="1821"/>
      <c r="BC4260" s="1821"/>
      <c r="BD4260" s="1821"/>
      <c r="BE4260" s="1821"/>
      <c r="BF4260" s="1821"/>
      <c r="BG4260" s="1821"/>
      <c r="BH4260" s="1821"/>
      <c r="BI4260" s="1821"/>
      <c r="BJ4260" s="1821"/>
      <c r="BK4260" s="1821"/>
      <c r="BL4260" s="1821"/>
      <c r="BM4260" s="1821"/>
      <c r="BN4260" s="1821"/>
      <c r="BO4260" s="1821"/>
      <c r="BP4260" s="1821"/>
      <c r="BQ4260" s="1821"/>
      <c r="BR4260" s="1821"/>
      <c r="BS4260" s="1821"/>
      <c r="BT4260" s="1821"/>
      <c r="BU4260" s="1821"/>
      <c r="BV4260" s="1821"/>
      <c r="BW4260" s="1821"/>
      <c r="BX4260" s="1821"/>
      <c r="BY4260" s="1821"/>
      <c r="BZ4260" s="1821"/>
      <c r="CA4260" s="1821"/>
      <c r="CB4260" s="1821"/>
      <c r="CC4260" s="1821"/>
      <c r="CD4260" s="1821"/>
      <c r="CE4260" s="1821"/>
      <c r="CF4260" s="1821"/>
      <c r="CG4260" s="1821"/>
      <c r="CH4260" s="1821"/>
      <c r="CI4260" s="1821"/>
      <c r="CJ4260" s="1821"/>
      <c r="CK4260" s="1821"/>
    </row>
    <row r="4261" spans="1:89" s="744" customFormat="1" ht="16.5" hidden="1" customHeight="1" x14ac:dyDescent="0.25">
      <c r="A4261" s="1033">
        <v>17</v>
      </c>
      <c r="B4261" s="709" t="s">
        <v>1091</v>
      </c>
      <c r="C4261" s="827"/>
      <c r="D4261" s="961"/>
      <c r="E4261" s="758"/>
      <c r="F4261" s="714"/>
      <c r="G4261" s="714"/>
      <c r="H4261" s="700"/>
      <c r="I4261" s="714"/>
      <c r="J4261" s="714">
        <f t="shared" si="483"/>
        <v>0</v>
      </c>
      <c r="K4261" s="700"/>
      <c r="L4261" s="714"/>
      <c r="M4261" s="714"/>
      <c r="N4261" s="700"/>
      <c r="O4261" s="974"/>
      <c r="P4261" s="956"/>
      <c r="Q4261" s="1821"/>
      <c r="R4261" s="1821"/>
      <c r="S4261" s="1821"/>
      <c r="T4261" s="1821"/>
      <c r="U4261" s="1821"/>
      <c r="V4261" s="1821"/>
      <c r="W4261" s="1821"/>
      <c r="X4261" s="1821"/>
      <c r="Y4261" s="1821"/>
      <c r="Z4261" s="1821"/>
      <c r="AA4261" s="1821"/>
      <c r="AB4261" s="1821"/>
      <c r="AC4261" s="1821"/>
      <c r="AD4261" s="1821"/>
      <c r="AE4261" s="1821"/>
      <c r="AF4261" s="1821"/>
      <c r="AG4261" s="1821"/>
      <c r="AH4261" s="1821"/>
      <c r="AI4261" s="1821"/>
      <c r="AJ4261" s="1821"/>
      <c r="AK4261" s="1821"/>
      <c r="AL4261" s="1821"/>
      <c r="AM4261" s="1821"/>
      <c r="AN4261" s="1821"/>
      <c r="AO4261" s="1821"/>
      <c r="AP4261" s="1821"/>
      <c r="AQ4261" s="1821"/>
      <c r="AR4261" s="1821"/>
      <c r="AS4261" s="1821"/>
      <c r="AT4261" s="1821"/>
      <c r="AU4261" s="1821"/>
      <c r="AV4261" s="1821"/>
      <c r="AW4261" s="1821"/>
      <c r="AX4261" s="1821"/>
      <c r="AY4261" s="1821"/>
      <c r="AZ4261" s="1821"/>
      <c r="BA4261" s="1821"/>
      <c r="BB4261" s="1821"/>
      <c r="BC4261" s="1821"/>
      <c r="BD4261" s="1821"/>
      <c r="BE4261" s="1821"/>
      <c r="BF4261" s="1821"/>
      <c r="BG4261" s="1821"/>
      <c r="BH4261" s="1821"/>
      <c r="BI4261" s="1821"/>
      <c r="BJ4261" s="1821"/>
      <c r="BK4261" s="1821"/>
      <c r="BL4261" s="1821"/>
      <c r="BM4261" s="1821"/>
      <c r="BN4261" s="1821"/>
      <c r="BO4261" s="1821"/>
      <c r="BP4261" s="1821"/>
      <c r="BQ4261" s="1821"/>
      <c r="BR4261" s="1821"/>
      <c r="BS4261" s="1821"/>
      <c r="BT4261" s="1821"/>
      <c r="BU4261" s="1821"/>
      <c r="BV4261" s="1821"/>
      <c r="BW4261" s="1821"/>
      <c r="BX4261" s="1821"/>
      <c r="BY4261" s="1821"/>
      <c r="BZ4261" s="1821"/>
      <c r="CA4261" s="1821"/>
      <c r="CB4261" s="1821"/>
      <c r="CC4261" s="1821"/>
      <c r="CD4261" s="1821"/>
      <c r="CE4261" s="1821"/>
      <c r="CF4261" s="1821"/>
      <c r="CG4261" s="1821"/>
      <c r="CH4261" s="1821"/>
      <c r="CI4261" s="1821"/>
      <c r="CJ4261" s="1821"/>
      <c r="CK4261" s="1821"/>
    </row>
    <row r="4262" spans="1:89" s="744" customFormat="1" ht="16.5" hidden="1" customHeight="1" x14ac:dyDescent="0.25">
      <c r="A4262" s="1033" t="s">
        <v>49</v>
      </c>
      <c r="B4262" s="709" t="s">
        <v>278</v>
      </c>
      <c r="C4262" s="827"/>
      <c r="D4262" s="961"/>
      <c r="E4262" s="758"/>
      <c r="F4262" s="714"/>
      <c r="G4262" s="714"/>
      <c r="H4262" s="700"/>
      <c r="I4262" s="714"/>
      <c r="J4262" s="714">
        <f t="shared" si="483"/>
        <v>0</v>
      </c>
      <c r="K4262" s="700"/>
      <c r="L4262" s="714"/>
      <c r="M4262" s="714"/>
      <c r="N4262" s="700"/>
      <c r="O4262" s="974"/>
      <c r="P4262" s="956"/>
      <c r="Q4262" s="1821"/>
      <c r="R4262" s="1821"/>
      <c r="S4262" s="1821"/>
      <c r="T4262" s="1821"/>
      <c r="U4262" s="1821"/>
      <c r="V4262" s="1821"/>
      <c r="W4262" s="1821"/>
      <c r="X4262" s="1821"/>
      <c r="Y4262" s="1821"/>
      <c r="Z4262" s="1821"/>
      <c r="AA4262" s="1821"/>
      <c r="AB4262" s="1821"/>
      <c r="AC4262" s="1821"/>
      <c r="AD4262" s="1821"/>
      <c r="AE4262" s="1821"/>
      <c r="AF4262" s="1821"/>
      <c r="AG4262" s="1821"/>
      <c r="AH4262" s="1821"/>
      <c r="AI4262" s="1821"/>
      <c r="AJ4262" s="1821"/>
      <c r="AK4262" s="1821"/>
      <c r="AL4262" s="1821"/>
      <c r="AM4262" s="1821"/>
      <c r="AN4262" s="1821"/>
      <c r="AO4262" s="1821"/>
      <c r="AP4262" s="1821"/>
      <c r="AQ4262" s="1821"/>
      <c r="AR4262" s="1821"/>
      <c r="AS4262" s="1821"/>
      <c r="AT4262" s="1821"/>
      <c r="AU4262" s="1821"/>
      <c r="AV4262" s="1821"/>
      <c r="AW4262" s="1821"/>
      <c r="AX4262" s="1821"/>
      <c r="AY4262" s="1821"/>
      <c r="AZ4262" s="1821"/>
      <c r="BA4262" s="1821"/>
      <c r="BB4262" s="1821"/>
      <c r="BC4262" s="1821"/>
      <c r="BD4262" s="1821"/>
      <c r="BE4262" s="1821"/>
      <c r="BF4262" s="1821"/>
      <c r="BG4262" s="1821"/>
      <c r="BH4262" s="1821"/>
      <c r="BI4262" s="1821"/>
      <c r="BJ4262" s="1821"/>
      <c r="BK4262" s="1821"/>
      <c r="BL4262" s="1821"/>
      <c r="BM4262" s="1821"/>
      <c r="BN4262" s="1821"/>
      <c r="BO4262" s="1821"/>
      <c r="BP4262" s="1821"/>
      <c r="BQ4262" s="1821"/>
      <c r="BR4262" s="1821"/>
      <c r="BS4262" s="1821"/>
      <c r="BT4262" s="1821"/>
      <c r="BU4262" s="1821"/>
      <c r="BV4262" s="1821"/>
      <c r="BW4262" s="1821"/>
      <c r="BX4262" s="1821"/>
      <c r="BY4262" s="1821"/>
      <c r="BZ4262" s="1821"/>
      <c r="CA4262" s="1821"/>
      <c r="CB4262" s="1821"/>
      <c r="CC4262" s="1821"/>
      <c r="CD4262" s="1821"/>
      <c r="CE4262" s="1821"/>
      <c r="CF4262" s="1821"/>
      <c r="CG4262" s="1821"/>
      <c r="CH4262" s="1821"/>
      <c r="CI4262" s="1821"/>
      <c r="CJ4262" s="1821"/>
      <c r="CK4262" s="1821"/>
    </row>
    <row r="4263" spans="1:89" s="744" customFormat="1" ht="16.5" hidden="1" customHeight="1" x14ac:dyDescent="0.25">
      <c r="A4263" s="1033"/>
      <c r="B4263" s="709" t="s">
        <v>365</v>
      </c>
      <c r="C4263" s="827">
        <v>1</v>
      </c>
      <c r="D4263" s="961" t="s">
        <v>25</v>
      </c>
      <c r="E4263" s="758">
        <v>55000</v>
      </c>
      <c r="F4263" s="714"/>
      <c r="G4263" s="714"/>
      <c r="H4263" s="700">
        <f>G4263+F4263</f>
        <v>0</v>
      </c>
      <c r="I4263" s="714"/>
      <c r="J4263" s="714">
        <f t="shared" si="483"/>
        <v>55000</v>
      </c>
      <c r="K4263" s="700">
        <f>J4263+I4263</f>
        <v>55000</v>
      </c>
      <c r="L4263" s="714"/>
      <c r="M4263" s="714"/>
      <c r="N4263" s="700">
        <f>M4263+L4263</f>
        <v>0</v>
      </c>
      <c r="O4263" s="974">
        <f>N4263+K4263+H4263</f>
        <v>55000</v>
      </c>
      <c r="P4263" s="956"/>
      <c r="Q4263" s="1821"/>
      <c r="R4263" s="1821"/>
      <c r="S4263" s="1821"/>
      <c r="T4263" s="1821"/>
      <c r="U4263" s="1821"/>
      <c r="V4263" s="1821"/>
      <c r="W4263" s="1821"/>
      <c r="X4263" s="1821"/>
      <c r="Y4263" s="1821"/>
      <c r="Z4263" s="1821"/>
      <c r="AA4263" s="1821"/>
      <c r="AB4263" s="1821"/>
      <c r="AC4263" s="1821"/>
      <c r="AD4263" s="1821"/>
      <c r="AE4263" s="1821"/>
      <c r="AF4263" s="1821"/>
      <c r="AG4263" s="1821"/>
      <c r="AH4263" s="1821"/>
      <c r="AI4263" s="1821"/>
      <c r="AJ4263" s="1821"/>
      <c r="AK4263" s="1821"/>
      <c r="AL4263" s="1821"/>
      <c r="AM4263" s="1821"/>
      <c r="AN4263" s="1821"/>
      <c r="AO4263" s="1821"/>
      <c r="AP4263" s="1821"/>
      <c r="AQ4263" s="1821"/>
      <c r="AR4263" s="1821"/>
      <c r="AS4263" s="1821"/>
      <c r="AT4263" s="1821"/>
      <c r="AU4263" s="1821"/>
      <c r="AV4263" s="1821"/>
      <c r="AW4263" s="1821"/>
      <c r="AX4263" s="1821"/>
      <c r="AY4263" s="1821"/>
      <c r="AZ4263" s="1821"/>
      <c r="BA4263" s="1821"/>
      <c r="BB4263" s="1821"/>
      <c r="BC4263" s="1821"/>
      <c r="BD4263" s="1821"/>
      <c r="BE4263" s="1821"/>
      <c r="BF4263" s="1821"/>
      <c r="BG4263" s="1821"/>
      <c r="BH4263" s="1821"/>
      <c r="BI4263" s="1821"/>
      <c r="BJ4263" s="1821"/>
      <c r="BK4263" s="1821"/>
      <c r="BL4263" s="1821"/>
      <c r="BM4263" s="1821"/>
      <c r="BN4263" s="1821"/>
      <c r="BO4263" s="1821"/>
      <c r="BP4263" s="1821"/>
      <c r="BQ4263" s="1821"/>
      <c r="BR4263" s="1821"/>
      <c r="BS4263" s="1821"/>
      <c r="BT4263" s="1821"/>
      <c r="BU4263" s="1821"/>
      <c r="BV4263" s="1821"/>
      <c r="BW4263" s="1821"/>
      <c r="BX4263" s="1821"/>
      <c r="BY4263" s="1821"/>
      <c r="BZ4263" s="1821"/>
      <c r="CA4263" s="1821"/>
      <c r="CB4263" s="1821"/>
      <c r="CC4263" s="1821"/>
      <c r="CD4263" s="1821"/>
      <c r="CE4263" s="1821"/>
      <c r="CF4263" s="1821"/>
      <c r="CG4263" s="1821"/>
      <c r="CH4263" s="1821"/>
      <c r="CI4263" s="1821"/>
      <c r="CJ4263" s="1821"/>
      <c r="CK4263" s="1821"/>
    </row>
    <row r="4264" spans="1:89" s="744" customFormat="1" ht="16.5" hidden="1" customHeight="1" x14ac:dyDescent="0.25">
      <c r="A4264" s="1033"/>
      <c r="B4264" s="709" t="s">
        <v>429</v>
      </c>
      <c r="C4264" s="827"/>
      <c r="D4264" s="961"/>
      <c r="E4264" s="758"/>
      <c r="F4264" s="714"/>
      <c r="G4264" s="714"/>
      <c r="H4264" s="700"/>
      <c r="I4264" s="714"/>
      <c r="J4264" s="714">
        <f t="shared" si="483"/>
        <v>0</v>
      </c>
      <c r="K4264" s="700"/>
      <c r="L4264" s="714"/>
      <c r="M4264" s="714"/>
      <c r="N4264" s="700"/>
      <c r="O4264" s="974"/>
      <c r="P4264" s="956"/>
      <c r="Q4264" s="1821"/>
      <c r="R4264" s="1821"/>
      <c r="S4264" s="1821"/>
      <c r="T4264" s="1821"/>
      <c r="U4264" s="1821"/>
      <c r="V4264" s="1821"/>
      <c r="W4264" s="1821"/>
      <c r="X4264" s="1821"/>
      <c r="Y4264" s="1821"/>
      <c r="Z4264" s="1821"/>
      <c r="AA4264" s="1821"/>
      <c r="AB4264" s="1821"/>
      <c r="AC4264" s="1821"/>
      <c r="AD4264" s="1821"/>
      <c r="AE4264" s="1821"/>
      <c r="AF4264" s="1821"/>
      <c r="AG4264" s="1821"/>
      <c r="AH4264" s="1821"/>
      <c r="AI4264" s="1821"/>
      <c r="AJ4264" s="1821"/>
      <c r="AK4264" s="1821"/>
      <c r="AL4264" s="1821"/>
      <c r="AM4264" s="1821"/>
      <c r="AN4264" s="1821"/>
      <c r="AO4264" s="1821"/>
      <c r="AP4264" s="1821"/>
      <c r="AQ4264" s="1821"/>
      <c r="AR4264" s="1821"/>
      <c r="AS4264" s="1821"/>
      <c r="AT4264" s="1821"/>
      <c r="AU4264" s="1821"/>
      <c r="AV4264" s="1821"/>
      <c r="AW4264" s="1821"/>
      <c r="AX4264" s="1821"/>
      <c r="AY4264" s="1821"/>
      <c r="AZ4264" s="1821"/>
      <c r="BA4264" s="1821"/>
      <c r="BB4264" s="1821"/>
      <c r="BC4264" s="1821"/>
      <c r="BD4264" s="1821"/>
      <c r="BE4264" s="1821"/>
      <c r="BF4264" s="1821"/>
      <c r="BG4264" s="1821"/>
      <c r="BH4264" s="1821"/>
      <c r="BI4264" s="1821"/>
      <c r="BJ4264" s="1821"/>
      <c r="BK4264" s="1821"/>
      <c r="BL4264" s="1821"/>
      <c r="BM4264" s="1821"/>
      <c r="BN4264" s="1821"/>
      <c r="BO4264" s="1821"/>
      <c r="BP4264" s="1821"/>
      <c r="BQ4264" s="1821"/>
      <c r="BR4264" s="1821"/>
      <c r="BS4264" s="1821"/>
      <c r="BT4264" s="1821"/>
      <c r="BU4264" s="1821"/>
      <c r="BV4264" s="1821"/>
      <c r="BW4264" s="1821"/>
      <c r="BX4264" s="1821"/>
      <c r="BY4264" s="1821"/>
      <c r="BZ4264" s="1821"/>
      <c r="CA4264" s="1821"/>
      <c r="CB4264" s="1821"/>
      <c r="CC4264" s="1821"/>
      <c r="CD4264" s="1821"/>
      <c r="CE4264" s="1821"/>
      <c r="CF4264" s="1821"/>
      <c r="CG4264" s="1821"/>
      <c r="CH4264" s="1821"/>
      <c r="CI4264" s="1821"/>
      <c r="CJ4264" s="1821"/>
      <c r="CK4264" s="1821"/>
    </row>
    <row r="4265" spans="1:89" s="744" customFormat="1" ht="16.5" hidden="1" customHeight="1" x14ac:dyDescent="0.25">
      <c r="A4265" s="1033"/>
      <c r="B4265" s="709" t="s">
        <v>359</v>
      </c>
      <c r="C4265" s="827">
        <v>66</v>
      </c>
      <c r="D4265" s="961" t="s">
        <v>51</v>
      </c>
      <c r="E4265" s="758">
        <v>3735</v>
      </c>
      <c r="F4265" s="714"/>
      <c r="G4265" s="714"/>
      <c r="H4265" s="700">
        <f>G4265+F4265</f>
        <v>0</v>
      </c>
      <c r="I4265" s="714"/>
      <c r="J4265" s="714">
        <f t="shared" ref="J4265:J4328" si="487">E4265*C4265</f>
        <v>246510</v>
      </c>
      <c r="K4265" s="700">
        <f>J4265+I4265</f>
        <v>246510</v>
      </c>
      <c r="L4265" s="714"/>
      <c r="M4265" s="714"/>
      <c r="N4265" s="700">
        <f>M4265+L4265</f>
        <v>0</v>
      </c>
      <c r="O4265" s="974">
        <f>N4265+K4265+H4265</f>
        <v>246510</v>
      </c>
      <c r="P4265" s="956"/>
      <c r="Q4265" s="1821"/>
      <c r="R4265" s="1821"/>
      <c r="S4265" s="1821"/>
      <c r="T4265" s="1821"/>
      <c r="U4265" s="1821"/>
      <c r="V4265" s="1821"/>
      <c r="W4265" s="1821"/>
      <c r="X4265" s="1821"/>
      <c r="Y4265" s="1821"/>
      <c r="Z4265" s="1821"/>
      <c r="AA4265" s="1821"/>
      <c r="AB4265" s="1821"/>
      <c r="AC4265" s="1821"/>
      <c r="AD4265" s="1821"/>
      <c r="AE4265" s="1821"/>
      <c r="AF4265" s="1821"/>
      <c r="AG4265" s="1821"/>
      <c r="AH4265" s="1821"/>
      <c r="AI4265" s="1821"/>
      <c r="AJ4265" s="1821"/>
      <c r="AK4265" s="1821"/>
      <c r="AL4265" s="1821"/>
      <c r="AM4265" s="1821"/>
      <c r="AN4265" s="1821"/>
      <c r="AO4265" s="1821"/>
      <c r="AP4265" s="1821"/>
      <c r="AQ4265" s="1821"/>
      <c r="AR4265" s="1821"/>
      <c r="AS4265" s="1821"/>
      <c r="AT4265" s="1821"/>
      <c r="AU4265" s="1821"/>
      <c r="AV4265" s="1821"/>
      <c r="AW4265" s="1821"/>
      <c r="AX4265" s="1821"/>
      <c r="AY4265" s="1821"/>
      <c r="AZ4265" s="1821"/>
      <c r="BA4265" s="1821"/>
      <c r="BB4265" s="1821"/>
      <c r="BC4265" s="1821"/>
      <c r="BD4265" s="1821"/>
      <c r="BE4265" s="1821"/>
      <c r="BF4265" s="1821"/>
      <c r="BG4265" s="1821"/>
      <c r="BH4265" s="1821"/>
      <c r="BI4265" s="1821"/>
      <c r="BJ4265" s="1821"/>
      <c r="BK4265" s="1821"/>
      <c r="BL4265" s="1821"/>
      <c r="BM4265" s="1821"/>
      <c r="BN4265" s="1821"/>
      <c r="BO4265" s="1821"/>
      <c r="BP4265" s="1821"/>
      <c r="BQ4265" s="1821"/>
      <c r="BR4265" s="1821"/>
      <c r="BS4265" s="1821"/>
      <c r="BT4265" s="1821"/>
      <c r="BU4265" s="1821"/>
      <c r="BV4265" s="1821"/>
      <c r="BW4265" s="1821"/>
      <c r="BX4265" s="1821"/>
      <c r="BY4265" s="1821"/>
      <c r="BZ4265" s="1821"/>
      <c r="CA4265" s="1821"/>
      <c r="CB4265" s="1821"/>
      <c r="CC4265" s="1821"/>
      <c r="CD4265" s="1821"/>
      <c r="CE4265" s="1821"/>
      <c r="CF4265" s="1821"/>
      <c r="CG4265" s="1821"/>
      <c r="CH4265" s="1821"/>
      <c r="CI4265" s="1821"/>
      <c r="CJ4265" s="1821"/>
      <c r="CK4265" s="1821"/>
    </row>
    <row r="4266" spans="1:89" s="744" customFormat="1" ht="16.5" hidden="1" customHeight="1" x14ac:dyDescent="0.25">
      <c r="A4266" s="1033"/>
      <c r="B4266" s="709" t="s">
        <v>54</v>
      </c>
      <c r="C4266" s="827">
        <v>198</v>
      </c>
      <c r="D4266" s="961" t="s">
        <v>55</v>
      </c>
      <c r="E4266" s="758">
        <v>403</v>
      </c>
      <c r="F4266" s="714"/>
      <c r="G4266" s="714"/>
      <c r="H4266" s="700">
        <f>G4266+F4266</f>
        <v>0</v>
      </c>
      <c r="I4266" s="714"/>
      <c r="J4266" s="714">
        <f t="shared" si="487"/>
        <v>79794</v>
      </c>
      <c r="K4266" s="700">
        <f>J4266+I4266</f>
        <v>79794</v>
      </c>
      <c r="L4266" s="714"/>
      <c r="M4266" s="714"/>
      <c r="N4266" s="700">
        <f>M4266+L4266</f>
        <v>0</v>
      </c>
      <c r="O4266" s="974">
        <f>N4266+K4266+H4266</f>
        <v>79794</v>
      </c>
      <c r="P4266" s="956"/>
      <c r="Q4266" s="1821"/>
      <c r="R4266" s="1821"/>
      <c r="S4266" s="1821"/>
      <c r="T4266" s="1821"/>
      <c r="U4266" s="1821"/>
      <c r="V4266" s="1821"/>
      <c r="W4266" s="1821"/>
      <c r="X4266" s="1821"/>
      <c r="Y4266" s="1821"/>
      <c r="Z4266" s="1821"/>
      <c r="AA4266" s="1821"/>
      <c r="AB4266" s="1821"/>
      <c r="AC4266" s="1821"/>
      <c r="AD4266" s="1821"/>
      <c r="AE4266" s="1821"/>
      <c r="AF4266" s="1821"/>
      <c r="AG4266" s="1821"/>
      <c r="AH4266" s="1821"/>
      <c r="AI4266" s="1821"/>
      <c r="AJ4266" s="1821"/>
      <c r="AK4266" s="1821"/>
      <c r="AL4266" s="1821"/>
      <c r="AM4266" s="1821"/>
      <c r="AN4266" s="1821"/>
      <c r="AO4266" s="1821"/>
      <c r="AP4266" s="1821"/>
      <c r="AQ4266" s="1821"/>
      <c r="AR4266" s="1821"/>
      <c r="AS4266" s="1821"/>
      <c r="AT4266" s="1821"/>
      <c r="AU4266" s="1821"/>
      <c r="AV4266" s="1821"/>
      <c r="AW4266" s="1821"/>
      <c r="AX4266" s="1821"/>
      <c r="AY4266" s="1821"/>
      <c r="AZ4266" s="1821"/>
      <c r="BA4266" s="1821"/>
      <c r="BB4266" s="1821"/>
      <c r="BC4266" s="1821"/>
      <c r="BD4266" s="1821"/>
      <c r="BE4266" s="1821"/>
      <c r="BF4266" s="1821"/>
      <c r="BG4266" s="1821"/>
      <c r="BH4266" s="1821"/>
      <c r="BI4266" s="1821"/>
      <c r="BJ4266" s="1821"/>
      <c r="BK4266" s="1821"/>
      <c r="BL4266" s="1821"/>
      <c r="BM4266" s="1821"/>
      <c r="BN4266" s="1821"/>
      <c r="BO4266" s="1821"/>
      <c r="BP4266" s="1821"/>
      <c r="BQ4266" s="1821"/>
      <c r="BR4266" s="1821"/>
      <c r="BS4266" s="1821"/>
      <c r="BT4266" s="1821"/>
      <c r="BU4266" s="1821"/>
      <c r="BV4266" s="1821"/>
      <c r="BW4266" s="1821"/>
      <c r="BX4266" s="1821"/>
      <c r="BY4266" s="1821"/>
      <c r="BZ4266" s="1821"/>
      <c r="CA4266" s="1821"/>
      <c r="CB4266" s="1821"/>
      <c r="CC4266" s="1821"/>
      <c r="CD4266" s="1821"/>
      <c r="CE4266" s="1821"/>
      <c r="CF4266" s="1821"/>
      <c r="CG4266" s="1821"/>
      <c r="CH4266" s="1821"/>
      <c r="CI4266" s="1821"/>
      <c r="CJ4266" s="1821"/>
      <c r="CK4266" s="1821"/>
    </row>
    <row r="4267" spans="1:89" s="744" customFormat="1" ht="16.5" hidden="1" customHeight="1" x14ac:dyDescent="0.25">
      <c r="A4267" s="1033"/>
      <c r="B4267" s="709" t="s">
        <v>52</v>
      </c>
      <c r="C4267" s="827">
        <v>132</v>
      </c>
      <c r="D4267" s="961" t="s">
        <v>55</v>
      </c>
      <c r="E4267" s="758">
        <v>486</v>
      </c>
      <c r="F4267" s="714"/>
      <c r="G4267" s="714"/>
      <c r="H4267" s="700">
        <f>G4267+F4267</f>
        <v>0</v>
      </c>
      <c r="I4267" s="714"/>
      <c r="J4267" s="714">
        <f t="shared" si="487"/>
        <v>64152</v>
      </c>
      <c r="K4267" s="700">
        <f>J4267+I4267</f>
        <v>64152</v>
      </c>
      <c r="L4267" s="714"/>
      <c r="M4267" s="714"/>
      <c r="N4267" s="700">
        <f>M4267+L4267</f>
        <v>0</v>
      </c>
      <c r="O4267" s="974">
        <f>N4267+K4267+H4267</f>
        <v>64152</v>
      </c>
      <c r="P4267" s="956"/>
      <c r="Q4267" s="1821"/>
      <c r="R4267" s="1821"/>
      <c r="S4267" s="1821"/>
      <c r="T4267" s="1821"/>
      <c r="U4267" s="1821"/>
      <c r="V4267" s="1821"/>
      <c r="W4267" s="1821"/>
      <c r="X4267" s="1821"/>
      <c r="Y4267" s="1821"/>
      <c r="Z4267" s="1821"/>
      <c r="AA4267" s="1821"/>
      <c r="AB4267" s="1821"/>
      <c r="AC4267" s="1821"/>
      <c r="AD4267" s="1821"/>
      <c r="AE4267" s="1821"/>
      <c r="AF4267" s="1821"/>
      <c r="AG4267" s="1821"/>
      <c r="AH4267" s="1821"/>
      <c r="AI4267" s="1821"/>
      <c r="AJ4267" s="1821"/>
      <c r="AK4267" s="1821"/>
      <c r="AL4267" s="1821"/>
      <c r="AM4267" s="1821"/>
      <c r="AN4267" s="1821"/>
      <c r="AO4267" s="1821"/>
      <c r="AP4267" s="1821"/>
      <c r="AQ4267" s="1821"/>
      <c r="AR4267" s="1821"/>
      <c r="AS4267" s="1821"/>
      <c r="AT4267" s="1821"/>
      <c r="AU4267" s="1821"/>
      <c r="AV4267" s="1821"/>
      <c r="AW4267" s="1821"/>
      <c r="AX4267" s="1821"/>
      <c r="AY4267" s="1821"/>
      <c r="AZ4267" s="1821"/>
      <c r="BA4267" s="1821"/>
      <c r="BB4267" s="1821"/>
      <c r="BC4267" s="1821"/>
      <c r="BD4267" s="1821"/>
      <c r="BE4267" s="1821"/>
      <c r="BF4267" s="1821"/>
      <c r="BG4267" s="1821"/>
      <c r="BH4267" s="1821"/>
      <c r="BI4267" s="1821"/>
      <c r="BJ4267" s="1821"/>
      <c r="BK4267" s="1821"/>
      <c r="BL4267" s="1821"/>
      <c r="BM4267" s="1821"/>
      <c r="BN4267" s="1821"/>
      <c r="BO4267" s="1821"/>
      <c r="BP4267" s="1821"/>
      <c r="BQ4267" s="1821"/>
      <c r="BR4267" s="1821"/>
      <c r="BS4267" s="1821"/>
      <c r="BT4267" s="1821"/>
      <c r="BU4267" s="1821"/>
      <c r="BV4267" s="1821"/>
      <c r="BW4267" s="1821"/>
      <c r="BX4267" s="1821"/>
      <c r="BY4267" s="1821"/>
      <c r="BZ4267" s="1821"/>
      <c r="CA4267" s="1821"/>
      <c r="CB4267" s="1821"/>
      <c r="CC4267" s="1821"/>
      <c r="CD4267" s="1821"/>
      <c r="CE4267" s="1821"/>
      <c r="CF4267" s="1821"/>
      <c r="CG4267" s="1821"/>
      <c r="CH4267" s="1821"/>
      <c r="CI4267" s="1821"/>
      <c r="CJ4267" s="1821"/>
      <c r="CK4267" s="1821"/>
    </row>
    <row r="4268" spans="1:89" s="744" customFormat="1" ht="16.5" hidden="1" customHeight="1" x14ac:dyDescent="0.25">
      <c r="A4268" s="1033"/>
      <c r="B4268" s="709" t="s">
        <v>1843</v>
      </c>
      <c r="C4268" s="827">
        <v>132</v>
      </c>
      <c r="D4268" s="961" t="s">
        <v>51</v>
      </c>
      <c r="E4268" s="758">
        <v>307</v>
      </c>
      <c r="F4268" s="714"/>
      <c r="G4268" s="714"/>
      <c r="H4268" s="700">
        <v>0</v>
      </c>
      <c r="I4268" s="714"/>
      <c r="J4268" s="714">
        <f t="shared" si="487"/>
        <v>40524</v>
      </c>
      <c r="K4268" s="700">
        <f>J4268+I4268</f>
        <v>40524</v>
      </c>
      <c r="L4268" s="714"/>
      <c r="M4268" s="714"/>
      <c r="N4268" s="700"/>
      <c r="O4268" s="974">
        <f>N4268+K4268+H4268</f>
        <v>40524</v>
      </c>
      <c r="P4268" s="956"/>
      <c r="Q4268" s="1821"/>
      <c r="R4268" s="1821"/>
      <c r="S4268" s="1821"/>
      <c r="T4268" s="1821"/>
      <c r="U4268" s="1821"/>
      <c r="V4268" s="1821"/>
      <c r="W4268" s="1821"/>
      <c r="X4268" s="1821"/>
      <c r="Y4268" s="1821"/>
      <c r="Z4268" s="1821"/>
      <c r="AA4268" s="1821"/>
      <c r="AB4268" s="1821"/>
      <c r="AC4268" s="1821"/>
      <c r="AD4268" s="1821"/>
      <c r="AE4268" s="1821"/>
      <c r="AF4268" s="1821"/>
      <c r="AG4268" s="1821"/>
      <c r="AH4268" s="1821"/>
      <c r="AI4268" s="1821"/>
      <c r="AJ4268" s="1821"/>
      <c r="AK4268" s="1821"/>
      <c r="AL4268" s="1821"/>
      <c r="AM4268" s="1821"/>
      <c r="AN4268" s="1821"/>
      <c r="AO4268" s="1821"/>
      <c r="AP4268" s="1821"/>
      <c r="AQ4268" s="1821"/>
      <c r="AR4268" s="1821"/>
      <c r="AS4268" s="1821"/>
      <c r="AT4268" s="1821"/>
      <c r="AU4268" s="1821"/>
      <c r="AV4268" s="1821"/>
      <c r="AW4268" s="1821"/>
      <c r="AX4268" s="1821"/>
      <c r="AY4268" s="1821"/>
      <c r="AZ4268" s="1821"/>
      <c r="BA4268" s="1821"/>
      <c r="BB4268" s="1821"/>
      <c r="BC4268" s="1821"/>
      <c r="BD4268" s="1821"/>
      <c r="BE4268" s="1821"/>
      <c r="BF4268" s="1821"/>
      <c r="BG4268" s="1821"/>
      <c r="BH4268" s="1821"/>
      <c r="BI4268" s="1821"/>
      <c r="BJ4268" s="1821"/>
      <c r="BK4268" s="1821"/>
      <c r="BL4268" s="1821"/>
      <c r="BM4268" s="1821"/>
      <c r="BN4268" s="1821"/>
      <c r="BO4268" s="1821"/>
      <c r="BP4268" s="1821"/>
      <c r="BQ4268" s="1821"/>
      <c r="BR4268" s="1821"/>
      <c r="BS4268" s="1821"/>
      <c r="BT4268" s="1821"/>
      <c r="BU4268" s="1821"/>
      <c r="BV4268" s="1821"/>
      <c r="BW4268" s="1821"/>
      <c r="BX4268" s="1821"/>
      <c r="BY4268" s="1821"/>
      <c r="BZ4268" s="1821"/>
      <c r="CA4268" s="1821"/>
      <c r="CB4268" s="1821"/>
      <c r="CC4268" s="1821"/>
      <c r="CD4268" s="1821"/>
      <c r="CE4268" s="1821"/>
      <c r="CF4268" s="1821"/>
      <c r="CG4268" s="1821"/>
      <c r="CH4268" s="1821"/>
      <c r="CI4268" s="1821"/>
      <c r="CJ4268" s="1821"/>
      <c r="CK4268" s="1821"/>
    </row>
    <row r="4269" spans="1:89" s="744" customFormat="1" ht="16.5" hidden="1" customHeight="1" x14ac:dyDescent="0.25">
      <c r="A4269" s="1033"/>
      <c r="B4269" s="709"/>
      <c r="C4269" s="827"/>
      <c r="D4269" s="961"/>
      <c r="E4269" s="758"/>
      <c r="F4269" s="714"/>
      <c r="G4269" s="714"/>
      <c r="H4269" s="700"/>
      <c r="I4269" s="714"/>
      <c r="J4269" s="714">
        <f t="shared" si="487"/>
        <v>0</v>
      </c>
      <c r="K4269" s="700"/>
      <c r="L4269" s="714"/>
      <c r="M4269" s="714"/>
      <c r="N4269" s="700"/>
      <c r="O4269" s="974"/>
      <c r="P4269" s="956"/>
      <c r="Q4269" s="1821"/>
      <c r="R4269" s="1821"/>
      <c r="S4269" s="1821"/>
      <c r="T4269" s="1821"/>
      <c r="U4269" s="1821"/>
      <c r="V4269" s="1821"/>
      <c r="W4269" s="1821"/>
      <c r="X4269" s="1821"/>
      <c r="Y4269" s="1821"/>
      <c r="Z4269" s="1821"/>
      <c r="AA4269" s="1821"/>
      <c r="AB4269" s="1821"/>
      <c r="AC4269" s="1821"/>
      <c r="AD4269" s="1821"/>
      <c r="AE4269" s="1821"/>
      <c r="AF4269" s="1821"/>
      <c r="AG4269" s="1821"/>
      <c r="AH4269" s="1821"/>
      <c r="AI4269" s="1821"/>
      <c r="AJ4269" s="1821"/>
      <c r="AK4269" s="1821"/>
      <c r="AL4269" s="1821"/>
      <c r="AM4269" s="1821"/>
      <c r="AN4269" s="1821"/>
      <c r="AO4269" s="1821"/>
      <c r="AP4269" s="1821"/>
      <c r="AQ4269" s="1821"/>
      <c r="AR4269" s="1821"/>
      <c r="AS4269" s="1821"/>
      <c r="AT4269" s="1821"/>
      <c r="AU4269" s="1821"/>
      <c r="AV4269" s="1821"/>
      <c r="AW4269" s="1821"/>
      <c r="AX4269" s="1821"/>
      <c r="AY4269" s="1821"/>
      <c r="AZ4269" s="1821"/>
      <c r="BA4269" s="1821"/>
      <c r="BB4269" s="1821"/>
      <c r="BC4269" s="1821"/>
      <c r="BD4269" s="1821"/>
      <c r="BE4269" s="1821"/>
      <c r="BF4269" s="1821"/>
      <c r="BG4269" s="1821"/>
      <c r="BH4269" s="1821"/>
      <c r="BI4269" s="1821"/>
      <c r="BJ4269" s="1821"/>
      <c r="BK4269" s="1821"/>
      <c r="BL4269" s="1821"/>
      <c r="BM4269" s="1821"/>
      <c r="BN4269" s="1821"/>
      <c r="BO4269" s="1821"/>
      <c r="BP4269" s="1821"/>
      <c r="BQ4269" s="1821"/>
      <c r="BR4269" s="1821"/>
      <c r="BS4269" s="1821"/>
      <c r="BT4269" s="1821"/>
      <c r="BU4269" s="1821"/>
      <c r="BV4269" s="1821"/>
      <c r="BW4269" s="1821"/>
      <c r="BX4269" s="1821"/>
      <c r="BY4269" s="1821"/>
      <c r="BZ4269" s="1821"/>
      <c r="CA4269" s="1821"/>
      <c r="CB4269" s="1821"/>
      <c r="CC4269" s="1821"/>
      <c r="CD4269" s="1821"/>
      <c r="CE4269" s="1821"/>
      <c r="CF4269" s="1821"/>
      <c r="CG4269" s="1821"/>
      <c r="CH4269" s="1821"/>
      <c r="CI4269" s="1821"/>
      <c r="CJ4269" s="1821"/>
      <c r="CK4269" s="1821"/>
    </row>
    <row r="4270" spans="1:89" s="744" customFormat="1" ht="16.5" hidden="1" customHeight="1" x14ac:dyDescent="0.25">
      <c r="A4270" s="1033">
        <v>18</v>
      </c>
      <c r="B4270" s="709" t="s">
        <v>1092</v>
      </c>
      <c r="C4270" s="827"/>
      <c r="D4270" s="961"/>
      <c r="E4270" s="758"/>
      <c r="F4270" s="714"/>
      <c r="G4270" s="714"/>
      <c r="H4270" s="700"/>
      <c r="I4270" s="714"/>
      <c r="J4270" s="714">
        <f t="shared" si="487"/>
        <v>0</v>
      </c>
      <c r="K4270" s="700"/>
      <c r="L4270" s="714"/>
      <c r="M4270" s="714"/>
      <c r="N4270" s="700"/>
      <c r="O4270" s="974"/>
      <c r="P4270" s="956"/>
      <c r="Q4270" s="1821"/>
      <c r="R4270" s="1821"/>
      <c r="S4270" s="1821"/>
      <c r="T4270" s="1821"/>
      <c r="U4270" s="1821"/>
      <c r="V4270" s="1821"/>
      <c r="W4270" s="1821"/>
      <c r="X4270" s="1821"/>
      <c r="Y4270" s="1821"/>
      <c r="Z4270" s="1821"/>
      <c r="AA4270" s="1821"/>
      <c r="AB4270" s="1821"/>
      <c r="AC4270" s="1821"/>
      <c r="AD4270" s="1821"/>
      <c r="AE4270" s="1821"/>
      <c r="AF4270" s="1821"/>
      <c r="AG4270" s="1821"/>
      <c r="AH4270" s="1821"/>
      <c r="AI4270" s="1821"/>
      <c r="AJ4270" s="1821"/>
      <c r="AK4270" s="1821"/>
      <c r="AL4270" s="1821"/>
      <c r="AM4270" s="1821"/>
      <c r="AN4270" s="1821"/>
      <c r="AO4270" s="1821"/>
      <c r="AP4270" s="1821"/>
      <c r="AQ4270" s="1821"/>
      <c r="AR4270" s="1821"/>
      <c r="AS4270" s="1821"/>
      <c r="AT4270" s="1821"/>
      <c r="AU4270" s="1821"/>
      <c r="AV4270" s="1821"/>
      <c r="AW4270" s="1821"/>
      <c r="AX4270" s="1821"/>
      <c r="AY4270" s="1821"/>
      <c r="AZ4270" s="1821"/>
      <c r="BA4270" s="1821"/>
      <c r="BB4270" s="1821"/>
      <c r="BC4270" s="1821"/>
      <c r="BD4270" s="1821"/>
      <c r="BE4270" s="1821"/>
      <c r="BF4270" s="1821"/>
      <c r="BG4270" s="1821"/>
      <c r="BH4270" s="1821"/>
      <c r="BI4270" s="1821"/>
      <c r="BJ4270" s="1821"/>
      <c r="BK4270" s="1821"/>
      <c r="BL4270" s="1821"/>
      <c r="BM4270" s="1821"/>
      <c r="BN4270" s="1821"/>
      <c r="BO4270" s="1821"/>
      <c r="BP4270" s="1821"/>
      <c r="BQ4270" s="1821"/>
      <c r="BR4270" s="1821"/>
      <c r="BS4270" s="1821"/>
      <c r="BT4270" s="1821"/>
      <c r="BU4270" s="1821"/>
      <c r="BV4270" s="1821"/>
      <c r="BW4270" s="1821"/>
      <c r="BX4270" s="1821"/>
      <c r="BY4270" s="1821"/>
      <c r="BZ4270" s="1821"/>
      <c r="CA4270" s="1821"/>
      <c r="CB4270" s="1821"/>
      <c r="CC4270" s="1821"/>
      <c r="CD4270" s="1821"/>
      <c r="CE4270" s="1821"/>
      <c r="CF4270" s="1821"/>
      <c r="CG4270" s="1821"/>
      <c r="CH4270" s="1821"/>
      <c r="CI4270" s="1821"/>
      <c r="CJ4270" s="1821"/>
      <c r="CK4270" s="1821"/>
    </row>
    <row r="4271" spans="1:89" s="744" customFormat="1" ht="16.5" hidden="1" customHeight="1" x14ac:dyDescent="0.25">
      <c r="A4271" s="1033" t="s">
        <v>49</v>
      </c>
      <c r="B4271" s="709" t="s">
        <v>278</v>
      </c>
      <c r="C4271" s="827"/>
      <c r="D4271" s="961"/>
      <c r="E4271" s="758"/>
      <c r="F4271" s="714"/>
      <c r="G4271" s="714"/>
      <c r="H4271" s="700"/>
      <c r="I4271" s="714"/>
      <c r="J4271" s="714">
        <f t="shared" si="487"/>
        <v>0</v>
      </c>
      <c r="K4271" s="700"/>
      <c r="L4271" s="714"/>
      <c r="M4271" s="714"/>
      <c r="N4271" s="700"/>
      <c r="O4271" s="974"/>
      <c r="P4271" s="956"/>
      <c r="Q4271" s="1821"/>
      <c r="R4271" s="1821"/>
      <c r="S4271" s="1821"/>
      <c r="T4271" s="1821"/>
      <c r="U4271" s="1821"/>
      <c r="V4271" s="1821"/>
      <c r="W4271" s="1821"/>
      <c r="X4271" s="1821"/>
      <c r="Y4271" s="1821"/>
      <c r="Z4271" s="1821"/>
      <c r="AA4271" s="1821"/>
      <c r="AB4271" s="1821"/>
      <c r="AC4271" s="1821"/>
      <c r="AD4271" s="1821"/>
      <c r="AE4271" s="1821"/>
      <c r="AF4271" s="1821"/>
      <c r="AG4271" s="1821"/>
      <c r="AH4271" s="1821"/>
      <c r="AI4271" s="1821"/>
      <c r="AJ4271" s="1821"/>
      <c r="AK4271" s="1821"/>
      <c r="AL4271" s="1821"/>
      <c r="AM4271" s="1821"/>
      <c r="AN4271" s="1821"/>
      <c r="AO4271" s="1821"/>
      <c r="AP4271" s="1821"/>
      <c r="AQ4271" s="1821"/>
      <c r="AR4271" s="1821"/>
      <c r="AS4271" s="1821"/>
      <c r="AT4271" s="1821"/>
      <c r="AU4271" s="1821"/>
      <c r="AV4271" s="1821"/>
      <c r="AW4271" s="1821"/>
      <c r="AX4271" s="1821"/>
      <c r="AY4271" s="1821"/>
      <c r="AZ4271" s="1821"/>
      <c r="BA4271" s="1821"/>
      <c r="BB4271" s="1821"/>
      <c r="BC4271" s="1821"/>
      <c r="BD4271" s="1821"/>
      <c r="BE4271" s="1821"/>
      <c r="BF4271" s="1821"/>
      <c r="BG4271" s="1821"/>
      <c r="BH4271" s="1821"/>
      <c r="BI4271" s="1821"/>
      <c r="BJ4271" s="1821"/>
      <c r="BK4271" s="1821"/>
      <c r="BL4271" s="1821"/>
      <c r="BM4271" s="1821"/>
      <c r="BN4271" s="1821"/>
      <c r="BO4271" s="1821"/>
      <c r="BP4271" s="1821"/>
      <c r="BQ4271" s="1821"/>
      <c r="BR4271" s="1821"/>
      <c r="BS4271" s="1821"/>
      <c r="BT4271" s="1821"/>
      <c r="BU4271" s="1821"/>
      <c r="BV4271" s="1821"/>
      <c r="BW4271" s="1821"/>
      <c r="BX4271" s="1821"/>
      <c r="BY4271" s="1821"/>
      <c r="BZ4271" s="1821"/>
      <c r="CA4271" s="1821"/>
      <c r="CB4271" s="1821"/>
      <c r="CC4271" s="1821"/>
      <c r="CD4271" s="1821"/>
      <c r="CE4271" s="1821"/>
      <c r="CF4271" s="1821"/>
      <c r="CG4271" s="1821"/>
      <c r="CH4271" s="1821"/>
      <c r="CI4271" s="1821"/>
      <c r="CJ4271" s="1821"/>
      <c r="CK4271" s="1821"/>
    </row>
    <row r="4272" spans="1:89" s="744" customFormat="1" ht="16.5" hidden="1" customHeight="1" x14ac:dyDescent="0.25">
      <c r="A4272" s="1033"/>
      <c r="B4272" s="709" t="s">
        <v>365</v>
      </c>
      <c r="C4272" s="827">
        <v>1</v>
      </c>
      <c r="D4272" s="961" t="s">
        <v>25</v>
      </c>
      <c r="E4272" s="758">
        <v>55000</v>
      </c>
      <c r="F4272" s="714"/>
      <c r="G4272" s="714"/>
      <c r="H4272" s="700"/>
      <c r="I4272" s="714"/>
      <c r="J4272" s="714">
        <f t="shared" si="487"/>
        <v>55000</v>
      </c>
      <c r="K4272" s="700">
        <f>J4272+I4272</f>
        <v>55000</v>
      </c>
      <c r="L4272" s="714"/>
      <c r="M4272" s="714"/>
      <c r="N4272" s="700"/>
      <c r="O4272" s="974">
        <f>N4272+K4272+H4272</f>
        <v>55000</v>
      </c>
      <c r="P4272" s="956"/>
      <c r="Q4272" s="1821"/>
      <c r="R4272" s="1821"/>
      <c r="S4272" s="1821"/>
      <c r="T4272" s="1821"/>
      <c r="U4272" s="1821"/>
      <c r="V4272" s="1821"/>
      <c r="W4272" s="1821"/>
      <c r="X4272" s="1821"/>
      <c r="Y4272" s="1821"/>
      <c r="Z4272" s="1821"/>
      <c r="AA4272" s="1821"/>
      <c r="AB4272" s="1821"/>
      <c r="AC4272" s="1821"/>
      <c r="AD4272" s="1821"/>
      <c r="AE4272" s="1821"/>
      <c r="AF4272" s="1821"/>
      <c r="AG4272" s="1821"/>
      <c r="AH4272" s="1821"/>
      <c r="AI4272" s="1821"/>
      <c r="AJ4272" s="1821"/>
      <c r="AK4272" s="1821"/>
      <c r="AL4272" s="1821"/>
      <c r="AM4272" s="1821"/>
      <c r="AN4272" s="1821"/>
      <c r="AO4272" s="1821"/>
      <c r="AP4272" s="1821"/>
      <c r="AQ4272" s="1821"/>
      <c r="AR4272" s="1821"/>
      <c r="AS4272" s="1821"/>
      <c r="AT4272" s="1821"/>
      <c r="AU4272" s="1821"/>
      <c r="AV4272" s="1821"/>
      <c r="AW4272" s="1821"/>
      <c r="AX4272" s="1821"/>
      <c r="AY4272" s="1821"/>
      <c r="AZ4272" s="1821"/>
      <c r="BA4272" s="1821"/>
      <c r="BB4272" s="1821"/>
      <c r="BC4272" s="1821"/>
      <c r="BD4272" s="1821"/>
      <c r="BE4272" s="1821"/>
      <c r="BF4272" s="1821"/>
      <c r="BG4272" s="1821"/>
      <c r="BH4272" s="1821"/>
      <c r="BI4272" s="1821"/>
      <c r="BJ4272" s="1821"/>
      <c r="BK4272" s="1821"/>
      <c r="BL4272" s="1821"/>
      <c r="BM4272" s="1821"/>
      <c r="BN4272" s="1821"/>
      <c r="BO4272" s="1821"/>
      <c r="BP4272" s="1821"/>
      <c r="BQ4272" s="1821"/>
      <c r="BR4272" s="1821"/>
      <c r="BS4272" s="1821"/>
      <c r="BT4272" s="1821"/>
      <c r="BU4272" s="1821"/>
      <c r="BV4272" s="1821"/>
      <c r="BW4272" s="1821"/>
      <c r="BX4272" s="1821"/>
      <c r="BY4272" s="1821"/>
      <c r="BZ4272" s="1821"/>
      <c r="CA4272" s="1821"/>
      <c r="CB4272" s="1821"/>
      <c r="CC4272" s="1821"/>
      <c r="CD4272" s="1821"/>
      <c r="CE4272" s="1821"/>
      <c r="CF4272" s="1821"/>
      <c r="CG4272" s="1821"/>
      <c r="CH4272" s="1821"/>
      <c r="CI4272" s="1821"/>
      <c r="CJ4272" s="1821"/>
      <c r="CK4272" s="1821"/>
    </row>
    <row r="4273" spans="1:89" s="744" customFormat="1" ht="16.5" hidden="1" customHeight="1" x14ac:dyDescent="0.25">
      <c r="A4273" s="1033"/>
      <c r="B4273" s="709" t="s">
        <v>1389</v>
      </c>
      <c r="C4273" s="827"/>
      <c r="D4273" s="961"/>
      <c r="E4273" s="758"/>
      <c r="F4273" s="714"/>
      <c r="G4273" s="714"/>
      <c r="H4273" s="700"/>
      <c r="I4273" s="714"/>
      <c r="J4273" s="714">
        <f t="shared" si="487"/>
        <v>0</v>
      </c>
      <c r="K4273" s="700"/>
      <c r="L4273" s="714"/>
      <c r="M4273" s="714"/>
      <c r="N4273" s="700"/>
      <c r="O4273" s="974"/>
      <c r="P4273" s="956"/>
      <c r="Q4273" s="1821"/>
      <c r="R4273" s="1821"/>
      <c r="S4273" s="1821"/>
      <c r="T4273" s="1821"/>
      <c r="U4273" s="1821"/>
      <c r="V4273" s="1821"/>
      <c r="W4273" s="1821"/>
      <c r="X4273" s="1821"/>
      <c r="Y4273" s="1821"/>
      <c r="Z4273" s="1821"/>
      <c r="AA4273" s="1821"/>
      <c r="AB4273" s="1821"/>
      <c r="AC4273" s="1821"/>
      <c r="AD4273" s="1821"/>
      <c r="AE4273" s="1821"/>
      <c r="AF4273" s="1821"/>
      <c r="AG4273" s="1821"/>
      <c r="AH4273" s="1821"/>
      <c r="AI4273" s="1821"/>
      <c r="AJ4273" s="1821"/>
      <c r="AK4273" s="1821"/>
      <c r="AL4273" s="1821"/>
      <c r="AM4273" s="1821"/>
      <c r="AN4273" s="1821"/>
      <c r="AO4273" s="1821"/>
      <c r="AP4273" s="1821"/>
      <c r="AQ4273" s="1821"/>
      <c r="AR4273" s="1821"/>
      <c r="AS4273" s="1821"/>
      <c r="AT4273" s="1821"/>
      <c r="AU4273" s="1821"/>
      <c r="AV4273" s="1821"/>
      <c r="AW4273" s="1821"/>
      <c r="AX4273" s="1821"/>
      <c r="AY4273" s="1821"/>
      <c r="AZ4273" s="1821"/>
      <c r="BA4273" s="1821"/>
      <c r="BB4273" s="1821"/>
      <c r="BC4273" s="1821"/>
      <c r="BD4273" s="1821"/>
      <c r="BE4273" s="1821"/>
      <c r="BF4273" s="1821"/>
      <c r="BG4273" s="1821"/>
      <c r="BH4273" s="1821"/>
      <c r="BI4273" s="1821"/>
      <c r="BJ4273" s="1821"/>
      <c r="BK4273" s="1821"/>
      <c r="BL4273" s="1821"/>
      <c r="BM4273" s="1821"/>
      <c r="BN4273" s="1821"/>
      <c r="BO4273" s="1821"/>
      <c r="BP4273" s="1821"/>
      <c r="BQ4273" s="1821"/>
      <c r="BR4273" s="1821"/>
      <c r="BS4273" s="1821"/>
      <c r="BT4273" s="1821"/>
      <c r="BU4273" s="1821"/>
      <c r="BV4273" s="1821"/>
      <c r="BW4273" s="1821"/>
      <c r="BX4273" s="1821"/>
      <c r="BY4273" s="1821"/>
      <c r="BZ4273" s="1821"/>
      <c r="CA4273" s="1821"/>
      <c r="CB4273" s="1821"/>
      <c r="CC4273" s="1821"/>
      <c r="CD4273" s="1821"/>
      <c r="CE4273" s="1821"/>
      <c r="CF4273" s="1821"/>
      <c r="CG4273" s="1821"/>
      <c r="CH4273" s="1821"/>
      <c r="CI4273" s="1821"/>
      <c r="CJ4273" s="1821"/>
      <c r="CK4273" s="1821"/>
    </row>
    <row r="4274" spans="1:89" s="744" customFormat="1" ht="16.5" hidden="1" customHeight="1" x14ac:dyDescent="0.25">
      <c r="A4274" s="1033"/>
      <c r="B4274" s="709" t="s">
        <v>359</v>
      </c>
      <c r="C4274" s="827">
        <v>10</v>
      </c>
      <c r="D4274" s="961" t="s">
        <v>51</v>
      </c>
      <c r="E4274" s="758">
        <v>150</v>
      </c>
      <c r="F4274" s="714"/>
      <c r="G4274" s="714"/>
      <c r="H4274" s="700"/>
      <c r="I4274" s="714"/>
      <c r="J4274" s="714">
        <f t="shared" si="487"/>
        <v>1500</v>
      </c>
      <c r="K4274" s="700">
        <f>H4274+J4274</f>
        <v>1500</v>
      </c>
      <c r="L4274" s="714"/>
      <c r="M4274" s="714"/>
      <c r="N4274" s="700"/>
      <c r="O4274" s="974">
        <f>N4274+K4274+H4274</f>
        <v>1500</v>
      </c>
      <c r="P4274" s="956"/>
      <c r="Q4274" s="1821"/>
      <c r="R4274" s="1821"/>
      <c r="S4274" s="1821"/>
      <c r="T4274" s="1821"/>
      <c r="U4274" s="1821"/>
      <c r="V4274" s="1821"/>
      <c r="W4274" s="1821"/>
      <c r="X4274" s="1821"/>
      <c r="Y4274" s="1821"/>
      <c r="Z4274" s="1821"/>
      <c r="AA4274" s="1821"/>
      <c r="AB4274" s="1821"/>
      <c r="AC4274" s="1821"/>
      <c r="AD4274" s="1821"/>
      <c r="AE4274" s="1821"/>
      <c r="AF4274" s="1821"/>
      <c r="AG4274" s="1821"/>
      <c r="AH4274" s="1821"/>
      <c r="AI4274" s="1821"/>
      <c r="AJ4274" s="1821"/>
      <c r="AK4274" s="1821"/>
      <c r="AL4274" s="1821"/>
      <c r="AM4274" s="1821"/>
      <c r="AN4274" s="1821"/>
      <c r="AO4274" s="1821"/>
      <c r="AP4274" s="1821"/>
      <c r="AQ4274" s="1821"/>
      <c r="AR4274" s="1821"/>
      <c r="AS4274" s="1821"/>
      <c r="AT4274" s="1821"/>
      <c r="AU4274" s="1821"/>
      <c r="AV4274" s="1821"/>
      <c r="AW4274" s="1821"/>
      <c r="AX4274" s="1821"/>
      <c r="AY4274" s="1821"/>
      <c r="AZ4274" s="1821"/>
      <c r="BA4274" s="1821"/>
      <c r="BB4274" s="1821"/>
      <c r="BC4274" s="1821"/>
      <c r="BD4274" s="1821"/>
      <c r="BE4274" s="1821"/>
      <c r="BF4274" s="1821"/>
      <c r="BG4274" s="1821"/>
      <c r="BH4274" s="1821"/>
      <c r="BI4274" s="1821"/>
      <c r="BJ4274" s="1821"/>
      <c r="BK4274" s="1821"/>
      <c r="BL4274" s="1821"/>
      <c r="BM4274" s="1821"/>
      <c r="BN4274" s="1821"/>
      <c r="BO4274" s="1821"/>
      <c r="BP4274" s="1821"/>
      <c r="BQ4274" s="1821"/>
      <c r="BR4274" s="1821"/>
      <c r="BS4274" s="1821"/>
      <c r="BT4274" s="1821"/>
      <c r="BU4274" s="1821"/>
      <c r="BV4274" s="1821"/>
      <c r="BW4274" s="1821"/>
      <c r="BX4274" s="1821"/>
      <c r="BY4274" s="1821"/>
      <c r="BZ4274" s="1821"/>
      <c r="CA4274" s="1821"/>
      <c r="CB4274" s="1821"/>
      <c r="CC4274" s="1821"/>
      <c r="CD4274" s="1821"/>
      <c r="CE4274" s="1821"/>
      <c r="CF4274" s="1821"/>
      <c r="CG4274" s="1821"/>
      <c r="CH4274" s="1821"/>
      <c r="CI4274" s="1821"/>
      <c r="CJ4274" s="1821"/>
      <c r="CK4274" s="1821"/>
    </row>
    <row r="4275" spans="1:89" s="744" customFormat="1" ht="16.5" hidden="1" customHeight="1" x14ac:dyDescent="0.25">
      <c r="A4275" s="1033"/>
      <c r="B4275" s="709" t="s">
        <v>54</v>
      </c>
      <c r="C4275" s="827">
        <v>40</v>
      </c>
      <c r="D4275" s="961" t="s">
        <v>55</v>
      </c>
      <c r="E4275" s="758">
        <v>150</v>
      </c>
      <c r="F4275" s="714"/>
      <c r="G4275" s="714"/>
      <c r="H4275" s="700"/>
      <c r="I4275" s="714"/>
      <c r="J4275" s="714">
        <f t="shared" si="487"/>
        <v>6000</v>
      </c>
      <c r="K4275" s="700">
        <f>H4275+J4275</f>
        <v>6000</v>
      </c>
      <c r="L4275" s="714"/>
      <c r="M4275" s="714"/>
      <c r="N4275" s="700"/>
      <c r="O4275" s="974">
        <f>N4275+K4275+H4275</f>
        <v>6000</v>
      </c>
      <c r="P4275" s="956"/>
      <c r="Q4275" s="1821"/>
      <c r="R4275" s="1821"/>
      <c r="S4275" s="1821"/>
      <c r="T4275" s="1821"/>
      <c r="U4275" s="1821"/>
      <c r="V4275" s="1821"/>
      <c r="W4275" s="1821"/>
      <c r="X4275" s="1821"/>
      <c r="Y4275" s="1821"/>
      <c r="Z4275" s="1821"/>
      <c r="AA4275" s="1821"/>
      <c r="AB4275" s="1821"/>
      <c r="AC4275" s="1821"/>
      <c r="AD4275" s="1821"/>
      <c r="AE4275" s="1821"/>
      <c r="AF4275" s="1821"/>
      <c r="AG4275" s="1821"/>
      <c r="AH4275" s="1821"/>
      <c r="AI4275" s="1821"/>
      <c r="AJ4275" s="1821"/>
      <c r="AK4275" s="1821"/>
      <c r="AL4275" s="1821"/>
      <c r="AM4275" s="1821"/>
      <c r="AN4275" s="1821"/>
      <c r="AO4275" s="1821"/>
      <c r="AP4275" s="1821"/>
      <c r="AQ4275" s="1821"/>
      <c r="AR4275" s="1821"/>
      <c r="AS4275" s="1821"/>
      <c r="AT4275" s="1821"/>
      <c r="AU4275" s="1821"/>
      <c r="AV4275" s="1821"/>
      <c r="AW4275" s="1821"/>
      <c r="AX4275" s="1821"/>
      <c r="AY4275" s="1821"/>
      <c r="AZ4275" s="1821"/>
      <c r="BA4275" s="1821"/>
      <c r="BB4275" s="1821"/>
      <c r="BC4275" s="1821"/>
      <c r="BD4275" s="1821"/>
      <c r="BE4275" s="1821"/>
      <c r="BF4275" s="1821"/>
      <c r="BG4275" s="1821"/>
      <c r="BH4275" s="1821"/>
      <c r="BI4275" s="1821"/>
      <c r="BJ4275" s="1821"/>
      <c r="BK4275" s="1821"/>
      <c r="BL4275" s="1821"/>
      <c r="BM4275" s="1821"/>
      <c r="BN4275" s="1821"/>
      <c r="BO4275" s="1821"/>
      <c r="BP4275" s="1821"/>
      <c r="BQ4275" s="1821"/>
      <c r="BR4275" s="1821"/>
      <c r="BS4275" s="1821"/>
      <c r="BT4275" s="1821"/>
      <c r="BU4275" s="1821"/>
      <c r="BV4275" s="1821"/>
      <c r="BW4275" s="1821"/>
      <c r="BX4275" s="1821"/>
      <c r="BY4275" s="1821"/>
      <c r="BZ4275" s="1821"/>
      <c r="CA4275" s="1821"/>
      <c r="CB4275" s="1821"/>
      <c r="CC4275" s="1821"/>
      <c r="CD4275" s="1821"/>
      <c r="CE4275" s="1821"/>
      <c r="CF4275" s="1821"/>
      <c r="CG4275" s="1821"/>
      <c r="CH4275" s="1821"/>
      <c r="CI4275" s="1821"/>
      <c r="CJ4275" s="1821"/>
      <c r="CK4275" s="1821"/>
    </row>
    <row r="4276" spans="1:89" s="744" customFormat="1" ht="16.5" hidden="1" customHeight="1" x14ac:dyDescent="0.25">
      <c r="A4276" s="1033"/>
      <c r="B4276" s="709" t="s">
        <v>1390</v>
      </c>
      <c r="C4276" s="827">
        <v>30</v>
      </c>
      <c r="D4276" s="961" t="s">
        <v>66</v>
      </c>
      <c r="E4276" s="758">
        <v>703</v>
      </c>
      <c r="F4276" s="714"/>
      <c r="G4276" s="714"/>
      <c r="H4276" s="700"/>
      <c r="I4276" s="714"/>
      <c r="J4276" s="714">
        <f t="shared" si="487"/>
        <v>21090</v>
      </c>
      <c r="K4276" s="700">
        <f>H4276+J4276</f>
        <v>21090</v>
      </c>
      <c r="L4276" s="714"/>
      <c r="M4276" s="714"/>
      <c r="N4276" s="700"/>
      <c r="O4276" s="974">
        <f>N4276+K4276+H4276</f>
        <v>21090</v>
      </c>
      <c r="P4276" s="956"/>
      <c r="Q4276" s="1821"/>
      <c r="R4276" s="1821"/>
      <c r="S4276" s="1821"/>
      <c r="T4276" s="1821"/>
      <c r="U4276" s="1821"/>
      <c r="V4276" s="1821"/>
      <c r="W4276" s="1821"/>
      <c r="X4276" s="1821"/>
      <c r="Y4276" s="1821"/>
      <c r="Z4276" s="1821"/>
      <c r="AA4276" s="1821"/>
      <c r="AB4276" s="1821"/>
      <c r="AC4276" s="1821"/>
      <c r="AD4276" s="1821"/>
      <c r="AE4276" s="1821"/>
      <c r="AF4276" s="1821"/>
      <c r="AG4276" s="1821"/>
      <c r="AH4276" s="1821"/>
      <c r="AI4276" s="1821"/>
      <c r="AJ4276" s="1821"/>
      <c r="AK4276" s="1821"/>
      <c r="AL4276" s="1821"/>
      <c r="AM4276" s="1821"/>
      <c r="AN4276" s="1821"/>
      <c r="AO4276" s="1821"/>
      <c r="AP4276" s="1821"/>
      <c r="AQ4276" s="1821"/>
      <c r="AR4276" s="1821"/>
      <c r="AS4276" s="1821"/>
      <c r="AT4276" s="1821"/>
      <c r="AU4276" s="1821"/>
      <c r="AV4276" s="1821"/>
      <c r="AW4276" s="1821"/>
      <c r="AX4276" s="1821"/>
      <c r="AY4276" s="1821"/>
      <c r="AZ4276" s="1821"/>
      <c r="BA4276" s="1821"/>
      <c r="BB4276" s="1821"/>
      <c r="BC4276" s="1821"/>
      <c r="BD4276" s="1821"/>
      <c r="BE4276" s="1821"/>
      <c r="BF4276" s="1821"/>
      <c r="BG4276" s="1821"/>
      <c r="BH4276" s="1821"/>
      <c r="BI4276" s="1821"/>
      <c r="BJ4276" s="1821"/>
      <c r="BK4276" s="1821"/>
      <c r="BL4276" s="1821"/>
      <c r="BM4276" s="1821"/>
      <c r="BN4276" s="1821"/>
      <c r="BO4276" s="1821"/>
      <c r="BP4276" s="1821"/>
      <c r="BQ4276" s="1821"/>
      <c r="BR4276" s="1821"/>
      <c r="BS4276" s="1821"/>
      <c r="BT4276" s="1821"/>
      <c r="BU4276" s="1821"/>
      <c r="BV4276" s="1821"/>
      <c r="BW4276" s="1821"/>
      <c r="BX4276" s="1821"/>
      <c r="BY4276" s="1821"/>
      <c r="BZ4276" s="1821"/>
      <c r="CA4276" s="1821"/>
      <c r="CB4276" s="1821"/>
      <c r="CC4276" s="1821"/>
      <c r="CD4276" s="1821"/>
      <c r="CE4276" s="1821"/>
      <c r="CF4276" s="1821"/>
      <c r="CG4276" s="1821"/>
      <c r="CH4276" s="1821"/>
      <c r="CI4276" s="1821"/>
      <c r="CJ4276" s="1821"/>
      <c r="CK4276" s="1821"/>
    </row>
    <row r="4277" spans="1:89" s="744" customFormat="1" ht="16.5" hidden="1" customHeight="1" x14ac:dyDescent="0.25">
      <c r="A4277" s="1033"/>
      <c r="B4277" s="709" t="s">
        <v>429</v>
      </c>
      <c r="C4277" s="827"/>
      <c r="D4277" s="961"/>
      <c r="E4277" s="758"/>
      <c r="F4277" s="714"/>
      <c r="G4277" s="714"/>
      <c r="H4277" s="700"/>
      <c r="I4277" s="714"/>
      <c r="J4277" s="714">
        <f t="shared" si="487"/>
        <v>0</v>
      </c>
      <c r="K4277" s="700"/>
      <c r="L4277" s="714"/>
      <c r="M4277" s="714"/>
      <c r="N4277" s="700"/>
      <c r="O4277" s="974"/>
      <c r="P4277" s="956"/>
      <c r="Q4277" s="1821"/>
      <c r="R4277" s="1821"/>
      <c r="S4277" s="1821"/>
      <c r="T4277" s="1821"/>
      <c r="U4277" s="1821"/>
      <c r="V4277" s="1821"/>
      <c r="W4277" s="1821"/>
      <c r="X4277" s="1821"/>
      <c r="Y4277" s="1821"/>
      <c r="Z4277" s="1821"/>
      <c r="AA4277" s="1821"/>
      <c r="AB4277" s="1821"/>
      <c r="AC4277" s="1821"/>
      <c r="AD4277" s="1821"/>
      <c r="AE4277" s="1821"/>
      <c r="AF4277" s="1821"/>
      <c r="AG4277" s="1821"/>
      <c r="AH4277" s="1821"/>
      <c r="AI4277" s="1821"/>
      <c r="AJ4277" s="1821"/>
      <c r="AK4277" s="1821"/>
      <c r="AL4277" s="1821"/>
      <c r="AM4277" s="1821"/>
      <c r="AN4277" s="1821"/>
      <c r="AO4277" s="1821"/>
      <c r="AP4277" s="1821"/>
      <c r="AQ4277" s="1821"/>
      <c r="AR4277" s="1821"/>
      <c r="AS4277" s="1821"/>
      <c r="AT4277" s="1821"/>
      <c r="AU4277" s="1821"/>
      <c r="AV4277" s="1821"/>
      <c r="AW4277" s="1821"/>
      <c r="AX4277" s="1821"/>
      <c r="AY4277" s="1821"/>
      <c r="AZ4277" s="1821"/>
      <c r="BA4277" s="1821"/>
      <c r="BB4277" s="1821"/>
      <c r="BC4277" s="1821"/>
      <c r="BD4277" s="1821"/>
      <c r="BE4277" s="1821"/>
      <c r="BF4277" s="1821"/>
      <c r="BG4277" s="1821"/>
      <c r="BH4277" s="1821"/>
      <c r="BI4277" s="1821"/>
      <c r="BJ4277" s="1821"/>
      <c r="BK4277" s="1821"/>
      <c r="BL4277" s="1821"/>
      <c r="BM4277" s="1821"/>
      <c r="BN4277" s="1821"/>
      <c r="BO4277" s="1821"/>
      <c r="BP4277" s="1821"/>
      <c r="BQ4277" s="1821"/>
      <c r="BR4277" s="1821"/>
      <c r="BS4277" s="1821"/>
      <c r="BT4277" s="1821"/>
      <c r="BU4277" s="1821"/>
      <c r="BV4277" s="1821"/>
      <c r="BW4277" s="1821"/>
      <c r="BX4277" s="1821"/>
      <c r="BY4277" s="1821"/>
      <c r="BZ4277" s="1821"/>
      <c r="CA4277" s="1821"/>
      <c r="CB4277" s="1821"/>
      <c r="CC4277" s="1821"/>
      <c r="CD4277" s="1821"/>
      <c r="CE4277" s="1821"/>
      <c r="CF4277" s="1821"/>
      <c r="CG4277" s="1821"/>
      <c r="CH4277" s="1821"/>
      <c r="CI4277" s="1821"/>
      <c r="CJ4277" s="1821"/>
      <c r="CK4277" s="1821"/>
    </row>
    <row r="4278" spans="1:89" s="744" customFormat="1" ht="16.5" hidden="1" customHeight="1" x14ac:dyDescent="0.25">
      <c r="A4278" s="1033"/>
      <c r="B4278" s="709" t="s">
        <v>359</v>
      </c>
      <c r="C4278" s="827">
        <v>30</v>
      </c>
      <c r="D4278" s="961" t="s">
        <v>51</v>
      </c>
      <c r="E4278" s="758">
        <v>2464</v>
      </c>
      <c r="F4278" s="714"/>
      <c r="G4278" s="714"/>
      <c r="H4278" s="700">
        <f>G4278+F4278</f>
        <v>0</v>
      </c>
      <c r="I4278" s="714"/>
      <c r="J4278" s="714">
        <f t="shared" si="487"/>
        <v>73920</v>
      </c>
      <c r="K4278" s="700">
        <f>J4278+I4278</f>
        <v>73920</v>
      </c>
      <c r="L4278" s="714"/>
      <c r="M4278" s="714"/>
      <c r="N4278" s="700">
        <f>M4278+L4278</f>
        <v>0</v>
      </c>
      <c r="O4278" s="974">
        <f>N4278+K4278+H4278</f>
        <v>73920</v>
      </c>
      <c r="P4278" s="956"/>
      <c r="Q4278" s="1821"/>
      <c r="R4278" s="1821"/>
      <c r="S4278" s="1821"/>
      <c r="T4278" s="1821"/>
      <c r="U4278" s="1821"/>
      <c r="V4278" s="1821"/>
      <c r="W4278" s="1821"/>
      <c r="X4278" s="1821"/>
      <c r="Y4278" s="1821"/>
      <c r="Z4278" s="1821"/>
      <c r="AA4278" s="1821"/>
      <c r="AB4278" s="1821"/>
      <c r="AC4278" s="1821"/>
      <c r="AD4278" s="1821"/>
      <c r="AE4278" s="1821"/>
      <c r="AF4278" s="1821"/>
      <c r="AG4278" s="1821"/>
      <c r="AH4278" s="1821"/>
      <c r="AI4278" s="1821"/>
      <c r="AJ4278" s="1821"/>
      <c r="AK4278" s="1821"/>
      <c r="AL4278" s="1821"/>
      <c r="AM4278" s="1821"/>
      <c r="AN4278" s="1821"/>
      <c r="AO4278" s="1821"/>
      <c r="AP4278" s="1821"/>
      <c r="AQ4278" s="1821"/>
      <c r="AR4278" s="1821"/>
      <c r="AS4278" s="1821"/>
      <c r="AT4278" s="1821"/>
      <c r="AU4278" s="1821"/>
      <c r="AV4278" s="1821"/>
      <c r="AW4278" s="1821"/>
      <c r="AX4278" s="1821"/>
      <c r="AY4278" s="1821"/>
      <c r="AZ4278" s="1821"/>
      <c r="BA4278" s="1821"/>
      <c r="BB4278" s="1821"/>
      <c r="BC4278" s="1821"/>
      <c r="BD4278" s="1821"/>
      <c r="BE4278" s="1821"/>
      <c r="BF4278" s="1821"/>
      <c r="BG4278" s="1821"/>
      <c r="BH4278" s="1821"/>
      <c r="BI4278" s="1821"/>
      <c r="BJ4278" s="1821"/>
      <c r="BK4278" s="1821"/>
      <c r="BL4278" s="1821"/>
      <c r="BM4278" s="1821"/>
      <c r="BN4278" s="1821"/>
      <c r="BO4278" s="1821"/>
      <c r="BP4278" s="1821"/>
      <c r="BQ4278" s="1821"/>
      <c r="BR4278" s="1821"/>
      <c r="BS4278" s="1821"/>
      <c r="BT4278" s="1821"/>
      <c r="BU4278" s="1821"/>
      <c r="BV4278" s="1821"/>
      <c r="BW4278" s="1821"/>
      <c r="BX4278" s="1821"/>
      <c r="BY4278" s="1821"/>
      <c r="BZ4278" s="1821"/>
      <c r="CA4278" s="1821"/>
      <c r="CB4278" s="1821"/>
      <c r="CC4278" s="1821"/>
      <c r="CD4278" s="1821"/>
      <c r="CE4278" s="1821"/>
      <c r="CF4278" s="1821"/>
      <c r="CG4278" s="1821"/>
      <c r="CH4278" s="1821"/>
      <c r="CI4278" s="1821"/>
      <c r="CJ4278" s="1821"/>
      <c r="CK4278" s="1821"/>
    </row>
    <row r="4279" spans="1:89" s="744" customFormat="1" ht="16.5" hidden="1" customHeight="1" x14ac:dyDescent="0.25">
      <c r="A4279" s="1033"/>
      <c r="B4279" s="709" t="s">
        <v>54</v>
      </c>
      <c r="C4279" s="827">
        <v>90</v>
      </c>
      <c r="D4279" s="961" t="s">
        <v>55</v>
      </c>
      <c r="E4279" s="758">
        <v>447</v>
      </c>
      <c r="F4279" s="714"/>
      <c r="G4279" s="714"/>
      <c r="H4279" s="700">
        <f>G4279+F4279</f>
        <v>0</v>
      </c>
      <c r="I4279" s="714"/>
      <c r="J4279" s="714">
        <f t="shared" si="487"/>
        <v>40230</v>
      </c>
      <c r="K4279" s="700">
        <f>J4279+I4279</f>
        <v>40230</v>
      </c>
      <c r="L4279" s="714"/>
      <c r="M4279" s="714"/>
      <c r="N4279" s="700">
        <f>M4279+L4279</f>
        <v>0</v>
      </c>
      <c r="O4279" s="974">
        <f>N4279+K4279+H4279</f>
        <v>40230</v>
      </c>
      <c r="P4279" s="956"/>
      <c r="Q4279" s="1821"/>
      <c r="R4279" s="1821"/>
      <c r="S4279" s="1821"/>
      <c r="T4279" s="1821"/>
      <c r="U4279" s="1821"/>
      <c r="V4279" s="1821"/>
      <c r="W4279" s="1821"/>
      <c r="X4279" s="1821"/>
      <c r="Y4279" s="1821"/>
      <c r="Z4279" s="1821"/>
      <c r="AA4279" s="1821"/>
      <c r="AB4279" s="1821"/>
      <c r="AC4279" s="1821"/>
      <c r="AD4279" s="1821"/>
      <c r="AE4279" s="1821"/>
      <c r="AF4279" s="1821"/>
      <c r="AG4279" s="1821"/>
      <c r="AH4279" s="1821"/>
      <c r="AI4279" s="1821"/>
      <c r="AJ4279" s="1821"/>
      <c r="AK4279" s="1821"/>
      <c r="AL4279" s="1821"/>
      <c r="AM4279" s="1821"/>
      <c r="AN4279" s="1821"/>
      <c r="AO4279" s="1821"/>
      <c r="AP4279" s="1821"/>
      <c r="AQ4279" s="1821"/>
      <c r="AR4279" s="1821"/>
      <c r="AS4279" s="1821"/>
      <c r="AT4279" s="1821"/>
      <c r="AU4279" s="1821"/>
      <c r="AV4279" s="1821"/>
      <c r="AW4279" s="1821"/>
      <c r="AX4279" s="1821"/>
      <c r="AY4279" s="1821"/>
      <c r="AZ4279" s="1821"/>
      <c r="BA4279" s="1821"/>
      <c r="BB4279" s="1821"/>
      <c r="BC4279" s="1821"/>
      <c r="BD4279" s="1821"/>
      <c r="BE4279" s="1821"/>
      <c r="BF4279" s="1821"/>
      <c r="BG4279" s="1821"/>
      <c r="BH4279" s="1821"/>
      <c r="BI4279" s="1821"/>
      <c r="BJ4279" s="1821"/>
      <c r="BK4279" s="1821"/>
      <c r="BL4279" s="1821"/>
      <c r="BM4279" s="1821"/>
      <c r="BN4279" s="1821"/>
      <c r="BO4279" s="1821"/>
      <c r="BP4279" s="1821"/>
      <c r="BQ4279" s="1821"/>
      <c r="BR4279" s="1821"/>
      <c r="BS4279" s="1821"/>
      <c r="BT4279" s="1821"/>
      <c r="BU4279" s="1821"/>
      <c r="BV4279" s="1821"/>
      <c r="BW4279" s="1821"/>
      <c r="BX4279" s="1821"/>
      <c r="BY4279" s="1821"/>
      <c r="BZ4279" s="1821"/>
      <c r="CA4279" s="1821"/>
      <c r="CB4279" s="1821"/>
      <c r="CC4279" s="1821"/>
      <c r="CD4279" s="1821"/>
      <c r="CE4279" s="1821"/>
      <c r="CF4279" s="1821"/>
      <c r="CG4279" s="1821"/>
      <c r="CH4279" s="1821"/>
      <c r="CI4279" s="1821"/>
      <c r="CJ4279" s="1821"/>
      <c r="CK4279" s="1821"/>
    </row>
    <row r="4280" spans="1:89" s="744" customFormat="1" ht="16.5" hidden="1" customHeight="1" x14ac:dyDescent="0.25">
      <c r="A4280" s="1033"/>
      <c r="B4280" s="709" t="s">
        <v>52</v>
      </c>
      <c r="C4280" s="827">
        <v>60</v>
      </c>
      <c r="D4280" s="961" t="s">
        <v>55</v>
      </c>
      <c r="E4280" s="758">
        <v>647</v>
      </c>
      <c r="F4280" s="714"/>
      <c r="G4280" s="714"/>
      <c r="H4280" s="700">
        <f>G4280+F4280</f>
        <v>0</v>
      </c>
      <c r="I4280" s="714"/>
      <c r="J4280" s="714">
        <f t="shared" si="487"/>
        <v>38820</v>
      </c>
      <c r="K4280" s="700">
        <f>J4280+I4280</f>
        <v>38820</v>
      </c>
      <c r="L4280" s="714"/>
      <c r="M4280" s="714"/>
      <c r="N4280" s="700">
        <f>M4280+L4280</f>
        <v>0</v>
      </c>
      <c r="O4280" s="974">
        <f>N4280+K4280+H4280</f>
        <v>38820</v>
      </c>
      <c r="P4280" s="956"/>
      <c r="Q4280" s="1821"/>
      <c r="R4280" s="1821"/>
      <c r="S4280" s="1821"/>
      <c r="T4280" s="1821"/>
      <c r="U4280" s="1821"/>
      <c r="V4280" s="1821"/>
      <c r="W4280" s="1821"/>
      <c r="X4280" s="1821"/>
      <c r="Y4280" s="1821"/>
      <c r="Z4280" s="1821"/>
      <c r="AA4280" s="1821"/>
      <c r="AB4280" s="1821"/>
      <c r="AC4280" s="1821"/>
      <c r="AD4280" s="1821"/>
      <c r="AE4280" s="1821"/>
      <c r="AF4280" s="1821"/>
      <c r="AG4280" s="1821"/>
      <c r="AH4280" s="1821"/>
      <c r="AI4280" s="1821"/>
      <c r="AJ4280" s="1821"/>
      <c r="AK4280" s="1821"/>
      <c r="AL4280" s="1821"/>
      <c r="AM4280" s="1821"/>
      <c r="AN4280" s="1821"/>
      <c r="AO4280" s="1821"/>
      <c r="AP4280" s="1821"/>
      <c r="AQ4280" s="1821"/>
      <c r="AR4280" s="1821"/>
      <c r="AS4280" s="1821"/>
      <c r="AT4280" s="1821"/>
      <c r="AU4280" s="1821"/>
      <c r="AV4280" s="1821"/>
      <c r="AW4280" s="1821"/>
      <c r="AX4280" s="1821"/>
      <c r="AY4280" s="1821"/>
      <c r="AZ4280" s="1821"/>
      <c r="BA4280" s="1821"/>
      <c r="BB4280" s="1821"/>
      <c r="BC4280" s="1821"/>
      <c r="BD4280" s="1821"/>
      <c r="BE4280" s="1821"/>
      <c r="BF4280" s="1821"/>
      <c r="BG4280" s="1821"/>
      <c r="BH4280" s="1821"/>
      <c r="BI4280" s="1821"/>
      <c r="BJ4280" s="1821"/>
      <c r="BK4280" s="1821"/>
      <c r="BL4280" s="1821"/>
      <c r="BM4280" s="1821"/>
      <c r="BN4280" s="1821"/>
      <c r="BO4280" s="1821"/>
      <c r="BP4280" s="1821"/>
      <c r="BQ4280" s="1821"/>
      <c r="BR4280" s="1821"/>
      <c r="BS4280" s="1821"/>
      <c r="BT4280" s="1821"/>
      <c r="BU4280" s="1821"/>
      <c r="BV4280" s="1821"/>
      <c r="BW4280" s="1821"/>
      <c r="BX4280" s="1821"/>
      <c r="BY4280" s="1821"/>
      <c r="BZ4280" s="1821"/>
      <c r="CA4280" s="1821"/>
      <c r="CB4280" s="1821"/>
      <c r="CC4280" s="1821"/>
      <c r="CD4280" s="1821"/>
      <c r="CE4280" s="1821"/>
      <c r="CF4280" s="1821"/>
      <c r="CG4280" s="1821"/>
      <c r="CH4280" s="1821"/>
      <c r="CI4280" s="1821"/>
      <c r="CJ4280" s="1821"/>
      <c r="CK4280" s="1821"/>
    </row>
    <row r="4281" spans="1:89" s="744" customFormat="1" ht="16.5" hidden="1" customHeight="1" x14ac:dyDescent="0.25">
      <c r="A4281" s="1033"/>
      <c r="B4281" s="709" t="s">
        <v>1372</v>
      </c>
      <c r="C4281" s="827">
        <v>60</v>
      </c>
      <c r="D4281" s="961" t="s">
        <v>51</v>
      </c>
      <c r="E4281" s="758">
        <v>251</v>
      </c>
      <c r="F4281" s="714"/>
      <c r="G4281" s="714"/>
      <c r="H4281" s="700"/>
      <c r="I4281" s="714"/>
      <c r="J4281" s="714">
        <f t="shared" si="487"/>
        <v>15060</v>
      </c>
      <c r="K4281" s="700">
        <f>J4281+I4281</f>
        <v>15060</v>
      </c>
      <c r="L4281" s="714"/>
      <c r="M4281" s="714"/>
      <c r="N4281" s="700"/>
      <c r="O4281" s="974">
        <f>N4281+K4281+H4281</f>
        <v>15060</v>
      </c>
      <c r="P4281" s="956"/>
      <c r="Q4281" s="1821"/>
      <c r="R4281" s="1821"/>
      <c r="S4281" s="1821"/>
      <c r="T4281" s="1821"/>
      <c r="U4281" s="1821"/>
      <c r="V4281" s="1821"/>
      <c r="W4281" s="1821"/>
      <c r="X4281" s="1821"/>
      <c r="Y4281" s="1821"/>
      <c r="Z4281" s="1821"/>
      <c r="AA4281" s="1821"/>
      <c r="AB4281" s="1821"/>
      <c r="AC4281" s="1821"/>
      <c r="AD4281" s="1821"/>
      <c r="AE4281" s="1821"/>
      <c r="AF4281" s="1821"/>
      <c r="AG4281" s="1821"/>
      <c r="AH4281" s="1821"/>
      <c r="AI4281" s="1821"/>
      <c r="AJ4281" s="1821"/>
      <c r="AK4281" s="1821"/>
      <c r="AL4281" s="1821"/>
      <c r="AM4281" s="1821"/>
      <c r="AN4281" s="1821"/>
      <c r="AO4281" s="1821"/>
      <c r="AP4281" s="1821"/>
      <c r="AQ4281" s="1821"/>
      <c r="AR4281" s="1821"/>
      <c r="AS4281" s="1821"/>
      <c r="AT4281" s="1821"/>
      <c r="AU4281" s="1821"/>
      <c r="AV4281" s="1821"/>
      <c r="AW4281" s="1821"/>
      <c r="AX4281" s="1821"/>
      <c r="AY4281" s="1821"/>
      <c r="AZ4281" s="1821"/>
      <c r="BA4281" s="1821"/>
      <c r="BB4281" s="1821"/>
      <c r="BC4281" s="1821"/>
      <c r="BD4281" s="1821"/>
      <c r="BE4281" s="1821"/>
      <c r="BF4281" s="1821"/>
      <c r="BG4281" s="1821"/>
      <c r="BH4281" s="1821"/>
      <c r="BI4281" s="1821"/>
      <c r="BJ4281" s="1821"/>
      <c r="BK4281" s="1821"/>
      <c r="BL4281" s="1821"/>
      <c r="BM4281" s="1821"/>
      <c r="BN4281" s="1821"/>
      <c r="BO4281" s="1821"/>
      <c r="BP4281" s="1821"/>
      <c r="BQ4281" s="1821"/>
      <c r="BR4281" s="1821"/>
      <c r="BS4281" s="1821"/>
      <c r="BT4281" s="1821"/>
      <c r="BU4281" s="1821"/>
      <c r="BV4281" s="1821"/>
      <c r="BW4281" s="1821"/>
      <c r="BX4281" s="1821"/>
      <c r="BY4281" s="1821"/>
      <c r="BZ4281" s="1821"/>
      <c r="CA4281" s="1821"/>
      <c r="CB4281" s="1821"/>
      <c r="CC4281" s="1821"/>
      <c r="CD4281" s="1821"/>
      <c r="CE4281" s="1821"/>
      <c r="CF4281" s="1821"/>
      <c r="CG4281" s="1821"/>
      <c r="CH4281" s="1821"/>
      <c r="CI4281" s="1821"/>
      <c r="CJ4281" s="1821"/>
      <c r="CK4281" s="1821"/>
    </row>
    <row r="4282" spans="1:89" s="744" customFormat="1" ht="16.5" hidden="1" customHeight="1" x14ac:dyDescent="0.25">
      <c r="A4282" s="1033"/>
      <c r="B4282" s="709"/>
      <c r="C4282" s="827"/>
      <c r="D4282" s="961"/>
      <c r="E4282" s="758"/>
      <c r="F4282" s="714"/>
      <c r="G4282" s="714"/>
      <c r="H4282" s="700"/>
      <c r="I4282" s="714"/>
      <c r="J4282" s="714">
        <f t="shared" si="487"/>
        <v>0</v>
      </c>
      <c r="K4282" s="700"/>
      <c r="L4282" s="714"/>
      <c r="M4282" s="714"/>
      <c r="N4282" s="700"/>
      <c r="O4282" s="974"/>
      <c r="P4282" s="956"/>
      <c r="Q4282" s="1821"/>
      <c r="R4282" s="1821"/>
      <c r="S4282" s="1821"/>
      <c r="T4282" s="1821"/>
      <c r="U4282" s="1821"/>
      <c r="V4282" s="1821"/>
      <c r="W4282" s="1821"/>
      <c r="X4282" s="1821"/>
      <c r="Y4282" s="1821"/>
      <c r="Z4282" s="1821"/>
      <c r="AA4282" s="1821"/>
      <c r="AB4282" s="1821"/>
      <c r="AC4282" s="1821"/>
      <c r="AD4282" s="1821"/>
      <c r="AE4282" s="1821"/>
      <c r="AF4282" s="1821"/>
      <c r="AG4282" s="1821"/>
      <c r="AH4282" s="1821"/>
      <c r="AI4282" s="1821"/>
      <c r="AJ4282" s="1821"/>
      <c r="AK4282" s="1821"/>
      <c r="AL4282" s="1821"/>
      <c r="AM4282" s="1821"/>
      <c r="AN4282" s="1821"/>
      <c r="AO4282" s="1821"/>
      <c r="AP4282" s="1821"/>
      <c r="AQ4282" s="1821"/>
      <c r="AR4282" s="1821"/>
      <c r="AS4282" s="1821"/>
      <c r="AT4282" s="1821"/>
      <c r="AU4282" s="1821"/>
      <c r="AV4282" s="1821"/>
      <c r="AW4282" s="1821"/>
      <c r="AX4282" s="1821"/>
      <c r="AY4282" s="1821"/>
      <c r="AZ4282" s="1821"/>
      <c r="BA4282" s="1821"/>
      <c r="BB4282" s="1821"/>
      <c r="BC4282" s="1821"/>
      <c r="BD4282" s="1821"/>
      <c r="BE4282" s="1821"/>
      <c r="BF4282" s="1821"/>
      <c r="BG4282" s="1821"/>
      <c r="BH4282" s="1821"/>
      <c r="BI4282" s="1821"/>
      <c r="BJ4282" s="1821"/>
      <c r="BK4282" s="1821"/>
      <c r="BL4282" s="1821"/>
      <c r="BM4282" s="1821"/>
      <c r="BN4282" s="1821"/>
      <c r="BO4282" s="1821"/>
      <c r="BP4282" s="1821"/>
      <c r="BQ4282" s="1821"/>
      <c r="BR4282" s="1821"/>
      <c r="BS4282" s="1821"/>
      <c r="BT4282" s="1821"/>
      <c r="BU4282" s="1821"/>
      <c r="BV4282" s="1821"/>
      <c r="BW4282" s="1821"/>
      <c r="BX4282" s="1821"/>
      <c r="BY4282" s="1821"/>
      <c r="BZ4282" s="1821"/>
      <c r="CA4282" s="1821"/>
      <c r="CB4282" s="1821"/>
      <c r="CC4282" s="1821"/>
      <c r="CD4282" s="1821"/>
      <c r="CE4282" s="1821"/>
      <c r="CF4282" s="1821"/>
      <c r="CG4282" s="1821"/>
      <c r="CH4282" s="1821"/>
      <c r="CI4282" s="1821"/>
      <c r="CJ4282" s="1821"/>
      <c r="CK4282" s="1821"/>
    </row>
    <row r="4283" spans="1:89" s="744" customFormat="1" ht="16.5" hidden="1" customHeight="1" x14ac:dyDescent="0.25">
      <c r="A4283" s="1033">
        <v>19</v>
      </c>
      <c r="B4283" s="709" t="s">
        <v>1093</v>
      </c>
      <c r="C4283" s="827"/>
      <c r="D4283" s="961"/>
      <c r="E4283" s="758"/>
      <c r="F4283" s="714"/>
      <c r="G4283" s="714"/>
      <c r="H4283" s="700"/>
      <c r="I4283" s="714"/>
      <c r="J4283" s="714">
        <f t="shared" si="487"/>
        <v>0</v>
      </c>
      <c r="K4283" s="700"/>
      <c r="L4283" s="714"/>
      <c r="M4283" s="714"/>
      <c r="N4283" s="700"/>
      <c r="O4283" s="974"/>
      <c r="P4283" s="956"/>
      <c r="Q4283" s="1821"/>
      <c r="R4283" s="1821"/>
      <c r="S4283" s="1821"/>
      <c r="T4283" s="1821"/>
      <c r="U4283" s="1821"/>
      <c r="V4283" s="1821"/>
      <c r="W4283" s="1821"/>
      <c r="X4283" s="1821"/>
      <c r="Y4283" s="1821"/>
      <c r="Z4283" s="1821"/>
      <c r="AA4283" s="1821"/>
      <c r="AB4283" s="1821"/>
      <c r="AC4283" s="1821"/>
      <c r="AD4283" s="1821"/>
      <c r="AE4283" s="1821"/>
      <c r="AF4283" s="1821"/>
      <c r="AG4283" s="1821"/>
      <c r="AH4283" s="1821"/>
      <c r="AI4283" s="1821"/>
      <c r="AJ4283" s="1821"/>
      <c r="AK4283" s="1821"/>
      <c r="AL4283" s="1821"/>
      <c r="AM4283" s="1821"/>
      <c r="AN4283" s="1821"/>
      <c r="AO4283" s="1821"/>
      <c r="AP4283" s="1821"/>
      <c r="AQ4283" s="1821"/>
      <c r="AR4283" s="1821"/>
      <c r="AS4283" s="1821"/>
      <c r="AT4283" s="1821"/>
      <c r="AU4283" s="1821"/>
      <c r="AV4283" s="1821"/>
      <c r="AW4283" s="1821"/>
      <c r="AX4283" s="1821"/>
      <c r="AY4283" s="1821"/>
      <c r="AZ4283" s="1821"/>
      <c r="BA4283" s="1821"/>
      <c r="BB4283" s="1821"/>
      <c r="BC4283" s="1821"/>
      <c r="BD4283" s="1821"/>
      <c r="BE4283" s="1821"/>
      <c r="BF4283" s="1821"/>
      <c r="BG4283" s="1821"/>
      <c r="BH4283" s="1821"/>
      <c r="BI4283" s="1821"/>
      <c r="BJ4283" s="1821"/>
      <c r="BK4283" s="1821"/>
      <c r="BL4283" s="1821"/>
      <c r="BM4283" s="1821"/>
      <c r="BN4283" s="1821"/>
      <c r="BO4283" s="1821"/>
      <c r="BP4283" s="1821"/>
      <c r="BQ4283" s="1821"/>
      <c r="BR4283" s="1821"/>
      <c r="BS4283" s="1821"/>
      <c r="BT4283" s="1821"/>
      <c r="BU4283" s="1821"/>
      <c r="BV4283" s="1821"/>
      <c r="BW4283" s="1821"/>
      <c r="BX4283" s="1821"/>
      <c r="BY4283" s="1821"/>
      <c r="BZ4283" s="1821"/>
      <c r="CA4283" s="1821"/>
      <c r="CB4283" s="1821"/>
      <c r="CC4283" s="1821"/>
      <c r="CD4283" s="1821"/>
      <c r="CE4283" s="1821"/>
      <c r="CF4283" s="1821"/>
      <c r="CG4283" s="1821"/>
      <c r="CH4283" s="1821"/>
      <c r="CI4283" s="1821"/>
      <c r="CJ4283" s="1821"/>
      <c r="CK4283" s="1821"/>
    </row>
    <row r="4284" spans="1:89" s="744" customFormat="1" ht="16.5" hidden="1" customHeight="1" x14ac:dyDescent="0.25">
      <c r="A4284" s="1033" t="s">
        <v>49</v>
      </c>
      <c r="B4284" s="709" t="s">
        <v>278</v>
      </c>
      <c r="C4284" s="827">
        <f>SUM(O4285:O4290)</f>
        <v>200200</v>
      </c>
      <c r="D4284" s="961"/>
      <c r="E4284" s="758"/>
      <c r="F4284" s="714"/>
      <c r="G4284" s="714"/>
      <c r="H4284" s="700"/>
      <c r="I4284" s="714"/>
      <c r="J4284" s="714">
        <f t="shared" si="487"/>
        <v>0</v>
      </c>
      <c r="K4284" s="700"/>
      <c r="L4284" s="714"/>
      <c r="M4284" s="714"/>
      <c r="N4284" s="700"/>
      <c r="O4284" s="974"/>
      <c r="P4284" s="956"/>
      <c r="Q4284" s="1821"/>
      <c r="R4284" s="1821"/>
      <c r="S4284" s="1821"/>
      <c r="T4284" s="1821"/>
      <c r="U4284" s="1821"/>
      <c r="V4284" s="1821"/>
      <c r="W4284" s="1821"/>
      <c r="X4284" s="1821"/>
      <c r="Y4284" s="1821"/>
      <c r="Z4284" s="1821"/>
      <c r="AA4284" s="1821"/>
      <c r="AB4284" s="1821"/>
      <c r="AC4284" s="1821"/>
      <c r="AD4284" s="1821"/>
      <c r="AE4284" s="1821"/>
      <c r="AF4284" s="1821"/>
      <c r="AG4284" s="1821"/>
      <c r="AH4284" s="1821"/>
      <c r="AI4284" s="1821"/>
      <c r="AJ4284" s="1821"/>
      <c r="AK4284" s="1821"/>
      <c r="AL4284" s="1821"/>
      <c r="AM4284" s="1821"/>
      <c r="AN4284" s="1821"/>
      <c r="AO4284" s="1821"/>
      <c r="AP4284" s="1821"/>
      <c r="AQ4284" s="1821"/>
      <c r="AR4284" s="1821"/>
      <c r="AS4284" s="1821"/>
      <c r="AT4284" s="1821"/>
      <c r="AU4284" s="1821"/>
      <c r="AV4284" s="1821"/>
      <c r="AW4284" s="1821"/>
      <c r="AX4284" s="1821"/>
      <c r="AY4284" s="1821"/>
      <c r="AZ4284" s="1821"/>
      <c r="BA4284" s="1821"/>
      <c r="BB4284" s="1821"/>
      <c r="BC4284" s="1821"/>
      <c r="BD4284" s="1821"/>
      <c r="BE4284" s="1821"/>
      <c r="BF4284" s="1821"/>
      <c r="BG4284" s="1821"/>
      <c r="BH4284" s="1821"/>
      <c r="BI4284" s="1821"/>
      <c r="BJ4284" s="1821"/>
      <c r="BK4284" s="1821"/>
      <c r="BL4284" s="1821"/>
      <c r="BM4284" s="1821"/>
      <c r="BN4284" s="1821"/>
      <c r="BO4284" s="1821"/>
      <c r="BP4284" s="1821"/>
      <c r="BQ4284" s="1821"/>
      <c r="BR4284" s="1821"/>
      <c r="BS4284" s="1821"/>
      <c r="BT4284" s="1821"/>
      <c r="BU4284" s="1821"/>
      <c r="BV4284" s="1821"/>
      <c r="BW4284" s="1821"/>
      <c r="BX4284" s="1821"/>
      <c r="BY4284" s="1821"/>
      <c r="BZ4284" s="1821"/>
      <c r="CA4284" s="1821"/>
      <c r="CB4284" s="1821"/>
      <c r="CC4284" s="1821"/>
      <c r="CD4284" s="1821"/>
      <c r="CE4284" s="1821"/>
      <c r="CF4284" s="1821"/>
      <c r="CG4284" s="1821"/>
      <c r="CH4284" s="1821"/>
      <c r="CI4284" s="1821"/>
      <c r="CJ4284" s="1821"/>
      <c r="CK4284" s="1821"/>
    </row>
    <row r="4285" spans="1:89" s="744" customFormat="1" ht="16.5" hidden="1" customHeight="1" x14ac:dyDescent="0.25">
      <c r="A4285" s="1033"/>
      <c r="B4285" s="709" t="s">
        <v>365</v>
      </c>
      <c r="C4285" s="827">
        <v>1</v>
      </c>
      <c r="D4285" s="961" t="s">
        <v>25</v>
      </c>
      <c r="E4285" s="758">
        <v>77000</v>
      </c>
      <c r="F4285" s="714"/>
      <c r="G4285" s="714"/>
      <c r="H4285" s="700">
        <f>G4285+F4285</f>
        <v>0</v>
      </c>
      <c r="I4285" s="714"/>
      <c r="J4285" s="714">
        <f t="shared" si="487"/>
        <v>77000</v>
      </c>
      <c r="K4285" s="700">
        <f>J4285+I4285</f>
        <v>77000</v>
      </c>
      <c r="L4285" s="714"/>
      <c r="M4285" s="714"/>
      <c r="N4285" s="700">
        <f>M4285+L4285</f>
        <v>0</v>
      </c>
      <c r="O4285" s="974">
        <f>N4285+K4285+H4285</f>
        <v>77000</v>
      </c>
      <c r="P4285" s="956"/>
      <c r="Q4285" s="1821"/>
      <c r="R4285" s="1821"/>
      <c r="S4285" s="1821"/>
      <c r="T4285" s="1821"/>
      <c r="U4285" s="1821"/>
      <c r="V4285" s="1821"/>
      <c r="W4285" s="1821"/>
      <c r="X4285" s="1821"/>
      <c r="Y4285" s="1821"/>
      <c r="Z4285" s="1821"/>
      <c r="AA4285" s="1821"/>
      <c r="AB4285" s="1821"/>
      <c r="AC4285" s="1821"/>
      <c r="AD4285" s="1821"/>
      <c r="AE4285" s="1821"/>
      <c r="AF4285" s="1821"/>
      <c r="AG4285" s="1821"/>
      <c r="AH4285" s="1821"/>
      <c r="AI4285" s="1821"/>
      <c r="AJ4285" s="1821"/>
      <c r="AK4285" s="1821"/>
      <c r="AL4285" s="1821"/>
      <c r="AM4285" s="1821"/>
      <c r="AN4285" s="1821"/>
      <c r="AO4285" s="1821"/>
      <c r="AP4285" s="1821"/>
      <c r="AQ4285" s="1821"/>
      <c r="AR4285" s="1821"/>
      <c r="AS4285" s="1821"/>
      <c r="AT4285" s="1821"/>
      <c r="AU4285" s="1821"/>
      <c r="AV4285" s="1821"/>
      <c r="AW4285" s="1821"/>
      <c r="AX4285" s="1821"/>
      <c r="AY4285" s="1821"/>
      <c r="AZ4285" s="1821"/>
      <c r="BA4285" s="1821"/>
      <c r="BB4285" s="1821"/>
      <c r="BC4285" s="1821"/>
      <c r="BD4285" s="1821"/>
      <c r="BE4285" s="1821"/>
      <c r="BF4285" s="1821"/>
      <c r="BG4285" s="1821"/>
      <c r="BH4285" s="1821"/>
      <c r="BI4285" s="1821"/>
      <c r="BJ4285" s="1821"/>
      <c r="BK4285" s="1821"/>
      <c r="BL4285" s="1821"/>
      <c r="BM4285" s="1821"/>
      <c r="BN4285" s="1821"/>
      <c r="BO4285" s="1821"/>
      <c r="BP4285" s="1821"/>
      <c r="BQ4285" s="1821"/>
      <c r="BR4285" s="1821"/>
      <c r="BS4285" s="1821"/>
      <c r="BT4285" s="1821"/>
      <c r="BU4285" s="1821"/>
      <c r="BV4285" s="1821"/>
      <c r="BW4285" s="1821"/>
      <c r="BX4285" s="1821"/>
      <c r="BY4285" s="1821"/>
      <c r="BZ4285" s="1821"/>
      <c r="CA4285" s="1821"/>
      <c r="CB4285" s="1821"/>
      <c r="CC4285" s="1821"/>
      <c r="CD4285" s="1821"/>
      <c r="CE4285" s="1821"/>
      <c r="CF4285" s="1821"/>
      <c r="CG4285" s="1821"/>
      <c r="CH4285" s="1821"/>
      <c r="CI4285" s="1821"/>
      <c r="CJ4285" s="1821"/>
      <c r="CK4285" s="1821"/>
    </row>
    <row r="4286" spans="1:89" s="744" customFormat="1" ht="16.5" hidden="1" customHeight="1" x14ac:dyDescent="0.25">
      <c r="A4286" s="1033"/>
      <c r="B4286" s="709" t="s">
        <v>429</v>
      </c>
      <c r="C4286" s="827"/>
      <c r="D4286" s="961"/>
      <c r="E4286" s="758"/>
      <c r="F4286" s="714"/>
      <c r="G4286" s="714"/>
      <c r="H4286" s="700"/>
      <c r="I4286" s="714"/>
      <c r="J4286" s="714">
        <f t="shared" si="487"/>
        <v>0</v>
      </c>
      <c r="K4286" s="700"/>
      <c r="L4286" s="714"/>
      <c r="M4286" s="714"/>
      <c r="N4286" s="700"/>
      <c r="O4286" s="974"/>
      <c r="P4286" s="956"/>
      <c r="Q4286" s="1821"/>
      <c r="R4286" s="1821"/>
      <c r="S4286" s="1821"/>
      <c r="T4286" s="1821"/>
      <c r="U4286" s="1821"/>
      <c r="V4286" s="1821"/>
      <c r="W4286" s="1821"/>
      <c r="X4286" s="1821"/>
      <c r="Y4286" s="1821"/>
      <c r="Z4286" s="1821"/>
      <c r="AA4286" s="1821"/>
      <c r="AB4286" s="1821"/>
      <c r="AC4286" s="1821"/>
      <c r="AD4286" s="1821"/>
      <c r="AE4286" s="1821"/>
      <c r="AF4286" s="1821"/>
      <c r="AG4286" s="1821"/>
      <c r="AH4286" s="1821"/>
      <c r="AI4286" s="1821"/>
      <c r="AJ4286" s="1821"/>
      <c r="AK4286" s="1821"/>
      <c r="AL4286" s="1821"/>
      <c r="AM4286" s="1821"/>
      <c r="AN4286" s="1821"/>
      <c r="AO4286" s="1821"/>
      <c r="AP4286" s="1821"/>
      <c r="AQ4286" s="1821"/>
      <c r="AR4286" s="1821"/>
      <c r="AS4286" s="1821"/>
      <c r="AT4286" s="1821"/>
      <c r="AU4286" s="1821"/>
      <c r="AV4286" s="1821"/>
      <c r="AW4286" s="1821"/>
      <c r="AX4286" s="1821"/>
      <c r="AY4286" s="1821"/>
      <c r="AZ4286" s="1821"/>
      <c r="BA4286" s="1821"/>
      <c r="BB4286" s="1821"/>
      <c r="BC4286" s="1821"/>
      <c r="BD4286" s="1821"/>
      <c r="BE4286" s="1821"/>
      <c r="BF4286" s="1821"/>
      <c r="BG4286" s="1821"/>
      <c r="BH4286" s="1821"/>
      <c r="BI4286" s="1821"/>
      <c r="BJ4286" s="1821"/>
      <c r="BK4286" s="1821"/>
      <c r="BL4286" s="1821"/>
      <c r="BM4286" s="1821"/>
      <c r="BN4286" s="1821"/>
      <c r="BO4286" s="1821"/>
      <c r="BP4286" s="1821"/>
      <c r="BQ4286" s="1821"/>
      <c r="BR4286" s="1821"/>
      <c r="BS4286" s="1821"/>
      <c r="BT4286" s="1821"/>
      <c r="BU4286" s="1821"/>
      <c r="BV4286" s="1821"/>
      <c r="BW4286" s="1821"/>
      <c r="BX4286" s="1821"/>
      <c r="BY4286" s="1821"/>
      <c r="BZ4286" s="1821"/>
      <c r="CA4286" s="1821"/>
      <c r="CB4286" s="1821"/>
      <c r="CC4286" s="1821"/>
      <c r="CD4286" s="1821"/>
      <c r="CE4286" s="1821"/>
      <c r="CF4286" s="1821"/>
      <c r="CG4286" s="1821"/>
      <c r="CH4286" s="1821"/>
      <c r="CI4286" s="1821"/>
      <c r="CJ4286" s="1821"/>
      <c r="CK4286" s="1821"/>
    </row>
    <row r="4287" spans="1:89" s="744" customFormat="1" ht="16.5" hidden="1" customHeight="1" x14ac:dyDescent="0.25">
      <c r="A4287" s="1033"/>
      <c r="B4287" s="709" t="s">
        <v>430</v>
      </c>
      <c r="C4287" s="827">
        <v>20</v>
      </c>
      <c r="D4287" s="961" t="s">
        <v>51</v>
      </c>
      <c r="E4287" s="758">
        <v>1781</v>
      </c>
      <c r="F4287" s="714"/>
      <c r="G4287" s="714"/>
      <c r="H4287" s="700">
        <f>G4287+F4287</f>
        <v>0</v>
      </c>
      <c r="I4287" s="714"/>
      <c r="J4287" s="714">
        <f t="shared" si="487"/>
        <v>35620</v>
      </c>
      <c r="K4287" s="700">
        <f>J4287+I4287</f>
        <v>35620</v>
      </c>
      <c r="L4287" s="714"/>
      <c r="M4287" s="714"/>
      <c r="N4287" s="700">
        <f>M4287+L4287</f>
        <v>0</v>
      </c>
      <c r="O4287" s="974">
        <f>N4287+K4287+H4287</f>
        <v>35620</v>
      </c>
      <c r="P4287" s="956"/>
      <c r="Q4287" s="1821"/>
      <c r="R4287" s="1821"/>
      <c r="S4287" s="1821"/>
      <c r="T4287" s="1821"/>
      <c r="U4287" s="1821"/>
      <c r="V4287" s="1821"/>
      <c r="W4287" s="1821"/>
      <c r="X4287" s="1821"/>
      <c r="Y4287" s="1821"/>
      <c r="Z4287" s="1821"/>
      <c r="AA4287" s="1821"/>
      <c r="AB4287" s="1821"/>
      <c r="AC4287" s="1821"/>
      <c r="AD4287" s="1821"/>
      <c r="AE4287" s="1821"/>
      <c r="AF4287" s="1821"/>
      <c r="AG4287" s="1821"/>
      <c r="AH4287" s="1821"/>
      <c r="AI4287" s="1821"/>
      <c r="AJ4287" s="1821"/>
      <c r="AK4287" s="1821"/>
      <c r="AL4287" s="1821"/>
      <c r="AM4287" s="1821"/>
      <c r="AN4287" s="1821"/>
      <c r="AO4287" s="1821"/>
      <c r="AP4287" s="1821"/>
      <c r="AQ4287" s="1821"/>
      <c r="AR4287" s="1821"/>
      <c r="AS4287" s="1821"/>
      <c r="AT4287" s="1821"/>
      <c r="AU4287" s="1821"/>
      <c r="AV4287" s="1821"/>
      <c r="AW4287" s="1821"/>
      <c r="AX4287" s="1821"/>
      <c r="AY4287" s="1821"/>
      <c r="AZ4287" s="1821"/>
      <c r="BA4287" s="1821"/>
      <c r="BB4287" s="1821"/>
      <c r="BC4287" s="1821"/>
      <c r="BD4287" s="1821"/>
      <c r="BE4287" s="1821"/>
      <c r="BF4287" s="1821"/>
      <c r="BG4287" s="1821"/>
      <c r="BH4287" s="1821"/>
      <c r="BI4287" s="1821"/>
      <c r="BJ4287" s="1821"/>
      <c r="BK4287" s="1821"/>
      <c r="BL4287" s="1821"/>
      <c r="BM4287" s="1821"/>
      <c r="BN4287" s="1821"/>
      <c r="BO4287" s="1821"/>
      <c r="BP4287" s="1821"/>
      <c r="BQ4287" s="1821"/>
      <c r="BR4287" s="1821"/>
      <c r="BS4287" s="1821"/>
      <c r="BT4287" s="1821"/>
      <c r="BU4287" s="1821"/>
      <c r="BV4287" s="1821"/>
      <c r="BW4287" s="1821"/>
      <c r="BX4287" s="1821"/>
      <c r="BY4287" s="1821"/>
      <c r="BZ4287" s="1821"/>
      <c r="CA4287" s="1821"/>
      <c r="CB4287" s="1821"/>
      <c r="CC4287" s="1821"/>
      <c r="CD4287" s="1821"/>
      <c r="CE4287" s="1821"/>
      <c r="CF4287" s="1821"/>
      <c r="CG4287" s="1821"/>
      <c r="CH4287" s="1821"/>
      <c r="CI4287" s="1821"/>
      <c r="CJ4287" s="1821"/>
      <c r="CK4287" s="1821"/>
    </row>
    <row r="4288" spans="1:89" s="744" customFormat="1" ht="16.5" hidden="1" customHeight="1" x14ac:dyDescent="0.25">
      <c r="A4288" s="1033"/>
      <c r="B4288" s="709" t="s">
        <v>54</v>
      </c>
      <c r="C4288" s="827">
        <v>80</v>
      </c>
      <c r="D4288" s="961" t="s">
        <v>55</v>
      </c>
      <c r="E4288" s="758">
        <v>455</v>
      </c>
      <c r="F4288" s="714"/>
      <c r="G4288" s="714"/>
      <c r="H4288" s="700">
        <f>G4288+F4288</f>
        <v>0</v>
      </c>
      <c r="I4288" s="714"/>
      <c r="J4288" s="714">
        <f t="shared" si="487"/>
        <v>36400</v>
      </c>
      <c r="K4288" s="700">
        <f>J4288+I4288</f>
        <v>36400</v>
      </c>
      <c r="L4288" s="714"/>
      <c r="M4288" s="714"/>
      <c r="N4288" s="700">
        <f>M4288+L4288</f>
        <v>0</v>
      </c>
      <c r="O4288" s="974">
        <f>N4288+K4288+H4288</f>
        <v>36400</v>
      </c>
      <c r="P4288" s="956"/>
      <c r="Q4288" s="1821"/>
      <c r="R4288" s="1821"/>
      <c r="S4288" s="1821"/>
      <c r="T4288" s="1821"/>
      <c r="U4288" s="1821"/>
      <c r="V4288" s="1821"/>
      <c r="W4288" s="1821"/>
      <c r="X4288" s="1821"/>
      <c r="Y4288" s="1821"/>
      <c r="Z4288" s="1821"/>
      <c r="AA4288" s="1821"/>
      <c r="AB4288" s="1821"/>
      <c r="AC4288" s="1821"/>
      <c r="AD4288" s="1821"/>
      <c r="AE4288" s="1821"/>
      <c r="AF4288" s="1821"/>
      <c r="AG4288" s="1821"/>
      <c r="AH4288" s="1821"/>
      <c r="AI4288" s="1821"/>
      <c r="AJ4288" s="1821"/>
      <c r="AK4288" s="1821"/>
      <c r="AL4288" s="1821"/>
      <c r="AM4288" s="1821"/>
      <c r="AN4288" s="1821"/>
      <c r="AO4288" s="1821"/>
      <c r="AP4288" s="1821"/>
      <c r="AQ4288" s="1821"/>
      <c r="AR4288" s="1821"/>
      <c r="AS4288" s="1821"/>
      <c r="AT4288" s="1821"/>
      <c r="AU4288" s="1821"/>
      <c r="AV4288" s="1821"/>
      <c r="AW4288" s="1821"/>
      <c r="AX4288" s="1821"/>
      <c r="AY4288" s="1821"/>
      <c r="AZ4288" s="1821"/>
      <c r="BA4288" s="1821"/>
      <c r="BB4288" s="1821"/>
      <c r="BC4288" s="1821"/>
      <c r="BD4288" s="1821"/>
      <c r="BE4288" s="1821"/>
      <c r="BF4288" s="1821"/>
      <c r="BG4288" s="1821"/>
      <c r="BH4288" s="1821"/>
      <c r="BI4288" s="1821"/>
      <c r="BJ4288" s="1821"/>
      <c r="BK4288" s="1821"/>
      <c r="BL4288" s="1821"/>
      <c r="BM4288" s="1821"/>
      <c r="BN4288" s="1821"/>
      <c r="BO4288" s="1821"/>
      <c r="BP4288" s="1821"/>
      <c r="BQ4288" s="1821"/>
      <c r="BR4288" s="1821"/>
      <c r="BS4288" s="1821"/>
      <c r="BT4288" s="1821"/>
      <c r="BU4288" s="1821"/>
      <c r="BV4288" s="1821"/>
      <c r="BW4288" s="1821"/>
      <c r="BX4288" s="1821"/>
      <c r="BY4288" s="1821"/>
      <c r="BZ4288" s="1821"/>
      <c r="CA4288" s="1821"/>
      <c r="CB4288" s="1821"/>
      <c r="CC4288" s="1821"/>
      <c r="CD4288" s="1821"/>
      <c r="CE4288" s="1821"/>
      <c r="CF4288" s="1821"/>
      <c r="CG4288" s="1821"/>
      <c r="CH4288" s="1821"/>
      <c r="CI4288" s="1821"/>
      <c r="CJ4288" s="1821"/>
      <c r="CK4288" s="1821"/>
    </row>
    <row r="4289" spans="1:89" s="744" customFormat="1" ht="16.5" hidden="1" customHeight="1" x14ac:dyDescent="0.25">
      <c r="A4289" s="1033"/>
      <c r="B4289" s="709" t="s">
        <v>52</v>
      </c>
      <c r="C4289" s="827">
        <v>60</v>
      </c>
      <c r="D4289" s="961" t="s">
        <v>55</v>
      </c>
      <c r="E4289" s="758">
        <v>701</v>
      </c>
      <c r="F4289" s="714"/>
      <c r="G4289" s="714"/>
      <c r="H4289" s="700">
        <f>G4289+F4289</f>
        <v>0</v>
      </c>
      <c r="I4289" s="714"/>
      <c r="J4289" s="714">
        <f t="shared" si="487"/>
        <v>42060</v>
      </c>
      <c r="K4289" s="700">
        <f>J4289+I4289</f>
        <v>42060</v>
      </c>
      <c r="L4289" s="714"/>
      <c r="M4289" s="714"/>
      <c r="N4289" s="700">
        <f>M4289+L4289</f>
        <v>0</v>
      </c>
      <c r="O4289" s="974">
        <f>N4289+K4289+H4289</f>
        <v>42060</v>
      </c>
      <c r="P4289" s="956"/>
      <c r="Q4289" s="1821"/>
      <c r="R4289" s="1821"/>
      <c r="S4289" s="1821"/>
      <c r="T4289" s="1821"/>
      <c r="U4289" s="1821"/>
      <c r="V4289" s="1821"/>
      <c r="W4289" s="1821"/>
      <c r="X4289" s="1821"/>
      <c r="Y4289" s="1821"/>
      <c r="Z4289" s="1821"/>
      <c r="AA4289" s="1821"/>
      <c r="AB4289" s="1821"/>
      <c r="AC4289" s="1821"/>
      <c r="AD4289" s="1821"/>
      <c r="AE4289" s="1821"/>
      <c r="AF4289" s="1821"/>
      <c r="AG4289" s="1821"/>
      <c r="AH4289" s="1821"/>
      <c r="AI4289" s="1821"/>
      <c r="AJ4289" s="1821"/>
      <c r="AK4289" s="1821"/>
      <c r="AL4289" s="1821"/>
      <c r="AM4289" s="1821"/>
      <c r="AN4289" s="1821"/>
      <c r="AO4289" s="1821"/>
      <c r="AP4289" s="1821"/>
      <c r="AQ4289" s="1821"/>
      <c r="AR4289" s="1821"/>
      <c r="AS4289" s="1821"/>
      <c r="AT4289" s="1821"/>
      <c r="AU4289" s="1821"/>
      <c r="AV4289" s="1821"/>
      <c r="AW4289" s="1821"/>
      <c r="AX4289" s="1821"/>
      <c r="AY4289" s="1821"/>
      <c r="AZ4289" s="1821"/>
      <c r="BA4289" s="1821"/>
      <c r="BB4289" s="1821"/>
      <c r="BC4289" s="1821"/>
      <c r="BD4289" s="1821"/>
      <c r="BE4289" s="1821"/>
      <c r="BF4289" s="1821"/>
      <c r="BG4289" s="1821"/>
      <c r="BH4289" s="1821"/>
      <c r="BI4289" s="1821"/>
      <c r="BJ4289" s="1821"/>
      <c r="BK4289" s="1821"/>
      <c r="BL4289" s="1821"/>
      <c r="BM4289" s="1821"/>
      <c r="BN4289" s="1821"/>
      <c r="BO4289" s="1821"/>
      <c r="BP4289" s="1821"/>
      <c r="BQ4289" s="1821"/>
      <c r="BR4289" s="1821"/>
      <c r="BS4289" s="1821"/>
      <c r="BT4289" s="1821"/>
      <c r="BU4289" s="1821"/>
      <c r="BV4289" s="1821"/>
      <c r="BW4289" s="1821"/>
      <c r="BX4289" s="1821"/>
      <c r="BY4289" s="1821"/>
      <c r="BZ4289" s="1821"/>
      <c r="CA4289" s="1821"/>
      <c r="CB4289" s="1821"/>
      <c r="CC4289" s="1821"/>
      <c r="CD4289" s="1821"/>
      <c r="CE4289" s="1821"/>
      <c r="CF4289" s="1821"/>
      <c r="CG4289" s="1821"/>
      <c r="CH4289" s="1821"/>
      <c r="CI4289" s="1821"/>
      <c r="CJ4289" s="1821"/>
      <c r="CK4289" s="1821"/>
    </row>
    <row r="4290" spans="1:89" s="744" customFormat="1" ht="16.5" hidden="1" customHeight="1" x14ac:dyDescent="0.25">
      <c r="A4290" s="1033"/>
      <c r="B4290" s="709" t="s">
        <v>1372</v>
      </c>
      <c r="C4290" s="827">
        <v>40</v>
      </c>
      <c r="D4290" s="961" t="s">
        <v>51</v>
      </c>
      <c r="E4290" s="758">
        <v>228</v>
      </c>
      <c r="F4290" s="714"/>
      <c r="G4290" s="714"/>
      <c r="H4290" s="700"/>
      <c r="I4290" s="714"/>
      <c r="J4290" s="714">
        <f t="shared" si="487"/>
        <v>9120</v>
      </c>
      <c r="K4290" s="700">
        <f>J4290+I4290</f>
        <v>9120</v>
      </c>
      <c r="L4290" s="714"/>
      <c r="M4290" s="714"/>
      <c r="N4290" s="700"/>
      <c r="O4290" s="974">
        <f>N4290+K4290+H4290</f>
        <v>9120</v>
      </c>
      <c r="P4290" s="956"/>
      <c r="Q4290" s="1821"/>
      <c r="R4290" s="1821"/>
      <c r="S4290" s="1821"/>
      <c r="T4290" s="1821"/>
      <c r="U4290" s="1821"/>
      <c r="V4290" s="1821"/>
      <c r="W4290" s="1821"/>
      <c r="X4290" s="1821"/>
      <c r="Y4290" s="1821"/>
      <c r="Z4290" s="1821"/>
      <c r="AA4290" s="1821"/>
      <c r="AB4290" s="1821"/>
      <c r="AC4290" s="1821"/>
      <c r="AD4290" s="1821"/>
      <c r="AE4290" s="1821"/>
      <c r="AF4290" s="1821"/>
      <c r="AG4290" s="1821"/>
      <c r="AH4290" s="1821"/>
      <c r="AI4290" s="1821"/>
      <c r="AJ4290" s="1821"/>
      <c r="AK4290" s="1821"/>
      <c r="AL4290" s="1821"/>
      <c r="AM4290" s="1821"/>
      <c r="AN4290" s="1821"/>
      <c r="AO4290" s="1821"/>
      <c r="AP4290" s="1821"/>
      <c r="AQ4290" s="1821"/>
      <c r="AR4290" s="1821"/>
      <c r="AS4290" s="1821"/>
      <c r="AT4290" s="1821"/>
      <c r="AU4290" s="1821"/>
      <c r="AV4290" s="1821"/>
      <c r="AW4290" s="1821"/>
      <c r="AX4290" s="1821"/>
      <c r="AY4290" s="1821"/>
      <c r="AZ4290" s="1821"/>
      <c r="BA4290" s="1821"/>
      <c r="BB4290" s="1821"/>
      <c r="BC4290" s="1821"/>
      <c r="BD4290" s="1821"/>
      <c r="BE4290" s="1821"/>
      <c r="BF4290" s="1821"/>
      <c r="BG4290" s="1821"/>
      <c r="BH4290" s="1821"/>
      <c r="BI4290" s="1821"/>
      <c r="BJ4290" s="1821"/>
      <c r="BK4290" s="1821"/>
      <c r="BL4290" s="1821"/>
      <c r="BM4290" s="1821"/>
      <c r="BN4290" s="1821"/>
      <c r="BO4290" s="1821"/>
      <c r="BP4290" s="1821"/>
      <c r="BQ4290" s="1821"/>
      <c r="BR4290" s="1821"/>
      <c r="BS4290" s="1821"/>
      <c r="BT4290" s="1821"/>
      <c r="BU4290" s="1821"/>
      <c r="BV4290" s="1821"/>
      <c r="BW4290" s="1821"/>
      <c r="BX4290" s="1821"/>
      <c r="BY4290" s="1821"/>
      <c r="BZ4290" s="1821"/>
      <c r="CA4290" s="1821"/>
      <c r="CB4290" s="1821"/>
      <c r="CC4290" s="1821"/>
      <c r="CD4290" s="1821"/>
      <c r="CE4290" s="1821"/>
      <c r="CF4290" s="1821"/>
      <c r="CG4290" s="1821"/>
      <c r="CH4290" s="1821"/>
      <c r="CI4290" s="1821"/>
      <c r="CJ4290" s="1821"/>
      <c r="CK4290" s="1821"/>
    </row>
    <row r="4291" spans="1:89" s="744" customFormat="1" ht="16.5" hidden="1" customHeight="1" x14ac:dyDescent="0.25">
      <c r="A4291" s="1033"/>
      <c r="B4291" s="709"/>
      <c r="C4291" s="827"/>
      <c r="D4291" s="961"/>
      <c r="E4291" s="758"/>
      <c r="F4291" s="714"/>
      <c r="G4291" s="714"/>
      <c r="H4291" s="700"/>
      <c r="I4291" s="714"/>
      <c r="J4291" s="714">
        <f t="shared" si="487"/>
        <v>0</v>
      </c>
      <c r="K4291" s="700"/>
      <c r="L4291" s="714"/>
      <c r="M4291" s="714"/>
      <c r="N4291" s="700"/>
      <c r="O4291" s="974"/>
      <c r="P4291" s="956"/>
      <c r="Q4291" s="1821"/>
      <c r="R4291" s="1821"/>
      <c r="S4291" s="1821"/>
      <c r="T4291" s="1821"/>
      <c r="U4291" s="1821"/>
      <c r="V4291" s="1821"/>
      <c r="W4291" s="1821"/>
      <c r="X4291" s="1821"/>
      <c r="Y4291" s="1821"/>
      <c r="Z4291" s="1821"/>
      <c r="AA4291" s="1821"/>
      <c r="AB4291" s="1821"/>
      <c r="AC4291" s="1821"/>
      <c r="AD4291" s="1821"/>
      <c r="AE4291" s="1821"/>
      <c r="AF4291" s="1821"/>
      <c r="AG4291" s="1821"/>
      <c r="AH4291" s="1821"/>
      <c r="AI4291" s="1821"/>
      <c r="AJ4291" s="1821"/>
      <c r="AK4291" s="1821"/>
      <c r="AL4291" s="1821"/>
      <c r="AM4291" s="1821"/>
      <c r="AN4291" s="1821"/>
      <c r="AO4291" s="1821"/>
      <c r="AP4291" s="1821"/>
      <c r="AQ4291" s="1821"/>
      <c r="AR4291" s="1821"/>
      <c r="AS4291" s="1821"/>
      <c r="AT4291" s="1821"/>
      <c r="AU4291" s="1821"/>
      <c r="AV4291" s="1821"/>
      <c r="AW4291" s="1821"/>
      <c r="AX4291" s="1821"/>
      <c r="AY4291" s="1821"/>
      <c r="AZ4291" s="1821"/>
      <c r="BA4291" s="1821"/>
      <c r="BB4291" s="1821"/>
      <c r="BC4291" s="1821"/>
      <c r="BD4291" s="1821"/>
      <c r="BE4291" s="1821"/>
      <c r="BF4291" s="1821"/>
      <c r="BG4291" s="1821"/>
      <c r="BH4291" s="1821"/>
      <c r="BI4291" s="1821"/>
      <c r="BJ4291" s="1821"/>
      <c r="BK4291" s="1821"/>
      <c r="BL4291" s="1821"/>
      <c r="BM4291" s="1821"/>
      <c r="BN4291" s="1821"/>
      <c r="BO4291" s="1821"/>
      <c r="BP4291" s="1821"/>
      <c r="BQ4291" s="1821"/>
      <c r="BR4291" s="1821"/>
      <c r="BS4291" s="1821"/>
      <c r="BT4291" s="1821"/>
      <c r="BU4291" s="1821"/>
      <c r="BV4291" s="1821"/>
      <c r="BW4291" s="1821"/>
      <c r="BX4291" s="1821"/>
      <c r="BY4291" s="1821"/>
      <c r="BZ4291" s="1821"/>
      <c r="CA4291" s="1821"/>
      <c r="CB4291" s="1821"/>
      <c r="CC4291" s="1821"/>
      <c r="CD4291" s="1821"/>
      <c r="CE4291" s="1821"/>
      <c r="CF4291" s="1821"/>
      <c r="CG4291" s="1821"/>
      <c r="CH4291" s="1821"/>
      <c r="CI4291" s="1821"/>
      <c r="CJ4291" s="1821"/>
      <c r="CK4291" s="1821"/>
    </row>
    <row r="4292" spans="1:89" s="744" customFormat="1" ht="16.5" hidden="1" customHeight="1" x14ac:dyDescent="0.25">
      <c r="A4292" s="1033">
        <v>20</v>
      </c>
      <c r="B4292" s="709" t="s">
        <v>1391</v>
      </c>
      <c r="C4292" s="827">
        <f>SUM(O4294:O4310)</f>
        <v>1170593</v>
      </c>
      <c r="D4292" s="961"/>
      <c r="E4292" s="758"/>
      <c r="F4292" s="714"/>
      <c r="G4292" s="714"/>
      <c r="H4292" s="700"/>
      <c r="I4292" s="714"/>
      <c r="J4292" s="714">
        <f t="shared" si="487"/>
        <v>0</v>
      </c>
      <c r="K4292" s="700"/>
      <c r="L4292" s="714"/>
      <c r="M4292" s="714"/>
      <c r="N4292" s="700"/>
      <c r="O4292" s="974"/>
      <c r="P4292" s="956"/>
      <c r="Q4292" s="1821"/>
      <c r="R4292" s="1821"/>
      <c r="S4292" s="1821"/>
      <c r="T4292" s="1821"/>
      <c r="U4292" s="1821"/>
      <c r="V4292" s="1821"/>
      <c r="W4292" s="1821"/>
      <c r="X4292" s="1821"/>
      <c r="Y4292" s="1821"/>
      <c r="Z4292" s="1821"/>
      <c r="AA4292" s="1821"/>
      <c r="AB4292" s="1821"/>
      <c r="AC4292" s="1821"/>
      <c r="AD4292" s="1821"/>
      <c r="AE4292" s="1821"/>
      <c r="AF4292" s="1821"/>
      <c r="AG4292" s="1821"/>
      <c r="AH4292" s="1821"/>
      <c r="AI4292" s="1821"/>
      <c r="AJ4292" s="1821"/>
      <c r="AK4292" s="1821"/>
      <c r="AL4292" s="1821"/>
      <c r="AM4292" s="1821"/>
      <c r="AN4292" s="1821"/>
      <c r="AO4292" s="1821"/>
      <c r="AP4292" s="1821"/>
      <c r="AQ4292" s="1821"/>
      <c r="AR4292" s="1821"/>
      <c r="AS4292" s="1821"/>
      <c r="AT4292" s="1821"/>
      <c r="AU4292" s="1821"/>
      <c r="AV4292" s="1821"/>
      <c r="AW4292" s="1821"/>
      <c r="AX4292" s="1821"/>
      <c r="AY4292" s="1821"/>
      <c r="AZ4292" s="1821"/>
      <c r="BA4292" s="1821"/>
      <c r="BB4292" s="1821"/>
      <c r="BC4292" s="1821"/>
      <c r="BD4292" s="1821"/>
      <c r="BE4292" s="1821"/>
      <c r="BF4292" s="1821"/>
      <c r="BG4292" s="1821"/>
      <c r="BH4292" s="1821"/>
      <c r="BI4292" s="1821"/>
      <c r="BJ4292" s="1821"/>
      <c r="BK4292" s="1821"/>
      <c r="BL4292" s="1821"/>
      <c r="BM4292" s="1821"/>
      <c r="BN4292" s="1821"/>
      <c r="BO4292" s="1821"/>
      <c r="BP4292" s="1821"/>
      <c r="BQ4292" s="1821"/>
      <c r="BR4292" s="1821"/>
      <c r="BS4292" s="1821"/>
      <c r="BT4292" s="1821"/>
      <c r="BU4292" s="1821"/>
      <c r="BV4292" s="1821"/>
      <c r="BW4292" s="1821"/>
      <c r="BX4292" s="1821"/>
      <c r="BY4292" s="1821"/>
      <c r="BZ4292" s="1821"/>
      <c r="CA4292" s="1821"/>
      <c r="CB4292" s="1821"/>
      <c r="CC4292" s="1821"/>
      <c r="CD4292" s="1821"/>
      <c r="CE4292" s="1821"/>
      <c r="CF4292" s="1821"/>
      <c r="CG4292" s="1821"/>
      <c r="CH4292" s="1821"/>
      <c r="CI4292" s="1821"/>
      <c r="CJ4292" s="1821"/>
      <c r="CK4292" s="1821"/>
    </row>
    <row r="4293" spans="1:89" s="744" customFormat="1" ht="16.5" hidden="1" customHeight="1" x14ac:dyDescent="0.25">
      <c r="A4293" s="1033" t="s">
        <v>49</v>
      </c>
      <c r="B4293" s="709" t="s">
        <v>278</v>
      </c>
      <c r="C4293" s="827"/>
      <c r="D4293" s="961"/>
      <c r="E4293" s="758"/>
      <c r="F4293" s="714"/>
      <c r="G4293" s="714"/>
      <c r="H4293" s="700"/>
      <c r="I4293" s="714"/>
      <c r="J4293" s="714">
        <f t="shared" si="487"/>
        <v>0</v>
      </c>
      <c r="K4293" s="700"/>
      <c r="L4293" s="714"/>
      <c r="M4293" s="714"/>
      <c r="N4293" s="700"/>
      <c r="O4293" s="974"/>
      <c r="P4293" s="956"/>
      <c r="Q4293" s="1821"/>
      <c r="R4293" s="1821"/>
      <c r="S4293" s="1821"/>
      <c r="T4293" s="1821"/>
      <c r="U4293" s="1821"/>
      <c r="V4293" s="1821"/>
      <c r="W4293" s="1821"/>
      <c r="X4293" s="1821"/>
      <c r="Y4293" s="1821"/>
      <c r="Z4293" s="1821"/>
      <c r="AA4293" s="1821"/>
      <c r="AB4293" s="1821"/>
      <c r="AC4293" s="1821"/>
      <c r="AD4293" s="1821"/>
      <c r="AE4293" s="1821"/>
      <c r="AF4293" s="1821"/>
      <c r="AG4293" s="1821"/>
      <c r="AH4293" s="1821"/>
      <c r="AI4293" s="1821"/>
      <c r="AJ4293" s="1821"/>
      <c r="AK4293" s="1821"/>
      <c r="AL4293" s="1821"/>
      <c r="AM4293" s="1821"/>
      <c r="AN4293" s="1821"/>
      <c r="AO4293" s="1821"/>
      <c r="AP4293" s="1821"/>
      <c r="AQ4293" s="1821"/>
      <c r="AR4293" s="1821"/>
      <c r="AS4293" s="1821"/>
      <c r="AT4293" s="1821"/>
      <c r="AU4293" s="1821"/>
      <c r="AV4293" s="1821"/>
      <c r="AW4293" s="1821"/>
      <c r="AX4293" s="1821"/>
      <c r="AY4293" s="1821"/>
      <c r="AZ4293" s="1821"/>
      <c r="BA4293" s="1821"/>
      <c r="BB4293" s="1821"/>
      <c r="BC4293" s="1821"/>
      <c r="BD4293" s="1821"/>
      <c r="BE4293" s="1821"/>
      <c r="BF4293" s="1821"/>
      <c r="BG4293" s="1821"/>
      <c r="BH4293" s="1821"/>
      <c r="BI4293" s="1821"/>
      <c r="BJ4293" s="1821"/>
      <c r="BK4293" s="1821"/>
      <c r="BL4293" s="1821"/>
      <c r="BM4293" s="1821"/>
      <c r="BN4293" s="1821"/>
      <c r="BO4293" s="1821"/>
      <c r="BP4293" s="1821"/>
      <c r="BQ4293" s="1821"/>
      <c r="BR4293" s="1821"/>
      <c r="BS4293" s="1821"/>
      <c r="BT4293" s="1821"/>
      <c r="BU4293" s="1821"/>
      <c r="BV4293" s="1821"/>
      <c r="BW4293" s="1821"/>
      <c r="BX4293" s="1821"/>
      <c r="BY4293" s="1821"/>
      <c r="BZ4293" s="1821"/>
      <c r="CA4293" s="1821"/>
      <c r="CB4293" s="1821"/>
      <c r="CC4293" s="1821"/>
      <c r="CD4293" s="1821"/>
      <c r="CE4293" s="1821"/>
      <c r="CF4293" s="1821"/>
      <c r="CG4293" s="1821"/>
      <c r="CH4293" s="1821"/>
      <c r="CI4293" s="1821"/>
      <c r="CJ4293" s="1821"/>
      <c r="CK4293" s="1821"/>
    </row>
    <row r="4294" spans="1:89" s="744" customFormat="1" ht="16.5" hidden="1" customHeight="1" x14ac:dyDescent="0.25">
      <c r="A4294" s="1033"/>
      <c r="B4294" s="709" t="s">
        <v>1376</v>
      </c>
      <c r="C4294" s="827">
        <v>1</v>
      </c>
      <c r="D4294" s="961" t="s">
        <v>25</v>
      </c>
      <c r="E4294" s="758">
        <v>350000</v>
      </c>
      <c r="F4294" s="714"/>
      <c r="G4294" s="714"/>
      <c r="H4294" s="700"/>
      <c r="I4294" s="714"/>
      <c r="J4294" s="714">
        <f t="shared" si="487"/>
        <v>350000</v>
      </c>
      <c r="K4294" s="700">
        <f>J4294+I4294</f>
        <v>350000</v>
      </c>
      <c r="L4294" s="714"/>
      <c r="M4294" s="714"/>
      <c r="N4294" s="700"/>
      <c r="O4294" s="974">
        <f>N4294+K4294+H4294</f>
        <v>350000</v>
      </c>
      <c r="P4294" s="956"/>
      <c r="Q4294" s="1821"/>
      <c r="R4294" s="1821"/>
      <c r="S4294" s="1821"/>
      <c r="T4294" s="1821"/>
      <c r="U4294" s="1821"/>
      <c r="V4294" s="1821"/>
      <c r="W4294" s="1821"/>
      <c r="X4294" s="1821"/>
      <c r="Y4294" s="1821"/>
      <c r="Z4294" s="1821"/>
      <c r="AA4294" s="1821"/>
      <c r="AB4294" s="1821"/>
      <c r="AC4294" s="1821"/>
      <c r="AD4294" s="1821"/>
      <c r="AE4294" s="1821"/>
      <c r="AF4294" s="1821"/>
      <c r="AG4294" s="1821"/>
      <c r="AH4294" s="1821"/>
      <c r="AI4294" s="1821"/>
      <c r="AJ4294" s="1821"/>
      <c r="AK4294" s="1821"/>
      <c r="AL4294" s="1821"/>
      <c r="AM4294" s="1821"/>
      <c r="AN4294" s="1821"/>
      <c r="AO4294" s="1821"/>
      <c r="AP4294" s="1821"/>
      <c r="AQ4294" s="1821"/>
      <c r="AR4294" s="1821"/>
      <c r="AS4294" s="1821"/>
      <c r="AT4294" s="1821"/>
      <c r="AU4294" s="1821"/>
      <c r="AV4294" s="1821"/>
      <c r="AW4294" s="1821"/>
      <c r="AX4294" s="1821"/>
      <c r="AY4294" s="1821"/>
      <c r="AZ4294" s="1821"/>
      <c r="BA4294" s="1821"/>
      <c r="BB4294" s="1821"/>
      <c r="BC4294" s="1821"/>
      <c r="BD4294" s="1821"/>
      <c r="BE4294" s="1821"/>
      <c r="BF4294" s="1821"/>
      <c r="BG4294" s="1821"/>
      <c r="BH4294" s="1821"/>
      <c r="BI4294" s="1821"/>
      <c r="BJ4294" s="1821"/>
      <c r="BK4294" s="1821"/>
      <c r="BL4294" s="1821"/>
      <c r="BM4294" s="1821"/>
      <c r="BN4294" s="1821"/>
      <c r="BO4294" s="1821"/>
      <c r="BP4294" s="1821"/>
      <c r="BQ4294" s="1821"/>
      <c r="BR4294" s="1821"/>
      <c r="BS4294" s="1821"/>
      <c r="BT4294" s="1821"/>
      <c r="BU4294" s="1821"/>
      <c r="BV4294" s="1821"/>
      <c r="BW4294" s="1821"/>
      <c r="BX4294" s="1821"/>
      <c r="BY4294" s="1821"/>
      <c r="BZ4294" s="1821"/>
      <c r="CA4294" s="1821"/>
      <c r="CB4294" s="1821"/>
      <c r="CC4294" s="1821"/>
      <c r="CD4294" s="1821"/>
      <c r="CE4294" s="1821"/>
      <c r="CF4294" s="1821"/>
      <c r="CG4294" s="1821"/>
      <c r="CH4294" s="1821"/>
      <c r="CI4294" s="1821"/>
      <c r="CJ4294" s="1821"/>
      <c r="CK4294" s="1821"/>
    </row>
    <row r="4295" spans="1:89" s="744" customFormat="1" ht="16.5" hidden="1" customHeight="1" x14ac:dyDescent="0.25">
      <c r="A4295" s="1033"/>
      <c r="B4295" s="709" t="s">
        <v>224</v>
      </c>
      <c r="C4295" s="827"/>
      <c r="D4295" s="961"/>
      <c r="E4295" s="758"/>
      <c r="F4295" s="714"/>
      <c r="G4295" s="714"/>
      <c r="H4295" s="700"/>
      <c r="I4295" s="714"/>
      <c r="J4295" s="714">
        <f t="shared" si="487"/>
        <v>0</v>
      </c>
      <c r="K4295" s="700"/>
      <c r="L4295" s="714"/>
      <c r="M4295" s="714"/>
      <c r="N4295" s="700"/>
      <c r="O4295" s="974"/>
      <c r="P4295" s="956"/>
      <c r="Q4295" s="1821"/>
      <c r="R4295" s="1821"/>
      <c r="S4295" s="1821"/>
      <c r="T4295" s="1821"/>
      <c r="U4295" s="1821"/>
      <c r="V4295" s="1821"/>
      <c r="W4295" s="1821"/>
      <c r="X4295" s="1821"/>
      <c r="Y4295" s="1821"/>
      <c r="Z4295" s="1821"/>
      <c r="AA4295" s="1821"/>
      <c r="AB4295" s="1821"/>
      <c r="AC4295" s="1821"/>
      <c r="AD4295" s="1821"/>
      <c r="AE4295" s="1821"/>
      <c r="AF4295" s="1821"/>
      <c r="AG4295" s="1821"/>
      <c r="AH4295" s="1821"/>
      <c r="AI4295" s="1821"/>
      <c r="AJ4295" s="1821"/>
      <c r="AK4295" s="1821"/>
      <c r="AL4295" s="1821"/>
      <c r="AM4295" s="1821"/>
      <c r="AN4295" s="1821"/>
      <c r="AO4295" s="1821"/>
      <c r="AP4295" s="1821"/>
      <c r="AQ4295" s="1821"/>
      <c r="AR4295" s="1821"/>
      <c r="AS4295" s="1821"/>
      <c r="AT4295" s="1821"/>
      <c r="AU4295" s="1821"/>
      <c r="AV4295" s="1821"/>
      <c r="AW4295" s="1821"/>
      <c r="AX4295" s="1821"/>
      <c r="AY4295" s="1821"/>
      <c r="AZ4295" s="1821"/>
      <c r="BA4295" s="1821"/>
      <c r="BB4295" s="1821"/>
      <c r="BC4295" s="1821"/>
      <c r="BD4295" s="1821"/>
      <c r="BE4295" s="1821"/>
      <c r="BF4295" s="1821"/>
      <c r="BG4295" s="1821"/>
      <c r="BH4295" s="1821"/>
      <c r="BI4295" s="1821"/>
      <c r="BJ4295" s="1821"/>
      <c r="BK4295" s="1821"/>
      <c r="BL4295" s="1821"/>
      <c r="BM4295" s="1821"/>
      <c r="BN4295" s="1821"/>
      <c r="BO4295" s="1821"/>
      <c r="BP4295" s="1821"/>
      <c r="BQ4295" s="1821"/>
      <c r="BR4295" s="1821"/>
      <c r="BS4295" s="1821"/>
      <c r="BT4295" s="1821"/>
      <c r="BU4295" s="1821"/>
      <c r="BV4295" s="1821"/>
      <c r="BW4295" s="1821"/>
      <c r="BX4295" s="1821"/>
      <c r="BY4295" s="1821"/>
      <c r="BZ4295" s="1821"/>
      <c r="CA4295" s="1821"/>
      <c r="CB4295" s="1821"/>
      <c r="CC4295" s="1821"/>
      <c r="CD4295" s="1821"/>
      <c r="CE4295" s="1821"/>
      <c r="CF4295" s="1821"/>
      <c r="CG4295" s="1821"/>
      <c r="CH4295" s="1821"/>
      <c r="CI4295" s="1821"/>
      <c r="CJ4295" s="1821"/>
      <c r="CK4295" s="1821"/>
    </row>
    <row r="4296" spans="1:89" s="744" customFormat="1" ht="16.5" hidden="1" customHeight="1" x14ac:dyDescent="0.25">
      <c r="A4296" s="1033"/>
      <c r="B4296" s="709" t="s">
        <v>1392</v>
      </c>
      <c r="C4296" s="827">
        <v>6</v>
      </c>
      <c r="D4296" s="961" t="s">
        <v>210</v>
      </c>
      <c r="E4296" s="758">
        <v>1400</v>
      </c>
      <c r="F4296" s="714"/>
      <c r="G4296" s="714"/>
      <c r="H4296" s="700"/>
      <c r="I4296" s="714"/>
      <c r="J4296" s="714">
        <f t="shared" si="487"/>
        <v>8400</v>
      </c>
      <c r="K4296" s="700">
        <f>J4296+I4296</f>
        <v>8400</v>
      </c>
      <c r="L4296" s="714"/>
      <c r="M4296" s="714"/>
      <c r="N4296" s="700"/>
      <c r="O4296" s="974">
        <f t="shared" ref="O4296:O4310" si="488">N4296+K4296+H4296</f>
        <v>8400</v>
      </c>
      <c r="P4296" s="956"/>
      <c r="Q4296" s="1821"/>
      <c r="R4296" s="1821"/>
      <c r="S4296" s="1821"/>
      <c r="T4296" s="1821"/>
      <c r="U4296" s="1821"/>
      <c r="V4296" s="1821"/>
      <c r="W4296" s="1821"/>
      <c r="X4296" s="1821"/>
      <c r="Y4296" s="1821"/>
      <c r="Z4296" s="1821"/>
      <c r="AA4296" s="1821"/>
      <c r="AB4296" s="1821"/>
      <c r="AC4296" s="1821"/>
      <c r="AD4296" s="1821"/>
      <c r="AE4296" s="1821"/>
      <c r="AF4296" s="1821"/>
      <c r="AG4296" s="1821"/>
      <c r="AH4296" s="1821"/>
      <c r="AI4296" s="1821"/>
      <c r="AJ4296" s="1821"/>
      <c r="AK4296" s="1821"/>
      <c r="AL4296" s="1821"/>
      <c r="AM4296" s="1821"/>
      <c r="AN4296" s="1821"/>
      <c r="AO4296" s="1821"/>
      <c r="AP4296" s="1821"/>
      <c r="AQ4296" s="1821"/>
      <c r="AR4296" s="1821"/>
      <c r="AS4296" s="1821"/>
      <c r="AT4296" s="1821"/>
      <c r="AU4296" s="1821"/>
      <c r="AV4296" s="1821"/>
      <c r="AW4296" s="1821"/>
      <c r="AX4296" s="1821"/>
      <c r="AY4296" s="1821"/>
      <c r="AZ4296" s="1821"/>
      <c r="BA4296" s="1821"/>
      <c r="BB4296" s="1821"/>
      <c r="BC4296" s="1821"/>
      <c r="BD4296" s="1821"/>
      <c r="BE4296" s="1821"/>
      <c r="BF4296" s="1821"/>
      <c r="BG4296" s="1821"/>
      <c r="BH4296" s="1821"/>
      <c r="BI4296" s="1821"/>
      <c r="BJ4296" s="1821"/>
      <c r="BK4296" s="1821"/>
      <c r="BL4296" s="1821"/>
      <c r="BM4296" s="1821"/>
      <c r="BN4296" s="1821"/>
      <c r="BO4296" s="1821"/>
      <c r="BP4296" s="1821"/>
      <c r="BQ4296" s="1821"/>
      <c r="BR4296" s="1821"/>
      <c r="BS4296" s="1821"/>
      <c r="BT4296" s="1821"/>
      <c r="BU4296" s="1821"/>
      <c r="BV4296" s="1821"/>
      <c r="BW4296" s="1821"/>
      <c r="BX4296" s="1821"/>
      <c r="BY4296" s="1821"/>
      <c r="BZ4296" s="1821"/>
      <c r="CA4296" s="1821"/>
      <c r="CB4296" s="1821"/>
      <c r="CC4296" s="1821"/>
      <c r="CD4296" s="1821"/>
      <c r="CE4296" s="1821"/>
      <c r="CF4296" s="1821"/>
      <c r="CG4296" s="1821"/>
      <c r="CH4296" s="1821"/>
      <c r="CI4296" s="1821"/>
      <c r="CJ4296" s="1821"/>
      <c r="CK4296" s="1821"/>
    </row>
    <row r="4297" spans="1:89" s="744" customFormat="1" ht="16.5" hidden="1" customHeight="1" x14ac:dyDescent="0.25">
      <c r="A4297" s="1033"/>
      <c r="B4297" s="709" t="s">
        <v>1385</v>
      </c>
      <c r="C4297" s="827">
        <v>6</v>
      </c>
      <c r="D4297" s="961" t="s">
        <v>210</v>
      </c>
      <c r="E4297" s="758">
        <v>1000</v>
      </c>
      <c r="F4297" s="714"/>
      <c r="G4297" s="714"/>
      <c r="H4297" s="700"/>
      <c r="I4297" s="714"/>
      <c r="J4297" s="714">
        <f t="shared" si="487"/>
        <v>6000</v>
      </c>
      <c r="K4297" s="700">
        <f>J4297+I4297</f>
        <v>6000</v>
      </c>
      <c r="L4297" s="714"/>
      <c r="M4297" s="714"/>
      <c r="N4297" s="700"/>
      <c r="O4297" s="974">
        <f t="shared" si="488"/>
        <v>6000</v>
      </c>
      <c r="P4297" s="956"/>
      <c r="Q4297" s="1821"/>
      <c r="R4297" s="1821"/>
      <c r="S4297" s="1821"/>
      <c r="T4297" s="1821"/>
      <c r="U4297" s="1821"/>
      <c r="V4297" s="1821"/>
      <c r="W4297" s="1821"/>
      <c r="X4297" s="1821"/>
      <c r="Y4297" s="1821"/>
      <c r="Z4297" s="1821"/>
      <c r="AA4297" s="1821"/>
      <c r="AB4297" s="1821"/>
      <c r="AC4297" s="1821"/>
      <c r="AD4297" s="1821"/>
      <c r="AE4297" s="1821"/>
      <c r="AF4297" s="1821"/>
      <c r="AG4297" s="1821"/>
      <c r="AH4297" s="1821"/>
      <c r="AI4297" s="1821"/>
      <c r="AJ4297" s="1821"/>
      <c r="AK4297" s="1821"/>
      <c r="AL4297" s="1821"/>
      <c r="AM4297" s="1821"/>
      <c r="AN4297" s="1821"/>
      <c r="AO4297" s="1821"/>
      <c r="AP4297" s="1821"/>
      <c r="AQ4297" s="1821"/>
      <c r="AR4297" s="1821"/>
      <c r="AS4297" s="1821"/>
      <c r="AT4297" s="1821"/>
      <c r="AU4297" s="1821"/>
      <c r="AV4297" s="1821"/>
      <c r="AW4297" s="1821"/>
      <c r="AX4297" s="1821"/>
      <c r="AY4297" s="1821"/>
      <c r="AZ4297" s="1821"/>
      <c r="BA4297" s="1821"/>
      <c r="BB4297" s="1821"/>
      <c r="BC4297" s="1821"/>
      <c r="BD4297" s="1821"/>
      <c r="BE4297" s="1821"/>
      <c r="BF4297" s="1821"/>
      <c r="BG4297" s="1821"/>
      <c r="BH4297" s="1821"/>
      <c r="BI4297" s="1821"/>
      <c r="BJ4297" s="1821"/>
      <c r="BK4297" s="1821"/>
      <c r="BL4297" s="1821"/>
      <c r="BM4297" s="1821"/>
      <c r="BN4297" s="1821"/>
      <c r="BO4297" s="1821"/>
      <c r="BP4297" s="1821"/>
      <c r="BQ4297" s="1821"/>
      <c r="BR4297" s="1821"/>
      <c r="BS4297" s="1821"/>
      <c r="BT4297" s="1821"/>
      <c r="BU4297" s="1821"/>
      <c r="BV4297" s="1821"/>
      <c r="BW4297" s="1821"/>
      <c r="BX4297" s="1821"/>
      <c r="BY4297" s="1821"/>
      <c r="BZ4297" s="1821"/>
      <c r="CA4297" s="1821"/>
      <c r="CB4297" s="1821"/>
      <c r="CC4297" s="1821"/>
      <c r="CD4297" s="1821"/>
      <c r="CE4297" s="1821"/>
      <c r="CF4297" s="1821"/>
      <c r="CG4297" s="1821"/>
      <c r="CH4297" s="1821"/>
      <c r="CI4297" s="1821"/>
      <c r="CJ4297" s="1821"/>
      <c r="CK4297" s="1821"/>
    </row>
    <row r="4298" spans="1:89" s="744" customFormat="1" ht="16.5" hidden="1" customHeight="1" x14ac:dyDescent="0.25">
      <c r="A4298" s="1033"/>
      <c r="B4298" s="709" t="s">
        <v>1386</v>
      </c>
      <c r="C4298" s="827">
        <v>18</v>
      </c>
      <c r="D4298" s="961" t="s">
        <v>210</v>
      </c>
      <c r="E4298" s="758">
        <v>900</v>
      </c>
      <c r="F4298" s="714"/>
      <c r="G4298" s="714"/>
      <c r="H4298" s="700"/>
      <c r="I4298" s="714"/>
      <c r="J4298" s="714">
        <f t="shared" si="487"/>
        <v>16200</v>
      </c>
      <c r="K4298" s="700">
        <f>J4298+I4298</f>
        <v>16200</v>
      </c>
      <c r="L4298" s="714"/>
      <c r="M4298" s="714"/>
      <c r="N4298" s="700"/>
      <c r="O4298" s="974">
        <f t="shared" si="488"/>
        <v>16200</v>
      </c>
      <c r="P4298" s="956"/>
      <c r="Q4298" s="1821"/>
      <c r="R4298" s="1821"/>
      <c r="S4298" s="1821"/>
      <c r="T4298" s="1821"/>
      <c r="U4298" s="1821"/>
      <c r="V4298" s="1821"/>
      <c r="W4298" s="1821"/>
      <c r="X4298" s="1821"/>
      <c r="Y4298" s="1821"/>
      <c r="Z4298" s="1821"/>
      <c r="AA4298" s="1821"/>
      <c r="AB4298" s="1821"/>
      <c r="AC4298" s="1821"/>
      <c r="AD4298" s="1821"/>
      <c r="AE4298" s="1821"/>
      <c r="AF4298" s="1821"/>
      <c r="AG4298" s="1821"/>
      <c r="AH4298" s="1821"/>
      <c r="AI4298" s="1821"/>
      <c r="AJ4298" s="1821"/>
      <c r="AK4298" s="1821"/>
      <c r="AL4298" s="1821"/>
      <c r="AM4298" s="1821"/>
      <c r="AN4298" s="1821"/>
      <c r="AO4298" s="1821"/>
      <c r="AP4298" s="1821"/>
      <c r="AQ4298" s="1821"/>
      <c r="AR4298" s="1821"/>
      <c r="AS4298" s="1821"/>
      <c r="AT4298" s="1821"/>
      <c r="AU4298" s="1821"/>
      <c r="AV4298" s="1821"/>
      <c r="AW4298" s="1821"/>
      <c r="AX4298" s="1821"/>
      <c r="AY4298" s="1821"/>
      <c r="AZ4298" s="1821"/>
      <c r="BA4298" s="1821"/>
      <c r="BB4298" s="1821"/>
      <c r="BC4298" s="1821"/>
      <c r="BD4298" s="1821"/>
      <c r="BE4298" s="1821"/>
      <c r="BF4298" s="1821"/>
      <c r="BG4298" s="1821"/>
      <c r="BH4298" s="1821"/>
      <c r="BI4298" s="1821"/>
      <c r="BJ4298" s="1821"/>
      <c r="BK4298" s="1821"/>
      <c r="BL4298" s="1821"/>
      <c r="BM4298" s="1821"/>
      <c r="BN4298" s="1821"/>
      <c r="BO4298" s="1821"/>
      <c r="BP4298" s="1821"/>
      <c r="BQ4298" s="1821"/>
      <c r="BR4298" s="1821"/>
      <c r="BS4298" s="1821"/>
      <c r="BT4298" s="1821"/>
      <c r="BU4298" s="1821"/>
      <c r="BV4298" s="1821"/>
      <c r="BW4298" s="1821"/>
      <c r="BX4298" s="1821"/>
      <c r="BY4298" s="1821"/>
      <c r="BZ4298" s="1821"/>
      <c r="CA4298" s="1821"/>
      <c r="CB4298" s="1821"/>
      <c r="CC4298" s="1821"/>
      <c r="CD4298" s="1821"/>
      <c r="CE4298" s="1821"/>
      <c r="CF4298" s="1821"/>
      <c r="CG4298" s="1821"/>
      <c r="CH4298" s="1821"/>
      <c r="CI4298" s="1821"/>
      <c r="CJ4298" s="1821"/>
      <c r="CK4298" s="1821"/>
    </row>
    <row r="4299" spans="1:89" s="744" customFormat="1" ht="16.5" hidden="1" customHeight="1" x14ac:dyDescent="0.25">
      <c r="A4299" s="1033"/>
      <c r="B4299" s="709" t="s">
        <v>1242</v>
      </c>
      <c r="C4299" s="827">
        <v>6</v>
      </c>
      <c r="D4299" s="961" t="s">
        <v>210</v>
      </c>
      <c r="E4299" s="758">
        <v>700</v>
      </c>
      <c r="F4299" s="714"/>
      <c r="G4299" s="714"/>
      <c r="H4299" s="700"/>
      <c r="I4299" s="714"/>
      <c r="J4299" s="714">
        <f t="shared" si="487"/>
        <v>4200</v>
      </c>
      <c r="K4299" s="700">
        <f>J4299+I4299</f>
        <v>4200</v>
      </c>
      <c r="L4299" s="714"/>
      <c r="M4299" s="714"/>
      <c r="N4299" s="700"/>
      <c r="O4299" s="974">
        <f t="shared" si="488"/>
        <v>4200</v>
      </c>
      <c r="P4299" s="956"/>
      <c r="Q4299" s="1821"/>
      <c r="R4299" s="1821"/>
      <c r="S4299" s="1821"/>
      <c r="T4299" s="1821"/>
      <c r="U4299" s="1821"/>
      <c r="V4299" s="1821"/>
      <c r="W4299" s="1821"/>
      <c r="X4299" s="1821"/>
      <c r="Y4299" s="1821"/>
      <c r="Z4299" s="1821"/>
      <c r="AA4299" s="1821"/>
      <c r="AB4299" s="1821"/>
      <c r="AC4299" s="1821"/>
      <c r="AD4299" s="1821"/>
      <c r="AE4299" s="1821"/>
      <c r="AF4299" s="1821"/>
      <c r="AG4299" s="1821"/>
      <c r="AH4299" s="1821"/>
      <c r="AI4299" s="1821"/>
      <c r="AJ4299" s="1821"/>
      <c r="AK4299" s="1821"/>
      <c r="AL4299" s="1821"/>
      <c r="AM4299" s="1821"/>
      <c r="AN4299" s="1821"/>
      <c r="AO4299" s="1821"/>
      <c r="AP4299" s="1821"/>
      <c r="AQ4299" s="1821"/>
      <c r="AR4299" s="1821"/>
      <c r="AS4299" s="1821"/>
      <c r="AT4299" s="1821"/>
      <c r="AU4299" s="1821"/>
      <c r="AV4299" s="1821"/>
      <c r="AW4299" s="1821"/>
      <c r="AX4299" s="1821"/>
      <c r="AY4299" s="1821"/>
      <c r="AZ4299" s="1821"/>
      <c r="BA4299" s="1821"/>
      <c r="BB4299" s="1821"/>
      <c r="BC4299" s="1821"/>
      <c r="BD4299" s="1821"/>
      <c r="BE4299" s="1821"/>
      <c r="BF4299" s="1821"/>
      <c r="BG4299" s="1821"/>
      <c r="BH4299" s="1821"/>
      <c r="BI4299" s="1821"/>
      <c r="BJ4299" s="1821"/>
      <c r="BK4299" s="1821"/>
      <c r="BL4299" s="1821"/>
      <c r="BM4299" s="1821"/>
      <c r="BN4299" s="1821"/>
      <c r="BO4299" s="1821"/>
      <c r="BP4299" s="1821"/>
      <c r="BQ4299" s="1821"/>
      <c r="BR4299" s="1821"/>
      <c r="BS4299" s="1821"/>
      <c r="BT4299" s="1821"/>
      <c r="BU4299" s="1821"/>
      <c r="BV4299" s="1821"/>
      <c r="BW4299" s="1821"/>
      <c r="BX4299" s="1821"/>
      <c r="BY4299" s="1821"/>
      <c r="BZ4299" s="1821"/>
      <c r="CA4299" s="1821"/>
      <c r="CB4299" s="1821"/>
      <c r="CC4299" s="1821"/>
      <c r="CD4299" s="1821"/>
      <c r="CE4299" s="1821"/>
      <c r="CF4299" s="1821"/>
      <c r="CG4299" s="1821"/>
      <c r="CH4299" s="1821"/>
      <c r="CI4299" s="1821"/>
      <c r="CJ4299" s="1821"/>
      <c r="CK4299" s="1821"/>
    </row>
    <row r="4300" spans="1:89" s="744" customFormat="1" ht="16.5" hidden="1" customHeight="1" x14ac:dyDescent="0.25">
      <c r="A4300" s="1033"/>
      <c r="B4300" s="709" t="s">
        <v>358</v>
      </c>
      <c r="C4300" s="827"/>
      <c r="D4300" s="961"/>
      <c r="E4300" s="758"/>
      <c r="F4300" s="714"/>
      <c r="G4300" s="714"/>
      <c r="H4300" s="700"/>
      <c r="I4300" s="714"/>
      <c r="J4300" s="714">
        <f t="shared" si="487"/>
        <v>0</v>
      </c>
      <c r="K4300" s="700"/>
      <c r="L4300" s="714"/>
      <c r="M4300" s="714"/>
      <c r="N4300" s="700"/>
      <c r="O4300" s="974"/>
      <c r="P4300" s="956"/>
      <c r="Q4300" s="1821"/>
      <c r="R4300" s="1821"/>
      <c r="S4300" s="1821"/>
      <c r="T4300" s="1821"/>
      <c r="U4300" s="1821"/>
      <c r="V4300" s="1821"/>
      <c r="W4300" s="1821"/>
      <c r="X4300" s="1821"/>
      <c r="Y4300" s="1821"/>
      <c r="Z4300" s="1821"/>
      <c r="AA4300" s="1821"/>
      <c r="AB4300" s="1821"/>
      <c r="AC4300" s="1821"/>
      <c r="AD4300" s="1821"/>
      <c r="AE4300" s="1821"/>
      <c r="AF4300" s="1821"/>
      <c r="AG4300" s="1821"/>
      <c r="AH4300" s="1821"/>
      <c r="AI4300" s="1821"/>
      <c r="AJ4300" s="1821"/>
      <c r="AK4300" s="1821"/>
      <c r="AL4300" s="1821"/>
      <c r="AM4300" s="1821"/>
      <c r="AN4300" s="1821"/>
      <c r="AO4300" s="1821"/>
      <c r="AP4300" s="1821"/>
      <c r="AQ4300" s="1821"/>
      <c r="AR4300" s="1821"/>
      <c r="AS4300" s="1821"/>
      <c r="AT4300" s="1821"/>
      <c r="AU4300" s="1821"/>
      <c r="AV4300" s="1821"/>
      <c r="AW4300" s="1821"/>
      <c r="AX4300" s="1821"/>
      <c r="AY4300" s="1821"/>
      <c r="AZ4300" s="1821"/>
      <c r="BA4300" s="1821"/>
      <c r="BB4300" s="1821"/>
      <c r="BC4300" s="1821"/>
      <c r="BD4300" s="1821"/>
      <c r="BE4300" s="1821"/>
      <c r="BF4300" s="1821"/>
      <c r="BG4300" s="1821"/>
      <c r="BH4300" s="1821"/>
      <c r="BI4300" s="1821"/>
      <c r="BJ4300" s="1821"/>
      <c r="BK4300" s="1821"/>
      <c r="BL4300" s="1821"/>
      <c r="BM4300" s="1821"/>
      <c r="BN4300" s="1821"/>
      <c r="BO4300" s="1821"/>
      <c r="BP4300" s="1821"/>
      <c r="BQ4300" s="1821"/>
      <c r="BR4300" s="1821"/>
      <c r="BS4300" s="1821"/>
      <c r="BT4300" s="1821"/>
      <c r="BU4300" s="1821"/>
      <c r="BV4300" s="1821"/>
      <c r="BW4300" s="1821"/>
      <c r="BX4300" s="1821"/>
      <c r="BY4300" s="1821"/>
      <c r="BZ4300" s="1821"/>
      <c r="CA4300" s="1821"/>
      <c r="CB4300" s="1821"/>
      <c r="CC4300" s="1821"/>
      <c r="CD4300" s="1821"/>
      <c r="CE4300" s="1821"/>
      <c r="CF4300" s="1821"/>
      <c r="CG4300" s="1821"/>
      <c r="CH4300" s="1821"/>
      <c r="CI4300" s="1821"/>
      <c r="CJ4300" s="1821"/>
      <c r="CK4300" s="1821"/>
    </row>
    <row r="4301" spans="1:89" s="744" customFormat="1" ht="16.5" hidden="1" customHeight="1" x14ac:dyDescent="0.25">
      <c r="A4301" s="1033"/>
      <c r="B4301" s="709" t="s">
        <v>359</v>
      </c>
      <c r="C4301" s="827">
        <v>18</v>
      </c>
      <c r="D4301" s="961" t="s">
        <v>51</v>
      </c>
      <c r="E4301" s="758">
        <v>3255</v>
      </c>
      <c r="F4301" s="714"/>
      <c r="G4301" s="714"/>
      <c r="H4301" s="700"/>
      <c r="I4301" s="714"/>
      <c r="J4301" s="714">
        <f t="shared" si="487"/>
        <v>58590</v>
      </c>
      <c r="K4301" s="700">
        <f>H4301+J4301</f>
        <v>58590</v>
      </c>
      <c r="L4301" s="714"/>
      <c r="M4301" s="714"/>
      <c r="N4301" s="700"/>
      <c r="O4301" s="974">
        <f t="shared" si="488"/>
        <v>58590</v>
      </c>
      <c r="P4301" s="956"/>
      <c r="Q4301" s="1821"/>
      <c r="R4301" s="1821"/>
      <c r="S4301" s="1821"/>
      <c r="T4301" s="1821"/>
      <c r="U4301" s="1821"/>
      <c r="V4301" s="1821"/>
      <c r="W4301" s="1821"/>
      <c r="X4301" s="1821"/>
      <c r="Y4301" s="1821"/>
      <c r="Z4301" s="1821"/>
      <c r="AA4301" s="1821"/>
      <c r="AB4301" s="1821"/>
      <c r="AC4301" s="1821"/>
      <c r="AD4301" s="1821"/>
      <c r="AE4301" s="1821"/>
      <c r="AF4301" s="1821"/>
      <c r="AG4301" s="1821"/>
      <c r="AH4301" s="1821"/>
      <c r="AI4301" s="1821"/>
      <c r="AJ4301" s="1821"/>
      <c r="AK4301" s="1821"/>
      <c r="AL4301" s="1821"/>
      <c r="AM4301" s="1821"/>
      <c r="AN4301" s="1821"/>
      <c r="AO4301" s="1821"/>
      <c r="AP4301" s="1821"/>
      <c r="AQ4301" s="1821"/>
      <c r="AR4301" s="1821"/>
      <c r="AS4301" s="1821"/>
      <c r="AT4301" s="1821"/>
      <c r="AU4301" s="1821"/>
      <c r="AV4301" s="1821"/>
      <c r="AW4301" s="1821"/>
      <c r="AX4301" s="1821"/>
      <c r="AY4301" s="1821"/>
      <c r="AZ4301" s="1821"/>
      <c r="BA4301" s="1821"/>
      <c r="BB4301" s="1821"/>
      <c r="BC4301" s="1821"/>
      <c r="BD4301" s="1821"/>
      <c r="BE4301" s="1821"/>
      <c r="BF4301" s="1821"/>
      <c r="BG4301" s="1821"/>
      <c r="BH4301" s="1821"/>
      <c r="BI4301" s="1821"/>
      <c r="BJ4301" s="1821"/>
      <c r="BK4301" s="1821"/>
      <c r="BL4301" s="1821"/>
      <c r="BM4301" s="1821"/>
      <c r="BN4301" s="1821"/>
      <c r="BO4301" s="1821"/>
      <c r="BP4301" s="1821"/>
      <c r="BQ4301" s="1821"/>
      <c r="BR4301" s="1821"/>
      <c r="BS4301" s="1821"/>
      <c r="BT4301" s="1821"/>
      <c r="BU4301" s="1821"/>
      <c r="BV4301" s="1821"/>
      <c r="BW4301" s="1821"/>
      <c r="BX4301" s="1821"/>
      <c r="BY4301" s="1821"/>
      <c r="BZ4301" s="1821"/>
      <c r="CA4301" s="1821"/>
      <c r="CB4301" s="1821"/>
      <c r="CC4301" s="1821"/>
      <c r="CD4301" s="1821"/>
      <c r="CE4301" s="1821"/>
      <c r="CF4301" s="1821"/>
      <c r="CG4301" s="1821"/>
      <c r="CH4301" s="1821"/>
      <c r="CI4301" s="1821"/>
      <c r="CJ4301" s="1821"/>
      <c r="CK4301" s="1821"/>
    </row>
    <row r="4302" spans="1:89" s="744" customFormat="1" ht="16.5" hidden="1" customHeight="1" x14ac:dyDescent="0.25">
      <c r="A4302" s="1033"/>
      <c r="B4302" s="709" t="s">
        <v>54</v>
      </c>
      <c r="C4302" s="827">
        <v>36</v>
      </c>
      <c r="D4302" s="961" t="s">
        <v>55</v>
      </c>
      <c r="E4302" s="758">
        <v>440</v>
      </c>
      <c r="F4302" s="714"/>
      <c r="G4302" s="714"/>
      <c r="H4302" s="700"/>
      <c r="I4302" s="714"/>
      <c r="J4302" s="714">
        <f t="shared" si="487"/>
        <v>15840</v>
      </c>
      <c r="K4302" s="700">
        <f t="shared" ref="K4302:K4310" si="489">H4302+J4302</f>
        <v>15840</v>
      </c>
      <c r="L4302" s="714"/>
      <c r="M4302" s="714"/>
      <c r="N4302" s="700"/>
      <c r="O4302" s="974">
        <f t="shared" si="488"/>
        <v>15840</v>
      </c>
      <c r="P4302" s="956"/>
      <c r="Q4302" s="1821"/>
      <c r="R4302" s="1821"/>
      <c r="S4302" s="1821"/>
      <c r="T4302" s="1821"/>
      <c r="U4302" s="1821"/>
      <c r="V4302" s="1821"/>
      <c r="W4302" s="1821"/>
      <c r="X4302" s="1821"/>
      <c r="Y4302" s="1821"/>
      <c r="Z4302" s="1821"/>
      <c r="AA4302" s="1821"/>
      <c r="AB4302" s="1821"/>
      <c r="AC4302" s="1821"/>
      <c r="AD4302" s="1821"/>
      <c r="AE4302" s="1821"/>
      <c r="AF4302" s="1821"/>
      <c r="AG4302" s="1821"/>
      <c r="AH4302" s="1821"/>
      <c r="AI4302" s="1821"/>
      <c r="AJ4302" s="1821"/>
      <c r="AK4302" s="1821"/>
      <c r="AL4302" s="1821"/>
      <c r="AM4302" s="1821"/>
      <c r="AN4302" s="1821"/>
      <c r="AO4302" s="1821"/>
      <c r="AP4302" s="1821"/>
      <c r="AQ4302" s="1821"/>
      <c r="AR4302" s="1821"/>
      <c r="AS4302" s="1821"/>
      <c r="AT4302" s="1821"/>
      <c r="AU4302" s="1821"/>
      <c r="AV4302" s="1821"/>
      <c r="AW4302" s="1821"/>
      <c r="AX4302" s="1821"/>
      <c r="AY4302" s="1821"/>
      <c r="AZ4302" s="1821"/>
      <c r="BA4302" s="1821"/>
      <c r="BB4302" s="1821"/>
      <c r="BC4302" s="1821"/>
      <c r="BD4302" s="1821"/>
      <c r="BE4302" s="1821"/>
      <c r="BF4302" s="1821"/>
      <c r="BG4302" s="1821"/>
      <c r="BH4302" s="1821"/>
      <c r="BI4302" s="1821"/>
      <c r="BJ4302" s="1821"/>
      <c r="BK4302" s="1821"/>
      <c r="BL4302" s="1821"/>
      <c r="BM4302" s="1821"/>
      <c r="BN4302" s="1821"/>
      <c r="BO4302" s="1821"/>
      <c r="BP4302" s="1821"/>
      <c r="BQ4302" s="1821"/>
      <c r="BR4302" s="1821"/>
      <c r="BS4302" s="1821"/>
      <c r="BT4302" s="1821"/>
      <c r="BU4302" s="1821"/>
      <c r="BV4302" s="1821"/>
      <c r="BW4302" s="1821"/>
      <c r="BX4302" s="1821"/>
      <c r="BY4302" s="1821"/>
      <c r="BZ4302" s="1821"/>
      <c r="CA4302" s="1821"/>
      <c r="CB4302" s="1821"/>
      <c r="CC4302" s="1821"/>
      <c r="CD4302" s="1821"/>
      <c r="CE4302" s="1821"/>
      <c r="CF4302" s="1821"/>
      <c r="CG4302" s="1821"/>
      <c r="CH4302" s="1821"/>
      <c r="CI4302" s="1821"/>
      <c r="CJ4302" s="1821"/>
      <c r="CK4302" s="1821"/>
    </row>
    <row r="4303" spans="1:89" s="744" customFormat="1" ht="16.5" hidden="1" customHeight="1" x14ac:dyDescent="0.25">
      <c r="A4303" s="1033"/>
      <c r="B4303" s="709" t="s">
        <v>52</v>
      </c>
      <c r="C4303" s="827">
        <v>6</v>
      </c>
      <c r="D4303" s="961" t="s">
        <v>55</v>
      </c>
      <c r="E4303" s="758">
        <v>938</v>
      </c>
      <c r="F4303" s="714"/>
      <c r="G4303" s="714"/>
      <c r="H4303" s="700"/>
      <c r="I4303" s="714"/>
      <c r="J4303" s="714">
        <f t="shared" si="487"/>
        <v>5628</v>
      </c>
      <c r="K4303" s="700">
        <f t="shared" si="489"/>
        <v>5628</v>
      </c>
      <c r="L4303" s="714"/>
      <c r="M4303" s="714"/>
      <c r="N4303" s="700"/>
      <c r="O4303" s="974">
        <f t="shared" si="488"/>
        <v>5628</v>
      </c>
      <c r="P4303" s="956"/>
      <c r="Q4303" s="1821"/>
      <c r="R4303" s="1821"/>
      <c r="S4303" s="1821"/>
      <c r="T4303" s="1821"/>
      <c r="U4303" s="1821"/>
      <c r="V4303" s="1821"/>
      <c r="W4303" s="1821"/>
      <c r="X4303" s="1821"/>
      <c r="Y4303" s="1821"/>
      <c r="Z4303" s="1821"/>
      <c r="AA4303" s="1821"/>
      <c r="AB4303" s="1821"/>
      <c r="AC4303" s="1821"/>
      <c r="AD4303" s="1821"/>
      <c r="AE4303" s="1821"/>
      <c r="AF4303" s="1821"/>
      <c r="AG4303" s="1821"/>
      <c r="AH4303" s="1821"/>
      <c r="AI4303" s="1821"/>
      <c r="AJ4303" s="1821"/>
      <c r="AK4303" s="1821"/>
      <c r="AL4303" s="1821"/>
      <c r="AM4303" s="1821"/>
      <c r="AN4303" s="1821"/>
      <c r="AO4303" s="1821"/>
      <c r="AP4303" s="1821"/>
      <c r="AQ4303" s="1821"/>
      <c r="AR4303" s="1821"/>
      <c r="AS4303" s="1821"/>
      <c r="AT4303" s="1821"/>
      <c r="AU4303" s="1821"/>
      <c r="AV4303" s="1821"/>
      <c r="AW4303" s="1821"/>
      <c r="AX4303" s="1821"/>
      <c r="AY4303" s="1821"/>
      <c r="AZ4303" s="1821"/>
      <c r="BA4303" s="1821"/>
      <c r="BB4303" s="1821"/>
      <c r="BC4303" s="1821"/>
      <c r="BD4303" s="1821"/>
      <c r="BE4303" s="1821"/>
      <c r="BF4303" s="1821"/>
      <c r="BG4303" s="1821"/>
      <c r="BH4303" s="1821"/>
      <c r="BI4303" s="1821"/>
      <c r="BJ4303" s="1821"/>
      <c r="BK4303" s="1821"/>
      <c r="BL4303" s="1821"/>
      <c r="BM4303" s="1821"/>
      <c r="BN4303" s="1821"/>
      <c r="BO4303" s="1821"/>
      <c r="BP4303" s="1821"/>
      <c r="BQ4303" s="1821"/>
      <c r="BR4303" s="1821"/>
      <c r="BS4303" s="1821"/>
      <c r="BT4303" s="1821"/>
      <c r="BU4303" s="1821"/>
      <c r="BV4303" s="1821"/>
      <c r="BW4303" s="1821"/>
      <c r="BX4303" s="1821"/>
      <c r="BY4303" s="1821"/>
      <c r="BZ4303" s="1821"/>
      <c r="CA4303" s="1821"/>
      <c r="CB4303" s="1821"/>
      <c r="CC4303" s="1821"/>
      <c r="CD4303" s="1821"/>
      <c r="CE4303" s="1821"/>
      <c r="CF4303" s="1821"/>
      <c r="CG4303" s="1821"/>
      <c r="CH4303" s="1821"/>
      <c r="CI4303" s="1821"/>
      <c r="CJ4303" s="1821"/>
      <c r="CK4303" s="1821"/>
    </row>
    <row r="4304" spans="1:89" s="744" customFormat="1" ht="16.5" hidden="1" customHeight="1" x14ac:dyDescent="0.25">
      <c r="A4304" s="1033"/>
      <c r="B4304" s="709" t="s">
        <v>52</v>
      </c>
      <c r="C4304" s="827">
        <v>30</v>
      </c>
      <c r="D4304" s="961" t="s">
        <v>55</v>
      </c>
      <c r="E4304" s="758">
        <v>643</v>
      </c>
      <c r="F4304" s="714"/>
      <c r="G4304" s="714"/>
      <c r="H4304" s="700"/>
      <c r="I4304" s="714"/>
      <c r="J4304" s="714">
        <f t="shared" si="487"/>
        <v>19290</v>
      </c>
      <c r="K4304" s="700">
        <f t="shared" si="489"/>
        <v>19290</v>
      </c>
      <c r="L4304" s="714"/>
      <c r="M4304" s="714"/>
      <c r="N4304" s="700"/>
      <c r="O4304" s="974">
        <f t="shared" si="488"/>
        <v>19290</v>
      </c>
      <c r="P4304" s="956"/>
      <c r="Q4304" s="1821"/>
      <c r="R4304" s="1821"/>
      <c r="S4304" s="1821"/>
      <c r="T4304" s="1821"/>
      <c r="U4304" s="1821"/>
      <c r="V4304" s="1821"/>
      <c r="W4304" s="1821"/>
      <c r="X4304" s="1821"/>
      <c r="Y4304" s="1821"/>
      <c r="Z4304" s="1821"/>
      <c r="AA4304" s="1821"/>
      <c r="AB4304" s="1821"/>
      <c r="AC4304" s="1821"/>
      <c r="AD4304" s="1821"/>
      <c r="AE4304" s="1821"/>
      <c r="AF4304" s="1821"/>
      <c r="AG4304" s="1821"/>
      <c r="AH4304" s="1821"/>
      <c r="AI4304" s="1821"/>
      <c r="AJ4304" s="1821"/>
      <c r="AK4304" s="1821"/>
      <c r="AL4304" s="1821"/>
      <c r="AM4304" s="1821"/>
      <c r="AN4304" s="1821"/>
      <c r="AO4304" s="1821"/>
      <c r="AP4304" s="1821"/>
      <c r="AQ4304" s="1821"/>
      <c r="AR4304" s="1821"/>
      <c r="AS4304" s="1821"/>
      <c r="AT4304" s="1821"/>
      <c r="AU4304" s="1821"/>
      <c r="AV4304" s="1821"/>
      <c r="AW4304" s="1821"/>
      <c r="AX4304" s="1821"/>
      <c r="AY4304" s="1821"/>
      <c r="AZ4304" s="1821"/>
      <c r="BA4304" s="1821"/>
      <c r="BB4304" s="1821"/>
      <c r="BC4304" s="1821"/>
      <c r="BD4304" s="1821"/>
      <c r="BE4304" s="1821"/>
      <c r="BF4304" s="1821"/>
      <c r="BG4304" s="1821"/>
      <c r="BH4304" s="1821"/>
      <c r="BI4304" s="1821"/>
      <c r="BJ4304" s="1821"/>
      <c r="BK4304" s="1821"/>
      <c r="BL4304" s="1821"/>
      <c r="BM4304" s="1821"/>
      <c r="BN4304" s="1821"/>
      <c r="BO4304" s="1821"/>
      <c r="BP4304" s="1821"/>
      <c r="BQ4304" s="1821"/>
      <c r="BR4304" s="1821"/>
      <c r="BS4304" s="1821"/>
      <c r="BT4304" s="1821"/>
      <c r="BU4304" s="1821"/>
      <c r="BV4304" s="1821"/>
      <c r="BW4304" s="1821"/>
      <c r="BX4304" s="1821"/>
      <c r="BY4304" s="1821"/>
      <c r="BZ4304" s="1821"/>
      <c r="CA4304" s="1821"/>
      <c r="CB4304" s="1821"/>
      <c r="CC4304" s="1821"/>
      <c r="CD4304" s="1821"/>
      <c r="CE4304" s="1821"/>
      <c r="CF4304" s="1821"/>
      <c r="CG4304" s="1821"/>
      <c r="CH4304" s="1821"/>
      <c r="CI4304" s="1821"/>
      <c r="CJ4304" s="1821"/>
      <c r="CK4304" s="1821"/>
    </row>
    <row r="4305" spans="1:89" s="744" customFormat="1" ht="16.5" hidden="1" customHeight="1" x14ac:dyDescent="0.25">
      <c r="A4305" s="1033"/>
      <c r="B4305" s="709" t="s">
        <v>1372</v>
      </c>
      <c r="C4305" s="827">
        <v>36</v>
      </c>
      <c r="D4305" s="961" t="s">
        <v>51</v>
      </c>
      <c r="E4305" s="758">
        <v>301</v>
      </c>
      <c r="F4305" s="714"/>
      <c r="G4305" s="714"/>
      <c r="H4305" s="700"/>
      <c r="I4305" s="714"/>
      <c r="J4305" s="714">
        <f t="shared" si="487"/>
        <v>10836</v>
      </c>
      <c r="K4305" s="700">
        <f t="shared" si="489"/>
        <v>10836</v>
      </c>
      <c r="L4305" s="714"/>
      <c r="M4305" s="714"/>
      <c r="N4305" s="700"/>
      <c r="O4305" s="974">
        <f t="shared" si="488"/>
        <v>10836</v>
      </c>
      <c r="P4305" s="956"/>
      <c r="Q4305" s="1821"/>
      <c r="R4305" s="1821"/>
      <c r="S4305" s="1821"/>
      <c r="T4305" s="1821"/>
      <c r="U4305" s="1821"/>
      <c r="V4305" s="1821"/>
      <c r="W4305" s="1821"/>
      <c r="X4305" s="1821"/>
      <c r="Y4305" s="1821"/>
      <c r="Z4305" s="1821"/>
      <c r="AA4305" s="1821"/>
      <c r="AB4305" s="1821"/>
      <c r="AC4305" s="1821"/>
      <c r="AD4305" s="1821"/>
      <c r="AE4305" s="1821"/>
      <c r="AF4305" s="1821"/>
      <c r="AG4305" s="1821"/>
      <c r="AH4305" s="1821"/>
      <c r="AI4305" s="1821"/>
      <c r="AJ4305" s="1821"/>
      <c r="AK4305" s="1821"/>
      <c r="AL4305" s="1821"/>
      <c r="AM4305" s="1821"/>
      <c r="AN4305" s="1821"/>
      <c r="AO4305" s="1821"/>
      <c r="AP4305" s="1821"/>
      <c r="AQ4305" s="1821"/>
      <c r="AR4305" s="1821"/>
      <c r="AS4305" s="1821"/>
      <c r="AT4305" s="1821"/>
      <c r="AU4305" s="1821"/>
      <c r="AV4305" s="1821"/>
      <c r="AW4305" s="1821"/>
      <c r="AX4305" s="1821"/>
      <c r="AY4305" s="1821"/>
      <c r="AZ4305" s="1821"/>
      <c r="BA4305" s="1821"/>
      <c r="BB4305" s="1821"/>
      <c r="BC4305" s="1821"/>
      <c r="BD4305" s="1821"/>
      <c r="BE4305" s="1821"/>
      <c r="BF4305" s="1821"/>
      <c r="BG4305" s="1821"/>
      <c r="BH4305" s="1821"/>
      <c r="BI4305" s="1821"/>
      <c r="BJ4305" s="1821"/>
      <c r="BK4305" s="1821"/>
      <c r="BL4305" s="1821"/>
      <c r="BM4305" s="1821"/>
      <c r="BN4305" s="1821"/>
      <c r="BO4305" s="1821"/>
      <c r="BP4305" s="1821"/>
      <c r="BQ4305" s="1821"/>
      <c r="BR4305" s="1821"/>
      <c r="BS4305" s="1821"/>
      <c r="BT4305" s="1821"/>
      <c r="BU4305" s="1821"/>
      <c r="BV4305" s="1821"/>
      <c r="BW4305" s="1821"/>
      <c r="BX4305" s="1821"/>
      <c r="BY4305" s="1821"/>
      <c r="BZ4305" s="1821"/>
      <c r="CA4305" s="1821"/>
      <c r="CB4305" s="1821"/>
      <c r="CC4305" s="1821"/>
      <c r="CD4305" s="1821"/>
      <c r="CE4305" s="1821"/>
      <c r="CF4305" s="1821"/>
      <c r="CG4305" s="1821"/>
      <c r="CH4305" s="1821"/>
      <c r="CI4305" s="1821"/>
      <c r="CJ4305" s="1821"/>
      <c r="CK4305" s="1821"/>
    </row>
    <row r="4306" spans="1:89" s="744" customFormat="1" ht="16.5" hidden="1" customHeight="1" x14ac:dyDescent="0.25">
      <c r="A4306" s="1033"/>
      <c r="B4306" s="709" t="s">
        <v>1286</v>
      </c>
      <c r="C4306" s="827"/>
      <c r="D4306" s="961"/>
      <c r="E4306" s="758"/>
      <c r="F4306" s="714"/>
      <c r="G4306" s="714"/>
      <c r="H4306" s="700"/>
      <c r="I4306" s="714"/>
      <c r="J4306" s="714">
        <f t="shared" si="487"/>
        <v>0</v>
      </c>
      <c r="K4306" s="700"/>
      <c r="L4306" s="714"/>
      <c r="M4306" s="714"/>
      <c r="N4306" s="700"/>
      <c r="O4306" s="974"/>
      <c r="P4306" s="956"/>
      <c r="Q4306" s="1821"/>
      <c r="R4306" s="1821"/>
      <c r="S4306" s="1821"/>
      <c r="T4306" s="1821"/>
      <c r="U4306" s="1821"/>
      <c r="V4306" s="1821"/>
      <c r="W4306" s="1821"/>
      <c r="X4306" s="1821"/>
      <c r="Y4306" s="1821"/>
      <c r="Z4306" s="1821"/>
      <c r="AA4306" s="1821"/>
      <c r="AB4306" s="1821"/>
      <c r="AC4306" s="1821"/>
      <c r="AD4306" s="1821"/>
      <c r="AE4306" s="1821"/>
      <c r="AF4306" s="1821"/>
      <c r="AG4306" s="1821"/>
      <c r="AH4306" s="1821"/>
      <c r="AI4306" s="1821"/>
      <c r="AJ4306" s="1821"/>
      <c r="AK4306" s="1821"/>
      <c r="AL4306" s="1821"/>
      <c r="AM4306" s="1821"/>
      <c r="AN4306" s="1821"/>
      <c r="AO4306" s="1821"/>
      <c r="AP4306" s="1821"/>
      <c r="AQ4306" s="1821"/>
      <c r="AR4306" s="1821"/>
      <c r="AS4306" s="1821"/>
      <c r="AT4306" s="1821"/>
      <c r="AU4306" s="1821"/>
      <c r="AV4306" s="1821"/>
      <c r="AW4306" s="1821"/>
      <c r="AX4306" s="1821"/>
      <c r="AY4306" s="1821"/>
      <c r="AZ4306" s="1821"/>
      <c r="BA4306" s="1821"/>
      <c r="BB4306" s="1821"/>
      <c r="BC4306" s="1821"/>
      <c r="BD4306" s="1821"/>
      <c r="BE4306" s="1821"/>
      <c r="BF4306" s="1821"/>
      <c r="BG4306" s="1821"/>
      <c r="BH4306" s="1821"/>
      <c r="BI4306" s="1821"/>
      <c r="BJ4306" s="1821"/>
      <c r="BK4306" s="1821"/>
      <c r="BL4306" s="1821"/>
      <c r="BM4306" s="1821"/>
      <c r="BN4306" s="1821"/>
      <c r="BO4306" s="1821"/>
      <c r="BP4306" s="1821"/>
      <c r="BQ4306" s="1821"/>
      <c r="BR4306" s="1821"/>
      <c r="BS4306" s="1821"/>
      <c r="BT4306" s="1821"/>
      <c r="BU4306" s="1821"/>
      <c r="BV4306" s="1821"/>
      <c r="BW4306" s="1821"/>
      <c r="BX4306" s="1821"/>
      <c r="BY4306" s="1821"/>
      <c r="BZ4306" s="1821"/>
      <c r="CA4306" s="1821"/>
      <c r="CB4306" s="1821"/>
      <c r="CC4306" s="1821"/>
      <c r="CD4306" s="1821"/>
      <c r="CE4306" s="1821"/>
      <c r="CF4306" s="1821"/>
      <c r="CG4306" s="1821"/>
      <c r="CH4306" s="1821"/>
      <c r="CI4306" s="1821"/>
      <c r="CJ4306" s="1821"/>
      <c r="CK4306" s="1821"/>
    </row>
    <row r="4307" spans="1:89" s="744" customFormat="1" ht="16.5" hidden="1" customHeight="1" x14ac:dyDescent="0.25">
      <c r="A4307" s="1033"/>
      <c r="B4307" s="709" t="s">
        <v>1387</v>
      </c>
      <c r="C4307" s="827">
        <v>480</v>
      </c>
      <c r="D4307" s="961" t="s">
        <v>66</v>
      </c>
      <c r="E4307" s="758">
        <v>738</v>
      </c>
      <c r="F4307" s="714"/>
      <c r="G4307" s="714"/>
      <c r="H4307" s="700"/>
      <c r="I4307" s="714"/>
      <c r="J4307" s="714">
        <f t="shared" si="487"/>
        <v>354240</v>
      </c>
      <c r="K4307" s="700">
        <f t="shared" si="489"/>
        <v>354240</v>
      </c>
      <c r="L4307" s="714"/>
      <c r="M4307" s="714"/>
      <c r="N4307" s="700"/>
      <c r="O4307" s="974">
        <f t="shared" si="488"/>
        <v>354240</v>
      </c>
      <c r="P4307" s="956"/>
      <c r="Q4307" s="1821"/>
      <c r="R4307" s="1821"/>
      <c r="S4307" s="1821"/>
      <c r="T4307" s="1821"/>
      <c r="U4307" s="1821"/>
      <c r="V4307" s="1821"/>
      <c r="W4307" s="1821"/>
      <c r="X4307" s="1821"/>
      <c r="Y4307" s="1821"/>
      <c r="Z4307" s="1821"/>
      <c r="AA4307" s="1821"/>
      <c r="AB4307" s="1821"/>
      <c r="AC4307" s="1821"/>
      <c r="AD4307" s="1821"/>
      <c r="AE4307" s="1821"/>
      <c r="AF4307" s="1821"/>
      <c r="AG4307" s="1821"/>
      <c r="AH4307" s="1821"/>
      <c r="AI4307" s="1821"/>
      <c r="AJ4307" s="1821"/>
      <c r="AK4307" s="1821"/>
      <c r="AL4307" s="1821"/>
      <c r="AM4307" s="1821"/>
      <c r="AN4307" s="1821"/>
      <c r="AO4307" s="1821"/>
      <c r="AP4307" s="1821"/>
      <c r="AQ4307" s="1821"/>
      <c r="AR4307" s="1821"/>
      <c r="AS4307" s="1821"/>
      <c r="AT4307" s="1821"/>
      <c r="AU4307" s="1821"/>
      <c r="AV4307" s="1821"/>
      <c r="AW4307" s="1821"/>
      <c r="AX4307" s="1821"/>
      <c r="AY4307" s="1821"/>
      <c r="AZ4307" s="1821"/>
      <c r="BA4307" s="1821"/>
      <c r="BB4307" s="1821"/>
      <c r="BC4307" s="1821"/>
      <c r="BD4307" s="1821"/>
      <c r="BE4307" s="1821"/>
      <c r="BF4307" s="1821"/>
      <c r="BG4307" s="1821"/>
      <c r="BH4307" s="1821"/>
      <c r="BI4307" s="1821"/>
      <c r="BJ4307" s="1821"/>
      <c r="BK4307" s="1821"/>
      <c r="BL4307" s="1821"/>
      <c r="BM4307" s="1821"/>
      <c r="BN4307" s="1821"/>
      <c r="BO4307" s="1821"/>
      <c r="BP4307" s="1821"/>
      <c r="BQ4307" s="1821"/>
      <c r="BR4307" s="1821"/>
      <c r="BS4307" s="1821"/>
      <c r="BT4307" s="1821"/>
      <c r="BU4307" s="1821"/>
      <c r="BV4307" s="1821"/>
      <c r="BW4307" s="1821"/>
      <c r="BX4307" s="1821"/>
      <c r="BY4307" s="1821"/>
      <c r="BZ4307" s="1821"/>
      <c r="CA4307" s="1821"/>
      <c r="CB4307" s="1821"/>
      <c r="CC4307" s="1821"/>
      <c r="CD4307" s="1821"/>
      <c r="CE4307" s="1821"/>
      <c r="CF4307" s="1821"/>
      <c r="CG4307" s="1821"/>
      <c r="CH4307" s="1821"/>
      <c r="CI4307" s="1821"/>
      <c r="CJ4307" s="1821"/>
      <c r="CK4307" s="1821"/>
    </row>
    <row r="4308" spans="1:89" s="744" customFormat="1" ht="16.5" hidden="1" customHeight="1" x14ac:dyDescent="0.25">
      <c r="A4308" s="1033"/>
      <c r="B4308" s="709" t="s">
        <v>350</v>
      </c>
      <c r="C4308" s="827">
        <v>57</v>
      </c>
      <c r="D4308" s="961" t="s">
        <v>51</v>
      </c>
      <c r="E4308" s="758">
        <v>3255</v>
      </c>
      <c r="F4308" s="714"/>
      <c r="G4308" s="714"/>
      <c r="H4308" s="700"/>
      <c r="I4308" s="714"/>
      <c r="J4308" s="714">
        <f t="shared" si="487"/>
        <v>185535</v>
      </c>
      <c r="K4308" s="700">
        <f t="shared" si="489"/>
        <v>185535</v>
      </c>
      <c r="L4308" s="714"/>
      <c r="M4308" s="714"/>
      <c r="N4308" s="700"/>
      <c r="O4308" s="974">
        <f t="shared" si="488"/>
        <v>185535</v>
      </c>
      <c r="P4308" s="956"/>
      <c r="Q4308" s="1821"/>
      <c r="R4308" s="1821"/>
      <c r="S4308" s="1821"/>
      <c r="T4308" s="1821"/>
      <c r="U4308" s="1821"/>
      <c r="V4308" s="1821"/>
      <c r="W4308" s="1821"/>
      <c r="X4308" s="1821"/>
      <c r="Y4308" s="1821"/>
      <c r="Z4308" s="1821"/>
      <c r="AA4308" s="1821"/>
      <c r="AB4308" s="1821"/>
      <c r="AC4308" s="1821"/>
      <c r="AD4308" s="1821"/>
      <c r="AE4308" s="1821"/>
      <c r="AF4308" s="1821"/>
      <c r="AG4308" s="1821"/>
      <c r="AH4308" s="1821"/>
      <c r="AI4308" s="1821"/>
      <c r="AJ4308" s="1821"/>
      <c r="AK4308" s="1821"/>
      <c r="AL4308" s="1821"/>
      <c r="AM4308" s="1821"/>
      <c r="AN4308" s="1821"/>
      <c r="AO4308" s="1821"/>
      <c r="AP4308" s="1821"/>
      <c r="AQ4308" s="1821"/>
      <c r="AR4308" s="1821"/>
      <c r="AS4308" s="1821"/>
      <c r="AT4308" s="1821"/>
      <c r="AU4308" s="1821"/>
      <c r="AV4308" s="1821"/>
      <c r="AW4308" s="1821"/>
      <c r="AX4308" s="1821"/>
      <c r="AY4308" s="1821"/>
      <c r="AZ4308" s="1821"/>
      <c r="BA4308" s="1821"/>
      <c r="BB4308" s="1821"/>
      <c r="BC4308" s="1821"/>
      <c r="BD4308" s="1821"/>
      <c r="BE4308" s="1821"/>
      <c r="BF4308" s="1821"/>
      <c r="BG4308" s="1821"/>
      <c r="BH4308" s="1821"/>
      <c r="BI4308" s="1821"/>
      <c r="BJ4308" s="1821"/>
      <c r="BK4308" s="1821"/>
      <c r="BL4308" s="1821"/>
      <c r="BM4308" s="1821"/>
      <c r="BN4308" s="1821"/>
      <c r="BO4308" s="1821"/>
      <c r="BP4308" s="1821"/>
      <c r="BQ4308" s="1821"/>
      <c r="BR4308" s="1821"/>
      <c r="BS4308" s="1821"/>
      <c r="BT4308" s="1821"/>
      <c r="BU4308" s="1821"/>
      <c r="BV4308" s="1821"/>
      <c r="BW4308" s="1821"/>
      <c r="BX4308" s="1821"/>
      <c r="BY4308" s="1821"/>
      <c r="BZ4308" s="1821"/>
      <c r="CA4308" s="1821"/>
      <c r="CB4308" s="1821"/>
      <c r="CC4308" s="1821"/>
      <c r="CD4308" s="1821"/>
      <c r="CE4308" s="1821"/>
      <c r="CF4308" s="1821"/>
      <c r="CG4308" s="1821"/>
      <c r="CH4308" s="1821"/>
      <c r="CI4308" s="1821"/>
      <c r="CJ4308" s="1821"/>
      <c r="CK4308" s="1821"/>
    </row>
    <row r="4309" spans="1:89" s="744" customFormat="1" ht="16.5" hidden="1" customHeight="1" x14ac:dyDescent="0.25">
      <c r="A4309" s="1033"/>
      <c r="B4309" s="709" t="s">
        <v>1388</v>
      </c>
      <c r="C4309" s="827">
        <v>720</v>
      </c>
      <c r="D4309" s="961" t="s">
        <v>55</v>
      </c>
      <c r="E4309" s="758">
        <v>141</v>
      </c>
      <c r="F4309" s="714"/>
      <c r="G4309" s="714"/>
      <c r="H4309" s="700"/>
      <c r="I4309" s="714"/>
      <c r="J4309" s="714">
        <f t="shared" si="487"/>
        <v>101520</v>
      </c>
      <c r="K4309" s="700">
        <f t="shared" si="489"/>
        <v>101520</v>
      </c>
      <c r="L4309" s="714"/>
      <c r="M4309" s="714"/>
      <c r="N4309" s="700"/>
      <c r="O4309" s="974">
        <f t="shared" si="488"/>
        <v>101520</v>
      </c>
      <c r="P4309" s="956"/>
      <c r="Q4309" s="1821"/>
      <c r="R4309" s="1821"/>
      <c r="S4309" s="1821"/>
      <c r="T4309" s="1821"/>
      <c r="U4309" s="1821"/>
      <c r="V4309" s="1821"/>
      <c r="W4309" s="1821"/>
      <c r="X4309" s="1821"/>
      <c r="Y4309" s="1821"/>
      <c r="Z4309" s="1821"/>
      <c r="AA4309" s="1821"/>
      <c r="AB4309" s="1821"/>
      <c r="AC4309" s="1821"/>
      <c r="AD4309" s="1821"/>
      <c r="AE4309" s="1821"/>
      <c r="AF4309" s="1821"/>
      <c r="AG4309" s="1821"/>
      <c r="AH4309" s="1821"/>
      <c r="AI4309" s="1821"/>
      <c r="AJ4309" s="1821"/>
      <c r="AK4309" s="1821"/>
      <c r="AL4309" s="1821"/>
      <c r="AM4309" s="1821"/>
      <c r="AN4309" s="1821"/>
      <c r="AO4309" s="1821"/>
      <c r="AP4309" s="1821"/>
      <c r="AQ4309" s="1821"/>
      <c r="AR4309" s="1821"/>
      <c r="AS4309" s="1821"/>
      <c r="AT4309" s="1821"/>
      <c r="AU4309" s="1821"/>
      <c r="AV4309" s="1821"/>
      <c r="AW4309" s="1821"/>
      <c r="AX4309" s="1821"/>
      <c r="AY4309" s="1821"/>
      <c r="AZ4309" s="1821"/>
      <c r="BA4309" s="1821"/>
      <c r="BB4309" s="1821"/>
      <c r="BC4309" s="1821"/>
      <c r="BD4309" s="1821"/>
      <c r="BE4309" s="1821"/>
      <c r="BF4309" s="1821"/>
      <c r="BG4309" s="1821"/>
      <c r="BH4309" s="1821"/>
      <c r="BI4309" s="1821"/>
      <c r="BJ4309" s="1821"/>
      <c r="BK4309" s="1821"/>
      <c r="BL4309" s="1821"/>
      <c r="BM4309" s="1821"/>
      <c r="BN4309" s="1821"/>
      <c r="BO4309" s="1821"/>
      <c r="BP4309" s="1821"/>
      <c r="BQ4309" s="1821"/>
      <c r="BR4309" s="1821"/>
      <c r="BS4309" s="1821"/>
      <c r="BT4309" s="1821"/>
      <c r="BU4309" s="1821"/>
      <c r="BV4309" s="1821"/>
      <c r="BW4309" s="1821"/>
      <c r="BX4309" s="1821"/>
      <c r="BY4309" s="1821"/>
      <c r="BZ4309" s="1821"/>
      <c r="CA4309" s="1821"/>
      <c r="CB4309" s="1821"/>
      <c r="CC4309" s="1821"/>
      <c r="CD4309" s="1821"/>
      <c r="CE4309" s="1821"/>
      <c r="CF4309" s="1821"/>
      <c r="CG4309" s="1821"/>
      <c r="CH4309" s="1821"/>
      <c r="CI4309" s="1821"/>
      <c r="CJ4309" s="1821"/>
      <c r="CK4309" s="1821"/>
    </row>
    <row r="4310" spans="1:89" s="744" customFormat="1" ht="16.5" hidden="1" customHeight="1" x14ac:dyDescent="0.25">
      <c r="A4310" s="1033"/>
      <c r="B4310" s="709" t="s">
        <v>1372</v>
      </c>
      <c r="C4310" s="827">
        <v>114</v>
      </c>
      <c r="D4310" s="961" t="s">
        <v>51</v>
      </c>
      <c r="E4310" s="758">
        <v>301</v>
      </c>
      <c r="F4310" s="714"/>
      <c r="G4310" s="714"/>
      <c r="H4310" s="700"/>
      <c r="I4310" s="714"/>
      <c r="J4310" s="714">
        <f t="shared" si="487"/>
        <v>34314</v>
      </c>
      <c r="K4310" s="700">
        <f t="shared" si="489"/>
        <v>34314</v>
      </c>
      <c r="L4310" s="714"/>
      <c r="M4310" s="714"/>
      <c r="N4310" s="700"/>
      <c r="O4310" s="974">
        <f t="shared" si="488"/>
        <v>34314</v>
      </c>
      <c r="P4310" s="956"/>
      <c r="Q4310" s="1821"/>
      <c r="R4310" s="1821"/>
      <c r="S4310" s="1821"/>
      <c r="T4310" s="1821"/>
      <c r="U4310" s="1821"/>
      <c r="V4310" s="1821"/>
      <c r="W4310" s="1821"/>
      <c r="X4310" s="1821"/>
      <c r="Y4310" s="1821"/>
      <c r="Z4310" s="1821"/>
      <c r="AA4310" s="1821"/>
      <c r="AB4310" s="1821"/>
      <c r="AC4310" s="1821"/>
      <c r="AD4310" s="1821"/>
      <c r="AE4310" s="1821"/>
      <c r="AF4310" s="1821"/>
      <c r="AG4310" s="1821"/>
      <c r="AH4310" s="1821"/>
      <c r="AI4310" s="1821"/>
      <c r="AJ4310" s="1821"/>
      <c r="AK4310" s="1821"/>
      <c r="AL4310" s="1821"/>
      <c r="AM4310" s="1821"/>
      <c r="AN4310" s="1821"/>
      <c r="AO4310" s="1821"/>
      <c r="AP4310" s="1821"/>
      <c r="AQ4310" s="1821"/>
      <c r="AR4310" s="1821"/>
      <c r="AS4310" s="1821"/>
      <c r="AT4310" s="1821"/>
      <c r="AU4310" s="1821"/>
      <c r="AV4310" s="1821"/>
      <c r="AW4310" s="1821"/>
      <c r="AX4310" s="1821"/>
      <c r="AY4310" s="1821"/>
      <c r="AZ4310" s="1821"/>
      <c r="BA4310" s="1821"/>
      <c r="BB4310" s="1821"/>
      <c r="BC4310" s="1821"/>
      <c r="BD4310" s="1821"/>
      <c r="BE4310" s="1821"/>
      <c r="BF4310" s="1821"/>
      <c r="BG4310" s="1821"/>
      <c r="BH4310" s="1821"/>
      <c r="BI4310" s="1821"/>
      <c r="BJ4310" s="1821"/>
      <c r="BK4310" s="1821"/>
      <c r="BL4310" s="1821"/>
      <c r="BM4310" s="1821"/>
      <c r="BN4310" s="1821"/>
      <c r="BO4310" s="1821"/>
      <c r="BP4310" s="1821"/>
      <c r="BQ4310" s="1821"/>
      <c r="BR4310" s="1821"/>
      <c r="BS4310" s="1821"/>
      <c r="BT4310" s="1821"/>
      <c r="BU4310" s="1821"/>
      <c r="BV4310" s="1821"/>
      <c r="BW4310" s="1821"/>
      <c r="BX4310" s="1821"/>
      <c r="BY4310" s="1821"/>
      <c r="BZ4310" s="1821"/>
      <c r="CA4310" s="1821"/>
      <c r="CB4310" s="1821"/>
      <c r="CC4310" s="1821"/>
      <c r="CD4310" s="1821"/>
      <c r="CE4310" s="1821"/>
      <c r="CF4310" s="1821"/>
      <c r="CG4310" s="1821"/>
      <c r="CH4310" s="1821"/>
      <c r="CI4310" s="1821"/>
      <c r="CJ4310" s="1821"/>
      <c r="CK4310" s="1821"/>
    </row>
    <row r="4311" spans="1:89" s="744" customFormat="1" ht="16.5" hidden="1" customHeight="1" x14ac:dyDescent="0.25">
      <c r="A4311" s="1033"/>
      <c r="B4311" s="709"/>
      <c r="C4311" s="827"/>
      <c r="D4311" s="961"/>
      <c r="E4311" s="758"/>
      <c r="F4311" s="714"/>
      <c r="G4311" s="714"/>
      <c r="H4311" s="700"/>
      <c r="I4311" s="714"/>
      <c r="J4311" s="714">
        <f t="shared" si="487"/>
        <v>0</v>
      </c>
      <c r="K4311" s="700"/>
      <c r="L4311" s="714"/>
      <c r="M4311" s="714"/>
      <c r="N4311" s="700"/>
      <c r="O4311" s="974"/>
      <c r="P4311" s="956"/>
      <c r="Q4311" s="1821"/>
      <c r="R4311" s="1821"/>
      <c r="S4311" s="1821"/>
      <c r="T4311" s="1821"/>
      <c r="U4311" s="1821"/>
      <c r="V4311" s="1821"/>
      <c r="W4311" s="1821"/>
      <c r="X4311" s="1821"/>
      <c r="Y4311" s="1821"/>
      <c r="Z4311" s="1821"/>
      <c r="AA4311" s="1821"/>
      <c r="AB4311" s="1821"/>
      <c r="AC4311" s="1821"/>
      <c r="AD4311" s="1821"/>
      <c r="AE4311" s="1821"/>
      <c r="AF4311" s="1821"/>
      <c r="AG4311" s="1821"/>
      <c r="AH4311" s="1821"/>
      <c r="AI4311" s="1821"/>
      <c r="AJ4311" s="1821"/>
      <c r="AK4311" s="1821"/>
      <c r="AL4311" s="1821"/>
      <c r="AM4311" s="1821"/>
      <c r="AN4311" s="1821"/>
      <c r="AO4311" s="1821"/>
      <c r="AP4311" s="1821"/>
      <c r="AQ4311" s="1821"/>
      <c r="AR4311" s="1821"/>
      <c r="AS4311" s="1821"/>
      <c r="AT4311" s="1821"/>
      <c r="AU4311" s="1821"/>
      <c r="AV4311" s="1821"/>
      <c r="AW4311" s="1821"/>
      <c r="AX4311" s="1821"/>
      <c r="AY4311" s="1821"/>
      <c r="AZ4311" s="1821"/>
      <c r="BA4311" s="1821"/>
      <c r="BB4311" s="1821"/>
      <c r="BC4311" s="1821"/>
      <c r="BD4311" s="1821"/>
      <c r="BE4311" s="1821"/>
      <c r="BF4311" s="1821"/>
      <c r="BG4311" s="1821"/>
      <c r="BH4311" s="1821"/>
      <c r="BI4311" s="1821"/>
      <c r="BJ4311" s="1821"/>
      <c r="BK4311" s="1821"/>
      <c r="BL4311" s="1821"/>
      <c r="BM4311" s="1821"/>
      <c r="BN4311" s="1821"/>
      <c r="BO4311" s="1821"/>
      <c r="BP4311" s="1821"/>
      <c r="BQ4311" s="1821"/>
      <c r="BR4311" s="1821"/>
      <c r="BS4311" s="1821"/>
      <c r="BT4311" s="1821"/>
      <c r="BU4311" s="1821"/>
      <c r="BV4311" s="1821"/>
      <c r="BW4311" s="1821"/>
      <c r="BX4311" s="1821"/>
      <c r="BY4311" s="1821"/>
      <c r="BZ4311" s="1821"/>
      <c r="CA4311" s="1821"/>
      <c r="CB4311" s="1821"/>
      <c r="CC4311" s="1821"/>
      <c r="CD4311" s="1821"/>
      <c r="CE4311" s="1821"/>
      <c r="CF4311" s="1821"/>
      <c r="CG4311" s="1821"/>
      <c r="CH4311" s="1821"/>
      <c r="CI4311" s="1821"/>
      <c r="CJ4311" s="1821"/>
      <c r="CK4311" s="1821"/>
    </row>
    <row r="4312" spans="1:89" s="744" customFormat="1" ht="16.5" hidden="1" customHeight="1" x14ac:dyDescent="0.25">
      <c r="A4312" s="1033">
        <v>21</v>
      </c>
      <c r="B4312" s="709" t="s">
        <v>1094</v>
      </c>
      <c r="C4312" s="827">
        <f>SUM(O4314:O4320)</f>
        <v>625588</v>
      </c>
      <c r="D4312" s="961" t="s">
        <v>25</v>
      </c>
      <c r="E4312" s="758"/>
      <c r="F4312" s="714"/>
      <c r="G4312" s="714"/>
      <c r="H4312" s="700"/>
      <c r="I4312" s="714"/>
      <c r="J4312" s="714"/>
      <c r="K4312" s="700"/>
      <c r="L4312" s="714"/>
      <c r="M4312" s="714"/>
      <c r="N4312" s="700"/>
      <c r="O4312" s="974"/>
      <c r="P4312" s="956"/>
      <c r="Q4312" s="1821"/>
      <c r="R4312" s="1821"/>
      <c r="S4312" s="1821"/>
      <c r="T4312" s="1821"/>
      <c r="U4312" s="1821"/>
      <c r="V4312" s="1821"/>
      <c r="W4312" s="1821"/>
      <c r="X4312" s="1821"/>
      <c r="Y4312" s="1821"/>
      <c r="Z4312" s="1821"/>
      <c r="AA4312" s="1821"/>
      <c r="AB4312" s="1821"/>
      <c r="AC4312" s="1821"/>
      <c r="AD4312" s="1821"/>
      <c r="AE4312" s="1821"/>
      <c r="AF4312" s="1821"/>
      <c r="AG4312" s="1821"/>
      <c r="AH4312" s="1821"/>
      <c r="AI4312" s="1821"/>
      <c r="AJ4312" s="1821"/>
      <c r="AK4312" s="1821"/>
      <c r="AL4312" s="1821"/>
      <c r="AM4312" s="1821"/>
      <c r="AN4312" s="1821"/>
      <c r="AO4312" s="1821"/>
      <c r="AP4312" s="1821"/>
      <c r="AQ4312" s="1821"/>
      <c r="AR4312" s="1821"/>
      <c r="AS4312" s="1821"/>
      <c r="AT4312" s="1821"/>
      <c r="AU4312" s="1821"/>
      <c r="AV4312" s="1821"/>
      <c r="AW4312" s="1821"/>
      <c r="AX4312" s="1821"/>
      <c r="AY4312" s="1821"/>
      <c r="AZ4312" s="1821"/>
      <c r="BA4312" s="1821"/>
      <c r="BB4312" s="1821"/>
      <c r="BC4312" s="1821"/>
      <c r="BD4312" s="1821"/>
      <c r="BE4312" s="1821"/>
      <c r="BF4312" s="1821"/>
      <c r="BG4312" s="1821"/>
      <c r="BH4312" s="1821"/>
      <c r="BI4312" s="1821"/>
      <c r="BJ4312" s="1821"/>
      <c r="BK4312" s="1821"/>
      <c r="BL4312" s="1821"/>
      <c r="BM4312" s="1821"/>
      <c r="BN4312" s="1821"/>
      <c r="BO4312" s="1821"/>
      <c r="BP4312" s="1821"/>
      <c r="BQ4312" s="1821"/>
      <c r="BR4312" s="1821"/>
      <c r="BS4312" s="1821"/>
      <c r="BT4312" s="1821"/>
      <c r="BU4312" s="1821"/>
      <c r="BV4312" s="1821"/>
      <c r="BW4312" s="1821"/>
      <c r="BX4312" s="1821"/>
      <c r="BY4312" s="1821"/>
      <c r="BZ4312" s="1821"/>
      <c r="CA4312" s="1821"/>
      <c r="CB4312" s="1821"/>
      <c r="CC4312" s="1821"/>
      <c r="CD4312" s="1821"/>
      <c r="CE4312" s="1821"/>
      <c r="CF4312" s="1821"/>
      <c r="CG4312" s="1821"/>
      <c r="CH4312" s="1821"/>
      <c r="CI4312" s="1821"/>
      <c r="CJ4312" s="1821"/>
      <c r="CK4312" s="1821"/>
    </row>
    <row r="4313" spans="1:89" s="744" customFormat="1" ht="16.5" hidden="1" customHeight="1" x14ac:dyDescent="0.25">
      <c r="A4313" s="1033" t="s">
        <v>49</v>
      </c>
      <c r="B4313" s="709" t="s">
        <v>278</v>
      </c>
      <c r="C4313" s="827"/>
      <c r="D4313" s="961"/>
      <c r="E4313" s="758"/>
      <c r="F4313" s="714"/>
      <c r="G4313" s="714"/>
      <c r="H4313" s="700"/>
      <c r="I4313" s="714"/>
      <c r="J4313" s="714">
        <f t="shared" si="487"/>
        <v>0</v>
      </c>
      <c r="K4313" s="700"/>
      <c r="L4313" s="714"/>
      <c r="M4313" s="714"/>
      <c r="N4313" s="700"/>
      <c r="O4313" s="974"/>
      <c r="P4313" s="956"/>
      <c r="Q4313" s="1821"/>
      <c r="R4313" s="1821"/>
      <c r="S4313" s="1821"/>
      <c r="T4313" s="1821"/>
      <c r="U4313" s="1821"/>
      <c r="V4313" s="1821"/>
      <c r="W4313" s="1821"/>
      <c r="X4313" s="1821"/>
      <c r="Y4313" s="1821"/>
      <c r="Z4313" s="1821"/>
      <c r="AA4313" s="1821"/>
      <c r="AB4313" s="1821"/>
      <c r="AC4313" s="1821"/>
      <c r="AD4313" s="1821"/>
      <c r="AE4313" s="1821"/>
      <c r="AF4313" s="1821"/>
      <c r="AG4313" s="1821"/>
      <c r="AH4313" s="1821"/>
      <c r="AI4313" s="1821"/>
      <c r="AJ4313" s="1821"/>
      <c r="AK4313" s="1821"/>
      <c r="AL4313" s="1821"/>
      <c r="AM4313" s="1821"/>
      <c r="AN4313" s="1821"/>
      <c r="AO4313" s="1821"/>
      <c r="AP4313" s="1821"/>
      <c r="AQ4313" s="1821"/>
      <c r="AR4313" s="1821"/>
      <c r="AS4313" s="1821"/>
      <c r="AT4313" s="1821"/>
      <c r="AU4313" s="1821"/>
      <c r="AV4313" s="1821"/>
      <c r="AW4313" s="1821"/>
      <c r="AX4313" s="1821"/>
      <c r="AY4313" s="1821"/>
      <c r="AZ4313" s="1821"/>
      <c r="BA4313" s="1821"/>
      <c r="BB4313" s="1821"/>
      <c r="BC4313" s="1821"/>
      <c r="BD4313" s="1821"/>
      <c r="BE4313" s="1821"/>
      <c r="BF4313" s="1821"/>
      <c r="BG4313" s="1821"/>
      <c r="BH4313" s="1821"/>
      <c r="BI4313" s="1821"/>
      <c r="BJ4313" s="1821"/>
      <c r="BK4313" s="1821"/>
      <c r="BL4313" s="1821"/>
      <c r="BM4313" s="1821"/>
      <c r="BN4313" s="1821"/>
      <c r="BO4313" s="1821"/>
      <c r="BP4313" s="1821"/>
      <c r="BQ4313" s="1821"/>
      <c r="BR4313" s="1821"/>
      <c r="BS4313" s="1821"/>
      <c r="BT4313" s="1821"/>
      <c r="BU4313" s="1821"/>
      <c r="BV4313" s="1821"/>
      <c r="BW4313" s="1821"/>
      <c r="BX4313" s="1821"/>
      <c r="BY4313" s="1821"/>
      <c r="BZ4313" s="1821"/>
      <c r="CA4313" s="1821"/>
      <c r="CB4313" s="1821"/>
      <c r="CC4313" s="1821"/>
      <c r="CD4313" s="1821"/>
      <c r="CE4313" s="1821"/>
      <c r="CF4313" s="1821"/>
      <c r="CG4313" s="1821"/>
      <c r="CH4313" s="1821"/>
      <c r="CI4313" s="1821"/>
      <c r="CJ4313" s="1821"/>
      <c r="CK4313" s="1821"/>
    </row>
    <row r="4314" spans="1:89" s="744" customFormat="1" ht="16.5" hidden="1" customHeight="1" x14ac:dyDescent="0.25">
      <c r="A4314" s="1033"/>
      <c r="B4314" s="709" t="s">
        <v>1376</v>
      </c>
      <c r="C4314" s="827">
        <v>1</v>
      </c>
      <c r="D4314" s="961" t="s">
        <v>188</v>
      </c>
      <c r="E4314" s="758">
        <v>33500</v>
      </c>
      <c r="F4314" s="714"/>
      <c r="G4314" s="714"/>
      <c r="H4314" s="700">
        <f t="shared" ref="H4314:H4319" si="490">G4314+F4314</f>
        <v>0</v>
      </c>
      <c r="I4314" s="714"/>
      <c r="J4314" s="714">
        <f t="shared" si="487"/>
        <v>33500</v>
      </c>
      <c r="K4314" s="700">
        <f>J4314+I4314</f>
        <v>33500</v>
      </c>
      <c r="L4314" s="714"/>
      <c r="M4314" s="714"/>
      <c r="N4314" s="700">
        <f t="shared" ref="N4314:N4319" si="491">M4314+L4314</f>
        <v>0</v>
      </c>
      <c r="O4314" s="974">
        <f>N4314+K4314+H4314</f>
        <v>33500</v>
      </c>
      <c r="P4314" s="956"/>
      <c r="Q4314" s="1821"/>
      <c r="R4314" s="1821"/>
      <c r="S4314" s="1821"/>
      <c r="T4314" s="1821"/>
      <c r="U4314" s="1821"/>
      <c r="V4314" s="1821"/>
      <c r="W4314" s="1821"/>
      <c r="X4314" s="1821"/>
      <c r="Y4314" s="1821"/>
      <c r="Z4314" s="1821"/>
      <c r="AA4314" s="1821"/>
      <c r="AB4314" s="1821"/>
      <c r="AC4314" s="1821"/>
      <c r="AD4314" s="1821"/>
      <c r="AE4314" s="1821"/>
      <c r="AF4314" s="1821"/>
      <c r="AG4314" s="1821"/>
      <c r="AH4314" s="1821"/>
      <c r="AI4314" s="1821"/>
      <c r="AJ4314" s="1821"/>
      <c r="AK4314" s="1821"/>
      <c r="AL4314" s="1821"/>
      <c r="AM4314" s="1821"/>
      <c r="AN4314" s="1821"/>
      <c r="AO4314" s="1821"/>
      <c r="AP4314" s="1821"/>
      <c r="AQ4314" s="1821"/>
      <c r="AR4314" s="1821"/>
      <c r="AS4314" s="1821"/>
      <c r="AT4314" s="1821"/>
      <c r="AU4314" s="1821"/>
      <c r="AV4314" s="1821"/>
      <c r="AW4314" s="1821"/>
      <c r="AX4314" s="1821"/>
      <c r="AY4314" s="1821"/>
      <c r="AZ4314" s="1821"/>
      <c r="BA4314" s="1821"/>
      <c r="BB4314" s="1821"/>
      <c r="BC4314" s="1821"/>
      <c r="BD4314" s="1821"/>
      <c r="BE4314" s="1821"/>
      <c r="BF4314" s="1821"/>
      <c r="BG4314" s="1821"/>
      <c r="BH4314" s="1821"/>
      <c r="BI4314" s="1821"/>
      <c r="BJ4314" s="1821"/>
      <c r="BK4314" s="1821"/>
      <c r="BL4314" s="1821"/>
      <c r="BM4314" s="1821"/>
      <c r="BN4314" s="1821"/>
      <c r="BO4314" s="1821"/>
      <c r="BP4314" s="1821"/>
      <c r="BQ4314" s="1821"/>
      <c r="BR4314" s="1821"/>
      <c r="BS4314" s="1821"/>
      <c r="BT4314" s="1821"/>
      <c r="BU4314" s="1821"/>
      <c r="BV4314" s="1821"/>
      <c r="BW4314" s="1821"/>
      <c r="BX4314" s="1821"/>
      <c r="BY4314" s="1821"/>
      <c r="BZ4314" s="1821"/>
      <c r="CA4314" s="1821"/>
      <c r="CB4314" s="1821"/>
      <c r="CC4314" s="1821"/>
      <c r="CD4314" s="1821"/>
      <c r="CE4314" s="1821"/>
      <c r="CF4314" s="1821"/>
      <c r="CG4314" s="1821"/>
      <c r="CH4314" s="1821"/>
      <c r="CI4314" s="1821"/>
      <c r="CJ4314" s="1821"/>
      <c r="CK4314" s="1821"/>
    </row>
    <row r="4315" spans="1:89" s="744" customFormat="1" ht="16.5" hidden="1" customHeight="1" x14ac:dyDescent="0.25">
      <c r="A4315" s="1033"/>
      <c r="B4315" s="709" t="s">
        <v>1393</v>
      </c>
      <c r="C4315" s="827">
        <v>1</v>
      </c>
      <c r="D4315" s="961" t="s">
        <v>25</v>
      </c>
      <c r="E4315" s="758">
        <v>127200</v>
      </c>
      <c r="F4315" s="714"/>
      <c r="G4315" s="714"/>
      <c r="H4315" s="700">
        <v>0</v>
      </c>
      <c r="I4315" s="714"/>
      <c r="J4315" s="714">
        <f t="shared" si="487"/>
        <v>127200</v>
      </c>
      <c r="K4315" s="700">
        <f>J4315+I4315</f>
        <v>127200</v>
      </c>
      <c r="L4315" s="714"/>
      <c r="M4315" s="714"/>
      <c r="N4315" s="700">
        <v>0</v>
      </c>
      <c r="O4315" s="974">
        <f>N4315+K4315+H4315</f>
        <v>127200</v>
      </c>
      <c r="P4315" s="956"/>
      <c r="Q4315" s="1821"/>
      <c r="R4315" s="1821"/>
      <c r="S4315" s="1821"/>
      <c r="T4315" s="1821"/>
      <c r="U4315" s="1821"/>
      <c r="V4315" s="1821"/>
      <c r="W4315" s="1821"/>
      <c r="X4315" s="1821"/>
      <c r="Y4315" s="1821"/>
      <c r="Z4315" s="1821"/>
      <c r="AA4315" s="1821"/>
      <c r="AB4315" s="1821"/>
      <c r="AC4315" s="1821"/>
      <c r="AD4315" s="1821"/>
      <c r="AE4315" s="1821"/>
      <c r="AF4315" s="1821"/>
      <c r="AG4315" s="1821"/>
      <c r="AH4315" s="1821"/>
      <c r="AI4315" s="1821"/>
      <c r="AJ4315" s="1821"/>
      <c r="AK4315" s="1821"/>
      <c r="AL4315" s="1821"/>
      <c r="AM4315" s="1821"/>
      <c r="AN4315" s="1821"/>
      <c r="AO4315" s="1821"/>
      <c r="AP4315" s="1821"/>
      <c r="AQ4315" s="1821"/>
      <c r="AR4315" s="1821"/>
      <c r="AS4315" s="1821"/>
      <c r="AT4315" s="1821"/>
      <c r="AU4315" s="1821"/>
      <c r="AV4315" s="1821"/>
      <c r="AW4315" s="1821"/>
      <c r="AX4315" s="1821"/>
      <c r="AY4315" s="1821"/>
      <c r="AZ4315" s="1821"/>
      <c r="BA4315" s="1821"/>
      <c r="BB4315" s="1821"/>
      <c r="BC4315" s="1821"/>
      <c r="BD4315" s="1821"/>
      <c r="BE4315" s="1821"/>
      <c r="BF4315" s="1821"/>
      <c r="BG4315" s="1821"/>
      <c r="BH4315" s="1821"/>
      <c r="BI4315" s="1821"/>
      <c r="BJ4315" s="1821"/>
      <c r="BK4315" s="1821"/>
      <c r="BL4315" s="1821"/>
      <c r="BM4315" s="1821"/>
      <c r="BN4315" s="1821"/>
      <c r="BO4315" s="1821"/>
      <c r="BP4315" s="1821"/>
      <c r="BQ4315" s="1821"/>
      <c r="BR4315" s="1821"/>
      <c r="BS4315" s="1821"/>
      <c r="BT4315" s="1821"/>
      <c r="BU4315" s="1821"/>
      <c r="BV4315" s="1821"/>
      <c r="BW4315" s="1821"/>
      <c r="BX4315" s="1821"/>
      <c r="BY4315" s="1821"/>
      <c r="BZ4315" s="1821"/>
      <c r="CA4315" s="1821"/>
      <c r="CB4315" s="1821"/>
      <c r="CC4315" s="1821"/>
      <c r="CD4315" s="1821"/>
      <c r="CE4315" s="1821"/>
      <c r="CF4315" s="1821"/>
      <c r="CG4315" s="1821"/>
      <c r="CH4315" s="1821"/>
      <c r="CI4315" s="1821"/>
      <c r="CJ4315" s="1821"/>
      <c r="CK4315" s="1821"/>
    </row>
    <row r="4316" spans="1:89" s="744" customFormat="1" ht="16.5" hidden="1" customHeight="1" x14ac:dyDescent="0.25">
      <c r="A4316" s="1033"/>
      <c r="B4316" s="709" t="s">
        <v>429</v>
      </c>
      <c r="C4316" s="827"/>
      <c r="D4316" s="961"/>
      <c r="E4316" s="758"/>
      <c r="F4316" s="714"/>
      <c r="G4316" s="714"/>
      <c r="H4316" s="700"/>
      <c r="I4316" s="714"/>
      <c r="J4316" s="714">
        <f t="shared" si="487"/>
        <v>0</v>
      </c>
      <c r="K4316" s="700"/>
      <c r="L4316" s="714"/>
      <c r="M4316" s="714"/>
      <c r="N4316" s="700"/>
      <c r="O4316" s="974"/>
      <c r="P4316" s="956"/>
      <c r="Q4316" s="1821"/>
      <c r="R4316" s="1821"/>
      <c r="S4316" s="1821"/>
      <c r="T4316" s="1821"/>
      <c r="U4316" s="1821"/>
      <c r="V4316" s="1821"/>
      <c r="W4316" s="1821"/>
      <c r="X4316" s="1821"/>
      <c r="Y4316" s="1821"/>
      <c r="Z4316" s="1821"/>
      <c r="AA4316" s="1821"/>
      <c r="AB4316" s="1821"/>
      <c r="AC4316" s="1821"/>
      <c r="AD4316" s="1821"/>
      <c r="AE4316" s="1821"/>
      <c r="AF4316" s="1821"/>
      <c r="AG4316" s="1821"/>
      <c r="AH4316" s="1821"/>
      <c r="AI4316" s="1821"/>
      <c r="AJ4316" s="1821"/>
      <c r="AK4316" s="1821"/>
      <c r="AL4316" s="1821"/>
      <c r="AM4316" s="1821"/>
      <c r="AN4316" s="1821"/>
      <c r="AO4316" s="1821"/>
      <c r="AP4316" s="1821"/>
      <c r="AQ4316" s="1821"/>
      <c r="AR4316" s="1821"/>
      <c r="AS4316" s="1821"/>
      <c r="AT4316" s="1821"/>
      <c r="AU4316" s="1821"/>
      <c r="AV4316" s="1821"/>
      <c r="AW4316" s="1821"/>
      <c r="AX4316" s="1821"/>
      <c r="AY4316" s="1821"/>
      <c r="AZ4316" s="1821"/>
      <c r="BA4316" s="1821"/>
      <c r="BB4316" s="1821"/>
      <c r="BC4316" s="1821"/>
      <c r="BD4316" s="1821"/>
      <c r="BE4316" s="1821"/>
      <c r="BF4316" s="1821"/>
      <c r="BG4316" s="1821"/>
      <c r="BH4316" s="1821"/>
      <c r="BI4316" s="1821"/>
      <c r="BJ4316" s="1821"/>
      <c r="BK4316" s="1821"/>
      <c r="BL4316" s="1821"/>
      <c r="BM4316" s="1821"/>
      <c r="BN4316" s="1821"/>
      <c r="BO4316" s="1821"/>
      <c r="BP4316" s="1821"/>
      <c r="BQ4316" s="1821"/>
      <c r="BR4316" s="1821"/>
      <c r="BS4316" s="1821"/>
      <c r="BT4316" s="1821"/>
      <c r="BU4316" s="1821"/>
      <c r="BV4316" s="1821"/>
      <c r="BW4316" s="1821"/>
      <c r="BX4316" s="1821"/>
      <c r="BY4316" s="1821"/>
      <c r="BZ4316" s="1821"/>
      <c r="CA4316" s="1821"/>
      <c r="CB4316" s="1821"/>
      <c r="CC4316" s="1821"/>
      <c r="CD4316" s="1821"/>
      <c r="CE4316" s="1821"/>
      <c r="CF4316" s="1821"/>
      <c r="CG4316" s="1821"/>
      <c r="CH4316" s="1821"/>
      <c r="CI4316" s="1821"/>
      <c r="CJ4316" s="1821"/>
      <c r="CK4316" s="1821"/>
    </row>
    <row r="4317" spans="1:89" s="744" customFormat="1" ht="16.5" hidden="1" customHeight="1" x14ac:dyDescent="0.25">
      <c r="A4317" s="1033"/>
      <c r="B4317" s="709" t="s">
        <v>359</v>
      </c>
      <c r="C4317" s="827">
        <v>80</v>
      </c>
      <c r="D4317" s="961" t="s">
        <v>51</v>
      </c>
      <c r="E4317" s="758">
        <v>2606</v>
      </c>
      <c r="F4317" s="714"/>
      <c r="G4317" s="714"/>
      <c r="H4317" s="700">
        <f t="shared" si="490"/>
        <v>0</v>
      </c>
      <c r="I4317" s="714"/>
      <c r="J4317" s="714">
        <f t="shared" si="487"/>
        <v>208480</v>
      </c>
      <c r="K4317" s="700">
        <f>J4317+I4317</f>
        <v>208480</v>
      </c>
      <c r="L4317" s="714"/>
      <c r="M4317" s="714"/>
      <c r="N4317" s="700">
        <f t="shared" si="491"/>
        <v>0</v>
      </c>
      <c r="O4317" s="974">
        <f>N4317+K4317+H4317</f>
        <v>208480</v>
      </c>
      <c r="P4317" s="956"/>
      <c r="Q4317" s="1821"/>
      <c r="R4317" s="1821"/>
      <c r="S4317" s="1821"/>
      <c r="T4317" s="1821"/>
      <c r="U4317" s="1821"/>
      <c r="V4317" s="1821"/>
      <c r="W4317" s="1821"/>
      <c r="X4317" s="1821"/>
      <c r="Y4317" s="1821"/>
      <c r="Z4317" s="1821"/>
      <c r="AA4317" s="1821"/>
      <c r="AB4317" s="1821"/>
      <c r="AC4317" s="1821"/>
      <c r="AD4317" s="1821"/>
      <c r="AE4317" s="1821"/>
      <c r="AF4317" s="1821"/>
      <c r="AG4317" s="1821"/>
      <c r="AH4317" s="1821"/>
      <c r="AI4317" s="1821"/>
      <c r="AJ4317" s="1821"/>
      <c r="AK4317" s="1821"/>
      <c r="AL4317" s="1821"/>
      <c r="AM4317" s="1821"/>
      <c r="AN4317" s="1821"/>
      <c r="AO4317" s="1821"/>
      <c r="AP4317" s="1821"/>
      <c r="AQ4317" s="1821"/>
      <c r="AR4317" s="1821"/>
      <c r="AS4317" s="1821"/>
      <c r="AT4317" s="1821"/>
      <c r="AU4317" s="1821"/>
      <c r="AV4317" s="1821"/>
      <c r="AW4317" s="1821"/>
      <c r="AX4317" s="1821"/>
      <c r="AY4317" s="1821"/>
      <c r="AZ4317" s="1821"/>
      <c r="BA4317" s="1821"/>
      <c r="BB4317" s="1821"/>
      <c r="BC4317" s="1821"/>
      <c r="BD4317" s="1821"/>
      <c r="BE4317" s="1821"/>
      <c r="BF4317" s="1821"/>
      <c r="BG4317" s="1821"/>
      <c r="BH4317" s="1821"/>
      <c r="BI4317" s="1821"/>
      <c r="BJ4317" s="1821"/>
      <c r="BK4317" s="1821"/>
      <c r="BL4317" s="1821"/>
      <c r="BM4317" s="1821"/>
      <c r="BN4317" s="1821"/>
      <c r="BO4317" s="1821"/>
      <c r="BP4317" s="1821"/>
      <c r="BQ4317" s="1821"/>
      <c r="BR4317" s="1821"/>
      <c r="BS4317" s="1821"/>
      <c r="BT4317" s="1821"/>
      <c r="BU4317" s="1821"/>
      <c r="BV4317" s="1821"/>
      <c r="BW4317" s="1821"/>
      <c r="BX4317" s="1821"/>
      <c r="BY4317" s="1821"/>
      <c r="BZ4317" s="1821"/>
      <c r="CA4317" s="1821"/>
      <c r="CB4317" s="1821"/>
      <c r="CC4317" s="1821"/>
      <c r="CD4317" s="1821"/>
      <c r="CE4317" s="1821"/>
      <c r="CF4317" s="1821"/>
      <c r="CG4317" s="1821"/>
      <c r="CH4317" s="1821"/>
      <c r="CI4317" s="1821"/>
      <c r="CJ4317" s="1821"/>
      <c r="CK4317" s="1821"/>
    </row>
    <row r="4318" spans="1:89" s="744" customFormat="1" ht="16.5" hidden="1" customHeight="1" x14ac:dyDescent="0.25">
      <c r="A4318" s="1033"/>
      <c r="B4318" s="709" t="s">
        <v>54</v>
      </c>
      <c r="C4318" s="827">
        <v>252</v>
      </c>
      <c r="D4318" s="961" t="s">
        <v>55</v>
      </c>
      <c r="E4318" s="758">
        <v>518</v>
      </c>
      <c r="F4318" s="714"/>
      <c r="G4318" s="714"/>
      <c r="H4318" s="700">
        <f t="shared" si="490"/>
        <v>0</v>
      </c>
      <c r="I4318" s="714"/>
      <c r="J4318" s="714">
        <f t="shared" si="487"/>
        <v>130536</v>
      </c>
      <c r="K4318" s="700">
        <f>J4318+I4318</f>
        <v>130536</v>
      </c>
      <c r="L4318" s="714"/>
      <c r="M4318" s="714"/>
      <c r="N4318" s="700">
        <f t="shared" si="491"/>
        <v>0</v>
      </c>
      <c r="O4318" s="974">
        <f>N4318+K4318+H4318</f>
        <v>130536</v>
      </c>
      <c r="P4318" s="956"/>
      <c r="Q4318" s="1821"/>
      <c r="R4318" s="1821"/>
      <c r="S4318" s="1821"/>
      <c r="T4318" s="1821"/>
      <c r="U4318" s="1821"/>
      <c r="V4318" s="1821"/>
      <c r="W4318" s="1821"/>
      <c r="X4318" s="1821"/>
      <c r="Y4318" s="1821"/>
      <c r="Z4318" s="1821"/>
      <c r="AA4318" s="1821"/>
      <c r="AB4318" s="1821"/>
      <c r="AC4318" s="1821"/>
      <c r="AD4318" s="1821"/>
      <c r="AE4318" s="1821"/>
      <c r="AF4318" s="1821"/>
      <c r="AG4318" s="1821"/>
      <c r="AH4318" s="1821"/>
      <c r="AI4318" s="1821"/>
      <c r="AJ4318" s="1821"/>
      <c r="AK4318" s="1821"/>
      <c r="AL4318" s="1821"/>
      <c r="AM4318" s="1821"/>
      <c r="AN4318" s="1821"/>
      <c r="AO4318" s="1821"/>
      <c r="AP4318" s="1821"/>
      <c r="AQ4318" s="1821"/>
      <c r="AR4318" s="1821"/>
      <c r="AS4318" s="1821"/>
      <c r="AT4318" s="1821"/>
      <c r="AU4318" s="1821"/>
      <c r="AV4318" s="1821"/>
      <c r="AW4318" s="1821"/>
      <c r="AX4318" s="1821"/>
      <c r="AY4318" s="1821"/>
      <c r="AZ4318" s="1821"/>
      <c r="BA4318" s="1821"/>
      <c r="BB4318" s="1821"/>
      <c r="BC4318" s="1821"/>
      <c r="BD4318" s="1821"/>
      <c r="BE4318" s="1821"/>
      <c r="BF4318" s="1821"/>
      <c r="BG4318" s="1821"/>
      <c r="BH4318" s="1821"/>
      <c r="BI4318" s="1821"/>
      <c r="BJ4318" s="1821"/>
      <c r="BK4318" s="1821"/>
      <c r="BL4318" s="1821"/>
      <c r="BM4318" s="1821"/>
      <c r="BN4318" s="1821"/>
      <c r="BO4318" s="1821"/>
      <c r="BP4318" s="1821"/>
      <c r="BQ4318" s="1821"/>
      <c r="BR4318" s="1821"/>
      <c r="BS4318" s="1821"/>
      <c r="BT4318" s="1821"/>
      <c r="BU4318" s="1821"/>
      <c r="BV4318" s="1821"/>
      <c r="BW4318" s="1821"/>
      <c r="BX4318" s="1821"/>
      <c r="BY4318" s="1821"/>
      <c r="BZ4318" s="1821"/>
      <c r="CA4318" s="1821"/>
      <c r="CB4318" s="1821"/>
      <c r="CC4318" s="1821"/>
      <c r="CD4318" s="1821"/>
      <c r="CE4318" s="1821"/>
      <c r="CF4318" s="1821"/>
      <c r="CG4318" s="1821"/>
      <c r="CH4318" s="1821"/>
      <c r="CI4318" s="1821"/>
      <c r="CJ4318" s="1821"/>
      <c r="CK4318" s="1821"/>
    </row>
    <row r="4319" spans="1:89" s="744" customFormat="1" ht="16.5" hidden="1" customHeight="1" x14ac:dyDescent="0.25">
      <c r="A4319" s="1033"/>
      <c r="B4319" s="709" t="s">
        <v>52</v>
      </c>
      <c r="C4319" s="827">
        <v>168</v>
      </c>
      <c r="D4319" s="961" t="s">
        <v>55</v>
      </c>
      <c r="E4319" s="758">
        <v>494</v>
      </c>
      <c r="F4319" s="714"/>
      <c r="G4319" s="714"/>
      <c r="H4319" s="700">
        <f t="shared" si="490"/>
        <v>0</v>
      </c>
      <c r="I4319" s="714"/>
      <c r="J4319" s="714">
        <f t="shared" si="487"/>
        <v>82992</v>
      </c>
      <c r="K4319" s="700">
        <f>J4319+I4319</f>
        <v>82992</v>
      </c>
      <c r="L4319" s="714"/>
      <c r="M4319" s="714"/>
      <c r="N4319" s="700">
        <f t="shared" si="491"/>
        <v>0</v>
      </c>
      <c r="O4319" s="974">
        <f>N4319+K4319+H4319</f>
        <v>82992</v>
      </c>
      <c r="P4319" s="956"/>
      <c r="Q4319" s="1821"/>
      <c r="R4319" s="1821"/>
      <c r="S4319" s="1821"/>
      <c r="T4319" s="1821"/>
      <c r="U4319" s="1821"/>
      <c r="V4319" s="1821"/>
      <c r="W4319" s="1821"/>
      <c r="X4319" s="1821"/>
      <c r="Y4319" s="1821"/>
      <c r="Z4319" s="1821"/>
      <c r="AA4319" s="1821"/>
      <c r="AB4319" s="1821"/>
      <c r="AC4319" s="1821"/>
      <c r="AD4319" s="1821"/>
      <c r="AE4319" s="1821"/>
      <c r="AF4319" s="1821"/>
      <c r="AG4319" s="1821"/>
      <c r="AH4319" s="1821"/>
      <c r="AI4319" s="1821"/>
      <c r="AJ4319" s="1821"/>
      <c r="AK4319" s="1821"/>
      <c r="AL4319" s="1821"/>
      <c r="AM4319" s="1821"/>
      <c r="AN4319" s="1821"/>
      <c r="AO4319" s="1821"/>
      <c r="AP4319" s="1821"/>
      <c r="AQ4319" s="1821"/>
      <c r="AR4319" s="1821"/>
      <c r="AS4319" s="1821"/>
      <c r="AT4319" s="1821"/>
      <c r="AU4319" s="1821"/>
      <c r="AV4319" s="1821"/>
      <c r="AW4319" s="1821"/>
      <c r="AX4319" s="1821"/>
      <c r="AY4319" s="1821"/>
      <c r="AZ4319" s="1821"/>
      <c r="BA4319" s="1821"/>
      <c r="BB4319" s="1821"/>
      <c r="BC4319" s="1821"/>
      <c r="BD4319" s="1821"/>
      <c r="BE4319" s="1821"/>
      <c r="BF4319" s="1821"/>
      <c r="BG4319" s="1821"/>
      <c r="BH4319" s="1821"/>
      <c r="BI4319" s="1821"/>
      <c r="BJ4319" s="1821"/>
      <c r="BK4319" s="1821"/>
      <c r="BL4319" s="1821"/>
      <c r="BM4319" s="1821"/>
      <c r="BN4319" s="1821"/>
      <c r="BO4319" s="1821"/>
      <c r="BP4319" s="1821"/>
      <c r="BQ4319" s="1821"/>
      <c r="BR4319" s="1821"/>
      <c r="BS4319" s="1821"/>
      <c r="BT4319" s="1821"/>
      <c r="BU4319" s="1821"/>
      <c r="BV4319" s="1821"/>
      <c r="BW4319" s="1821"/>
      <c r="BX4319" s="1821"/>
      <c r="BY4319" s="1821"/>
      <c r="BZ4319" s="1821"/>
      <c r="CA4319" s="1821"/>
      <c r="CB4319" s="1821"/>
      <c r="CC4319" s="1821"/>
      <c r="CD4319" s="1821"/>
      <c r="CE4319" s="1821"/>
      <c r="CF4319" s="1821"/>
      <c r="CG4319" s="1821"/>
      <c r="CH4319" s="1821"/>
      <c r="CI4319" s="1821"/>
      <c r="CJ4319" s="1821"/>
      <c r="CK4319" s="1821"/>
    </row>
    <row r="4320" spans="1:89" s="744" customFormat="1" ht="16.5" hidden="1" customHeight="1" x14ac:dyDescent="0.25">
      <c r="A4320" s="1033"/>
      <c r="B4320" s="709" t="s">
        <v>1372</v>
      </c>
      <c r="C4320" s="827">
        <v>80</v>
      </c>
      <c r="D4320" s="961" t="s">
        <v>55</v>
      </c>
      <c r="E4320" s="758">
        <v>536</v>
      </c>
      <c r="F4320" s="714"/>
      <c r="G4320" s="714"/>
      <c r="H4320" s="700"/>
      <c r="I4320" s="714"/>
      <c r="J4320" s="714">
        <f t="shared" si="487"/>
        <v>42880</v>
      </c>
      <c r="K4320" s="700">
        <f>J4320+I4320</f>
        <v>42880</v>
      </c>
      <c r="L4320" s="714"/>
      <c r="M4320" s="714"/>
      <c r="N4320" s="700"/>
      <c r="O4320" s="974">
        <f>N4320+K4320+H4320</f>
        <v>42880</v>
      </c>
      <c r="P4320" s="956"/>
      <c r="Q4320" s="1821"/>
      <c r="R4320" s="1821"/>
      <c r="S4320" s="1821"/>
      <c r="T4320" s="1821"/>
      <c r="U4320" s="1821"/>
      <c r="V4320" s="1821"/>
      <c r="W4320" s="1821"/>
      <c r="X4320" s="1821"/>
      <c r="Y4320" s="1821"/>
      <c r="Z4320" s="1821"/>
      <c r="AA4320" s="1821"/>
      <c r="AB4320" s="1821"/>
      <c r="AC4320" s="1821"/>
      <c r="AD4320" s="1821"/>
      <c r="AE4320" s="1821"/>
      <c r="AF4320" s="1821"/>
      <c r="AG4320" s="1821"/>
      <c r="AH4320" s="1821"/>
      <c r="AI4320" s="1821"/>
      <c r="AJ4320" s="1821"/>
      <c r="AK4320" s="1821"/>
      <c r="AL4320" s="1821"/>
      <c r="AM4320" s="1821"/>
      <c r="AN4320" s="1821"/>
      <c r="AO4320" s="1821"/>
      <c r="AP4320" s="1821"/>
      <c r="AQ4320" s="1821"/>
      <c r="AR4320" s="1821"/>
      <c r="AS4320" s="1821"/>
      <c r="AT4320" s="1821"/>
      <c r="AU4320" s="1821"/>
      <c r="AV4320" s="1821"/>
      <c r="AW4320" s="1821"/>
      <c r="AX4320" s="1821"/>
      <c r="AY4320" s="1821"/>
      <c r="AZ4320" s="1821"/>
      <c r="BA4320" s="1821"/>
      <c r="BB4320" s="1821"/>
      <c r="BC4320" s="1821"/>
      <c r="BD4320" s="1821"/>
      <c r="BE4320" s="1821"/>
      <c r="BF4320" s="1821"/>
      <c r="BG4320" s="1821"/>
      <c r="BH4320" s="1821"/>
      <c r="BI4320" s="1821"/>
      <c r="BJ4320" s="1821"/>
      <c r="BK4320" s="1821"/>
      <c r="BL4320" s="1821"/>
      <c r="BM4320" s="1821"/>
      <c r="BN4320" s="1821"/>
      <c r="BO4320" s="1821"/>
      <c r="BP4320" s="1821"/>
      <c r="BQ4320" s="1821"/>
      <c r="BR4320" s="1821"/>
      <c r="BS4320" s="1821"/>
      <c r="BT4320" s="1821"/>
      <c r="BU4320" s="1821"/>
      <c r="BV4320" s="1821"/>
      <c r="BW4320" s="1821"/>
      <c r="BX4320" s="1821"/>
      <c r="BY4320" s="1821"/>
      <c r="BZ4320" s="1821"/>
      <c r="CA4320" s="1821"/>
      <c r="CB4320" s="1821"/>
      <c r="CC4320" s="1821"/>
      <c r="CD4320" s="1821"/>
      <c r="CE4320" s="1821"/>
      <c r="CF4320" s="1821"/>
      <c r="CG4320" s="1821"/>
      <c r="CH4320" s="1821"/>
      <c r="CI4320" s="1821"/>
      <c r="CJ4320" s="1821"/>
      <c r="CK4320" s="1821"/>
    </row>
    <row r="4321" spans="1:89" s="744" customFormat="1" ht="16.5" hidden="1" customHeight="1" x14ac:dyDescent="0.25">
      <c r="A4321" s="1033"/>
      <c r="B4321" s="709"/>
      <c r="C4321" s="827"/>
      <c r="D4321" s="961"/>
      <c r="E4321" s="758"/>
      <c r="F4321" s="714"/>
      <c r="G4321" s="714"/>
      <c r="H4321" s="700"/>
      <c r="I4321" s="714"/>
      <c r="J4321" s="714">
        <f t="shared" si="487"/>
        <v>0</v>
      </c>
      <c r="K4321" s="700"/>
      <c r="L4321" s="714"/>
      <c r="M4321" s="714"/>
      <c r="N4321" s="700"/>
      <c r="O4321" s="974"/>
      <c r="P4321" s="956"/>
      <c r="Q4321" s="1821"/>
      <c r="R4321" s="1821"/>
      <c r="S4321" s="1821"/>
      <c r="T4321" s="1821"/>
      <c r="U4321" s="1821"/>
      <c r="V4321" s="1821"/>
      <c r="W4321" s="1821"/>
      <c r="X4321" s="1821"/>
      <c r="Y4321" s="1821"/>
      <c r="Z4321" s="1821"/>
      <c r="AA4321" s="1821"/>
      <c r="AB4321" s="1821"/>
      <c r="AC4321" s="1821"/>
      <c r="AD4321" s="1821"/>
      <c r="AE4321" s="1821"/>
      <c r="AF4321" s="1821"/>
      <c r="AG4321" s="1821"/>
      <c r="AH4321" s="1821"/>
      <c r="AI4321" s="1821"/>
      <c r="AJ4321" s="1821"/>
      <c r="AK4321" s="1821"/>
      <c r="AL4321" s="1821"/>
      <c r="AM4321" s="1821"/>
      <c r="AN4321" s="1821"/>
      <c r="AO4321" s="1821"/>
      <c r="AP4321" s="1821"/>
      <c r="AQ4321" s="1821"/>
      <c r="AR4321" s="1821"/>
      <c r="AS4321" s="1821"/>
      <c r="AT4321" s="1821"/>
      <c r="AU4321" s="1821"/>
      <c r="AV4321" s="1821"/>
      <c r="AW4321" s="1821"/>
      <c r="AX4321" s="1821"/>
      <c r="AY4321" s="1821"/>
      <c r="AZ4321" s="1821"/>
      <c r="BA4321" s="1821"/>
      <c r="BB4321" s="1821"/>
      <c r="BC4321" s="1821"/>
      <c r="BD4321" s="1821"/>
      <c r="BE4321" s="1821"/>
      <c r="BF4321" s="1821"/>
      <c r="BG4321" s="1821"/>
      <c r="BH4321" s="1821"/>
      <c r="BI4321" s="1821"/>
      <c r="BJ4321" s="1821"/>
      <c r="BK4321" s="1821"/>
      <c r="BL4321" s="1821"/>
      <c r="BM4321" s="1821"/>
      <c r="BN4321" s="1821"/>
      <c r="BO4321" s="1821"/>
      <c r="BP4321" s="1821"/>
      <c r="BQ4321" s="1821"/>
      <c r="BR4321" s="1821"/>
      <c r="BS4321" s="1821"/>
      <c r="BT4321" s="1821"/>
      <c r="BU4321" s="1821"/>
      <c r="BV4321" s="1821"/>
      <c r="BW4321" s="1821"/>
      <c r="BX4321" s="1821"/>
      <c r="BY4321" s="1821"/>
      <c r="BZ4321" s="1821"/>
      <c r="CA4321" s="1821"/>
      <c r="CB4321" s="1821"/>
      <c r="CC4321" s="1821"/>
      <c r="CD4321" s="1821"/>
      <c r="CE4321" s="1821"/>
      <c r="CF4321" s="1821"/>
      <c r="CG4321" s="1821"/>
      <c r="CH4321" s="1821"/>
      <c r="CI4321" s="1821"/>
      <c r="CJ4321" s="1821"/>
      <c r="CK4321" s="1821"/>
    </row>
    <row r="4322" spans="1:89" s="744" customFormat="1" ht="16.5" hidden="1" customHeight="1" x14ac:dyDescent="0.25">
      <c r="A4322" s="1033">
        <v>22</v>
      </c>
      <c r="B4322" s="709" t="s">
        <v>1095</v>
      </c>
      <c r="C4322" s="827">
        <f>SUM(O4324:O4331)</f>
        <v>780200</v>
      </c>
      <c r="D4322" s="961"/>
      <c r="E4322" s="758"/>
      <c r="F4322" s="714"/>
      <c r="G4322" s="714"/>
      <c r="H4322" s="700"/>
      <c r="I4322" s="714"/>
      <c r="J4322" s="714">
        <f t="shared" si="487"/>
        <v>0</v>
      </c>
      <c r="K4322" s="700"/>
      <c r="L4322" s="714"/>
      <c r="M4322" s="714"/>
      <c r="N4322" s="700"/>
      <c r="O4322" s="974"/>
      <c r="P4322" s="956"/>
      <c r="Q4322" s="1821"/>
      <c r="R4322" s="1821"/>
      <c r="S4322" s="1821"/>
      <c r="T4322" s="1821"/>
      <c r="U4322" s="1821"/>
      <c r="V4322" s="1821"/>
      <c r="W4322" s="1821"/>
      <c r="X4322" s="1821"/>
      <c r="Y4322" s="1821"/>
      <c r="Z4322" s="1821"/>
      <c r="AA4322" s="1821"/>
      <c r="AB4322" s="1821"/>
      <c r="AC4322" s="1821"/>
      <c r="AD4322" s="1821"/>
      <c r="AE4322" s="1821"/>
      <c r="AF4322" s="1821"/>
      <c r="AG4322" s="1821"/>
      <c r="AH4322" s="1821"/>
      <c r="AI4322" s="1821"/>
      <c r="AJ4322" s="1821"/>
      <c r="AK4322" s="1821"/>
      <c r="AL4322" s="1821"/>
      <c r="AM4322" s="1821"/>
      <c r="AN4322" s="1821"/>
      <c r="AO4322" s="1821"/>
      <c r="AP4322" s="1821"/>
      <c r="AQ4322" s="1821"/>
      <c r="AR4322" s="1821"/>
      <c r="AS4322" s="1821"/>
      <c r="AT4322" s="1821"/>
      <c r="AU4322" s="1821"/>
      <c r="AV4322" s="1821"/>
      <c r="AW4322" s="1821"/>
      <c r="AX4322" s="1821"/>
      <c r="AY4322" s="1821"/>
      <c r="AZ4322" s="1821"/>
      <c r="BA4322" s="1821"/>
      <c r="BB4322" s="1821"/>
      <c r="BC4322" s="1821"/>
      <c r="BD4322" s="1821"/>
      <c r="BE4322" s="1821"/>
      <c r="BF4322" s="1821"/>
      <c r="BG4322" s="1821"/>
      <c r="BH4322" s="1821"/>
      <c r="BI4322" s="1821"/>
      <c r="BJ4322" s="1821"/>
      <c r="BK4322" s="1821"/>
      <c r="BL4322" s="1821"/>
      <c r="BM4322" s="1821"/>
      <c r="BN4322" s="1821"/>
      <c r="BO4322" s="1821"/>
      <c r="BP4322" s="1821"/>
      <c r="BQ4322" s="1821"/>
      <c r="BR4322" s="1821"/>
      <c r="BS4322" s="1821"/>
      <c r="BT4322" s="1821"/>
      <c r="BU4322" s="1821"/>
      <c r="BV4322" s="1821"/>
      <c r="BW4322" s="1821"/>
      <c r="BX4322" s="1821"/>
      <c r="BY4322" s="1821"/>
      <c r="BZ4322" s="1821"/>
      <c r="CA4322" s="1821"/>
      <c r="CB4322" s="1821"/>
      <c r="CC4322" s="1821"/>
      <c r="CD4322" s="1821"/>
      <c r="CE4322" s="1821"/>
      <c r="CF4322" s="1821"/>
      <c r="CG4322" s="1821"/>
      <c r="CH4322" s="1821"/>
      <c r="CI4322" s="1821"/>
      <c r="CJ4322" s="1821"/>
      <c r="CK4322" s="1821"/>
    </row>
    <row r="4323" spans="1:89" s="744" customFormat="1" ht="16.5" hidden="1" customHeight="1" x14ac:dyDescent="0.25">
      <c r="A4323" s="1033" t="s">
        <v>49</v>
      </c>
      <c r="B4323" s="709" t="s">
        <v>278</v>
      </c>
      <c r="C4323" s="827"/>
      <c r="D4323" s="961"/>
      <c r="E4323" s="758"/>
      <c r="F4323" s="714"/>
      <c r="G4323" s="714"/>
      <c r="H4323" s="700"/>
      <c r="I4323" s="714"/>
      <c r="J4323" s="714">
        <f t="shared" si="487"/>
        <v>0</v>
      </c>
      <c r="K4323" s="700"/>
      <c r="L4323" s="714"/>
      <c r="M4323" s="714"/>
      <c r="N4323" s="700"/>
      <c r="O4323" s="974"/>
      <c r="P4323" s="956"/>
      <c r="Q4323" s="1821"/>
      <c r="R4323" s="1821"/>
      <c r="S4323" s="1821"/>
      <c r="T4323" s="1821"/>
      <c r="U4323" s="1821"/>
      <c r="V4323" s="1821"/>
      <c r="W4323" s="1821"/>
      <c r="X4323" s="1821"/>
      <c r="Y4323" s="1821"/>
      <c r="Z4323" s="1821"/>
      <c r="AA4323" s="1821"/>
      <c r="AB4323" s="1821"/>
      <c r="AC4323" s="1821"/>
      <c r="AD4323" s="1821"/>
      <c r="AE4323" s="1821"/>
      <c r="AF4323" s="1821"/>
      <c r="AG4323" s="1821"/>
      <c r="AH4323" s="1821"/>
      <c r="AI4323" s="1821"/>
      <c r="AJ4323" s="1821"/>
      <c r="AK4323" s="1821"/>
      <c r="AL4323" s="1821"/>
      <c r="AM4323" s="1821"/>
      <c r="AN4323" s="1821"/>
      <c r="AO4323" s="1821"/>
      <c r="AP4323" s="1821"/>
      <c r="AQ4323" s="1821"/>
      <c r="AR4323" s="1821"/>
      <c r="AS4323" s="1821"/>
      <c r="AT4323" s="1821"/>
      <c r="AU4323" s="1821"/>
      <c r="AV4323" s="1821"/>
      <c r="AW4323" s="1821"/>
      <c r="AX4323" s="1821"/>
      <c r="AY4323" s="1821"/>
      <c r="AZ4323" s="1821"/>
      <c r="BA4323" s="1821"/>
      <c r="BB4323" s="1821"/>
      <c r="BC4323" s="1821"/>
      <c r="BD4323" s="1821"/>
      <c r="BE4323" s="1821"/>
      <c r="BF4323" s="1821"/>
      <c r="BG4323" s="1821"/>
      <c r="BH4323" s="1821"/>
      <c r="BI4323" s="1821"/>
      <c r="BJ4323" s="1821"/>
      <c r="BK4323" s="1821"/>
      <c r="BL4323" s="1821"/>
      <c r="BM4323" s="1821"/>
      <c r="BN4323" s="1821"/>
      <c r="BO4323" s="1821"/>
      <c r="BP4323" s="1821"/>
      <c r="BQ4323" s="1821"/>
      <c r="BR4323" s="1821"/>
      <c r="BS4323" s="1821"/>
      <c r="BT4323" s="1821"/>
      <c r="BU4323" s="1821"/>
      <c r="BV4323" s="1821"/>
      <c r="BW4323" s="1821"/>
      <c r="BX4323" s="1821"/>
      <c r="BY4323" s="1821"/>
      <c r="BZ4323" s="1821"/>
      <c r="CA4323" s="1821"/>
      <c r="CB4323" s="1821"/>
      <c r="CC4323" s="1821"/>
      <c r="CD4323" s="1821"/>
      <c r="CE4323" s="1821"/>
      <c r="CF4323" s="1821"/>
      <c r="CG4323" s="1821"/>
      <c r="CH4323" s="1821"/>
      <c r="CI4323" s="1821"/>
      <c r="CJ4323" s="1821"/>
      <c r="CK4323" s="1821"/>
    </row>
    <row r="4324" spans="1:89" s="744" customFormat="1" ht="16.5" hidden="1" customHeight="1" x14ac:dyDescent="0.25">
      <c r="A4324" s="1033"/>
      <c r="B4324" s="709" t="s">
        <v>1376</v>
      </c>
      <c r="C4324" s="827">
        <v>1</v>
      </c>
      <c r="D4324" s="961" t="s">
        <v>25</v>
      </c>
      <c r="E4324" s="758">
        <v>32000</v>
      </c>
      <c r="F4324" s="714"/>
      <c r="G4324" s="714"/>
      <c r="H4324" s="700">
        <f t="shared" ref="H4324:H4329" si="492">G4324+F4324</f>
        <v>0</v>
      </c>
      <c r="I4324" s="714"/>
      <c r="J4324" s="714">
        <f t="shared" si="487"/>
        <v>32000</v>
      </c>
      <c r="K4324" s="700">
        <f>J4324+I4324</f>
        <v>32000</v>
      </c>
      <c r="L4324" s="714"/>
      <c r="M4324" s="714"/>
      <c r="N4324" s="700">
        <f t="shared" ref="N4324:N4329" si="493">M4324+L4324</f>
        <v>0</v>
      </c>
      <c r="O4324" s="974">
        <f>N4324+K4324+H4324</f>
        <v>32000</v>
      </c>
      <c r="P4324" s="956"/>
      <c r="Q4324" s="1821"/>
      <c r="R4324" s="1821"/>
      <c r="S4324" s="1821"/>
      <c r="T4324" s="1821"/>
      <c r="U4324" s="1821"/>
      <c r="V4324" s="1821"/>
      <c r="W4324" s="1821"/>
      <c r="X4324" s="1821"/>
      <c r="Y4324" s="1821"/>
      <c r="Z4324" s="1821"/>
      <c r="AA4324" s="1821"/>
      <c r="AB4324" s="1821"/>
      <c r="AC4324" s="1821"/>
      <c r="AD4324" s="1821"/>
      <c r="AE4324" s="1821"/>
      <c r="AF4324" s="1821"/>
      <c r="AG4324" s="1821"/>
      <c r="AH4324" s="1821"/>
      <c r="AI4324" s="1821"/>
      <c r="AJ4324" s="1821"/>
      <c r="AK4324" s="1821"/>
      <c r="AL4324" s="1821"/>
      <c r="AM4324" s="1821"/>
      <c r="AN4324" s="1821"/>
      <c r="AO4324" s="1821"/>
      <c r="AP4324" s="1821"/>
      <c r="AQ4324" s="1821"/>
      <c r="AR4324" s="1821"/>
      <c r="AS4324" s="1821"/>
      <c r="AT4324" s="1821"/>
      <c r="AU4324" s="1821"/>
      <c r="AV4324" s="1821"/>
      <c r="AW4324" s="1821"/>
      <c r="AX4324" s="1821"/>
      <c r="AY4324" s="1821"/>
      <c r="AZ4324" s="1821"/>
      <c r="BA4324" s="1821"/>
      <c r="BB4324" s="1821"/>
      <c r="BC4324" s="1821"/>
      <c r="BD4324" s="1821"/>
      <c r="BE4324" s="1821"/>
      <c r="BF4324" s="1821"/>
      <c r="BG4324" s="1821"/>
      <c r="BH4324" s="1821"/>
      <c r="BI4324" s="1821"/>
      <c r="BJ4324" s="1821"/>
      <c r="BK4324" s="1821"/>
      <c r="BL4324" s="1821"/>
      <c r="BM4324" s="1821"/>
      <c r="BN4324" s="1821"/>
      <c r="BO4324" s="1821"/>
      <c r="BP4324" s="1821"/>
      <c r="BQ4324" s="1821"/>
      <c r="BR4324" s="1821"/>
      <c r="BS4324" s="1821"/>
      <c r="BT4324" s="1821"/>
      <c r="BU4324" s="1821"/>
      <c r="BV4324" s="1821"/>
      <c r="BW4324" s="1821"/>
      <c r="BX4324" s="1821"/>
      <c r="BY4324" s="1821"/>
      <c r="BZ4324" s="1821"/>
      <c r="CA4324" s="1821"/>
      <c r="CB4324" s="1821"/>
      <c r="CC4324" s="1821"/>
      <c r="CD4324" s="1821"/>
      <c r="CE4324" s="1821"/>
      <c r="CF4324" s="1821"/>
      <c r="CG4324" s="1821"/>
      <c r="CH4324" s="1821"/>
      <c r="CI4324" s="1821"/>
      <c r="CJ4324" s="1821"/>
      <c r="CK4324" s="1821"/>
    </row>
    <row r="4325" spans="1:89" s="795" customFormat="1" ht="16.5" hidden="1" customHeight="1" x14ac:dyDescent="0.25">
      <c r="A4325" s="1037"/>
      <c r="B4325" s="1051" t="s">
        <v>1393</v>
      </c>
      <c r="C4325" s="1039">
        <v>1</v>
      </c>
      <c r="D4325" s="1040" t="s">
        <v>25</v>
      </c>
      <c r="E4325" s="1041">
        <v>30000</v>
      </c>
      <c r="F4325" s="874"/>
      <c r="G4325" s="874"/>
      <c r="H4325" s="706">
        <v>0</v>
      </c>
      <c r="I4325" s="874"/>
      <c r="J4325" s="874">
        <f t="shared" si="487"/>
        <v>30000</v>
      </c>
      <c r="K4325" s="706">
        <f>J4325+I4325</f>
        <v>30000</v>
      </c>
      <c r="L4325" s="874"/>
      <c r="M4325" s="874"/>
      <c r="N4325" s="706"/>
      <c r="O4325" s="1042">
        <f>N4325+K4325+H4325</f>
        <v>30000</v>
      </c>
      <c r="P4325" s="1043"/>
      <c r="Q4325" s="1822"/>
      <c r="R4325" s="1822"/>
      <c r="S4325" s="1822"/>
      <c r="T4325" s="1822"/>
      <c r="U4325" s="1822"/>
      <c r="V4325" s="1822"/>
      <c r="W4325" s="1822"/>
      <c r="X4325" s="1822"/>
      <c r="Y4325" s="1822"/>
      <c r="Z4325" s="1822"/>
      <c r="AA4325" s="1822"/>
      <c r="AB4325" s="1822"/>
      <c r="AC4325" s="1822"/>
      <c r="AD4325" s="1822"/>
      <c r="AE4325" s="1822"/>
      <c r="AF4325" s="1822"/>
      <c r="AG4325" s="1822"/>
      <c r="AH4325" s="1822"/>
      <c r="AI4325" s="1822"/>
      <c r="AJ4325" s="1822"/>
      <c r="AK4325" s="1822"/>
      <c r="AL4325" s="1822"/>
      <c r="AM4325" s="1822"/>
      <c r="AN4325" s="1822"/>
      <c r="AO4325" s="1822"/>
      <c r="AP4325" s="1822"/>
      <c r="AQ4325" s="1822"/>
      <c r="AR4325" s="1822"/>
      <c r="AS4325" s="1822"/>
      <c r="AT4325" s="1822"/>
      <c r="AU4325" s="1822"/>
      <c r="AV4325" s="1822"/>
      <c r="AW4325" s="1822"/>
      <c r="AX4325" s="1822"/>
      <c r="AY4325" s="1822"/>
      <c r="AZ4325" s="1822"/>
      <c r="BA4325" s="1822"/>
      <c r="BB4325" s="1822"/>
      <c r="BC4325" s="1822"/>
      <c r="BD4325" s="1822"/>
      <c r="BE4325" s="1822"/>
      <c r="BF4325" s="1822"/>
      <c r="BG4325" s="1822"/>
      <c r="BH4325" s="1822"/>
      <c r="BI4325" s="1822"/>
      <c r="BJ4325" s="1822"/>
      <c r="BK4325" s="1822"/>
      <c r="BL4325" s="1822"/>
      <c r="BM4325" s="1822"/>
      <c r="BN4325" s="1822"/>
      <c r="BO4325" s="1822"/>
      <c r="BP4325" s="1822"/>
      <c r="BQ4325" s="1822"/>
      <c r="BR4325" s="1822"/>
      <c r="BS4325" s="1822"/>
      <c r="BT4325" s="1822"/>
      <c r="BU4325" s="1822"/>
      <c r="BV4325" s="1822"/>
      <c r="BW4325" s="1822"/>
      <c r="BX4325" s="1822"/>
      <c r="BY4325" s="1822"/>
      <c r="BZ4325" s="1822"/>
      <c r="CA4325" s="1822"/>
      <c r="CB4325" s="1822"/>
      <c r="CC4325" s="1822"/>
      <c r="CD4325" s="1822"/>
      <c r="CE4325" s="1822"/>
      <c r="CF4325" s="1822"/>
      <c r="CG4325" s="1822"/>
      <c r="CH4325" s="1822"/>
      <c r="CI4325" s="1822"/>
      <c r="CJ4325" s="1822"/>
      <c r="CK4325" s="1822"/>
    </row>
    <row r="4326" spans="1:89" s="744" customFormat="1" ht="16.5" hidden="1" customHeight="1" x14ac:dyDescent="0.25">
      <c r="A4326" s="1033"/>
      <c r="B4326" s="709" t="s">
        <v>429</v>
      </c>
      <c r="C4326" s="827"/>
      <c r="D4326" s="961"/>
      <c r="E4326" s="758"/>
      <c r="F4326" s="714"/>
      <c r="G4326" s="714"/>
      <c r="H4326" s="700"/>
      <c r="I4326" s="714"/>
      <c r="J4326" s="714">
        <f t="shared" si="487"/>
        <v>0</v>
      </c>
      <c r="K4326" s="700"/>
      <c r="L4326" s="714"/>
      <c r="M4326" s="714"/>
      <c r="N4326" s="700"/>
      <c r="O4326" s="974"/>
      <c r="P4326" s="956"/>
      <c r="Q4326" s="1821"/>
      <c r="R4326" s="1821"/>
      <c r="S4326" s="1821"/>
      <c r="T4326" s="1821"/>
      <c r="U4326" s="1821"/>
      <c r="V4326" s="1821"/>
      <c r="W4326" s="1821"/>
      <c r="X4326" s="1821"/>
      <c r="Y4326" s="1821"/>
      <c r="Z4326" s="1821"/>
      <c r="AA4326" s="1821"/>
      <c r="AB4326" s="1821"/>
      <c r="AC4326" s="1821"/>
      <c r="AD4326" s="1821"/>
      <c r="AE4326" s="1821"/>
      <c r="AF4326" s="1821"/>
      <c r="AG4326" s="1821"/>
      <c r="AH4326" s="1821"/>
      <c r="AI4326" s="1821"/>
      <c r="AJ4326" s="1821"/>
      <c r="AK4326" s="1821"/>
      <c r="AL4326" s="1821"/>
      <c r="AM4326" s="1821"/>
      <c r="AN4326" s="1821"/>
      <c r="AO4326" s="1821"/>
      <c r="AP4326" s="1821"/>
      <c r="AQ4326" s="1821"/>
      <c r="AR4326" s="1821"/>
      <c r="AS4326" s="1821"/>
      <c r="AT4326" s="1821"/>
      <c r="AU4326" s="1821"/>
      <c r="AV4326" s="1821"/>
      <c r="AW4326" s="1821"/>
      <c r="AX4326" s="1821"/>
      <c r="AY4326" s="1821"/>
      <c r="AZ4326" s="1821"/>
      <c r="BA4326" s="1821"/>
      <c r="BB4326" s="1821"/>
      <c r="BC4326" s="1821"/>
      <c r="BD4326" s="1821"/>
      <c r="BE4326" s="1821"/>
      <c r="BF4326" s="1821"/>
      <c r="BG4326" s="1821"/>
      <c r="BH4326" s="1821"/>
      <c r="BI4326" s="1821"/>
      <c r="BJ4326" s="1821"/>
      <c r="BK4326" s="1821"/>
      <c r="BL4326" s="1821"/>
      <c r="BM4326" s="1821"/>
      <c r="BN4326" s="1821"/>
      <c r="BO4326" s="1821"/>
      <c r="BP4326" s="1821"/>
      <c r="BQ4326" s="1821"/>
      <c r="BR4326" s="1821"/>
      <c r="BS4326" s="1821"/>
      <c r="BT4326" s="1821"/>
      <c r="BU4326" s="1821"/>
      <c r="BV4326" s="1821"/>
      <c r="BW4326" s="1821"/>
      <c r="BX4326" s="1821"/>
      <c r="BY4326" s="1821"/>
      <c r="BZ4326" s="1821"/>
      <c r="CA4326" s="1821"/>
      <c r="CB4326" s="1821"/>
      <c r="CC4326" s="1821"/>
      <c r="CD4326" s="1821"/>
      <c r="CE4326" s="1821"/>
      <c r="CF4326" s="1821"/>
      <c r="CG4326" s="1821"/>
      <c r="CH4326" s="1821"/>
      <c r="CI4326" s="1821"/>
      <c r="CJ4326" s="1821"/>
      <c r="CK4326" s="1821"/>
    </row>
    <row r="4327" spans="1:89" s="744" customFormat="1" ht="16.5" hidden="1" customHeight="1" x14ac:dyDescent="0.25">
      <c r="A4327" s="1033"/>
      <c r="B4327" s="709" t="s">
        <v>359</v>
      </c>
      <c r="C4327" s="827">
        <v>130</v>
      </c>
      <c r="D4327" s="961" t="s">
        <v>51</v>
      </c>
      <c r="E4327" s="758">
        <v>2763</v>
      </c>
      <c r="F4327" s="714"/>
      <c r="G4327" s="714"/>
      <c r="H4327" s="700">
        <f t="shared" si="492"/>
        <v>0</v>
      </c>
      <c r="I4327" s="714"/>
      <c r="J4327" s="714">
        <f t="shared" si="487"/>
        <v>359190</v>
      </c>
      <c r="K4327" s="700">
        <f>J4327+I4327</f>
        <v>359190</v>
      </c>
      <c r="L4327" s="714"/>
      <c r="M4327" s="714"/>
      <c r="N4327" s="700">
        <f t="shared" si="493"/>
        <v>0</v>
      </c>
      <c r="O4327" s="974">
        <f>N4327+K4327+H4327</f>
        <v>359190</v>
      </c>
      <c r="P4327" s="956"/>
      <c r="Q4327" s="1821"/>
      <c r="R4327" s="1821"/>
      <c r="S4327" s="1821"/>
      <c r="T4327" s="1821"/>
      <c r="U4327" s="1821"/>
      <c r="V4327" s="1821"/>
      <c r="W4327" s="1821"/>
      <c r="X4327" s="1821"/>
      <c r="Y4327" s="1821"/>
      <c r="Z4327" s="1821"/>
      <c r="AA4327" s="1821"/>
      <c r="AB4327" s="1821"/>
      <c r="AC4327" s="1821"/>
      <c r="AD4327" s="1821"/>
      <c r="AE4327" s="1821"/>
      <c r="AF4327" s="1821"/>
      <c r="AG4327" s="1821"/>
      <c r="AH4327" s="1821"/>
      <c r="AI4327" s="1821"/>
      <c r="AJ4327" s="1821"/>
      <c r="AK4327" s="1821"/>
      <c r="AL4327" s="1821"/>
      <c r="AM4327" s="1821"/>
      <c r="AN4327" s="1821"/>
      <c r="AO4327" s="1821"/>
      <c r="AP4327" s="1821"/>
      <c r="AQ4327" s="1821"/>
      <c r="AR4327" s="1821"/>
      <c r="AS4327" s="1821"/>
      <c r="AT4327" s="1821"/>
      <c r="AU4327" s="1821"/>
      <c r="AV4327" s="1821"/>
      <c r="AW4327" s="1821"/>
      <c r="AX4327" s="1821"/>
      <c r="AY4327" s="1821"/>
      <c r="AZ4327" s="1821"/>
      <c r="BA4327" s="1821"/>
      <c r="BB4327" s="1821"/>
      <c r="BC4327" s="1821"/>
      <c r="BD4327" s="1821"/>
      <c r="BE4327" s="1821"/>
      <c r="BF4327" s="1821"/>
      <c r="BG4327" s="1821"/>
      <c r="BH4327" s="1821"/>
      <c r="BI4327" s="1821"/>
      <c r="BJ4327" s="1821"/>
      <c r="BK4327" s="1821"/>
      <c r="BL4327" s="1821"/>
      <c r="BM4327" s="1821"/>
      <c r="BN4327" s="1821"/>
      <c r="BO4327" s="1821"/>
      <c r="BP4327" s="1821"/>
      <c r="BQ4327" s="1821"/>
      <c r="BR4327" s="1821"/>
      <c r="BS4327" s="1821"/>
      <c r="BT4327" s="1821"/>
      <c r="BU4327" s="1821"/>
      <c r="BV4327" s="1821"/>
      <c r="BW4327" s="1821"/>
      <c r="BX4327" s="1821"/>
      <c r="BY4327" s="1821"/>
      <c r="BZ4327" s="1821"/>
      <c r="CA4327" s="1821"/>
      <c r="CB4327" s="1821"/>
      <c r="CC4327" s="1821"/>
      <c r="CD4327" s="1821"/>
      <c r="CE4327" s="1821"/>
      <c r="CF4327" s="1821"/>
      <c r="CG4327" s="1821"/>
      <c r="CH4327" s="1821"/>
      <c r="CI4327" s="1821"/>
      <c r="CJ4327" s="1821"/>
      <c r="CK4327" s="1821"/>
    </row>
    <row r="4328" spans="1:89" s="744" customFormat="1" ht="16.5" hidden="1" customHeight="1" x14ac:dyDescent="0.25">
      <c r="A4328" s="1033"/>
      <c r="B4328" s="709" t="s">
        <v>54</v>
      </c>
      <c r="C4328" s="827">
        <v>375</v>
      </c>
      <c r="D4328" s="961" t="s">
        <v>55</v>
      </c>
      <c r="E4328" s="758">
        <v>420</v>
      </c>
      <c r="F4328" s="714"/>
      <c r="G4328" s="714"/>
      <c r="H4328" s="700">
        <f t="shared" si="492"/>
        <v>0</v>
      </c>
      <c r="I4328" s="714"/>
      <c r="J4328" s="714">
        <f t="shared" si="487"/>
        <v>157500</v>
      </c>
      <c r="K4328" s="700">
        <f>J4328+I4328</f>
        <v>157500</v>
      </c>
      <c r="L4328" s="714"/>
      <c r="M4328" s="714"/>
      <c r="N4328" s="700">
        <f t="shared" si="493"/>
        <v>0</v>
      </c>
      <c r="O4328" s="974">
        <f>N4328+K4328+H4328</f>
        <v>157500</v>
      </c>
      <c r="P4328" s="956"/>
      <c r="Q4328" s="1821"/>
      <c r="R4328" s="1821"/>
      <c r="S4328" s="1821"/>
      <c r="T4328" s="1821"/>
      <c r="U4328" s="1821"/>
      <c r="V4328" s="1821"/>
      <c r="W4328" s="1821"/>
      <c r="X4328" s="1821"/>
      <c r="Y4328" s="1821"/>
      <c r="Z4328" s="1821"/>
      <c r="AA4328" s="1821"/>
      <c r="AB4328" s="1821"/>
      <c r="AC4328" s="1821"/>
      <c r="AD4328" s="1821"/>
      <c r="AE4328" s="1821"/>
      <c r="AF4328" s="1821"/>
      <c r="AG4328" s="1821"/>
      <c r="AH4328" s="1821"/>
      <c r="AI4328" s="1821"/>
      <c r="AJ4328" s="1821"/>
      <c r="AK4328" s="1821"/>
      <c r="AL4328" s="1821"/>
      <c r="AM4328" s="1821"/>
      <c r="AN4328" s="1821"/>
      <c r="AO4328" s="1821"/>
      <c r="AP4328" s="1821"/>
      <c r="AQ4328" s="1821"/>
      <c r="AR4328" s="1821"/>
      <c r="AS4328" s="1821"/>
      <c r="AT4328" s="1821"/>
      <c r="AU4328" s="1821"/>
      <c r="AV4328" s="1821"/>
      <c r="AW4328" s="1821"/>
      <c r="AX4328" s="1821"/>
      <c r="AY4328" s="1821"/>
      <c r="AZ4328" s="1821"/>
      <c r="BA4328" s="1821"/>
      <c r="BB4328" s="1821"/>
      <c r="BC4328" s="1821"/>
      <c r="BD4328" s="1821"/>
      <c r="BE4328" s="1821"/>
      <c r="BF4328" s="1821"/>
      <c r="BG4328" s="1821"/>
      <c r="BH4328" s="1821"/>
      <c r="BI4328" s="1821"/>
      <c r="BJ4328" s="1821"/>
      <c r="BK4328" s="1821"/>
      <c r="BL4328" s="1821"/>
      <c r="BM4328" s="1821"/>
      <c r="BN4328" s="1821"/>
      <c r="BO4328" s="1821"/>
      <c r="BP4328" s="1821"/>
      <c r="BQ4328" s="1821"/>
      <c r="BR4328" s="1821"/>
      <c r="BS4328" s="1821"/>
      <c r="BT4328" s="1821"/>
      <c r="BU4328" s="1821"/>
      <c r="BV4328" s="1821"/>
      <c r="BW4328" s="1821"/>
      <c r="BX4328" s="1821"/>
      <c r="BY4328" s="1821"/>
      <c r="BZ4328" s="1821"/>
      <c r="CA4328" s="1821"/>
      <c r="CB4328" s="1821"/>
      <c r="CC4328" s="1821"/>
      <c r="CD4328" s="1821"/>
      <c r="CE4328" s="1821"/>
      <c r="CF4328" s="1821"/>
      <c r="CG4328" s="1821"/>
      <c r="CH4328" s="1821"/>
      <c r="CI4328" s="1821"/>
      <c r="CJ4328" s="1821"/>
      <c r="CK4328" s="1821"/>
    </row>
    <row r="4329" spans="1:89" s="744" customFormat="1" ht="16.5" hidden="1" customHeight="1" x14ac:dyDescent="0.25">
      <c r="A4329" s="1033"/>
      <c r="B4329" s="709" t="s">
        <v>52</v>
      </c>
      <c r="C4329" s="827">
        <v>250</v>
      </c>
      <c r="D4329" s="961" t="s">
        <v>55</v>
      </c>
      <c r="E4329" s="758">
        <v>506</v>
      </c>
      <c r="F4329" s="714"/>
      <c r="G4329" s="714"/>
      <c r="H4329" s="700">
        <f t="shared" si="492"/>
        <v>0</v>
      </c>
      <c r="I4329" s="714"/>
      <c r="J4329" s="714">
        <f>E4329*C4329</f>
        <v>126500</v>
      </c>
      <c r="K4329" s="700">
        <f>J4329+I4329</f>
        <v>126500</v>
      </c>
      <c r="L4329" s="714"/>
      <c r="M4329" s="714"/>
      <c r="N4329" s="700">
        <f t="shared" si="493"/>
        <v>0</v>
      </c>
      <c r="O4329" s="974">
        <f>N4329+K4329+H4329</f>
        <v>126500</v>
      </c>
      <c r="P4329" s="956"/>
      <c r="Q4329" s="1821"/>
      <c r="R4329" s="1821"/>
      <c r="S4329" s="1821"/>
      <c r="T4329" s="1821"/>
      <c r="U4329" s="1821"/>
      <c r="V4329" s="1821"/>
      <c r="W4329" s="1821"/>
      <c r="X4329" s="1821"/>
      <c r="Y4329" s="1821"/>
      <c r="Z4329" s="1821"/>
      <c r="AA4329" s="1821"/>
      <c r="AB4329" s="1821"/>
      <c r="AC4329" s="1821"/>
      <c r="AD4329" s="1821"/>
      <c r="AE4329" s="1821"/>
      <c r="AF4329" s="1821"/>
      <c r="AG4329" s="1821"/>
      <c r="AH4329" s="1821"/>
      <c r="AI4329" s="1821"/>
      <c r="AJ4329" s="1821"/>
      <c r="AK4329" s="1821"/>
      <c r="AL4329" s="1821"/>
      <c r="AM4329" s="1821"/>
      <c r="AN4329" s="1821"/>
      <c r="AO4329" s="1821"/>
      <c r="AP4329" s="1821"/>
      <c r="AQ4329" s="1821"/>
      <c r="AR4329" s="1821"/>
      <c r="AS4329" s="1821"/>
      <c r="AT4329" s="1821"/>
      <c r="AU4329" s="1821"/>
      <c r="AV4329" s="1821"/>
      <c r="AW4329" s="1821"/>
      <c r="AX4329" s="1821"/>
      <c r="AY4329" s="1821"/>
      <c r="AZ4329" s="1821"/>
      <c r="BA4329" s="1821"/>
      <c r="BB4329" s="1821"/>
      <c r="BC4329" s="1821"/>
      <c r="BD4329" s="1821"/>
      <c r="BE4329" s="1821"/>
      <c r="BF4329" s="1821"/>
      <c r="BG4329" s="1821"/>
      <c r="BH4329" s="1821"/>
      <c r="BI4329" s="1821"/>
      <c r="BJ4329" s="1821"/>
      <c r="BK4329" s="1821"/>
      <c r="BL4329" s="1821"/>
      <c r="BM4329" s="1821"/>
      <c r="BN4329" s="1821"/>
      <c r="BO4329" s="1821"/>
      <c r="BP4329" s="1821"/>
      <c r="BQ4329" s="1821"/>
      <c r="BR4329" s="1821"/>
      <c r="BS4329" s="1821"/>
      <c r="BT4329" s="1821"/>
      <c r="BU4329" s="1821"/>
      <c r="BV4329" s="1821"/>
      <c r="BW4329" s="1821"/>
      <c r="BX4329" s="1821"/>
      <c r="BY4329" s="1821"/>
      <c r="BZ4329" s="1821"/>
      <c r="CA4329" s="1821"/>
      <c r="CB4329" s="1821"/>
      <c r="CC4329" s="1821"/>
      <c r="CD4329" s="1821"/>
      <c r="CE4329" s="1821"/>
      <c r="CF4329" s="1821"/>
      <c r="CG4329" s="1821"/>
      <c r="CH4329" s="1821"/>
      <c r="CI4329" s="1821"/>
      <c r="CJ4329" s="1821"/>
      <c r="CK4329" s="1821"/>
    </row>
    <row r="4330" spans="1:89" s="744" customFormat="1" ht="16.5" hidden="1" customHeight="1" x14ac:dyDescent="0.25">
      <c r="A4330" s="1033"/>
      <c r="B4330" s="709" t="s">
        <v>1372</v>
      </c>
      <c r="C4330" s="827">
        <v>130</v>
      </c>
      <c r="D4330" s="961" t="s">
        <v>55</v>
      </c>
      <c r="E4330" s="758">
        <v>577</v>
      </c>
      <c r="F4330" s="714"/>
      <c r="G4330" s="714"/>
      <c r="H4330" s="700"/>
      <c r="I4330" s="714"/>
      <c r="J4330" s="714">
        <f>E4330*C4330</f>
        <v>75010</v>
      </c>
      <c r="K4330" s="700">
        <f>J4330+I4330</f>
        <v>75010</v>
      </c>
      <c r="L4330" s="714"/>
      <c r="M4330" s="714"/>
      <c r="N4330" s="700"/>
      <c r="O4330" s="974">
        <f>N4330+K4330+H4330</f>
        <v>75010</v>
      </c>
      <c r="P4330" s="956"/>
      <c r="Q4330" s="1821"/>
      <c r="R4330" s="1821"/>
      <c r="S4330" s="1821"/>
      <c r="T4330" s="1821"/>
      <c r="U4330" s="1821"/>
      <c r="V4330" s="1821"/>
      <c r="W4330" s="1821"/>
      <c r="X4330" s="1821"/>
      <c r="Y4330" s="1821"/>
      <c r="Z4330" s="1821"/>
      <c r="AA4330" s="1821"/>
      <c r="AB4330" s="1821"/>
      <c r="AC4330" s="1821"/>
      <c r="AD4330" s="1821"/>
      <c r="AE4330" s="1821"/>
      <c r="AF4330" s="1821"/>
      <c r="AG4330" s="1821"/>
      <c r="AH4330" s="1821"/>
      <c r="AI4330" s="1821"/>
      <c r="AJ4330" s="1821"/>
      <c r="AK4330" s="1821"/>
      <c r="AL4330" s="1821"/>
      <c r="AM4330" s="1821"/>
      <c r="AN4330" s="1821"/>
      <c r="AO4330" s="1821"/>
      <c r="AP4330" s="1821"/>
      <c r="AQ4330" s="1821"/>
      <c r="AR4330" s="1821"/>
      <c r="AS4330" s="1821"/>
      <c r="AT4330" s="1821"/>
      <c r="AU4330" s="1821"/>
      <c r="AV4330" s="1821"/>
      <c r="AW4330" s="1821"/>
      <c r="AX4330" s="1821"/>
      <c r="AY4330" s="1821"/>
      <c r="AZ4330" s="1821"/>
      <c r="BA4330" s="1821"/>
      <c r="BB4330" s="1821"/>
      <c r="BC4330" s="1821"/>
      <c r="BD4330" s="1821"/>
      <c r="BE4330" s="1821"/>
      <c r="BF4330" s="1821"/>
      <c r="BG4330" s="1821"/>
      <c r="BH4330" s="1821"/>
      <c r="BI4330" s="1821"/>
      <c r="BJ4330" s="1821"/>
      <c r="BK4330" s="1821"/>
      <c r="BL4330" s="1821"/>
      <c r="BM4330" s="1821"/>
      <c r="BN4330" s="1821"/>
      <c r="BO4330" s="1821"/>
      <c r="BP4330" s="1821"/>
      <c r="BQ4330" s="1821"/>
      <c r="BR4330" s="1821"/>
      <c r="BS4330" s="1821"/>
      <c r="BT4330" s="1821"/>
      <c r="BU4330" s="1821"/>
      <c r="BV4330" s="1821"/>
      <c r="BW4330" s="1821"/>
      <c r="BX4330" s="1821"/>
      <c r="BY4330" s="1821"/>
      <c r="BZ4330" s="1821"/>
      <c r="CA4330" s="1821"/>
      <c r="CB4330" s="1821"/>
      <c r="CC4330" s="1821"/>
      <c r="CD4330" s="1821"/>
      <c r="CE4330" s="1821"/>
      <c r="CF4330" s="1821"/>
      <c r="CG4330" s="1821"/>
      <c r="CH4330" s="1821"/>
      <c r="CI4330" s="1821"/>
      <c r="CJ4330" s="1821"/>
      <c r="CK4330" s="1821"/>
    </row>
    <row r="4331" spans="1:89" s="744" customFormat="1" ht="16.5" hidden="1" customHeight="1" x14ac:dyDescent="0.25">
      <c r="A4331" s="1033"/>
      <c r="B4331" s="709"/>
      <c r="C4331" s="827"/>
      <c r="D4331" s="961"/>
      <c r="E4331" s="758"/>
      <c r="F4331" s="714"/>
      <c r="G4331" s="714"/>
      <c r="H4331" s="700"/>
      <c r="I4331" s="714"/>
      <c r="J4331" s="714"/>
      <c r="K4331" s="700"/>
      <c r="L4331" s="714"/>
      <c r="M4331" s="714"/>
      <c r="N4331" s="700"/>
      <c r="O4331" s="974"/>
      <c r="P4331" s="956"/>
      <c r="Q4331" s="1821"/>
      <c r="R4331" s="1821"/>
      <c r="S4331" s="1821"/>
      <c r="T4331" s="1821"/>
      <c r="U4331" s="1821"/>
      <c r="V4331" s="1821"/>
      <c r="W4331" s="1821"/>
      <c r="X4331" s="1821"/>
      <c r="Y4331" s="1821"/>
      <c r="Z4331" s="1821"/>
      <c r="AA4331" s="1821"/>
      <c r="AB4331" s="1821"/>
      <c r="AC4331" s="1821"/>
      <c r="AD4331" s="1821"/>
      <c r="AE4331" s="1821"/>
      <c r="AF4331" s="1821"/>
      <c r="AG4331" s="1821"/>
      <c r="AH4331" s="1821"/>
      <c r="AI4331" s="1821"/>
      <c r="AJ4331" s="1821"/>
      <c r="AK4331" s="1821"/>
      <c r="AL4331" s="1821"/>
      <c r="AM4331" s="1821"/>
      <c r="AN4331" s="1821"/>
      <c r="AO4331" s="1821"/>
      <c r="AP4331" s="1821"/>
      <c r="AQ4331" s="1821"/>
      <c r="AR4331" s="1821"/>
      <c r="AS4331" s="1821"/>
      <c r="AT4331" s="1821"/>
      <c r="AU4331" s="1821"/>
      <c r="AV4331" s="1821"/>
      <c r="AW4331" s="1821"/>
      <c r="AX4331" s="1821"/>
      <c r="AY4331" s="1821"/>
      <c r="AZ4331" s="1821"/>
      <c r="BA4331" s="1821"/>
      <c r="BB4331" s="1821"/>
      <c r="BC4331" s="1821"/>
      <c r="BD4331" s="1821"/>
      <c r="BE4331" s="1821"/>
      <c r="BF4331" s="1821"/>
      <c r="BG4331" s="1821"/>
      <c r="BH4331" s="1821"/>
      <c r="BI4331" s="1821"/>
      <c r="BJ4331" s="1821"/>
      <c r="BK4331" s="1821"/>
      <c r="BL4331" s="1821"/>
      <c r="BM4331" s="1821"/>
      <c r="BN4331" s="1821"/>
      <c r="BO4331" s="1821"/>
      <c r="BP4331" s="1821"/>
      <c r="BQ4331" s="1821"/>
      <c r="BR4331" s="1821"/>
      <c r="BS4331" s="1821"/>
      <c r="BT4331" s="1821"/>
      <c r="BU4331" s="1821"/>
      <c r="BV4331" s="1821"/>
      <c r="BW4331" s="1821"/>
      <c r="BX4331" s="1821"/>
      <c r="BY4331" s="1821"/>
      <c r="BZ4331" s="1821"/>
      <c r="CA4331" s="1821"/>
      <c r="CB4331" s="1821"/>
      <c r="CC4331" s="1821"/>
      <c r="CD4331" s="1821"/>
      <c r="CE4331" s="1821"/>
      <c r="CF4331" s="1821"/>
      <c r="CG4331" s="1821"/>
      <c r="CH4331" s="1821"/>
      <c r="CI4331" s="1821"/>
      <c r="CJ4331" s="1821"/>
      <c r="CK4331" s="1821"/>
    </row>
    <row r="4332" spans="1:89" s="744" customFormat="1" ht="16.5" customHeight="1" x14ac:dyDescent="0.25">
      <c r="A4332" s="1033"/>
      <c r="B4332" s="709"/>
      <c r="C4332" s="827"/>
      <c r="D4332" s="961"/>
      <c r="E4332" s="758"/>
      <c r="F4332" s="714"/>
      <c r="G4332" s="714"/>
      <c r="H4332" s="700">
        <f t="shared" ref="H4332:H4395" si="494">G4332+F4332</f>
        <v>0</v>
      </c>
      <c r="I4332" s="714"/>
      <c r="J4332" s="714">
        <f>C4332*E4332</f>
        <v>0</v>
      </c>
      <c r="K4332" s="700">
        <f t="shared" ref="K4332:K4395" si="495">J4332+I4332</f>
        <v>0</v>
      </c>
      <c r="L4332" s="714"/>
      <c r="M4332" s="714"/>
      <c r="N4332" s="700">
        <f t="shared" ref="N4332:N4395" si="496">M4332+L4332</f>
        <v>0</v>
      </c>
      <c r="O4332" s="974">
        <f t="shared" ref="O4332:O4395" si="497">N4332+K4332+H4332</f>
        <v>0</v>
      </c>
      <c r="P4332" s="956"/>
      <c r="Q4332" s="1821"/>
      <c r="R4332" s="1821"/>
      <c r="S4332" s="1821"/>
      <c r="T4332" s="1821"/>
      <c r="U4332" s="1821"/>
      <c r="V4332" s="1821"/>
      <c r="W4332" s="1821"/>
      <c r="X4332" s="1821"/>
      <c r="Y4332" s="1821"/>
      <c r="Z4332" s="1821"/>
      <c r="AA4332" s="1821"/>
      <c r="AB4332" s="1821"/>
      <c r="AC4332" s="1821"/>
      <c r="AD4332" s="1821"/>
      <c r="AE4332" s="1821"/>
      <c r="AF4332" s="1821"/>
      <c r="AG4332" s="1821"/>
      <c r="AH4332" s="1821"/>
      <c r="AI4332" s="1821"/>
      <c r="AJ4332" s="1821"/>
      <c r="AK4332" s="1821"/>
      <c r="AL4332" s="1821"/>
      <c r="AM4332" s="1821"/>
      <c r="AN4332" s="1821"/>
      <c r="AO4332" s="1821"/>
      <c r="AP4332" s="1821"/>
      <c r="AQ4332" s="1821"/>
      <c r="AR4332" s="1821"/>
      <c r="AS4332" s="1821"/>
      <c r="AT4332" s="1821"/>
      <c r="AU4332" s="1821"/>
      <c r="AV4332" s="1821"/>
      <c r="AW4332" s="1821"/>
      <c r="AX4332" s="1821"/>
      <c r="AY4332" s="1821"/>
      <c r="AZ4332" s="1821"/>
      <c r="BA4332" s="1821"/>
      <c r="BB4332" s="1821"/>
      <c r="BC4332" s="1821"/>
      <c r="BD4332" s="1821"/>
      <c r="BE4332" s="1821"/>
      <c r="BF4332" s="1821"/>
      <c r="BG4332" s="1821"/>
      <c r="BH4332" s="1821"/>
      <c r="BI4332" s="1821"/>
      <c r="BJ4332" s="1821"/>
      <c r="BK4332" s="1821"/>
      <c r="BL4332" s="1821"/>
      <c r="BM4332" s="1821"/>
      <c r="BN4332" s="1821"/>
      <c r="BO4332" s="1821"/>
      <c r="BP4332" s="1821"/>
      <c r="BQ4332" s="1821"/>
      <c r="BR4332" s="1821"/>
      <c r="BS4332" s="1821"/>
      <c r="BT4332" s="1821"/>
      <c r="BU4332" s="1821"/>
      <c r="BV4332" s="1821"/>
      <c r="BW4332" s="1821"/>
      <c r="BX4332" s="1821"/>
      <c r="BY4332" s="1821"/>
      <c r="BZ4332" s="1821"/>
      <c r="CA4332" s="1821"/>
      <c r="CB4332" s="1821"/>
      <c r="CC4332" s="1821"/>
      <c r="CD4332" s="1821"/>
      <c r="CE4332" s="1821"/>
      <c r="CF4332" s="1821"/>
      <c r="CG4332" s="1821"/>
      <c r="CH4332" s="1821"/>
      <c r="CI4332" s="1821"/>
      <c r="CJ4332" s="1821"/>
      <c r="CK4332" s="1821"/>
    </row>
    <row r="4333" spans="1:89" s="744" customFormat="1" ht="39" customHeight="1" x14ac:dyDescent="0.25">
      <c r="A4333" s="1033">
        <v>1953.0509999999999</v>
      </c>
      <c r="B4333" s="709" t="s">
        <v>457</v>
      </c>
      <c r="C4333" s="827"/>
      <c r="D4333" s="961"/>
      <c r="E4333" s="758"/>
      <c r="F4333" s="714"/>
      <c r="G4333" s="714"/>
      <c r="H4333" s="700">
        <f t="shared" si="494"/>
        <v>0</v>
      </c>
      <c r="I4333" s="714"/>
      <c r="J4333" s="714"/>
      <c r="K4333" s="700">
        <f t="shared" si="495"/>
        <v>0</v>
      </c>
      <c r="L4333" s="714"/>
      <c r="M4333" s="714"/>
      <c r="N4333" s="700">
        <f t="shared" si="496"/>
        <v>0</v>
      </c>
      <c r="O4333" s="974">
        <f t="shared" si="497"/>
        <v>0</v>
      </c>
      <c r="P4333" s="956"/>
      <c r="Q4333" s="1821"/>
      <c r="R4333" s="1821"/>
      <c r="S4333" s="1821"/>
      <c r="T4333" s="1821"/>
      <c r="U4333" s="1821"/>
      <c r="V4333" s="1821"/>
      <c r="W4333" s="1821"/>
      <c r="X4333" s="1821"/>
      <c r="Y4333" s="1821"/>
      <c r="Z4333" s="1821"/>
      <c r="AA4333" s="1821"/>
      <c r="AB4333" s="1821"/>
      <c r="AC4333" s="1821"/>
      <c r="AD4333" s="1821"/>
      <c r="AE4333" s="1821"/>
      <c r="AF4333" s="1821"/>
      <c r="AG4333" s="1821"/>
      <c r="AH4333" s="1821"/>
      <c r="AI4333" s="1821"/>
      <c r="AJ4333" s="1821"/>
      <c r="AK4333" s="1821"/>
      <c r="AL4333" s="1821"/>
      <c r="AM4333" s="1821"/>
      <c r="AN4333" s="1821"/>
      <c r="AO4333" s="1821"/>
      <c r="AP4333" s="1821"/>
      <c r="AQ4333" s="1821"/>
      <c r="AR4333" s="1821"/>
      <c r="AS4333" s="1821"/>
      <c r="AT4333" s="1821"/>
      <c r="AU4333" s="1821"/>
      <c r="AV4333" s="1821"/>
      <c r="AW4333" s="1821"/>
      <c r="AX4333" s="1821"/>
      <c r="AY4333" s="1821"/>
      <c r="AZ4333" s="1821"/>
      <c r="BA4333" s="1821"/>
      <c r="BB4333" s="1821"/>
      <c r="BC4333" s="1821"/>
      <c r="BD4333" s="1821"/>
      <c r="BE4333" s="1821"/>
      <c r="BF4333" s="1821"/>
      <c r="BG4333" s="1821"/>
      <c r="BH4333" s="1821"/>
      <c r="BI4333" s="1821"/>
      <c r="BJ4333" s="1821"/>
      <c r="BK4333" s="1821"/>
      <c r="BL4333" s="1821"/>
      <c r="BM4333" s="1821"/>
      <c r="BN4333" s="1821"/>
      <c r="BO4333" s="1821"/>
      <c r="BP4333" s="1821"/>
      <c r="BQ4333" s="1821"/>
      <c r="BR4333" s="1821"/>
      <c r="BS4333" s="1821"/>
      <c r="BT4333" s="1821"/>
      <c r="BU4333" s="1821"/>
      <c r="BV4333" s="1821"/>
      <c r="BW4333" s="1821"/>
      <c r="BX4333" s="1821"/>
      <c r="BY4333" s="1821"/>
      <c r="BZ4333" s="1821"/>
      <c r="CA4333" s="1821"/>
      <c r="CB4333" s="1821"/>
      <c r="CC4333" s="1821"/>
      <c r="CD4333" s="1821"/>
      <c r="CE4333" s="1821"/>
      <c r="CF4333" s="1821"/>
      <c r="CG4333" s="1821"/>
      <c r="CH4333" s="1821"/>
      <c r="CI4333" s="1821"/>
      <c r="CJ4333" s="1821"/>
      <c r="CK4333" s="1821"/>
    </row>
    <row r="4334" spans="1:89" s="744" customFormat="1" ht="16.5" customHeight="1" x14ac:dyDescent="0.25">
      <c r="A4334" s="1033">
        <v>11</v>
      </c>
      <c r="B4334" s="709" t="s">
        <v>458</v>
      </c>
      <c r="C4334" s="827"/>
      <c r="D4334" s="961"/>
      <c r="E4334" s="758"/>
      <c r="F4334" s="714"/>
      <c r="G4334" s="714"/>
      <c r="H4334" s="700">
        <f t="shared" si="494"/>
        <v>0</v>
      </c>
      <c r="I4334" s="714"/>
      <c r="J4334" s="714"/>
      <c r="K4334" s="700">
        <f t="shared" si="495"/>
        <v>0</v>
      </c>
      <c r="L4334" s="714"/>
      <c r="M4334" s="714"/>
      <c r="N4334" s="700">
        <f t="shared" si="496"/>
        <v>0</v>
      </c>
      <c r="O4334" s="974">
        <f t="shared" si="497"/>
        <v>0</v>
      </c>
      <c r="P4334" s="956"/>
      <c r="Q4334" s="1821"/>
      <c r="R4334" s="1821"/>
      <c r="S4334" s="1821"/>
      <c r="T4334" s="1821"/>
      <c r="U4334" s="1821"/>
      <c r="V4334" s="1821"/>
      <c r="W4334" s="1821"/>
      <c r="X4334" s="1821"/>
      <c r="Y4334" s="1821"/>
      <c r="Z4334" s="1821"/>
      <c r="AA4334" s="1821"/>
      <c r="AB4334" s="1821"/>
      <c r="AC4334" s="1821"/>
      <c r="AD4334" s="1821"/>
      <c r="AE4334" s="1821"/>
      <c r="AF4334" s="1821"/>
      <c r="AG4334" s="1821"/>
      <c r="AH4334" s="1821"/>
      <c r="AI4334" s="1821"/>
      <c r="AJ4334" s="1821"/>
      <c r="AK4334" s="1821"/>
      <c r="AL4334" s="1821"/>
      <c r="AM4334" s="1821"/>
      <c r="AN4334" s="1821"/>
      <c r="AO4334" s="1821"/>
      <c r="AP4334" s="1821"/>
      <c r="AQ4334" s="1821"/>
      <c r="AR4334" s="1821"/>
      <c r="AS4334" s="1821"/>
      <c r="AT4334" s="1821"/>
      <c r="AU4334" s="1821"/>
      <c r="AV4334" s="1821"/>
      <c r="AW4334" s="1821"/>
      <c r="AX4334" s="1821"/>
      <c r="AY4334" s="1821"/>
      <c r="AZ4334" s="1821"/>
      <c r="BA4334" s="1821"/>
      <c r="BB4334" s="1821"/>
      <c r="BC4334" s="1821"/>
      <c r="BD4334" s="1821"/>
      <c r="BE4334" s="1821"/>
      <c r="BF4334" s="1821"/>
      <c r="BG4334" s="1821"/>
      <c r="BH4334" s="1821"/>
      <c r="BI4334" s="1821"/>
      <c r="BJ4334" s="1821"/>
      <c r="BK4334" s="1821"/>
      <c r="BL4334" s="1821"/>
      <c r="BM4334" s="1821"/>
      <c r="BN4334" s="1821"/>
      <c r="BO4334" s="1821"/>
      <c r="BP4334" s="1821"/>
      <c r="BQ4334" s="1821"/>
      <c r="BR4334" s="1821"/>
      <c r="BS4334" s="1821"/>
      <c r="BT4334" s="1821"/>
      <c r="BU4334" s="1821"/>
      <c r="BV4334" s="1821"/>
      <c r="BW4334" s="1821"/>
      <c r="BX4334" s="1821"/>
      <c r="BY4334" s="1821"/>
      <c r="BZ4334" s="1821"/>
      <c r="CA4334" s="1821"/>
      <c r="CB4334" s="1821"/>
      <c r="CC4334" s="1821"/>
      <c r="CD4334" s="1821"/>
      <c r="CE4334" s="1821"/>
      <c r="CF4334" s="1821"/>
      <c r="CG4334" s="1821"/>
      <c r="CH4334" s="1821"/>
      <c r="CI4334" s="1821"/>
      <c r="CJ4334" s="1821"/>
      <c r="CK4334" s="1821"/>
    </row>
    <row r="4335" spans="1:89" s="744" customFormat="1" ht="16.5" customHeight="1" x14ac:dyDescent="0.25">
      <c r="A4335" s="1033" t="s">
        <v>272</v>
      </c>
      <c r="B4335" s="709" t="s">
        <v>459</v>
      </c>
      <c r="C4335" s="827">
        <f>SUM(O4337:O4348)</f>
        <v>198320</v>
      </c>
      <c r="D4335" s="961"/>
      <c r="E4335" s="758"/>
      <c r="F4335" s="714"/>
      <c r="G4335" s="714"/>
      <c r="H4335" s="700">
        <f t="shared" si="494"/>
        <v>0</v>
      </c>
      <c r="I4335" s="714"/>
      <c r="J4335" s="714"/>
      <c r="K4335" s="700">
        <f t="shared" si="495"/>
        <v>0</v>
      </c>
      <c r="L4335" s="714"/>
      <c r="M4335" s="714"/>
      <c r="N4335" s="700">
        <f t="shared" si="496"/>
        <v>0</v>
      </c>
      <c r="O4335" s="974">
        <f t="shared" si="497"/>
        <v>0</v>
      </c>
      <c r="P4335" s="956"/>
      <c r="Q4335" s="1821"/>
      <c r="R4335" s="1821"/>
      <c r="S4335" s="1821"/>
      <c r="T4335" s="1821"/>
      <c r="U4335" s="1821"/>
      <c r="V4335" s="1821"/>
      <c r="W4335" s="1821"/>
      <c r="X4335" s="1821"/>
      <c r="Y4335" s="1821"/>
      <c r="Z4335" s="1821"/>
      <c r="AA4335" s="1821"/>
      <c r="AB4335" s="1821"/>
      <c r="AC4335" s="1821"/>
      <c r="AD4335" s="1821"/>
      <c r="AE4335" s="1821"/>
      <c r="AF4335" s="1821"/>
      <c r="AG4335" s="1821"/>
      <c r="AH4335" s="1821"/>
      <c r="AI4335" s="1821"/>
      <c r="AJ4335" s="1821"/>
      <c r="AK4335" s="1821"/>
      <c r="AL4335" s="1821"/>
      <c r="AM4335" s="1821"/>
      <c r="AN4335" s="1821"/>
      <c r="AO4335" s="1821"/>
      <c r="AP4335" s="1821"/>
      <c r="AQ4335" s="1821"/>
      <c r="AR4335" s="1821"/>
      <c r="AS4335" s="1821"/>
      <c r="AT4335" s="1821"/>
      <c r="AU4335" s="1821"/>
      <c r="AV4335" s="1821"/>
      <c r="AW4335" s="1821"/>
      <c r="AX4335" s="1821"/>
      <c r="AY4335" s="1821"/>
      <c r="AZ4335" s="1821"/>
      <c r="BA4335" s="1821"/>
      <c r="BB4335" s="1821"/>
      <c r="BC4335" s="1821"/>
      <c r="BD4335" s="1821"/>
      <c r="BE4335" s="1821"/>
      <c r="BF4335" s="1821"/>
      <c r="BG4335" s="1821"/>
      <c r="BH4335" s="1821"/>
      <c r="BI4335" s="1821"/>
      <c r="BJ4335" s="1821"/>
      <c r="BK4335" s="1821"/>
      <c r="BL4335" s="1821"/>
      <c r="BM4335" s="1821"/>
      <c r="BN4335" s="1821"/>
      <c r="BO4335" s="1821"/>
      <c r="BP4335" s="1821"/>
      <c r="BQ4335" s="1821"/>
      <c r="BR4335" s="1821"/>
      <c r="BS4335" s="1821"/>
      <c r="BT4335" s="1821"/>
      <c r="BU4335" s="1821"/>
      <c r="BV4335" s="1821"/>
      <c r="BW4335" s="1821"/>
      <c r="BX4335" s="1821"/>
      <c r="BY4335" s="1821"/>
      <c r="BZ4335" s="1821"/>
      <c r="CA4335" s="1821"/>
      <c r="CB4335" s="1821"/>
      <c r="CC4335" s="1821"/>
      <c r="CD4335" s="1821"/>
      <c r="CE4335" s="1821"/>
      <c r="CF4335" s="1821"/>
      <c r="CG4335" s="1821"/>
      <c r="CH4335" s="1821"/>
      <c r="CI4335" s="1821"/>
      <c r="CJ4335" s="1821"/>
      <c r="CK4335" s="1821"/>
    </row>
    <row r="4336" spans="1:89" s="744" customFormat="1" ht="16.5" customHeight="1" x14ac:dyDescent="0.25">
      <c r="A4336" s="1033"/>
      <c r="B4336" s="709" t="s">
        <v>27</v>
      </c>
      <c r="C4336" s="827"/>
      <c r="D4336" s="961"/>
      <c r="E4336" s="758"/>
      <c r="F4336" s="714"/>
      <c r="G4336" s="714"/>
      <c r="H4336" s="700">
        <f t="shared" si="494"/>
        <v>0</v>
      </c>
      <c r="I4336" s="714"/>
      <c r="J4336" s="714"/>
      <c r="K4336" s="700">
        <f t="shared" si="495"/>
        <v>0</v>
      </c>
      <c r="L4336" s="714"/>
      <c r="M4336" s="714"/>
      <c r="N4336" s="700">
        <f t="shared" si="496"/>
        <v>0</v>
      </c>
      <c r="O4336" s="974">
        <f t="shared" si="497"/>
        <v>0</v>
      </c>
      <c r="P4336" s="956"/>
      <c r="Q4336" s="1821"/>
      <c r="R4336" s="1821"/>
      <c r="S4336" s="1821"/>
      <c r="T4336" s="1821"/>
      <c r="U4336" s="1821"/>
      <c r="V4336" s="1821"/>
      <c r="W4336" s="1821"/>
      <c r="X4336" s="1821"/>
      <c r="Y4336" s="1821"/>
      <c r="Z4336" s="1821"/>
      <c r="AA4336" s="1821"/>
      <c r="AB4336" s="1821"/>
      <c r="AC4336" s="1821"/>
      <c r="AD4336" s="1821"/>
      <c r="AE4336" s="1821"/>
      <c r="AF4336" s="1821"/>
      <c r="AG4336" s="1821"/>
      <c r="AH4336" s="1821"/>
      <c r="AI4336" s="1821"/>
      <c r="AJ4336" s="1821"/>
      <c r="AK4336" s="1821"/>
      <c r="AL4336" s="1821"/>
      <c r="AM4336" s="1821"/>
      <c r="AN4336" s="1821"/>
      <c r="AO4336" s="1821"/>
      <c r="AP4336" s="1821"/>
      <c r="AQ4336" s="1821"/>
      <c r="AR4336" s="1821"/>
      <c r="AS4336" s="1821"/>
      <c r="AT4336" s="1821"/>
      <c r="AU4336" s="1821"/>
      <c r="AV4336" s="1821"/>
      <c r="AW4336" s="1821"/>
      <c r="AX4336" s="1821"/>
      <c r="AY4336" s="1821"/>
      <c r="AZ4336" s="1821"/>
      <c r="BA4336" s="1821"/>
      <c r="BB4336" s="1821"/>
      <c r="BC4336" s="1821"/>
      <c r="BD4336" s="1821"/>
      <c r="BE4336" s="1821"/>
      <c r="BF4336" s="1821"/>
      <c r="BG4336" s="1821"/>
      <c r="BH4336" s="1821"/>
      <c r="BI4336" s="1821"/>
      <c r="BJ4336" s="1821"/>
      <c r="BK4336" s="1821"/>
      <c r="BL4336" s="1821"/>
      <c r="BM4336" s="1821"/>
      <c r="BN4336" s="1821"/>
      <c r="BO4336" s="1821"/>
      <c r="BP4336" s="1821"/>
      <c r="BQ4336" s="1821"/>
      <c r="BR4336" s="1821"/>
      <c r="BS4336" s="1821"/>
      <c r="BT4336" s="1821"/>
      <c r="BU4336" s="1821"/>
      <c r="BV4336" s="1821"/>
      <c r="BW4336" s="1821"/>
      <c r="BX4336" s="1821"/>
      <c r="BY4336" s="1821"/>
      <c r="BZ4336" s="1821"/>
      <c r="CA4336" s="1821"/>
      <c r="CB4336" s="1821"/>
      <c r="CC4336" s="1821"/>
      <c r="CD4336" s="1821"/>
      <c r="CE4336" s="1821"/>
      <c r="CF4336" s="1821"/>
      <c r="CG4336" s="1821"/>
      <c r="CH4336" s="1821"/>
      <c r="CI4336" s="1821"/>
      <c r="CJ4336" s="1821"/>
      <c r="CK4336" s="1821"/>
    </row>
    <row r="4337" spans="1:89" s="744" customFormat="1" ht="16.5" customHeight="1" x14ac:dyDescent="0.25">
      <c r="A4337" s="1033"/>
      <c r="B4337" s="709" t="s">
        <v>388</v>
      </c>
      <c r="C4337" s="827">
        <v>1</v>
      </c>
      <c r="D4337" s="961" t="s">
        <v>25</v>
      </c>
      <c r="E4337" s="758">
        <f>30000</f>
        <v>30000</v>
      </c>
      <c r="F4337" s="714"/>
      <c r="G4337" s="714"/>
      <c r="H4337" s="700">
        <f t="shared" si="494"/>
        <v>0</v>
      </c>
      <c r="I4337" s="714"/>
      <c r="J4337" s="714">
        <f>E4337</f>
        <v>30000</v>
      </c>
      <c r="K4337" s="700">
        <f t="shared" si="495"/>
        <v>30000</v>
      </c>
      <c r="L4337" s="714"/>
      <c r="M4337" s="714"/>
      <c r="N4337" s="700">
        <f t="shared" si="496"/>
        <v>0</v>
      </c>
      <c r="O4337" s="974">
        <f t="shared" si="497"/>
        <v>30000</v>
      </c>
      <c r="P4337" s="956"/>
      <c r="Q4337" s="1821"/>
      <c r="R4337" s="1821"/>
      <c r="S4337" s="1821"/>
      <c r="T4337" s="1821"/>
      <c r="U4337" s="1821"/>
      <c r="V4337" s="1821"/>
      <c r="W4337" s="1821"/>
      <c r="X4337" s="1821"/>
      <c r="Y4337" s="1821"/>
      <c r="Z4337" s="1821"/>
      <c r="AA4337" s="1821"/>
      <c r="AB4337" s="1821"/>
      <c r="AC4337" s="1821"/>
      <c r="AD4337" s="1821"/>
      <c r="AE4337" s="1821"/>
      <c r="AF4337" s="1821"/>
      <c r="AG4337" s="1821"/>
      <c r="AH4337" s="1821"/>
      <c r="AI4337" s="1821"/>
      <c r="AJ4337" s="1821"/>
      <c r="AK4337" s="1821"/>
      <c r="AL4337" s="1821"/>
      <c r="AM4337" s="1821"/>
      <c r="AN4337" s="1821"/>
      <c r="AO4337" s="1821"/>
      <c r="AP4337" s="1821"/>
      <c r="AQ4337" s="1821"/>
      <c r="AR4337" s="1821"/>
      <c r="AS4337" s="1821"/>
      <c r="AT4337" s="1821"/>
      <c r="AU4337" s="1821"/>
      <c r="AV4337" s="1821"/>
      <c r="AW4337" s="1821"/>
      <c r="AX4337" s="1821"/>
      <c r="AY4337" s="1821"/>
      <c r="AZ4337" s="1821"/>
      <c r="BA4337" s="1821"/>
      <c r="BB4337" s="1821"/>
      <c r="BC4337" s="1821"/>
      <c r="BD4337" s="1821"/>
      <c r="BE4337" s="1821"/>
      <c r="BF4337" s="1821"/>
      <c r="BG4337" s="1821"/>
      <c r="BH4337" s="1821"/>
      <c r="BI4337" s="1821"/>
      <c r="BJ4337" s="1821"/>
      <c r="BK4337" s="1821"/>
      <c r="BL4337" s="1821"/>
      <c r="BM4337" s="1821"/>
      <c r="BN4337" s="1821"/>
      <c r="BO4337" s="1821"/>
      <c r="BP4337" s="1821"/>
      <c r="BQ4337" s="1821"/>
      <c r="BR4337" s="1821"/>
      <c r="BS4337" s="1821"/>
      <c r="BT4337" s="1821"/>
      <c r="BU4337" s="1821"/>
      <c r="BV4337" s="1821"/>
      <c r="BW4337" s="1821"/>
      <c r="BX4337" s="1821"/>
      <c r="BY4337" s="1821"/>
      <c r="BZ4337" s="1821"/>
      <c r="CA4337" s="1821"/>
      <c r="CB4337" s="1821"/>
      <c r="CC4337" s="1821"/>
      <c r="CD4337" s="1821"/>
      <c r="CE4337" s="1821"/>
      <c r="CF4337" s="1821"/>
      <c r="CG4337" s="1821"/>
      <c r="CH4337" s="1821"/>
      <c r="CI4337" s="1821"/>
      <c r="CJ4337" s="1821"/>
      <c r="CK4337" s="1821"/>
    </row>
    <row r="4338" spans="1:89" s="744" customFormat="1" ht="16.5" customHeight="1" x14ac:dyDescent="0.25">
      <c r="A4338" s="1033"/>
      <c r="B4338" s="709"/>
      <c r="C4338" s="827"/>
      <c r="D4338" s="961"/>
      <c r="E4338" s="758"/>
      <c r="F4338" s="714"/>
      <c r="G4338" s="714"/>
      <c r="H4338" s="700">
        <f t="shared" si="494"/>
        <v>0</v>
      </c>
      <c r="I4338" s="714"/>
      <c r="J4338" s="714"/>
      <c r="K4338" s="700">
        <f t="shared" si="495"/>
        <v>0</v>
      </c>
      <c r="L4338" s="714"/>
      <c r="M4338" s="714"/>
      <c r="N4338" s="700">
        <f t="shared" si="496"/>
        <v>0</v>
      </c>
      <c r="O4338" s="974">
        <f t="shared" si="497"/>
        <v>0</v>
      </c>
      <c r="P4338" s="956"/>
      <c r="Q4338" s="1821"/>
      <c r="R4338" s="1821"/>
      <c r="S4338" s="1821"/>
      <c r="T4338" s="1821"/>
      <c r="U4338" s="1821"/>
      <c r="V4338" s="1821"/>
      <c r="W4338" s="1821"/>
      <c r="X4338" s="1821"/>
      <c r="Y4338" s="1821"/>
      <c r="Z4338" s="1821"/>
      <c r="AA4338" s="1821"/>
      <c r="AB4338" s="1821"/>
      <c r="AC4338" s="1821"/>
      <c r="AD4338" s="1821"/>
      <c r="AE4338" s="1821"/>
      <c r="AF4338" s="1821"/>
      <c r="AG4338" s="1821"/>
      <c r="AH4338" s="1821"/>
      <c r="AI4338" s="1821"/>
      <c r="AJ4338" s="1821"/>
      <c r="AK4338" s="1821"/>
      <c r="AL4338" s="1821"/>
      <c r="AM4338" s="1821"/>
      <c r="AN4338" s="1821"/>
      <c r="AO4338" s="1821"/>
      <c r="AP4338" s="1821"/>
      <c r="AQ4338" s="1821"/>
      <c r="AR4338" s="1821"/>
      <c r="AS4338" s="1821"/>
      <c r="AT4338" s="1821"/>
      <c r="AU4338" s="1821"/>
      <c r="AV4338" s="1821"/>
      <c r="AW4338" s="1821"/>
      <c r="AX4338" s="1821"/>
      <c r="AY4338" s="1821"/>
      <c r="AZ4338" s="1821"/>
      <c r="BA4338" s="1821"/>
      <c r="BB4338" s="1821"/>
      <c r="BC4338" s="1821"/>
      <c r="BD4338" s="1821"/>
      <c r="BE4338" s="1821"/>
      <c r="BF4338" s="1821"/>
      <c r="BG4338" s="1821"/>
      <c r="BH4338" s="1821"/>
      <c r="BI4338" s="1821"/>
      <c r="BJ4338" s="1821"/>
      <c r="BK4338" s="1821"/>
      <c r="BL4338" s="1821"/>
      <c r="BM4338" s="1821"/>
      <c r="BN4338" s="1821"/>
      <c r="BO4338" s="1821"/>
      <c r="BP4338" s="1821"/>
      <c r="BQ4338" s="1821"/>
      <c r="BR4338" s="1821"/>
      <c r="BS4338" s="1821"/>
      <c r="BT4338" s="1821"/>
      <c r="BU4338" s="1821"/>
      <c r="BV4338" s="1821"/>
      <c r="BW4338" s="1821"/>
      <c r="BX4338" s="1821"/>
      <c r="BY4338" s="1821"/>
      <c r="BZ4338" s="1821"/>
      <c r="CA4338" s="1821"/>
      <c r="CB4338" s="1821"/>
      <c r="CC4338" s="1821"/>
      <c r="CD4338" s="1821"/>
      <c r="CE4338" s="1821"/>
      <c r="CF4338" s="1821"/>
      <c r="CG4338" s="1821"/>
      <c r="CH4338" s="1821"/>
      <c r="CI4338" s="1821"/>
      <c r="CJ4338" s="1821"/>
      <c r="CK4338" s="1821"/>
    </row>
    <row r="4339" spans="1:89" s="744" customFormat="1" ht="16.5" customHeight="1" x14ac:dyDescent="0.25">
      <c r="A4339" s="1033"/>
      <c r="B4339" s="709" t="s">
        <v>206</v>
      </c>
      <c r="C4339" s="827"/>
      <c r="D4339" s="961"/>
      <c r="E4339" s="758"/>
      <c r="F4339" s="714"/>
      <c r="G4339" s="714"/>
      <c r="H4339" s="700">
        <f t="shared" si="494"/>
        <v>0</v>
      </c>
      <c r="I4339" s="714"/>
      <c r="J4339" s="714"/>
      <c r="K4339" s="700">
        <f t="shared" si="495"/>
        <v>0</v>
      </c>
      <c r="L4339" s="714"/>
      <c r="M4339" s="714"/>
      <c r="N4339" s="700">
        <f t="shared" si="496"/>
        <v>0</v>
      </c>
      <c r="O4339" s="974">
        <f t="shared" si="497"/>
        <v>0</v>
      </c>
      <c r="P4339" s="956"/>
      <c r="Q4339" s="1821"/>
      <c r="R4339" s="1821"/>
      <c r="S4339" s="1821"/>
      <c r="T4339" s="1821"/>
      <c r="U4339" s="1821"/>
      <c r="V4339" s="1821"/>
      <c r="W4339" s="1821"/>
      <c r="X4339" s="1821"/>
      <c r="Y4339" s="1821"/>
      <c r="Z4339" s="1821"/>
      <c r="AA4339" s="1821"/>
      <c r="AB4339" s="1821"/>
      <c r="AC4339" s="1821"/>
      <c r="AD4339" s="1821"/>
      <c r="AE4339" s="1821"/>
      <c r="AF4339" s="1821"/>
      <c r="AG4339" s="1821"/>
      <c r="AH4339" s="1821"/>
      <c r="AI4339" s="1821"/>
      <c r="AJ4339" s="1821"/>
      <c r="AK4339" s="1821"/>
      <c r="AL4339" s="1821"/>
      <c r="AM4339" s="1821"/>
      <c r="AN4339" s="1821"/>
      <c r="AO4339" s="1821"/>
      <c r="AP4339" s="1821"/>
      <c r="AQ4339" s="1821"/>
      <c r="AR4339" s="1821"/>
      <c r="AS4339" s="1821"/>
      <c r="AT4339" s="1821"/>
      <c r="AU4339" s="1821"/>
      <c r="AV4339" s="1821"/>
      <c r="AW4339" s="1821"/>
      <c r="AX4339" s="1821"/>
      <c r="AY4339" s="1821"/>
      <c r="AZ4339" s="1821"/>
      <c r="BA4339" s="1821"/>
      <c r="BB4339" s="1821"/>
      <c r="BC4339" s="1821"/>
      <c r="BD4339" s="1821"/>
      <c r="BE4339" s="1821"/>
      <c r="BF4339" s="1821"/>
      <c r="BG4339" s="1821"/>
      <c r="BH4339" s="1821"/>
      <c r="BI4339" s="1821"/>
      <c r="BJ4339" s="1821"/>
      <c r="BK4339" s="1821"/>
      <c r="BL4339" s="1821"/>
      <c r="BM4339" s="1821"/>
      <c r="BN4339" s="1821"/>
      <c r="BO4339" s="1821"/>
      <c r="BP4339" s="1821"/>
      <c r="BQ4339" s="1821"/>
      <c r="BR4339" s="1821"/>
      <c r="BS4339" s="1821"/>
      <c r="BT4339" s="1821"/>
      <c r="BU4339" s="1821"/>
      <c r="BV4339" s="1821"/>
      <c r="BW4339" s="1821"/>
      <c r="BX4339" s="1821"/>
      <c r="BY4339" s="1821"/>
      <c r="BZ4339" s="1821"/>
      <c r="CA4339" s="1821"/>
      <c r="CB4339" s="1821"/>
      <c r="CC4339" s="1821"/>
      <c r="CD4339" s="1821"/>
      <c r="CE4339" s="1821"/>
      <c r="CF4339" s="1821"/>
      <c r="CG4339" s="1821"/>
      <c r="CH4339" s="1821"/>
      <c r="CI4339" s="1821"/>
      <c r="CJ4339" s="1821"/>
      <c r="CK4339" s="1821"/>
    </row>
    <row r="4340" spans="1:89" s="744" customFormat="1" ht="16.5" customHeight="1" x14ac:dyDescent="0.25">
      <c r="A4340" s="1033"/>
      <c r="B4340" s="709" t="s">
        <v>460</v>
      </c>
      <c r="C4340" s="827">
        <v>100</v>
      </c>
      <c r="D4340" s="961" t="s">
        <v>66</v>
      </c>
      <c r="E4340" s="758">
        <v>720</v>
      </c>
      <c r="F4340" s="714"/>
      <c r="G4340" s="714"/>
      <c r="H4340" s="700">
        <f t="shared" si="494"/>
        <v>0</v>
      </c>
      <c r="I4340" s="714"/>
      <c r="J4340" s="714">
        <f>C4340*E4340</f>
        <v>72000</v>
      </c>
      <c r="K4340" s="700">
        <f t="shared" si="495"/>
        <v>72000</v>
      </c>
      <c r="L4340" s="714"/>
      <c r="M4340" s="714"/>
      <c r="N4340" s="700">
        <f t="shared" si="496"/>
        <v>0</v>
      </c>
      <c r="O4340" s="974">
        <f t="shared" si="497"/>
        <v>72000</v>
      </c>
      <c r="P4340" s="956"/>
      <c r="Q4340" s="1821"/>
      <c r="R4340" s="1821"/>
      <c r="S4340" s="1821"/>
      <c r="T4340" s="1821"/>
      <c r="U4340" s="1821"/>
      <c r="V4340" s="1821"/>
      <c r="W4340" s="1821"/>
      <c r="X4340" s="1821"/>
      <c r="Y4340" s="1821"/>
      <c r="Z4340" s="1821"/>
      <c r="AA4340" s="1821"/>
      <c r="AB4340" s="1821"/>
      <c r="AC4340" s="1821"/>
      <c r="AD4340" s="1821"/>
      <c r="AE4340" s="1821"/>
      <c r="AF4340" s="1821"/>
      <c r="AG4340" s="1821"/>
      <c r="AH4340" s="1821"/>
      <c r="AI4340" s="1821"/>
      <c r="AJ4340" s="1821"/>
      <c r="AK4340" s="1821"/>
      <c r="AL4340" s="1821"/>
      <c r="AM4340" s="1821"/>
      <c r="AN4340" s="1821"/>
      <c r="AO4340" s="1821"/>
      <c r="AP4340" s="1821"/>
      <c r="AQ4340" s="1821"/>
      <c r="AR4340" s="1821"/>
      <c r="AS4340" s="1821"/>
      <c r="AT4340" s="1821"/>
      <c r="AU4340" s="1821"/>
      <c r="AV4340" s="1821"/>
      <c r="AW4340" s="1821"/>
      <c r="AX4340" s="1821"/>
      <c r="AY4340" s="1821"/>
      <c r="AZ4340" s="1821"/>
      <c r="BA4340" s="1821"/>
      <c r="BB4340" s="1821"/>
      <c r="BC4340" s="1821"/>
      <c r="BD4340" s="1821"/>
      <c r="BE4340" s="1821"/>
      <c r="BF4340" s="1821"/>
      <c r="BG4340" s="1821"/>
      <c r="BH4340" s="1821"/>
      <c r="BI4340" s="1821"/>
      <c r="BJ4340" s="1821"/>
      <c r="BK4340" s="1821"/>
      <c r="BL4340" s="1821"/>
      <c r="BM4340" s="1821"/>
      <c r="BN4340" s="1821"/>
      <c r="BO4340" s="1821"/>
      <c r="BP4340" s="1821"/>
      <c r="BQ4340" s="1821"/>
      <c r="BR4340" s="1821"/>
      <c r="BS4340" s="1821"/>
      <c r="BT4340" s="1821"/>
      <c r="BU4340" s="1821"/>
      <c r="BV4340" s="1821"/>
      <c r="BW4340" s="1821"/>
      <c r="BX4340" s="1821"/>
      <c r="BY4340" s="1821"/>
      <c r="BZ4340" s="1821"/>
      <c r="CA4340" s="1821"/>
      <c r="CB4340" s="1821"/>
      <c r="CC4340" s="1821"/>
      <c r="CD4340" s="1821"/>
      <c r="CE4340" s="1821"/>
      <c r="CF4340" s="1821"/>
      <c r="CG4340" s="1821"/>
      <c r="CH4340" s="1821"/>
      <c r="CI4340" s="1821"/>
      <c r="CJ4340" s="1821"/>
      <c r="CK4340" s="1821"/>
    </row>
    <row r="4341" spans="1:89" s="744" customFormat="1" ht="16.5" customHeight="1" x14ac:dyDescent="0.25">
      <c r="A4341" s="1033"/>
      <c r="B4341" s="709" t="s">
        <v>461</v>
      </c>
      <c r="C4341" s="827">
        <v>7</v>
      </c>
      <c r="D4341" s="961" t="s">
        <v>66</v>
      </c>
      <c r="E4341" s="758">
        <v>1090</v>
      </c>
      <c r="F4341" s="714"/>
      <c r="G4341" s="714"/>
      <c r="H4341" s="700">
        <f t="shared" si="494"/>
        <v>0</v>
      </c>
      <c r="I4341" s="714"/>
      <c r="J4341" s="714">
        <f>C4341*E4341</f>
        <v>7630</v>
      </c>
      <c r="K4341" s="700">
        <f t="shared" si="495"/>
        <v>7630</v>
      </c>
      <c r="L4341" s="714"/>
      <c r="M4341" s="714"/>
      <c r="N4341" s="700">
        <f t="shared" si="496"/>
        <v>0</v>
      </c>
      <c r="O4341" s="974">
        <f t="shared" si="497"/>
        <v>7630</v>
      </c>
      <c r="P4341" s="956"/>
      <c r="Q4341" s="1821"/>
      <c r="R4341" s="1821"/>
      <c r="S4341" s="1821"/>
      <c r="T4341" s="1821"/>
      <c r="U4341" s="1821"/>
      <c r="V4341" s="1821"/>
      <c r="W4341" s="1821"/>
      <c r="X4341" s="1821"/>
      <c r="Y4341" s="1821"/>
      <c r="Z4341" s="1821"/>
      <c r="AA4341" s="1821"/>
      <c r="AB4341" s="1821"/>
      <c r="AC4341" s="1821"/>
      <c r="AD4341" s="1821"/>
      <c r="AE4341" s="1821"/>
      <c r="AF4341" s="1821"/>
      <c r="AG4341" s="1821"/>
      <c r="AH4341" s="1821"/>
      <c r="AI4341" s="1821"/>
      <c r="AJ4341" s="1821"/>
      <c r="AK4341" s="1821"/>
      <c r="AL4341" s="1821"/>
      <c r="AM4341" s="1821"/>
      <c r="AN4341" s="1821"/>
      <c r="AO4341" s="1821"/>
      <c r="AP4341" s="1821"/>
      <c r="AQ4341" s="1821"/>
      <c r="AR4341" s="1821"/>
      <c r="AS4341" s="1821"/>
      <c r="AT4341" s="1821"/>
      <c r="AU4341" s="1821"/>
      <c r="AV4341" s="1821"/>
      <c r="AW4341" s="1821"/>
      <c r="AX4341" s="1821"/>
      <c r="AY4341" s="1821"/>
      <c r="AZ4341" s="1821"/>
      <c r="BA4341" s="1821"/>
      <c r="BB4341" s="1821"/>
      <c r="BC4341" s="1821"/>
      <c r="BD4341" s="1821"/>
      <c r="BE4341" s="1821"/>
      <c r="BF4341" s="1821"/>
      <c r="BG4341" s="1821"/>
      <c r="BH4341" s="1821"/>
      <c r="BI4341" s="1821"/>
      <c r="BJ4341" s="1821"/>
      <c r="BK4341" s="1821"/>
      <c r="BL4341" s="1821"/>
      <c r="BM4341" s="1821"/>
      <c r="BN4341" s="1821"/>
      <c r="BO4341" s="1821"/>
      <c r="BP4341" s="1821"/>
      <c r="BQ4341" s="1821"/>
      <c r="BR4341" s="1821"/>
      <c r="BS4341" s="1821"/>
      <c r="BT4341" s="1821"/>
      <c r="BU4341" s="1821"/>
      <c r="BV4341" s="1821"/>
      <c r="BW4341" s="1821"/>
      <c r="BX4341" s="1821"/>
      <c r="BY4341" s="1821"/>
      <c r="BZ4341" s="1821"/>
      <c r="CA4341" s="1821"/>
      <c r="CB4341" s="1821"/>
      <c r="CC4341" s="1821"/>
      <c r="CD4341" s="1821"/>
      <c r="CE4341" s="1821"/>
      <c r="CF4341" s="1821"/>
      <c r="CG4341" s="1821"/>
      <c r="CH4341" s="1821"/>
      <c r="CI4341" s="1821"/>
      <c r="CJ4341" s="1821"/>
      <c r="CK4341" s="1821"/>
    </row>
    <row r="4342" spans="1:89" s="744" customFormat="1" ht="16.5" customHeight="1" x14ac:dyDescent="0.25">
      <c r="A4342" s="1033"/>
      <c r="B4342" s="709" t="s">
        <v>462</v>
      </c>
      <c r="C4342" s="827">
        <v>7</v>
      </c>
      <c r="D4342" s="961" t="s">
        <v>66</v>
      </c>
      <c r="E4342" s="758">
        <v>1270</v>
      </c>
      <c r="F4342" s="714"/>
      <c r="G4342" s="714"/>
      <c r="H4342" s="700">
        <f t="shared" si="494"/>
        <v>0</v>
      </c>
      <c r="I4342" s="714"/>
      <c r="J4342" s="714">
        <f>C4342*E4342</f>
        <v>8890</v>
      </c>
      <c r="K4342" s="700">
        <f t="shared" si="495"/>
        <v>8890</v>
      </c>
      <c r="L4342" s="714"/>
      <c r="M4342" s="714"/>
      <c r="N4342" s="700">
        <f t="shared" si="496"/>
        <v>0</v>
      </c>
      <c r="O4342" s="974">
        <f t="shared" si="497"/>
        <v>8890</v>
      </c>
      <c r="P4342" s="956"/>
      <c r="Q4342" s="1821"/>
      <c r="R4342" s="1821"/>
      <c r="S4342" s="1821"/>
      <c r="T4342" s="1821"/>
      <c r="U4342" s="1821"/>
      <c r="V4342" s="1821"/>
      <c r="W4342" s="1821"/>
      <c r="X4342" s="1821"/>
      <c r="Y4342" s="1821"/>
      <c r="Z4342" s="1821"/>
      <c r="AA4342" s="1821"/>
      <c r="AB4342" s="1821"/>
      <c r="AC4342" s="1821"/>
      <c r="AD4342" s="1821"/>
      <c r="AE4342" s="1821"/>
      <c r="AF4342" s="1821"/>
      <c r="AG4342" s="1821"/>
      <c r="AH4342" s="1821"/>
      <c r="AI4342" s="1821"/>
      <c r="AJ4342" s="1821"/>
      <c r="AK4342" s="1821"/>
      <c r="AL4342" s="1821"/>
      <c r="AM4342" s="1821"/>
      <c r="AN4342" s="1821"/>
      <c r="AO4342" s="1821"/>
      <c r="AP4342" s="1821"/>
      <c r="AQ4342" s="1821"/>
      <c r="AR4342" s="1821"/>
      <c r="AS4342" s="1821"/>
      <c r="AT4342" s="1821"/>
      <c r="AU4342" s="1821"/>
      <c r="AV4342" s="1821"/>
      <c r="AW4342" s="1821"/>
      <c r="AX4342" s="1821"/>
      <c r="AY4342" s="1821"/>
      <c r="AZ4342" s="1821"/>
      <c r="BA4342" s="1821"/>
      <c r="BB4342" s="1821"/>
      <c r="BC4342" s="1821"/>
      <c r="BD4342" s="1821"/>
      <c r="BE4342" s="1821"/>
      <c r="BF4342" s="1821"/>
      <c r="BG4342" s="1821"/>
      <c r="BH4342" s="1821"/>
      <c r="BI4342" s="1821"/>
      <c r="BJ4342" s="1821"/>
      <c r="BK4342" s="1821"/>
      <c r="BL4342" s="1821"/>
      <c r="BM4342" s="1821"/>
      <c r="BN4342" s="1821"/>
      <c r="BO4342" s="1821"/>
      <c r="BP4342" s="1821"/>
      <c r="BQ4342" s="1821"/>
      <c r="BR4342" s="1821"/>
      <c r="BS4342" s="1821"/>
      <c r="BT4342" s="1821"/>
      <c r="BU4342" s="1821"/>
      <c r="BV4342" s="1821"/>
      <c r="BW4342" s="1821"/>
      <c r="BX4342" s="1821"/>
      <c r="BY4342" s="1821"/>
      <c r="BZ4342" s="1821"/>
      <c r="CA4342" s="1821"/>
      <c r="CB4342" s="1821"/>
      <c r="CC4342" s="1821"/>
      <c r="CD4342" s="1821"/>
      <c r="CE4342" s="1821"/>
      <c r="CF4342" s="1821"/>
      <c r="CG4342" s="1821"/>
      <c r="CH4342" s="1821"/>
      <c r="CI4342" s="1821"/>
      <c r="CJ4342" s="1821"/>
      <c r="CK4342" s="1821"/>
    </row>
    <row r="4343" spans="1:89" s="744" customFormat="1" ht="16.5" customHeight="1" x14ac:dyDescent="0.25">
      <c r="A4343" s="1033"/>
      <c r="B4343" s="709"/>
      <c r="C4343" s="827"/>
      <c r="D4343" s="961"/>
      <c r="E4343" s="758"/>
      <c r="F4343" s="714"/>
      <c r="G4343" s="714"/>
      <c r="H4343" s="700">
        <f t="shared" si="494"/>
        <v>0</v>
      </c>
      <c r="I4343" s="714"/>
      <c r="J4343" s="714"/>
      <c r="K4343" s="700">
        <f t="shared" si="495"/>
        <v>0</v>
      </c>
      <c r="L4343" s="714"/>
      <c r="M4343" s="714"/>
      <c r="N4343" s="700">
        <f t="shared" si="496"/>
        <v>0</v>
      </c>
      <c r="O4343" s="974">
        <f t="shared" si="497"/>
        <v>0</v>
      </c>
      <c r="P4343" s="956"/>
      <c r="Q4343" s="1821"/>
      <c r="R4343" s="1821"/>
      <c r="S4343" s="1821"/>
      <c r="T4343" s="1821"/>
      <c r="U4343" s="1821"/>
      <c r="V4343" s="1821"/>
      <c r="W4343" s="1821"/>
      <c r="X4343" s="1821"/>
      <c r="Y4343" s="1821"/>
      <c r="Z4343" s="1821"/>
      <c r="AA4343" s="1821"/>
      <c r="AB4343" s="1821"/>
      <c r="AC4343" s="1821"/>
      <c r="AD4343" s="1821"/>
      <c r="AE4343" s="1821"/>
      <c r="AF4343" s="1821"/>
      <c r="AG4343" s="1821"/>
      <c r="AH4343" s="1821"/>
      <c r="AI4343" s="1821"/>
      <c r="AJ4343" s="1821"/>
      <c r="AK4343" s="1821"/>
      <c r="AL4343" s="1821"/>
      <c r="AM4343" s="1821"/>
      <c r="AN4343" s="1821"/>
      <c r="AO4343" s="1821"/>
      <c r="AP4343" s="1821"/>
      <c r="AQ4343" s="1821"/>
      <c r="AR4343" s="1821"/>
      <c r="AS4343" s="1821"/>
      <c r="AT4343" s="1821"/>
      <c r="AU4343" s="1821"/>
      <c r="AV4343" s="1821"/>
      <c r="AW4343" s="1821"/>
      <c r="AX4343" s="1821"/>
      <c r="AY4343" s="1821"/>
      <c r="AZ4343" s="1821"/>
      <c r="BA4343" s="1821"/>
      <c r="BB4343" s="1821"/>
      <c r="BC4343" s="1821"/>
      <c r="BD4343" s="1821"/>
      <c r="BE4343" s="1821"/>
      <c r="BF4343" s="1821"/>
      <c r="BG4343" s="1821"/>
      <c r="BH4343" s="1821"/>
      <c r="BI4343" s="1821"/>
      <c r="BJ4343" s="1821"/>
      <c r="BK4343" s="1821"/>
      <c r="BL4343" s="1821"/>
      <c r="BM4343" s="1821"/>
      <c r="BN4343" s="1821"/>
      <c r="BO4343" s="1821"/>
      <c r="BP4343" s="1821"/>
      <c r="BQ4343" s="1821"/>
      <c r="BR4343" s="1821"/>
      <c r="BS4343" s="1821"/>
      <c r="BT4343" s="1821"/>
      <c r="BU4343" s="1821"/>
      <c r="BV4343" s="1821"/>
      <c r="BW4343" s="1821"/>
      <c r="BX4343" s="1821"/>
      <c r="BY4343" s="1821"/>
      <c r="BZ4343" s="1821"/>
      <c r="CA4343" s="1821"/>
      <c r="CB4343" s="1821"/>
      <c r="CC4343" s="1821"/>
      <c r="CD4343" s="1821"/>
      <c r="CE4343" s="1821"/>
      <c r="CF4343" s="1821"/>
      <c r="CG4343" s="1821"/>
      <c r="CH4343" s="1821"/>
      <c r="CI4343" s="1821"/>
      <c r="CJ4343" s="1821"/>
      <c r="CK4343" s="1821"/>
    </row>
    <row r="4344" spans="1:89" s="744" customFormat="1" ht="16.5" customHeight="1" x14ac:dyDescent="0.25">
      <c r="A4344" s="1033"/>
      <c r="B4344" s="709" t="s">
        <v>40</v>
      </c>
      <c r="C4344" s="827"/>
      <c r="D4344" s="961"/>
      <c r="E4344" s="758"/>
      <c r="F4344" s="714"/>
      <c r="G4344" s="714"/>
      <c r="H4344" s="700">
        <f t="shared" si="494"/>
        <v>0</v>
      </c>
      <c r="I4344" s="714"/>
      <c r="J4344" s="714"/>
      <c r="K4344" s="700">
        <f t="shared" si="495"/>
        <v>0</v>
      </c>
      <c r="L4344" s="714"/>
      <c r="M4344" s="714"/>
      <c r="N4344" s="700">
        <f t="shared" si="496"/>
        <v>0</v>
      </c>
      <c r="O4344" s="974">
        <f t="shared" si="497"/>
        <v>0</v>
      </c>
      <c r="P4344" s="956"/>
      <c r="Q4344" s="1821"/>
      <c r="R4344" s="1821"/>
      <c r="S4344" s="1821"/>
      <c r="T4344" s="1821"/>
      <c r="U4344" s="1821"/>
      <c r="V4344" s="1821"/>
      <c r="W4344" s="1821"/>
      <c r="X4344" s="1821"/>
      <c r="Y4344" s="1821"/>
      <c r="Z4344" s="1821"/>
      <c r="AA4344" s="1821"/>
      <c r="AB4344" s="1821"/>
      <c r="AC4344" s="1821"/>
      <c r="AD4344" s="1821"/>
      <c r="AE4344" s="1821"/>
      <c r="AF4344" s="1821"/>
      <c r="AG4344" s="1821"/>
      <c r="AH4344" s="1821"/>
      <c r="AI4344" s="1821"/>
      <c r="AJ4344" s="1821"/>
      <c r="AK4344" s="1821"/>
      <c r="AL4344" s="1821"/>
      <c r="AM4344" s="1821"/>
      <c r="AN4344" s="1821"/>
      <c r="AO4344" s="1821"/>
      <c r="AP4344" s="1821"/>
      <c r="AQ4344" s="1821"/>
      <c r="AR4344" s="1821"/>
      <c r="AS4344" s="1821"/>
      <c r="AT4344" s="1821"/>
      <c r="AU4344" s="1821"/>
      <c r="AV4344" s="1821"/>
      <c r="AW4344" s="1821"/>
      <c r="AX4344" s="1821"/>
      <c r="AY4344" s="1821"/>
      <c r="AZ4344" s="1821"/>
      <c r="BA4344" s="1821"/>
      <c r="BB4344" s="1821"/>
      <c r="BC4344" s="1821"/>
      <c r="BD4344" s="1821"/>
      <c r="BE4344" s="1821"/>
      <c r="BF4344" s="1821"/>
      <c r="BG4344" s="1821"/>
      <c r="BH4344" s="1821"/>
      <c r="BI4344" s="1821"/>
      <c r="BJ4344" s="1821"/>
      <c r="BK4344" s="1821"/>
      <c r="BL4344" s="1821"/>
      <c r="BM4344" s="1821"/>
      <c r="BN4344" s="1821"/>
      <c r="BO4344" s="1821"/>
      <c r="BP4344" s="1821"/>
      <c r="BQ4344" s="1821"/>
      <c r="BR4344" s="1821"/>
      <c r="BS4344" s="1821"/>
      <c r="BT4344" s="1821"/>
      <c r="BU4344" s="1821"/>
      <c r="BV4344" s="1821"/>
      <c r="BW4344" s="1821"/>
      <c r="BX4344" s="1821"/>
      <c r="BY4344" s="1821"/>
      <c r="BZ4344" s="1821"/>
      <c r="CA4344" s="1821"/>
      <c r="CB4344" s="1821"/>
      <c r="CC4344" s="1821"/>
      <c r="CD4344" s="1821"/>
      <c r="CE4344" s="1821"/>
      <c r="CF4344" s="1821"/>
      <c r="CG4344" s="1821"/>
      <c r="CH4344" s="1821"/>
      <c r="CI4344" s="1821"/>
      <c r="CJ4344" s="1821"/>
      <c r="CK4344" s="1821"/>
    </row>
    <row r="4345" spans="1:89" s="744" customFormat="1" ht="16.5" customHeight="1" x14ac:dyDescent="0.25">
      <c r="A4345" s="1033"/>
      <c r="B4345" s="709" t="s">
        <v>463</v>
      </c>
      <c r="C4345" s="827">
        <v>1</v>
      </c>
      <c r="D4345" s="961" t="s">
        <v>25</v>
      </c>
      <c r="E4345" s="758">
        <v>64800</v>
      </c>
      <c r="F4345" s="714"/>
      <c r="G4345" s="714"/>
      <c r="H4345" s="700">
        <f t="shared" si="494"/>
        <v>0</v>
      </c>
      <c r="I4345" s="714"/>
      <c r="J4345" s="714">
        <f>E4345</f>
        <v>64800</v>
      </c>
      <c r="K4345" s="700">
        <f t="shared" si="495"/>
        <v>64800</v>
      </c>
      <c r="L4345" s="714"/>
      <c r="M4345" s="714"/>
      <c r="N4345" s="700">
        <f t="shared" si="496"/>
        <v>0</v>
      </c>
      <c r="O4345" s="974">
        <f t="shared" si="497"/>
        <v>64800</v>
      </c>
      <c r="P4345" s="956"/>
      <c r="Q4345" s="1821"/>
      <c r="R4345" s="1821"/>
      <c r="S4345" s="1821"/>
      <c r="T4345" s="1821"/>
      <c r="U4345" s="1821"/>
      <c r="V4345" s="1821"/>
      <c r="W4345" s="1821"/>
      <c r="X4345" s="1821"/>
      <c r="Y4345" s="1821"/>
      <c r="Z4345" s="1821"/>
      <c r="AA4345" s="1821"/>
      <c r="AB4345" s="1821"/>
      <c r="AC4345" s="1821"/>
      <c r="AD4345" s="1821"/>
      <c r="AE4345" s="1821"/>
      <c r="AF4345" s="1821"/>
      <c r="AG4345" s="1821"/>
      <c r="AH4345" s="1821"/>
      <c r="AI4345" s="1821"/>
      <c r="AJ4345" s="1821"/>
      <c r="AK4345" s="1821"/>
      <c r="AL4345" s="1821"/>
      <c r="AM4345" s="1821"/>
      <c r="AN4345" s="1821"/>
      <c r="AO4345" s="1821"/>
      <c r="AP4345" s="1821"/>
      <c r="AQ4345" s="1821"/>
      <c r="AR4345" s="1821"/>
      <c r="AS4345" s="1821"/>
      <c r="AT4345" s="1821"/>
      <c r="AU4345" s="1821"/>
      <c r="AV4345" s="1821"/>
      <c r="AW4345" s="1821"/>
      <c r="AX4345" s="1821"/>
      <c r="AY4345" s="1821"/>
      <c r="AZ4345" s="1821"/>
      <c r="BA4345" s="1821"/>
      <c r="BB4345" s="1821"/>
      <c r="BC4345" s="1821"/>
      <c r="BD4345" s="1821"/>
      <c r="BE4345" s="1821"/>
      <c r="BF4345" s="1821"/>
      <c r="BG4345" s="1821"/>
      <c r="BH4345" s="1821"/>
      <c r="BI4345" s="1821"/>
      <c r="BJ4345" s="1821"/>
      <c r="BK4345" s="1821"/>
      <c r="BL4345" s="1821"/>
      <c r="BM4345" s="1821"/>
      <c r="BN4345" s="1821"/>
      <c r="BO4345" s="1821"/>
      <c r="BP4345" s="1821"/>
      <c r="BQ4345" s="1821"/>
      <c r="BR4345" s="1821"/>
      <c r="BS4345" s="1821"/>
      <c r="BT4345" s="1821"/>
      <c r="BU4345" s="1821"/>
      <c r="BV4345" s="1821"/>
      <c r="BW4345" s="1821"/>
      <c r="BX4345" s="1821"/>
      <c r="BY4345" s="1821"/>
      <c r="BZ4345" s="1821"/>
      <c r="CA4345" s="1821"/>
      <c r="CB4345" s="1821"/>
      <c r="CC4345" s="1821"/>
      <c r="CD4345" s="1821"/>
      <c r="CE4345" s="1821"/>
      <c r="CF4345" s="1821"/>
      <c r="CG4345" s="1821"/>
      <c r="CH4345" s="1821"/>
      <c r="CI4345" s="1821"/>
      <c r="CJ4345" s="1821"/>
      <c r="CK4345" s="1821"/>
    </row>
    <row r="4346" spans="1:89" s="744" customFormat="1" ht="16.5" customHeight="1" x14ac:dyDescent="0.25">
      <c r="A4346" s="1033"/>
      <c r="B4346" s="709"/>
      <c r="C4346" s="827"/>
      <c r="D4346" s="961"/>
      <c r="E4346" s="758"/>
      <c r="F4346" s="714"/>
      <c r="G4346" s="714"/>
      <c r="H4346" s="700">
        <f t="shared" si="494"/>
        <v>0</v>
      </c>
      <c r="I4346" s="714"/>
      <c r="J4346" s="714"/>
      <c r="K4346" s="700">
        <f t="shared" si="495"/>
        <v>0</v>
      </c>
      <c r="L4346" s="714"/>
      <c r="M4346" s="714"/>
      <c r="N4346" s="700">
        <f t="shared" si="496"/>
        <v>0</v>
      </c>
      <c r="O4346" s="974">
        <f t="shared" si="497"/>
        <v>0</v>
      </c>
      <c r="P4346" s="956"/>
      <c r="Q4346" s="1821"/>
      <c r="R4346" s="1821"/>
      <c r="S4346" s="1821"/>
      <c r="T4346" s="1821"/>
      <c r="U4346" s="1821"/>
      <c r="V4346" s="1821"/>
      <c r="W4346" s="1821"/>
      <c r="X4346" s="1821"/>
      <c r="Y4346" s="1821"/>
      <c r="Z4346" s="1821"/>
      <c r="AA4346" s="1821"/>
      <c r="AB4346" s="1821"/>
      <c r="AC4346" s="1821"/>
      <c r="AD4346" s="1821"/>
      <c r="AE4346" s="1821"/>
      <c r="AF4346" s="1821"/>
      <c r="AG4346" s="1821"/>
      <c r="AH4346" s="1821"/>
      <c r="AI4346" s="1821"/>
      <c r="AJ4346" s="1821"/>
      <c r="AK4346" s="1821"/>
      <c r="AL4346" s="1821"/>
      <c r="AM4346" s="1821"/>
      <c r="AN4346" s="1821"/>
      <c r="AO4346" s="1821"/>
      <c r="AP4346" s="1821"/>
      <c r="AQ4346" s="1821"/>
      <c r="AR4346" s="1821"/>
      <c r="AS4346" s="1821"/>
      <c r="AT4346" s="1821"/>
      <c r="AU4346" s="1821"/>
      <c r="AV4346" s="1821"/>
      <c r="AW4346" s="1821"/>
      <c r="AX4346" s="1821"/>
      <c r="AY4346" s="1821"/>
      <c r="AZ4346" s="1821"/>
      <c r="BA4346" s="1821"/>
      <c r="BB4346" s="1821"/>
      <c r="BC4346" s="1821"/>
      <c r="BD4346" s="1821"/>
      <c r="BE4346" s="1821"/>
      <c r="BF4346" s="1821"/>
      <c r="BG4346" s="1821"/>
      <c r="BH4346" s="1821"/>
      <c r="BI4346" s="1821"/>
      <c r="BJ4346" s="1821"/>
      <c r="BK4346" s="1821"/>
      <c r="BL4346" s="1821"/>
      <c r="BM4346" s="1821"/>
      <c r="BN4346" s="1821"/>
      <c r="BO4346" s="1821"/>
      <c r="BP4346" s="1821"/>
      <c r="BQ4346" s="1821"/>
      <c r="BR4346" s="1821"/>
      <c r="BS4346" s="1821"/>
      <c r="BT4346" s="1821"/>
      <c r="BU4346" s="1821"/>
      <c r="BV4346" s="1821"/>
      <c r="BW4346" s="1821"/>
      <c r="BX4346" s="1821"/>
      <c r="BY4346" s="1821"/>
      <c r="BZ4346" s="1821"/>
      <c r="CA4346" s="1821"/>
      <c r="CB4346" s="1821"/>
      <c r="CC4346" s="1821"/>
      <c r="CD4346" s="1821"/>
      <c r="CE4346" s="1821"/>
      <c r="CF4346" s="1821"/>
      <c r="CG4346" s="1821"/>
      <c r="CH4346" s="1821"/>
      <c r="CI4346" s="1821"/>
      <c r="CJ4346" s="1821"/>
      <c r="CK4346" s="1821"/>
    </row>
    <row r="4347" spans="1:89" s="744" customFormat="1" ht="16.5" customHeight="1" x14ac:dyDescent="0.25">
      <c r="A4347" s="1033"/>
      <c r="B4347" s="709" t="s">
        <v>48</v>
      </c>
      <c r="C4347" s="827"/>
      <c r="D4347" s="961"/>
      <c r="E4347" s="758"/>
      <c r="F4347" s="714"/>
      <c r="G4347" s="714"/>
      <c r="H4347" s="700">
        <f t="shared" si="494"/>
        <v>0</v>
      </c>
      <c r="I4347" s="714"/>
      <c r="J4347" s="714"/>
      <c r="K4347" s="700">
        <f t="shared" si="495"/>
        <v>0</v>
      </c>
      <c r="L4347" s="714"/>
      <c r="M4347" s="714"/>
      <c r="N4347" s="700">
        <f t="shared" si="496"/>
        <v>0</v>
      </c>
      <c r="O4347" s="974">
        <f t="shared" si="497"/>
        <v>0</v>
      </c>
      <c r="P4347" s="956"/>
      <c r="Q4347" s="1821"/>
      <c r="R4347" s="1821"/>
      <c r="S4347" s="1821"/>
      <c r="T4347" s="1821"/>
      <c r="U4347" s="1821"/>
      <c r="V4347" s="1821"/>
      <c r="W4347" s="1821"/>
      <c r="X4347" s="1821"/>
      <c r="Y4347" s="1821"/>
      <c r="Z4347" s="1821"/>
      <c r="AA4347" s="1821"/>
      <c r="AB4347" s="1821"/>
      <c r="AC4347" s="1821"/>
      <c r="AD4347" s="1821"/>
      <c r="AE4347" s="1821"/>
      <c r="AF4347" s="1821"/>
      <c r="AG4347" s="1821"/>
      <c r="AH4347" s="1821"/>
      <c r="AI4347" s="1821"/>
      <c r="AJ4347" s="1821"/>
      <c r="AK4347" s="1821"/>
      <c r="AL4347" s="1821"/>
      <c r="AM4347" s="1821"/>
      <c r="AN4347" s="1821"/>
      <c r="AO4347" s="1821"/>
      <c r="AP4347" s="1821"/>
      <c r="AQ4347" s="1821"/>
      <c r="AR4347" s="1821"/>
      <c r="AS4347" s="1821"/>
      <c r="AT4347" s="1821"/>
      <c r="AU4347" s="1821"/>
      <c r="AV4347" s="1821"/>
      <c r="AW4347" s="1821"/>
      <c r="AX4347" s="1821"/>
      <c r="AY4347" s="1821"/>
      <c r="AZ4347" s="1821"/>
      <c r="BA4347" s="1821"/>
      <c r="BB4347" s="1821"/>
      <c r="BC4347" s="1821"/>
      <c r="BD4347" s="1821"/>
      <c r="BE4347" s="1821"/>
      <c r="BF4347" s="1821"/>
      <c r="BG4347" s="1821"/>
      <c r="BH4347" s="1821"/>
      <c r="BI4347" s="1821"/>
      <c r="BJ4347" s="1821"/>
      <c r="BK4347" s="1821"/>
      <c r="BL4347" s="1821"/>
      <c r="BM4347" s="1821"/>
      <c r="BN4347" s="1821"/>
      <c r="BO4347" s="1821"/>
      <c r="BP4347" s="1821"/>
      <c r="BQ4347" s="1821"/>
      <c r="BR4347" s="1821"/>
      <c r="BS4347" s="1821"/>
      <c r="BT4347" s="1821"/>
      <c r="BU4347" s="1821"/>
      <c r="BV4347" s="1821"/>
      <c r="BW4347" s="1821"/>
      <c r="BX4347" s="1821"/>
      <c r="BY4347" s="1821"/>
      <c r="BZ4347" s="1821"/>
      <c r="CA4347" s="1821"/>
      <c r="CB4347" s="1821"/>
      <c r="CC4347" s="1821"/>
      <c r="CD4347" s="1821"/>
      <c r="CE4347" s="1821"/>
      <c r="CF4347" s="1821"/>
      <c r="CG4347" s="1821"/>
      <c r="CH4347" s="1821"/>
      <c r="CI4347" s="1821"/>
      <c r="CJ4347" s="1821"/>
      <c r="CK4347" s="1821"/>
    </row>
    <row r="4348" spans="1:89" s="744" customFormat="1" ht="16.5" customHeight="1" x14ac:dyDescent="0.25">
      <c r="A4348" s="1033"/>
      <c r="B4348" s="709" t="s">
        <v>464</v>
      </c>
      <c r="C4348" s="827">
        <v>1</v>
      </c>
      <c r="D4348" s="961" t="s">
        <v>25</v>
      </c>
      <c r="E4348" s="758">
        <v>15000</v>
      </c>
      <c r="F4348" s="714"/>
      <c r="G4348" s="714"/>
      <c r="H4348" s="700">
        <f t="shared" si="494"/>
        <v>0</v>
      </c>
      <c r="I4348" s="714"/>
      <c r="J4348" s="714">
        <f>C4348*E4348</f>
        <v>15000</v>
      </c>
      <c r="K4348" s="700">
        <f t="shared" si="495"/>
        <v>15000</v>
      </c>
      <c r="L4348" s="714"/>
      <c r="M4348" s="714"/>
      <c r="N4348" s="700">
        <f t="shared" si="496"/>
        <v>0</v>
      </c>
      <c r="O4348" s="974">
        <f t="shared" si="497"/>
        <v>15000</v>
      </c>
      <c r="P4348" s="956"/>
      <c r="Q4348" s="1821"/>
      <c r="R4348" s="1821"/>
      <c r="S4348" s="1821"/>
      <c r="T4348" s="1821"/>
      <c r="U4348" s="1821"/>
      <c r="V4348" s="1821"/>
      <c r="W4348" s="1821"/>
      <c r="X4348" s="1821"/>
      <c r="Y4348" s="1821"/>
      <c r="Z4348" s="1821"/>
      <c r="AA4348" s="1821"/>
      <c r="AB4348" s="1821"/>
      <c r="AC4348" s="1821"/>
      <c r="AD4348" s="1821"/>
      <c r="AE4348" s="1821"/>
      <c r="AF4348" s="1821"/>
      <c r="AG4348" s="1821"/>
      <c r="AH4348" s="1821"/>
      <c r="AI4348" s="1821"/>
      <c r="AJ4348" s="1821"/>
      <c r="AK4348" s="1821"/>
      <c r="AL4348" s="1821"/>
      <c r="AM4348" s="1821"/>
      <c r="AN4348" s="1821"/>
      <c r="AO4348" s="1821"/>
      <c r="AP4348" s="1821"/>
      <c r="AQ4348" s="1821"/>
      <c r="AR4348" s="1821"/>
      <c r="AS4348" s="1821"/>
      <c r="AT4348" s="1821"/>
      <c r="AU4348" s="1821"/>
      <c r="AV4348" s="1821"/>
      <c r="AW4348" s="1821"/>
      <c r="AX4348" s="1821"/>
      <c r="AY4348" s="1821"/>
      <c r="AZ4348" s="1821"/>
      <c r="BA4348" s="1821"/>
      <c r="BB4348" s="1821"/>
      <c r="BC4348" s="1821"/>
      <c r="BD4348" s="1821"/>
      <c r="BE4348" s="1821"/>
      <c r="BF4348" s="1821"/>
      <c r="BG4348" s="1821"/>
      <c r="BH4348" s="1821"/>
      <c r="BI4348" s="1821"/>
      <c r="BJ4348" s="1821"/>
      <c r="BK4348" s="1821"/>
      <c r="BL4348" s="1821"/>
      <c r="BM4348" s="1821"/>
      <c r="BN4348" s="1821"/>
      <c r="BO4348" s="1821"/>
      <c r="BP4348" s="1821"/>
      <c r="BQ4348" s="1821"/>
      <c r="BR4348" s="1821"/>
      <c r="BS4348" s="1821"/>
      <c r="BT4348" s="1821"/>
      <c r="BU4348" s="1821"/>
      <c r="BV4348" s="1821"/>
      <c r="BW4348" s="1821"/>
      <c r="BX4348" s="1821"/>
      <c r="BY4348" s="1821"/>
      <c r="BZ4348" s="1821"/>
      <c r="CA4348" s="1821"/>
      <c r="CB4348" s="1821"/>
      <c r="CC4348" s="1821"/>
      <c r="CD4348" s="1821"/>
      <c r="CE4348" s="1821"/>
      <c r="CF4348" s="1821"/>
      <c r="CG4348" s="1821"/>
      <c r="CH4348" s="1821"/>
      <c r="CI4348" s="1821"/>
      <c r="CJ4348" s="1821"/>
      <c r="CK4348" s="1821"/>
    </row>
    <row r="4349" spans="1:89" s="744" customFormat="1" ht="16.5" customHeight="1" x14ac:dyDescent="0.25">
      <c r="A4349" s="1033"/>
      <c r="B4349" s="709"/>
      <c r="C4349" s="827"/>
      <c r="D4349" s="961"/>
      <c r="E4349" s="758"/>
      <c r="F4349" s="714"/>
      <c r="G4349" s="714"/>
      <c r="H4349" s="700">
        <f t="shared" si="494"/>
        <v>0</v>
      </c>
      <c r="I4349" s="714"/>
      <c r="J4349" s="714"/>
      <c r="K4349" s="700">
        <f t="shared" si="495"/>
        <v>0</v>
      </c>
      <c r="L4349" s="714"/>
      <c r="M4349" s="714"/>
      <c r="N4349" s="700">
        <f t="shared" si="496"/>
        <v>0</v>
      </c>
      <c r="O4349" s="974">
        <f t="shared" si="497"/>
        <v>0</v>
      </c>
      <c r="P4349" s="956"/>
      <c r="Q4349" s="1821"/>
      <c r="R4349" s="1821"/>
      <c r="S4349" s="1821"/>
      <c r="T4349" s="1821"/>
      <c r="U4349" s="1821"/>
      <c r="V4349" s="1821"/>
      <c r="W4349" s="1821"/>
      <c r="X4349" s="1821"/>
      <c r="Y4349" s="1821"/>
      <c r="Z4349" s="1821"/>
      <c r="AA4349" s="1821"/>
      <c r="AB4349" s="1821"/>
      <c r="AC4349" s="1821"/>
      <c r="AD4349" s="1821"/>
      <c r="AE4349" s="1821"/>
      <c r="AF4349" s="1821"/>
      <c r="AG4349" s="1821"/>
      <c r="AH4349" s="1821"/>
      <c r="AI4349" s="1821"/>
      <c r="AJ4349" s="1821"/>
      <c r="AK4349" s="1821"/>
      <c r="AL4349" s="1821"/>
      <c r="AM4349" s="1821"/>
      <c r="AN4349" s="1821"/>
      <c r="AO4349" s="1821"/>
      <c r="AP4349" s="1821"/>
      <c r="AQ4349" s="1821"/>
      <c r="AR4349" s="1821"/>
      <c r="AS4349" s="1821"/>
      <c r="AT4349" s="1821"/>
      <c r="AU4349" s="1821"/>
      <c r="AV4349" s="1821"/>
      <c r="AW4349" s="1821"/>
      <c r="AX4349" s="1821"/>
      <c r="AY4349" s="1821"/>
      <c r="AZ4349" s="1821"/>
      <c r="BA4349" s="1821"/>
      <c r="BB4349" s="1821"/>
      <c r="BC4349" s="1821"/>
      <c r="BD4349" s="1821"/>
      <c r="BE4349" s="1821"/>
      <c r="BF4349" s="1821"/>
      <c r="BG4349" s="1821"/>
      <c r="BH4349" s="1821"/>
      <c r="BI4349" s="1821"/>
      <c r="BJ4349" s="1821"/>
      <c r="BK4349" s="1821"/>
      <c r="BL4349" s="1821"/>
      <c r="BM4349" s="1821"/>
      <c r="BN4349" s="1821"/>
      <c r="BO4349" s="1821"/>
      <c r="BP4349" s="1821"/>
      <c r="BQ4349" s="1821"/>
      <c r="BR4349" s="1821"/>
      <c r="BS4349" s="1821"/>
      <c r="BT4349" s="1821"/>
      <c r="BU4349" s="1821"/>
      <c r="BV4349" s="1821"/>
      <c r="BW4349" s="1821"/>
      <c r="BX4349" s="1821"/>
      <c r="BY4349" s="1821"/>
      <c r="BZ4349" s="1821"/>
      <c r="CA4349" s="1821"/>
      <c r="CB4349" s="1821"/>
      <c r="CC4349" s="1821"/>
      <c r="CD4349" s="1821"/>
      <c r="CE4349" s="1821"/>
      <c r="CF4349" s="1821"/>
      <c r="CG4349" s="1821"/>
      <c r="CH4349" s="1821"/>
      <c r="CI4349" s="1821"/>
      <c r="CJ4349" s="1821"/>
      <c r="CK4349" s="1821"/>
    </row>
    <row r="4350" spans="1:89" s="744" customFormat="1" ht="16.5" customHeight="1" x14ac:dyDescent="0.25">
      <c r="A4350" s="1033">
        <v>536111</v>
      </c>
      <c r="B4350" s="709" t="s">
        <v>465</v>
      </c>
      <c r="C4350" s="827">
        <f>SUM(O4351:O4370)</f>
        <v>12477600</v>
      </c>
      <c r="D4350" s="961"/>
      <c r="E4350" s="758"/>
      <c r="F4350" s="714"/>
      <c r="G4350" s="714"/>
      <c r="H4350" s="700">
        <f t="shared" si="494"/>
        <v>0</v>
      </c>
      <c r="I4350" s="714"/>
      <c r="J4350" s="714"/>
      <c r="K4350" s="700">
        <f t="shared" si="495"/>
        <v>0</v>
      </c>
      <c r="L4350" s="714"/>
      <c r="M4350" s="714"/>
      <c r="N4350" s="700">
        <f t="shared" si="496"/>
        <v>0</v>
      </c>
      <c r="O4350" s="974">
        <f t="shared" si="497"/>
        <v>0</v>
      </c>
      <c r="P4350" s="956"/>
      <c r="Q4350" s="1821"/>
      <c r="R4350" s="1821"/>
      <c r="S4350" s="1821"/>
      <c r="T4350" s="1821"/>
      <c r="U4350" s="1821"/>
      <c r="V4350" s="1821"/>
      <c r="W4350" s="1821"/>
      <c r="X4350" s="1821"/>
      <c r="Y4350" s="1821"/>
      <c r="Z4350" s="1821"/>
      <c r="AA4350" s="1821"/>
      <c r="AB4350" s="1821"/>
      <c r="AC4350" s="1821"/>
      <c r="AD4350" s="1821"/>
      <c r="AE4350" s="1821"/>
      <c r="AF4350" s="1821"/>
      <c r="AG4350" s="1821"/>
      <c r="AH4350" s="1821"/>
      <c r="AI4350" s="1821"/>
      <c r="AJ4350" s="1821"/>
      <c r="AK4350" s="1821"/>
      <c r="AL4350" s="1821"/>
      <c r="AM4350" s="1821"/>
      <c r="AN4350" s="1821"/>
      <c r="AO4350" s="1821"/>
      <c r="AP4350" s="1821"/>
      <c r="AQ4350" s="1821"/>
      <c r="AR4350" s="1821"/>
      <c r="AS4350" s="1821"/>
      <c r="AT4350" s="1821"/>
      <c r="AU4350" s="1821"/>
      <c r="AV4350" s="1821"/>
      <c r="AW4350" s="1821"/>
      <c r="AX4350" s="1821"/>
      <c r="AY4350" s="1821"/>
      <c r="AZ4350" s="1821"/>
      <c r="BA4350" s="1821"/>
      <c r="BB4350" s="1821"/>
      <c r="BC4350" s="1821"/>
      <c r="BD4350" s="1821"/>
      <c r="BE4350" s="1821"/>
      <c r="BF4350" s="1821"/>
      <c r="BG4350" s="1821"/>
      <c r="BH4350" s="1821"/>
      <c r="BI4350" s="1821"/>
      <c r="BJ4350" s="1821"/>
      <c r="BK4350" s="1821"/>
      <c r="BL4350" s="1821"/>
      <c r="BM4350" s="1821"/>
      <c r="BN4350" s="1821"/>
      <c r="BO4350" s="1821"/>
      <c r="BP4350" s="1821"/>
      <c r="BQ4350" s="1821"/>
      <c r="BR4350" s="1821"/>
      <c r="BS4350" s="1821"/>
      <c r="BT4350" s="1821"/>
      <c r="BU4350" s="1821"/>
      <c r="BV4350" s="1821"/>
      <c r="BW4350" s="1821"/>
      <c r="BX4350" s="1821"/>
      <c r="BY4350" s="1821"/>
      <c r="BZ4350" s="1821"/>
      <c r="CA4350" s="1821"/>
      <c r="CB4350" s="1821"/>
      <c r="CC4350" s="1821"/>
      <c r="CD4350" s="1821"/>
      <c r="CE4350" s="1821"/>
      <c r="CF4350" s="1821"/>
      <c r="CG4350" s="1821"/>
      <c r="CH4350" s="1821"/>
      <c r="CI4350" s="1821"/>
      <c r="CJ4350" s="1821"/>
      <c r="CK4350" s="1821"/>
    </row>
    <row r="4351" spans="1:89" s="1204" customFormat="1" ht="39.75" customHeight="1" x14ac:dyDescent="0.25">
      <c r="A4351" s="1033">
        <v>1</v>
      </c>
      <c r="B4351" s="709" t="s">
        <v>2306</v>
      </c>
      <c r="C4351" s="827">
        <v>1</v>
      </c>
      <c r="D4351" s="961" t="s">
        <v>189</v>
      </c>
      <c r="E4351" s="758">
        <v>646100</v>
      </c>
      <c r="F4351" s="714"/>
      <c r="G4351" s="714"/>
      <c r="H4351" s="700">
        <f t="shared" si="494"/>
        <v>0</v>
      </c>
      <c r="I4351" s="714"/>
      <c r="J4351" s="714"/>
      <c r="K4351" s="700">
        <f t="shared" si="495"/>
        <v>0</v>
      </c>
      <c r="L4351" s="714">
        <f t="shared" ref="L4351:L4370" si="498">C4351*E4351</f>
        <v>646100</v>
      </c>
      <c r="M4351" s="714"/>
      <c r="N4351" s="700">
        <f t="shared" si="496"/>
        <v>646100</v>
      </c>
      <c r="O4351" s="974">
        <f t="shared" si="497"/>
        <v>646100</v>
      </c>
      <c r="P4351" s="1202"/>
      <c r="Q4351" s="1838"/>
      <c r="R4351" s="1838"/>
      <c r="S4351" s="1838"/>
      <c r="T4351" s="1838"/>
      <c r="U4351" s="1838"/>
      <c r="V4351" s="1838"/>
      <c r="W4351" s="1838"/>
      <c r="X4351" s="1838"/>
      <c r="Y4351" s="1838"/>
      <c r="Z4351" s="1838"/>
      <c r="AA4351" s="1838"/>
      <c r="AB4351" s="1838"/>
      <c r="AC4351" s="1838"/>
      <c r="AD4351" s="1838"/>
      <c r="AE4351" s="1838"/>
      <c r="AF4351" s="1838"/>
      <c r="AG4351" s="1838"/>
      <c r="AH4351" s="1838"/>
      <c r="AI4351" s="1838"/>
      <c r="AJ4351" s="1838"/>
      <c r="AK4351" s="1838"/>
      <c r="AL4351" s="1838"/>
      <c r="AM4351" s="1838"/>
      <c r="AN4351" s="1838"/>
      <c r="AO4351" s="1838"/>
      <c r="AP4351" s="1838"/>
      <c r="AQ4351" s="1838"/>
      <c r="AR4351" s="1838"/>
      <c r="AS4351" s="1838"/>
      <c r="AT4351" s="1838"/>
      <c r="AU4351" s="1838"/>
      <c r="AV4351" s="1838"/>
      <c r="AW4351" s="1838"/>
      <c r="AX4351" s="1838"/>
      <c r="AY4351" s="1838"/>
      <c r="AZ4351" s="1838"/>
      <c r="BA4351" s="1838"/>
      <c r="BB4351" s="1838"/>
      <c r="BC4351" s="1838"/>
      <c r="BD4351" s="1838"/>
      <c r="BE4351" s="1838"/>
      <c r="BF4351" s="1838"/>
      <c r="BG4351" s="1838"/>
      <c r="BH4351" s="1838"/>
      <c r="BI4351" s="1838"/>
      <c r="BJ4351" s="1838"/>
      <c r="BK4351" s="1838"/>
      <c r="BL4351" s="1838"/>
      <c r="BM4351" s="1838"/>
      <c r="BN4351" s="1838"/>
      <c r="BO4351" s="1838"/>
      <c r="BP4351" s="1838"/>
      <c r="BQ4351" s="1838"/>
      <c r="BR4351" s="1838"/>
      <c r="BS4351" s="1838"/>
      <c r="BT4351" s="1838"/>
      <c r="BU4351" s="1838"/>
      <c r="BV4351" s="1838"/>
      <c r="BW4351" s="1838"/>
      <c r="BX4351" s="1838"/>
      <c r="BY4351" s="1838"/>
      <c r="BZ4351" s="1838"/>
      <c r="CA4351" s="1838"/>
      <c r="CB4351" s="1838"/>
      <c r="CC4351" s="1838"/>
      <c r="CD4351" s="1838"/>
      <c r="CE4351" s="1838"/>
      <c r="CF4351" s="1838"/>
      <c r="CG4351" s="1838"/>
      <c r="CH4351" s="1838"/>
      <c r="CI4351" s="1838"/>
      <c r="CJ4351" s="1838"/>
      <c r="CK4351" s="1838"/>
    </row>
    <row r="4352" spans="1:89" s="1204" customFormat="1" ht="39.75" customHeight="1" x14ac:dyDescent="0.25">
      <c r="A4352" s="1033">
        <v>2</v>
      </c>
      <c r="B4352" s="709" t="s">
        <v>2307</v>
      </c>
      <c r="C4352" s="827">
        <v>1</v>
      </c>
      <c r="D4352" s="961" t="s">
        <v>189</v>
      </c>
      <c r="E4352" s="758">
        <v>640500</v>
      </c>
      <c r="F4352" s="714"/>
      <c r="G4352" s="714"/>
      <c r="H4352" s="700">
        <f t="shared" si="494"/>
        <v>0</v>
      </c>
      <c r="I4352" s="714"/>
      <c r="J4352" s="714"/>
      <c r="K4352" s="700">
        <f t="shared" si="495"/>
        <v>0</v>
      </c>
      <c r="L4352" s="714">
        <f t="shared" si="498"/>
        <v>640500</v>
      </c>
      <c r="M4352" s="714"/>
      <c r="N4352" s="700">
        <f t="shared" si="496"/>
        <v>640500</v>
      </c>
      <c r="O4352" s="974">
        <f t="shared" si="497"/>
        <v>640500</v>
      </c>
      <c r="P4352" s="1202"/>
      <c r="Q4352" s="1838"/>
      <c r="R4352" s="1838"/>
      <c r="S4352" s="1838"/>
      <c r="T4352" s="1838"/>
      <c r="U4352" s="1838"/>
      <c r="V4352" s="1838"/>
      <c r="W4352" s="1838"/>
      <c r="X4352" s="1838"/>
      <c r="Y4352" s="1838"/>
      <c r="Z4352" s="1838"/>
      <c r="AA4352" s="1838"/>
      <c r="AB4352" s="1838"/>
      <c r="AC4352" s="1838"/>
      <c r="AD4352" s="1838"/>
      <c r="AE4352" s="1838"/>
      <c r="AF4352" s="1838"/>
      <c r="AG4352" s="1838"/>
      <c r="AH4352" s="1838"/>
      <c r="AI4352" s="1838"/>
      <c r="AJ4352" s="1838"/>
      <c r="AK4352" s="1838"/>
      <c r="AL4352" s="1838"/>
      <c r="AM4352" s="1838"/>
      <c r="AN4352" s="1838"/>
      <c r="AO4352" s="1838"/>
      <c r="AP4352" s="1838"/>
      <c r="AQ4352" s="1838"/>
      <c r="AR4352" s="1838"/>
      <c r="AS4352" s="1838"/>
      <c r="AT4352" s="1838"/>
      <c r="AU4352" s="1838"/>
      <c r="AV4352" s="1838"/>
      <c r="AW4352" s="1838"/>
      <c r="AX4352" s="1838"/>
      <c r="AY4352" s="1838"/>
      <c r="AZ4352" s="1838"/>
      <c r="BA4352" s="1838"/>
      <c r="BB4352" s="1838"/>
      <c r="BC4352" s="1838"/>
      <c r="BD4352" s="1838"/>
      <c r="BE4352" s="1838"/>
      <c r="BF4352" s="1838"/>
      <c r="BG4352" s="1838"/>
      <c r="BH4352" s="1838"/>
      <c r="BI4352" s="1838"/>
      <c r="BJ4352" s="1838"/>
      <c r="BK4352" s="1838"/>
      <c r="BL4352" s="1838"/>
      <c r="BM4352" s="1838"/>
      <c r="BN4352" s="1838"/>
      <c r="BO4352" s="1838"/>
      <c r="BP4352" s="1838"/>
      <c r="BQ4352" s="1838"/>
      <c r="BR4352" s="1838"/>
      <c r="BS4352" s="1838"/>
      <c r="BT4352" s="1838"/>
      <c r="BU4352" s="1838"/>
      <c r="BV4352" s="1838"/>
      <c r="BW4352" s="1838"/>
      <c r="BX4352" s="1838"/>
      <c r="BY4352" s="1838"/>
      <c r="BZ4352" s="1838"/>
      <c r="CA4352" s="1838"/>
      <c r="CB4352" s="1838"/>
      <c r="CC4352" s="1838"/>
      <c r="CD4352" s="1838"/>
      <c r="CE4352" s="1838"/>
      <c r="CF4352" s="1838"/>
      <c r="CG4352" s="1838"/>
      <c r="CH4352" s="1838"/>
      <c r="CI4352" s="1838"/>
      <c r="CJ4352" s="1838"/>
      <c r="CK4352" s="1838"/>
    </row>
    <row r="4353" spans="1:89" s="1204" customFormat="1" ht="39.75" customHeight="1" x14ac:dyDescent="0.25">
      <c r="A4353" s="1033">
        <v>3</v>
      </c>
      <c r="B4353" s="709" t="s">
        <v>2308</v>
      </c>
      <c r="C4353" s="827">
        <v>1</v>
      </c>
      <c r="D4353" s="961" t="s">
        <v>189</v>
      </c>
      <c r="E4353" s="758">
        <v>604800</v>
      </c>
      <c r="F4353" s="714"/>
      <c r="G4353" s="714"/>
      <c r="H4353" s="700">
        <f t="shared" si="494"/>
        <v>0</v>
      </c>
      <c r="I4353" s="714"/>
      <c r="J4353" s="714"/>
      <c r="K4353" s="700">
        <f t="shared" si="495"/>
        <v>0</v>
      </c>
      <c r="L4353" s="714">
        <f t="shared" si="498"/>
        <v>604800</v>
      </c>
      <c r="M4353" s="714"/>
      <c r="N4353" s="700">
        <f t="shared" si="496"/>
        <v>604800</v>
      </c>
      <c r="O4353" s="974">
        <f t="shared" si="497"/>
        <v>604800</v>
      </c>
      <c r="P4353" s="1202"/>
      <c r="Q4353" s="1838"/>
      <c r="R4353" s="1838"/>
      <c r="S4353" s="1838"/>
      <c r="T4353" s="1838"/>
      <c r="U4353" s="1838"/>
      <c r="V4353" s="1838"/>
      <c r="W4353" s="1838"/>
      <c r="X4353" s="1838"/>
      <c r="Y4353" s="1838"/>
      <c r="Z4353" s="1838"/>
      <c r="AA4353" s="1838"/>
      <c r="AB4353" s="1838"/>
      <c r="AC4353" s="1838"/>
      <c r="AD4353" s="1838"/>
      <c r="AE4353" s="1838"/>
      <c r="AF4353" s="1838"/>
      <c r="AG4353" s="1838"/>
      <c r="AH4353" s="1838"/>
      <c r="AI4353" s="1838"/>
      <c r="AJ4353" s="1838"/>
      <c r="AK4353" s="1838"/>
      <c r="AL4353" s="1838"/>
      <c r="AM4353" s="1838"/>
      <c r="AN4353" s="1838"/>
      <c r="AO4353" s="1838"/>
      <c r="AP4353" s="1838"/>
      <c r="AQ4353" s="1838"/>
      <c r="AR4353" s="1838"/>
      <c r="AS4353" s="1838"/>
      <c r="AT4353" s="1838"/>
      <c r="AU4353" s="1838"/>
      <c r="AV4353" s="1838"/>
      <c r="AW4353" s="1838"/>
      <c r="AX4353" s="1838"/>
      <c r="AY4353" s="1838"/>
      <c r="AZ4353" s="1838"/>
      <c r="BA4353" s="1838"/>
      <c r="BB4353" s="1838"/>
      <c r="BC4353" s="1838"/>
      <c r="BD4353" s="1838"/>
      <c r="BE4353" s="1838"/>
      <c r="BF4353" s="1838"/>
      <c r="BG4353" s="1838"/>
      <c r="BH4353" s="1838"/>
      <c r="BI4353" s="1838"/>
      <c r="BJ4353" s="1838"/>
      <c r="BK4353" s="1838"/>
      <c r="BL4353" s="1838"/>
      <c r="BM4353" s="1838"/>
      <c r="BN4353" s="1838"/>
      <c r="BO4353" s="1838"/>
      <c r="BP4353" s="1838"/>
      <c r="BQ4353" s="1838"/>
      <c r="BR4353" s="1838"/>
      <c r="BS4353" s="1838"/>
      <c r="BT4353" s="1838"/>
      <c r="BU4353" s="1838"/>
      <c r="BV4353" s="1838"/>
      <c r="BW4353" s="1838"/>
      <c r="BX4353" s="1838"/>
      <c r="BY4353" s="1838"/>
      <c r="BZ4353" s="1838"/>
      <c r="CA4353" s="1838"/>
      <c r="CB4353" s="1838"/>
      <c r="CC4353" s="1838"/>
      <c r="CD4353" s="1838"/>
      <c r="CE4353" s="1838"/>
      <c r="CF4353" s="1838"/>
      <c r="CG4353" s="1838"/>
      <c r="CH4353" s="1838"/>
      <c r="CI4353" s="1838"/>
      <c r="CJ4353" s="1838"/>
      <c r="CK4353" s="1838"/>
    </row>
    <row r="4354" spans="1:89" s="1204" customFormat="1" ht="39.75" customHeight="1" x14ac:dyDescent="0.25">
      <c r="A4354" s="1033">
        <v>4</v>
      </c>
      <c r="B4354" s="709" t="s">
        <v>1845</v>
      </c>
      <c r="C4354" s="827">
        <v>1</v>
      </c>
      <c r="D4354" s="961" t="s">
        <v>189</v>
      </c>
      <c r="E4354" s="758">
        <v>661300</v>
      </c>
      <c r="F4354" s="714"/>
      <c r="G4354" s="714"/>
      <c r="H4354" s="700">
        <f t="shared" si="494"/>
        <v>0</v>
      </c>
      <c r="I4354" s="714"/>
      <c r="J4354" s="714"/>
      <c r="K4354" s="700">
        <f t="shared" si="495"/>
        <v>0</v>
      </c>
      <c r="L4354" s="714">
        <f t="shared" si="498"/>
        <v>661300</v>
      </c>
      <c r="M4354" s="714"/>
      <c r="N4354" s="700">
        <f t="shared" si="496"/>
        <v>661300</v>
      </c>
      <c r="O4354" s="974">
        <f t="shared" si="497"/>
        <v>661300</v>
      </c>
      <c r="P4354" s="1202"/>
      <c r="Q4354" s="1838"/>
      <c r="R4354" s="1838"/>
      <c r="S4354" s="1838"/>
      <c r="T4354" s="1838"/>
      <c r="U4354" s="1838"/>
      <c r="V4354" s="1838"/>
      <c r="W4354" s="1838"/>
      <c r="X4354" s="1838"/>
      <c r="Y4354" s="1838"/>
      <c r="Z4354" s="1838"/>
      <c r="AA4354" s="1838"/>
      <c r="AB4354" s="1838"/>
      <c r="AC4354" s="1838"/>
      <c r="AD4354" s="1838"/>
      <c r="AE4354" s="1838"/>
      <c r="AF4354" s="1838"/>
      <c r="AG4354" s="1838"/>
      <c r="AH4354" s="1838"/>
      <c r="AI4354" s="1838"/>
      <c r="AJ4354" s="1838"/>
      <c r="AK4354" s="1838"/>
      <c r="AL4354" s="1838"/>
      <c r="AM4354" s="1838"/>
      <c r="AN4354" s="1838"/>
      <c r="AO4354" s="1838"/>
      <c r="AP4354" s="1838"/>
      <c r="AQ4354" s="1838"/>
      <c r="AR4354" s="1838"/>
      <c r="AS4354" s="1838"/>
      <c r="AT4354" s="1838"/>
      <c r="AU4354" s="1838"/>
      <c r="AV4354" s="1838"/>
      <c r="AW4354" s="1838"/>
      <c r="AX4354" s="1838"/>
      <c r="AY4354" s="1838"/>
      <c r="AZ4354" s="1838"/>
      <c r="BA4354" s="1838"/>
      <c r="BB4354" s="1838"/>
      <c r="BC4354" s="1838"/>
      <c r="BD4354" s="1838"/>
      <c r="BE4354" s="1838"/>
      <c r="BF4354" s="1838"/>
      <c r="BG4354" s="1838"/>
      <c r="BH4354" s="1838"/>
      <c r="BI4354" s="1838"/>
      <c r="BJ4354" s="1838"/>
      <c r="BK4354" s="1838"/>
      <c r="BL4354" s="1838"/>
      <c r="BM4354" s="1838"/>
      <c r="BN4354" s="1838"/>
      <c r="BO4354" s="1838"/>
      <c r="BP4354" s="1838"/>
      <c r="BQ4354" s="1838"/>
      <c r="BR4354" s="1838"/>
      <c r="BS4354" s="1838"/>
      <c r="BT4354" s="1838"/>
      <c r="BU4354" s="1838"/>
      <c r="BV4354" s="1838"/>
      <c r="BW4354" s="1838"/>
      <c r="BX4354" s="1838"/>
      <c r="BY4354" s="1838"/>
      <c r="BZ4354" s="1838"/>
      <c r="CA4354" s="1838"/>
      <c r="CB4354" s="1838"/>
      <c r="CC4354" s="1838"/>
      <c r="CD4354" s="1838"/>
      <c r="CE4354" s="1838"/>
      <c r="CF4354" s="1838"/>
      <c r="CG4354" s="1838"/>
      <c r="CH4354" s="1838"/>
      <c r="CI4354" s="1838"/>
      <c r="CJ4354" s="1838"/>
      <c r="CK4354" s="1838"/>
    </row>
    <row r="4355" spans="1:89" s="1204" customFormat="1" ht="39.75" customHeight="1" x14ac:dyDescent="0.25">
      <c r="A4355" s="1033">
        <v>5</v>
      </c>
      <c r="B4355" s="709" t="s">
        <v>1846</v>
      </c>
      <c r="C4355" s="827">
        <v>1</v>
      </c>
      <c r="D4355" s="961" t="s">
        <v>189</v>
      </c>
      <c r="E4355" s="758">
        <v>634800</v>
      </c>
      <c r="F4355" s="714"/>
      <c r="G4355" s="714"/>
      <c r="H4355" s="700">
        <f t="shared" si="494"/>
        <v>0</v>
      </c>
      <c r="I4355" s="714"/>
      <c r="J4355" s="714"/>
      <c r="K4355" s="700">
        <f t="shared" si="495"/>
        <v>0</v>
      </c>
      <c r="L4355" s="714">
        <f t="shared" si="498"/>
        <v>634800</v>
      </c>
      <c r="M4355" s="714"/>
      <c r="N4355" s="700">
        <f t="shared" si="496"/>
        <v>634800</v>
      </c>
      <c r="O4355" s="974">
        <f t="shared" si="497"/>
        <v>634800</v>
      </c>
      <c r="P4355" s="1202"/>
      <c r="Q4355" s="1838"/>
      <c r="R4355" s="1838"/>
      <c r="S4355" s="1838"/>
      <c r="T4355" s="1838"/>
      <c r="U4355" s="1838"/>
      <c r="V4355" s="1838"/>
      <c r="W4355" s="1838"/>
      <c r="X4355" s="1838"/>
      <c r="Y4355" s="1838"/>
      <c r="Z4355" s="1838"/>
      <c r="AA4355" s="1838"/>
      <c r="AB4355" s="1838"/>
      <c r="AC4355" s="1838"/>
      <c r="AD4355" s="1838"/>
      <c r="AE4355" s="1838"/>
      <c r="AF4355" s="1838"/>
      <c r="AG4355" s="1838"/>
      <c r="AH4355" s="1838"/>
      <c r="AI4355" s="1838"/>
      <c r="AJ4355" s="1838"/>
      <c r="AK4355" s="1838"/>
      <c r="AL4355" s="1838"/>
      <c r="AM4355" s="1838"/>
      <c r="AN4355" s="1838"/>
      <c r="AO4355" s="1838"/>
      <c r="AP4355" s="1838"/>
      <c r="AQ4355" s="1838"/>
      <c r="AR4355" s="1838"/>
      <c r="AS4355" s="1838"/>
      <c r="AT4355" s="1838"/>
      <c r="AU4355" s="1838"/>
      <c r="AV4355" s="1838"/>
      <c r="AW4355" s="1838"/>
      <c r="AX4355" s="1838"/>
      <c r="AY4355" s="1838"/>
      <c r="AZ4355" s="1838"/>
      <c r="BA4355" s="1838"/>
      <c r="BB4355" s="1838"/>
      <c r="BC4355" s="1838"/>
      <c r="BD4355" s="1838"/>
      <c r="BE4355" s="1838"/>
      <c r="BF4355" s="1838"/>
      <c r="BG4355" s="1838"/>
      <c r="BH4355" s="1838"/>
      <c r="BI4355" s="1838"/>
      <c r="BJ4355" s="1838"/>
      <c r="BK4355" s="1838"/>
      <c r="BL4355" s="1838"/>
      <c r="BM4355" s="1838"/>
      <c r="BN4355" s="1838"/>
      <c r="BO4355" s="1838"/>
      <c r="BP4355" s="1838"/>
      <c r="BQ4355" s="1838"/>
      <c r="BR4355" s="1838"/>
      <c r="BS4355" s="1838"/>
      <c r="BT4355" s="1838"/>
      <c r="BU4355" s="1838"/>
      <c r="BV4355" s="1838"/>
      <c r="BW4355" s="1838"/>
      <c r="BX4355" s="1838"/>
      <c r="BY4355" s="1838"/>
      <c r="BZ4355" s="1838"/>
      <c r="CA4355" s="1838"/>
      <c r="CB4355" s="1838"/>
      <c r="CC4355" s="1838"/>
      <c r="CD4355" s="1838"/>
      <c r="CE4355" s="1838"/>
      <c r="CF4355" s="1838"/>
      <c r="CG4355" s="1838"/>
      <c r="CH4355" s="1838"/>
      <c r="CI4355" s="1838"/>
      <c r="CJ4355" s="1838"/>
      <c r="CK4355" s="1838"/>
    </row>
    <row r="4356" spans="1:89" s="1204" customFormat="1" ht="39.75" customHeight="1" x14ac:dyDescent="0.25">
      <c r="A4356" s="1033">
        <v>6</v>
      </c>
      <c r="B4356" s="709" t="s">
        <v>1847</v>
      </c>
      <c r="C4356" s="827">
        <v>1</v>
      </c>
      <c r="D4356" s="961" t="s">
        <v>189</v>
      </c>
      <c r="E4356" s="758">
        <v>558300</v>
      </c>
      <c r="F4356" s="714"/>
      <c r="G4356" s="714"/>
      <c r="H4356" s="700">
        <f t="shared" si="494"/>
        <v>0</v>
      </c>
      <c r="I4356" s="714"/>
      <c r="J4356" s="714"/>
      <c r="K4356" s="700">
        <f t="shared" si="495"/>
        <v>0</v>
      </c>
      <c r="L4356" s="714">
        <f t="shared" si="498"/>
        <v>558300</v>
      </c>
      <c r="M4356" s="714"/>
      <c r="N4356" s="700">
        <f t="shared" si="496"/>
        <v>558300</v>
      </c>
      <c r="O4356" s="974">
        <f t="shared" si="497"/>
        <v>558300</v>
      </c>
      <c r="P4356" s="1202"/>
      <c r="Q4356" s="1838"/>
      <c r="R4356" s="1838"/>
      <c r="S4356" s="1838"/>
      <c r="T4356" s="1838"/>
      <c r="U4356" s="1838"/>
      <c r="V4356" s="1838"/>
      <c r="W4356" s="1838"/>
      <c r="X4356" s="1838"/>
      <c r="Y4356" s="1838"/>
      <c r="Z4356" s="1838"/>
      <c r="AA4356" s="1838"/>
      <c r="AB4356" s="1838"/>
      <c r="AC4356" s="1838"/>
      <c r="AD4356" s="1838"/>
      <c r="AE4356" s="1838"/>
      <c r="AF4356" s="1838"/>
      <c r="AG4356" s="1838"/>
      <c r="AH4356" s="1838"/>
      <c r="AI4356" s="1838"/>
      <c r="AJ4356" s="1838"/>
      <c r="AK4356" s="1838"/>
      <c r="AL4356" s="1838"/>
      <c r="AM4356" s="1838"/>
      <c r="AN4356" s="1838"/>
      <c r="AO4356" s="1838"/>
      <c r="AP4356" s="1838"/>
      <c r="AQ4356" s="1838"/>
      <c r="AR4356" s="1838"/>
      <c r="AS4356" s="1838"/>
      <c r="AT4356" s="1838"/>
      <c r="AU4356" s="1838"/>
      <c r="AV4356" s="1838"/>
      <c r="AW4356" s="1838"/>
      <c r="AX4356" s="1838"/>
      <c r="AY4356" s="1838"/>
      <c r="AZ4356" s="1838"/>
      <c r="BA4356" s="1838"/>
      <c r="BB4356" s="1838"/>
      <c r="BC4356" s="1838"/>
      <c r="BD4356" s="1838"/>
      <c r="BE4356" s="1838"/>
      <c r="BF4356" s="1838"/>
      <c r="BG4356" s="1838"/>
      <c r="BH4356" s="1838"/>
      <c r="BI4356" s="1838"/>
      <c r="BJ4356" s="1838"/>
      <c r="BK4356" s="1838"/>
      <c r="BL4356" s="1838"/>
      <c r="BM4356" s="1838"/>
      <c r="BN4356" s="1838"/>
      <c r="BO4356" s="1838"/>
      <c r="BP4356" s="1838"/>
      <c r="BQ4356" s="1838"/>
      <c r="BR4356" s="1838"/>
      <c r="BS4356" s="1838"/>
      <c r="BT4356" s="1838"/>
      <c r="BU4356" s="1838"/>
      <c r="BV4356" s="1838"/>
      <c r="BW4356" s="1838"/>
      <c r="BX4356" s="1838"/>
      <c r="BY4356" s="1838"/>
      <c r="BZ4356" s="1838"/>
      <c r="CA4356" s="1838"/>
      <c r="CB4356" s="1838"/>
      <c r="CC4356" s="1838"/>
      <c r="CD4356" s="1838"/>
      <c r="CE4356" s="1838"/>
      <c r="CF4356" s="1838"/>
      <c r="CG4356" s="1838"/>
      <c r="CH4356" s="1838"/>
      <c r="CI4356" s="1838"/>
      <c r="CJ4356" s="1838"/>
      <c r="CK4356" s="1838"/>
    </row>
    <row r="4357" spans="1:89" s="1204" customFormat="1" ht="39.75" customHeight="1" x14ac:dyDescent="0.25">
      <c r="A4357" s="1033">
        <v>7</v>
      </c>
      <c r="B4357" s="709" t="s">
        <v>1848</v>
      </c>
      <c r="C4357" s="827">
        <v>1</v>
      </c>
      <c r="D4357" s="961" t="s">
        <v>189</v>
      </c>
      <c r="E4357" s="758">
        <v>671700</v>
      </c>
      <c r="F4357" s="714"/>
      <c r="G4357" s="714"/>
      <c r="H4357" s="700">
        <f t="shared" si="494"/>
        <v>0</v>
      </c>
      <c r="I4357" s="714"/>
      <c r="J4357" s="714"/>
      <c r="K4357" s="700">
        <f t="shared" si="495"/>
        <v>0</v>
      </c>
      <c r="L4357" s="714">
        <f t="shared" si="498"/>
        <v>671700</v>
      </c>
      <c r="M4357" s="714"/>
      <c r="N4357" s="700">
        <f t="shared" si="496"/>
        <v>671700</v>
      </c>
      <c r="O4357" s="974">
        <f t="shared" si="497"/>
        <v>671700</v>
      </c>
      <c r="P4357" s="1202"/>
      <c r="Q4357" s="1838"/>
      <c r="R4357" s="1838"/>
      <c r="S4357" s="1838"/>
      <c r="T4357" s="1838"/>
      <c r="U4357" s="1838"/>
      <c r="V4357" s="1838"/>
      <c r="W4357" s="1838"/>
      <c r="X4357" s="1838"/>
      <c r="Y4357" s="1838"/>
      <c r="Z4357" s="1838"/>
      <c r="AA4357" s="1838"/>
      <c r="AB4357" s="1838"/>
      <c r="AC4357" s="1838"/>
      <c r="AD4357" s="1838"/>
      <c r="AE4357" s="1838"/>
      <c r="AF4357" s="1838"/>
      <c r="AG4357" s="1838"/>
      <c r="AH4357" s="1838"/>
      <c r="AI4357" s="1838"/>
      <c r="AJ4357" s="1838"/>
      <c r="AK4357" s="1838"/>
      <c r="AL4357" s="1838"/>
      <c r="AM4357" s="1838"/>
      <c r="AN4357" s="1838"/>
      <c r="AO4357" s="1838"/>
      <c r="AP4357" s="1838"/>
      <c r="AQ4357" s="1838"/>
      <c r="AR4357" s="1838"/>
      <c r="AS4357" s="1838"/>
      <c r="AT4357" s="1838"/>
      <c r="AU4357" s="1838"/>
      <c r="AV4357" s="1838"/>
      <c r="AW4357" s="1838"/>
      <c r="AX4357" s="1838"/>
      <c r="AY4357" s="1838"/>
      <c r="AZ4357" s="1838"/>
      <c r="BA4357" s="1838"/>
      <c r="BB4357" s="1838"/>
      <c r="BC4357" s="1838"/>
      <c r="BD4357" s="1838"/>
      <c r="BE4357" s="1838"/>
      <c r="BF4357" s="1838"/>
      <c r="BG4357" s="1838"/>
      <c r="BH4357" s="1838"/>
      <c r="BI4357" s="1838"/>
      <c r="BJ4357" s="1838"/>
      <c r="BK4357" s="1838"/>
      <c r="BL4357" s="1838"/>
      <c r="BM4357" s="1838"/>
      <c r="BN4357" s="1838"/>
      <c r="BO4357" s="1838"/>
      <c r="BP4357" s="1838"/>
      <c r="BQ4357" s="1838"/>
      <c r="BR4357" s="1838"/>
      <c r="BS4357" s="1838"/>
      <c r="BT4357" s="1838"/>
      <c r="BU4357" s="1838"/>
      <c r="BV4357" s="1838"/>
      <c r="BW4357" s="1838"/>
      <c r="BX4357" s="1838"/>
      <c r="BY4357" s="1838"/>
      <c r="BZ4357" s="1838"/>
      <c r="CA4357" s="1838"/>
      <c r="CB4357" s="1838"/>
      <c r="CC4357" s="1838"/>
      <c r="CD4357" s="1838"/>
      <c r="CE4357" s="1838"/>
      <c r="CF4357" s="1838"/>
      <c r="CG4357" s="1838"/>
      <c r="CH4357" s="1838"/>
      <c r="CI4357" s="1838"/>
      <c r="CJ4357" s="1838"/>
      <c r="CK4357" s="1838"/>
    </row>
    <row r="4358" spans="1:89" s="1204" customFormat="1" ht="39.75" customHeight="1" x14ac:dyDescent="0.25">
      <c r="A4358" s="1033">
        <v>8</v>
      </c>
      <c r="B4358" s="709" t="s">
        <v>1849</v>
      </c>
      <c r="C4358" s="827">
        <v>1</v>
      </c>
      <c r="D4358" s="961" t="s">
        <v>189</v>
      </c>
      <c r="E4358" s="758">
        <v>728900</v>
      </c>
      <c r="F4358" s="714"/>
      <c r="G4358" s="714"/>
      <c r="H4358" s="700">
        <f t="shared" si="494"/>
        <v>0</v>
      </c>
      <c r="I4358" s="714"/>
      <c r="J4358" s="714"/>
      <c r="K4358" s="700">
        <f t="shared" si="495"/>
        <v>0</v>
      </c>
      <c r="L4358" s="714">
        <f t="shared" si="498"/>
        <v>728900</v>
      </c>
      <c r="M4358" s="714"/>
      <c r="N4358" s="700">
        <f t="shared" si="496"/>
        <v>728900</v>
      </c>
      <c r="O4358" s="974">
        <f t="shared" si="497"/>
        <v>728900</v>
      </c>
      <c r="P4358" s="1202"/>
      <c r="Q4358" s="1838"/>
      <c r="R4358" s="1838"/>
      <c r="S4358" s="1838"/>
      <c r="T4358" s="1838"/>
      <c r="U4358" s="1838"/>
      <c r="V4358" s="1838"/>
      <c r="W4358" s="1838"/>
      <c r="X4358" s="1838"/>
      <c r="Y4358" s="1838"/>
      <c r="Z4358" s="1838"/>
      <c r="AA4358" s="1838"/>
      <c r="AB4358" s="1838"/>
      <c r="AC4358" s="1838"/>
      <c r="AD4358" s="1838"/>
      <c r="AE4358" s="1838"/>
      <c r="AF4358" s="1838"/>
      <c r="AG4358" s="1838"/>
      <c r="AH4358" s="1838"/>
      <c r="AI4358" s="1838"/>
      <c r="AJ4358" s="1838"/>
      <c r="AK4358" s="1838"/>
      <c r="AL4358" s="1838"/>
      <c r="AM4358" s="1838"/>
      <c r="AN4358" s="1838"/>
      <c r="AO4358" s="1838"/>
      <c r="AP4358" s="1838"/>
      <c r="AQ4358" s="1838"/>
      <c r="AR4358" s="1838"/>
      <c r="AS4358" s="1838"/>
      <c r="AT4358" s="1838"/>
      <c r="AU4358" s="1838"/>
      <c r="AV4358" s="1838"/>
      <c r="AW4358" s="1838"/>
      <c r="AX4358" s="1838"/>
      <c r="AY4358" s="1838"/>
      <c r="AZ4358" s="1838"/>
      <c r="BA4358" s="1838"/>
      <c r="BB4358" s="1838"/>
      <c r="BC4358" s="1838"/>
      <c r="BD4358" s="1838"/>
      <c r="BE4358" s="1838"/>
      <c r="BF4358" s="1838"/>
      <c r="BG4358" s="1838"/>
      <c r="BH4358" s="1838"/>
      <c r="BI4358" s="1838"/>
      <c r="BJ4358" s="1838"/>
      <c r="BK4358" s="1838"/>
      <c r="BL4358" s="1838"/>
      <c r="BM4358" s="1838"/>
      <c r="BN4358" s="1838"/>
      <c r="BO4358" s="1838"/>
      <c r="BP4358" s="1838"/>
      <c r="BQ4358" s="1838"/>
      <c r="BR4358" s="1838"/>
      <c r="BS4358" s="1838"/>
      <c r="BT4358" s="1838"/>
      <c r="BU4358" s="1838"/>
      <c r="BV4358" s="1838"/>
      <c r="BW4358" s="1838"/>
      <c r="BX4358" s="1838"/>
      <c r="BY4358" s="1838"/>
      <c r="BZ4358" s="1838"/>
      <c r="CA4358" s="1838"/>
      <c r="CB4358" s="1838"/>
      <c r="CC4358" s="1838"/>
      <c r="CD4358" s="1838"/>
      <c r="CE4358" s="1838"/>
      <c r="CF4358" s="1838"/>
      <c r="CG4358" s="1838"/>
      <c r="CH4358" s="1838"/>
      <c r="CI4358" s="1838"/>
      <c r="CJ4358" s="1838"/>
      <c r="CK4358" s="1838"/>
    </row>
    <row r="4359" spans="1:89" s="1204" customFormat="1" ht="39.75" customHeight="1" x14ac:dyDescent="0.25">
      <c r="A4359" s="1033">
        <v>9</v>
      </c>
      <c r="B4359" s="709" t="s">
        <v>1850</v>
      </c>
      <c r="C4359" s="827">
        <v>1</v>
      </c>
      <c r="D4359" s="961" t="s">
        <v>189</v>
      </c>
      <c r="E4359" s="758">
        <v>568500</v>
      </c>
      <c r="F4359" s="714"/>
      <c r="G4359" s="714"/>
      <c r="H4359" s="700">
        <f t="shared" si="494"/>
        <v>0</v>
      </c>
      <c r="I4359" s="714"/>
      <c r="J4359" s="714"/>
      <c r="K4359" s="700">
        <f t="shared" si="495"/>
        <v>0</v>
      </c>
      <c r="L4359" s="714">
        <f t="shared" si="498"/>
        <v>568500</v>
      </c>
      <c r="M4359" s="714"/>
      <c r="N4359" s="700">
        <f t="shared" si="496"/>
        <v>568500</v>
      </c>
      <c r="O4359" s="974">
        <f t="shared" si="497"/>
        <v>568500</v>
      </c>
      <c r="P4359" s="1202"/>
      <c r="Q4359" s="1838"/>
      <c r="R4359" s="1838"/>
      <c r="S4359" s="1838"/>
      <c r="T4359" s="1838"/>
      <c r="U4359" s="1838"/>
      <c r="V4359" s="1838"/>
      <c r="W4359" s="1838"/>
      <c r="X4359" s="1838"/>
      <c r="Y4359" s="1838"/>
      <c r="Z4359" s="1838"/>
      <c r="AA4359" s="1838"/>
      <c r="AB4359" s="1838"/>
      <c r="AC4359" s="1838"/>
      <c r="AD4359" s="1838"/>
      <c r="AE4359" s="1838"/>
      <c r="AF4359" s="1838"/>
      <c r="AG4359" s="1838"/>
      <c r="AH4359" s="1838"/>
      <c r="AI4359" s="1838"/>
      <c r="AJ4359" s="1838"/>
      <c r="AK4359" s="1838"/>
      <c r="AL4359" s="1838"/>
      <c r="AM4359" s="1838"/>
      <c r="AN4359" s="1838"/>
      <c r="AO4359" s="1838"/>
      <c r="AP4359" s="1838"/>
      <c r="AQ4359" s="1838"/>
      <c r="AR4359" s="1838"/>
      <c r="AS4359" s="1838"/>
      <c r="AT4359" s="1838"/>
      <c r="AU4359" s="1838"/>
      <c r="AV4359" s="1838"/>
      <c r="AW4359" s="1838"/>
      <c r="AX4359" s="1838"/>
      <c r="AY4359" s="1838"/>
      <c r="AZ4359" s="1838"/>
      <c r="BA4359" s="1838"/>
      <c r="BB4359" s="1838"/>
      <c r="BC4359" s="1838"/>
      <c r="BD4359" s="1838"/>
      <c r="BE4359" s="1838"/>
      <c r="BF4359" s="1838"/>
      <c r="BG4359" s="1838"/>
      <c r="BH4359" s="1838"/>
      <c r="BI4359" s="1838"/>
      <c r="BJ4359" s="1838"/>
      <c r="BK4359" s="1838"/>
      <c r="BL4359" s="1838"/>
      <c r="BM4359" s="1838"/>
      <c r="BN4359" s="1838"/>
      <c r="BO4359" s="1838"/>
      <c r="BP4359" s="1838"/>
      <c r="BQ4359" s="1838"/>
      <c r="BR4359" s="1838"/>
      <c r="BS4359" s="1838"/>
      <c r="BT4359" s="1838"/>
      <c r="BU4359" s="1838"/>
      <c r="BV4359" s="1838"/>
      <c r="BW4359" s="1838"/>
      <c r="BX4359" s="1838"/>
      <c r="BY4359" s="1838"/>
      <c r="BZ4359" s="1838"/>
      <c r="CA4359" s="1838"/>
      <c r="CB4359" s="1838"/>
      <c r="CC4359" s="1838"/>
      <c r="CD4359" s="1838"/>
      <c r="CE4359" s="1838"/>
      <c r="CF4359" s="1838"/>
      <c r="CG4359" s="1838"/>
      <c r="CH4359" s="1838"/>
      <c r="CI4359" s="1838"/>
      <c r="CJ4359" s="1838"/>
      <c r="CK4359" s="1838"/>
    </row>
    <row r="4360" spans="1:89" s="1204" customFormat="1" ht="39.75" customHeight="1" x14ac:dyDescent="0.25">
      <c r="A4360" s="1033">
        <v>10</v>
      </c>
      <c r="B4360" s="709" t="s">
        <v>2309</v>
      </c>
      <c r="C4360" s="827">
        <v>1</v>
      </c>
      <c r="D4360" s="961" t="s">
        <v>189</v>
      </c>
      <c r="E4360" s="758">
        <v>611600</v>
      </c>
      <c r="F4360" s="714"/>
      <c r="G4360" s="714"/>
      <c r="H4360" s="700">
        <f t="shared" si="494"/>
        <v>0</v>
      </c>
      <c r="I4360" s="714"/>
      <c r="J4360" s="714"/>
      <c r="K4360" s="700">
        <f t="shared" si="495"/>
        <v>0</v>
      </c>
      <c r="L4360" s="714">
        <f t="shared" si="498"/>
        <v>611600</v>
      </c>
      <c r="M4360" s="714"/>
      <c r="N4360" s="700">
        <f t="shared" si="496"/>
        <v>611600</v>
      </c>
      <c r="O4360" s="974">
        <f t="shared" si="497"/>
        <v>611600</v>
      </c>
      <c r="P4360" s="1202"/>
      <c r="Q4360" s="1838"/>
      <c r="R4360" s="1838"/>
      <c r="S4360" s="1838"/>
      <c r="T4360" s="1838"/>
      <c r="U4360" s="1838"/>
      <c r="V4360" s="1838"/>
      <c r="W4360" s="1838"/>
      <c r="X4360" s="1838"/>
      <c r="Y4360" s="1838"/>
      <c r="Z4360" s="1838"/>
      <c r="AA4360" s="1838"/>
      <c r="AB4360" s="1838"/>
      <c r="AC4360" s="1838"/>
      <c r="AD4360" s="1838"/>
      <c r="AE4360" s="1838"/>
      <c r="AF4360" s="1838"/>
      <c r="AG4360" s="1838"/>
      <c r="AH4360" s="1838"/>
      <c r="AI4360" s="1838"/>
      <c r="AJ4360" s="1838"/>
      <c r="AK4360" s="1838"/>
      <c r="AL4360" s="1838"/>
      <c r="AM4360" s="1838"/>
      <c r="AN4360" s="1838"/>
      <c r="AO4360" s="1838"/>
      <c r="AP4360" s="1838"/>
      <c r="AQ4360" s="1838"/>
      <c r="AR4360" s="1838"/>
      <c r="AS4360" s="1838"/>
      <c r="AT4360" s="1838"/>
      <c r="AU4360" s="1838"/>
      <c r="AV4360" s="1838"/>
      <c r="AW4360" s="1838"/>
      <c r="AX4360" s="1838"/>
      <c r="AY4360" s="1838"/>
      <c r="AZ4360" s="1838"/>
      <c r="BA4360" s="1838"/>
      <c r="BB4360" s="1838"/>
      <c r="BC4360" s="1838"/>
      <c r="BD4360" s="1838"/>
      <c r="BE4360" s="1838"/>
      <c r="BF4360" s="1838"/>
      <c r="BG4360" s="1838"/>
      <c r="BH4360" s="1838"/>
      <c r="BI4360" s="1838"/>
      <c r="BJ4360" s="1838"/>
      <c r="BK4360" s="1838"/>
      <c r="BL4360" s="1838"/>
      <c r="BM4360" s="1838"/>
      <c r="BN4360" s="1838"/>
      <c r="BO4360" s="1838"/>
      <c r="BP4360" s="1838"/>
      <c r="BQ4360" s="1838"/>
      <c r="BR4360" s="1838"/>
      <c r="BS4360" s="1838"/>
      <c r="BT4360" s="1838"/>
      <c r="BU4360" s="1838"/>
      <c r="BV4360" s="1838"/>
      <c r="BW4360" s="1838"/>
      <c r="BX4360" s="1838"/>
      <c r="BY4360" s="1838"/>
      <c r="BZ4360" s="1838"/>
      <c r="CA4360" s="1838"/>
      <c r="CB4360" s="1838"/>
      <c r="CC4360" s="1838"/>
      <c r="CD4360" s="1838"/>
      <c r="CE4360" s="1838"/>
      <c r="CF4360" s="1838"/>
      <c r="CG4360" s="1838"/>
      <c r="CH4360" s="1838"/>
      <c r="CI4360" s="1838"/>
      <c r="CJ4360" s="1838"/>
      <c r="CK4360" s="1838"/>
    </row>
    <row r="4361" spans="1:89" s="1204" customFormat="1" ht="39.75" customHeight="1" x14ac:dyDescent="0.25">
      <c r="A4361" s="1033">
        <v>11</v>
      </c>
      <c r="B4361" s="709" t="s">
        <v>1851</v>
      </c>
      <c r="C4361" s="827">
        <v>1</v>
      </c>
      <c r="D4361" s="961" t="s">
        <v>189</v>
      </c>
      <c r="E4361" s="758">
        <v>648300</v>
      </c>
      <c r="F4361" s="714"/>
      <c r="G4361" s="714"/>
      <c r="H4361" s="700">
        <f t="shared" si="494"/>
        <v>0</v>
      </c>
      <c r="I4361" s="714"/>
      <c r="J4361" s="714"/>
      <c r="K4361" s="700">
        <f t="shared" si="495"/>
        <v>0</v>
      </c>
      <c r="L4361" s="714">
        <f t="shared" si="498"/>
        <v>648300</v>
      </c>
      <c r="M4361" s="714"/>
      <c r="N4361" s="700">
        <f t="shared" si="496"/>
        <v>648300</v>
      </c>
      <c r="O4361" s="974">
        <f t="shared" si="497"/>
        <v>648300</v>
      </c>
      <c r="P4361" s="1202"/>
      <c r="Q4361" s="1838"/>
      <c r="R4361" s="1838"/>
      <c r="S4361" s="1838"/>
      <c r="T4361" s="1838"/>
      <c r="U4361" s="1838"/>
      <c r="V4361" s="1838"/>
      <c r="W4361" s="1838"/>
      <c r="X4361" s="1838"/>
      <c r="Y4361" s="1838"/>
      <c r="Z4361" s="1838"/>
      <c r="AA4361" s="1838"/>
      <c r="AB4361" s="1838"/>
      <c r="AC4361" s="1838"/>
      <c r="AD4361" s="1838"/>
      <c r="AE4361" s="1838"/>
      <c r="AF4361" s="1838"/>
      <c r="AG4361" s="1838"/>
      <c r="AH4361" s="1838"/>
      <c r="AI4361" s="1838"/>
      <c r="AJ4361" s="1838"/>
      <c r="AK4361" s="1838"/>
      <c r="AL4361" s="1838"/>
      <c r="AM4361" s="1838"/>
      <c r="AN4361" s="1838"/>
      <c r="AO4361" s="1838"/>
      <c r="AP4361" s="1838"/>
      <c r="AQ4361" s="1838"/>
      <c r="AR4361" s="1838"/>
      <c r="AS4361" s="1838"/>
      <c r="AT4361" s="1838"/>
      <c r="AU4361" s="1838"/>
      <c r="AV4361" s="1838"/>
      <c r="AW4361" s="1838"/>
      <c r="AX4361" s="1838"/>
      <c r="AY4361" s="1838"/>
      <c r="AZ4361" s="1838"/>
      <c r="BA4361" s="1838"/>
      <c r="BB4361" s="1838"/>
      <c r="BC4361" s="1838"/>
      <c r="BD4361" s="1838"/>
      <c r="BE4361" s="1838"/>
      <c r="BF4361" s="1838"/>
      <c r="BG4361" s="1838"/>
      <c r="BH4361" s="1838"/>
      <c r="BI4361" s="1838"/>
      <c r="BJ4361" s="1838"/>
      <c r="BK4361" s="1838"/>
      <c r="BL4361" s="1838"/>
      <c r="BM4361" s="1838"/>
      <c r="BN4361" s="1838"/>
      <c r="BO4361" s="1838"/>
      <c r="BP4361" s="1838"/>
      <c r="BQ4361" s="1838"/>
      <c r="BR4361" s="1838"/>
      <c r="BS4361" s="1838"/>
      <c r="BT4361" s="1838"/>
      <c r="BU4361" s="1838"/>
      <c r="BV4361" s="1838"/>
      <c r="BW4361" s="1838"/>
      <c r="BX4361" s="1838"/>
      <c r="BY4361" s="1838"/>
      <c r="BZ4361" s="1838"/>
      <c r="CA4361" s="1838"/>
      <c r="CB4361" s="1838"/>
      <c r="CC4361" s="1838"/>
      <c r="CD4361" s="1838"/>
      <c r="CE4361" s="1838"/>
      <c r="CF4361" s="1838"/>
      <c r="CG4361" s="1838"/>
      <c r="CH4361" s="1838"/>
      <c r="CI4361" s="1838"/>
      <c r="CJ4361" s="1838"/>
      <c r="CK4361" s="1838"/>
    </row>
    <row r="4362" spans="1:89" s="1204" customFormat="1" ht="39.75" customHeight="1" x14ac:dyDescent="0.25">
      <c r="A4362" s="1033">
        <v>12</v>
      </c>
      <c r="B4362" s="709" t="s">
        <v>1852</v>
      </c>
      <c r="C4362" s="827">
        <v>1</v>
      </c>
      <c r="D4362" s="961" t="s">
        <v>189</v>
      </c>
      <c r="E4362" s="758">
        <v>622400</v>
      </c>
      <c r="F4362" s="714"/>
      <c r="G4362" s="714"/>
      <c r="H4362" s="700">
        <f t="shared" si="494"/>
        <v>0</v>
      </c>
      <c r="I4362" s="714"/>
      <c r="J4362" s="714"/>
      <c r="K4362" s="700">
        <f t="shared" si="495"/>
        <v>0</v>
      </c>
      <c r="L4362" s="714">
        <f t="shared" si="498"/>
        <v>622400</v>
      </c>
      <c r="M4362" s="714"/>
      <c r="N4362" s="700">
        <f t="shared" si="496"/>
        <v>622400</v>
      </c>
      <c r="O4362" s="974">
        <f t="shared" si="497"/>
        <v>622400</v>
      </c>
      <c r="P4362" s="1202"/>
      <c r="Q4362" s="1838"/>
      <c r="R4362" s="1838"/>
      <c r="S4362" s="1838"/>
      <c r="T4362" s="1838"/>
      <c r="U4362" s="1838"/>
      <c r="V4362" s="1838"/>
      <c r="W4362" s="1838"/>
      <c r="X4362" s="1838"/>
      <c r="Y4362" s="1838"/>
      <c r="Z4362" s="1838"/>
      <c r="AA4362" s="1838"/>
      <c r="AB4362" s="1838"/>
      <c r="AC4362" s="1838"/>
      <c r="AD4362" s="1838"/>
      <c r="AE4362" s="1838"/>
      <c r="AF4362" s="1838"/>
      <c r="AG4362" s="1838"/>
      <c r="AH4362" s="1838"/>
      <c r="AI4362" s="1838"/>
      <c r="AJ4362" s="1838"/>
      <c r="AK4362" s="1838"/>
      <c r="AL4362" s="1838"/>
      <c r="AM4362" s="1838"/>
      <c r="AN4362" s="1838"/>
      <c r="AO4362" s="1838"/>
      <c r="AP4362" s="1838"/>
      <c r="AQ4362" s="1838"/>
      <c r="AR4362" s="1838"/>
      <c r="AS4362" s="1838"/>
      <c r="AT4362" s="1838"/>
      <c r="AU4362" s="1838"/>
      <c r="AV4362" s="1838"/>
      <c r="AW4362" s="1838"/>
      <c r="AX4362" s="1838"/>
      <c r="AY4362" s="1838"/>
      <c r="AZ4362" s="1838"/>
      <c r="BA4362" s="1838"/>
      <c r="BB4362" s="1838"/>
      <c r="BC4362" s="1838"/>
      <c r="BD4362" s="1838"/>
      <c r="BE4362" s="1838"/>
      <c r="BF4362" s="1838"/>
      <c r="BG4362" s="1838"/>
      <c r="BH4362" s="1838"/>
      <c r="BI4362" s="1838"/>
      <c r="BJ4362" s="1838"/>
      <c r="BK4362" s="1838"/>
      <c r="BL4362" s="1838"/>
      <c r="BM4362" s="1838"/>
      <c r="BN4362" s="1838"/>
      <c r="BO4362" s="1838"/>
      <c r="BP4362" s="1838"/>
      <c r="BQ4362" s="1838"/>
      <c r="BR4362" s="1838"/>
      <c r="BS4362" s="1838"/>
      <c r="BT4362" s="1838"/>
      <c r="BU4362" s="1838"/>
      <c r="BV4362" s="1838"/>
      <c r="BW4362" s="1838"/>
      <c r="BX4362" s="1838"/>
      <c r="BY4362" s="1838"/>
      <c r="BZ4362" s="1838"/>
      <c r="CA4362" s="1838"/>
      <c r="CB4362" s="1838"/>
      <c r="CC4362" s="1838"/>
      <c r="CD4362" s="1838"/>
      <c r="CE4362" s="1838"/>
      <c r="CF4362" s="1838"/>
      <c r="CG4362" s="1838"/>
      <c r="CH4362" s="1838"/>
      <c r="CI4362" s="1838"/>
      <c r="CJ4362" s="1838"/>
      <c r="CK4362" s="1838"/>
    </row>
    <row r="4363" spans="1:89" s="1204" customFormat="1" ht="39.75" customHeight="1" x14ac:dyDescent="0.25">
      <c r="A4363" s="1033">
        <v>13</v>
      </c>
      <c r="B4363" s="709" t="s">
        <v>1853</v>
      </c>
      <c r="C4363" s="827">
        <v>1</v>
      </c>
      <c r="D4363" s="961" t="s">
        <v>189</v>
      </c>
      <c r="E4363" s="758">
        <v>580100</v>
      </c>
      <c r="F4363" s="714"/>
      <c r="G4363" s="714"/>
      <c r="H4363" s="700">
        <f t="shared" si="494"/>
        <v>0</v>
      </c>
      <c r="I4363" s="714"/>
      <c r="J4363" s="714"/>
      <c r="K4363" s="700">
        <f t="shared" si="495"/>
        <v>0</v>
      </c>
      <c r="L4363" s="714">
        <f t="shared" si="498"/>
        <v>580100</v>
      </c>
      <c r="M4363" s="714"/>
      <c r="N4363" s="700">
        <f t="shared" si="496"/>
        <v>580100</v>
      </c>
      <c r="O4363" s="974">
        <f t="shared" si="497"/>
        <v>580100</v>
      </c>
      <c r="P4363" s="1202"/>
      <c r="Q4363" s="1838"/>
      <c r="R4363" s="1838"/>
      <c r="S4363" s="1838"/>
      <c r="T4363" s="1838"/>
      <c r="U4363" s="1838"/>
      <c r="V4363" s="1838"/>
      <c r="W4363" s="1838"/>
      <c r="X4363" s="1838"/>
      <c r="Y4363" s="1838"/>
      <c r="Z4363" s="1838"/>
      <c r="AA4363" s="1838"/>
      <c r="AB4363" s="1838"/>
      <c r="AC4363" s="1838"/>
      <c r="AD4363" s="1838"/>
      <c r="AE4363" s="1838"/>
      <c r="AF4363" s="1838"/>
      <c r="AG4363" s="1838"/>
      <c r="AH4363" s="1838"/>
      <c r="AI4363" s="1838"/>
      <c r="AJ4363" s="1838"/>
      <c r="AK4363" s="1838"/>
      <c r="AL4363" s="1838"/>
      <c r="AM4363" s="1838"/>
      <c r="AN4363" s="1838"/>
      <c r="AO4363" s="1838"/>
      <c r="AP4363" s="1838"/>
      <c r="AQ4363" s="1838"/>
      <c r="AR4363" s="1838"/>
      <c r="AS4363" s="1838"/>
      <c r="AT4363" s="1838"/>
      <c r="AU4363" s="1838"/>
      <c r="AV4363" s="1838"/>
      <c r="AW4363" s="1838"/>
      <c r="AX4363" s="1838"/>
      <c r="AY4363" s="1838"/>
      <c r="AZ4363" s="1838"/>
      <c r="BA4363" s="1838"/>
      <c r="BB4363" s="1838"/>
      <c r="BC4363" s="1838"/>
      <c r="BD4363" s="1838"/>
      <c r="BE4363" s="1838"/>
      <c r="BF4363" s="1838"/>
      <c r="BG4363" s="1838"/>
      <c r="BH4363" s="1838"/>
      <c r="BI4363" s="1838"/>
      <c r="BJ4363" s="1838"/>
      <c r="BK4363" s="1838"/>
      <c r="BL4363" s="1838"/>
      <c r="BM4363" s="1838"/>
      <c r="BN4363" s="1838"/>
      <c r="BO4363" s="1838"/>
      <c r="BP4363" s="1838"/>
      <c r="BQ4363" s="1838"/>
      <c r="BR4363" s="1838"/>
      <c r="BS4363" s="1838"/>
      <c r="BT4363" s="1838"/>
      <c r="BU4363" s="1838"/>
      <c r="BV4363" s="1838"/>
      <c r="BW4363" s="1838"/>
      <c r="BX4363" s="1838"/>
      <c r="BY4363" s="1838"/>
      <c r="BZ4363" s="1838"/>
      <c r="CA4363" s="1838"/>
      <c r="CB4363" s="1838"/>
      <c r="CC4363" s="1838"/>
      <c r="CD4363" s="1838"/>
      <c r="CE4363" s="1838"/>
      <c r="CF4363" s="1838"/>
      <c r="CG4363" s="1838"/>
      <c r="CH4363" s="1838"/>
      <c r="CI4363" s="1838"/>
      <c r="CJ4363" s="1838"/>
      <c r="CK4363" s="1838"/>
    </row>
    <row r="4364" spans="1:89" s="1204" customFormat="1" ht="39.75" customHeight="1" x14ac:dyDescent="0.25">
      <c r="A4364" s="1033">
        <v>14</v>
      </c>
      <c r="B4364" s="709" t="s">
        <v>1854</v>
      </c>
      <c r="C4364" s="827">
        <v>1</v>
      </c>
      <c r="D4364" s="961" t="s">
        <v>189</v>
      </c>
      <c r="E4364" s="758">
        <v>658500</v>
      </c>
      <c r="F4364" s="714"/>
      <c r="G4364" s="714"/>
      <c r="H4364" s="700">
        <f t="shared" si="494"/>
        <v>0</v>
      </c>
      <c r="I4364" s="714"/>
      <c r="J4364" s="714"/>
      <c r="K4364" s="700">
        <f t="shared" si="495"/>
        <v>0</v>
      </c>
      <c r="L4364" s="714">
        <f t="shared" si="498"/>
        <v>658500</v>
      </c>
      <c r="M4364" s="714"/>
      <c r="N4364" s="700">
        <f t="shared" si="496"/>
        <v>658500</v>
      </c>
      <c r="O4364" s="974">
        <f t="shared" si="497"/>
        <v>658500</v>
      </c>
      <c r="P4364" s="1202"/>
      <c r="Q4364" s="1838"/>
      <c r="R4364" s="1838"/>
      <c r="S4364" s="1838"/>
      <c r="T4364" s="1838"/>
      <c r="U4364" s="1838"/>
      <c r="V4364" s="1838"/>
      <c r="W4364" s="1838"/>
      <c r="X4364" s="1838"/>
      <c r="Y4364" s="1838"/>
      <c r="Z4364" s="1838"/>
      <c r="AA4364" s="1838"/>
      <c r="AB4364" s="1838"/>
      <c r="AC4364" s="1838"/>
      <c r="AD4364" s="1838"/>
      <c r="AE4364" s="1838"/>
      <c r="AF4364" s="1838"/>
      <c r="AG4364" s="1838"/>
      <c r="AH4364" s="1838"/>
      <c r="AI4364" s="1838"/>
      <c r="AJ4364" s="1838"/>
      <c r="AK4364" s="1838"/>
      <c r="AL4364" s="1838"/>
      <c r="AM4364" s="1838"/>
      <c r="AN4364" s="1838"/>
      <c r="AO4364" s="1838"/>
      <c r="AP4364" s="1838"/>
      <c r="AQ4364" s="1838"/>
      <c r="AR4364" s="1838"/>
      <c r="AS4364" s="1838"/>
      <c r="AT4364" s="1838"/>
      <c r="AU4364" s="1838"/>
      <c r="AV4364" s="1838"/>
      <c r="AW4364" s="1838"/>
      <c r="AX4364" s="1838"/>
      <c r="AY4364" s="1838"/>
      <c r="AZ4364" s="1838"/>
      <c r="BA4364" s="1838"/>
      <c r="BB4364" s="1838"/>
      <c r="BC4364" s="1838"/>
      <c r="BD4364" s="1838"/>
      <c r="BE4364" s="1838"/>
      <c r="BF4364" s="1838"/>
      <c r="BG4364" s="1838"/>
      <c r="BH4364" s="1838"/>
      <c r="BI4364" s="1838"/>
      <c r="BJ4364" s="1838"/>
      <c r="BK4364" s="1838"/>
      <c r="BL4364" s="1838"/>
      <c r="BM4364" s="1838"/>
      <c r="BN4364" s="1838"/>
      <c r="BO4364" s="1838"/>
      <c r="BP4364" s="1838"/>
      <c r="BQ4364" s="1838"/>
      <c r="BR4364" s="1838"/>
      <c r="BS4364" s="1838"/>
      <c r="BT4364" s="1838"/>
      <c r="BU4364" s="1838"/>
      <c r="BV4364" s="1838"/>
      <c r="BW4364" s="1838"/>
      <c r="BX4364" s="1838"/>
      <c r="BY4364" s="1838"/>
      <c r="BZ4364" s="1838"/>
      <c r="CA4364" s="1838"/>
      <c r="CB4364" s="1838"/>
      <c r="CC4364" s="1838"/>
      <c r="CD4364" s="1838"/>
      <c r="CE4364" s="1838"/>
      <c r="CF4364" s="1838"/>
      <c r="CG4364" s="1838"/>
      <c r="CH4364" s="1838"/>
      <c r="CI4364" s="1838"/>
      <c r="CJ4364" s="1838"/>
      <c r="CK4364" s="1838"/>
    </row>
    <row r="4365" spans="1:89" s="1204" customFormat="1" ht="39.75" customHeight="1" x14ac:dyDescent="0.25">
      <c r="A4365" s="1033">
        <v>15</v>
      </c>
      <c r="B4365" s="709" t="s">
        <v>1855</v>
      </c>
      <c r="C4365" s="827">
        <v>1</v>
      </c>
      <c r="D4365" s="961" t="s">
        <v>189</v>
      </c>
      <c r="E4365" s="758">
        <v>656200</v>
      </c>
      <c r="F4365" s="714"/>
      <c r="G4365" s="714"/>
      <c r="H4365" s="700">
        <f t="shared" si="494"/>
        <v>0</v>
      </c>
      <c r="I4365" s="714"/>
      <c r="J4365" s="714"/>
      <c r="K4365" s="700">
        <f t="shared" si="495"/>
        <v>0</v>
      </c>
      <c r="L4365" s="714">
        <f t="shared" si="498"/>
        <v>656200</v>
      </c>
      <c r="M4365" s="714"/>
      <c r="N4365" s="700">
        <f t="shared" si="496"/>
        <v>656200</v>
      </c>
      <c r="O4365" s="974">
        <f t="shared" si="497"/>
        <v>656200</v>
      </c>
      <c r="P4365" s="1202"/>
      <c r="Q4365" s="1838"/>
      <c r="R4365" s="1838"/>
      <c r="S4365" s="1838"/>
      <c r="T4365" s="1838"/>
      <c r="U4365" s="1838"/>
      <c r="V4365" s="1838"/>
      <c r="W4365" s="1838"/>
      <c r="X4365" s="1838"/>
      <c r="Y4365" s="1838"/>
      <c r="Z4365" s="1838"/>
      <c r="AA4365" s="1838"/>
      <c r="AB4365" s="1838"/>
      <c r="AC4365" s="1838"/>
      <c r="AD4365" s="1838"/>
      <c r="AE4365" s="1838"/>
      <c r="AF4365" s="1838"/>
      <c r="AG4365" s="1838"/>
      <c r="AH4365" s="1838"/>
      <c r="AI4365" s="1838"/>
      <c r="AJ4365" s="1838"/>
      <c r="AK4365" s="1838"/>
      <c r="AL4365" s="1838"/>
      <c r="AM4365" s="1838"/>
      <c r="AN4365" s="1838"/>
      <c r="AO4365" s="1838"/>
      <c r="AP4365" s="1838"/>
      <c r="AQ4365" s="1838"/>
      <c r="AR4365" s="1838"/>
      <c r="AS4365" s="1838"/>
      <c r="AT4365" s="1838"/>
      <c r="AU4365" s="1838"/>
      <c r="AV4365" s="1838"/>
      <c r="AW4365" s="1838"/>
      <c r="AX4365" s="1838"/>
      <c r="AY4365" s="1838"/>
      <c r="AZ4365" s="1838"/>
      <c r="BA4365" s="1838"/>
      <c r="BB4365" s="1838"/>
      <c r="BC4365" s="1838"/>
      <c r="BD4365" s="1838"/>
      <c r="BE4365" s="1838"/>
      <c r="BF4365" s="1838"/>
      <c r="BG4365" s="1838"/>
      <c r="BH4365" s="1838"/>
      <c r="BI4365" s="1838"/>
      <c r="BJ4365" s="1838"/>
      <c r="BK4365" s="1838"/>
      <c r="BL4365" s="1838"/>
      <c r="BM4365" s="1838"/>
      <c r="BN4365" s="1838"/>
      <c r="BO4365" s="1838"/>
      <c r="BP4365" s="1838"/>
      <c r="BQ4365" s="1838"/>
      <c r="BR4365" s="1838"/>
      <c r="BS4365" s="1838"/>
      <c r="BT4365" s="1838"/>
      <c r="BU4365" s="1838"/>
      <c r="BV4365" s="1838"/>
      <c r="BW4365" s="1838"/>
      <c r="BX4365" s="1838"/>
      <c r="BY4365" s="1838"/>
      <c r="BZ4365" s="1838"/>
      <c r="CA4365" s="1838"/>
      <c r="CB4365" s="1838"/>
      <c r="CC4365" s="1838"/>
      <c r="CD4365" s="1838"/>
      <c r="CE4365" s="1838"/>
      <c r="CF4365" s="1838"/>
      <c r="CG4365" s="1838"/>
      <c r="CH4365" s="1838"/>
      <c r="CI4365" s="1838"/>
      <c r="CJ4365" s="1838"/>
      <c r="CK4365" s="1838"/>
    </row>
    <row r="4366" spans="1:89" s="1204" customFormat="1" ht="39.75" customHeight="1" x14ac:dyDescent="0.25">
      <c r="A4366" s="1033">
        <v>16</v>
      </c>
      <c r="B4366" s="709" t="s">
        <v>1856</v>
      </c>
      <c r="C4366" s="827">
        <v>1</v>
      </c>
      <c r="D4366" s="961" t="s">
        <v>189</v>
      </c>
      <c r="E4366" s="758">
        <v>517600</v>
      </c>
      <c r="F4366" s="714"/>
      <c r="G4366" s="714"/>
      <c r="H4366" s="700">
        <f t="shared" si="494"/>
        <v>0</v>
      </c>
      <c r="I4366" s="714"/>
      <c r="J4366" s="714"/>
      <c r="K4366" s="700">
        <f t="shared" si="495"/>
        <v>0</v>
      </c>
      <c r="L4366" s="714">
        <f t="shared" si="498"/>
        <v>517600</v>
      </c>
      <c r="M4366" s="714"/>
      <c r="N4366" s="700">
        <f t="shared" si="496"/>
        <v>517600</v>
      </c>
      <c r="O4366" s="974">
        <f t="shared" si="497"/>
        <v>517600</v>
      </c>
      <c r="P4366" s="1202"/>
      <c r="Q4366" s="1838"/>
      <c r="R4366" s="1838"/>
      <c r="S4366" s="1838"/>
      <c r="T4366" s="1838"/>
      <c r="U4366" s="1838"/>
      <c r="V4366" s="1838"/>
      <c r="W4366" s="1838"/>
      <c r="X4366" s="1838"/>
      <c r="Y4366" s="1838"/>
      <c r="Z4366" s="1838"/>
      <c r="AA4366" s="1838"/>
      <c r="AB4366" s="1838"/>
      <c r="AC4366" s="1838"/>
      <c r="AD4366" s="1838"/>
      <c r="AE4366" s="1838"/>
      <c r="AF4366" s="1838"/>
      <c r="AG4366" s="1838"/>
      <c r="AH4366" s="1838"/>
      <c r="AI4366" s="1838"/>
      <c r="AJ4366" s="1838"/>
      <c r="AK4366" s="1838"/>
      <c r="AL4366" s="1838"/>
      <c r="AM4366" s="1838"/>
      <c r="AN4366" s="1838"/>
      <c r="AO4366" s="1838"/>
      <c r="AP4366" s="1838"/>
      <c r="AQ4366" s="1838"/>
      <c r="AR4366" s="1838"/>
      <c r="AS4366" s="1838"/>
      <c r="AT4366" s="1838"/>
      <c r="AU4366" s="1838"/>
      <c r="AV4366" s="1838"/>
      <c r="AW4366" s="1838"/>
      <c r="AX4366" s="1838"/>
      <c r="AY4366" s="1838"/>
      <c r="AZ4366" s="1838"/>
      <c r="BA4366" s="1838"/>
      <c r="BB4366" s="1838"/>
      <c r="BC4366" s="1838"/>
      <c r="BD4366" s="1838"/>
      <c r="BE4366" s="1838"/>
      <c r="BF4366" s="1838"/>
      <c r="BG4366" s="1838"/>
      <c r="BH4366" s="1838"/>
      <c r="BI4366" s="1838"/>
      <c r="BJ4366" s="1838"/>
      <c r="BK4366" s="1838"/>
      <c r="BL4366" s="1838"/>
      <c r="BM4366" s="1838"/>
      <c r="BN4366" s="1838"/>
      <c r="BO4366" s="1838"/>
      <c r="BP4366" s="1838"/>
      <c r="BQ4366" s="1838"/>
      <c r="BR4366" s="1838"/>
      <c r="BS4366" s="1838"/>
      <c r="BT4366" s="1838"/>
      <c r="BU4366" s="1838"/>
      <c r="BV4366" s="1838"/>
      <c r="BW4366" s="1838"/>
      <c r="BX4366" s="1838"/>
      <c r="BY4366" s="1838"/>
      <c r="BZ4366" s="1838"/>
      <c r="CA4366" s="1838"/>
      <c r="CB4366" s="1838"/>
      <c r="CC4366" s="1838"/>
      <c r="CD4366" s="1838"/>
      <c r="CE4366" s="1838"/>
      <c r="CF4366" s="1838"/>
      <c r="CG4366" s="1838"/>
      <c r="CH4366" s="1838"/>
      <c r="CI4366" s="1838"/>
      <c r="CJ4366" s="1838"/>
      <c r="CK4366" s="1838"/>
    </row>
    <row r="4367" spans="1:89" s="1204" customFormat="1" ht="39.75" customHeight="1" x14ac:dyDescent="0.25">
      <c r="A4367" s="1033">
        <v>17</v>
      </c>
      <c r="B4367" s="709" t="s">
        <v>1857</v>
      </c>
      <c r="C4367" s="827">
        <v>1</v>
      </c>
      <c r="D4367" s="961" t="s">
        <v>189</v>
      </c>
      <c r="E4367" s="758">
        <v>517600</v>
      </c>
      <c r="F4367" s="714"/>
      <c r="G4367" s="714"/>
      <c r="H4367" s="700">
        <f t="shared" si="494"/>
        <v>0</v>
      </c>
      <c r="I4367" s="714"/>
      <c r="J4367" s="714"/>
      <c r="K4367" s="700">
        <f t="shared" si="495"/>
        <v>0</v>
      </c>
      <c r="L4367" s="714">
        <f t="shared" si="498"/>
        <v>517600</v>
      </c>
      <c r="M4367" s="714"/>
      <c r="N4367" s="700">
        <f t="shared" si="496"/>
        <v>517600</v>
      </c>
      <c r="O4367" s="974">
        <f t="shared" si="497"/>
        <v>517600</v>
      </c>
      <c r="P4367" s="1202"/>
      <c r="Q4367" s="1838"/>
      <c r="R4367" s="1838"/>
      <c r="S4367" s="1838"/>
      <c r="T4367" s="1838"/>
      <c r="U4367" s="1838"/>
      <c r="V4367" s="1838"/>
      <c r="W4367" s="1838"/>
      <c r="X4367" s="1838"/>
      <c r="Y4367" s="1838"/>
      <c r="Z4367" s="1838"/>
      <c r="AA4367" s="1838"/>
      <c r="AB4367" s="1838"/>
      <c r="AC4367" s="1838"/>
      <c r="AD4367" s="1838"/>
      <c r="AE4367" s="1838"/>
      <c r="AF4367" s="1838"/>
      <c r="AG4367" s="1838"/>
      <c r="AH4367" s="1838"/>
      <c r="AI4367" s="1838"/>
      <c r="AJ4367" s="1838"/>
      <c r="AK4367" s="1838"/>
      <c r="AL4367" s="1838"/>
      <c r="AM4367" s="1838"/>
      <c r="AN4367" s="1838"/>
      <c r="AO4367" s="1838"/>
      <c r="AP4367" s="1838"/>
      <c r="AQ4367" s="1838"/>
      <c r="AR4367" s="1838"/>
      <c r="AS4367" s="1838"/>
      <c r="AT4367" s="1838"/>
      <c r="AU4367" s="1838"/>
      <c r="AV4367" s="1838"/>
      <c r="AW4367" s="1838"/>
      <c r="AX4367" s="1838"/>
      <c r="AY4367" s="1838"/>
      <c r="AZ4367" s="1838"/>
      <c r="BA4367" s="1838"/>
      <c r="BB4367" s="1838"/>
      <c r="BC4367" s="1838"/>
      <c r="BD4367" s="1838"/>
      <c r="BE4367" s="1838"/>
      <c r="BF4367" s="1838"/>
      <c r="BG4367" s="1838"/>
      <c r="BH4367" s="1838"/>
      <c r="BI4367" s="1838"/>
      <c r="BJ4367" s="1838"/>
      <c r="BK4367" s="1838"/>
      <c r="BL4367" s="1838"/>
      <c r="BM4367" s="1838"/>
      <c r="BN4367" s="1838"/>
      <c r="BO4367" s="1838"/>
      <c r="BP4367" s="1838"/>
      <c r="BQ4367" s="1838"/>
      <c r="BR4367" s="1838"/>
      <c r="BS4367" s="1838"/>
      <c r="BT4367" s="1838"/>
      <c r="BU4367" s="1838"/>
      <c r="BV4367" s="1838"/>
      <c r="BW4367" s="1838"/>
      <c r="BX4367" s="1838"/>
      <c r="BY4367" s="1838"/>
      <c r="BZ4367" s="1838"/>
      <c r="CA4367" s="1838"/>
      <c r="CB4367" s="1838"/>
      <c r="CC4367" s="1838"/>
      <c r="CD4367" s="1838"/>
      <c r="CE4367" s="1838"/>
      <c r="CF4367" s="1838"/>
      <c r="CG4367" s="1838"/>
      <c r="CH4367" s="1838"/>
      <c r="CI4367" s="1838"/>
      <c r="CJ4367" s="1838"/>
      <c r="CK4367" s="1838"/>
    </row>
    <row r="4368" spans="1:89" s="1204" customFormat="1" ht="39.75" customHeight="1" x14ac:dyDescent="0.25">
      <c r="A4368" s="1033">
        <v>18</v>
      </c>
      <c r="B4368" s="709" t="s">
        <v>2310</v>
      </c>
      <c r="C4368" s="827">
        <v>1</v>
      </c>
      <c r="D4368" s="961" t="s">
        <v>189</v>
      </c>
      <c r="E4368" s="758">
        <v>568500</v>
      </c>
      <c r="F4368" s="714"/>
      <c r="G4368" s="714"/>
      <c r="H4368" s="700">
        <f t="shared" si="494"/>
        <v>0</v>
      </c>
      <c r="I4368" s="714"/>
      <c r="J4368" s="714"/>
      <c r="K4368" s="700">
        <f t="shared" si="495"/>
        <v>0</v>
      </c>
      <c r="L4368" s="714">
        <f t="shared" si="498"/>
        <v>568500</v>
      </c>
      <c r="M4368" s="714"/>
      <c r="N4368" s="700">
        <f t="shared" si="496"/>
        <v>568500</v>
      </c>
      <c r="O4368" s="974">
        <f t="shared" si="497"/>
        <v>568500</v>
      </c>
      <c r="P4368" s="1202"/>
      <c r="Q4368" s="1838"/>
      <c r="R4368" s="1838"/>
      <c r="S4368" s="1838"/>
      <c r="T4368" s="1838"/>
      <c r="U4368" s="1838"/>
      <c r="V4368" s="1838"/>
      <c r="W4368" s="1838"/>
      <c r="X4368" s="1838"/>
      <c r="Y4368" s="1838"/>
      <c r="Z4368" s="1838"/>
      <c r="AA4368" s="1838"/>
      <c r="AB4368" s="1838"/>
      <c r="AC4368" s="1838"/>
      <c r="AD4368" s="1838"/>
      <c r="AE4368" s="1838"/>
      <c r="AF4368" s="1838"/>
      <c r="AG4368" s="1838"/>
      <c r="AH4368" s="1838"/>
      <c r="AI4368" s="1838"/>
      <c r="AJ4368" s="1838"/>
      <c r="AK4368" s="1838"/>
      <c r="AL4368" s="1838"/>
      <c r="AM4368" s="1838"/>
      <c r="AN4368" s="1838"/>
      <c r="AO4368" s="1838"/>
      <c r="AP4368" s="1838"/>
      <c r="AQ4368" s="1838"/>
      <c r="AR4368" s="1838"/>
      <c r="AS4368" s="1838"/>
      <c r="AT4368" s="1838"/>
      <c r="AU4368" s="1838"/>
      <c r="AV4368" s="1838"/>
      <c r="AW4368" s="1838"/>
      <c r="AX4368" s="1838"/>
      <c r="AY4368" s="1838"/>
      <c r="AZ4368" s="1838"/>
      <c r="BA4368" s="1838"/>
      <c r="BB4368" s="1838"/>
      <c r="BC4368" s="1838"/>
      <c r="BD4368" s="1838"/>
      <c r="BE4368" s="1838"/>
      <c r="BF4368" s="1838"/>
      <c r="BG4368" s="1838"/>
      <c r="BH4368" s="1838"/>
      <c r="BI4368" s="1838"/>
      <c r="BJ4368" s="1838"/>
      <c r="BK4368" s="1838"/>
      <c r="BL4368" s="1838"/>
      <c r="BM4368" s="1838"/>
      <c r="BN4368" s="1838"/>
      <c r="BO4368" s="1838"/>
      <c r="BP4368" s="1838"/>
      <c r="BQ4368" s="1838"/>
      <c r="BR4368" s="1838"/>
      <c r="BS4368" s="1838"/>
      <c r="BT4368" s="1838"/>
      <c r="BU4368" s="1838"/>
      <c r="BV4368" s="1838"/>
      <c r="BW4368" s="1838"/>
      <c r="BX4368" s="1838"/>
      <c r="BY4368" s="1838"/>
      <c r="BZ4368" s="1838"/>
      <c r="CA4368" s="1838"/>
      <c r="CB4368" s="1838"/>
      <c r="CC4368" s="1838"/>
      <c r="CD4368" s="1838"/>
      <c r="CE4368" s="1838"/>
      <c r="CF4368" s="1838"/>
      <c r="CG4368" s="1838"/>
      <c r="CH4368" s="1838"/>
      <c r="CI4368" s="1838"/>
      <c r="CJ4368" s="1838"/>
      <c r="CK4368" s="1838"/>
    </row>
    <row r="4369" spans="1:89" s="1204" customFormat="1" ht="39.75" customHeight="1" x14ac:dyDescent="0.25">
      <c r="A4369" s="1033">
        <v>19</v>
      </c>
      <c r="B4369" s="709" t="s">
        <v>1858</v>
      </c>
      <c r="C4369" s="827">
        <v>1</v>
      </c>
      <c r="D4369" s="961" t="s">
        <v>189</v>
      </c>
      <c r="E4369" s="758">
        <v>635600</v>
      </c>
      <c r="F4369" s="714"/>
      <c r="G4369" s="714"/>
      <c r="H4369" s="700">
        <f>G4369+F4369</f>
        <v>0</v>
      </c>
      <c r="I4369" s="714"/>
      <c r="J4369" s="714"/>
      <c r="K4369" s="700">
        <f>J4369+I4369</f>
        <v>0</v>
      </c>
      <c r="L4369" s="714">
        <f t="shared" si="498"/>
        <v>635600</v>
      </c>
      <c r="M4369" s="714"/>
      <c r="N4369" s="700">
        <f>M4369+L4369</f>
        <v>635600</v>
      </c>
      <c r="O4369" s="974">
        <f>N4369+K4369+H4369</f>
        <v>635600</v>
      </c>
      <c r="P4369" s="1202"/>
      <c r="Q4369" s="1838"/>
      <c r="R4369" s="1838"/>
      <c r="S4369" s="1838"/>
      <c r="T4369" s="1838"/>
      <c r="U4369" s="1838"/>
      <c r="V4369" s="1838"/>
      <c r="W4369" s="1838"/>
      <c r="X4369" s="1838"/>
      <c r="Y4369" s="1838"/>
      <c r="Z4369" s="1838"/>
      <c r="AA4369" s="1838"/>
      <c r="AB4369" s="1838"/>
      <c r="AC4369" s="1838"/>
      <c r="AD4369" s="1838"/>
      <c r="AE4369" s="1838"/>
      <c r="AF4369" s="1838"/>
      <c r="AG4369" s="1838"/>
      <c r="AH4369" s="1838"/>
      <c r="AI4369" s="1838"/>
      <c r="AJ4369" s="1838"/>
      <c r="AK4369" s="1838"/>
      <c r="AL4369" s="1838"/>
      <c r="AM4369" s="1838"/>
      <c r="AN4369" s="1838"/>
      <c r="AO4369" s="1838"/>
      <c r="AP4369" s="1838"/>
      <c r="AQ4369" s="1838"/>
      <c r="AR4369" s="1838"/>
      <c r="AS4369" s="1838"/>
      <c r="AT4369" s="1838"/>
      <c r="AU4369" s="1838"/>
      <c r="AV4369" s="1838"/>
      <c r="AW4369" s="1838"/>
      <c r="AX4369" s="1838"/>
      <c r="AY4369" s="1838"/>
      <c r="AZ4369" s="1838"/>
      <c r="BA4369" s="1838"/>
      <c r="BB4369" s="1838"/>
      <c r="BC4369" s="1838"/>
      <c r="BD4369" s="1838"/>
      <c r="BE4369" s="1838"/>
      <c r="BF4369" s="1838"/>
      <c r="BG4369" s="1838"/>
      <c r="BH4369" s="1838"/>
      <c r="BI4369" s="1838"/>
      <c r="BJ4369" s="1838"/>
      <c r="BK4369" s="1838"/>
      <c r="BL4369" s="1838"/>
      <c r="BM4369" s="1838"/>
      <c r="BN4369" s="1838"/>
      <c r="BO4369" s="1838"/>
      <c r="BP4369" s="1838"/>
      <c r="BQ4369" s="1838"/>
      <c r="BR4369" s="1838"/>
      <c r="BS4369" s="1838"/>
      <c r="BT4369" s="1838"/>
      <c r="BU4369" s="1838"/>
      <c r="BV4369" s="1838"/>
      <c r="BW4369" s="1838"/>
      <c r="BX4369" s="1838"/>
      <c r="BY4369" s="1838"/>
      <c r="BZ4369" s="1838"/>
      <c r="CA4369" s="1838"/>
      <c r="CB4369" s="1838"/>
      <c r="CC4369" s="1838"/>
      <c r="CD4369" s="1838"/>
      <c r="CE4369" s="1838"/>
      <c r="CF4369" s="1838"/>
      <c r="CG4369" s="1838"/>
      <c r="CH4369" s="1838"/>
      <c r="CI4369" s="1838"/>
      <c r="CJ4369" s="1838"/>
      <c r="CK4369" s="1838"/>
    </row>
    <row r="4370" spans="1:89" s="1204" customFormat="1" ht="39.75" customHeight="1" x14ac:dyDescent="0.25">
      <c r="A4370" s="1033">
        <v>20</v>
      </c>
      <c r="B4370" s="709" t="s">
        <v>1859</v>
      </c>
      <c r="C4370" s="827">
        <v>1</v>
      </c>
      <c r="D4370" s="961" t="s">
        <v>189</v>
      </c>
      <c r="E4370" s="758">
        <v>746300</v>
      </c>
      <c r="F4370" s="714"/>
      <c r="G4370" s="714"/>
      <c r="H4370" s="700">
        <f>G4370+F4370</f>
        <v>0</v>
      </c>
      <c r="I4370" s="714"/>
      <c r="J4370" s="714"/>
      <c r="K4370" s="700">
        <f>J4370+I4370</f>
        <v>0</v>
      </c>
      <c r="L4370" s="714">
        <f t="shared" si="498"/>
        <v>746300</v>
      </c>
      <c r="M4370" s="714"/>
      <c r="N4370" s="700">
        <f>M4370+L4370</f>
        <v>746300</v>
      </c>
      <c r="O4370" s="974">
        <f>N4370+K4370+H4370</f>
        <v>746300</v>
      </c>
      <c r="P4370" s="1202"/>
      <c r="Q4370" s="1838"/>
      <c r="R4370" s="1838"/>
      <c r="S4370" s="1838"/>
      <c r="T4370" s="1838"/>
      <c r="U4370" s="1838"/>
      <c r="V4370" s="1838"/>
      <c r="W4370" s="1838"/>
      <c r="X4370" s="1838"/>
      <c r="Y4370" s="1838"/>
      <c r="Z4370" s="1838"/>
      <c r="AA4370" s="1838"/>
      <c r="AB4370" s="1838"/>
      <c r="AC4370" s="1838"/>
      <c r="AD4370" s="1838"/>
      <c r="AE4370" s="1838"/>
      <c r="AF4370" s="1838"/>
      <c r="AG4370" s="1838"/>
      <c r="AH4370" s="1838"/>
      <c r="AI4370" s="1838"/>
      <c r="AJ4370" s="1838"/>
      <c r="AK4370" s="1838"/>
      <c r="AL4370" s="1838"/>
      <c r="AM4370" s="1838"/>
      <c r="AN4370" s="1838"/>
      <c r="AO4370" s="1838"/>
      <c r="AP4370" s="1838"/>
      <c r="AQ4370" s="1838"/>
      <c r="AR4370" s="1838"/>
      <c r="AS4370" s="1838"/>
      <c r="AT4370" s="1838"/>
      <c r="AU4370" s="1838"/>
      <c r="AV4370" s="1838"/>
      <c r="AW4370" s="1838"/>
      <c r="AX4370" s="1838"/>
      <c r="AY4370" s="1838"/>
      <c r="AZ4370" s="1838"/>
      <c r="BA4370" s="1838"/>
      <c r="BB4370" s="1838"/>
      <c r="BC4370" s="1838"/>
      <c r="BD4370" s="1838"/>
      <c r="BE4370" s="1838"/>
      <c r="BF4370" s="1838"/>
      <c r="BG4370" s="1838"/>
      <c r="BH4370" s="1838"/>
      <c r="BI4370" s="1838"/>
      <c r="BJ4370" s="1838"/>
      <c r="BK4370" s="1838"/>
      <c r="BL4370" s="1838"/>
      <c r="BM4370" s="1838"/>
      <c r="BN4370" s="1838"/>
      <c r="BO4370" s="1838"/>
      <c r="BP4370" s="1838"/>
      <c r="BQ4370" s="1838"/>
      <c r="BR4370" s="1838"/>
      <c r="BS4370" s="1838"/>
      <c r="BT4370" s="1838"/>
      <c r="BU4370" s="1838"/>
      <c r="BV4370" s="1838"/>
      <c r="BW4370" s="1838"/>
      <c r="BX4370" s="1838"/>
      <c r="BY4370" s="1838"/>
      <c r="BZ4370" s="1838"/>
      <c r="CA4370" s="1838"/>
      <c r="CB4370" s="1838"/>
      <c r="CC4370" s="1838"/>
      <c r="CD4370" s="1838"/>
      <c r="CE4370" s="1838"/>
      <c r="CF4370" s="1838"/>
      <c r="CG4370" s="1838"/>
      <c r="CH4370" s="1838"/>
      <c r="CI4370" s="1838"/>
      <c r="CJ4370" s="1838"/>
      <c r="CK4370" s="1838"/>
    </row>
    <row r="4371" spans="1:89" s="1204" customFormat="1" ht="39.75" customHeight="1" x14ac:dyDescent="0.25">
      <c r="A4371" s="1033">
        <v>21</v>
      </c>
      <c r="B4371" s="698" t="s">
        <v>2338</v>
      </c>
      <c r="C4371" s="827">
        <v>1</v>
      </c>
      <c r="D4371" s="961" t="s">
        <v>189</v>
      </c>
      <c r="E4371" s="758">
        <v>10000000</v>
      </c>
      <c r="F4371" s="714"/>
      <c r="G4371" s="714"/>
      <c r="H4371" s="700">
        <f>G4371+F4371</f>
        <v>0</v>
      </c>
      <c r="I4371" s="714"/>
      <c r="J4371" s="714"/>
      <c r="K4371" s="700">
        <f>J4371+I4371</f>
        <v>0</v>
      </c>
      <c r="L4371" s="714"/>
      <c r="M4371" s="714">
        <f>E4371*C4371</f>
        <v>10000000</v>
      </c>
      <c r="N4371" s="700">
        <f>M4371+L4371</f>
        <v>10000000</v>
      </c>
      <c r="O4371" s="974">
        <f>N4371+K4371+H4371</f>
        <v>10000000</v>
      </c>
      <c r="P4371" s="1202"/>
      <c r="Q4371" s="1838"/>
      <c r="R4371" s="1838"/>
      <c r="S4371" s="1838"/>
      <c r="T4371" s="1838"/>
      <c r="U4371" s="1838"/>
      <c r="V4371" s="1838"/>
      <c r="W4371" s="1838"/>
      <c r="X4371" s="1838"/>
      <c r="Y4371" s="1838"/>
      <c r="Z4371" s="1838"/>
      <c r="AA4371" s="1838"/>
      <c r="AB4371" s="1838"/>
      <c r="AC4371" s="1838"/>
      <c r="AD4371" s="1838"/>
      <c r="AE4371" s="1838"/>
      <c r="AF4371" s="1838"/>
      <c r="AG4371" s="1838"/>
      <c r="AH4371" s="1838"/>
      <c r="AI4371" s="1838"/>
      <c r="AJ4371" s="1838"/>
      <c r="AK4371" s="1838"/>
      <c r="AL4371" s="1838"/>
      <c r="AM4371" s="1838"/>
      <c r="AN4371" s="1838"/>
      <c r="AO4371" s="1838"/>
      <c r="AP4371" s="1838"/>
      <c r="AQ4371" s="1838"/>
      <c r="AR4371" s="1838"/>
      <c r="AS4371" s="1838"/>
      <c r="AT4371" s="1838"/>
      <c r="AU4371" s="1838"/>
      <c r="AV4371" s="1838"/>
      <c r="AW4371" s="1838"/>
      <c r="AX4371" s="1838"/>
      <c r="AY4371" s="1838"/>
      <c r="AZ4371" s="1838"/>
      <c r="BA4371" s="1838"/>
      <c r="BB4371" s="1838"/>
      <c r="BC4371" s="1838"/>
      <c r="BD4371" s="1838"/>
      <c r="BE4371" s="1838"/>
      <c r="BF4371" s="1838"/>
      <c r="BG4371" s="1838"/>
      <c r="BH4371" s="1838"/>
      <c r="BI4371" s="1838"/>
      <c r="BJ4371" s="1838"/>
      <c r="BK4371" s="1838"/>
      <c r="BL4371" s="1838"/>
      <c r="BM4371" s="1838"/>
      <c r="BN4371" s="1838"/>
      <c r="BO4371" s="1838"/>
      <c r="BP4371" s="1838"/>
      <c r="BQ4371" s="1838"/>
      <c r="BR4371" s="1838"/>
      <c r="BS4371" s="1838"/>
      <c r="BT4371" s="1838"/>
      <c r="BU4371" s="1838"/>
      <c r="BV4371" s="1838"/>
      <c r="BW4371" s="1838"/>
      <c r="BX4371" s="1838"/>
      <c r="BY4371" s="1838"/>
      <c r="BZ4371" s="1838"/>
      <c r="CA4371" s="1838"/>
      <c r="CB4371" s="1838"/>
      <c r="CC4371" s="1838"/>
      <c r="CD4371" s="1838"/>
      <c r="CE4371" s="1838"/>
      <c r="CF4371" s="1838"/>
      <c r="CG4371" s="1838"/>
      <c r="CH4371" s="1838"/>
      <c r="CI4371" s="1838"/>
      <c r="CJ4371" s="1838"/>
      <c r="CK4371" s="1838"/>
    </row>
    <row r="4372" spans="1:89" s="1204" customFormat="1" ht="39.75" customHeight="1" x14ac:dyDescent="0.25">
      <c r="A4372" s="1033">
        <v>22</v>
      </c>
      <c r="B4372" s="709" t="s">
        <v>1096</v>
      </c>
      <c r="C4372" s="827">
        <v>1</v>
      </c>
      <c r="D4372" s="961" t="s">
        <v>189</v>
      </c>
      <c r="E4372" s="758">
        <v>4000000</v>
      </c>
      <c r="F4372" s="714"/>
      <c r="G4372" s="714"/>
      <c r="H4372" s="700">
        <f>G4372+F4372</f>
        <v>0</v>
      </c>
      <c r="I4372" s="714"/>
      <c r="J4372" s="714"/>
      <c r="K4372" s="700">
        <f>J4372+I4372</f>
        <v>0</v>
      </c>
      <c r="L4372" s="714"/>
      <c r="M4372" s="714">
        <f>E4372*C4372</f>
        <v>4000000</v>
      </c>
      <c r="N4372" s="700">
        <f>M4372+L4372</f>
        <v>4000000</v>
      </c>
      <c r="O4372" s="974">
        <f>N4372+K4372+H4372</f>
        <v>4000000</v>
      </c>
      <c r="P4372" s="1202"/>
      <c r="Q4372" s="1838"/>
      <c r="R4372" s="1838"/>
      <c r="S4372" s="1838"/>
      <c r="T4372" s="1838"/>
      <c r="U4372" s="1838"/>
      <c r="V4372" s="1838"/>
      <c r="W4372" s="1838"/>
      <c r="X4372" s="1838"/>
      <c r="Y4372" s="1838"/>
      <c r="Z4372" s="1838"/>
      <c r="AA4372" s="1838"/>
      <c r="AB4372" s="1838"/>
      <c r="AC4372" s="1838"/>
      <c r="AD4372" s="1838"/>
      <c r="AE4372" s="1838"/>
      <c r="AF4372" s="1838"/>
      <c r="AG4372" s="1838"/>
      <c r="AH4372" s="1838"/>
      <c r="AI4372" s="1838"/>
      <c r="AJ4372" s="1838"/>
      <c r="AK4372" s="1838"/>
      <c r="AL4372" s="1838"/>
      <c r="AM4372" s="1838"/>
      <c r="AN4372" s="1838"/>
      <c r="AO4372" s="1838"/>
      <c r="AP4372" s="1838"/>
      <c r="AQ4372" s="1838"/>
      <c r="AR4372" s="1838"/>
      <c r="AS4372" s="1838"/>
      <c r="AT4372" s="1838"/>
      <c r="AU4372" s="1838"/>
      <c r="AV4372" s="1838"/>
      <c r="AW4372" s="1838"/>
      <c r="AX4372" s="1838"/>
      <c r="AY4372" s="1838"/>
      <c r="AZ4372" s="1838"/>
      <c r="BA4372" s="1838"/>
      <c r="BB4372" s="1838"/>
      <c r="BC4372" s="1838"/>
      <c r="BD4372" s="1838"/>
      <c r="BE4372" s="1838"/>
      <c r="BF4372" s="1838"/>
      <c r="BG4372" s="1838"/>
      <c r="BH4372" s="1838"/>
      <c r="BI4372" s="1838"/>
      <c r="BJ4372" s="1838"/>
      <c r="BK4372" s="1838"/>
      <c r="BL4372" s="1838"/>
      <c r="BM4372" s="1838"/>
      <c r="BN4372" s="1838"/>
      <c r="BO4372" s="1838"/>
      <c r="BP4372" s="1838"/>
      <c r="BQ4372" s="1838"/>
      <c r="BR4372" s="1838"/>
      <c r="BS4372" s="1838"/>
      <c r="BT4372" s="1838"/>
      <c r="BU4372" s="1838"/>
      <c r="BV4372" s="1838"/>
      <c r="BW4372" s="1838"/>
      <c r="BX4372" s="1838"/>
      <c r="BY4372" s="1838"/>
      <c r="BZ4372" s="1838"/>
      <c r="CA4372" s="1838"/>
      <c r="CB4372" s="1838"/>
      <c r="CC4372" s="1838"/>
      <c r="CD4372" s="1838"/>
      <c r="CE4372" s="1838"/>
      <c r="CF4372" s="1838"/>
      <c r="CG4372" s="1838"/>
      <c r="CH4372" s="1838"/>
      <c r="CI4372" s="1838"/>
      <c r="CJ4372" s="1838"/>
      <c r="CK4372" s="1838"/>
    </row>
    <row r="4373" spans="1:89" s="744" customFormat="1" ht="16.5" customHeight="1" x14ac:dyDescent="0.25">
      <c r="A4373" s="1033"/>
      <c r="B4373" s="709"/>
      <c r="C4373" s="827"/>
      <c r="D4373" s="961"/>
      <c r="E4373" s="758"/>
      <c r="F4373" s="714"/>
      <c r="G4373" s="714"/>
      <c r="H4373" s="700"/>
      <c r="I4373" s="714"/>
      <c r="J4373" s="714"/>
      <c r="K4373" s="700"/>
      <c r="L4373" s="714"/>
      <c r="M4373" s="714"/>
      <c r="N4373" s="700"/>
      <c r="O4373" s="974"/>
      <c r="P4373" s="956"/>
      <c r="Q4373" s="1821"/>
      <c r="R4373" s="1821"/>
      <c r="S4373" s="1821"/>
      <c r="T4373" s="1821"/>
      <c r="U4373" s="1821"/>
      <c r="V4373" s="1821"/>
      <c r="W4373" s="1821"/>
      <c r="X4373" s="1821"/>
      <c r="Y4373" s="1821"/>
      <c r="Z4373" s="1821"/>
      <c r="AA4373" s="1821"/>
      <c r="AB4373" s="1821"/>
      <c r="AC4373" s="1821"/>
      <c r="AD4373" s="1821"/>
      <c r="AE4373" s="1821"/>
      <c r="AF4373" s="1821"/>
      <c r="AG4373" s="1821"/>
      <c r="AH4373" s="1821"/>
      <c r="AI4373" s="1821"/>
      <c r="AJ4373" s="1821"/>
      <c r="AK4373" s="1821"/>
      <c r="AL4373" s="1821"/>
      <c r="AM4373" s="1821"/>
      <c r="AN4373" s="1821"/>
      <c r="AO4373" s="1821"/>
      <c r="AP4373" s="1821"/>
      <c r="AQ4373" s="1821"/>
      <c r="AR4373" s="1821"/>
      <c r="AS4373" s="1821"/>
      <c r="AT4373" s="1821"/>
      <c r="AU4373" s="1821"/>
      <c r="AV4373" s="1821"/>
      <c r="AW4373" s="1821"/>
      <c r="AX4373" s="1821"/>
      <c r="AY4373" s="1821"/>
      <c r="AZ4373" s="1821"/>
      <c r="BA4373" s="1821"/>
      <c r="BB4373" s="1821"/>
      <c r="BC4373" s="1821"/>
      <c r="BD4373" s="1821"/>
      <c r="BE4373" s="1821"/>
      <c r="BF4373" s="1821"/>
      <c r="BG4373" s="1821"/>
      <c r="BH4373" s="1821"/>
      <c r="BI4373" s="1821"/>
      <c r="BJ4373" s="1821"/>
      <c r="BK4373" s="1821"/>
      <c r="BL4373" s="1821"/>
      <c r="BM4373" s="1821"/>
      <c r="BN4373" s="1821"/>
      <c r="BO4373" s="1821"/>
      <c r="BP4373" s="1821"/>
      <c r="BQ4373" s="1821"/>
      <c r="BR4373" s="1821"/>
      <c r="BS4373" s="1821"/>
      <c r="BT4373" s="1821"/>
      <c r="BU4373" s="1821"/>
      <c r="BV4373" s="1821"/>
      <c r="BW4373" s="1821"/>
      <c r="BX4373" s="1821"/>
      <c r="BY4373" s="1821"/>
      <c r="BZ4373" s="1821"/>
      <c r="CA4373" s="1821"/>
      <c r="CB4373" s="1821"/>
      <c r="CC4373" s="1821"/>
      <c r="CD4373" s="1821"/>
      <c r="CE4373" s="1821"/>
      <c r="CF4373" s="1821"/>
      <c r="CG4373" s="1821"/>
      <c r="CH4373" s="1821"/>
      <c r="CI4373" s="1821"/>
      <c r="CJ4373" s="1821"/>
      <c r="CK4373" s="1821"/>
    </row>
    <row r="4374" spans="1:89" s="744" customFormat="1" ht="16.5" customHeight="1" x14ac:dyDescent="0.25">
      <c r="A4374" s="1033"/>
      <c r="B4374" s="709"/>
      <c r="C4374" s="827">
        <f>SUM(O4377:O4382)</f>
        <v>447948</v>
      </c>
      <c r="D4374" s="961"/>
      <c r="E4374" s="758"/>
      <c r="F4374" s="714"/>
      <c r="G4374" s="714"/>
      <c r="H4374" s="700">
        <f t="shared" si="494"/>
        <v>0</v>
      </c>
      <c r="I4374" s="714"/>
      <c r="J4374" s="714"/>
      <c r="K4374" s="700">
        <f t="shared" si="495"/>
        <v>0</v>
      </c>
      <c r="L4374" s="714"/>
      <c r="M4374" s="714"/>
      <c r="N4374" s="700">
        <f t="shared" si="496"/>
        <v>0</v>
      </c>
      <c r="O4374" s="974">
        <f t="shared" si="497"/>
        <v>0</v>
      </c>
      <c r="P4374" s="956"/>
      <c r="Q4374" s="1821"/>
      <c r="R4374" s="1821"/>
      <c r="S4374" s="1821"/>
      <c r="T4374" s="1821"/>
      <c r="U4374" s="1821"/>
      <c r="V4374" s="1821"/>
      <c r="W4374" s="1821"/>
      <c r="X4374" s="1821"/>
      <c r="Y4374" s="1821"/>
      <c r="Z4374" s="1821"/>
      <c r="AA4374" s="1821"/>
      <c r="AB4374" s="1821"/>
      <c r="AC4374" s="1821"/>
      <c r="AD4374" s="1821"/>
      <c r="AE4374" s="1821"/>
      <c r="AF4374" s="1821"/>
      <c r="AG4374" s="1821"/>
      <c r="AH4374" s="1821"/>
      <c r="AI4374" s="1821"/>
      <c r="AJ4374" s="1821"/>
      <c r="AK4374" s="1821"/>
      <c r="AL4374" s="1821"/>
      <c r="AM4374" s="1821"/>
      <c r="AN4374" s="1821"/>
      <c r="AO4374" s="1821"/>
      <c r="AP4374" s="1821"/>
      <c r="AQ4374" s="1821"/>
      <c r="AR4374" s="1821"/>
      <c r="AS4374" s="1821"/>
      <c r="AT4374" s="1821"/>
      <c r="AU4374" s="1821"/>
      <c r="AV4374" s="1821"/>
      <c r="AW4374" s="1821"/>
      <c r="AX4374" s="1821"/>
      <c r="AY4374" s="1821"/>
      <c r="AZ4374" s="1821"/>
      <c r="BA4374" s="1821"/>
      <c r="BB4374" s="1821"/>
      <c r="BC4374" s="1821"/>
      <c r="BD4374" s="1821"/>
      <c r="BE4374" s="1821"/>
      <c r="BF4374" s="1821"/>
      <c r="BG4374" s="1821"/>
      <c r="BH4374" s="1821"/>
      <c r="BI4374" s="1821"/>
      <c r="BJ4374" s="1821"/>
      <c r="BK4374" s="1821"/>
      <c r="BL4374" s="1821"/>
      <c r="BM4374" s="1821"/>
      <c r="BN4374" s="1821"/>
      <c r="BO4374" s="1821"/>
      <c r="BP4374" s="1821"/>
      <c r="BQ4374" s="1821"/>
      <c r="BR4374" s="1821"/>
      <c r="BS4374" s="1821"/>
      <c r="BT4374" s="1821"/>
      <c r="BU4374" s="1821"/>
      <c r="BV4374" s="1821"/>
      <c r="BW4374" s="1821"/>
      <c r="BX4374" s="1821"/>
      <c r="BY4374" s="1821"/>
      <c r="BZ4374" s="1821"/>
      <c r="CA4374" s="1821"/>
      <c r="CB4374" s="1821"/>
      <c r="CC4374" s="1821"/>
      <c r="CD4374" s="1821"/>
      <c r="CE4374" s="1821"/>
      <c r="CF4374" s="1821"/>
      <c r="CG4374" s="1821"/>
      <c r="CH4374" s="1821"/>
      <c r="CI4374" s="1821"/>
      <c r="CJ4374" s="1821"/>
      <c r="CK4374" s="1821"/>
    </row>
    <row r="4375" spans="1:89" s="744" customFormat="1" ht="16.5" customHeight="1" x14ac:dyDescent="0.25">
      <c r="A4375" s="1033" t="s">
        <v>276</v>
      </c>
      <c r="B4375" s="709" t="s">
        <v>466</v>
      </c>
      <c r="C4375" s="827">
        <v>1</v>
      </c>
      <c r="D4375" s="961" t="s">
        <v>188</v>
      </c>
      <c r="E4375" s="758" t="s">
        <v>49</v>
      </c>
      <c r="F4375" s="714"/>
      <c r="G4375" s="714"/>
      <c r="H4375" s="700">
        <f t="shared" si="494"/>
        <v>0</v>
      </c>
      <c r="I4375" s="714"/>
      <c r="J4375" s="714"/>
      <c r="K4375" s="700">
        <f t="shared" si="495"/>
        <v>0</v>
      </c>
      <c r="L4375" s="714"/>
      <c r="M4375" s="714"/>
      <c r="N4375" s="700">
        <f t="shared" si="496"/>
        <v>0</v>
      </c>
      <c r="O4375" s="974">
        <f t="shared" si="497"/>
        <v>0</v>
      </c>
      <c r="P4375" s="956"/>
      <c r="Q4375" s="1821"/>
      <c r="R4375" s="1821"/>
      <c r="S4375" s="1821"/>
      <c r="T4375" s="1821"/>
      <c r="U4375" s="1821"/>
      <c r="V4375" s="1821"/>
      <c r="W4375" s="1821"/>
      <c r="X4375" s="1821"/>
      <c r="Y4375" s="1821"/>
      <c r="Z4375" s="1821"/>
      <c r="AA4375" s="1821"/>
      <c r="AB4375" s="1821"/>
      <c r="AC4375" s="1821"/>
      <c r="AD4375" s="1821"/>
      <c r="AE4375" s="1821"/>
      <c r="AF4375" s="1821"/>
      <c r="AG4375" s="1821"/>
      <c r="AH4375" s="1821"/>
      <c r="AI4375" s="1821"/>
      <c r="AJ4375" s="1821"/>
      <c r="AK4375" s="1821"/>
      <c r="AL4375" s="1821"/>
      <c r="AM4375" s="1821"/>
      <c r="AN4375" s="1821"/>
      <c r="AO4375" s="1821"/>
      <c r="AP4375" s="1821"/>
      <c r="AQ4375" s="1821"/>
      <c r="AR4375" s="1821"/>
      <c r="AS4375" s="1821"/>
      <c r="AT4375" s="1821"/>
      <c r="AU4375" s="1821"/>
      <c r="AV4375" s="1821"/>
      <c r="AW4375" s="1821"/>
      <c r="AX4375" s="1821"/>
      <c r="AY4375" s="1821"/>
      <c r="AZ4375" s="1821"/>
      <c r="BA4375" s="1821"/>
      <c r="BB4375" s="1821"/>
      <c r="BC4375" s="1821"/>
      <c r="BD4375" s="1821"/>
      <c r="BE4375" s="1821"/>
      <c r="BF4375" s="1821"/>
      <c r="BG4375" s="1821"/>
      <c r="BH4375" s="1821"/>
      <c r="BI4375" s="1821"/>
      <c r="BJ4375" s="1821"/>
      <c r="BK4375" s="1821"/>
      <c r="BL4375" s="1821"/>
      <c r="BM4375" s="1821"/>
      <c r="BN4375" s="1821"/>
      <c r="BO4375" s="1821"/>
      <c r="BP4375" s="1821"/>
      <c r="BQ4375" s="1821"/>
      <c r="BR4375" s="1821"/>
      <c r="BS4375" s="1821"/>
      <c r="BT4375" s="1821"/>
      <c r="BU4375" s="1821"/>
      <c r="BV4375" s="1821"/>
      <c r="BW4375" s="1821"/>
      <c r="BX4375" s="1821"/>
      <c r="BY4375" s="1821"/>
      <c r="BZ4375" s="1821"/>
      <c r="CA4375" s="1821"/>
      <c r="CB4375" s="1821"/>
      <c r="CC4375" s="1821"/>
      <c r="CD4375" s="1821"/>
      <c r="CE4375" s="1821"/>
      <c r="CF4375" s="1821"/>
      <c r="CG4375" s="1821"/>
      <c r="CH4375" s="1821"/>
      <c r="CI4375" s="1821"/>
      <c r="CJ4375" s="1821"/>
      <c r="CK4375" s="1821"/>
    </row>
    <row r="4376" spans="1:89" s="744" customFormat="1" ht="16.5" customHeight="1" x14ac:dyDescent="0.25">
      <c r="A4376" s="1033"/>
      <c r="B4376" s="709" t="s">
        <v>27</v>
      </c>
      <c r="C4376" s="827"/>
      <c r="D4376" s="961"/>
      <c r="E4376" s="758"/>
      <c r="F4376" s="714"/>
      <c r="G4376" s="714"/>
      <c r="H4376" s="700">
        <f t="shared" si="494"/>
        <v>0</v>
      </c>
      <c r="I4376" s="714"/>
      <c r="J4376" s="714"/>
      <c r="K4376" s="700">
        <f t="shared" si="495"/>
        <v>0</v>
      </c>
      <c r="L4376" s="714"/>
      <c r="M4376" s="714"/>
      <c r="N4376" s="700">
        <f t="shared" si="496"/>
        <v>0</v>
      </c>
      <c r="O4376" s="974">
        <f t="shared" si="497"/>
        <v>0</v>
      </c>
      <c r="P4376" s="956"/>
      <c r="Q4376" s="1821"/>
      <c r="R4376" s="1821"/>
      <c r="S4376" s="1821"/>
      <c r="T4376" s="1821"/>
      <c r="U4376" s="1821"/>
      <c r="V4376" s="1821"/>
      <c r="W4376" s="1821"/>
      <c r="X4376" s="1821"/>
      <c r="Y4376" s="1821"/>
      <c r="Z4376" s="1821"/>
      <c r="AA4376" s="1821"/>
      <c r="AB4376" s="1821"/>
      <c r="AC4376" s="1821"/>
      <c r="AD4376" s="1821"/>
      <c r="AE4376" s="1821"/>
      <c r="AF4376" s="1821"/>
      <c r="AG4376" s="1821"/>
      <c r="AH4376" s="1821"/>
      <c r="AI4376" s="1821"/>
      <c r="AJ4376" s="1821"/>
      <c r="AK4376" s="1821"/>
      <c r="AL4376" s="1821"/>
      <c r="AM4376" s="1821"/>
      <c r="AN4376" s="1821"/>
      <c r="AO4376" s="1821"/>
      <c r="AP4376" s="1821"/>
      <c r="AQ4376" s="1821"/>
      <c r="AR4376" s="1821"/>
      <c r="AS4376" s="1821"/>
      <c r="AT4376" s="1821"/>
      <c r="AU4376" s="1821"/>
      <c r="AV4376" s="1821"/>
      <c r="AW4376" s="1821"/>
      <c r="AX4376" s="1821"/>
      <c r="AY4376" s="1821"/>
      <c r="AZ4376" s="1821"/>
      <c r="BA4376" s="1821"/>
      <c r="BB4376" s="1821"/>
      <c r="BC4376" s="1821"/>
      <c r="BD4376" s="1821"/>
      <c r="BE4376" s="1821"/>
      <c r="BF4376" s="1821"/>
      <c r="BG4376" s="1821"/>
      <c r="BH4376" s="1821"/>
      <c r="BI4376" s="1821"/>
      <c r="BJ4376" s="1821"/>
      <c r="BK4376" s="1821"/>
      <c r="BL4376" s="1821"/>
      <c r="BM4376" s="1821"/>
      <c r="BN4376" s="1821"/>
      <c r="BO4376" s="1821"/>
      <c r="BP4376" s="1821"/>
      <c r="BQ4376" s="1821"/>
      <c r="BR4376" s="1821"/>
      <c r="BS4376" s="1821"/>
      <c r="BT4376" s="1821"/>
      <c r="BU4376" s="1821"/>
      <c r="BV4376" s="1821"/>
      <c r="BW4376" s="1821"/>
      <c r="BX4376" s="1821"/>
      <c r="BY4376" s="1821"/>
      <c r="BZ4376" s="1821"/>
      <c r="CA4376" s="1821"/>
      <c r="CB4376" s="1821"/>
      <c r="CC4376" s="1821"/>
      <c r="CD4376" s="1821"/>
      <c r="CE4376" s="1821"/>
      <c r="CF4376" s="1821"/>
      <c r="CG4376" s="1821"/>
      <c r="CH4376" s="1821"/>
      <c r="CI4376" s="1821"/>
      <c r="CJ4376" s="1821"/>
      <c r="CK4376" s="1821"/>
    </row>
    <row r="4377" spans="1:89" s="744" customFormat="1" ht="16.5" customHeight="1" x14ac:dyDescent="0.25">
      <c r="A4377" s="1033"/>
      <c r="B4377" s="709" t="s">
        <v>467</v>
      </c>
      <c r="C4377" s="827">
        <v>1</v>
      </c>
      <c r="D4377" s="961" t="s">
        <v>25</v>
      </c>
      <c r="E4377" s="758">
        <v>40000</v>
      </c>
      <c r="F4377" s="714"/>
      <c r="G4377" s="714"/>
      <c r="H4377" s="700">
        <f t="shared" si="494"/>
        <v>0</v>
      </c>
      <c r="I4377" s="714"/>
      <c r="J4377" s="714">
        <f>C4377*E4377</f>
        <v>40000</v>
      </c>
      <c r="K4377" s="700">
        <f t="shared" si="495"/>
        <v>40000</v>
      </c>
      <c r="L4377" s="714"/>
      <c r="M4377" s="714"/>
      <c r="N4377" s="700">
        <f t="shared" si="496"/>
        <v>0</v>
      </c>
      <c r="O4377" s="974">
        <f t="shared" si="497"/>
        <v>40000</v>
      </c>
      <c r="P4377" s="956"/>
      <c r="Q4377" s="1821"/>
      <c r="R4377" s="1821"/>
      <c r="S4377" s="1821"/>
      <c r="T4377" s="1821"/>
      <c r="U4377" s="1821"/>
      <c r="V4377" s="1821"/>
      <c r="W4377" s="1821"/>
      <c r="X4377" s="1821"/>
      <c r="Y4377" s="1821"/>
      <c r="Z4377" s="1821"/>
      <c r="AA4377" s="1821"/>
      <c r="AB4377" s="1821"/>
      <c r="AC4377" s="1821"/>
      <c r="AD4377" s="1821"/>
      <c r="AE4377" s="1821"/>
      <c r="AF4377" s="1821"/>
      <c r="AG4377" s="1821"/>
      <c r="AH4377" s="1821"/>
      <c r="AI4377" s="1821"/>
      <c r="AJ4377" s="1821"/>
      <c r="AK4377" s="1821"/>
      <c r="AL4377" s="1821"/>
      <c r="AM4377" s="1821"/>
      <c r="AN4377" s="1821"/>
      <c r="AO4377" s="1821"/>
      <c r="AP4377" s="1821"/>
      <c r="AQ4377" s="1821"/>
      <c r="AR4377" s="1821"/>
      <c r="AS4377" s="1821"/>
      <c r="AT4377" s="1821"/>
      <c r="AU4377" s="1821"/>
      <c r="AV4377" s="1821"/>
      <c r="AW4377" s="1821"/>
      <c r="AX4377" s="1821"/>
      <c r="AY4377" s="1821"/>
      <c r="AZ4377" s="1821"/>
      <c r="BA4377" s="1821"/>
      <c r="BB4377" s="1821"/>
      <c r="BC4377" s="1821"/>
      <c r="BD4377" s="1821"/>
      <c r="BE4377" s="1821"/>
      <c r="BF4377" s="1821"/>
      <c r="BG4377" s="1821"/>
      <c r="BH4377" s="1821"/>
      <c r="BI4377" s="1821"/>
      <c r="BJ4377" s="1821"/>
      <c r="BK4377" s="1821"/>
      <c r="BL4377" s="1821"/>
      <c r="BM4377" s="1821"/>
      <c r="BN4377" s="1821"/>
      <c r="BO4377" s="1821"/>
      <c r="BP4377" s="1821"/>
      <c r="BQ4377" s="1821"/>
      <c r="BR4377" s="1821"/>
      <c r="BS4377" s="1821"/>
      <c r="BT4377" s="1821"/>
      <c r="BU4377" s="1821"/>
      <c r="BV4377" s="1821"/>
      <c r="BW4377" s="1821"/>
      <c r="BX4377" s="1821"/>
      <c r="BY4377" s="1821"/>
      <c r="BZ4377" s="1821"/>
      <c r="CA4377" s="1821"/>
      <c r="CB4377" s="1821"/>
      <c r="CC4377" s="1821"/>
      <c r="CD4377" s="1821"/>
      <c r="CE4377" s="1821"/>
      <c r="CF4377" s="1821"/>
      <c r="CG4377" s="1821"/>
      <c r="CH4377" s="1821"/>
      <c r="CI4377" s="1821"/>
      <c r="CJ4377" s="1821"/>
      <c r="CK4377" s="1821"/>
    </row>
    <row r="4378" spans="1:89" s="744" customFormat="1" ht="16.5" customHeight="1" x14ac:dyDescent="0.25">
      <c r="A4378" s="1033"/>
      <c r="B4378" s="709" t="s">
        <v>388</v>
      </c>
      <c r="C4378" s="827">
        <v>1</v>
      </c>
      <c r="D4378" s="961" t="s">
        <v>25</v>
      </c>
      <c r="E4378" s="758">
        <v>40000</v>
      </c>
      <c r="F4378" s="714"/>
      <c r="G4378" s="714"/>
      <c r="H4378" s="700">
        <f>G4378+F4378</f>
        <v>0</v>
      </c>
      <c r="I4378" s="714"/>
      <c r="J4378" s="714">
        <f>C4378*E4378</f>
        <v>40000</v>
      </c>
      <c r="K4378" s="700">
        <f>J4378+I4378</f>
        <v>40000</v>
      </c>
      <c r="L4378" s="714"/>
      <c r="M4378" s="714"/>
      <c r="N4378" s="700">
        <f>M4378+L4378</f>
        <v>0</v>
      </c>
      <c r="O4378" s="974">
        <f>N4378+K4378+H4378</f>
        <v>40000</v>
      </c>
      <c r="P4378" s="956"/>
      <c r="Q4378" s="1821"/>
      <c r="R4378" s="1821"/>
      <c r="S4378" s="1821"/>
      <c r="T4378" s="1821"/>
      <c r="U4378" s="1821"/>
      <c r="V4378" s="1821"/>
      <c r="W4378" s="1821"/>
      <c r="X4378" s="1821"/>
      <c r="Y4378" s="1821"/>
      <c r="Z4378" s="1821"/>
      <c r="AA4378" s="1821"/>
      <c r="AB4378" s="1821"/>
      <c r="AC4378" s="1821"/>
      <c r="AD4378" s="1821"/>
      <c r="AE4378" s="1821"/>
      <c r="AF4378" s="1821"/>
      <c r="AG4378" s="1821"/>
      <c r="AH4378" s="1821"/>
      <c r="AI4378" s="1821"/>
      <c r="AJ4378" s="1821"/>
      <c r="AK4378" s="1821"/>
      <c r="AL4378" s="1821"/>
      <c r="AM4378" s="1821"/>
      <c r="AN4378" s="1821"/>
      <c r="AO4378" s="1821"/>
      <c r="AP4378" s="1821"/>
      <c r="AQ4378" s="1821"/>
      <c r="AR4378" s="1821"/>
      <c r="AS4378" s="1821"/>
      <c r="AT4378" s="1821"/>
      <c r="AU4378" s="1821"/>
      <c r="AV4378" s="1821"/>
      <c r="AW4378" s="1821"/>
      <c r="AX4378" s="1821"/>
      <c r="AY4378" s="1821"/>
      <c r="AZ4378" s="1821"/>
      <c r="BA4378" s="1821"/>
      <c r="BB4378" s="1821"/>
      <c r="BC4378" s="1821"/>
      <c r="BD4378" s="1821"/>
      <c r="BE4378" s="1821"/>
      <c r="BF4378" s="1821"/>
      <c r="BG4378" s="1821"/>
      <c r="BH4378" s="1821"/>
      <c r="BI4378" s="1821"/>
      <c r="BJ4378" s="1821"/>
      <c r="BK4378" s="1821"/>
      <c r="BL4378" s="1821"/>
      <c r="BM4378" s="1821"/>
      <c r="BN4378" s="1821"/>
      <c r="BO4378" s="1821"/>
      <c r="BP4378" s="1821"/>
      <c r="BQ4378" s="1821"/>
      <c r="BR4378" s="1821"/>
      <c r="BS4378" s="1821"/>
      <c r="BT4378" s="1821"/>
      <c r="BU4378" s="1821"/>
      <c r="BV4378" s="1821"/>
      <c r="BW4378" s="1821"/>
      <c r="BX4378" s="1821"/>
      <c r="BY4378" s="1821"/>
      <c r="BZ4378" s="1821"/>
      <c r="CA4378" s="1821"/>
      <c r="CB4378" s="1821"/>
      <c r="CC4378" s="1821"/>
      <c r="CD4378" s="1821"/>
      <c r="CE4378" s="1821"/>
      <c r="CF4378" s="1821"/>
      <c r="CG4378" s="1821"/>
      <c r="CH4378" s="1821"/>
      <c r="CI4378" s="1821"/>
      <c r="CJ4378" s="1821"/>
      <c r="CK4378" s="1821"/>
    </row>
    <row r="4379" spans="1:89" s="744" customFormat="1" ht="16.5" customHeight="1" x14ac:dyDescent="0.25">
      <c r="A4379" s="1033"/>
      <c r="B4379" s="709"/>
      <c r="C4379" s="827"/>
      <c r="D4379" s="961"/>
      <c r="E4379" s="758"/>
      <c r="F4379" s="714"/>
      <c r="G4379" s="714"/>
      <c r="H4379" s="700"/>
      <c r="I4379" s="714"/>
      <c r="J4379" s="714"/>
      <c r="K4379" s="700"/>
      <c r="L4379" s="714"/>
      <c r="M4379" s="714"/>
      <c r="N4379" s="700"/>
      <c r="O4379" s="974"/>
      <c r="P4379" s="956"/>
      <c r="Q4379" s="1821"/>
      <c r="R4379" s="1821"/>
      <c r="S4379" s="1821"/>
      <c r="T4379" s="1821"/>
      <c r="U4379" s="1821"/>
      <c r="V4379" s="1821"/>
      <c r="W4379" s="1821"/>
      <c r="X4379" s="1821"/>
      <c r="Y4379" s="1821"/>
      <c r="Z4379" s="1821"/>
      <c r="AA4379" s="1821"/>
      <c r="AB4379" s="1821"/>
      <c r="AC4379" s="1821"/>
      <c r="AD4379" s="1821"/>
      <c r="AE4379" s="1821"/>
      <c r="AF4379" s="1821"/>
      <c r="AG4379" s="1821"/>
      <c r="AH4379" s="1821"/>
      <c r="AI4379" s="1821"/>
      <c r="AJ4379" s="1821"/>
      <c r="AK4379" s="1821"/>
      <c r="AL4379" s="1821"/>
      <c r="AM4379" s="1821"/>
      <c r="AN4379" s="1821"/>
      <c r="AO4379" s="1821"/>
      <c r="AP4379" s="1821"/>
      <c r="AQ4379" s="1821"/>
      <c r="AR4379" s="1821"/>
      <c r="AS4379" s="1821"/>
      <c r="AT4379" s="1821"/>
      <c r="AU4379" s="1821"/>
      <c r="AV4379" s="1821"/>
      <c r="AW4379" s="1821"/>
      <c r="AX4379" s="1821"/>
      <c r="AY4379" s="1821"/>
      <c r="AZ4379" s="1821"/>
      <c r="BA4379" s="1821"/>
      <c r="BB4379" s="1821"/>
      <c r="BC4379" s="1821"/>
      <c r="BD4379" s="1821"/>
      <c r="BE4379" s="1821"/>
      <c r="BF4379" s="1821"/>
      <c r="BG4379" s="1821"/>
      <c r="BH4379" s="1821"/>
      <c r="BI4379" s="1821"/>
      <c r="BJ4379" s="1821"/>
      <c r="BK4379" s="1821"/>
      <c r="BL4379" s="1821"/>
      <c r="BM4379" s="1821"/>
      <c r="BN4379" s="1821"/>
      <c r="BO4379" s="1821"/>
      <c r="BP4379" s="1821"/>
      <c r="BQ4379" s="1821"/>
      <c r="BR4379" s="1821"/>
      <c r="BS4379" s="1821"/>
      <c r="BT4379" s="1821"/>
      <c r="BU4379" s="1821"/>
      <c r="BV4379" s="1821"/>
      <c r="BW4379" s="1821"/>
      <c r="BX4379" s="1821"/>
      <c r="BY4379" s="1821"/>
      <c r="BZ4379" s="1821"/>
      <c r="CA4379" s="1821"/>
      <c r="CB4379" s="1821"/>
      <c r="CC4379" s="1821"/>
      <c r="CD4379" s="1821"/>
      <c r="CE4379" s="1821"/>
      <c r="CF4379" s="1821"/>
      <c r="CG4379" s="1821"/>
      <c r="CH4379" s="1821"/>
      <c r="CI4379" s="1821"/>
      <c r="CJ4379" s="1821"/>
      <c r="CK4379" s="1821"/>
    </row>
    <row r="4380" spans="1:89" s="744" customFormat="1" ht="16.5" customHeight="1" x14ac:dyDescent="0.25">
      <c r="A4380" s="1033"/>
      <c r="B4380" s="709" t="s">
        <v>48</v>
      </c>
      <c r="C4380" s="827"/>
      <c r="D4380" s="961"/>
      <c r="E4380" s="758"/>
      <c r="F4380" s="714"/>
      <c r="G4380" s="714"/>
      <c r="H4380" s="700">
        <f>G4380+F4380</f>
        <v>0</v>
      </c>
      <c r="I4380" s="714"/>
      <c r="J4380" s="714"/>
      <c r="K4380" s="700">
        <f>J4380+I4380</f>
        <v>0</v>
      </c>
      <c r="L4380" s="714"/>
      <c r="M4380" s="714"/>
      <c r="N4380" s="700">
        <f>M4380+L4380</f>
        <v>0</v>
      </c>
      <c r="O4380" s="974">
        <f>N4380+K4380+H4380</f>
        <v>0</v>
      </c>
      <c r="P4380" s="956"/>
      <c r="Q4380" s="1821"/>
      <c r="R4380" s="1821"/>
      <c r="S4380" s="1821"/>
      <c r="T4380" s="1821"/>
      <c r="U4380" s="1821"/>
      <c r="V4380" s="1821"/>
      <c r="W4380" s="1821"/>
      <c r="X4380" s="1821"/>
      <c r="Y4380" s="1821"/>
      <c r="Z4380" s="1821"/>
      <c r="AA4380" s="1821"/>
      <c r="AB4380" s="1821"/>
      <c r="AC4380" s="1821"/>
      <c r="AD4380" s="1821"/>
      <c r="AE4380" s="1821"/>
      <c r="AF4380" s="1821"/>
      <c r="AG4380" s="1821"/>
      <c r="AH4380" s="1821"/>
      <c r="AI4380" s="1821"/>
      <c r="AJ4380" s="1821"/>
      <c r="AK4380" s="1821"/>
      <c r="AL4380" s="1821"/>
      <c r="AM4380" s="1821"/>
      <c r="AN4380" s="1821"/>
      <c r="AO4380" s="1821"/>
      <c r="AP4380" s="1821"/>
      <c r="AQ4380" s="1821"/>
      <c r="AR4380" s="1821"/>
      <c r="AS4380" s="1821"/>
      <c r="AT4380" s="1821"/>
      <c r="AU4380" s="1821"/>
      <c r="AV4380" s="1821"/>
      <c r="AW4380" s="1821"/>
      <c r="AX4380" s="1821"/>
      <c r="AY4380" s="1821"/>
      <c r="AZ4380" s="1821"/>
      <c r="BA4380" s="1821"/>
      <c r="BB4380" s="1821"/>
      <c r="BC4380" s="1821"/>
      <c r="BD4380" s="1821"/>
      <c r="BE4380" s="1821"/>
      <c r="BF4380" s="1821"/>
      <c r="BG4380" s="1821"/>
      <c r="BH4380" s="1821"/>
      <c r="BI4380" s="1821"/>
      <c r="BJ4380" s="1821"/>
      <c r="BK4380" s="1821"/>
      <c r="BL4380" s="1821"/>
      <c r="BM4380" s="1821"/>
      <c r="BN4380" s="1821"/>
      <c r="BO4380" s="1821"/>
      <c r="BP4380" s="1821"/>
      <c r="BQ4380" s="1821"/>
      <c r="BR4380" s="1821"/>
      <c r="BS4380" s="1821"/>
      <c r="BT4380" s="1821"/>
      <c r="BU4380" s="1821"/>
      <c r="BV4380" s="1821"/>
      <c r="BW4380" s="1821"/>
      <c r="BX4380" s="1821"/>
      <c r="BY4380" s="1821"/>
      <c r="BZ4380" s="1821"/>
      <c r="CA4380" s="1821"/>
      <c r="CB4380" s="1821"/>
      <c r="CC4380" s="1821"/>
      <c r="CD4380" s="1821"/>
      <c r="CE4380" s="1821"/>
      <c r="CF4380" s="1821"/>
      <c r="CG4380" s="1821"/>
      <c r="CH4380" s="1821"/>
      <c r="CI4380" s="1821"/>
      <c r="CJ4380" s="1821"/>
      <c r="CK4380" s="1821"/>
    </row>
    <row r="4381" spans="1:89" s="744" customFormat="1" ht="16.5" customHeight="1" x14ac:dyDescent="0.25">
      <c r="A4381" s="1033"/>
      <c r="B4381" s="709" t="s">
        <v>464</v>
      </c>
      <c r="C4381" s="827">
        <v>1</v>
      </c>
      <c r="D4381" s="961" t="s">
        <v>25</v>
      </c>
      <c r="E4381" s="758">
        <v>367948</v>
      </c>
      <c r="F4381" s="714"/>
      <c r="G4381" s="714"/>
      <c r="H4381" s="700">
        <f>G4381+F4381</f>
        <v>0</v>
      </c>
      <c r="I4381" s="714"/>
      <c r="J4381" s="714">
        <f>C4381*E4381</f>
        <v>367948</v>
      </c>
      <c r="K4381" s="700">
        <f>J4381+I4381</f>
        <v>367948</v>
      </c>
      <c r="L4381" s="714"/>
      <c r="M4381" s="714"/>
      <c r="N4381" s="700">
        <f>M4381+L4381</f>
        <v>0</v>
      </c>
      <c r="O4381" s="974">
        <f>N4381+K4381+H4381</f>
        <v>367948</v>
      </c>
      <c r="P4381" s="956"/>
      <c r="Q4381" s="1821"/>
      <c r="R4381" s="1821"/>
      <c r="S4381" s="1821"/>
      <c r="T4381" s="1821"/>
      <c r="U4381" s="1821"/>
      <c r="V4381" s="1821"/>
      <c r="W4381" s="1821"/>
      <c r="X4381" s="1821"/>
      <c r="Y4381" s="1821"/>
      <c r="Z4381" s="1821"/>
      <c r="AA4381" s="1821"/>
      <c r="AB4381" s="1821"/>
      <c r="AC4381" s="1821"/>
      <c r="AD4381" s="1821"/>
      <c r="AE4381" s="1821"/>
      <c r="AF4381" s="1821"/>
      <c r="AG4381" s="1821"/>
      <c r="AH4381" s="1821"/>
      <c r="AI4381" s="1821"/>
      <c r="AJ4381" s="1821"/>
      <c r="AK4381" s="1821"/>
      <c r="AL4381" s="1821"/>
      <c r="AM4381" s="1821"/>
      <c r="AN4381" s="1821"/>
      <c r="AO4381" s="1821"/>
      <c r="AP4381" s="1821"/>
      <c r="AQ4381" s="1821"/>
      <c r="AR4381" s="1821"/>
      <c r="AS4381" s="1821"/>
      <c r="AT4381" s="1821"/>
      <c r="AU4381" s="1821"/>
      <c r="AV4381" s="1821"/>
      <c r="AW4381" s="1821"/>
      <c r="AX4381" s="1821"/>
      <c r="AY4381" s="1821"/>
      <c r="AZ4381" s="1821"/>
      <c r="BA4381" s="1821"/>
      <c r="BB4381" s="1821"/>
      <c r="BC4381" s="1821"/>
      <c r="BD4381" s="1821"/>
      <c r="BE4381" s="1821"/>
      <c r="BF4381" s="1821"/>
      <c r="BG4381" s="1821"/>
      <c r="BH4381" s="1821"/>
      <c r="BI4381" s="1821"/>
      <c r="BJ4381" s="1821"/>
      <c r="BK4381" s="1821"/>
      <c r="BL4381" s="1821"/>
      <c r="BM4381" s="1821"/>
      <c r="BN4381" s="1821"/>
      <c r="BO4381" s="1821"/>
      <c r="BP4381" s="1821"/>
      <c r="BQ4381" s="1821"/>
      <c r="BR4381" s="1821"/>
      <c r="BS4381" s="1821"/>
      <c r="BT4381" s="1821"/>
      <c r="BU4381" s="1821"/>
      <c r="BV4381" s="1821"/>
      <c r="BW4381" s="1821"/>
      <c r="BX4381" s="1821"/>
      <c r="BY4381" s="1821"/>
      <c r="BZ4381" s="1821"/>
      <c r="CA4381" s="1821"/>
      <c r="CB4381" s="1821"/>
      <c r="CC4381" s="1821"/>
      <c r="CD4381" s="1821"/>
      <c r="CE4381" s="1821"/>
      <c r="CF4381" s="1821"/>
      <c r="CG4381" s="1821"/>
      <c r="CH4381" s="1821"/>
      <c r="CI4381" s="1821"/>
      <c r="CJ4381" s="1821"/>
      <c r="CK4381" s="1821"/>
    </row>
    <row r="4382" spans="1:89" s="744" customFormat="1" ht="16.5" customHeight="1" x14ac:dyDescent="0.25">
      <c r="A4382" s="1033"/>
      <c r="B4382" s="709"/>
      <c r="C4382" s="827"/>
      <c r="D4382" s="961"/>
      <c r="E4382" s="758"/>
      <c r="F4382" s="714"/>
      <c r="G4382" s="714"/>
      <c r="H4382" s="700">
        <f t="shared" si="494"/>
        <v>0</v>
      </c>
      <c r="I4382" s="714"/>
      <c r="J4382" s="714"/>
      <c r="K4382" s="700">
        <f t="shared" si="495"/>
        <v>0</v>
      </c>
      <c r="L4382" s="714"/>
      <c r="M4382" s="714"/>
      <c r="N4382" s="700">
        <f t="shared" si="496"/>
        <v>0</v>
      </c>
      <c r="O4382" s="974">
        <f t="shared" si="497"/>
        <v>0</v>
      </c>
      <c r="P4382" s="956"/>
      <c r="Q4382" s="1821"/>
      <c r="R4382" s="1821"/>
      <c r="S4382" s="1821"/>
      <c r="T4382" s="1821"/>
      <c r="U4382" s="1821"/>
      <c r="V4382" s="1821"/>
      <c r="W4382" s="1821"/>
      <c r="X4382" s="1821"/>
      <c r="Y4382" s="1821"/>
      <c r="Z4382" s="1821"/>
      <c r="AA4382" s="1821"/>
      <c r="AB4382" s="1821"/>
      <c r="AC4382" s="1821"/>
      <c r="AD4382" s="1821"/>
      <c r="AE4382" s="1821"/>
      <c r="AF4382" s="1821"/>
      <c r="AG4382" s="1821"/>
      <c r="AH4382" s="1821"/>
      <c r="AI4382" s="1821"/>
      <c r="AJ4382" s="1821"/>
      <c r="AK4382" s="1821"/>
      <c r="AL4382" s="1821"/>
      <c r="AM4382" s="1821"/>
      <c r="AN4382" s="1821"/>
      <c r="AO4382" s="1821"/>
      <c r="AP4382" s="1821"/>
      <c r="AQ4382" s="1821"/>
      <c r="AR4382" s="1821"/>
      <c r="AS4382" s="1821"/>
      <c r="AT4382" s="1821"/>
      <c r="AU4382" s="1821"/>
      <c r="AV4382" s="1821"/>
      <c r="AW4382" s="1821"/>
      <c r="AX4382" s="1821"/>
      <c r="AY4382" s="1821"/>
      <c r="AZ4382" s="1821"/>
      <c r="BA4382" s="1821"/>
      <c r="BB4382" s="1821"/>
      <c r="BC4382" s="1821"/>
      <c r="BD4382" s="1821"/>
      <c r="BE4382" s="1821"/>
      <c r="BF4382" s="1821"/>
      <c r="BG4382" s="1821"/>
      <c r="BH4382" s="1821"/>
      <c r="BI4382" s="1821"/>
      <c r="BJ4382" s="1821"/>
      <c r="BK4382" s="1821"/>
      <c r="BL4382" s="1821"/>
      <c r="BM4382" s="1821"/>
      <c r="BN4382" s="1821"/>
      <c r="BO4382" s="1821"/>
      <c r="BP4382" s="1821"/>
      <c r="BQ4382" s="1821"/>
      <c r="BR4382" s="1821"/>
      <c r="BS4382" s="1821"/>
      <c r="BT4382" s="1821"/>
      <c r="BU4382" s="1821"/>
      <c r="BV4382" s="1821"/>
      <c r="BW4382" s="1821"/>
      <c r="BX4382" s="1821"/>
      <c r="BY4382" s="1821"/>
      <c r="BZ4382" s="1821"/>
      <c r="CA4382" s="1821"/>
      <c r="CB4382" s="1821"/>
      <c r="CC4382" s="1821"/>
      <c r="CD4382" s="1821"/>
      <c r="CE4382" s="1821"/>
      <c r="CF4382" s="1821"/>
      <c r="CG4382" s="1821"/>
      <c r="CH4382" s="1821"/>
      <c r="CI4382" s="1821"/>
      <c r="CJ4382" s="1821"/>
      <c r="CK4382" s="1821"/>
    </row>
    <row r="4383" spans="1:89" s="744" customFormat="1" ht="16.5" customHeight="1" x14ac:dyDescent="0.25">
      <c r="A4383" s="1033">
        <v>1953.0530000000001</v>
      </c>
      <c r="B4383" s="709" t="s">
        <v>468</v>
      </c>
      <c r="C4383" s="827">
        <v>1</v>
      </c>
      <c r="D4383" s="961" t="s">
        <v>16</v>
      </c>
      <c r="E4383" s="758"/>
      <c r="F4383" s="714"/>
      <c r="G4383" s="714"/>
      <c r="H4383" s="700">
        <f t="shared" si="494"/>
        <v>0</v>
      </c>
      <c r="I4383" s="714"/>
      <c r="J4383" s="714">
        <f t="shared" ref="J4383:J4397" si="499">C4383*E4383</f>
        <v>0</v>
      </c>
      <c r="K4383" s="700">
        <f t="shared" si="495"/>
        <v>0</v>
      </c>
      <c r="L4383" s="714"/>
      <c r="M4383" s="714"/>
      <c r="N4383" s="700">
        <f t="shared" si="496"/>
        <v>0</v>
      </c>
      <c r="O4383" s="974">
        <f t="shared" si="497"/>
        <v>0</v>
      </c>
      <c r="P4383" s="956"/>
      <c r="Q4383" s="1821"/>
      <c r="R4383" s="1821"/>
      <c r="S4383" s="1821"/>
      <c r="T4383" s="1821"/>
      <c r="U4383" s="1821"/>
      <c r="V4383" s="1821"/>
      <c r="W4383" s="1821"/>
      <c r="X4383" s="1821"/>
      <c r="Y4383" s="1821"/>
      <c r="Z4383" s="1821"/>
      <c r="AA4383" s="1821"/>
      <c r="AB4383" s="1821"/>
      <c r="AC4383" s="1821"/>
      <c r="AD4383" s="1821"/>
      <c r="AE4383" s="1821"/>
      <c r="AF4383" s="1821"/>
      <c r="AG4383" s="1821"/>
      <c r="AH4383" s="1821"/>
      <c r="AI4383" s="1821"/>
      <c r="AJ4383" s="1821"/>
      <c r="AK4383" s="1821"/>
      <c r="AL4383" s="1821"/>
      <c r="AM4383" s="1821"/>
      <c r="AN4383" s="1821"/>
      <c r="AO4383" s="1821"/>
      <c r="AP4383" s="1821"/>
      <c r="AQ4383" s="1821"/>
      <c r="AR4383" s="1821"/>
      <c r="AS4383" s="1821"/>
      <c r="AT4383" s="1821"/>
      <c r="AU4383" s="1821"/>
      <c r="AV4383" s="1821"/>
      <c r="AW4383" s="1821"/>
      <c r="AX4383" s="1821"/>
      <c r="AY4383" s="1821"/>
      <c r="AZ4383" s="1821"/>
      <c r="BA4383" s="1821"/>
      <c r="BB4383" s="1821"/>
      <c r="BC4383" s="1821"/>
      <c r="BD4383" s="1821"/>
      <c r="BE4383" s="1821"/>
      <c r="BF4383" s="1821"/>
      <c r="BG4383" s="1821"/>
      <c r="BH4383" s="1821"/>
      <c r="BI4383" s="1821"/>
      <c r="BJ4383" s="1821"/>
      <c r="BK4383" s="1821"/>
      <c r="BL4383" s="1821"/>
      <c r="BM4383" s="1821"/>
      <c r="BN4383" s="1821"/>
      <c r="BO4383" s="1821"/>
      <c r="BP4383" s="1821"/>
      <c r="BQ4383" s="1821"/>
      <c r="BR4383" s="1821"/>
      <c r="BS4383" s="1821"/>
      <c r="BT4383" s="1821"/>
      <c r="BU4383" s="1821"/>
      <c r="BV4383" s="1821"/>
      <c r="BW4383" s="1821"/>
      <c r="BX4383" s="1821"/>
      <c r="BY4383" s="1821"/>
      <c r="BZ4383" s="1821"/>
      <c r="CA4383" s="1821"/>
      <c r="CB4383" s="1821"/>
      <c r="CC4383" s="1821"/>
      <c r="CD4383" s="1821"/>
      <c r="CE4383" s="1821"/>
      <c r="CF4383" s="1821"/>
      <c r="CG4383" s="1821"/>
      <c r="CH4383" s="1821"/>
      <c r="CI4383" s="1821"/>
      <c r="CJ4383" s="1821"/>
      <c r="CK4383" s="1821"/>
    </row>
    <row r="4384" spans="1:89" s="744" customFormat="1" ht="16.5" customHeight="1" x14ac:dyDescent="0.25">
      <c r="A4384" s="1033" t="s">
        <v>469</v>
      </c>
      <c r="B4384" s="709" t="s">
        <v>470</v>
      </c>
      <c r="C4384" s="827">
        <f>SUM(O4387:O4397)</f>
        <v>3487751.0639999998</v>
      </c>
      <c r="D4384" s="961"/>
      <c r="E4384" s="758"/>
      <c r="F4384" s="714"/>
      <c r="G4384" s="714"/>
      <c r="H4384" s="700">
        <f t="shared" si="494"/>
        <v>0</v>
      </c>
      <c r="I4384" s="714"/>
      <c r="J4384" s="714">
        <f t="shared" si="499"/>
        <v>0</v>
      </c>
      <c r="K4384" s="700">
        <f t="shared" si="495"/>
        <v>0</v>
      </c>
      <c r="L4384" s="714"/>
      <c r="M4384" s="714"/>
      <c r="N4384" s="700">
        <f t="shared" si="496"/>
        <v>0</v>
      </c>
      <c r="O4384" s="974">
        <f t="shared" si="497"/>
        <v>0</v>
      </c>
      <c r="P4384" s="956"/>
      <c r="Q4384" s="1821"/>
      <c r="R4384" s="1821"/>
      <c r="S4384" s="1821"/>
      <c r="T4384" s="1821"/>
      <c r="U4384" s="1821"/>
      <c r="V4384" s="1821"/>
      <c r="W4384" s="1821"/>
      <c r="X4384" s="1821"/>
      <c r="Y4384" s="1821"/>
      <c r="Z4384" s="1821"/>
      <c r="AA4384" s="1821"/>
      <c r="AB4384" s="1821"/>
      <c r="AC4384" s="1821"/>
      <c r="AD4384" s="1821"/>
      <c r="AE4384" s="1821"/>
      <c r="AF4384" s="1821"/>
      <c r="AG4384" s="1821"/>
      <c r="AH4384" s="1821"/>
      <c r="AI4384" s="1821"/>
      <c r="AJ4384" s="1821"/>
      <c r="AK4384" s="1821"/>
      <c r="AL4384" s="1821"/>
      <c r="AM4384" s="1821"/>
      <c r="AN4384" s="1821"/>
      <c r="AO4384" s="1821"/>
      <c r="AP4384" s="1821"/>
      <c r="AQ4384" s="1821"/>
      <c r="AR4384" s="1821"/>
      <c r="AS4384" s="1821"/>
      <c r="AT4384" s="1821"/>
      <c r="AU4384" s="1821"/>
      <c r="AV4384" s="1821"/>
      <c r="AW4384" s="1821"/>
      <c r="AX4384" s="1821"/>
      <c r="AY4384" s="1821"/>
      <c r="AZ4384" s="1821"/>
      <c r="BA4384" s="1821"/>
      <c r="BB4384" s="1821"/>
      <c r="BC4384" s="1821"/>
      <c r="BD4384" s="1821"/>
      <c r="BE4384" s="1821"/>
      <c r="BF4384" s="1821"/>
      <c r="BG4384" s="1821"/>
      <c r="BH4384" s="1821"/>
      <c r="BI4384" s="1821"/>
      <c r="BJ4384" s="1821"/>
      <c r="BK4384" s="1821"/>
      <c r="BL4384" s="1821"/>
      <c r="BM4384" s="1821"/>
      <c r="BN4384" s="1821"/>
      <c r="BO4384" s="1821"/>
      <c r="BP4384" s="1821"/>
      <c r="BQ4384" s="1821"/>
      <c r="BR4384" s="1821"/>
      <c r="BS4384" s="1821"/>
      <c r="BT4384" s="1821"/>
      <c r="BU4384" s="1821"/>
      <c r="BV4384" s="1821"/>
      <c r="BW4384" s="1821"/>
      <c r="BX4384" s="1821"/>
      <c r="BY4384" s="1821"/>
      <c r="BZ4384" s="1821"/>
      <c r="CA4384" s="1821"/>
      <c r="CB4384" s="1821"/>
      <c r="CC4384" s="1821"/>
      <c r="CD4384" s="1821"/>
      <c r="CE4384" s="1821"/>
      <c r="CF4384" s="1821"/>
      <c r="CG4384" s="1821"/>
      <c r="CH4384" s="1821"/>
      <c r="CI4384" s="1821"/>
      <c r="CJ4384" s="1821"/>
      <c r="CK4384" s="1821"/>
    </row>
    <row r="4385" spans="1:89" s="744" customFormat="1" ht="16.5" customHeight="1" x14ac:dyDescent="0.25">
      <c r="A4385" s="1033">
        <v>11</v>
      </c>
      <c r="B4385" s="709" t="s">
        <v>1655</v>
      </c>
      <c r="C4385" s="827"/>
      <c r="D4385" s="961"/>
      <c r="E4385" s="758"/>
      <c r="F4385" s="714"/>
      <c r="G4385" s="714"/>
      <c r="H4385" s="700">
        <f t="shared" si="494"/>
        <v>0</v>
      </c>
      <c r="I4385" s="714"/>
      <c r="J4385" s="714">
        <f t="shared" si="499"/>
        <v>0</v>
      </c>
      <c r="K4385" s="700">
        <f t="shared" si="495"/>
        <v>0</v>
      </c>
      <c r="L4385" s="714"/>
      <c r="M4385" s="714"/>
      <c r="N4385" s="700">
        <f t="shared" si="496"/>
        <v>0</v>
      </c>
      <c r="O4385" s="974">
        <f t="shared" si="497"/>
        <v>0</v>
      </c>
      <c r="P4385" s="956"/>
      <c r="Q4385" s="1821"/>
      <c r="R4385" s="1821"/>
      <c r="S4385" s="1821"/>
      <c r="T4385" s="1821"/>
      <c r="U4385" s="1821"/>
      <c r="V4385" s="1821"/>
      <c r="W4385" s="1821"/>
      <c r="X4385" s="1821"/>
      <c r="Y4385" s="1821"/>
      <c r="Z4385" s="1821"/>
      <c r="AA4385" s="1821"/>
      <c r="AB4385" s="1821"/>
      <c r="AC4385" s="1821"/>
      <c r="AD4385" s="1821"/>
      <c r="AE4385" s="1821"/>
      <c r="AF4385" s="1821"/>
      <c r="AG4385" s="1821"/>
      <c r="AH4385" s="1821"/>
      <c r="AI4385" s="1821"/>
      <c r="AJ4385" s="1821"/>
      <c r="AK4385" s="1821"/>
      <c r="AL4385" s="1821"/>
      <c r="AM4385" s="1821"/>
      <c r="AN4385" s="1821"/>
      <c r="AO4385" s="1821"/>
      <c r="AP4385" s="1821"/>
      <c r="AQ4385" s="1821"/>
      <c r="AR4385" s="1821"/>
      <c r="AS4385" s="1821"/>
      <c r="AT4385" s="1821"/>
      <c r="AU4385" s="1821"/>
      <c r="AV4385" s="1821"/>
      <c r="AW4385" s="1821"/>
      <c r="AX4385" s="1821"/>
      <c r="AY4385" s="1821"/>
      <c r="AZ4385" s="1821"/>
      <c r="BA4385" s="1821"/>
      <c r="BB4385" s="1821"/>
      <c r="BC4385" s="1821"/>
      <c r="BD4385" s="1821"/>
      <c r="BE4385" s="1821"/>
      <c r="BF4385" s="1821"/>
      <c r="BG4385" s="1821"/>
      <c r="BH4385" s="1821"/>
      <c r="BI4385" s="1821"/>
      <c r="BJ4385" s="1821"/>
      <c r="BK4385" s="1821"/>
      <c r="BL4385" s="1821"/>
      <c r="BM4385" s="1821"/>
      <c r="BN4385" s="1821"/>
      <c r="BO4385" s="1821"/>
      <c r="BP4385" s="1821"/>
      <c r="BQ4385" s="1821"/>
      <c r="BR4385" s="1821"/>
      <c r="BS4385" s="1821"/>
      <c r="BT4385" s="1821"/>
      <c r="BU4385" s="1821"/>
      <c r="BV4385" s="1821"/>
      <c r="BW4385" s="1821"/>
      <c r="BX4385" s="1821"/>
      <c r="BY4385" s="1821"/>
      <c r="BZ4385" s="1821"/>
      <c r="CA4385" s="1821"/>
      <c r="CB4385" s="1821"/>
      <c r="CC4385" s="1821"/>
      <c r="CD4385" s="1821"/>
      <c r="CE4385" s="1821"/>
      <c r="CF4385" s="1821"/>
      <c r="CG4385" s="1821"/>
      <c r="CH4385" s="1821"/>
      <c r="CI4385" s="1821"/>
      <c r="CJ4385" s="1821"/>
      <c r="CK4385" s="1821"/>
    </row>
    <row r="4386" spans="1:89" s="744" customFormat="1" ht="16.5" customHeight="1" x14ac:dyDescent="0.25">
      <c r="A4386" s="1033"/>
      <c r="B4386" s="709" t="s">
        <v>1394</v>
      </c>
      <c r="C4386" s="827"/>
      <c r="D4386" s="961"/>
      <c r="E4386" s="758"/>
      <c r="F4386" s="714"/>
      <c r="G4386" s="714"/>
      <c r="H4386" s="700">
        <f t="shared" si="494"/>
        <v>0</v>
      </c>
      <c r="I4386" s="714"/>
      <c r="J4386" s="714">
        <f t="shared" si="499"/>
        <v>0</v>
      </c>
      <c r="K4386" s="700">
        <f t="shared" si="495"/>
        <v>0</v>
      </c>
      <c r="L4386" s="714"/>
      <c r="M4386" s="714"/>
      <c r="N4386" s="700">
        <f t="shared" si="496"/>
        <v>0</v>
      </c>
      <c r="O4386" s="974">
        <f t="shared" si="497"/>
        <v>0</v>
      </c>
      <c r="P4386" s="956"/>
      <c r="Q4386" s="1821"/>
      <c r="R4386" s="1821"/>
      <c r="S4386" s="1821"/>
      <c r="T4386" s="1821"/>
      <c r="U4386" s="1821"/>
      <c r="V4386" s="1821"/>
      <c r="W4386" s="1821"/>
      <c r="X4386" s="1821"/>
      <c r="Y4386" s="1821"/>
      <c r="Z4386" s="1821"/>
      <c r="AA4386" s="1821"/>
      <c r="AB4386" s="1821"/>
      <c r="AC4386" s="1821"/>
      <c r="AD4386" s="1821"/>
      <c r="AE4386" s="1821"/>
      <c r="AF4386" s="1821"/>
      <c r="AG4386" s="1821"/>
      <c r="AH4386" s="1821"/>
      <c r="AI4386" s="1821"/>
      <c r="AJ4386" s="1821"/>
      <c r="AK4386" s="1821"/>
      <c r="AL4386" s="1821"/>
      <c r="AM4386" s="1821"/>
      <c r="AN4386" s="1821"/>
      <c r="AO4386" s="1821"/>
      <c r="AP4386" s="1821"/>
      <c r="AQ4386" s="1821"/>
      <c r="AR4386" s="1821"/>
      <c r="AS4386" s="1821"/>
      <c r="AT4386" s="1821"/>
      <c r="AU4386" s="1821"/>
      <c r="AV4386" s="1821"/>
      <c r="AW4386" s="1821"/>
      <c r="AX4386" s="1821"/>
      <c r="AY4386" s="1821"/>
      <c r="AZ4386" s="1821"/>
      <c r="BA4386" s="1821"/>
      <c r="BB4386" s="1821"/>
      <c r="BC4386" s="1821"/>
      <c r="BD4386" s="1821"/>
      <c r="BE4386" s="1821"/>
      <c r="BF4386" s="1821"/>
      <c r="BG4386" s="1821"/>
      <c r="BH4386" s="1821"/>
      <c r="BI4386" s="1821"/>
      <c r="BJ4386" s="1821"/>
      <c r="BK4386" s="1821"/>
      <c r="BL4386" s="1821"/>
      <c r="BM4386" s="1821"/>
      <c r="BN4386" s="1821"/>
      <c r="BO4386" s="1821"/>
      <c r="BP4386" s="1821"/>
      <c r="BQ4386" s="1821"/>
      <c r="BR4386" s="1821"/>
      <c r="BS4386" s="1821"/>
      <c r="BT4386" s="1821"/>
      <c r="BU4386" s="1821"/>
      <c r="BV4386" s="1821"/>
      <c r="BW4386" s="1821"/>
      <c r="BX4386" s="1821"/>
      <c r="BY4386" s="1821"/>
      <c r="BZ4386" s="1821"/>
      <c r="CA4386" s="1821"/>
      <c r="CB4386" s="1821"/>
      <c r="CC4386" s="1821"/>
      <c r="CD4386" s="1821"/>
      <c r="CE4386" s="1821"/>
      <c r="CF4386" s="1821"/>
      <c r="CG4386" s="1821"/>
      <c r="CH4386" s="1821"/>
      <c r="CI4386" s="1821"/>
      <c r="CJ4386" s="1821"/>
      <c r="CK4386" s="1821"/>
    </row>
    <row r="4387" spans="1:89" s="744" customFormat="1" ht="16.5" customHeight="1" x14ac:dyDescent="0.25">
      <c r="A4387" s="1033"/>
      <c r="B4387" s="709" t="s">
        <v>365</v>
      </c>
      <c r="C4387" s="827">
        <v>1</v>
      </c>
      <c r="D4387" s="961" t="s">
        <v>25</v>
      </c>
      <c r="E4387" s="758">
        <v>716917</v>
      </c>
      <c r="F4387" s="714"/>
      <c r="G4387" s="714"/>
      <c r="H4387" s="700">
        <f t="shared" si="494"/>
        <v>0</v>
      </c>
      <c r="I4387" s="714"/>
      <c r="J4387" s="714">
        <f t="shared" si="499"/>
        <v>716917</v>
      </c>
      <c r="K4387" s="700">
        <f t="shared" si="495"/>
        <v>716917</v>
      </c>
      <c r="L4387" s="714"/>
      <c r="M4387" s="714"/>
      <c r="N4387" s="700">
        <f t="shared" si="496"/>
        <v>0</v>
      </c>
      <c r="O4387" s="974">
        <f t="shared" si="497"/>
        <v>716917</v>
      </c>
      <c r="P4387" s="956"/>
      <c r="Q4387" s="1821"/>
      <c r="R4387" s="1821"/>
      <c r="S4387" s="1821"/>
      <c r="T4387" s="1821"/>
      <c r="U4387" s="1821"/>
      <c r="V4387" s="1821"/>
      <c r="W4387" s="1821"/>
      <c r="X4387" s="1821"/>
      <c r="Y4387" s="1821"/>
      <c r="Z4387" s="1821"/>
      <c r="AA4387" s="1821"/>
      <c r="AB4387" s="1821"/>
      <c r="AC4387" s="1821"/>
      <c r="AD4387" s="1821"/>
      <c r="AE4387" s="1821"/>
      <c r="AF4387" s="1821"/>
      <c r="AG4387" s="1821"/>
      <c r="AH4387" s="1821"/>
      <c r="AI4387" s="1821"/>
      <c r="AJ4387" s="1821"/>
      <c r="AK4387" s="1821"/>
      <c r="AL4387" s="1821"/>
      <c r="AM4387" s="1821"/>
      <c r="AN4387" s="1821"/>
      <c r="AO4387" s="1821"/>
      <c r="AP4387" s="1821"/>
      <c r="AQ4387" s="1821"/>
      <c r="AR4387" s="1821"/>
      <c r="AS4387" s="1821"/>
      <c r="AT4387" s="1821"/>
      <c r="AU4387" s="1821"/>
      <c r="AV4387" s="1821"/>
      <c r="AW4387" s="1821"/>
      <c r="AX4387" s="1821"/>
      <c r="AY4387" s="1821"/>
      <c r="AZ4387" s="1821"/>
      <c r="BA4387" s="1821"/>
      <c r="BB4387" s="1821"/>
      <c r="BC4387" s="1821"/>
      <c r="BD4387" s="1821"/>
      <c r="BE4387" s="1821"/>
      <c r="BF4387" s="1821"/>
      <c r="BG4387" s="1821"/>
      <c r="BH4387" s="1821"/>
      <c r="BI4387" s="1821"/>
      <c r="BJ4387" s="1821"/>
      <c r="BK4387" s="1821"/>
      <c r="BL4387" s="1821"/>
      <c r="BM4387" s="1821"/>
      <c r="BN4387" s="1821"/>
      <c r="BO4387" s="1821"/>
      <c r="BP4387" s="1821"/>
      <c r="BQ4387" s="1821"/>
      <c r="BR4387" s="1821"/>
      <c r="BS4387" s="1821"/>
      <c r="BT4387" s="1821"/>
      <c r="BU4387" s="1821"/>
      <c r="BV4387" s="1821"/>
      <c r="BW4387" s="1821"/>
      <c r="BX4387" s="1821"/>
      <c r="BY4387" s="1821"/>
      <c r="BZ4387" s="1821"/>
      <c r="CA4387" s="1821"/>
      <c r="CB4387" s="1821"/>
      <c r="CC4387" s="1821"/>
      <c r="CD4387" s="1821"/>
      <c r="CE4387" s="1821"/>
      <c r="CF4387" s="1821"/>
      <c r="CG4387" s="1821"/>
      <c r="CH4387" s="1821"/>
      <c r="CI4387" s="1821"/>
      <c r="CJ4387" s="1821"/>
      <c r="CK4387" s="1821"/>
    </row>
    <row r="4388" spans="1:89" s="744" customFormat="1" ht="16.5" customHeight="1" x14ac:dyDescent="0.25">
      <c r="A4388" s="1033"/>
      <c r="B4388" s="709" t="s">
        <v>1656</v>
      </c>
      <c r="C4388" s="827">
        <v>1200</v>
      </c>
      <c r="D4388" s="961" t="s">
        <v>207</v>
      </c>
      <c r="E4388" s="758">
        <v>1640</v>
      </c>
      <c r="F4388" s="714"/>
      <c r="G4388" s="714"/>
      <c r="H4388" s="700">
        <f t="shared" si="494"/>
        <v>0</v>
      </c>
      <c r="I4388" s="714"/>
      <c r="J4388" s="714">
        <f t="shared" si="499"/>
        <v>1968000</v>
      </c>
      <c r="K4388" s="700">
        <f t="shared" si="495"/>
        <v>1968000</v>
      </c>
      <c r="L4388" s="714"/>
      <c r="M4388" s="714"/>
      <c r="N4388" s="700">
        <f t="shared" si="496"/>
        <v>0</v>
      </c>
      <c r="O4388" s="974">
        <f t="shared" si="497"/>
        <v>1968000</v>
      </c>
      <c r="P4388" s="956"/>
      <c r="Q4388" s="1821"/>
      <c r="R4388" s="1821"/>
      <c r="S4388" s="1821"/>
      <c r="T4388" s="1821"/>
      <c r="U4388" s="1821"/>
      <c r="V4388" s="1821"/>
      <c r="W4388" s="1821"/>
      <c r="X4388" s="1821"/>
      <c r="Y4388" s="1821"/>
      <c r="Z4388" s="1821"/>
      <c r="AA4388" s="1821"/>
      <c r="AB4388" s="1821"/>
      <c r="AC4388" s="1821"/>
      <c r="AD4388" s="1821"/>
      <c r="AE4388" s="1821"/>
      <c r="AF4388" s="1821"/>
      <c r="AG4388" s="1821"/>
      <c r="AH4388" s="1821"/>
      <c r="AI4388" s="1821"/>
      <c r="AJ4388" s="1821"/>
      <c r="AK4388" s="1821"/>
      <c r="AL4388" s="1821"/>
      <c r="AM4388" s="1821"/>
      <c r="AN4388" s="1821"/>
      <c r="AO4388" s="1821"/>
      <c r="AP4388" s="1821"/>
      <c r="AQ4388" s="1821"/>
      <c r="AR4388" s="1821"/>
      <c r="AS4388" s="1821"/>
      <c r="AT4388" s="1821"/>
      <c r="AU4388" s="1821"/>
      <c r="AV4388" s="1821"/>
      <c r="AW4388" s="1821"/>
      <c r="AX4388" s="1821"/>
      <c r="AY4388" s="1821"/>
      <c r="AZ4388" s="1821"/>
      <c r="BA4388" s="1821"/>
      <c r="BB4388" s="1821"/>
      <c r="BC4388" s="1821"/>
      <c r="BD4388" s="1821"/>
      <c r="BE4388" s="1821"/>
      <c r="BF4388" s="1821"/>
      <c r="BG4388" s="1821"/>
      <c r="BH4388" s="1821"/>
      <c r="BI4388" s="1821"/>
      <c r="BJ4388" s="1821"/>
      <c r="BK4388" s="1821"/>
      <c r="BL4388" s="1821"/>
      <c r="BM4388" s="1821"/>
      <c r="BN4388" s="1821"/>
      <c r="BO4388" s="1821"/>
      <c r="BP4388" s="1821"/>
      <c r="BQ4388" s="1821"/>
      <c r="BR4388" s="1821"/>
      <c r="BS4388" s="1821"/>
      <c r="BT4388" s="1821"/>
      <c r="BU4388" s="1821"/>
      <c r="BV4388" s="1821"/>
      <c r="BW4388" s="1821"/>
      <c r="BX4388" s="1821"/>
      <c r="BY4388" s="1821"/>
      <c r="BZ4388" s="1821"/>
      <c r="CA4388" s="1821"/>
      <c r="CB4388" s="1821"/>
      <c r="CC4388" s="1821"/>
      <c r="CD4388" s="1821"/>
      <c r="CE4388" s="1821"/>
      <c r="CF4388" s="1821"/>
      <c r="CG4388" s="1821"/>
      <c r="CH4388" s="1821"/>
      <c r="CI4388" s="1821"/>
      <c r="CJ4388" s="1821"/>
      <c r="CK4388" s="1821"/>
    </row>
    <row r="4389" spans="1:89" s="744" customFormat="1" ht="16.5" customHeight="1" x14ac:dyDescent="0.25">
      <c r="A4389" s="1033"/>
      <c r="B4389" s="709" t="s">
        <v>1657</v>
      </c>
      <c r="C4389" s="827">
        <v>60</v>
      </c>
      <c r="D4389" s="961" t="s">
        <v>55</v>
      </c>
      <c r="E4389" s="758">
        <v>115</v>
      </c>
      <c r="F4389" s="714"/>
      <c r="G4389" s="714"/>
      <c r="H4389" s="700">
        <f t="shared" si="494"/>
        <v>0</v>
      </c>
      <c r="I4389" s="714"/>
      <c r="J4389" s="714">
        <f>C4389*E4389</f>
        <v>6900</v>
      </c>
      <c r="K4389" s="700">
        <f t="shared" si="495"/>
        <v>6900</v>
      </c>
      <c r="L4389" s="714"/>
      <c r="M4389" s="714"/>
      <c r="N4389" s="700">
        <f t="shared" si="496"/>
        <v>0</v>
      </c>
      <c r="O4389" s="974">
        <f t="shared" si="497"/>
        <v>6900</v>
      </c>
      <c r="P4389" s="956"/>
      <c r="Q4389" s="1821"/>
      <c r="R4389" s="1821"/>
      <c r="S4389" s="1821"/>
      <c r="T4389" s="1821"/>
      <c r="U4389" s="1821"/>
      <c r="V4389" s="1821"/>
      <c r="W4389" s="1821"/>
      <c r="X4389" s="1821"/>
      <c r="Y4389" s="1821"/>
      <c r="Z4389" s="1821"/>
      <c r="AA4389" s="1821"/>
      <c r="AB4389" s="1821"/>
      <c r="AC4389" s="1821"/>
      <c r="AD4389" s="1821"/>
      <c r="AE4389" s="1821"/>
      <c r="AF4389" s="1821"/>
      <c r="AG4389" s="1821"/>
      <c r="AH4389" s="1821"/>
      <c r="AI4389" s="1821"/>
      <c r="AJ4389" s="1821"/>
      <c r="AK4389" s="1821"/>
      <c r="AL4389" s="1821"/>
      <c r="AM4389" s="1821"/>
      <c r="AN4389" s="1821"/>
      <c r="AO4389" s="1821"/>
      <c r="AP4389" s="1821"/>
      <c r="AQ4389" s="1821"/>
      <c r="AR4389" s="1821"/>
      <c r="AS4389" s="1821"/>
      <c r="AT4389" s="1821"/>
      <c r="AU4389" s="1821"/>
      <c r="AV4389" s="1821"/>
      <c r="AW4389" s="1821"/>
      <c r="AX4389" s="1821"/>
      <c r="AY4389" s="1821"/>
      <c r="AZ4389" s="1821"/>
      <c r="BA4389" s="1821"/>
      <c r="BB4389" s="1821"/>
      <c r="BC4389" s="1821"/>
      <c r="BD4389" s="1821"/>
      <c r="BE4389" s="1821"/>
      <c r="BF4389" s="1821"/>
      <c r="BG4389" s="1821"/>
      <c r="BH4389" s="1821"/>
      <c r="BI4389" s="1821"/>
      <c r="BJ4389" s="1821"/>
      <c r="BK4389" s="1821"/>
      <c r="BL4389" s="1821"/>
      <c r="BM4389" s="1821"/>
      <c r="BN4389" s="1821"/>
      <c r="BO4389" s="1821"/>
      <c r="BP4389" s="1821"/>
      <c r="BQ4389" s="1821"/>
      <c r="BR4389" s="1821"/>
      <c r="BS4389" s="1821"/>
      <c r="BT4389" s="1821"/>
      <c r="BU4389" s="1821"/>
      <c r="BV4389" s="1821"/>
      <c r="BW4389" s="1821"/>
      <c r="BX4389" s="1821"/>
      <c r="BY4389" s="1821"/>
      <c r="BZ4389" s="1821"/>
      <c r="CA4389" s="1821"/>
      <c r="CB4389" s="1821"/>
      <c r="CC4389" s="1821"/>
      <c r="CD4389" s="1821"/>
      <c r="CE4389" s="1821"/>
      <c r="CF4389" s="1821"/>
      <c r="CG4389" s="1821"/>
      <c r="CH4389" s="1821"/>
      <c r="CI4389" s="1821"/>
      <c r="CJ4389" s="1821"/>
      <c r="CK4389" s="1821"/>
    </row>
    <row r="4390" spans="1:89" s="744" customFormat="1" ht="16.5" customHeight="1" x14ac:dyDescent="0.25">
      <c r="A4390" s="1033"/>
      <c r="B4390" s="709" t="s">
        <v>206</v>
      </c>
      <c r="C4390" s="827"/>
      <c r="D4390" s="961"/>
      <c r="E4390" s="758"/>
      <c r="F4390" s="714"/>
      <c r="G4390" s="714"/>
      <c r="H4390" s="700">
        <f t="shared" si="494"/>
        <v>0</v>
      </c>
      <c r="I4390" s="714"/>
      <c r="J4390" s="714">
        <f t="shared" si="499"/>
        <v>0</v>
      </c>
      <c r="K4390" s="700">
        <f t="shared" si="495"/>
        <v>0</v>
      </c>
      <c r="L4390" s="714"/>
      <c r="M4390" s="714"/>
      <c r="N4390" s="700">
        <f t="shared" si="496"/>
        <v>0</v>
      </c>
      <c r="O4390" s="974">
        <f t="shared" si="497"/>
        <v>0</v>
      </c>
      <c r="P4390" s="956"/>
      <c r="Q4390" s="1821"/>
      <c r="R4390" s="1821"/>
      <c r="S4390" s="1821"/>
      <c r="T4390" s="1821"/>
      <c r="U4390" s="1821"/>
      <c r="V4390" s="1821"/>
      <c r="W4390" s="1821"/>
      <c r="X4390" s="1821"/>
      <c r="Y4390" s="1821"/>
      <c r="Z4390" s="1821"/>
      <c r="AA4390" s="1821"/>
      <c r="AB4390" s="1821"/>
      <c r="AC4390" s="1821"/>
      <c r="AD4390" s="1821"/>
      <c r="AE4390" s="1821"/>
      <c r="AF4390" s="1821"/>
      <c r="AG4390" s="1821"/>
      <c r="AH4390" s="1821"/>
      <c r="AI4390" s="1821"/>
      <c r="AJ4390" s="1821"/>
      <c r="AK4390" s="1821"/>
      <c r="AL4390" s="1821"/>
      <c r="AM4390" s="1821"/>
      <c r="AN4390" s="1821"/>
      <c r="AO4390" s="1821"/>
      <c r="AP4390" s="1821"/>
      <c r="AQ4390" s="1821"/>
      <c r="AR4390" s="1821"/>
      <c r="AS4390" s="1821"/>
      <c r="AT4390" s="1821"/>
      <c r="AU4390" s="1821"/>
      <c r="AV4390" s="1821"/>
      <c r="AW4390" s="1821"/>
      <c r="AX4390" s="1821"/>
      <c r="AY4390" s="1821"/>
      <c r="AZ4390" s="1821"/>
      <c r="BA4390" s="1821"/>
      <c r="BB4390" s="1821"/>
      <c r="BC4390" s="1821"/>
      <c r="BD4390" s="1821"/>
      <c r="BE4390" s="1821"/>
      <c r="BF4390" s="1821"/>
      <c r="BG4390" s="1821"/>
      <c r="BH4390" s="1821"/>
      <c r="BI4390" s="1821"/>
      <c r="BJ4390" s="1821"/>
      <c r="BK4390" s="1821"/>
      <c r="BL4390" s="1821"/>
      <c r="BM4390" s="1821"/>
      <c r="BN4390" s="1821"/>
      <c r="BO4390" s="1821"/>
      <c r="BP4390" s="1821"/>
      <c r="BQ4390" s="1821"/>
      <c r="BR4390" s="1821"/>
      <c r="BS4390" s="1821"/>
      <c r="BT4390" s="1821"/>
      <c r="BU4390" s="1821"/>
      <c r="BV4390" s="1821"/>
      <c r="BW4390" s="1821"/>
      <c r="BX4390" s="1821"/>
      <c r="BY4390" s="1821"/>
      <c r="BZ4390" s="1821"/>
      <c r="CA4390" s="1821"/>
      <c r="CB4390" s="1821"/>
      <c r="CC4390" s="1821"/>
      <c r="CD4390" s="1821"/>
      <c r="CE4390" s="1821"/>
      <c r="CF4390" s="1821"/>
      <c r="CG4390" s="1821"/>
      <c r="CH4390" s="1821"/>
      <c r="CI4390" s="1821"/>
      <c r="CJ4390" s="1821"/>
      <c r="CK4390" s="1821"/>
    </row>
    <row r="4391" spans="1:89" s="744" customFormat="1" ht="27.75" customHeight="1" x14ac:dyDescent="0.25">
      <c r="A4391" s="1033"/>
      <c r="B4391" s="709" t="s">
        <v>432</v>
      </c>
      <c r="C4391" s="827">
        <v>152</v>
      </c>
      <c r="D4391" s="961" t="s">
        <v>20</v>
      </c>
      <c r="E4391" s="758">
        <v>340.13200000000001</v>
      </c>
      <c r="F4391" s="714"/>
      <c r="G4391" s="714"/>
      <c r="H4391" s="700">
        <f t="shared" si="494"/>
        <v>0</v>
      </c>
      <c r="I4391" s="714"/>
      <c r="J4391" s="714">
        <f t="shared" si="499"/>
        <v>51700.063999999998</v>
      </c>
      <c r="K4391" s="700">
        <f t="shared" si="495"/>
        <v>51700.063999999998</v>
      </c>
      <c r="L4391" s="714"/>
      <c r="M4391" s="714"/>
      <c r="N4391" s="700">
        <f t="shared" si="496"/>
        <v>0</v>
      </c>
      <c r="O4391" s="974">
        <f t="shared" si="497"/>
        <v>51700.063999999998</v>
      </c>
      <c r="P4391" s="956"/>
      <c r="Q4391" s="1821"/>
      <c r="R4391" s="1821"/>
      <c r="S4391" s="1821"/>
      <c r="T4391" s="1821"/>
      <c r="U4391" s="1821"/>
      <c r="V4391" s="1821"/>
      <c r="W4391" s="1821"/>
      <c r="X4391" s="1821"/>
      <c r="Y4391" s="1821"/>
      <c r="Z4391" s="1821"/>
      <c r="AA4391" s="1821"/>
      <c r="AB4391" s="1821"/>
      <c r="AC4391" s="1821"/>
      <c r="AD4391" s="1821"/>
      <c r="AE4391" s="1821"/>
      <c r="AF4391" s="1821"/>
      <c r="AG4391" s="1821"/>
      <c r="AH4391" s="1821"/>
      <c r="AI4391" s="1821"/>
      <c r="AJ4391" s="1821"/>
      <c r="AK4391" s="1821"/>
      <c r="AL4391" s="1821"/>
      <c r="AM4391" s="1821"/>
      <c r="AN4391" s="1821"/>
      <c r="AO4391" s="1821"/>
      <c r="AP4391" s="1821"/>
      <c r="AQ4391" s="1821"/>
      <c r="AR4391" s="1821"/>
      <c r="AS4391" s="1821"/>
      <c r="AT4391" s="1821"/>
      <c r="AU4391" s="1821"/>
      <c r="AV4391" s="1821"/>
      <c r="AW4391" s="1821"/>
      <c r="AX4391" s="1821"/>
      <c r="AY4391" s="1821"/>
      <c r="AZ4391" s="1821"/>
      <c r="BA4391" s="1821"/>
      <c r="BB4391" s="1821"/>
      <c r="BC4391" s="1821"/>
      <c r="BD4391" s="1821"/>
      <c r="BE4391" s="1821"/>
      <c r="BF4391" s="1821"/>
      <c r="BG4391" s="1821"/>
      <c r="BH4391" s="1821"/>
      <c r="BI4391" s="1821"/>
      <c r="BJ4391" s="1821"/>
      <c r="BK4391" s="1821"/>
      <c r="BL4391" s="1821"/>
      <c r="BM4391" s="1821"/>
      <c r="BN4391" s="1821"/>
      <c r="BO4391" s="1821"/>
      <c r="BP4391" s="1821"/>
      <c r="BQ4391" s="1821"/>
      <c r="BR4391" s="1821"/>
      <c r="BS4391" s="1821"/>
      <c r="BT4391" s="1821"/>
      <c r="BU4391" s="1821"/>
      <c r="BV4391" s="1821"/>
      <c r="BW4391" s="1821"/>
      <c r="BX4391" s="1821"/>
      <c r="BY4391" s="1821"/>
      <c r="BZ4391" s="1821"/>
      <c r="CA4391" s="1821"/>
      <c r="CB4391" s="1821"/>
      <c r="CC4391" s="1821"/>
      <c r="CD4391" s="1821"/>
      <c r="CE4391" s="1821"/>
      <c r="CF4391" s="1821"/>
      <c r="CG4391" s="1821"/>
      <c r="CH4391" s="1821"/>
      <c r="CI4391" s="1821"/>
      <c r="CJ4391" s="1821"/>
      <c r="CK4391" s="1821"/>
    </row>
    <row r="4392" spans="1:89" s="744" customFormat="1" ht="16.5" customHeight="1" x14ac:dyDescent="0.25">
      <c r="A4392" s="1033"/>
      <c r="B4392" s="709" t="s">
        <v>224</v>
      </c>
      <c r="C4392" s="827"/>
      <c r="D4392" s="961"/>
      <c r="E4392" s="758"/>
      <c r="F4392" s="714"/>
      <c r="G4392" s="714"/>
      <c r="H4392" s="700">
        <f t="shared" si="494"/>
        <v>0</v>
      </c>
      <c r="I4392" s="714"/>
      <c r="J4392" s="714">
        <f t="shared" si="499"/>
        <v>0</v>
      </c>
      <c r="K4392" s="700">
        <f t="shared" si="495"/>
        <v>0</v>
      </c>
      <c r="L4392" s="714"/>
      <c r="M4392" s="714"/>
      <c r="N4392" s="700">
        <f t="shared" si="496"/>
        <v>0</v>
      </c>
      <c r="O4392" s="974">
        <f t="shared" si="497"/>
        <v>0</v>
      </c>
      <c r="P4392" s="956"/>
      <c r="Q4392" s="1821"/>
      <c r="R4392" s="1821"/>
      <c r="S4392" s="1821"/>
      <c r="T4392" s="1821"/>
      <c r="U4392" s="1821"/>
      <c r="V4392" s="1821"/>
      <c r="W4392" s="1821"/>
      <c r="X4392" s="1821"/>
      <c r="Y4392" s="1821"/>
      <c r="Z4392" s="1821"/>
      <c r="AA4392" s="1821"/>
      <c r="AB4392" s="1821"/>
      <c r="AC4392" s="1821"/>
      <c r="AD4392" s="1821"/>
      <c r="AE4392" s="1821"/>
      <c r="AF4392" s="1821"/>
      <c r="AG4392" s="1821"/>
      <c r="AH4392" s="1821"/>
      <c r="AI4392" s="1821"/>
      <c r="AJ4392" s="1821"/>
      <c r="AK4392" s="1821"/>
      <c r="AL4392" s="1821"/>
      <c r="AM4392" s="1821"/>
      <c r="AN4392" s="1821"/>
      <c r="AO4392" s="1821"/>
      <c r="AP4392" s="1821"/>
      <c r="AQ4392" s="1821"/>
      <c r="AR4392" s="1821"/>
      <c r="AS4392" s="1821"/>
      <c r="AT4392" s="1821"/>
      <c r="AU4392" s="1821"/>
      <c r="AV4392" s="1821"/>
      <c r="AW4392" s="1821"/>
      <c r="AX4392" s="1821"/>
      <c r="AY4392" s="1821"/>
      <c r="AZ4392" s="1821"/>
      <c r="BA4392" s="1821"/>
      <c r="BB4392" s="1821"/>
      <c r="BC4392" s="1821"/>
      <c r="BD4392" s="1821"/>
      <c r="BE4392" s="1821"/>
      <c r="BF4392" s="1821"/>
      <c r="BG4392" s="1821"/>
      <c r="BH4392" s="1821"/>
      <c r="BI4392" s="1821"/>
      <c r="BJ4392" s="1821"/>
      <c r="BK4392" s="1821"/>
      <c r="BL4392" s="1821"/>
      <c r="BM4392" s="1821"/>
      <c r="BN4392" s="1821"/>
      <c r="BO4392" s="1821"/>
      <c r="BP4392" s="1821"/>
      <c r="BQ4392" s="1821"/>
      <c r="BR4392" s="1821"/>
      <c r="BS4392" s="1821"/>
      <c r="BT4392" s="1821"/>
      <c r="BU4392" s="1821"/>
      <c r="BV4392" s="1821"/>
      <c r="BW4392" s="1821"/>
      <c r="BX4392" s="1821"/>
      <c r="BY4392" s="1821"/>
      <c r="BZ4392" s="1821"/>
      <c r="CA4392" s="1821"/>
      <c r="CB4392" s="1821"/>
      <c r="CC4392" s="1821"/>
      <c r="CD4392" s="1821"/>
      <c r="CE4392" s="1821"/>
      <c r="CF4392" s="1821"/>
      <c r="CG4392" s="1821"/>
      <c r="CH4392" s="1821"/>
      <c r="CI4392" s="1821"/>
      <c r="CJ4392" s="1821"/>
      <c r="CK4392" s="1821"/>
    </row>
    <row r="4393" spans="1:89" s="744" customFormat="1" ht="16.5" customHeight="1" x14ac:dyDescent="0.25">
      <c r="A4393" s="1033"/>
      <c r="B4393" s="709" t="s">
        <v>471</v>
      </c>
      <c r="C4393" s="827">
        <v>38</v>
      </c>
      <c r="D4393" s="961" t="s">
        <v>210</v>
      </c>
      <c r="E4393" s="758">
        <v>1253</v>
      </c>
      <c r="F4393" s="714"/>
      <c r="G4393" s="714"/>
      <c r="H4393" s="700">
        <f t="shared" si="494"/>
        <v>0</v>
      </c>
      <c r="I4393" s="714"/>
      <c r="J4393" s="714">
        <f t="shared" si="499"/>
        <v>47614</v>
      </c>
      <c r="K4393" s="700">
        <f t="shared" si="495"/>
        <v>47614</v>
      </c>
      <c r="L4393" s="714"/>
      <c r="M4393" s="714"/>
      <c r="N4393" s="700">
        <f t="shared" si="496"/>
        <v>0</v>
      </c>
      <c r="O4393" s="974">
        <f t="shared" si="497"/>
        <v>47614</v>
      </c>
      <c r="P4393" s="956"/>
      <c r="Q4393" s="1821"/>
      <c r="R4393" s="1821"/>
      <c r="S4393" s="1821"/>
      <c r="T4393" s="1821"/>
      <c r="U4393" s="1821"/>
      <c r="V4393" s="1821"/>
      <c r="W4393" s="1821"/>
      <c r="X4393" s="1821"/>
      <c r="Y4393" s="1821"/>
      <c r="Z4393" s="1821"/>
      <c r="AA4393" s="1821"/>
      <c r="AB4393" s="1821"/>
      <c r="AC4393" s="1821"/>
      <c r="AD4393" s="1821"/>
      <c r="AE4393" s="1821"/>
      <c r="AF4393" s="1821"/>
      <c r="AG4393" s="1821"/>
      <c r="AH4393" s="1821"/>
      <c r="AI4393" s="1821"/>
      <c r="AJ4393" s="1821"/>
      <c r="AK4393" s="1821"/>
      <c r="AL4393" s="1821"/>
      <c r="AM4393" s="1821"/>
      <c r="AN4393" s="1821"/>
      <c r="AO4393" s="1821"/>
      <c r="AP4393" s="1821"/>
      <c r="AQ4393" s="1821"/>
      <c r="AR4393" s="1821"/>
      <c r="AS4393" s="1821"/>
      <c r="AT4393" s="1821"/>
      <c r="AU4393" s="1821"/>
      <c r="AV4393" s="1821"/>
      <c r="AW4393" s="1821"/>
      <c r="AX4393" s="1821"/>
      <c r="AY4393" s="1821"/>
      <c r="AZ4393" s="1821"/>
      <c r="BA4393" s="1821"/>
      <c r="BB4393" s="1821"/>
      <c r="BC4393" s="1821"/>
      <c r="BD4393" s="1821"/>
      <c r="BE4393" s="1821"/>
      <c r="BF4393" s="1821"/>
      <c r="BG4393" s="1821"/>
      <c r="BH4393" s="1821"/>
      <c r="BI4393" s="1821"/>
      <c r="BJ4393" s="1821"/>
      <c r="BK4393" s="1821"/>
      <c r="BL4393" s="1821"/>
      <c r="BM4393" s="1821"/>
      <c r="BN4393" s="1821"/>
      <c r="BO4393" s="1821"/>
      <c r="BP4393" s="1821"/>
      <c r="BQ4393" s="1821"/>
      <c r="BR4393" s="1821"/>
      <c r="BS4393" s="1821"/>
      <c r="BT4393" s="1821"/>
      <c r="BU4393" s="1821"/>
      <c r="BV4393" s="1821"/>
      <c r="BW4393" s="1821"/>
      <c r="BX4393" s="1821"/>
      <c r="BY4393" s="1821"/>
      <c r="BZ4393" s="1821"/>
      <c r="CA4393" s="1821"/>
      <c r="CB4393" s="1821"/>
      <c r="CC4393" s="1821"/>
      <c r="CD4393" s="1821"/>
      <c r="CE4393" s="1821"/>
      <c r="CF4393" s="1821"/>
      <c r="CG4393" s="1821"/>
      <c r="CH4393" s="1821"/>
      <c r="CI4393" s="1821"/>
      <c r="CJ4393" s="1821"/>
      <c r="CK4393" s="1821"/>
    </row>
    <row r="4394" spans="1:89" s="744" customFormat="1" ht="16.5" customHeight="1" x14ac:dyDescent="0.25">
      <c r="A4394" s="1033"/>
      <c r="B4394" s="709" t="s">
        <v>472</v>
      </c>
      <c r="C4394" s="827"/>
      <c r="D4394" s="961"/>
      <c r="E4394" s="758"/>
      <c r="F4394" s="714"/>
      <c r="G4394" s="714"/>
      <c r="H4394" s="700">
        <f t="shared" si="494"/>
        <v>0</v>
      </c>
      <c r="I4394" s="714"/>
      <c r="J4394" s="714">
        <f t="shared" si="499"/>
        <v>0</v>
      </c>
      <c r="K4394" s="700">
        <f t="shared" si="495"/>
        <v>0</v>
      </c>
      <c r="L4394" s="714"/>
      <c r="M4394" s="714"/>
      <c r="N4394" s="700">
        <f t="shared" si="496"/>
        <v>0</v>
      </c>
      <c r="O4394" s="974">
        <f t="shared" si="497"/>
        <v>0</v>
      </c>
      <c r="P4394" s="956"/>
      <c r="Q4394" s="1821"/>
      <c r="R4394" s="1821"/>
      <c r="S4394" s="1821"/>
      <c r="T4394" s="1821"/>
      <c r="U4394" s="1821"/>
      <c r="V4394" s="1821"/>
      <c r="W4394" s="1821"/>
      <c r="X4394" s="1821"/>
      <c r="Y4394" s="1821"/>
      <c r="Z4394" s="1821"/>
      <c r="AA4394" s="1821"/>
      <c r="AB4394" s="1821"/>
      <c r="AC4394" s="1821"/>
      <c r="AD4394" s="1821"/>
      <c r="AE4394" s="1821"/>
      <c r="AF4394" s="1821"/>
      <c r="AG4394" s="1821"/>
      <c r="AH4394" s="1821"/>
      <c r="AI4394" s="1821"/>
      <c r="AJ4394" s="1821"/>
      <c r="AK4394" s="1821"/>
      <c r="AL4394" s="1821"/>
      <c r="AM4394" s="1821"/>
      <c r="AN4394" s="1821"/>
      <c r="AO4394" s="1821"/>
      <c r="AP4394" s="1821"/>
      <c r="AQ4394" s="1821"/>
      <c r="AR4394" s="1821"/>
      <c r="AS4394" s="1821"/>
      <c r="AT4394" s="1821"/>
      <c r="AU4394" s="1821"/>
      <c r="AV4394" s="1821"/>
      <c r="AW4394" s="1821"/>
      <c r="AX4394" s="1821"/>
      <c r="AY4394" s="1821"/>
      <c r="AZ4394" s="1821"/>
      <c r="BA4394" s="1821"/>
      <c r="BB4394" s="1821"/>
      <c r="BC4394" s="1821"/>
      <c r="BD4394" s="1821"/>
      <c r="BE4394" s="1821"/>
      <c r="BF4394" s="1821"/>
      <c r="BG4394" s="1821"/>
      <c r="BH4394" s="1821"/>
      <c r="BI4394" s="1821"/>
      <c r="BJ4394" s="1821"/>
      <c r="BK4394" s="1821"/>
      <c r="BL4394" s="1821"/>
      <c r="BM4394" s="1821"/>
      <c r="BN4394" s="1821"/>
      <c r="BO4394" s="1821"/>
      <c r="BP4394" s="1821"/>
      <c r="BQ4394" s="1821"/>
      <c r="BR4394" s="1821"/>
      <c r="BS4394" s="1821"/>
      <c r="BT4394" s="1821"/>
      <c r="BU4394" s="1821"/>
      <c r="BV4394" s="1821"/>
      <c r="BW4394" s="1821"/>
      <c r="BX4394" s="1821"/>
      <c r="BY4394" s="1821"/>
      <c r="BZ4394" s="1821"/>
      <c r="CA4394" s="1821"/>
      <c r="CB4394" s="1821"/>
      <c r="CC4394" s="1821"/>
      <c r="CD4394" s="1821"/>
      <c r="CE4394" s="1821"/>
      <c r="CF4394" s="1821"/>
      <c r="CG4394" s="1821"/>
      <c r="CH4394" s="1821"/>
      <c r="CI4394" s="1821"/>
      <c r="CJ4394" s="1821"/>
      <c r="CK4394" s="1821"/>
    </row>
    <row r="4395" spans="1:89" s="744" customFormat="1" ht="16.5" customHeight="1" x14ac:dyDescent="0.25">
      <c r="A4395" s="1033"/>
      <c r="B4395" s="709" t="s">
        <v>350</v>
      </c>
      <c r="C4395" s="827">
        <v>86</v>
      </c>
      <c r="D4395" s="961" t="s">
        <v>51</v>
      </c>
      <c r="E4395" s="758">
        <v>3401</v>
      </c>
      <c r="F4395" s="714"/>
      <c r="G4395" s="714"/>
      <c r="H4395" s="700">
        <f t="shared" si="494"/>
        <v>0</v>
      </c>
      <c r="I4395" s="714"/>
      <c r="J4395" s="714">
        <f t="shared" si="499"/>
        <v>292486</v>
      </c>
      <c r="K4395" s="700">
        <f t="shared" si="495"/>
        <v>292486</v>
      </c>
      <c r="L4395" s="714"/>
      <c r="M4395" s="714"/>
      <c r="N4395" s="700">
        <f t="shared" si="496"/>
        <v>0</v>
      </c>
      <c r="O4395" s="974">
        <f t="shared" si="497"/>
        <v>292486</v>
      </c>
      <c r="P4395" s="956"/>
      <c r="Q4395" s="1821"/>
      <c r="R4395" s="1821"/>
      <c r="S4395" s="1821"/>
      <c r="T4395" s="1821"/>
      <c r="U4395" s="1821"/>
      <c r="V4395" s="1821"/>
      <c r="W4395" s="1821"/>
      <c r="X4395" s="1821"/>
      <c r="Y4395" s="1821"/>
      <c r="Z4395" s="1821"/>
      <c r="AA4395" s="1821"/>
      <c r="AB4395" s="1821"/>
      <c r="AC4395" s="1821"/>
      <c r="AD4395" s="1821"/>
      <c r="AE4395" s="1821"/>
      <c r="AF4395" s="1821"/>
      <c r="AG4395" s="1821"/>
      <c r="AH4395" s="1821"/>
      <c r="AI4395" s="1821"/>
      <c r="AJ4395" s="1821"/>
      <c r="AK4395" s="1821"/>
      <c r="AL4395" s="1821"/>
      <c r="AM4395" s="1821"/>
      <c r="AN4395" s="1821"/>
      <c r="AO4395" s="1821"/>
      <c r="AP4395" s="1821"/>
      <c r="AQ4395" s="1821"/>
      <c r="AR4395" s="1821"/>
      <c r="AS4395" s="1821"/>
      <c r="AT4395" s="1821"/>
      <c r="AU4395" s="1821"/>
      <c r="AV4395" s="1821"/>
      <c r="AW4395" s="1821"/>
      <c r="AX4395" s="1821"/>
      <c r="AY4395" s="1821"/>
      <c r="AZ4395" s="1821"/>
      <c r="BA4395" s="1821"/>
      <c r="BB4395" s="1821"/>
      <c r="BC4395" s="1821"/>
      <c r="BD4395" s="1821"/>
      <c r="BE4395" s="1821"/>
      <c r="BF4395" s="1821"/>
      <c r="BG4395" s="1821"/>
      <c r="BH4395" s="1821"/>
      <c r="BI4395" s="1821"/>
      <c r="BJ4395" s="1821"/>
      <c r="BK4395" s="1821"/>
      <c r="BL4395" s="1821"/>
      <c r="BM4395" s="1821"/>
      <c r="BN4395" s="1821"/>
      <c r="BO4395" s="1821"/>
      <c r="BP4395" s="1821"/>
      <c r="BQ4395" s="1821"/>
      <c r="BR4395" s="1821"/>
      <c r="BS4395" s="1821"/>
      <c r="BT4395" s="1821"/>
      <c r="BU4395" s="1821"/>
      <c r="BV4395" s="1821"/>
      <c r="BW4395" s="1821"/>
      <c r="BX4395" s="1821"/>
      <c r="BY4395" s="1821"/>
      <c r="BZ4395" s="1821"/>
      <c r="CA4395" s="1821"/>
      <c r="CB4395" s="1821"/>
      <c r="CC4395" s="1821"/>
      <c r="CD4395" s="1821"/>
      <c r="CE4395" s="1821"/>
      <c r="CF4395" s="1821"/>
      <c r="CG4395" s="1821"/>
      <c r="CH4395" s="1821"/>
      <c r="CI4395" s="1821"/>
      <c r="CJ4395" s="1821"/>
      <c r="CK4395" s="1821"/>
    </row>
    <row r="4396" spans="1:89" s="744" customFormat="1" ht="16.5" customHeight="1" x14ac:dyDescent="0.25">
      <c r="A4396" s="1033"/>
      <c r="B4396" s="709" t="s">
        <v>473</v>
      </c>
      <c r="C4396" s="827">
        <v>271</v>
      </c>
      <c r="D4396" s="961" t="s">
        <v>55</v>
      </c>
      <c r="E4396" s="758">
        <v>448</v>
      </c>
      <c r="F4396" s="714"/>
      <c r="G4396" s="714"/>
      <c r="H4396" s="700">
        <f>G4396+F4396</f>
        <v>0</v>
      </c>
      <c r="I4396" s="714"/>
      <c r="J4396" s="714">
        <f t="shared" si="499"/>
        <v>121408</v>
      </c>
      <c r="K4396" s="700">
        <f>J4396+I4396</f>
        <v>121408</v>
      </c>
      <c r="L4396" s="714"/>
      <c r="M4396" s="714"/>
      <c r="N4396" s="700">
        <f>M4396+L4396</f>
        <v>0</v>
      </c>
      <c r="O4396" s="974">
        <f>N4396+K4396+H4396</f>
        <v>121408</v>
      </c>
      <c r="P4396" s="956"/>
      <c r="Q4396" s="1821"/>
      <c r="R4396" s="1821"/>
      <c r="S4396" s="1821"/>
      <c r="T4396" s="1821"/>
      <c r="U4396" s="1821"/>
      <c r="V4396" s="1821"/>
      <c r="W4396" s="1821"/>
      <c r="X4396" s="1821"/>
      <c r="Y4396" s="1821"/>
      <c r="Z4396" s="1821"/>
      <c r="AA4396" s="1821"/>
      <c r="AB4396" s="1821"/>
      <c r="AC4396" s="1821"/>
      <c r="AD4396" s="1821"/>
      <c r="AE4396" s="1821"/>
      <c r="AF4396" s="1821"/>
      <c r="AG4396" s="1821"/>
      <c r="AH4396" s="1821"/>
      <c r="AI4396" s="1821"/>
      <c r="AJ4396" s="1821"/>
      <c r="AK4396" s="1821"/>
      <c r="AL4396" s="1821"/>
      <c r="AM4396" s="1821"/>
      <c r="AN4396" s="1821"/>
      <c r="AO4396" s="1821"/>
      <c r="AP4396" s="1821"/>
      <c r="AQ4396" s="1821"/>
      <c r="AR4396" s="1821"/>
      <c r="AS4396" s="1821"/>
      <c r="AT4396" s="1821"/>
      <c r="AU4396" s="1821"/>
      <c r="AV4396" s="1821"/>
      <c r="AW4396" s="1821"/>
      <c r="AX4396" s="1821"/>
      <c r="AY4396" s="1821"/>
      <c r="AZ4396" s="1821"/>
      <c r="BA4396" s="1821"/>
      <c r="BB4396" s="1821"/>
      <c r="BC4396" s="1821"/>
      <c r="BD4396" s="1821"/>
      <c r="BE4396" s="1821"/>
      <c r="BF4396" s="1821"/>
      <c r="BG4396" s="1821"/>
      <c r="BH4396" s="1821"/>
      <c r="BI4396" s="1821"/>
      <c r="BJ4396" s="1821"/>
      <c r="BK4396" s="1821"/>
      <c r="BL4396" s="1821"/>
      <c r="BM4396" s="1821"/>
      <c r="BN4396" s="1821"/>
      <c r="BO4396" s="1821"/>
      <c r="BP4396" s="1821"/>
      <c r="BQ4396" s="1821"/>
      <c r="BR4396" s="1821"/>
      <c r="BS4396" s="1821"/>
      <c r="BT4396" s="1821"/>
      <c r="BU4396" s="1821"/>
      <c r="BV4396" s="1821"/>
      <c r="BW4396" s="1821"/>
      <c r="BX4396" s="1821"/>
      <c r="BY4396" s="1821"/>
      <c r="BZ4396" s="1821"/>
      <c r="CA4396" s="1821"/>
      <c r="CB4396" s="1821"/>
      <c r="CC4396" s="1821"/>
      <c r="CD4396" s="1821"/>
      <c r="CE4396" s="1821"/>
      <c r="CF4396" s="1821"/>
      <c r="CG4396" s="1821"/>
      <c r="CH4396" s="1821"/>
      <c r="CI4396" s="1821"/>
      <c r="CJ4396" s="1821"/>
      <c r="CK4396" s="1821"/>
    </row>
    <row r="4397" spans="1:89" s="744" customFormat="1" ht="43.5" customHeight="1" x14ac:dyDescent="0.25">
      <c r="A4397" s="1033"/>
      <c r="B4397" s="709" t="s">
        <v>52</v>
      </c>
      <c r="C4397" s="827">
        <v>226</v>
      </c>
      <c r="D4397" s="961" t="s">
        <v>55</v>
      </c>
      <c r="E4397" s="758">
        <v>1251</v>
      </c>
      <c r="F4397" s="714"/>
      <c r="G4397" s="714"/>
      <c r="H4397" s="700">
        <f>G4397+F4397</f>
        <v>0</v>
      </c>
      <c r="I4397" s="714"/>
      <c r="J4397" s="714">
        <f t="shared" si="499"/>
        <v>282726</v>
      </c>
      <c r="K4397" s="700">
        <f>J4397+I4397</f>
        <v>282726</v>
      </c>
      <c r="L4397" s="714"/>
      <c r="M4397" s="714"/>
      <c r="N4397" s="700">
        <f>M4397+L4397</f>
        <v>0</v>
      </c>
      <c r="O4397" s="974">
        <f>N4397+K4397+H4397</f>
        <v>282726</v>
      </c>
      <c r="P4397" s="956"/>
      <c r="Q4397" s="1821"/>
      <c r="R4397" s="1821"/>
      <c r="S4397" s="1821"/>
      <c r="T4397" s="1821"/>
      <c r="U4397" s="1821"/>
      <c r="V4397" s="1821"/>
      <c r="W4397" s="1821"/>
      <c r="X4397" s="1821"/>
      <c r="Y4397" s="1821"/>
      <c r="Z4397" s="1821"/>
      <c r="AA4397" s="1821"/>
      <c r="AB4397" s="1821"/>
      <c r="AC4397" s="1821"/>
      <c r="AD4397" s="1821"/>
      <c r="AE4397" s="1821"/>
      <c r="AF4397" s="1821"/>
      <c r="AG4397" s="1821"/>
      <c r="AH4397" s="1821"/>
      <c r="AI4397" s="1821"/>
      <c r="AJ4397" s="1821"/>
      <c r="AK4397" s="1821"/>
      <c r="AL4397" s="1821"/>
      <c r="AM4397" s="1821"/>
      <c r="AN4397" s="1821"/>
      <c r="AO4397" s="1821"/>
      <c r="AP4397" s="1821"/>
      <c r="AQ4397" s="1821"/>
      <c r="AR4397" s="1821"/>
      <c r="AS4397" s="1821"/>
      <c r="AT4397" s="1821"/>
      <c r="AU4397" s="1821"/>
      <c r="AV4397" s="1821"/>
      <c r="AW4397" s="1821"/>
      <c r="AX4397" s="1821"/>
      <c r="AY4397" s="1821"/>
      <c r="AZ4397" s="1821"/>
      <c r="BA4397" s="1821"/>
      <c r="BB4397" s="1821"/>
      <c r="BC4397" s="1821"/>
      <c r="BD4397" s="1821"/>
      <c r="BE4397" s="1821"/>
      <c r="BF4397" s="1821"/>
      <c r="BG4397" s="1821"/>
      <c r="BH4397" s="1821"/>
      <c r="BI4397" s="1821"/>
      <c r="BJ4397" s="1821"/>
      <c r="BK4397" s="1821"/>
      <c r="BL4397" s="1821"/>
      <c r="BM4397" s="1821"/>
      <c r="BN4397" s="1821"/>
      <c r="BO4397" s="1821"/>
      <c r="BP4397" s="1821"/>
      <c r="BQ4397" s="1821"/>
      <c r="BR4397" s="1821"/>
      <c r="BS4397" s="1821"/>
      <c r="BT4397" s="1821"/>
      <c r="BU4397" s="1821"/>
      <c r="BV4397" s="1821"/>
      <c r="BW4397" s="1821"/>
      <c r="BX4397" s="1821"/>
      <c r="BY4397" s="1821"/>
      <c r="BZ4397" s="1821"/>
      <c r="CA4397" s="1821"/>
      <c r="CB4397" s="1821"/>
      <c r="CC4397" s="1821"/>
      <c r="CD4397" s="1821"/>
      <c r="CE4397" s="1821"/>
      <c r="CF4397" s="1821"/>
      <c r="CG4397" s="1821"/>
      <c r="CH4397" s="1821"/>
      <c r="CI4397" s="1821"/>
      <c r="CJ4397" s="1821"/>
      <c r="CK4397" s="1821"/>
    </row>
    <row r="4398" spans="1:89" s="676" customFormat="1" ht="42.75" customHeight="1" thickBot="1" x14ac:dyDescent="0.3">
      <c r="A4398" s="1052"/>
      <c r="B4398" s="1053"/>
      <c r="C4398" s="1054"/>
      <c r="D4398" s="1055"/>
      <c r="E4398" s="1056"/>
      <c r="F4398" s="1056"/>
      <c r="G4398" s="1056"/>
      <c r="H4398" s="1057"/>
      <c r="I4398" s="1058"/>
      <c r="J4398" s="1059"/>
      <c r="K4398" s="1057"/>
      <c r="L4398" s="1059"/>
      <c r="M4398" s="1059"/>
      <c r="N4398" s="1057"/>
      <c r="O4398" s="1060"/>
      <c r="P4398" s="1043"/>
      <c r="Q4398" s="1822"/>
      <c r="R4398" s="1822"/>
      <c r="S4398" s="1822"/>
      <c r="T4398" s="1822"/>
      <c r="U4398" s="1822"/>
      <c r="V4398" s="1822"/>
      <c r="W4398" s="1822"/>
      <c r="X4398" s="1822"/>
      <c r="Y4398" s="1822"/>
      <c r="Z4398" s="1822"/>
      <c r="AA4398" s="1822"/>
      <c r="AB4398" s="1822"/>
      <c r="AC4398" s="1822"/>
      <c r="AD4398" s="1822"/>
      <c r="AE4398" s="1822"/>
      <c r="AF4398" s="1822"/>
      <c r="AG4398" s="1822"/>
      <c r="AH4398" s="1822"/>
      <c r="AI4398" s="1822"/>
      <c r="AJ4398" s="1822"/>
      <c r="AK4398" s="1822"/>
      <c r="AL4398" s="1822"/>
      <c r="AM4398" s="1822"/>
      <c r="AN4398" s="1822"/>
      <c r="AO4398" s="1822"/>
      <c r="AP4398" s="1822"/>
      <c r="AQ4398" s="1822"/>
      <c r="AR4398" s="1822"/>
      <c r="AS4398" s="1822"/>
      <c r="AT4398" s="1822"/>
      <c r="AU4398" s="1822"/>
      <c r="AV4398" s="1822"/>
      <c r="AW4398" s="1822"/>
      <c r="AX4398" s="1822"/>
      <c r="AY4398" s="1822"/>
      <c r="AZ4398" s="1822"/>
      <c r="BA4398" s="1822"/>
      <c r="BB4398" s="1822"/>
      <c r="BC4398" s="1822"/>
      <c r="BD4398" s="1822"/>
      <c r="BE4398" s="1822"/>
      <c r="BF4398" s="1822"/>
      <c r="BG4398" s="1822"/>
      <c r="BH4398" s="1822"/>
      <c r="BI4398" s="1822"/>
      <c r="BJ4398" s="1822"/>
      <c r="BK4398" s="1822"/>
      <c r="BL4398" s="1822"/>
      <c r="BM4398" s="1822"/>
      <c r="BN4398" s="1822"/>
      <c r="BO4398" s="1822"/>
      <c r="BP4398" s="1822"/>
      <c r="BQ4398" s="1822"/>
      <c r="BR4398" s="1822"/>
      <c r="BS4398" s="1822"/>
      <c r="BT4398" s="1822"/>
      <c r="BU4398" s="1822"/>
      <c r="BV4398" s="1822"/>
      <c r="BW4398" s="1822"/>
      <c r="BX4398" s="1822"/>
      <c r="BY4398" s="1822"/>
      <c r="BZ4398" s="1822"/>
      <c r="CA4398" s="1822"/>
      <c r="CB4398" s="1822"/>
      <c r="CC4398" s="1822"/>
      <c r="CD4398" s="1822"/>
      <c r="CE4398" s="1822"/>
      <c r="CF4398" s="1822"/>
      <c r="CG4398" s="1822"/>
      <c r="CH4398" s="1822"/>
      <c r="CI4398" s="1822"/>
      <c r="CJ4398" s="1822"/>
      <c r="CK4398" s="1822"/>
    </row>
    <row r="4399" spans="1:89" s="675" customFormat="1" ht="33" customHeight="1" x14ac:dyDescent="0.25">
      <c r="A4399" s="1763">
        <v>42</v>
      </c>
      <c r="B4399" s="1093" t="s">
        <v>474</v>
      </c>
      <c r="C4399" s="1094"/>
      <c r="D4399" s="1095"/>
      <c r="E4399" s="1096"/>
      <c r="F4399" s="1096">
        <f>SUM(F4405:F4710)</f>
        <v>6544888.5806000009</v>
      </c>
      <c r="G4399" s="1096">
        <f>SUM(G4405:G4710)</f>
        <v>0</v>
      </c>
      <c r="H4399" s="1096">
        <f>F4399+G4399</f>
        <v>6544888.5806000009</v>
      </c>
      <c r="I4399" s="1096">
        <f>SUM(I4405:I4710)</f>
        <v>6063658</v>
      </c>
      <c r="J4399" s="1096">
        <f>SUM(J4405:J4710)</f>
        <v>3736625</v>
      </c>
      <c r="K4399" s="1096">
        <f>I4399+J4399</f>
        <v>9800283</v>
      </c>
      <c r="L4399" s="1096">
        <f>SUM(L4405:L4710)</f>
        <v>12889106</v>
      </c>
      <c r="M4399" s="1096">
        <f>SUM(M4405:M4710)</f>
        <v>2200000</v>
      </c>
      <c r="N4399" s="1096">
        <f>L4399+M4399</f>
        <v>15089106</v>
      </c>
      <c r="O4399" s="1097">
        <f>H4399+K4399+N4399</f>
        <v>31434277.580600001</v>
      </c>
      <c r="P4399" s="1201"/>
      <c r="Q4399" s="1821"/>
      <c r="R4399" s="1821"/>
      <c r="S4399" s="1821"/>
      <c r="T4399" s="1821"/>
      <c r="U4399" s="1821"/>
      <c r="V4399" s="1821"/>
      <c r="W4399" s="1821"/>
      <c r="X4399" s="1821"/>
      <c r="Y4399" s="1821"/>
      <c r="Z4399" s="1821"/>
      <c r="AA4399" s="1821"/>
      <c r="AB4399" s="1821"/>
      <c r="AC4399" s="1821"/>
      <c r="AD4399" s="1821"/>
      <c r="AE4399" s="1821"/>
      <c r="AF4399" s="1821"/>
      <c r="AG4399" s="1821"/>
      <c r="AH4399" s="1821"/>
      <c r="AI4399" s="1821"/>
      <c r="AJ4399" s="1821"/>
      <c r="AK4399" s="1821"/>
      <c r="AL4399" s="1821"/>
      <c r="AM4399" s="1821"/>
      <c r="AN4399" s="1821"/>
      <c r="AO4399" s="1821"/>
      <c r="AP4399" s="1821"/>
      <c r="AQ4399" s="1821"/>
      <c r="AR4399" s="1821"/>
      <c r="AS4399" s="1821"/>
      <c r="AT4399" s="1821"/>
      <c r="AU4399" s="1821"/>
      <c r="AV4399" s="1821"/>
      <c r="AW4399" s="1821"/>
      <c r="AX4399" s="1821"/>
      <c r="AY4399" s="1821"/>
      <c r="AZ4399" s="1821"/>
      <c r="BA4399" s="1821"/>
      <c r="BB4399" s="1821"/>
      <c r="BC4399" s="1821"/>
      <c r="BD4399" s="1821"/>
      <c r="BE4399" s="1821"/>
      <c r="BF4399" s="1821"/>
      <c r="BG4399" s="1821"/>
      <c r="BH4399" s="1821"/>
      <c r="BI4399" s="1821"/>
      <c r="BJ4399" s="1821"/>
      <c r="BK4399" s="1821"/>
      <c r="BL4399" s="1821"/>
      <c r="BM4399" s="1821"/>
      <c r="BN4399" s="1821"/>
      <c r="BO4399" s="1821"/>
      <c r="BP4399" s="1821"/>
      <c r="BQ4399" s="1821"/>
      <c r="BR4399" s="1821"/>
      <c r="BS4399" s="1821"/>
      <c r="BT4399" s="1821"/>
      <c r="BU4399" s="1821"/>
      <c r="BV4399" s="1821"/>
      <c r="BW4399" s="1821"/>
      <c r="BX4399" s="1821"/>
      <c r="BY4399" s="1821"/>
      <c r="BZ4399" s="1821"/>
      <c r="CA4399" s="1821"/>
      <c r="CB4399" s="1821"/>
      <c r="CC4399" s="1821"/>
      <c r="CD4399" s="1821"/>
      <c r="CE4399" s="1821"/>
      <c r="CF4399" s="1821"/>
      <c r="CG4399" s="1821"/>
      <c r="CH4399" s="1821"/>
      <c r="CI4399" s="1821"/>
      <c r="CJ4399" s="1821"/>
      <c r="CK4399" s="1821"/>
    </row>
    <row r="4400" spans="1:89" s="675" customFormat="1" ht="16.5" customHeight="1" thickBot="1" x14ac:dyDescent="0.3">
      <c r="A4400" s="849"/>
      <c r="B4400" s="1061" t="s">
        <v>49</v>
      </c>
      <c r="C4400" s="835"/>
      <c r="D4400" s="1062"/>
      <c r="E4400" s="825"/>
      <c r="F4400" s="825"/>
      <c r="G4400" s="825"/>
      <c r="H4400" s="825"/>
      <c r="I4400" s="825"/>
      <c r="J4400" s="825"/>
      <c r="K4400" s="825"/>
      <c r="L4400" s="825"/>
      <c r="M4400" s="825"/>
      <c r="N4400" s="825"/>
      <c r="O4400" s="826"/>
      <c r="P4400" s="702"/>
      <c r="Q4400" s="1821"/>
      <c r="R4400" s="1821"/>
      <c r="S4400" s="1821"/>
      <c r="T4400" s="1821"/>
      <c r="U4400" s="1821"/>
      <c r="V4400" s="1821"/>
      <c r="W4400" s="1821"/>
      <c r="X4400" s="1821"/>
      <c r="Y4400" s="1821"/>
      <c r="Z4400" s="1821"/>
      <c r="AA4400" s="1821"/>
      <c r="AB4400" s="1821"/>
      <c r="AC4400" s="1821"/>
      <c r="AD4400" s="1821"/>
      <c r="AE4400" s="1821"/>
      <c r="AF4400" s="1821"/>
      <c r="AG4400" s="1821"/>
      <c r="AH4400" s="1821"/>
      <c r="AI4400" s="1821"/>
      <c r="AJ4400" s="1821"/>
      <c r="AK4400" s="1821"/>
      <c r="AL4400" s="1821"/>
      <c r="AM4400" s="1821"/>
      <c r="AN4400" s="1821"/>
      <c r="AO4400" s="1821"/>
      <c r="AP4400" s="1821"/>
      <c r="AQ4400" s="1821"/>
      <c r="AR4400" s="1821"/>
      <c r="AS4400" s="1821"/>
      <c r="AT4400" s="1821"/>
      <c r="AU4400" s="1821"/>
      <c r="AV4400" s="1821"/>
      <c r="AW4400" s="1821"/>
      <c r="AX4400" s="1821"/>
      <c r="AY4400" s="1821"/>
      <c r="AZ4400" s="1821"/>
      <c r="BA4400" s="1821"/>
      <c r="BB4400" s="1821"/>
      <c r="BC4400" s="1821"/>
      <c r="BD4400" s="1821"/>
      <c r="BE4400" s="1821"/>
      <c r="BF4400" s="1821"/>
      <c r="BG4400" s="1821"/>
      <c r="BH4400" s="1821"/>
      <c r="BI4400" s="1821"/>
      <c r="BJ4400" s="1821"/>
      <c r="BK4400" s="1821"/>
      <c r="BL4400" s="1821"/>
      <c r="BM4400" s="1821"/>
      <c r="BN4400" s="1821"/>
      <c r="BO4400" s="1821"/>
      <c r="BP4400" s="1821"/>
      <c r="BQ4400" s="1821"/>
      <c r="BR4400" s="1821"/>
      <c r="BS4400" s="1821"/>
      <c r="BT4400" s="1821"/>
      <c r="BU4400" s="1821"/>
      <c r="BV4400" s="1821"/>
      <c r="BW4400" s="1821"/>
      <c r="BX4400" s="1821"/>
      <c r="BY4400" s="1821"/>
      <c r="BZ4400" s="1821"/>
      <c r="CA4400" s="1821"/>
      <c r="CB4400" s="1821"/>
      <c r="CC4400" s="1821"/>
      <c r="CD4400" s="1821"/>
      <c r="CE4400" s="1821"/>
      <c r="CF4400" s="1821"/>
      <c r="CG4400" s="1821"/>
      <c r="CH4400" s="1821"/>
      <c r="CI4400" s="1821"/>
      <c r="CJ4400" s="1821"/>
      <c r="CK4400" s="1821"/>
    </row>
    <row r="4401" spans="1:89" s="675" customFormat="1" ht="16.5" customHeight="1" x14ac:dyDescent="0.25">
      <c r="A4401" s="849"/>
      <c r="B4401" s="1061"/>
      <c r="C4401" s="835"/>
      <c r="D4401" s="1062"/>
      <c r="E4401" s="825"/>
      <c r="F4401" s="825">
        <v>6544888.5806000009</v>
      </c>
      <c r="G4401" s="825">
        <v>0</v>
      </c>
      <c r="H4401" s="825">
        <v>6544888.5806000009</v>
      </c>
      <c r="I4401" s="825">
        <v>6409608</v>
      </c>
      <c r="J4401" s="825">
        <v>4285025</v>
      </c>
      <c r="K4401" s="825">
        <v>10694633</v>
      </c>
      <c r="L4401" s="825">
        <v>12744756</v>
      </c>
      <c r="M4401" s="825">
        <v>1450000</v>
      </c>
      <c r="N4401" s="825">
        <v>14194756</v>
      </c>
      <c r="O4401" s="1097"/>
      <c r="P4401" s="708"/>
      <c r="Q4401" s="1821"/>
      <c r="R4401" s="1821"/>
      <c r="S4401" s="1821"/>
      <c r="T4401" s="1821"/>
      <c r="U4401" s="1821"/>
      <c r="V4401" s="1821"/>
      <c r="W4401" s="1821"/>
      <c r="X4401" s="1821"/>
      <c r="Y4401" s="1821"/>
      <c r="Z4401" s="1821"/>
      <c r="AA4401" s="1821"/>
      <c r="AB4401" s="1821"/>
      <c r="AC4401" s="1821"/>
      <c r="AD4401" s="1821"/>
      <c r="AE4401" s="1821"/>
      <c r="AF4401" s="1821"/>
      <c r="AG4401" s="1821"/>
      <c r="AH4401" s="1821"/>
      <c r="AI4401" s="1821"/>
      <c r="AJ4401" s="1821"/>
      <c r="AK4401" s="1821"/>
      <c r="AL4401" s="1821"/>
      <c r="AM4401" s="1821"/>
      <c r="AN4401" s="1821"/>
      <c r="AO4401" s="1821"/>
      <c r="AP4401" s="1821"/>
      <c r="AQ4401" s="1821"/>
      <c r="AR4401" s="1821"/>
      <c r="AS4401" s="1821"/>
      <c r="AT4401" s="1821"/>
      <c r="AU4401" s="1821"/>
      <c r="AV4401" s="1821"/>
      <c r="AW4401" s="1821"/>
      <c r="AX4401" s="1821"/>
      <c r="AY4401" s="1821"/>
      <c r="AZ4401" s="1821"/>
      <c r="BA4401" s="1821"/>
      <c r="BB4401" s="1821"/>
      <c r="BC4401" s="1821"/>
      <c r="BD4401" s="1821"/>
      <c r="BE4401" s="1821"/>
      <c r="BF4401" s="1821"/>
      <c r="BG4401" s="1821"/>
      <c r="BH4401" s="1821"/>
      <c r="BI4401" s="1821"/>
      <c r="BJ4401" s="1821"/>
      <c r="BK4401" s="1821"/>
      <c r="BL4401" s="1821"/>
      <c r="BM4401" s="1821"/>
      <c r="BN4401" s="1821"/>
      <c r="BO4401" s="1821"/>
      <c r="BP4401" s="1821"/>
      <c r="BQ4401" s="1821"/>
      <c r="BR4401" s="1821"/>
      <c r="BS4401" s="1821"/>
      <c r="BT4401" s="1821"/>
      <c r="BU4401" s="1821"/>
      <c r="BV4401" s="1821"/>
      <c r="BW4401" s="1821"/>
      <c r="BX4401" s="1821"/>
      <c r="BY4401" s="1821"/>
      <c r="BZ4401" s="1821"/>
      <c r="CA4401" s="1821"/>
      <c r="CB4401" s="1821"/>
      <c r="CC4401" s="1821"/>
      <c r="CD4401" s="1821"/>
      <c r="CE4401" s="1821"/>
      <c r="CF4401" s="1821"/>
      <c r="CG4401" s="1821"/>
      <c r="CH4401" s="1821"/>
      <c r="CI4401" s="1821"/>
      <c r="CJ4401" s="1821"/>
      <c r="CK4401" s="1821"/>
    </row>
    <row r="4402" spans="1:89" s="675" customFormat="1" ht="16.5" customHeight="1" x14ac:dyDescent="0.25">
      <c r="A4402" s="849"/>
      <c r="B4402" s="1061" t="s">
        <v>475</v>
      </c>
      <c r="C4402" s="835"/>
      <c r="D4402" s="1062"/>
      <c r="E4402" s="825"/>
      <c r="F4402" s="825">
        <f>F4399-F4401</f>
        <v>0</v>
      </c>
      <c r="G4402" s="825">
        <f t="shared" ref="G4402:N4402" si="500">G4399-G4401</f>
        <v>0</v>
      </c>
      <c r="H4402" s="825">
        <f t="shared" si="500"/>
        <v>0</v>
      </c>
      <c r="I4402" s="825">
        <f t="shared" si="500"/>
        <v>-345950</v>
      </c>
      <c r="J4402" s="825">
        <f t="shared" si="500"/>
        <v>-548400</v>
      </c>
      <c r="K4402" s="825">
        <f t="shared" si="500"/>
        <v>-894350</v>
      </c>
      <c r="L4402" s="825">
        <f t="shared" si="500"/>
        <v>144350</v>
      </c>
      <c r="M4402" s="825">
        <f t="shared" si="500"/>
        <v>750000</v>
      </c>
      <c r="N4402" s="825">
        <f t="shared" si="500"/>
        <v>894350</v>
      </c>
      <c r="O4402" s="826"/>
      <c r="P4402" s="702"/>
      <c r="Q4402" s="1821"/>
      <c r="R4402" s="1821"/>
      <c r="S4402" s="1821"/>
      <c r="T4402" s="1821"/>
      <c r="U4402" s="1821"/>
      <c r="V4402" s="1821"/>
      <c r="W4402" s="1821"/>
      <c r="X4402" s="1821"/>
      <c r="Y4402" s="1821"/>
      <c r="Z4402" s="1821"/>
      <c r="AA4402" s="1821"/>
      <c r="AB4402" s="1821"/>
      <c r="AC4402" s="1821"/>
      <c r="AD4402" s="1821"/>
      <c r="AE4402" s="1821"/>
      <c r="AF4402" s="1821"/>
      <c r="AG4402" s="1821"/>
      <c r="AH4402" s="1821"/>
      <c r="AI4402" s="1821"/>
      <c r="AJ4402" s="1821"/>
      <c r="AK4402" s="1821"/>
      <c r="AL4402" s="1821"/>
      <c r="AM4402" s="1821"/>
      <c r="AN4402" s="1821"/>
      <c r="AO4402" s="1821"/>
      <c r="AP4402" s="1821"/>
      <c r="AQ4402" s="1821"/>
      <c r="AR4402" s="1821"/>
      <c r="AS4402" s="1821"/>
      <c r="AT4402" s="1821"/>
      <c r="AU4402" s="1821"/>
      <c r="AV4402" s="1821"/>
      <c r="AW4402" s="1821"/>
      <c r="AX4402" s="1821"/>
      <c r="AY4402" s="1821"/>
      <c r="AZ4402" s="1821"/>
      <c r="BA4402" s="1821"/>
      <c r="BB4402" s="1821"/>
      <c r="BC4402" s="1821"/>
      <c r="BD4402" s="1821"/>
      <c r="BE4402" s="1821"/>
      <c r="BF4402" s="1821"/>
      <c r="BG4402" s="1821"/>
      <c r="BH4402" s="1821"/>
      <c r="BI4402" s="1821"/>
      <c r="BJ4402" s="1821"/>
      <c r="BK4402" s="1821"/>
      <c r="BL4402" s="1821"/>
      <c r="BM4402" s="1821"/>
      <c r="BN4402" s="1821"/>
      <c r="BO4402" s="1821"/>
      <c r="BP4402" s="1821"/>
      <c r="BQ4402" s="1821"/>
      <c r="BR4402" s="1821"/>
      <c r="BS4402" s="1821"/>
      <c r="BT4402" s="1821"/>
      <c r="BU4402" s="1821"/>
      <c r="BV4402" s="1821"/>
      <c r="BW4402" s="1821"/>
      <c r="BX4402" s="1821"/>
      <c r="BY4402" s="1821"/>
      <c r="BZ4402" s="1821"/>
      <c r="CA4402" s="1821"/>
      <c r="CB4402" s="1821"/>
      <c r="CC4402" s="1821"/>
      <c r="CD4402" s="1821"/>
      <c r="CE4402" s="1821"/>
      <c r="CF4402" s="1821"/>
      <c r="CG4402" s="1821"/>
      <c r="CH4402" s="1821"/>
      <c r="CI4402" s="1821"/>
      <c r="CJ4402" s="1821"/>
      <c r="CK4402" s="1821"/>
    </row>
    <row r="4403" spans="1:89" s="675" customFormat="1" ht="16.5" customHeight="1" x14ac:dyDescent="0.25">
      <c r="A4403" s="849" t="s">
        <v>242</v>
      </c>
      <c r="B4403" s="1061" t="s">
        <v>476</v>
      </c>
      <c r="C4403" s="835"/>
      <c r="D4403" s="1062"/>
      <c r="E4403" s="825"/>
      <c r="F4403" s="825"/>
      <c r="G4403" s="825"/>
      <c r="H4403" s="825"/>
      <c r="I4403" s="825"/>
      <c r="J4403" s="825"/>
      <c r="K4403" s="825"/>
      <c r="L4403" s="825"/>
      <c r="M4403" s="825"/>
      <c r="N4403" s="825"/>
      <c r="O4403" s="826"/>
      <c r="P4403" s="702"/>
      <c r="Q4403" s="1821"/>
      <c r="R4403" s="1821"/>
      <c r="S4403" s="1821"/>
      <c r="T4403" s="1821"/>
      <c r="U4403" s="1821"/>
      <c r="V4403" s="1821"/>
      <c r="W4403" s="1821"/>
      <c r="X4403" s="1821"/>
      <c r="Y4403" s="1821"/>
      <c r="Z4403" s="1821"/>
      <c r="AA4403" s="1821"/>
      <c r="AB4403" s="1821"/>
      <c r="AC4403" s="1821"/>
      <c r="AD4403" s="1821"/>
      <c r="AE4403" s="1821"/>
      <c r="AF4403" s="1821"/>
      <c r="AG4403" s="1821"/>
      <c r="AH4403" s="1821"/>
      <c r="AI4403" s="1821"/>
      <c r="AJ4403" s="1821"/>
      <c r="AK4403" s="1821"/>
      <c r="AL4403" s="1821"/>
      <c r="AM4403" s="1821"/>
      <c r="AN4403" s="1821"/>
      <c r="AO4403" s="1821"/>
      <c r="AP4403" s="1821"/>
      <c r="AQ4403" s="1821"/>
      <c r="AR4403" s="1821"/>
      <c r="AS4403" s="1821"/>
      <c r="AT4403" s="1821"/>
      <c r="AU4403" s="1821"/>
      <c r="AV4403" s="1821"/>
      <c r="AW4403" s="1821"/>
      <c r="AX4403" s="1821"/>
      <c r="AY4403" s="1821"/>
      <c r="AZ4403" s="1821"/>
      <c r="BA4403" s="1821"/>
      <c r="BB4403" s="1821"/>
      <c r="BC4403" s="1821"/>
      <c r="BD4403" s="1821"/>
      <c r="BE4403" s="1821"/>
      <c r="BF4403" s="1821"/>
      <c r="BG4403" s="1821"/>
      <c r="BH4403" s="1821"/>
      <c r="BI4403" s="1821"/>
      <c r="BJ4403" s="1821"/>
      <c r="BK4403" s="1821"/>
      <c r="BL4403" s="1821"/>
      <c r="BM4403" s="1821"/>
      <c r="BN4403" s="1821"/>
      <c r="BO4403" s="1821"/>
      <c r="BP4403" s="1821"/>
      <c r="BQ4403" s="1821"/>
      <c r="BR4403" s="1821"/>
      <c r="BS4403" s="1821"/>
      <c r="BT4403" s="1821"/>
      <c r="BU4403" s="1821"/>
      <c r="BV4403" s="1821"/>
      <c r="BW4403" s="1821"/>
      <c r="BX4403" s="1821"/>
      <c r="BY4403" s="1821"/>
      <c r="BZ4403" s="1821"/>
      <c r="CA4403" s="1821"/>
      <c r="CB4403" s="1821"/>
      <c r="CC4403" s="1821"/>
      <c r="CD4403" s="1821"/>
      <c r="CE4403" s="1821"/>
      <c r="CF4403" s="1821"/>
      <c r="CG4403" s="1821"/>
      <c r="CH4403" s="1821"/>
      <c r="CI4403" s="1821"/>
      <c r="CJ4403" s="1821"/>
      <c r="CK4403" s="1821"/>
    </row>
    <row r="4404" spans="1:89" s="675" customFormat="1" ht="16.5" customHeight="1" x14ac:dyDescent="0.25">
      <c r="A4404" s="849"/>
      <c r="B4404" s="1061"/>
      <c r="C4404" s="835"/>
      <c r="D4404" s="1062"/>
      <c r="E4404" s="825"/>
      <c r="F4404" s="825"/>
      <c r="G4404" s="825"/>
      <c r="H4404" s="825"/>
      <c r="I4404" s="825"/>
      <c r="J4404" s="825"/>
      <c r="K4404" s="825"/>
      <c r="L4404" s="825"/>
      <c r="M4404" s="825"/>
      <c r="N4404" s="825"/>
      <c r="O4404" s="826"/>
      <c r="P4404" s="702"/>
      <c r="Q4404" s="1821"/>
      <c r="R4404" s="1821"/>
      <c r="S4404" s="1821"/>
      <c r="T4404" s="1821"/>
      <c r="U4404" s="1821"/>
      <c r="V4404" s="1821"/>
      <c r="W4404" s="1821"/>
      <c r="X4404" s="1821"/>
      <c r="Y4404" s="1821"/>
      <c r="Z4404" s="1821"/>
      <c r="AA4404" s="1821"/>
      <c r="AB4404" s="1821"/>
      <c r="AC4404" s="1821"/>
      <c r="AD4404" s="1821"/>
      <c r="AE4404" s="1821"/>
      <c r="AF4404" s="1821"/>
      <c r="AG4404" s="1821"/>
      <c r="AH4404" s="1821"/>
      <c r="AI4404" s="1821"/>
      <c r="AJ4404" s="1821"/>
      <c r="AK4404" s="1821"/>
      <c r="AL4404" s="1821"/>
      <c r="AM4404" s="1821"/>
      <c r="AN4404" s="1821"/>
      <c r="AO4404" s="1821"/>
      <c r="AP4404" s="1821"/>
      <c r="AQ4404" s="1821"/>
      <c r="AR4404" s="1821"/>
      <c r="AS4404" s="1821"/>
      <c r="AT4404" s="1821"/>
      <c r="AU4404" s="1821"/>
      <c r="AV4404" s="1821"/>
      <c r="AW4404" s="1821"/>
      <c r="AX4404" s="1821"/>
      <c r="AY4404" s="1821"/>
      <c r="AZ4404" s="1821"/>
      <c r="BA4404" s="1821"/>
      <c r="BB4404" s="1821"/>
      <c r="BC4404" s="1821"/>
      <c r="BD4404" s="1821"/>
      <c r="BE4404" s="1821"/>
      <c r="BF4404" s="1821"/>
      <c r="BG4404" s="1821"/>
      <c r="BH4404" s="1821"/>
      <c r="BI4404" s="1821"/>
      <c r="BJ4404" s="1821"/>
      <c r="BK4404" s="1821"/>
      <c r="BL4404" s="1821"/>
      <c r="BM4404" s="1821"/>
      <c r="BN4404" s="1821"/>
      <c r="BO4404" s="1821"/>
      <c r="BP4404" s="1821"/>
      <c r="BQ4404" s="1821"/>
      <c r="BR4404" s="1821"/>
      <c r="BS4404" s="1821"/>
      <c r="BT4404" s="1821"/>
      <c r="BU4404" s="1821"/>
      <c r="BV4404" s="1821"/>
      <c r="BW4404" s="1821"/>
      <c r="BX4404" s="1821"/>
      <c r="BY4404" s="1821"/>
      <c r="BZ4404" s="1821"/>
      <c r="CA4404" s="1821"/>
      <c r="CB4404" s="1821"/>
      <c r="CC4404" s="1821"/>
      <c r="CD4404" s="1821"/>
      <c r="CE4404" s="1821"/>
      <c r="CF4404" s="1821"/>
      <c r="CG4404" s="1821"/>
      <c r="CH4404" s="1821"/>
      <c r="CI4404" s="1821"/>
      <c r="CJ4404" s="1821"/>
      <c r="CK4404" s="1821"/>
    </row>
    <row r="4405" spans="1:89" s="675" customFormat="1" ht="16.5" customHeight="1" x14ac:dyDescent="0.25">
      <c r="A4405" s="849">
        <v>511111</v>
      </c>
      <c r="B4405" s="1061" t="s">
        <v>477</v>
      </c>
      <c r="C4405" s="835"/>
      <c r="D4405" s="1062"/>
      <c r="E4405" s="825"/>
      <c r="F4405" s="825"/>
      <c r="G4405" s="825"/>
      <c r="H4405" s="825"/>
      <c r="I4405" s="825"/>
      <c r="J4405" s="825"/>
      <c r="K4405" s="825"/>
      <c r="L4405" s="825"/>
      <c r="M4405" s="825"/>
      <c r="N4405" s="825"/>
      <c r="O4405" s="826">
        <f t="shared" ref="O4405:O4493" si="501">N4405+K4405+H4405</f>
        <v>0</v>
      </c>
      <c r="P4405" s="702"/>
      <c r="Q4405" s="1821"/>
      <c r="R4405" s="1821"/>
      <c r="S4405" s="1821"/>
      <c r="T4405" s="1821"/>
      <c r="U4405" s="1821"/>
      <c r="V4405" s="1821"/>
      <c r="W4405" s="1821"/>
      <c r="X4405" s="1821"/>
      <c r="Y4405" s="1821"/>
      <c r="Z4405" s="1821"/>
      <c r="AA4405" s="1821"/>
      <c r="AB4405" s="1821"/>
      <c r="AC4405" s="1821"/>
      <c r="AD4405" s="1821"/>
      <c r="AE4405" s="1821"/>
      <c r="AF4405" s="1821"/>
      <c r="AG4405" s="1821"/>
      <c r="AH4405" s="1821"/>
      <c r="AI4405" s="1821"/>
      <c r="AJ4405" s="1821"/>
      <c r="AK4405" s="1821"/>
      <c r="AL4405" s="1821"/>
      <c r="AM4405" s="1821"/>
      <c r="AN4405" s="1821"/>
      <c r="AO4405" s="1821"/>
      <c r="AP4405" s="1821"/>
      <c r="AQ4405" s="1821"/>
      <c r="AR4405" s="1821"/>
      <c r="AS4405" s="1821"/>
      <c r="AT4405" s="1821"/>
      <c r="AU4405" s="1821"/>
      <c r="AV4405" s="1821"/>
      <c r="AW4405" s="1821"/>
      <c r="AX4405" s="1821"/>
      <c r="AY4405" s="1821"/>
      <c r="AZ4405" s="1821"/>
      <c r="BA4405" s="1821"/>
      <c r="BB4405" s="1821"/>
      <c r="BC4405" s="1821"/>
      <c r="BD4405" s="1821"/>
      <c r="BE4405" s="1821"/>
      <c r="BF4405" s="1821"/>
      <c r="BG4405" s="1821"/>
      <c r="BH4405" s="1821"/>
      <c r="BI4405" s="1821"/>
      <c r="BJ4405" s="1821"/>
      <c r="BK4405" s="1821"/>
      <c r="BL4405" s="1821"/>
      <c r="BM4405" s="1821"/>
      <c r="BN4405" s="1821"/>
      <c r="BO4405" s="1821"/>
      <c r="BP4405" s="1821"/>
      <c r="BQ4405" s="1821"/>
      <c r="BR4405" s="1821"/>
      <c r="BS4405" s="1821"/>
      <c r="BT4405" s="1821"/>
      <c r="BU4405" s="1821"/>
      <c r="BV4405" s="1821"/>
      <c r="BW4405" s="1821"/>
      <c r="BX4405" s="1821"/>
      <c r="BY4405" s="1821"/>
      <c r="BZ4405" s="1821"/>
      <c r="CA4405" s="1821"/>
      <c r="CB4405" s="1821"/>
      <c r="CC4405" s="1821"/>
      <c r="CD4405" s="1821"/>
      <c r="CE4405" s="1821"/>
      <c r="CF4405" s="1821"/>
      <c r="CG4405" s="1821"/>
      <c r="CH4405" s="1821"/>
      <c r="CI4405" s="1821"/>
      <c r="CJ4405" s="1821"/>
      <c r="CK4405" s="1821"/>
    </row>
    <row r="4406" spans="1:89" s="675" customFormat="1" ht="16.5" customHeight="1" x14ac:dyDescent="0.25">
      <c r="A4406" s="849"/>
      <c r="B4406" s="1061" t="s">
        <v>2247</v>
      </c>
      <c r="C4406" s="835"/>
      <c r="D4406" s="1062"/>
      <c r="E4406" s="825"/>
      <c r="F4406" s="825"/>
      <c r="G4406" s="825"/>
      <c r="H4406" s="825"/>
      <c r="I4406" s="825"/>
      <c r="J4406" s="825"/>
      <c r="K4406" s="825"/>
      <c r="L4406" s="825"/>
      <c r="M4406" s="825"/>
      <c r="N4406" s="825"/>
      <c r="O4406" s="826">
        <f t="shared" si="501"/>
        <v>0</v>
      </c>
      <c r="P4406" s="702"/>
      <c r="Q4406" s="1821"/>
      <c r="R4406" s="1821"/>
      <c r="S4406" s="1821"/>
      <c r="T4406" s="1821"/>
      <c r="U4406" s="1821"/>
      <c r="V4406" s="1821"/>
      <c r="W4406" s="1821"/>
      <c r="X4406" s="1821"/>
      <c r="Y4406" s="1821"/>
      <c r="Z4406" s="1821"/>
      <c r="AA4406" s="1821"/>
      <c r="AB4406" s="1821"/>
      <c r="AC4406" s="1821"/>
      <c r="AD4406" s="1821"/>
      <c r="AE4406" s="1821"/>
      <c r="AF4406" s="1821"/>
      <c r="AG4406" s="1821"/>
      <c r="AH4406" s="1821"/>
      <c r="AI4406" s="1821"/>
      <c r="AJ4406" s="1821"/>
      <c r="AK4406" s="1821"/>
      <c r="AL4406" s="1821"/>
      <c r="AM4406" s="1821"/>
      <c r="AN4406" s="1821"/>
      <c r="AO4406" s="1821"/>
      <c r="AP4406" s="1821"/>
      <c r="AQ4406" s="1821"/>
      <c r="AR4406" s="1821"/>
      <c r="AS4406" s="1821"/>
      <c r="AT4406" s="1821"/>
      <c r="AU4406" s="1821"/>
      <c r="AV4406" s="1821"/>
      <c r="AW4406" s="1821"/>
      <c r="AX4406" s="1821"/>
      <c r="AY4406" s="1821"/>
      <c r="AZ4406" s="1821"/>
      <c r="BA4406" s="1821"/>
      <c r="BB4406" s="1821"/>
      <c r="BC4406" s="1821"/>
      <c r="BD4406" s="1821"/>
      <c r="BE4406" s="1821"/>
      <c r="BF4406" s="1821"/>
      <c r="BG4406" s="1821"/>
      <c r="BH4406" s="1821"/>
      <c r="BI4406" s="1821"/>
      <c r="BJ4406" s="1821"/>
      <c r="BK4406" s="1821"/>
      <c r="BL4406" s="1821"/>
      <c r="BM4406" s="1821"/>
      <c r="BN4406" s="1821"/>
      <c r="BO4406" s="1821"/>
      <c r="BP4406" s="1821"/>
      <c r="BQ4406" s="1821"/>
      <c r="BR4406" s="1821"/>
      <c r="BS4406" s="1821"/>
      <c r="BT4406" s="1821"/>
      <c r="BU4406" s="1821"/>
      <c r="BV4406" s="1821"/>
      <c r="BW4406" s="1821"/>
      <c r="BX4406" s="1821"/>
      <c r="BY4406" s="1821"/>
      <c r="BZ4406" s="1821"/>
      <c r="CA4406" s="1821"/>
      <c r="CB4406" s="1821"/>
      <c r="CC4406" s="1821"/>
      <c r="CD4406" s="1821"/>
      <c r="CE4406" s="1821"/>
      <c r="CF4406" s="1821"/>
      <c r="CG4406" s="1821"/>
      <c r="CH4406" s="1821"/>
      <c r="CI4406" s="1821"/>
      <c r="CJ4406" s="1821"/>
      <c r="CK4406" s="1821"/>
    </row>
    <row r="4407" spans="1:89" s="675" customFormat="1" ht="16.5" customHeight="1" x14ac:dyDescent="0.25">
      <c r="A4407" s="849"/>
      <c r="B4407" s="1061" t="s">
        <v>478</v>
      </c>
      <c r="C4407" s="835">
        <v>1</v>
      </c>
      <c r="D4407" s="1062" t="s">
        <v>25</v>
      </c>
      <c r="E4407" s="825">
        <v>2534893.79</v>
      </c>
      <c r="F4407" s="825">
        <f>E4407*C4407</f>
        <v>2534893.79</v>
      </c>
      <c r="G4407" s="825"/>
      <c r="H4407" s="825">
        <f>G4407+F4407</f>
        <v>2534893.79</v>
      </c>
      <c r="I4407" s="825"/>
      <c r="J4407" s="825"/>
      <c r="K4407" s="825"/>
      <c r="L4407" s="825"/>
      <c r="M4407" s="825"/>
      <c r="N4407" s="825"/>
      <c r="O4407" s="826">
        <f t="shared" si="501"/>
        <v>2534893.79</v>
      </c>
      <c r="P4407" s="702"/>
      <c r="Q4407" s="1821"/>
      <c r="R4407" s="1821"/>
      <c r="S4407" s="1821"/>
      <c r="T4407" s="1821"/>
      <c r="U4407" s="1821"/>
      <c r="V4407" s="1821"/>
      <c r="W4407" s="1821"/>
      <c r="X4407" s="1821"/>
      <c r="Y4407" s="1821"/>
      <c r="Z4407" s="1821"/>
      <c r="AA4407" s="1821"/>
      <c r="AB4407" s="1821"/>
      <c r="AC4407" s="1821"/>
      <c r="AD4407" s="1821"/>
      <c r="AE4407" s="1821"/>
      <c r="AF4407" s="1821"/>
      <c r="AG4407" s="1821"/>
      <c r="AH4407" s="1821"/>
      <c r="AI4407" s="1821"/>
      <c r="AJ4407" s="1821"/>
      <c r="AK4407" s="1821"/>
      <c r="AL4407" s="1821"/>
      <c r="AM4407" s="1821"/>
      <c r="AN4407" s="1821"/>
      <c r="AO4407" s="1821"/>
      <c r="AP4407" s="1821"/>
      <c r="AQ4407" s="1821"/>
      <c r="AR4407" s="1821"/>
      <c r="AS4407" s="1821"/>
      <c r="AT4407" s="1821"/>
      <c r="AU4407" s="1821"/>
      <c r="AV4407" s="1821"/>
      <c r="AW4407" s="1821"/>
      <c r="AX4407" s="1821"/>
      <c r="AY4407" s="1821"/>
      <c r="AZ4407" s="1821"/>
      <c r="BA4407" s="1821"/>
      <c r="BB4407" s="1821"/>
      <c r="BC4407" s="1821"/>
      <c r="BD4407" s="1821"/>
      <c r="BE4407" s="1821"/>
      <c r="BF4407" s="1821"/>
      <c r="BG4407" s="1821"/>
      <c r="BH4407" s="1821"/>
      <c r="BI4407" s="1821"/>
      <c r="BJ4407" s="1821"/>
      <c r="BK4407" s="1821"/>
      <c r="BL4407" s="1821"/>
      <c r="BM4407" s="1821"/>
      <c r="BN4407" s="1821"/>
      <c r="BO4407" s="1821"/>
      <c r="BP4407" s="1821"/>
      <c r="BQ4407" s="1821"/>
      <c r="BR4407" s="1821"/>
      <c r="BS4407" s="1821"/>
      <c r="BT4407" s="1821"/>
      <c r="BU4407" s="1821"/>
      <c r="BV4407" s="1821"/>
      <c r="BW4407" s="1821"/>
      <c r="BX4407" s="1821"/>
      <c r="BY4407" s="1821"/>
      <c r="BZ4407" s="1821"/>
      <c r="CA4407" s="1821"/>
      <c r="CB4407" s="1821"/>
      <c r="CC4407" s="1821"/>
      <c r="CD4407" s="1821"/>
      <c r="CE4407" s="1821"/>
      <c r="CF4407" s="1821"/>
      <c r="CG4407" s="1821"/>
      <c r="CH4407" s="1821"/>
      <c r="CI4407" s="1821"/>
      <c r="CJ4407" s="1821"/>
      <c r="CK4407" s="1821"/>
    </row>
    <row r="4408" spans="1:89" s="675" customFormat="1" ht="16.5" customHeight="1" x14ac:dyDescent="0.25">
      <c r="A4408" s="849"/>
      <c r="B4408" s="1061" t="s">
        <v>479</v>
      </c>
      <c r="C4408" s="835">
        <v>1</v>
      </c>
      <c r="D4408" s="1062" t="s">
        <v>45</v>
      </c>
      <c r="E4408" s="825">
        <v>194991.83</v>
      </c>
      <c r="F4408" s="825">
        <f>E4408*C4408</f>
        <v>194991.83</v>
      </c>
      <c r="G4408" s="825"/>
      <c r="H4408" s="825">
        <f>G4408+F4408</f>
        <v>194991.83</v>
      </c>
      <c r="I4408" s="825"/>
      <c r="J4408" s="825"/>
      <c r="K4408" s="825"/>
      <c r="L4408" s="825"/>
      <c r="M4408" s="825"/>
      <c r="N4408" s="825"/>
      <c r="O4408" s="826">
        <f t="shared" si="501"/>
        <v>194991.83</v>
      </c>
      <c r="P4408" s="702"/>
      <c r="Q4408" s="1821"/>
      <c r="R4408" s="1821"/>
      <c r="S4408" s="1821"/>
      <c r="T4408" s="1821"/>
      <c r="U4408" s="1821"/>
      <c r="V4408" s="1821"/>
      <c r="W4408" s="1821"/>
      <c r="X4408" s="1821"/>
      <c r="Y4408" s="1821"/>
      <c r="Z4408" s="1821"/>
      <c r="AA4408" s="1821"/>
      <c r="AB4408" s="1821"/>
      <c r="AC4408" s="1821"/>
      <c r="AD4408" s="1821"/>
      <c r="AE4408" s="1821"/>
      <c r="AF4408" s="1821"/>
      <c r="AG4408" s="1821"/>
      <c r="AH4408" s="1821"/>
      <c r="AI4408" s="1821"/>
      <c r="AJ4408" s="1821"/>
      <c r="AK4408" s="1821"/>
      <c r="AL4408" s="1821"/>
      <c r="AM4408" s="1821"/>
      <c r="AN4408" s="1821"/>
      <c r="AO4408" s="1821"/>
      <c r="AP4408" s="1821"/>
      <c r="AQ4408" s="1821"/>
      <c r="AR4408" s="1821"/>
      <c r="AS4408" s="1821"/>
      <c r="AT4408" s="1821"/>
      <c r="AU4408" s="1821"/>
      <c r="AV4408" s="1821"/>
      <c r="AW4408" s="1821"/>
      <c r="AX4408" s="1821"/>
      <c r="AY4408" s="1821"/>
      <c r="AZ4408" s="1821"/>
      <c r="BA4408" s="1821"/>
      <c r="BB4408" s="1821"/>
      <c r="BC4408" s="1821"/>
      <c r="BD4408" s="1821"/>
      <c r="BE4408" s="1821"/>
      <c r="BF4408" s="1821"/>
      <c r="BG4408" s="1821"/>
      <c r="BH4408" s="1821"/>
      <c r="BI4408" s="1821"/>
      <c r="BJ4408" s="1821"/>
      <c r="BK4408" s="1821"/>
      <c r="BL4408" s="1821"/>
      <c r="BM4408" s="1821"/>
      <c r="BN4408" s="1821"/>
      <c r="BO4408" s="1821"/>
      <c r="BP4408" s="1821"/>
      <c r="BQ4408" s="1821"/>
      <c r="BR4408" s="1821"/>
      <c r="BS4408" s="1821"/>
      <c r="BT4408" s="1821"/>
      <c r="BU4408" s="1821"/>
      <c r="BV4408" s="1821"/>
      <c r="BW4408" s="1821"/>
      <c r="BX4408" s="1821"/>
      <c r="BY4408" s="1821"/>
      <c r="BZ4408" s="1821"/>
      <c r="CA4408" s="1821"/>
      <c r="CB4408" s="1821"/>
      <c r="CC4408" s="1821"/>
      <c r="CD4408" s="1821"/>
      <c r="CE4408" s="1821"/>
      <c r="CF4408" s="1821"/>
      <c r="CG4408" s="1821"/>
      <c r="CH4408" s="1821"/>
      <c r="CI4408" s="1821"/>
      <c r="CJ4408" s="1821"/>
      <c r="CK4408" s="1821"/>
    </row>
    <row r="4409" spans="1:89" s="675" customFormat="1" ht="16.5" customHeight="1" x14ac:dyDescent="0.25">
      <c r="A4409" s="849"/>
      <c r="B4409" s="1061" t="s">
        <v>480</v>
      </c>
      <c r="C4409" s="835">
        <v>1</v>
      </c>
      <c r="D4409" s="1062" t="s">
        <v>25</v>
      </c>
      <c r="E4409" s="825">
        <v>253489.37900000002</v>
      </c>
      <c r="F4409" s="825">
        <f>E4409*C4409</f>
        <v>253489.37900000002</v>
      </c>
      <c r="G4409" s="825"/>
      <c r="H4409" s="825">
        <f>G4409+F4409</f>
        <v>253489.37900000002</v>
      </c>
      <c r="I4409" s="825"/>
      <c r="J4409" s="825"/>
      <c r="K4409" s="825"/>
      <c r="L4409" s="825"/>
      <c r="M4409" s="825"/>
      <c r="N4409" s="825"/>
      <c r="O4409" s="826">
        <f t="shared" si="501"/>
        <v>253489.37900000002</v>
      </c>
      <c r="P4409" s="702"/>
      <c r="Q4409" s="1821"/>
      <c r="R4409" s="1821"/>
      <c r="S4409" s="1821"/>
      <c r="T4409" s="1821"/>
      <c r="U4409" s="1821"/>
      <c r="V4409" s="1821"/>
      <c r="W4409" s="1821"/>
      <c r="X4409" s="1821"/>
      <c r="Y4409" s="1821"/>
      <c r="Z4409" s="1821"/>
      <c r="AA4409" s="1821"/>
      <c r="AB4409" s="1821"/>
      <c r="AC4409" s="1821"/>
      <c r="AD4409" s="1821"/>
      <c r="AE4409" s="1821"/>
      <c r="AF4409" s="1821"/>
      <c r="AG4409" s="1821"/>
      <c r="AH4409" s="1821"/>
      <c r="AI4409" s="1821"/>
      <c r="AJ4409" s="1821"/>
      <c r="AK4409" s="1821"/>
      <c r="AL4409" s="1821"/>
      <c r="AM4409" s="1821"/>
      <c r="AN4409" s="1821"/>
      <c r="AO4409" s="1821"/>
      <c r="AP4409" s="1821"/>
      <c r="AQ4409" s="1821"/>
      <c r="AR4409" s="1821"/>
      <c r="AS4409" s="1821"/>
      <c r="AT4409" s="1821"/>
      <c r="AU4409" s="1821"/>
      <c r="AV4409" s="1821"/>
      <c r="AW4409" s="1821"/>
      <c r="AX4409" s="1821"/>
      <c r="AY4409" s="1821"/>
      <c r="AZ4409" s="1821"/>
      <c r="BA4409" s="1821"/>
      <c r="BB4409" s="1821"/>
      <c r="BC4409" s="1821"/>
      <c r="BD4409" s="1821"/>
      <c r="BE4409" s="1821"/>
      <c r="BF4409" s="1821"/>
      <c r="BG4409" s="1821"/>
      <c r="BH4409" s="1821"/>
      <c r="BI4409" s="1821"/>
      <c r="BJ4409" s="1821"/>
      <c r="BK4409" s="1821"/>
      <c r="BL4409" s="1821"/>
      <c r="BM4409" s="1821"/>
      <c r="BN4409" s="1821"/>
      <c r="BO4409" s="1821"/>
      <c r="BP4409" s="1821"/>
      <c r="BQ4409" s="1821"/>
      <c r="BR4409" s="1821"/>
      <c r="BS4409" s="1821"/>
      <c r="BT4409" s="1821"/>
      <c r="BU4409" s="1821"/>
      <c r="BV4409" s="1821"/>
      <c r="BW4409" s="1821"/>
      <c r="BX4409" s="1821"/>
      <c r="BY4409" s="1821"/>
      <c r="BZ4409" s="1821"/>
      <c r="CA4409" s="1821"/>
      <c r="CB4409" s="1821"/>
      <c r="CC4409" s="1821"/>
      <c r="CD4409" s="1821"/>
      <c r="CE4409" s="1821"/>
      <c r="CF4409" s="1821"/>
      <c r="CG4409" s="1821"/>
      <c r="CH4409" s="1821"/>
      <c r="CI4409" s="1821"/>
      <c r="CJ4409" s="1821"/>
      <c r="CK4409" s="1821"/>
    </row>
    <row r="4410" spans="1:89" s="675" customFormat="1" ht="16.5" customHeight="1" x14ac:dyDescent="0.25">
      <c r="A4410" s="849"/>
      <c r="B4410" s="1061"/>
      <c r="C4410" s="835"/>
      <c r="D4410" s="1062"/>
      <c r="E4410" s="825"/>
      <c r="F4410" s="825"/>
      <c r="G4410" s="825"/>
      <c r="H4410" s="825"/>
      <c r="I4410" s="825"/>
      <c r="J4410" s="825"/>
      <c r="K4410" s="825"/>
      <c r="L4410" s="825"/>
      <c r="M4410" s="825"/>
      <c r="N4410" s="825"/>
      <c r="O4410" s="826"/>
      <c r="P4410" s="702"/>
      <c r="Q4410" s="1821"/>
      <c r="R4410" s="1821"/>
      <c r="S4410" s="1821"/>
      <c r="T4410" s="1821"/>
      <c r="U4410" s="1821"/>
      <c r="V4410" s="1821"/>
      <c r="W4410" s="1821"/>
      <c r="X4410" s="1821"/>
      <c r="Y4410" s="1821"/>
      <c r="Z4410" s="1821"/>
      <c r="AA4410" s="1821"/>
      <c r="AB4410" s="1821"/>
      <c r="AC4410" s="1821"/>
      <c r="AD4410" s="1821"/>
      <c r="AE4410" s="1821"/>
      <c r="AF4410" s="1821"/>
      <c r="AG4410" s="1821"/>
      <c r="AH4410" s="1821"/>
      <c r="AI4410" s="1821"/>
      <c r="AJ4410" s="1821"/>
      <c r="AK4410" s="1821"/>
      <c r="AL4410" s="1821"/>
      <c r="AM4410" s="1821"/>
      <c r="AN4410" s="1821"/>
      <c r="AO4410" s="1821"/>
      <c r="AP4410" s="1821"/>
      <c r="AQ4410" s="1821"/>
      <c r="AR4410" s="1821"/>
      <c r="AS4410" s="1821"/>
      <c r="AT4410" s="1821"/>
      <c r="AU4410" s="1821"/>
      <c r="AV4410" s="1821"/>
      <c r="AW4410" s="1821"/>
      <c r="AX4410" s="1821"/>
      <c r="AY4410" s="1821"/>
      <c r="AZ4410" s="1821"/>
      <c r="BA4410" s="1821"/>
      <c r="BB4410" s="1821"/>
      <c r="BC4410" s="1821"/>
      <c r="BD4410" s="1821"/>
      <c r="BE4410" s="1821"/>
      <c r="BF4410" s="1821"/>
      <c r="BG4410" s="1821"/>
      <c r="BH4410" s="1821"/>
      <c r="BI4410" s="1821"/>
      <c r="BJ4410" s="1821"/>
      <c r="BK4410" s="1821"/>
      <c r="BL4410" s="1821"/>
      <c r="BM4410" s="1821"/>
      <c r="BN4410" s="1821"/>
      <c r="BO4410" s="1821"/>
      <c r="BP4410" s="1821"/>
      <c r="BQ4410" s="1821"/>
      <c r="BR4410" s="1821"/>
      <c r="BS4410" s="1821"/>
      <c r="BT4410" s="1821"/>
      <c r="BU4410" s="1821"/>
      <c r="BV4410" s="1821"/>
      <c r="BW4410" s="1821"/>
      <c r="BX4410" s="1821"/>
      <c r="BY4410" s="1821"/>
      <c r="BZ4410" s="1821"/>
      <c r="CA4410" s="1821"/>
      <c r="CB4410" s="1821"/>
      <c r="CC4410" s="1821"/>
      <c r="CD4410" s="1821"/>
      <c r="CE4410" s="1821"/>
      <c r="CF4410" s="1821"/>
      <c r="CG4410" s="1821"/>
      <c r="CH4410" s="1821"/>
      <c r="CI4410" s="1821"/>
      <c r="CJ4410" s="1821"/>
      <c r="CK4410" s="1821"/>
    </row>
    <row r="4411" spans="1:89" s="675" customFormat="1" ht="16.5" customHeight="1" x14ac:dyDescent="0.25">
      <c r="A4411" s="849">
        <v>511119</v>
      </c>
      <c r="B4411" s="1061" t="s">
        <v>481</v>
      </c>
      <c r="C4411" s="835"/>
      <c r="D4411" s="1062"/>
      <c r="E4411" s="825"/>
      <c r="F4411" s="825"/>
      <c r="G4411" s="825"/>
      <c r="H4411" s="825"/>
      <c r="I4411" s="825"/>
      <c r="J4411" s="825"/>
      <c r="K4411" s="825"/>
      <c r="L4411" s="825"/>
      <c r="M4411" s="825"/>
      <c r="N4411" s="825"/>
      <c r="O4411" s="826">
        <f t="shared" si="501"/>
        <v>0</v>
      </c>
      <c r="P4411" s="702"/>
      <c r="Q4411" s="1821"/>
      <c r="R4411" s="1821"/>
      <c r="S4411" s="1821"/>
      <c r="T4411" s="1821"/>
      <c r="U4411" s="1821"/>
      <c r="V4411" s="1821"/>
      <c r="W4411" s="1821"/>
      <c r="X4411" s="1821"/>
      <c r="Y4411" s="1821"/>
      <c r="Z4411" s="1821"/>
      <c r="AA4411" s="1821"/>
      <c r="AB4411" s="1821"/>
      <c r="AC4411" s="1821"/>
      <c r="AD4411" s="1821"/>
      <c r="AE4411" s="1821"/>
      <c r="AF4411" s="1821"/>
      <c r="AG4411" s="1821"/>
      <c r="AH4411" s="1821"/>
      <c r="AI4411" s="1821"/>
      <c r="AJ4411" s="1821"/>
      <c r="AK4411" s="1821"/>
      <c r="AL4411" s="1821"/>
      <c r="AM4411" s="1821"/>
      <c r="AN4411" s="1821"/>
      <c r="AO4411" s="1821"/>
      <c r="AP4411" s="1821"/>
      <c r="AQ4411" s="1821"/>
      <c r="AR4411" s="1821"/>
      <c r="AS4411" s="1821"/>
      <c r="AT4411" s="1821"/>
      <c r="AU4411" s="1821"/>
      <c r="AV4411" s="1821"/>
      <c r="AW4411" s="1821"/>
      <c r="AX4411" s="1821"/>
      <c r="AY4411" s="1821"/>
      <c r="AZ4411" s="1821"/>
      <c r="BA4411" s="1821"/>
      <c r="BB4411" s="1821"/>
      <c r="BC4411" s="1821"/>
      <c r="BD4411" s="1821"/>
      <c r="BE4411" s="1821"/>
      <c r="BF4411" s="1821"/>
      <c r="BG4411" s="1821"/>
      <c r="BH4411" s="1821"/>
      <c r="BI4411" s="1821"/>
      <c r="BJ4411" s="1821"/>
      <c r="BK4411" s="1821"/>
      <c r="BL4411" s="1821"/>
      <c r="BM4411" s="1821"/>
      <c r="BN4411" s="1821"/>
      <c r="BO4411" s="1821"/>
      <c r="BP4411" s="1821"/>
      <c r="BQ4411" s="1821"/>
      <c r="BR4411" s="1821"/>
      <c r="BS4411" s="1821"/>
      <c r="BT4411" s="1821"/>
      <c r="BU4411" s="1821"/>
      <c r="BV4411" s="1821"/>
      <c r="BW4411" s="1821"/>
      <c r="BX4411" s="1821"/>
      <c r="BY4411" s="1821"/>
      <c r="BZ4411" s="1821"/>
      <c r="CA4411" s="1821"/>
      <c r="CB4411" s="1821"/>
      <c r="CC4411" s="1821"/>
      <c r="CD4411" s="1821"/>
      <c r="CE4411" s="1821"/>
      <c r="CF4411" s="1821"/>
      <c r="CG4411" s="1821"/>
      <c r="CH4411" s="1821"/>
      <c r="CI4411" s="1821"/>
      <c r="CJ4411" s="1821"/>
      <c r="CK4411" s="1821"/>
    </row>
    <row r="4412" spans="1:89" s="675" customFormat="1" ht="16.5" customHeight="1" x14ac:dyDescent="0.25">
      <c r="A4412" s="849"/>
      <c r="B4412" s="1061" t="s">
        <v>2247</v>
      </c>
      <c r="C4412" s="835"/>
      <c r="D4412" s="1062"/>
      <c r="E4412" s="825"/>
      <c r="F4412" s="825"/>
      <c r="G4412" s="825"/>
      <c r="H4412" s="825"/>
      <c r="I4412" s="825"/>
      <c r="J4412" s="825"/>
      <c r="K4412" s="825"/>
      <c r="L4412" s="825"/>
      <c r="M4412" s="825"/>
      <c r="N4412" s="825"/>
      <c r="O4412" s="826">
        <f t="shared" si="501"/>
        <v>0</v>
      </c>
      <c r="P4412" s="702"/>
      <c r="Q4412" s="1821"/>
      <c r="R4412" s="1821"/>
      <c r="S4412" s="1821"/>
      <c r="T4412" s="1821"/>
      <c r="U4412" s="1821"/>
      <c r="V4412" s="1821"/>
      <c r="W4412" s="1821"/>
      <c r="X4412" s="1821"/>
      <c r="Y4412" s="1821"/>
      <c r="Z4412" s="1821"/>
      <c r="AA4412" s="1821"/>
      <c r="AB4412" s="1821"/>
      <c r="AC4412" s="1821"/>
      <c r="AD4412" s="1821"/>
      <c r="AE4412" s="1821"/>
      <c r="AF4412" s="1821"/>
      <c r="AG4412" s="1821"/>
      <c r="AH4412" s="1821"/>
      <c r="AI4412" s="1821"/>
      <c r="AJ4412" s="1821"/>
      <c r="AK4412" s="1821"/>
      <c r="AL4412" s="1821"/>
      <c r="AM4412" s="1821"/>
      <c r="AN4412" s="1821"/>
      <c r="AO4412" s="1821"/>
      <c r="AP4412" s="1821"/>
      <c r="AQ4412" s="1821"/>
      <c r="AR4412" s="1821"/>
      <c r="AS4412" s="1821"/>
      <c r="AT4412" s="1821"/>
      <c r="AU4412" s="1821"/>
      <c r="AV4412" s="1821"/>
      <c r="AW4412" s="1821"/>
      <c r="AX4412" s="1821"/>
      <c r="AY4412" s="1821"/>
      <c r="AZ4412" s="1821"/>
      <c r="BA4412" s="1821"/>
      <c r="BB4412" s="1821"/>
      <c r="BC4412" s="1821"/>
      <c r="BD4412" s="1821"/>
      <c r="BE4412" s="1821"/>
      <c r="BF4412" s="1821"/>
      <c r="BG4412" s="1821"/>
      <c r="BH4412" s="1821"/>
      <c r="BI4412" s="1821"/>
      <c r="BJ4412" s="1821"/>
      <c r="BK4412" s="1821"/>
      <c r="BL4412" s="1821"/>
      <c r="BM4412" s="1821"/>
      <c r="BN4412" s="1821"/>
      <c r="BO4412" s="1821"/>
      <c r="BP4412" s="1821"/>
      <c r="BQ4412" s="1821"/>
      <c r="BR4412" s="1821"/>
      <c r="BS4412" s="1821"/>
      <c r="BT4412" s="1821"/>
      <c r="BU4412" s="1821"/>
      <c r="BV4412" s="1821"/>
      <c r="BW4412" s="1821"/>
      <c r="BX4412" s="1821"/>
      <c r="BY4412" s="1821"/>
      <c r="BZ4412" s="1821"/>
      <c r="CA4412" s="1821"/>
      <c r="CB4412" s="1821"/>
      <c r="CC4412" s="1821"/>
      <c r="CD4412" s="1821"/>
      <c r="CE4412" s="1821"/>
      <c r="CF4412" s="1821"/>
      <c r="CG4412" s="1821"/>
      <c r="CH4412" s="1821"/>
      <c r="CI4412" s="1821"/>
      <c r="CJ4412" s="1821"/>
      <c r="CK4412" s="1821"/>
    </row>
    <row r="4413" spans="1:89" s="675" customFormat="1" ht="16.5" customHeight="1" x14ac:dyDescent="0.25">
      <c r="A4413" s="849"/>
      <c r="B4413" s="1061" t="s">
        <v>482</v>
      </c>
      <c r="C4413" s="835">
        <v>1</v>
      </c>
      <c r="D4413" s="1062" t="s">
        <v>25</v>
      </c>
      <c r="E4413" s="825">
        <v>72.8</v>
      </c>
      <c r="F4413" s="825">
        <f t="shared" ref="F4413:F4420" si="502">E4413*C4413</f>
        <v>72.8</v>
      </c>
      <c r="G4413" s="825"/>
      <c r="H4413" s="825">
        <f t="shared" ref="H4413:H4420" si="503">G4413+F4413</f>
        <v>72.8</v>
      </c>
      <c r="I4413" s="825"/>
      <c r="J4413" s="825"/>
      <c r="K4413" s="825"/>
      <c r="L4413" s="825"/>
      <c r="M4413" s="825"/>
      <c r="N4413" s="825"/>
      <c r="O4413" s="826">
        <f t="shared" si="501"/>
        <v>72.8</v>
      </c>
      <c r="P4413" s="702"/>
      <c r="Q4413" s="1821"/>
      <c r="R4413" s="1821"/>
      <c r="S4413" s="1821"/>
      <c r="T4413" s="1821"/>
      <c r="U4413" s="1821"/>
      <c r="V4413" s="1821"/>
      <c r="W4413" s="1821"/>
      <c r="X4413" s="1821"/>
      <c r="Y4413" s="1821"/>
      <c r="Z4413" s="1821"/>
      <c r="AA4413" s="1821"/>
      <c r="AB4413" s="1821"/>
      <c r="AC4413" s="1821"/>
      <c r="AD4413" s="1821"/>
      <c r="AE4413" s="1821"/>
      <c r="AF4413" s="1821"/>
      <c r="AG4413" s="1821"/>
      <c r="AH4413" s="1821"/>
      <c r="AI4413" s="1821"/>
      <c r="AJ4413" s="1821"/>
      <c r="AK4413" s="1821"/>
      <c r="AL4413" s="1821"/>
      <c r="AM4413" s="1821"/>
      <c r="AN4413" s="1821"/>
      <c r="AO4413" s="1821"/>
      <c r="AP4413" s="1821"/>
      <c r="AQ4413" s="1821"/>
      <c r="AR4413" s="1821"/>
      <c r="AS4413" s="1821"/>
      <c r="AT4413" s="1821"/>
      <c r="AU4413" s="1821"/>
      <c r="AV4413" s="1821"/>
      <c r="AW4413" s="1821"/>
      <c r="AX4413" s="1821"/>
      <c r="AY4413" s="1821"/>
      <c r="AZ4413" s="1821"/>
      <c r="BA4413" s="1821"/>
      <c r="BB4413" s="1821"/>
      <c r="BC4413" s="1821"/>
      <c r="BD4413" s="1821"/>
      <c r="BE4413" s="1821"/>
      <c r="BF4413" s="1821"/>
      <c r="BG4413" s="1821"/>
      <c r="BH4413" s="1821"/>
      <c r="BI4413" s="1821"/>
      <c r="BJ4413" s="1821"/>
      <c r="BK4413" s="1821"/>
      <c r="BL4413" s="1821"/>
      <c r="BM4413" s="1821"/>
      <c r="BN4413" s="1821"/>
      <c r="BO4413" s="1821"/>
      <c r="BP4413" s="1821"/>
      <c r="BQ4413" s="1821"/>
      <c r="BR4413" s="1821"/>
      <c r="BS4413" s="1821"/>
      <c r="BT4413" s="1821"/>
      <c r="BU4413" s="1821"/>
      <c r="BV4413" s="1821"/>
      <c r="BW4413" s="1821"/>
      <c r="BX4413" s="1821"/>
      <c r="BY4413" s="1821"/>
      <c r="BZ4413" s="1821"/>
      <c r="CA4413" s="1821"/>
      <c r="CB4413" s="1821"/>
      <c r="CC4413" s="1821"/>
      <c r="CD4413" s="1821"/>
      <c r="CE4413" s="1821"/>
      <c r="CF4413" s="1821"/>
      <c r="CG4413" s="1821"/>
      <c r="CH4413" s="1821"/>
      <c r="CI4413" s="1821"/>
      <c r="CJ4413" s="1821"/>
      <c r="CK4413" s="1821"/>
    </row>
    <row r="4414" spans="1:89" s="675" customFormat="1" ht="16.5" customHeight="1" x14ac:dyDescent="0.25">
      <c r="A4414" s="849"/>
      <c r="B4414" s="1061" t="s">
        <v>483</v>
      </c>
      <c r="C4414" s="835">
        <v>1</v>
      </c>
      <c r="D4414" s="1062" t="s">
        <v>45</v>
      </c>
      <c r="E4414" s="825">
        <v>5.6</v>
      </c>
      <c r="F4414" s="825">
        <f t="shared" si="502"/>
        <v>5.6</v>
      </c>
      <c r="G4414" s="825"/>
      <c r="H4414" s="825">
        <f t="shared" si="503"/>
        <v>5.6</v>
      </c>
      <c r="I4414" s="825"/>
      <c r="J4414" s="825"/>
      <c r="K4414" s="825"/>
      <c r="L4414" s="825"/>
      <c r="M4414" s="825"/>
      <c r="N4414" s="825"/>
      <c r="O4414" s="826">
        <f t="shared" si="501"/>
        <v>5.6</v>
      </c>
      <c r="P4414" s="702"/>
      <c r="Q4414" s="1821"/>
      <c r="R4414" s="1821"/>
      <c r="S4414" s="1821"/>
      <c r="T4414" s="1821"/>
      <c r="U4414" s="1821"/>
      <c r="V4414" s="1821"/>
      <c r="W4414" s="1821"/>
      <c r="X4414" s="1821"/>
      <c r="Y4414" s="1821"/>
      <c r="Z4414" s="1821"/>
      <c r="AA4414" s="1821"/>
      <c r="AB4414" s="1821"/>
      <c r="AC4414" s="1821"/>
      <c r="AD4414" s="1821"/>
      <c r="AE4414" s="1821"/>
      <c r="AF4414" s="1821"/>
      <c r="AG4414" s="1821"/>
      <c r="AH4414" s="1821"/>
      <c r="AI4414" s="1821"/>
      <c r="AJ4414" s="1821"/>
      <c r="AK4414" s="1821"/>
      <c r="AL4414" s="1821"/>
      <c r="AM4414" s="1821"/>
      <c r="AN4414" s="1821"/>
      <c r="AO4414" s="1821"/>
      <c r="AP4414" s="1821"/>
      <c r="AQ4414" s="1821"/>
      <c r="AR4414" s="1821"/>
      <c r="AS4414" s="1821"/>
      <c r="AT4414" s="1821"/>
      <c r="AU4414" s="1821"/>
      <c r="AV4414" s="1821"/>
      <c r="AW4414" s="1821"/>
      <c r="AX4414" s="1821"/>
      <c r="AY4414" s="1821"/>
      <c r="AZ4414" s="1821"/>
      <c r="BA4414" s="1821"/>
      <c r="BB4414" s="1821"/>
      <c r="BC4414" s="1821"/>
      <c r="BD4414" s="1821"/>
      <c r="BE4414" s="1821"/>
      <c r="BF4414" s="1821"/>
      <c r="BG4414" s="1821"/>
      <c r="BH4414" s="1821"/>
      <c r="BI4414" s="1821"/>
      <c r="BJ4414" s="1821"/>
      <c r="BK4414" s="1821"/>
      <c r="BL4414" s="1821"/>
      <c r="BM4414" s="1821"/>
      <c r="BN4414" s="1821"/>
      <c r="BO4414" s="1821"/>
      <c r="BP4414" s="1821"/>
      <c r="BQ4414" s="1821"/>
      <c r="BR4414" s="1821"/>
      <c r="BS4414" s="1821"/>
      <c r="BT4414" s="1821"/>
      <c r="BU4414" s="1821"/>
      <c r="BV4414" s="1821"/>
      <c r="BW4414" s="1821"/>
      <c r="BX4414" s="1821"/>
      <c r="BY4414" s="1821"/>
      <c r="BZ4414" s="1821"/>
      <c r="CA4414" s="1821"/>
      <c r="CB4414" s="1821"/>
      <c r="CC4414" s="1821"/>
      <c r="CD4414" s="1821"/>
      <c r="CE4414" s="1821"/>
      <c r="CF4414" s="1821"/>
      <c r="CG4414" s="1821"/>
      <c r="CH4414" s="1821"/>
      <c r="CI4414" s="1821"/>
      <c r="CJ4414" s="1821"/>
      <c r="CK4414" s="1821"/>
    </row>
    <row r="4415" spans="1:89" s="675" customFormat="1" ht="16.5" customHeight="1" x14ac:dyDescent="0.25">
      <c r="A4415" s="849"/>
      <c r="B4415" s="1061"/>
      <c r="C4415" s="835"/>
      <c r="D4415" s="1062"/>
      <c r="E4415" s="825"/>
      <c r="F4415" s="825"/>
      <c r="G4415" s="825"/>
      <c r="H4415" s="825"/>
      <c r="I4415" s="825"/>
      <c r="J4415" s="825"/>
      <c r="K4415" s="825"/>
      <c r="L4415" s="825"/>
      <c r="M4415" s="825"/>
      <c r="N4415" s="825"/>
      <c r="O4415" s="826"/>
      <c r="P4415" s="702"/>
      <c r="Q4415" s="1821"/>
      <c r="R4415" s="1821"/>
      <c r="S4415" s="1821"/>
      <c r="T4415" s="1821"/>
      <c r="U4415" s="1821"/>
      <c r="V4415" s="1821"/>
      <c r="W4415" s="1821"/>
      <c r="X4415" s="1821"/>
      <c r="Y4415" s="1821"/>
      <c r="Z4415" s="1821"/>
      <c r="AA4415" s="1821"/>
      <c r="AB4415" s="1821"/>
      <c r="AC4415" s="1821"/>
      <c r="AD4415" s="1821"/>
      <c r="AE4415" s="1821"/>
      <c r="AF4415" s="1821"/>
      <c r="AG4415" s="1821"/>
      <c r="AH4415" s="1821"/>
      <c r="AI4415" s="1821"/>
      <c r="AJ4415" s="1821"/>
      <c r="AK4415" s="1821"/>
      <c r="AL4415" s="1821"/>
      <c r="AM4415" s="1821"/>
      <c r="AN4415" s="1821"/>
      <c r="AO4415" s="1821"/>
      <c r="AP4415" s="1821"/>
      <c r="AQ4415" s="1821"/>
      <c r="AR4415" s="1821"/>
      <c r="AS4415" s="1821"/>
      <c r="AT4415" s="1821"/>
      <c r="AU4415" s="1821"/>
      <c r="AV4415" s="1821"/>
      <c r="AW4415" s="1821"/>
      <c r="AX4415" s="1821"/>
      <c r="AY4415" s="1821"/>
      <c r="AZ4415" s="1821"/>
      <c r="BA4415" s="1821"/>
      <c r="BB4415" s="1821"/>
      <c r="BC4415" s="1821"/>
      <c r="BD4415" s="1821"/>
      <c r="BE4415" s="1821"/>
      <c r="BF4415" s="1821"/>
      <c r="BG4415" s="1821"/>
      <c r="BH4415" s="1821"/>
      <c r="BI4415" s="1821"/>
      <c r="BJ4415" s="1821"/>
      <c r="BK4415" s="1821"/>
      <c r="BL4415" s="1821"/>
      <c r="BM4415" s="1821"/>
      <c r="BN4415" s="1821"/>
      <c r="BO4415" s="1821"/>
      <c r="BP4415" s="1821"/>
      <c r="BQ4415" s="1821"/>
      <c r="BR4415" s="1821"/>
      <c r="BS4415" s="1821"/>
      <c r="BT4415" s="1821"/>
      <c r="BU4415" s="1821"/>
      <c r="BV4415" s="1821"/>
      <c r="BW4415" s="1821"/>
      <c r="BX4415" s="1821"/>
      <c r="BY4415" s="1821"/>
      <c r="BZ4415" s="1821"/>
      <c r="CA4415" s="1821"/>
      <c r="CB4415" s="1821"/>
      <c r="CC4415" s="1821"/>
      <c r="CD4415" s="1821"/>
      <c r="CE4415" s="1821"/>
      <c r="CF4415" s="1821"/>
      <c r="CG4415" s="1821"/>
      <c r="CH4415" s="1821"/>
      <c r="CI4415" s="1821"/>
      <c r="CJ4415" s="1821"/>
      <c r="CK4415" s="1821"/>
    </row>
    <row r="4416" spans="1:89" s="675" customFormat="1" ht="16.5" customHeight="1" x14ac:dyDescent="0.25">
      <c r="A4416" s="849">
        <v>511121</v>
      </c>
      <c r="B4416" s="1061" t="s">
        <v>484</v>
      </c>
      <c r="C4416" s="835"/>
      <c r="D4416" s="1062"/>
      <c r="E4416" s="825"/>
      <c r="F4416" s="825"/>
      <c r="G4416" s="825"/>
      <c r="H4416" s="825"/>
      <c r="I4416" s="825"/>
      <c r="J4416" s="825"/>
      <c r="K4416" s="825"/>
      <c r="L4416" s="825"/>
      <c r="M4416" s="825"/>
      <c r="N4416" s="825"/>
      <c r="O4416" s="826"/>
      <c r="P4416" s="702"/>
      <c r="Q4416" s="1821"/>
      <c r="R4416" s="1821"/>
      <c r="S4416" s="1821"/>
      <c r="T4416" s="1821"/>
      <c r="U4416" s="1821"/>
      <c r="V4416" s="1821"/>
      <c r="W4416" s="1821"/>
      <c r="X4416" s="1821"/>
      <c r="Y4416" s="1821"/>
      <c r="Z4416" s="1821"/>
      <c r="AA4416" s="1821"/>
      <c r="AB4416" s="1821"/>
      <c r="AC4416" s="1821"/>
      <c r="AD4416" s="1821"/>
      <c r="AE4416" s="1821"/>
      <c r="AF4416" s="1821"/>
      <c r="AG4416" s="1821"/>
      <c r="AH4416" s="1821"/>
      <c r="AI4416" s="1821"/>
      <c r="AJ4416" s="1821"/>
      <c r="AK4416" s="1821"/>
      <c r="AL4416" s="1821"/>
      <c r="AM4416" s="1821"/>
      <c r="AN4416" s="1821"/>
      <c r="AO4416" s="1821"/>
      <c r="AP4416" s="1821"/>
      <c r="AQ4416" s="1821"/>
      <c r="AR4416" s="1821"/>
      <c r="AS4416" s="1821"/>
      <c r="AT4416" s="1821"/>
      <c r="AU4416" s="1821"/>
      <c r="AV4416" s="1821"/>
      <c r="AW4416" s="1821"/>
      <c r="AX4416" s="1821"/>
      <c r="AY4416" s="1821"/>
      <c r="AZ4416" s="1821"/>
      <c r="BA4416" s="1821"/>
      <c r="BB4416" s="1821"/>
      <c r="BC4416" s="1821"/>
      <c r="BD4416" s="1821"/>
      <c r="BE4416" s="1821"/>
      <c r="BF4416" s="1821"/>
      <c r="BG4416" s="1821"/>
      <c r="BH4416" s="1821"/>
      <c r="BI4416" s="1821"/>
      <c r="BJ4416" s="1821"/>
      <c r="BK4416" s="1821"/>
      <c r="BL4416" s="1821"/>
      <c r="BM4416" s="1821"/>
      <c r="BN4416" s="1821"/>
      <c r="BO4416" s="1821"/>
      <c r="BP4416" s="1821"/>
      <c r="BQ4416" s="1821"/>
      <c r="BR4416" s="1821"/>
      <c r="BS4416" s="1821"/>
      <c r="BT4416" s="1821"/>
      <c r="BU4416" s="1821"/>
      <c r="BV4416" s="1821"/>
      <c r="BW4416" s="1821"/>
      <c r="BX4416" s="1821"/>
      <c r="BY4416" s="1821"/>
      <c r="BZ4416" s="1821"/>
      <c r="CA4416" s="1821"/>
      <c r="CB4416" s="1821"/>
      <c r="CC4416" s="1821"/>
      <c r="CD4416" s="1821"/>
      <c r="CE4416" s="1821"/>
      <c r="CF4416" s="1821"/>
      <c r="CG4416" s="1821"/>
      <c r="CH4416" s="1821"/>
      <c r="CI4416" s="1821"/>
      <c r="CJ4416" s="1821"/>
      <c r="CK4416" s="1821"/>
    </row>
    <row r="4417" spans="1:89" s="675" customFormat="1" ht="16.5" customHeight="1" x14ac:dyDescent="0.25">
      <c r="A4417" s="849"/>
      <c r="B4417" s="1061" t="s">
        <v>2247</v>
      </c>
      <c r="C4417" s="835"/>
      <c r="D4417" s="1062"/>
      <c r="E4417" s="825"/>
      <c r="F4417" s="825"/>
      <c r="G4417" s="825"/>
      <c r="H4417" s="825"/>
      <c r="I4417" s="825"/>
      <c r="J4417" s="825"/>
      <c r="K4417" s="825"/>
      <c r="L4417" s="825"/>
      <c r="M4417" s="825"/>
      <c r="N4417" s="825"/>
      <c r="O4417" s="826"/>
      <c r="P4417" s="702"/>
      <c r="Q4417" s="1821"/>
      <c r="R4417" s="1821"/>
      <c r="S4417" s="1821"/>
      <c r="T4417" s="1821"/>
      <c r="U4417" s="1821"/>
      <c r="V4417" s="1821"/>
      <c r="W4417" s="1821"/>
      <c r="X4417" s="1821"/>
      <c r="Y4417" s="1821"/>
      <c r="Z4417" s="1821"/>
      <c r="AA4417" s="1821"/>
      <c r="AB4417" s="1821"/>
      <c r="AC4417" s="1821"/>
      <c r="AD4417" s="1821"/>
      <c r="AE4417" s="1821"/>
      <c r="AF4417" s="1821"/>
      <c r="AG4417" s="1821"/>
      <c r="AH4417" s="1821"/>
      <c r="AI4417" s="1821"/>
      <c r="AJ4417" s="1821"/>
      <c r="AK4417" s="1821"/>
      <c r="AL4417" s="1821"/>
      <c r="AM4417" s="1821"/>
      <c r="AN4417" s="1821"/>
      <c r="AO4417" s="1821"/>
      <c r="AP4417" s="1821"/>
      <c r="AQ4417" s="1821"/>
      <c r="AR4417" s="1821"/>
      <c r="AS4417" s="1821"/>
      <c r="AT4417" s="1821"/>
      <c r="AU4417" s="1821"/>
      <c r="AV4417" s="1821"/>
      <c r="AW4417" s="1821"/>
      <c r="AX4417" s="1821"/>
      <c r="AY4417" s="1821"/>
      <c r="AZ4417" s="1821"/>
      <c r="BA4417" s="1821"/>
      <c r="BB4417" s="1821"/>
      <c r="BC4417" s="1821"/>
      <c r="BD4417" s="1821"/>
      <c r="BE4417" s="1821"/>
      <c r="BF4417" s="1821"/>
      <c r="BG4417" s="1821"/>
      <c r="BH4417" s="1821"/>
      <c r="BI4417" s="1821"/>
      <c r="BJ4417" s="1821"/>
      <c r="BK4417" s="1821"/>
      <c r="BL4417" s="1821"/>
      <c r="BM4417" s="1821"/>
      <c r="BN4417" s="1821"/>
      <c r="BO4417" s="1821"/>
      <c r="BP4417" s="1821"/>
      <c r="BQ4417" s="1821"/>
      <c r="BR4417" s="1821"/>
      <c r="BS4417" s="1821"/>
      <c r="BT4417" s="1821"/>
      <c r="BU4417" s="1821"/>
      <c r="BV4417" s="1821"/>
      <c r="BW4417" s="1821"/>
      <c r="BX4417" s="1821"/>
      <c r="BY4417" s="1821"/>
      <c r="BZ4417" s="1821"/>
      <c r="CA4417" s="1821"/>
      <c r="CB4417" s="1821"/>
      <c r="CC4417" s="1821"/>
      <c r="CD4417" s="1821"/>
      <c r="CE4417" s="1821"/>
      <c r="CF4417" s="1821"/>
      <c r="CG4417" s="1821"/>
      <c r="CH4417" s="1821"/>
      <c r="CI4417" s="1821"/>
      <c r="CJ4417" s="1821"/>
      <c r="CK4417" s="1821"/>
    </row>
    <row r="4418" spans="1:89" s="675" customFormat="1" ht="16.5" customHeight="1" x14ac:dyDescent="0.25">
      <c r="A4418" s="849"/>
      <c r="B4418" s="1061" t="s">
        <v>485</v>
      </c>
      <c r="C4418" s="835">
        <v>1</v>
      </c>
      <c r="D4418" s="1062" t="s">
        <v>25</v>
      </c>
      <c r="E4418" s="825">
        <v>195113.204</v>
      </c>
      <c r="F4418" s="825">
        <f t="shared" si="502"/>
        <v>195113.204</v>
      </c>
      <c r="G4418" s="825"/>
      <c r="H4418" s="825">
        <f t="shared" si="503"/>
        <v>195113.204</v>
      </c>
      <c r="I4418" s="825"/>
      <c r="J4418" s="825"/>
      <c r="K4418" s="825"/>
      <c r="L4418" s="825"/>
      <c r="M4418" s="825"/>
      <c r="N4418" s="825"/>
      <c r="O4418" s="826">
        <f t="shared" si="501"/>
        <v>195113.204</v>
      </c>
      <c r="P4418" s="702"/>
      <c r="Q4418" s="1821"/>
      <c r="R4418" s="1821"/>
      <c r="S4418" s="1821"/>
      <c r="T4418" s="1821"/>
      <c r="U4418" s="1821"/>
      <c r="V4418" s="1821"/>
      <c r="W4418" s="1821"/>
      <c r="X4418" s="1821"/>
      <c r="Y4418" s="1821"/>
      <c r="Z4418" s="1821"/>
      <c r="AA4418" s="1821"/>
      <c r="AB4418" s="1821"/>
      <c r="AC4418" s="1821"/>
      <c r="AD4418" s="1821"/>
      <c r="AE4418" s="1821"/>
      <c r="AF4418" s="1821"/>
      <c r="AG4418" s="1821"/>
      <c r="AH4418" s="1821"/>
      <c r="AI4418" s="1821"/>
      <c r="AJ4418" s="1821"/>
      <c r="AK4418" s="1821"/>
      <c r="AL4418" s="1821"/>
      <c r="AM4418" s="1821"/>
      <c r="AN4418" s="1821"/>
      <c r="AO4418" s="1821"/>
      <c r="AP4418" s="1821"/>
      <c r="AQ4418" s="1821"/>
      <c r="AR4418" s="1821"/>
      <c r="AS4418" s="1821"/>
      <c r="AT4418" s="1821"/>
      <c r="AU4418" s="1821"/>
      <c r="AV4418" s="1821"/>
      <c r="AW4418" s="1821"/>
      <c r="AX4418" s="1821"/>
      <c r="AY4418" s="1821"/>
      <c r="AZ4418" s="1821"/>
      <c r="BA4418" s="1821"/>
      <c r="BB4418" s="1821"/>
      <c r="BC4418" s="1821"/>
      <c r="BD4418" s="1821"/>
      <c r="BE4418" s="1821"/>
      <c r="BF4418" s="1821"/>
      <c r="BG4418" s="1821"/>
      <c r="BH4418" s="1821"/>
      <c r="BI4418" s="1821"/>
      <c r="BJ4418" s="1821"/>
      <c r="BK4418" s="1821"/>
      <c r="BL4418" s="1821"/>
      <c r="BM4418" s="1821"/>
      <c r="BN4418" s="1821"/>
      <c r="BO4418" s="1821"/>
      <c r="BP4418" s="1821"/>
      <c r="BQ4418" s="1821"/>
      <c r="BR4418" s="1821"/>
      <c r="BS4418" s="1821"/>
      <c r="BT4418" s="1821"/>
      <c r="BU4418" s="1821"/>
      <c r="BV4418" s="1821"/>
      <c r="BW4418" s="1821"/>
      <c r="BX4418" s="1821"/>
      <c r="BY4418" s="1821"/>
      <c r="BZ4418" s="1821"/>
      <c r="CA4418" s="1821"/>
      <c r="CB4418" s="1821"/>
      <c r="CC4418" s="1821"/>
      <c r="CD4418" s="1821"/>
      <c r="CE4418" s="1821"/>
      <c r="CF4418" s="1821"/>
      <c r="CG4418" s="1821"/>
      <c r="CH4418" s="1821"/>
      <c r="CI4418" s="1821"/>
      <c r="CJ4418" s="1821"/>
      <c r="CK4418" s="1821"/>
    </row>
    <row r="4419" spans="1:89" s="675" customFormat="1" ht="16.5" customHeight="1" x14ac:dyDescent="0.25">
      <c r="A4419" s="849"/>
      <c r="B4419" s="1061" t="s">
        <v>486</v>
      </c>
      <c r="C4419" s="835">
        <v>1</v>
      </c>
      <c r="D4419" s="1062" t="s">
        <v>45</v>
      </c>
      <c r="E4419" s="825">
        <v>15008.708000000001</v>
      </c>
      <c r="F4419" s="825">
        <f t="shared" si="502"/>
        <v>15008.708000000001</v>
      </c>
      <c r="G4419" s="825"/>
      <c r="H4419" s="825">
        <f t="shared" si="503"/>
        <v>15008.708000000001</v>
      </c>
      <c r="I4419" s="825"/>
      <c r="J4419" s="825"/>
      <c r="K4419" s="825"/>
      <c r="L4419" s="825"/>
      <c r="M4419" s="825"/>
      <c r="N4419" s="825"/>
      <c r="O4419" s="826">
        <f t="shared" si="501"/>
        <v>15008.708000000001</v>
      </c>
      <c r="P4419" s="702"/>
      <c r="Q4419" s="1821"/>
      <c r="R4419" s="1821"/>
      <c r="S4419" s="1821"/>
      <c r="T4419" s="1821"/>
      <c r="U4419" s="1821"/>
      <c r="V4419" s="1821"/>
      <c r="W4419" s="1821"/>
      <c r="X4419" s="1821"/>
      <c r="Y4419" s="1821"/>
      <c r="Z4419" s="1821"/>
      <c r="AA4419" s="1821"/>
      <c r="AB4419" s="1821"/>
      <c r="AC4419" s="1821"/>
      <c r="AD4419" s="1821"/>
      <c r="AE4419" s="1821"/>
      <c r="AF4419" s="1821"/>
      <c r="AG4419" s="1821"/>
      <c r="AH4419" s="1821"/>
      <c r="AI4419" s="1821"/>
      <c r="AJ4419" s="1821"/>
      <c r="AK4419" s="1821"/>
      <c r="AL4419" s="1821"/>
      <c r="AM4419" s="1821"/>
      <c r="AN4419" s="1821"/>
      <c r="AO4419" s="1821"/>
      <c r="AP4419" s="1821"/>
      <c r="AQ4419" s="1821"/>
      <c r="AR4419" s="1821"/>
      <c r="AS4419" s="1821"/>
      <c r="AT4419" s="1821"/>
      <c r="AU4419" s="1821"/>
      <c r="AV4419" s="1821"/>
      <c r="AW4419" s="1821"/>
      <c r="AX4419" s="1821"/>
      <c r="AY4419" s="1821"/>
      <c r="AZ4419" s="1821"/>
      <c r="BA4419" s="1821"/>
      <c r="BB4419" s="1821"/>
      <c r="BC4419" s="1821"/>
      <c r="BD4419" s="1821"/>
      <c r="BE4419" s="1821"/>
      <c r="BF4419" s="1821"/>
      <c r="BG4419" s="1821"/>
      <c r="BH4419" s="1821"/>
      <c r="BI4419" s="1821"/>
      <c r="BJ4419" s="1821"/>
      <c r="BK4419" s="1821"/>
      <c r="BL4419" s="1821"/>
      <c r="BM4419" s="1821"/>
      <c r="BN4419" s="1821"/>
      <c r="BO4419" s="1821"/>
      <c r="BP4419" s="1821"/>
      <c r="BQ4419" s="1821"/>
      <c r="BR4419" s="1821"/>
      <c r="BS4419" s="1821"/>
      <c r="BT4419" s="1821"/>
      <c r="BU4419" s="1821"/>
      <c r="BV4419" s="1821"/>
      <c r="BW4419" s="1821"/>
      <c r="BX4419" s="1821"/>
      <c r="BY4419" s="1821"/>
      <c r="BZ4419" s="1821"/>
      <c r="CA4419" s="1821"/>
      <c r="CB4419" s="1821"/>
      <c r="CC4419" s="1821"/>
      <c r="CD4419" s="1821"/>
      <c r="CE4419" s="1821"/>
      <c r="CF4419" s="1821"/>
      <c r="CG4419" s="1821"/>
      <c r="CH4419" s="1821"/>
      <c r="CI4419" s="1821"/>
      <c r="CJ4419" s="1821"/>
      <c r="CK4419" s="1821"/>
    </row>
    <row r="4420" spans="1:89" s="675" customFormat="1" ht="16.5" customHeight="1" x14ac:dyDescent="0.25">
      <c r="A4420" s="849"/>
      <c r="B4420" s="1061" t="s">
        <v>480</v>
      </c>
      <c r="C4420" s="835">
        <v>1</v>
      </c>
      <c r="D4420" s="1062" t="s">
        <v>25</v>
      </c>
      <c r="E4420" s="825">
        <v>19511.320400000001</v>
      </c>
      <c r="F4420" s="825">
        <f t="shared" si="502"/>
        <v>19511.320400000001</v>
      </c>
      <c r="G4420" s="825"/>
      <c r="H4420" s="825">
        <f t="shared" si="503"/>
        <v>19511.320400000001</v>
      </c>
      <c r="I4420" s="825"/>
      <c r="J4420" s="825"/>
      <c r="K4420" s="825"/>
      <c r="L4420" s="825"/>
      <c r="M4420" s="825"/>
      <c r="N4420" s="825"/>
      <c r="O4420" s="826">
        <f t="shared" si="501"/>
        <v>19511.320400000001</v>
      </c>
      <c r="P4420" s="702"/>
      <c r="Q4420" s="1821"/>
      <c r="R4420" s="1821"/>
      <c r="S4420" s="1821"/>
      <c r="T4420" s="1821"/>
      <c r="U4420" s="1821"/>
      <c r="V4420" s="1821"/>
      <c r="W4420" s="1821"/>
      <c r="X4420" s="1821"/>
      <c r="Y4420" s="1821"/>
      <c r="Z4420" s="1821"/>
      <c r="AA4420" s="1821"/>
      <c r="AB4420" s="1821"/>
      <c r="AC4420" s="1821"/>
      <c r="AD4420" s="1821"/>
      <c r="AE4420" s="1821"/>
      <c r="AF4420" s="1821"/>
      <c r="AG4420" s="1821"/>
      <c r="AH4420" s="1821"/>
      <c r="AI4420" s="1821"/>
      <c r="AJ4420" s="1821"/>
      <c r="AK4420" s="1821"/>
      <c r="AL4420" s="1821"/>
      <c r="AM4420" s="1821"/>
      <c r="AN4420" s="1821"/>
      <c r="AO4420" s="1821"/>
      <c r="AP4420" s="1821"/>
      <c r="AQ4420" s="1821"/>
      <c r="AR4420" s="1821"/>
      <c r="AS4420" s="1821"/>
      <c r="AT4420" s="1821"/>
      <c r="AU4420" s="1821"/>
      <c r="AV4420" s="1821"/>
      <c r="AW4420" s="1821"/>
      <c r="AX4420" s="1821"/>
      <c r="AY4420" s="1821"/>
      <c r="AZ4420" s="1821"/>
      <c r="BA4420" s="1821"/>
      <c r="BB4420" s="1821"/>
      <c r="BC4420" s="1821"/>
      <c r="BD4420" s="1821"/>
      <c r="BE4420" s="1821"/>
      <c r="BF4420" s="1821"/>
      <c r="BG4420" s="1821"/>
      <c r="BH4420" s="1821"/>
      <c r="BI4420" s="1821"/>
      <c r="BJ4420" s="1821"/>
      <c r="BK4420" s="1821"/>
      <c r="BL4420" s="1821"/>
      <c r="BM4420" s="1821"/>
      <c r="BN4420" s="1821"/>
      <c r="BO4420" s="1821"/>
      <c r="BP4420" s="1821"/>
      <c r="BQ4420" s="1821"/>
      <c r="BR4420" s="1821"/>
      <c r="BS4420" s="1821"/>
      <c r="BT4420" s="1821"/>
      <c r="BU4420" s="1821"/>
      <c r="BV4420" s="1821"/>
      <c r="BW4420" s="1821"/>
      <c r="BX4420" s="1821"/>
      <c r="BY4420" s="1821"/>
      <c r="BZ4420" s="1821"/>
      <c r="CA4420" s="1821"/>
      <c r="CB4420" s="1821"/>
      <c r="CC4420" s="1821"/>
      <c r="CD4420" s="1821"/>
      <c r="CE4420" s="1821"/>
      <c r="CF4420" s="1821"/>
      <c r="CG4420" s="1821"/>
      <c r="CH4420" s="1821"/>
      <c r="CI4420" s="1821"/>
      <c r="CJ4420" s="1821"/>
      <c r="CK4420" s="1821"/>
    </row>
    <row r="4421" spans="1:89" s="675" customFormat="1" ht="16.5" customHeight="1" x14ac:dyDescent="0.25">
      <c r="A4421" s="849"/>
      <c r="B4421" s="1061"/>
      <c r="C4421" s="835"/>
      <c r="D4421" s="1062"/>
      <c r="E4421" s="825"/>
      <c r="F4421" s="825"/>
      <c r="G4421" s="825"/>
      <c r="H4421" s="825"/>
      <c r="I4421" s="825"/>
      <c r="J4421" s="825"/>
      <c r="K4421" s="825"/>
      <c r="L4421" s="825"/>
      <c r="M4421" s="825"/>
      <c r="N4421" s="825"/>
      <c r="O4421" s="826"/>
      <c r="P4421" s="702"/>
      <c r="Q4421" s="1821"/>
      <c r="R4421" s="1821"/>
      <c r="S4421" s="1821"/>
      <c r="T4421" s="1821"/>
      <c r="U4421" s="1821"/>
      <c r="V4421" s="1821"/>
      <c r="W4421" s="1821"/>
      <c r="X4421" s="1821"/>
      <c r="Y4421" s="1821"/>
      <c r="Z4421" s="1821"/>
      <c r="AA4421" s="1821"/>
      <c r="AB4421" s="1821"/>
      <c r="AC4421" s="1821"/>
      <c r="AD4421" s="1821"/>
      <c r="AE4421" s="1821"/>
      <c r="AF4421" s="1821"/>
      <c r="AG4421" s="1821"/>
      <c r="AH4421" s="1821"/>
      <c r="AI4421" s="1821"/>
      <c r="AJ4421" s="1821"/>
      <c r="AK4421" s="1821"/>
      <c r="AL4421" s="1821"/>
      <c r="AM4421" s="1821"/>
      <c r="AN4421" s="1821"/>
      <c r="AO4421" s="1821"/>
      <c r="AP4421" s="1821"/>
      <c r="AQ4421" s="1821"/>
      <c r="AR4421" s="1821"/>
      <c r="AS4421" s="1821"/>
      <c r="AT4421" s="1821"/>
      <c r="AU4421" s="1821"/>
      <c r="AV4421" s="1821"/>
      <c r="AW4421" s="1821"/>
      <c r="AX4421" s="1821"/>
      <c r="AY4421" s="1821"/>
      <c r="AZ4421" s="1821"/>
      <c r="BA4421" s="1821"/>
      <c r="BB4421" s="1821"/>
      <c r="BC4421" s="1821"/>
      <c r="BD4421" s="1821"/>
      <c r="BE4421" s="1821"/>
      <c r="BF4421" s="1821"/>
      <c r="BG4421" s="1821"/>
      <c r="BH4421" s="1821"/>
      <c r="BI4421" s="1821"/>
      <c r="BJ4421" s="1821"/>
      <c r="BK4421" s="1821"/>
      <c r="BL4421" s="1821"/>
      <c r="BM4421" s="1821"/>
      <c r="BN4421" s="1821"/>
      <c r="BO4421" s="1821"/>
      <c r="BP4421" s="1821"/>
      <c r="BQ4421" s="1821"/>
      <c r="BR4421" s="1821"/>
      <c r="BS4421" s="1821"/>
      <c r="BT4421" s="1821"/>
      <c r="BU4421" s="1821"/>
      <c r="BV4421" s="1821"/>
      <c r="BW4421" s="1821"/>
      <c r="BX4421" s="1821"/>
      <c r="BY4421" s="1821"/>
      <c r="BZ4421" s="1821"/>
      <c r="CA4421" s="1821"/>
      <c r="CB4421" s="1821"/>
      <c r="CC4421" s="1821"/>
      <c r="CD4421" s="1821"/>
      <c r="CE4421" s="1821"/>
      <c r="CF4421" s="1821"/>
      <c r="CG4421" s="1821"/>
      <c r="CH4421" s="1821"/>
      <c r="CI4421" s="1821"/>
      <c r="CJ4421" s="1821"/>
      <c r="CK4421" s="1821"/>
    </row>
    <row r="4422" spans="1:89" s="675" customFormat="1" ht="16.5" customHeight="1" x14ac:dyDescent="0.25">
      <c r="A4422" s="849">
        <v>511122</v>
      </c>
      <c r="B4422" s="1061" t="s">
        <v>487</v>
      </c>
      <c r="C4422" s="835"/>
      <c r="D4422" s="1062"/>
      <c r="E4422" s="825"/>
      <c r="F4422" s="825"/>
      <c r="G4422" s="825"/>
      <c r="H4422" s="825"/>
      <c r="I4422" s="825"/>
      <c r="J4422" s="825"/>
      <c r="K4422" s="825"/>
      <c r="L4422" s="825"/>
      <c r="M4422" s="825"/>
      <c r="N4422" s="825"/>
      <c r="O4422" s="826">
        <f t="shared" si="501"/>
        <v>0</v>
      </c>
      <c r="P4422" s="702"/>
      <c r="Q4422" s="1821"/>
      <c r="R4422" s="1821"/>
      <c r="S4422" s="1821"/>
      <c r="T4422" s="1821"/>
      <c r="U4422" s="1821"/>
      <c r="V4422" s="1821"/>
      <c r="W4422" s="1821"/>
      <c r="X4422" s="1821"/>
      <c r="Y4422" s="1821"/>
      <c r="Z4422" s="1821"/>
      <c r="AA4422" s="1821"/>
      <c r="AB4422" s="1821"/>
      <c r="AC4422" s="1821"/>
      <c r="AD4422" s="1821"/>
      <c r="AE4422" s="1821"/>
      <c r="AF4422" s="1821"/>
      <c r="AG4422" s="1821"/>
      <c r="AH4422" s="1821"/>
      <c r="AI4422" s="1821"/>
      <c r="AJ4422" s="1821"/>
      <c r="AK4422" s="1821"/>
      <c r="AL4422" s="1821"/>
      <c r="AM4422" s="1821"/>
      <c r="AN4422" s="1821"/>
      <c r="AO4422" s="1821"/>
      <c r="AP4422" s="1821"/>
      <c r="AQ4422" s="1821"/>
      <c r="AR4422" s="1821"/>
      <c r="AS4422" s="1821"/>
      <c r="AT4422" s="1821"/>
      <c r="AU4422" s="1821"/>
      <c r="AV4422" s="1821"/>
      <c r="AW4422" s="1821"/>
      <c r="AX4422" s="1821"/>
      <c r="AY4422" s="1821"/>
      <c r="AZ4422" s="1821"/>
      <c r="BA4422" s="1821"/>
      <c r="BB4422" s="1821"/>
      <c r="BC4422" s="1821"/>
      <c r="BD4422" s="1821"/>
      <c r="BE4422" s="1821"/>
      <c r="BF4422" s="1821"/>
      <c r="BG4422" s="1821"/>
      <c r="BH4422" s="1821"/>
      <c r="BI4422" s="1821"/>
      <c r="BJ4422" s="1821"/>
      <c r="BK4422" s="1821"/>
      <c r="BL4422" s="1821"/>
      <c r="BM4422" s="1821"/>
      <c r="BN4422" s="1821"/>
      <c r="BO4422" s="1821"/>
      <c r="BP4422" s="1821"/>
      <c r="BQ4422" s="1821"/>
      <c r="BR4422" s="1821"/>
      <c r="BS4422" s="1821"/>
      <c r="BT4422" s="1821"/>
      <c r="BU4422" s="1821"/>
      <c r="BV4422" s="1821"/>
      <c r="BW4422" s="1821"/>
      <c r="BX4422" s="1821"/>
      <c r="BY4422" s="1821"/>
      <c r="BZ4422" s="1821"/>
      <c r="CA4422" s="1821"/>
      <c r="CB4422" s="1821"/>
      <c r="CC4422" s="1821"/>
      <c r="CD4422" s="1821"/>
      <c r="CE4422" s="1821"/>
      <c r="CF4422" s="1821"/>
      <c r="CG4422" s="1821"/>
      <c r="CH4422" s="1821"/>
      <c r="CI4422" s="1821"/>
      <c r="CJ4422" s="1821"/>
      <c r="CK4422" s="1821"/>
    </row>
    <row r="4423" spans="1:89" s="675" customFormat="1" ht="16.5" customHeight="1" x14ac:dyDescent="0.25">
      <c r="A4423" s="849"/>
      <c r="B4423" s="1061" t="s">
        <v>2247</v>
      </c>
      <c r="C4423" s="835"/>
      <c r="D4423" s="1062"/>
      <c r="E4423" s="825"/>
      <c r="F4423" s="825"/>
      <c r="G4423" s="825"/>
      <c r="H4423" s="825"/>
      <c r="I4423" s="825"/>
      <c r="J4423" s="825"/>
      <c r="K4423" s="825"/>
      <c r="L4423" s="825"/>
      <c r="M4423" s="825"/>
      <c r="N4423" s="825"/>
      <c r="O4423" s="826">
        <f t="shared" si="501"/>
        <v>0</v>
      </c>
      <c r="P4423" s="702"/>
      <c r="Q4423" s="1821"/>
      <c r="R4423" s="1821"/>
      <c r="S4423" s="1821"/>
      <c r="T4423" s="1821"/>
      <c r="U4423" s="1821"/>
      <c r="V4423" s="1821"/>
      <c r="W4423" s="1821"/>
      <c r="X4423" s="1821"/>
      <c r="Y4423" s="1821"/>
      <c r="Z4423" s="1821"/>
      <c r="AA4423" s="1821"/>
      <c r="AB4423" s="1821"/>
      <c r="AC4423" s="1821"/>
      <c r="AD4423" s="1821"/>
      <c r="AE4423" s="1821"/>
      <c r="AF4423" s="1821"/>
      <c r="AG4423" s="1821"/>
      <c r="AH4423" s="1821"/>
      <c r="AI4423" s="1821"/>
      <c r="AJ4423" s="1821"/>
      <c r="AK4423" s="1821"/>
      <c r="AL4423" s="1821"/>
      <c r="AM4423" s="1821"/>
      <c r="AN4423" s="1821"/>
      <c r="AO4423" s="1821"/>
      <c r="AP4423" s="1821"/>
      <c r="AQ4423" s="1821"/>
      <c r="AR4423" s="1821"/>
      <c r="AS4423" s="1821"/>
      <c r="AT4423" s="1821"/>
      <c r="AU4423" s="1821"/>
      <c r="AV4423" s="1821"/>
      <c r="AW4423" s="1821"/>
      <c r="AX4423" s="1821"/>
      <c r="AY4423" s="1821"/>
      <c r="AZ4423" s="1821"/>
      <c r="BA4423" s="1821"/>
      <c r="BB4423" s="1821"/>
      <c r="BC4423" s="1821"/>
      <c r="BD4423" s="1821"/>
      <c r="BE4423" s="1821"/>
      <c r="BF4423" s="1821"/>
      <c r="BG4423" s="1821"/>
      <c r="BH4423" s="1821"/>
      <c r="BI4423" s="1821"/>
      <c r="BJ4423" s="1821"/>
      <c r="BK4423" s="1821"/>
      <c r="BL4423" s="1821"/>
      <c r="BM4423" s="1821"/>
      <c r="BN4423" s="1821"/>
      <c r="BO4423" s="1821"/>
      <c r="BP4423" s="1821"/>
      <c r="BQ4423" s="1821"/>
      <c r="BR4423" s="1821"/>
      <c r="BS4423" s="1821"/>
      <c r="BT4423" s="1821"/>
      <c r="BU4423" s="1821"/>
      <c r="BV4423" s="1821"/>
      <c r="BW4423" s="1821"/>
      <c r="BX4423" s="1821"/>
      <c r="BY4423" s="1821"/>
      <c r="BZ4423" s="1821"/>
      <c r="CA4423" s="1821"/>
      <c r="CB4423" s="1821"/>
      <c r="CC4423" s="1821"/>
      <c r="CD4423" s="1821"/>
      <c r="CE4423" s="1821"/>
      <c r="CF4423" s="1821"/>
      <c r="CG4423" s="1821"/>
      <c r="CH4423" s="1821"/>
      <c r="CI4423" s="1821"/>
      <c r="CJ4423" s="1821"/>
      <c r="CK4423" s="1821"/>
    </row>
    <row r="4424" spans="1:89" s="675" customFormat="1" ht="16.5" customHeight="1" x14ac:dyDescent="0.25">
      <c r="A4424" s="849"/>
      <c r="B4424" s="1061" t="s">
        <v>488</v>
      </c>
      <c r="C4424" s="835">
        <v>1</v>
      </c>
      <c r="D4424" s="1062" t="s">
        <v>25</v>
      </c>
      <c r="E4424" s="825">
        <v>60904.531999999999</v>
      </c>
      <c r="F4424" s="825">
        <f>E4424*C4424</f>
        <v>60904.531999999999</v>
      </c>
      <c r="G4424" s="825"/>
      <c r="H4424" s="825">
        <f>G4424+F4424</f>
        <v>60904.531999999999</v>
      </c>
      <c r="I4424" s="825"/>
      <c r="J4424" s="825"/>
      <c r="K4424" s="825"/>
      <c r="L4424" s="825"/>
      <c r="M4424" s="825"/>
      <c r="N4424" s="825"/>
      <c r="O4424" s="826">
        <f t="shared" si="501"/>
        <v>60904.531999999999</v>
      </c>
      <c r="P4424" s="702"/>
      <c r="Q4424" s="1821"/>
      <c r="R4424" s="1821"/>
      <c r="S4424" s="1821"/>
      <c r="T4424" s="1821"/>
      <c r="U4424" s="1821"/>
      <c r="V4424" s="1821"/>
      <c r="W4424" s="1821"/>
      <c r="X4424" s="1821"/>
      <c r="Y4424" s="1821"/>
      <c r="Z4424" s="1821"/>
      <c r="AA4424" s="1821"/>
      <c r="AB4424" s="1821"/>
      <c r="AC4424" s="1821"/>
      <c r="AD4424" s="1821"/>
      <c r="AE4424" s="1821"/>
      <c r="AF4424" s="1821"/>
      <c r="AG4424" s="1821"/>
      <c r="AH4424" s="1821"/>
      <c r="AI4424" s="1821"/>
      <c r="AJ4424" s="1821"/>
      <c r="AK4424" s="1821"/>
      <c r="AL4424" s="1821"/>
      <c r="AM4424" s="1821"/>
      <c r="AN4424" s="1821"/>
      <c r="AO4424" s="1821"/>
      <c r="AP4424" s="1821"/>
      <c r="AQ4424" s="1821"/>
      <c r="AR4424" s="1821"/>
      <c r="AS4424" s="1821"/>
      <c r="AT4424" s="1821"/>
      <c r="AU4424" s="1821"/>
      <c r="AV4424" s="1821"/>
      <c r="AW4424" s="1821"/>
      <c r="AX4424" s="1821"/>
      <c r="AY4424" s="1821"/>
      <c r="AZ4424" s="1821"/>
      <c r="BA4424" s="1821"/>
      <c r="BB4424" s="1821"/>
      <c r="BC4424" s="1821"/>
      <c r="BD4424" s="1821"/>
      <c r="BE4424" s="1821"/>
      <c r="BF4424" s="1821"/>
      <c r="BG4424" s="1821"/>
      <c r="BH4424" s="1821"/>
      <c r="BI4424" s="1821"/>
      <c r="BJ4424" s="1821"/>
      <c r="BK4424" s="1821"/>
      <c r="BL4424" s="1821"/>
      <c r="BM4424" s="1821"/>
      <c r="BN4424" s="1821"/>
      <c r="BO4424" s="1821"/>
      <c r="BP4424" s="1821"/>
      <c r="BQ4424" s="1821"/>
      <c r="BR4424" s="1821"/>
      <c r="BS4424" s="1821"/>
      <c r="BT4424" s="1821"/>
      <c r="BU4424" s="1821"/>
      <c r="BV4424" s="1821"/>
      <c r="BW4424" s="1821"/>
      <c r="BX4424" s="1821"/>
      <c r="BY4424" s="1821"/>
      <c r="BZ4424" s="1821"/>
      <c r="CA4424" s="1821"/>
      <c r="CB4424" s="1821"/>
      <c r="CC4424" s="1821"/>
      <c r="CD4424" s="1821"/>
      <c r="CE4424" s="1821"/>
      <c r="CF4424" s="1821"/>
      <c r="CG4424" s="1821"/>
      <c r="CH4424" s="1821"/>
      <c r="CI4424" s="1821"/>
      <c r="CJ4424" s="1821"/>
      <c r="CK4424" s="1821"/>
    </row>
    <row r="4425" spans="1:89" s="675" customFormat="1" ht="16.5" customHeight="1" x14ac:dyDescent="0.25">
      <c r="A4425" s="849"/>
      <c r="B4425" s="1061" t="s">
        <v>489</v>
      </c>
      <c r="C4425" s="835">
        <v>1</v>
      </c>
      <c r="D4425" s="1062" t="s">
        <v>45</v>
      </c>
      <c r="E4425" s="825">
        <v>4684.9639999999999</v>
      </c>
      <c r="F4425" s="825">
        <f>E4425*C4425</f>
        <v>4684.9639999999999</v>
      </c>
      <c r="G4425" s="825"/>
      <c r="H4425" s="825">
        <f>G4425+F4425</f>
        <v>4684.9639999999999</v>
      </c>
      <c r="I4425" s="825"/>
      <c r="J4425" s="825"/>
      <c r="K4425" s="825"/>
      <c r="L4425" s="825"/>
      <c r="M4425" s="825"/>
      <c r="N4425" s="825"/>
      <c r="O4425" s="826">
        <f t="shared" si="501"/>
        <v>4684.9639999999999</v>
      </c>
      <c r="P4425" s="702"/>
      <c r="Q4425" s="1821"/>
      <c r="R4425" s="1821"/>
      <c r="S4425" s="1821"/>
      <c r="T4425" s="1821"/>
      <c r="U4425" s="1821"/>
      <c r="V4425" s="1821"/>
      <c r="W4425" s="1821"/>
      <c r="X4425" s="1821"/>
      <c r="Y4425" s="1821"/>
      <c r="Z4425" s="1821"/>
      <c r="AA4425" s="1821"/>
      <c r="AB4425" s="1821"/>
      <c r="AC4425" s="1821"/>
      <c r="AD4425" s="1821"/>
      <c r="AE4425" s="1821"/>
      <c r="AF4425" s="1821"/>
      <c r="AG4425" s="1821"/>
      <c r="AH4425" s="1821"/>
      <c r="AI4425" s="1821"/>
      <c r="AJ4425" s="1821"/>
      <c r="AK4425" s="1821"/>
      <c r="AL4425" s="1821"/>
      <c r="AM4425" s="1821"/>
      <c r="AN4425" s="1821"/>
      <c r="AO4425" s="1821"/>
      <c r="AP4425" s="1821"/>
      <c r="AQ4425" s="1821"/>
      <c r="AR4425" s="1821"/>
      <c r="AS4425" s="1821"/>
      <c r="AT4425" s="1821"/>
      <c r="AU4425" s="1821"/>
      <c r="AV4425" s="1821"/>
      <c r="AW4425" s="1821"/>
      <c r="AX4425" s="1821"/>
      <c r="AY4425" s="1821"/>
      <c r="AZ4425" s="1821"/>
      <c r="BA4425" s="1821"/>
      <c r="BB4425" s="1821"/>
      <c r="BC4425" s="1821"/>
      <c r="BD4425" s="1821"/>
      <c r="BE4425" s="1821"/>
      <c r="BF4425" s="1821"/>
      <c r="BG4425" s="1821"/>
      <c r="BH4425" s="1821"/>
      <c r="BI4425" s="1821"/>
      <c r="BJ4425" s="1821"/>
      <c r="BK4425" s="1821"/>
      <c r="BL4425" s="1821"/>
      <c r="BM4425" s="1821"/>
      <c r="BN4425" s="1821"/>
      <c r="BO4425" s="1821"/>
      <c r="BP4425" s="1821"/>
      <c r="BQ4425" s="1821"/>
      <c r="BR4425" s="1821"/>
      <c r="BS4425" s="1821"/>
      <c r="BT4425" s="1821"/>
      <c r="BU4425" s="1821"/>
      <c r="BV4425" s="1821"/>
      <c r="BW4425" s="1821"/>
      <c r="BX4425" s="1821"/>
      <c r="BY4425" s="1821"/>
      <c r="BZ4425" s="1821"/>
      <c r="CA4425" s="1821"/>
      <c r="CB4425" s="1821"/>
      <c r="CC4425" s="1821"/>
      <c r="CD4425" s="1821"/>
      <c r="CE4425" s="1821"/>
      <c r="CF4425" s="1821"/>
      <c r="CG4425" s="1821"/>
      <c r="CH4425" s="1821"/>
      <c r="CI4425" s="1821"/>
      <c r="CJ4425" s="1821"/>
      <c r="CK4425" s="1821"/>
    </row>
    <row r="4426" spans="1:89" s="675" customFormat="1" ht="16.5" customHeight="1" x14ac:dyDescent="0.25">
      <c r="A4426" s="849"/>
      <c r="B4426" s="1061" t="s">
        <v>480</v>
      </c>
      <c r="C4426" s="835">
        <v>1</v>
      </c>
      <c r="D4426" s="1062" t="s">
        <v>25</v>
      </c>
      <c r="E4426" s="825">
        <v>6090.4531999999999</v>
      </c>
      <c r="F4426" s="825">
        <f>E4426*C4426</f>
        <v>6090.4531999999999</v>
      </c>
      <c r="G4426" s="825"/>
      <c r="H4426" s="825">
        <f>G4426+F4426</f>
        <v>6090.4531999999999</v>
      </c>
      <c r="I4426" s="825"/>
      <c r="J4426" s="825"/>
      <c r="K4426" s="825"/>
      <c r="L4426" s="825"/>
      <c r="M4426" s="825"/>
      <c r="N4426" s="825"/>
      <c r="O4426" s="826">
        <f t="shared" si="501"/>
        <v>6090.4531999999999</v>
      </c>
      <c r="P4426" s="702"/>
      <c r="Q4426" s="1821"/>
      <c r="R4426" s="1821"/>
      <c r="S4426" s="1821"/>
      <c r="T4426" s="1821"/>
      <c r="U4426" s="1821"/>
      <c r="V4426" s="1821"/>
      <c r="W4426" s="1821"/>
      <c r="X4426" s="1821"/>
      <c r="Y4426" s="1821"/>
      <c r="Z4426" s="1821"/>
      <c r="AA4426" s="1821"/>
      <c r="AB4426" s="1821"/>
      <c r="AC4426" s="1821"/>
      <c r="AD4426" s="1821"/>
      <c r="AE4426" s="1821"/>
      <c r="AF4426" s="1821"/>
      <c r="AG4426" s="1821"/>
      <c r="AH4426" s="1821"/>
      <c r="AI4426" s="1821"/>
      <c r="AJ4426" s="1821"/>
      <c r="AK4426" s="1821"/>
      <c r="AL4426" s="1821"/>
      <c r="AM4426" s="1821"/>
      <c r="AN4426" s="1821"/>
      <c r="AO4426" s="1821"/>
      <c r="AP4426" s="1821"/>
      <c r="AQ4426" s="1821"/>
      <c r="AR4426" s="1821"/>
      <c r="AS4426" s="1821"/>
      <c r="AT4426" s="1821"/>
      <c r="AU4426" s="1821"/>
      <c r="AV4426" s="1821"/>
      <c r="AW4426" s="1821"/>
      <c r="AX4426" s="1821"/>
      <c r="AY4426" s="1821"/>
      <c r="AZ4426" s="1821"/>
      <c r="BA4426" s="1821"/>
      <c r="BB4426" s="1821"/>
      <c r="BC4426" s="1821"/>
      <c r="BD4426" s="1821"/>
      <c r="BE4426" s="1821"/>
      <c r="BF4426" s="1821"/>
      <c r="BG4426" s="1821"/>
      <c r="BH4426" s="1821"/>
      <c r="BI4426" s="1821"/>
      <c r="BJ4426" s="1821"/>
      <c r="BK4426" s="1821"/>
      <c r="BL4426" s="1821"/>
      <c r="BM4426" s="1821"/>
      <c r="BN4426" s="1821"/>
      <c r="BO4426" s="1821"/>
      <c r="BP4426" s="1821"/>
      <c r="BQ4426" s="1821"/>
      <c r="BR4426" s="1821"/>
      <c r="BS4426" s="1821"/>
      <c r="BT4426" s="1821"/>
      <c r="BU4426" s="1821"/>
      <c r="BV4426" s="1821"/>
      <c r="BW4426" s="1821"/>
      <c r="BX4426" s="1821"/>
      <c r="BY4426" s="1821"/>
      <c r="BZ4426" s="1821"/>
      <c r="CA4426" s="1821"/>
      <c r="CB4426" s="1821"/>
      <c r="CC4426" s="1821"/>
      <c r="CD4426" s="1821"/>
      <c r="CE4426" s="1821"/>
      <c r="CF4426" s="1821"/>
      <c r="CG4426" s="1821"/>
      <c r="CH4426" s="1821"/>
      <c r="CI4426" s="1821"/>
      <c r="CJ4426" s="1821"/>
      <c r="CK4426" s="1821"/>
    </row>
    <row r="4427" spans="1:89" s="675" customFormat="1" ht="16.5" customHeight="1" x14ac:dyDescent="0.25">
      <c r="A4427" s="849"/>
      <c r="B4427" s="1061"/>
      <c r="C4427" s="835"/>
      <c r="D4427" s="1062"/>
      <c r="E4427" s="825"/>
      <c r="F4427" s="825"/>
      <c r="G4427" s="825"/>
      <c r="H4427" s="825"/>
      <c r="I4427" s="825"/>
      <c r="J4427" s="825"/>
      <c r="K4427" s="825"/>
      <c r="L4427" s="825"/>
      <c r="M4427" s="825"/>
      <c r="N4427" s="825"/>
      <c r="O4427" s="826"/>
      <c r="P4427" s="702"/>
      <c r="Q4427" s="1821"/>
      <c r="R4427" s="1821"/>
      <c r="S4427" s="1821"/>
      <c r="T4427" s="1821"/>
      <c r="U4427" s="1821"/>
      <c r="V4427" s="1821"/>
      <c r="W4427" s="1821"/>
      <c r="X4427" s="1821"/>
      <c r="Y4427" s="1821"/>
      <c r="Z4427" s="1821"/>
      <c r="AA4427" s="1821"/>
      <c r="AB4427" s="1821"/>
      <c r="AC4427" s="1821"/>
      <c r="AD4427" s="1821"/>
      <c r="AE4427" s="1821"/>
      <c r="AF4427" s="1821"/>
      <c r="AG4427" s="1821"/>
      <c r="AH4427" s="1821"/>
      <c r="AI4427" s="1821"/>
      <c r="AJ4427" s="1821"/>
      <c r="AK4427" s="1821"/>
      <c r="AL4427" s="1821"/>
      <c r="AM4427" s="1821"/>
      <c r="AN4427" s="1821"/>
      <c r="AO4427" s="1821"/>
      <c r="AP4427" s="1821"/>
      <c r="AQ4427" s="1821"/>
      <c r="AR4427" s="1821"/>
      <c r="AS4427" s="1821"/>
      <c r="AT4427" s="1821"/>
      <c r="AU4427" s="1821"/>
      <c r="AV4427" s="1821"/>
      <c r="AW4427" s="1821"/>
      <c r="AX4427" s="1821"/>
      <c r="AY4427" s="1821"/>
      <c r="AZ4427" s="1821"/>
      <c r="BA4427" s="1821"/>
      <c r="BB4427" s="1821"/>
      <c r="BC4427" s="1821"/>
      <c r="BD4427" s="1821"/>
      <c r="BE4427" s="1821"/>
      <c r="BF4427" s="1821"/>
      <c r="BG4427" s="1821"/>
      <c r="BH4427" s="1821"/>
      <c r="BI4427" s="1821"/>
      <c r="BJ4427" s="1821"/>
      <c r="BK4427" s="1821"/>
      <c r="BL4427" s="1821"/>
      <c r="BM4427" s="1821"/>
      <c r="BN4427" s="1821"/>
      <c r="BO4427" s="1821"/>
      <c r="BP4427" s="1821"/>
      <c r="BQ4427" s="1821"/>
      <c r="BR4427" s="1821"/>
      <c r="BS4427" s="1821"/>
      <c r="BT4427" s="1821"/>
      <c r="BU4427" s="1821"/>
      <c r="BV4427" s="1821"/>
      <c r="BW4427" s="1821"/>
      <c r="BX4427" s="1821"/>
      <c r="BY4427" s="1821"/>
      <c r="BZ4427" s="1821"/>
      <c r="CA4427" s="1821"/>
      <c r="CB4427" s="1821"/>
      <c r="CC4427" s="1821"/>
      <c r="CD4427" s="1821"/>
      <c r="CE4427" s="1821"/>
      <c r="CF4427" s="1821"/>
      <c r="CG4427" s="1821"/>
      <c r="CH4427" s="1821"/>
      <c r="CI4427" s="1821"/>
      <c r="CJ4427" s="1821"/>
      <c r="CK4427" s="1821"/>
    </row>
    <row r="4428" spans="1:89" s="675" customFormat="1" ht="16.5" customHeight="1" x14ac:dyDescent="0.25">
      <c r="A4428" s="849">
        <v>511123</v>
      </c>
      <c r="B4428" s="1061" t="s">
        <v>490</v>
      </c>
      <c r="C4428" s="835"/>
      <c r="D4428" s="1062"/>
      <c r="E4428" s="825"/>
      <c r="F4428" s="825"/>
      <c r="G4428" s="825"/>
      <c r="H4428" s="825"/>
      <c r="I4428" s="825"/>
      <c r="J4428" s="825"/>
      <c r="K4428" s="825"/>
      <c r="L4428" s="825"/>
      <c r="M4428" s="825"/>
      <c r="N4428" s="825"/>
      <c r="O4428" s="826">
        <f t="shared" si="501"/>
        <v>0</v>
      </c>
      <c r="P4428" s="702"/>
      <c r="Q4428" s="1821"/>
      <c r="R4428" s="1821"/>
      <c r="S4428" s="1821"/>
      <c r="T4428" s="1821"/>
      <c r="U4428" s="1821"/>
      <c r="V4428" s="1821"/>
      <c r="W4428" s="1821"/>
      <c r="X4428" s="1821"/>
      <c r="Y4428" s="1821"/>
      <c r="Z4428" s="1821"/>
      <c r="AA4428" s="1821"/>
      <c r="AB4428" s="1821"/>
      <c r="AC4428" s="1821"/>
      <c r="AD4428" s="1821"/>
      <c r="AE4428" s="1821"/>
      <c r="AF4428" s="1821"/>
      <c r="AG4428" s="1821"/>
      <c r="AH4428" s="1821"/>
      <c r="AI4428" s="1821"/>
      <c r="AJ4428" s="1821"/>
      <c r="AK4428" s="1821"/>
      <c r="AL4428" s="1821"/>
      <c r="AM4428" s="1821"/>
      <c r="AN4428" s="1821"/>
      <c r="AO4428" s="1821"/>
      <c r="AP4428" s="1821"/>
      <c r="AQ4428" s="1821"/>
      <c r="AR4428" s="1821"/>
      <c r="AS4428" s="1821"/>
      <c r="AT4428" s="1821"/>
      <c r="AU4428" s="1821"/>
      <c r="AV4428" s="1821"/>
      <c r="AW4428" s="1821"/>
      <c r="AX4428" s="1821"/>
      <c r="AY4428" s="1821"/>
      <c r="AZ4428" s="1821"/>
      <c r="BA4428" s="1821"/>
      <c r="BB4428" s="1821"/>
      <c r="BC4428" s="1821"/>
      <c r="BD4428" s="1821"/>
      <c r="BE4428" s="1821"/>
      <c r="BF4428" s="1821"/>
      <c r="BG4428" s="1821"/>
      <c r="BH4428" s="1821"/>
      <c r="BI4428" s="1821"/>
      <c r="BJ4428" s="1821"/>
      <c r="BK4428" s="1821"/>
      <c r="BL4428" s="1821"/>
      <c r="BM4428" s="1821"/>
      <c r="BN4428" s="1821"/>
      <c r="BO4428" s="1821"/>
      <c r="BP4428" s="1821"/>
      <c r="BQ4428" s="1821"/>
      <c r="BR4428" s="1821"/>
      <c r="BS4428" s="1821"/>
      <c r="BT4428" s="1821"/>
      <c r="BU4428" s="1821"/>
      <c r="BV4428" s="1821"/>
      <c r="BW4428" s="1821"/>
      <c r="BX4428" s="1821"/>
      <c r="BY4428" s="1821"/>
      <c r="BZ4428" s="1821"/>
      <c r="CA4428" s="1821"/>
      <c r="CB4428" s="1821"/>
      <c r="CC4428" s="1821"/>
      <c r="CD4428" s="1821"/>
      <c r="CE4428" s="1821"/>
      <c r="CF4428" s="1821"/>
      <c r="CG4428" s="1821"/>
      <c r="CH4428" s="1821"/>
      <c r="CI4428" s="1821"/>
      <c r="CJ4428" s="1821"/>
      <c r="CK4428" s="1821"/>
    </row>
    <row r="4429" spans="1:89" s="675" customFormat="1" ht="16.5" customHeight="1" x14ac:dyDescent="0.25">
      <c r="A4429" s="849"/>
      <c r="B4429" s="1061" t="s">
        <v>2247</v>
      </c>
      <c r="C4429" s="835"/>
      <c r="D4429" s="1062"/>
      <c r="E4429" s="825"/>
      <c r="F4429" s="825"/>
      <c r="G4429" s="825"/>
      <c r="H4429" s="825"/>
      <c r="I4429" s="825"/>
      <c r="J4429" s="825"/>
      <c r="K4429" s="825"/>
      <c r="L4429" s="825"/>
      <c r="M4429" s="825"/>
      <c r="N4429" s="825"/>
      <c r="O4429" s="826">
        <f t="shared" si="501"/>
        <v>0</v>
      </c>
      <c r="P4429" s="702"/>
      <c r="Q4429" s="1821"/>
      <c r="R4429" s="1821"/>
      <c r="S4429" s="1821"/>
      <c r="T4429" s="1821"/>
      <c r="U4429" s="1821"/>
      <c r="V4429" s="1821"/>
      <c r="W4429" s="1821"/>
      <c r="X4429" s="1821"/>
      <c r="Y4429" s="1821"/>
      <c r="Z4429" s="1821"/>
      <c r="AA4429" s="1821"/>
      <c r="AB4429" s="1821"/>
      <c r="AC4429" s="1821"/>
      <c r="AD4429" s="1821"/>
      <c r="AE4429" s="1821"/>
      <c r="AF4429" s="1821"/>
      <c r="AG4429" s="1821"/>
      <c r="AH4429" s="1821"/>
      <c r="AI4429" s="1821"/>
      <c r="AJ4429" s="1821"/>
      <c r="AK4429" s="1821"/>
      <c r="AL4429" s="1821"/>
      <c r="AM4429" s="1821"/>
      <c r="AN4429" s="1821"/>
      <c r="AO4429" s="1821"/>
      <c r="AP4429" s="1821"/>
      <c r="AQ4429" s="1821"/>
      <c r="AR4429" s="1821"/>
      <c r="AS4429" s="1821"/>
      <c r="AT4429" s="1821"/>
      <c r="AU4429" s="1821"/>
      <c r="AV4429" s="1821"/>
      <c r="AW4429" s="1821"/>
      <c r="AX4429" s="1821"/>
      <c r="AY4429" s="1821"/>
      <c r="AZ4429" s="1821"/>
      <c r="BA4429" s="1821"/>
      <c r="BB4429" s="1821"/>
      <c r="BC4429" s="1821"/>
      <c r="BD4429" s="1821"/>
      <c r="BE4429" s="1821"/>
      <c r="BF4429" s="1821"/>
      <c r="BG4429" s="1821"/>
      <c r="BH4429" s="1821"/>
      <c r="BI4429" s="1821"/>
      <c r="BJ4429" s="1821"/>
      <c r="BK4429" s="1821"/>
      <c r="BL4429" s="1821"/>
      <c r="BM4429" s="1821"/>
      <c r="BN4429" s="1821"/>
      <c r="BO4429" s="1821"/>
      <c r="BP4429" s="1821"/>
      <c r="BQ4429" s="1821"/>
      <c r="BR4429" s="1821"/>
      <c r="BS4429" s="1821"/>
      <c r="BT4429" s="1821"/>
      <c r="BU4429" s="1821"/>
      <c r="BV4429" s="1821"/>
      <c r="BW4429" s="1821"/>
      <c r="BX4429" s="1821"/>
      <c r="BY4429" s="1821"/>
      <c r="BZ4429" s="1821"/>
      <c r="CA4429" s="1821"/>
      <c r="CB4429" s="1821"/>
      <c r="CC4429" s="1821"/>
      <c r="CD4429" s="1821"/>
      <c r="CE4429" s="1821"/>
      <c r="CF4429" s="1821"/>
      <c r="CG4429" s="1821"/>
      <c r="CH4429" s="1821"/>
      <c r="CI4429" s="1821"/>
      <c r="CJ4429" s="1821"/>
      <c r="CK4429" s="1821"/>
    </row>
    <row r="4430" spans="1:89" s="675" customFormat="1" ht="16.5" customHeight="1" x14ac:dyDescent="0.25">
      <c r="A4430" s="849"/>
      <c r="B4430" s="1061" t="s">
        <v>491</v>
      </c>
      <c r="C4430" s="835">
        <v>1</v>
      </c>
      <c r="D4430" s="1062" t="s">
        <v>25</v>
      </c>
      <c r="E4430" s="825">
        <v>51480</v>
      </c>
      <c r="F4430" s="825">
        <f t="shared" ref="F4430:F4436" si="504">E4430*C4430</f>
        <v>51480</v>
      </c>
      <c r="G4430" s="825"/>
      <c r="H4430" s="825">
        <f t="shared" ref="H4430:H4436" si="505">G4430+F4430</f>
        <v>51480</v>
      </c>
      <c r="I4430" s="825"/>
      <c r="J4430" s="825"/>
      <c r="K4430" s="825"/>
      <c r="L4430" s="825"/>
      <c r="M4430" s="825"/>
      <c r="N4430" s="825"/>
      <c r="O4430" s="826">
        <f t="shared" si="501"/>
        <v>51480</v>
      </c>
      <c r="P4430" s="702"/>
      <c r="Q4430" s="1821"/>
      <c r="R4430" s="1821"/>
      <c r="S4430" s="1821"/>
      <c r="T4430" s="1821"/>
      <c r="U4430" s="1821"/>
      <c r="V4430" s="1821"/>
      <c r="W4430" s="1821"/>
      <c r="X4430" s="1821"/>
      <c r="Y4430" s="1821"/>
      <c r="Z4430" s="1821"/>
      <c r="AA4430" s="1821"/>
      <c r="AB4430" s="1821"/>
      <c r="AC4430" s="1821"/>
      <c r="AD4430" s="1821"/>
      <c r="AE4430" s="1821"/>
      <c r="AF4430" s="1821"/>
      <c r="AG4430" s="1821"/>
      <c r="AH4430" s="1821"/>
      <c r="AI4430" s="1821"/>
      <c r="AJ4430" s="1821"/>
      <c r="AK4430" s="1821"/>
      <c r="AL4430" s="1821"/>
      <c r="AM4430" s="1821"/>
      <c r="AN4430" s="1821"/>
      <c r="AO4430" s="1821"/>
      <c r="AP4430" s="1821"/>
      <c r="AQ4430" s="1821"/>
      <c r="AR4430" s="1821"/>
      <c r="AS4430" s="1821"/>
      <c r="AT4430" s="1821"/>
      <c r="AU4430" s="1821"/>
      <c r="AV4430" s="1821"/>
      <c r="AW4430" s="1821"/>
      <c r="AX4430" s="1821"/>
      <c r="AY4430" s="1821"/>
      <c r="AZ4430" s="1821"/>
      <c r="BA4430" s="1821"/>
      <c r="BB4430" s="1821"/>
      <c r="BC4430" s="1821"/>
      <c r="BD4430" s="1821"/>
      <c r="BE4430" s="1821"/>
      <c r="BF4430" s="1821"/>
      <c r="BG4430" s="1821"/>
      <c r="BH4430" s="1821"/>
      <c r="BI4430" s="1821"/>
      <c r="BJ4430" s="1821"/>
      <c r="BK4430" s="1821"/>
      <c r="BL4430" s="1821"/>
      <c r="BM4430" s="1821"/>
      <c r="BN4430" s="1821"/>
      <c r="BO4430" s="1821"/>
      <c r="BP4430" s="1821"/>
      <c r="BQ4430" s="1821"/>
      <c r="BR4430" s="1821"/>
      <c r="BS4430" s="1821"/>
      <c r="BT4430" s="1821"/>
      <c r="BU4430" s="1821"/>
      <c r="BV4430" s="1821"/>
      <c r="BW4430" s="1821"/>
      <c r="BX4430" s="1821"/>
      <c r="BY4430" s="1821"/>
      <c r="BZ4430" s="1821"/>
      <c r="CA4430" s="1821"/>
      <c r="CB4430" s="1821"/>
      <c r="CC4430" s="1821"/>
      <c r="CD4430" s="1821"/>
      <c r="CE4430" s="1821"/>
      <c r="CF4430" s="1821"/>
      <c r="CG4430" s="1821"/>
      <c r="CH4430" s="1821"/>
      <c r="CI4430" s="1821"/>
      <c r="CJ4430" s="1821"/>
      <c r="CK4430" s="1821"/>
    </row>
    <row r="4431" spans="1:89" s="675" customFormat="1" ht="16.5" customHeight="1" x14ac:dyDescent="0.25">
      <c r="A4431" s="849"/>
      <c r="B4431" s="1061" t="s">
        <v>492</v>
      </c>
      <c r="C4431" s="835">
        <v>1</v>
      </c>
      <c r="D4431" s="1062" t="s">
        <v>45</v>
      </c>
      <c r="E4431" s="825">
        <v>3960</v>
      </c>
      <c r="F4431" s="825">
        <f t="shared" si="504"/>
        <v>3960</v>
      </c>
      <c r="G4431" s="825"/>
      <c r="H4431" s="825">
        <f t="shared" si="505"/>
        <v>3960</v>
      </c>
      <c r="I4431" s="825"/>
      <c r="J4431" s="825"/>
      <c r="K4431" s="825"/>
      <c r="L4431" s="825"/>
      <c r="M4431" s="825"/>
      <c r="N4431" s="825"/>
      <c r="O4431" s="826">
        <f t="shared" si="501"/>
        <v>3960</v>
      </c>
      <c r="P4431" s="702"/>
      <c r="Q4431" s="1821"/>
      <c r="R4431" s="1821"/>
      <c r="S4431" s="1821"/>
      <c r="T4431" s="1821"/>
      <c r="U4431" s="1821"/>
      <c r="V4431" s="1821"/>
      <c r="W4431" s="1821"/>
      <c r="X4431" s="1821"/>
      <c r="Y4431" s="1821"/>
      <c r="Z4431" s="1821"/>
      <c r="AA4431" s="1821"/>
      <c r="AB4431" s="1821"/>
      <c r="AC4431" s="1821"/>
      <c r="AD4431" s="1821"/>
      <c r="AE4431" s="1821"/>
      <c r="AF4431" s="1821"/>
      <c r="AG4431" s="1821"/>
      <c r="AH4431" s="1821"/>
      <c r="AI4431" s="1821"/>
      <c r="AJ4431" s="1821"/>
      <c r="AK4431" s="1821"/>
      <c r="AL4431" s="1821"/>
      <c r="AM4431" s="1821"/>
      <c r="AN4431" s="1821"/>
      <c r="AO4431" s="1821"/>
      <c r="AP4431" s="1821"/>
      <c r="AQ4431" s="1821"/>
      <c r="AR4431" s="1821"/>
      <c r="AS4431" s="1821"/>
      <c r="AT4431" s="1821"/>
      <c r="AU4431" s="1821"/>
      <c r="AV4431" s="1821"/>
      <c r="AW4431" s="1821"/>
      <c r="AX4431" s="1821"/>
      <c r="AY4431" s="1821"/>
      <c r="AZ4431" s="1821"/>
      <c r="BA4431" s="1821"/>
      <c r="BB4431" s="1821"/>
      <c r="BC4431" s="1821"/>
      <c r="BD4431" s="1821"/>
      <c r="BE4431" s="1821"/>
      <c r="BF4431" s="1821"/>
      <c r="BG4431" s="1821"/>
      <c r="BH4431" s="1821"/>
      <c r="BI4431" s="1821"/>
      <c r="BJ4431" s="1821"/>
      <c r="BK4431" s="1821"/>
      <c r="BL4431" s="1821"/>
      <c r="BM4431" s="1821"/>
      <c r="BN4431" s="1821"/>
      <c r="BO4431" s="1821"/>
      <c r="BP4431" s="1821"/>
      <c r="BQ4431" s="1821"/>
      <c r="BR4431" s="1821"/>
      <c r="BS4431" s="1821"/>
      <c r="BT4431" s="1821"/>
      <c r="BU4431" s="1821"/>
      <c r="BV4431" s="1821"/>
      <c r="BW4431" s="1821"/>
      <c r="BX4431" s="1821"/>
      <c r="BY4431" s="1821"/>
      <c r="BZ4431" s="1821"/>
      <c r="CA4431" s="1821"/>
      <c r="CB4431" s="1821"/>
      <c r="CC4431" s="1821"/>
      <c r="CD4431" s="1821"/>
      <c r="CE4431" s="1821"/>
      <c r="CF4431" s="1821"/>
      <c r="CG4431" s="1821"/>
      <c r="CH4431" s="1821"/>
      <c r="CI4431" s="1821"/>
      <c r="CJ4431" s="1821"/>
      <c r="CK4431" s="1821"/>
    </row>
    <row r="4432" spans="1:89" s="675" customFormat="1" ht="16.5" customHeight="1" x14ac:dyDescent="0.25">
      <c r="A4432" s="849"/>
      <c r="B4432" s="1061"/>
      <c r="C4432" s="835"/>
      <c r="D4432" s="1062"/>
      <c r="E4432" s="825"/>
      <c r="F4432" s="825"/>
      <c r="G4432" s="825"/>
      <c r="H4432" s="825"/>
      <c r="I4432" s="825"/>
      <c r="J4432" s="825"/>
      <c r="K4432" s="825"/>
      <c r="L4432" s="825"/>
      <c r="M4432" s="825"/>
      <c r="N4432" s="825"/>
      <c r="O4432" s="826"/>
      <c r="P4432" s="702"/>
      <c r="Q4432" s="1821"/>
      <c r="R4432" s="1821"/>
      <c r="S4432" s="1821"/>
      <c r="T4432" s="1821"/>
      <c r="U4432" s="1821"/>
      <c r="V4432" s="1821"/>
      <c r="W4432" s="1821"/>
      <c r="X4432" s="1821"/>
      <c r="Y4432" s="1821"/>
      <c r="Z4432" s="1821"/>
      <c r="AA4432" s="1821"/>
      <c r="AB4432" s="1821"/>
      <c r="AC4432" s="1821"/>
      <c r="AD4432" s="1821"/>
      <c r="AE4432" s="1821"/>
      <c r="AF4432" s="1821"/>
      <c r="AG4432" s="1821"/>
      <c r="AH4432" s="1821"/>
      <c r="AI4432" s="1821"/>
      <c r="AJ4432" s="1821"/>
      <c r="AK4432" s="1821"/>
      <c r="AL4432" s="1821"/>
      <c r="AM4432" s="1821"/>
      <c r="AN4432" s="1821"/>
      <c r="AO4432" s="1821"/>
      <c r="AP4432" s="1821"/>
      <c r="AQ4432" s="1821"/>
      <c r="AR4432" s="1821"/>
      <c r="AS4432" s="1821"/>
      <c r="AT4432" s="1821"/>
      <c r="AU4432" s="1821"/>
      <c r="AV4432" s="1821"/>
      <c r="AW4432" s="1821"/>
      <c r="AX4432" s="1821"/>
      <c r="AY4432" s="1821"/>
      <c r="AZ4432" s="1821"/>
      <c r="BA4432" s="1821"/>
      <c r="BB4432" s="1821"/>
      <c r="BC4432" s="1821"/>
      <c r="BD4432" s="1821"/>
      <c r="BE4432" s="1821"/>
      <c r="BF4432" s="1821"/>
      <c r="BG4432" s="1821"/>
      <c r="BH4432" s="1821"/>
      <c r="BI4432" s="1821"/>
      <c r="BJ4432" s="1821"/>
      <c r="BK4432" s="1821"/>
      <c r="BL4432" s="1821"/>
      <c r="BM4432" s="1821"/>
      <c r="BN4432" s="1821"/>
      <c r="BO4432" s="1821"/>
      <c r="BP4432" s="1821"/>
      <c r="BQ4432" s="1821"/>
      <c r="BR4432" s="1821"/>
      <c r="BS4432" s="1821"/>
      <c r="BT4432" s="1821"/>
      <c r="BU4432" s="1821"/>
      <c r="BV4432" s="1821"/>
      <c r="BW4432" s="1821"/>
      <c r="BX4432" s="1821"/>
      <c r="BY4432" s="1821"/>
      <c r="BZ4432" s="1821"/>
      <c r="CA4432" s="1821"/>
      <c r="CB4432" s="1821"/>
      <c r="CC4432" s="1821"/>
      <c r="CD4432" s="1821"/>
      <c r="CE4432" s="1821"/>
      <c r="CF4432" s="1821"/>
      <c r="CG4432" s="1821"/>
      <c r="CH4432" s="1821"/>
      <c r="CI4432" s="1821"/>
      <c r="CJ4432" s="1821"/>
      <c r="CK4432" s="1821"/>
    </row>
    <row r="4433" spans="1:89" s="675" customFormat="1" ht="16.5" customHeight="1" x14ac:dyDescent="0.25">
      <c r="A4433" s="849">
        <v>511124</v>
      </c>
      <c r="B4433" s="1061" t="s">
        <v>493</v>
      </c>
      <c r="C4433" s="835"/>
      <c r="D4433" s="1062"/>
      <c r="E4433" s="825"/>
      <c r="F4433" s="825"/>
      <c r="G4433" s="825"/>
      <c r="H4433" s="825"/>
      <c r="I4433" s="825"/>
      <c r="J4433" s="825"/>
      <c r="K4433" s="825"/>
      <c r="L4433" s="825"/>
      <c r="M4433" s="825"/>
      <c r="N4433" s="825"/>
      <c r="O4433" s="826">
        <f t="shared" si="501"/>
        <v>0</v>
      </c>
      <c r="P4433" s="702"/>
      <c r="Q4433" s="1821"/>
      <c r="R4433" s="1821"/>
      <c r="S4433" s="1821"/>
      <c r="T4433" s="1821"/>
      <c r="U4433" s="1821"/>
      <c r="V4433" s="1821"/>
      <c r="W4433" s="1821"/>
      <c r="X4433" s="1821"/>
      <c r="Y4433" s="1821"/>
      <c r="Z4433" s="1821"/>
      <c r="AA4433" s="1821"/>
      <c r="AB4433" s="1821"/>
      <c r="AC4433" s="1821"/>
      <c r="AD4433" s="1821"/>
      <c r="AE4433" s="1821"/>
      <c r="AF4433" s="1821"/>
      <c r="AG4433" s="1821"/>
      <c r="AH4433" s="1821"/>
      <c r="AI4433" s="1821"/>
      <c r="AJ4433" s="1821"/>
      <c r="AK4433" s="1821"/>
      <c r="AL4433" s="1821"/>
      <c r="AM4433" s="1821"/>
      <c r="AN4433" s="1821"/>
      <c r="AO4433" s="1821"/>
      <c r="AP4433" s="1821"/>
      <c r="AQ4433" s="1821"/>
      <c r="AR4433" s="1821"/>
      <c r="AS4433" s="1821"/>
      <c r="AT4433" s="1821"/>
      <c r="AU4433" s="1821"/>
      <c r="AV4433" s="1821"/>
      <c r="AW4433" s="1821"/>
      <c r="AX4433" s="1821"/>
      <c r="AY4433" s="1821"/>
      <c r="AZ4433" s="1821"/>
      <c r="BA4433" s="1821"/>
      <c r="BB4433" s="1821"/>
      <c r="BC4433" s="1821"/>
      <c r="BD4433" s="1821"/>
      <c r="BE4433" s="1821"/>
      <c r="BF4433" s="1821"/>
      <c r="BG4433" s="1821"/>
      <c r="BH4433" s="1821"/>
      <c r="BI4433" s="1821"/>
      <c r="BJ4433" s="1821"/>
      <c r="BK4433" s="1821"/>
      <c r="BL4433" s="1821"/>
      <c r="BM4433" s="1821"/>
      <c r="BN4433" s="1821"/>
      <c r="BO4433" s="1821"/>
      <c r="BP4433" s="1821"/>
      <c r="BQ4433" s="1821"/>
      <c r="BR4433" s="1821"/>
      <c r="BS4433" s="1821"/>
      <c r="BT4433" s="1821"/>
      <c r="BU4433" s="1821"/>
      <c r="BV4433" s="1821"/>
      <c r="BW4433" s="1821"/>
      <c r="BX4433" s="1821"/>
      <c r="BY4433" s="1821"/>
      <c r="BZ4433" s="1821"/>
      <c r="CA4433" s="1821"/>
      <c r="CB4433" s="1821"/>
      <c r="CC4433" s="1821"/>
      <c r="CD4433" s="1821"/>
      <c r="CE4433" s="1821"/>
      <c r="CF4433" s="1821"/>
      <c r="CG4433" s="1821"/>
      <c r="CH4433" s="1821"/>
      <c r="CI4433" s="1821"/>
      <c r="CJ4433" s="1821"/>
      <c r="CK4433" s="1821"/>
    </row>
    <row r="4434" spans="1:89" s="675" customFormat="1" ht="16.5" customHeight="1" x14ac:dyDescent="0.25">
      <c r="A4434" s="849"/>
      <c r="B4434" s="1061" t="s">
        <v>2247</v>
      </c>
      <c r="C4434" s="835"/>
      <c r="D4434" s="1062"/>
      <c r="E4434" s="825"/>
      <c r="F4434" s="825"/>
      <c r="G4434" s="825"/>
      <c r="H4434" s="825"/>
      <c r="I4434" s="825"/>
      <c r="J4434" s="825"/>
      <c r="K4434" s="825"/>
      <c r="L4434" s="825"/>
      <c r="M4434" s="825"/>
      <c r="N4434" s="825"/>
      <c r="O4434" s="826">
        <f t="shared" si="501"/>
        <v>0</v>
      </c>
      <c r="P4434" s="702"/>
      <c r="Q4434" s="1821"/>
      <c r="R4434" s="1821"/>
      <c r="S4434" s="1821"/>
      <c r="T4434" s="1821"/>
      <c r="U4434" s="1821"/>
      <c r="V4434" s="1821"/>
      <c r="W4434" s="1821"/>
      <c r="X4434" s="1821"/>
      <c r="Y4434" s="1821"/>
      <c r="Z4434" s="1821"/>
      <c r="AA4434" s="1821"/>
      <c r="AB4434" s="1821"/>
      <c r="AC4434" s="1821"/>
      <c r="AD4434" s="1821"/>
      <c r="AE4434" s="1821"/>
      <c r="AF4434" s="1821"/>
      <c r="AG4434" s="1821"/>
      <c r="AH4434" s="1821"/>
      <c r="AI4434" s="1821"/>
      <c r="AJ4434" s="1821"/>
      <c r="AK4434" s="1821"/>
      <c r="AL4434" s="1821"/>
      <c r="AM4434" s="1821"/>
      <c r="AN4434" s="1821"/>
      <c r="AO4434" s="1821"/>
      <c r="AP4434" s="1821"/>
      <c r="AQ4434" s="1821"/>
      <c r="AR4434" s="1821"/>
      <c r="AS4434" s="1821"/>
      <c r="AT4434" s="1821"/>
      <c r="AU4434" s="1821"/>
      <c r="AV4434" s="1821"/>
      <c r="AW4434" s="1821"/>
      <c r="AX4434" s="1821"/>
      <c r="AY4434" s="1821"/>
      <c r="AZ4434" s="1821"/>
      <c r="BA4434" s="1821"/>
      <c r="BB4434" s="1821"/>
      <c r="BC4434" s="1821"/>
      <c r="BD4434" s="1821"/>
      <c r="BE4434" s="1821"/>
      <c r="BF4434" s="1821"/>
      <c r="BG4434" s="1821"/>
      <c r="BH4434" s="1821"/>
      <c r="BI4434" s="1821"/>
      <c r="BJ4434" s="1821"/>
      <c r="BK4434" s="1821"/>
      <c r="BL4434" s="1821"/>
      <c r="BM4434" s="1821"/>
      <c r="BN4434" s="1821"/>
      <c r="BO4434" s="1821"/>
      <c r="BP4434" s="1821"/>
      <c r="BQ4434" s="1821"/>
      <c r="BR4434" s="1821"/>
      <c r="BS4434" s="1821"/>
      <c r="BT4434" s="1821"/>
      <c r="BU4434" s="1821"/>
      <c r="BV4434" s="1821"/>
      <c r="BW4434" s="1821"/>
      <c r="BX4434" s="1821"/>
      <c r="BY4434" s="1821"/>
      <c r="BZ4434" s="1821"/>
      <c r="CA4434" s="1821"/>
      <c r="CB4434" s="1821"/>
      <c r="CC4434" s="1821"/>
      <c r="CD4434" s="1821"/>
      <c r="CE4434" s="1821"/>
      <c r="CF4434" s="1821"/>
      <c r="CG4434" s="1821"/>
      <c r="CH4434" s="1821"/>
      <c r="CI4434" s="1821"/>
      <c r="CJ4434" s="1821"/>
      <c r="CK4434" s="1821"/>
    </row>
    <row r="4435" spans="1:89" s="675" customFormat="1" ht="16.5" customHeight="1" x14ac:dyDescent="0.25">
      <c r="A4435" s="849"/>
      <c r="B4435" s="1061" t="s">
        <v>494</v>
      </c>
      <c r="C4435" s="835">
        <v>1</v>
      </c>
      <c r="D4435" s="1062" t="s">
        <v>25</v>
      </c>
      <c r="E4435" s="825">
        <v>94575</v>
      </c>
      <c r="F4435" s="825">
        <f t="shared" si="504"/>
        <v>94575</v>
      </c>
      <c r="G4435" s="825"/>
      <c r="H4435" s="825">
        <f t="shared" si="505"/>
        <v>94575</v>
      </c>
      <c r="I4435" s="825"/>
      <c r="J4435" s="825"/>
      <c r="K4435" s="825"/>
      <c r="L4435" s="825"/>
      <c r="M4435" s="825"/>
      <c r="N4435" s="825"/>
      <c r="O4435" s="826">
        <f t="shared" si="501"/>
        <v>94575</v>
      </c>
      <c r="P4435" s="702"/>
      <c r="Q4435" s="1821"/>
      <c r="R4435" s="1821"/>
      <c r="S4435" s="1821"/>
      <c r="T4435" s="1821"/>
      <c r="U4435" s="1821"/>
      <c r="V4435" s="1821"/>
      <c r="W4435" s="1821"/>
      <c r="X4435" s="1821"/>
      <c r="Y4435" s="1821"/>
      <c r="Z4435" s="1821"/>
      <c r="AA4435" s="1821"/>
      <c r="AB4435" s="1821"/>
      <c r="AC4435" s="1821"/>
      <c r="AD4435" s="1821"/>
      <c r="AE4435" s="1821"/>
      <c r="AF4435" s="1821"/>
      <c r="AG4435" s="1821"/>
      <c r="AH4435" s="1821"/>
      <c r="AI4435" s="1821"/>
      <c r="AJ4435" s="1821"/>
      <c r="AK4435" s="1821"/>
      <c r="AL4435" s="1821"/>
      <c r="AM4435" s="1821"/>
      <c r="AN4435" s="1821"/>
      <c r="AO4435" s="1821"/>
      <c r="AP4435" s="1821"/>
      <c r="AQ4435" s="1821"/>
      <c r="AR4435" s="1821"/>
      <c r="AS4435" s="1821"/>
      <c r="AT4435" s="1821"/>
      <c r="AU4435" s="1821"/>
      <c r="AV4435" s="1821"/>
      <c r="AW4435" s="1821"/>
      <c r="AX4435" s="1821"/>
      <c r="AY4435" s="1821"/>
      <c r="AZ4435" s="1821"/>
      <c r="BA4435" s="1821"/>
      <c r="BB4435" s="1821"/>
      <c r="BC4435" s="1821"/>
      <c r="BD4435" s="1821"/>
      <c r="BE4435" s="1821"/>
      <c r="BF4435" s="1821"/>
      <c r="BG4435" s="1821"/>
      <c r="BH4435" s="1821"/>
      <c r="BI4435" s="1821"/>
      <c r="BJ4435" s="1821"/>
      <c r="BK4435" s="1821"/>
      <c r="BL4435" s="1821"/>
      <c r="BM4435" s="1821"/>
      <c r="BN4435" s="1821"/>
      <c r="BO4435" s="1821"/>
      <c r="BP4435" s="1821"/>
      <c r="BQ4435" s="1821"/>
      <c r="BR4435" s="1821"/>
      <c r="BS4435" s="1821"/>
      <c r="BT4435" s="1821"/>
      <c r="BU4435" s="1821"/>
      <c r="BV4435" s="1821"/>
      <c r="BW4435" s="1821"/>
      <c r="BX4435" s="1821"/>
      <c r="BY4435" s="1821"/>
      <c r="BZ4435" s="1821"/>
      <c r="CA4435" s="1821"/>
      <c r="CB4435" s="1821"/>
      <c r="CC4435" s="1821"/>
      <c r="CD4435" s="1821"/>
      <c r="CE4435" s="1821"/>
      <c r="CF4435" s="1821"/>
      <c r="CG4435" s="1821"/>
      <c r="CH4435" s="1821"/>
      <c r="CI4435" s="1821"/>
      <c r="CJ4435" s="1821"/>
      <c r="CK4435" s="1821"/>
    </row>
    <row r="4436" spans="1:89" s="675" customFormat="1" ht="16.5" customHeight="1" x14ac:dyDescent="0.25">
      <c r="A4436" s="849"/>
      <c r="B4436" s="1061" t="s">
        <v>495</v>
      </c>
      <c r="C4436" s="835">
        <v>1</v>
      </c>
      <c r="D4436" s="1062" t="s">
        <v>45</v>
      </c>
      <c r="E4436" s="825">
        <v>7275</v>
      </c>
      <c r="F4436" s="825">
        <f t="shared" si="504"/>
        <v>7275</v>
      </c>
      <c r="G4436" s="825"/>
      <c r="H4436" s="825">
        <f t="shared" si="505"/>
        <v>7275</v>
      </c>
      <c r="I4436" s="825"/>
      <c r="J4436" s="825"/>
      <c r="K4436" s="825"/>
      <c r="L4436" s="825"/>
      <c r="M4436" s="825"/>
      <c r="N4436" s="825"/>
      <c r="O4436" s="826">
        <f t="shared" si="501"/>
        <v>7275</v>
      </c>
      <c r="P4436" s="702"/>
      <c r="Q4436" s="1821"/>
      <c r="R4436" s="1821"/>
      <c r="S4436" s="1821"/>
      <c r="T4436" s="1821"/>
      <c r="U4436" s="1821"/>
      <c r="V4436" s="1821"/>
      <c r="W4436" s="1821"/>
      <c r="X4436" s="1821"/>
      <c r="Y4436" s="1821"/>
      <c r="Z4436" s="1821"/>
      <c r="AA4436" s="1821"/>
      <c r="AB4436" s="1821"/>
      <c r="AC4436" s="1821"/>
      <c r="AD4436" s="1821"/>
      <c r="AE4436" s="1821"/>
      <c r="AF4436" s="1821"/>
      <c r="AG4436" s="1821"/>
      <c r="AH4436" s="1821"/>
      <c r="AI4436" s="1821"/>
      <c r="AJ4436" s="1821"/>
      <c r="AK4436" s="1821"/>
      <c r="AL4436" s="1821"/>
      <c r="AM4436" s="1821"/>
      <c r="AN4436" s="1821"/>
      <c r="AO4436" s="1821"/>
      <c r="AP4436" s="1821"/>
      <c r="AQ4436" s="1821"/>
      <c r="AR4436" s="1821"/>
      <c r="AS4436" s="1821"/>
      <c r="AT4436" s="1821"/>
      <c r="AU4436" s="1821"/>
      <c r="AV4436" s="1821"/>
      <c r="AW4436" s="1821"/>
      <c r="AX4436" s="1821"/>
      <c r="AY4436" s="1821"/>
      <c r="AZ4436" s="1821"/>
      <c r="BA4436" s="1821"/>
      <c r="BB4436" s="1821"/>
      <c r="BC4436" s="1821"/>
      <c r="BD4436" s="1821"/>
      <c r="BE4436" s="1821"/>
      <c r="BF4436" s="1821"/>
      <c r="BG4436" s="1821"/>
      <c r="BH4436" s="1821"/>
      <c r="BI4436" s="1821"/>
      <c r="BJ4436" s="1821"/>
      <c r="BK4436" s="1821"/>
      <c r="BL4436" s="1821"/>
      <c r="BM4436" s="1821"/>
      <c r="BN4436" s="1821"/>
      <c r="BO4436" s="1821"/>
      <c r="BP4436" s="1821"/>
      <c r="BQ4436" s="1821"/>
      <c r="BR4436" s="1821"/>
      <c r="BS4436" s="1821"/>
      <c r="BT4436" s="1821"/>
      <c r="BU4436" s="1821"/>
      <c r="BV4436" s="1821"/>
      <c r="BW4436" s="1821"/>
      <c r="BX4436" s="1821"/>
      <c r="BY4436" s="1821"/>
      <c r="BZ4436" s="1821"/>
      <c r="CA4436" s="1821"/>
      <c r="CB4436" s="1821"/>
      <c r="CC4436" s="1821"/>
      <c r="CD4436" s="1821"/>
      <c r="CE4436" s="1821"/>
      <c r="CF4436" s="1821"/>
      <c r="CG4436" s="1821"/>
      <c r="CH4436" s="1821"/>
      <c r="CI4436" s="1821"/>
      <c r="CJ4436" s="1821"/>
      <c r="CK4436" s="1821"/>
    </row>
    <row r="4437" spans="1:89" s="675" customFormat="1" ht="16.5" customHeight="1" x14ac:dyDescent="0.25">
      <c r="A4437" s="849"/>
      <c r="B4437" s="1061"/>
      <c r="C4437" s="835"/>
      <c r="D4437" s="1062"/>
      <c r="E4437" s="825"/>
      <c r="F4437" s="825"/>
      <c r="G4437" s="825"/>
      <c r="H4437" s="825"/>
      <c r="I4437" s="825"/>
      <c r="J4437" s="825"/>
      <c r="K4437" s="825"/>
      <c r="L4437" s="825"/>
      <c r="M4437" s="825"/>
      <c r="N4437" s="825"/>
      <c r="O4437" s="826"/>
      <c r="P4437" s="702"/>
      <c r="Q4437" s="1821"/>
      <c r="R4437" s="1821"/>
      <c r="S4437" s="1821"/>
      <c r="T4437" s="1821"/>
      <c r="U4437" s="1821"/>
      <c r="V4437" s="1821"/>
      <c r="W4437" s="1821"/>
      <c r="X4437" s="1821"/>
      <c r="Y4437" s="1821"/>
      <c r="Z4437" s="1821"/>
      <c r="AA4437" s="1821"/>
      <c r="AB4437" s="1821"/>
      <c r="AC4437" s="1821"/>
      <c r="AD4437" s="1821"/>
      <c r="AE4437" s="1821"/>
      <c r="AF4437" s="1821"/>
      <c r="AG4437" s="1821"/>
      <c r="AH4437" s="1821"/>
      <c r="AI4437" s="1821"/>
      <c r="AJ4437" s="1821"/>
      <c r="AK4437" s="1821"/>
      <c r="AL4437" s="1821"/>
      <c r="AM4437" s="1821"/>
      <c r="AN4437" s="1821"/>
      <c r="AO4437" s="1821"/>
      <c r="AP4437" s="1821"/>
      <c r="AQ4437" s="1821"/>
      <c r="AR4437" s="1821"/>
      <c r="AS4437" s="1821"/>
      <c r="AT4437" s="1821"/>
      <c r="AU4437" s="1821"/>
      <c r="AV4437" s="1821"/>
      <c r="AW4437" s="1821"/>
      <c r="AX4437" s="1821"/>
      <c r="AY4437" s="1821"/>
      <c r="AZ4437" s="1821"/>
      <c r="BA4437" s="1821"/>
      <c r="BB4437" s="1821"/>
      <c r="BC4437" s="1821"/>
      <c r="BD4437" s="1821"/>
      <c r="BE4437" s="1821"/>
      <c r="BF4437" s="1821"/>
      <c r="BG4437" s="1821"/>
      <c r="BH4437" s="1821"/>
      <c r="BI4437" s="1821"/>
      <c r="BJ4437" s="1821"/>
      <c r="BK4437" s="1821"/>
      <c r="BL4437" s="1821"/>
      <c r="BM4437" s="1821"/>
      <c r="BN4437" s="1821"/>
      <c r="BO4437" s="1821"/>
      <c r="BP4437" s="1821"/>
      <c r="BQ4437" s="1821"/>
      <c r="BR4437" s="1821"/>
      <c r="BS4437" s="1821"/>
      <c r="BT4437" s="1821"/>
      <c r="BU4437" s="1821"/>
      <c r="BV4437" s="1821"/>
      <c r="BW4437" s="1821"/>
      <c r="BX4437" s="1821"/>
      <c r="BY4437" s="1821"/>
      <c r="BZ4437" s="1821"/>
      <c r="CA4437" s="1821"/>
      <c r="CB4437" s="1821"/>
      <c r="CC4437" s="1821"/>
      <c r="CD4437" s="1821"/>
      <c r="CE4437" s="1821"/>
      <c r="CF4437" s="1821"/>
      <c r="CG4437" s="1821"/>
      <c r="CH4437" s="1821"/>
      <c r="CI4437" s="1821"/>
      <c r="CJ4437" s="1821"/>
      <c r="CK4437" s="1821"/>
    </row>
    <row r="4438" spans="1:89" s="675" customFormat="1" ht="16.5" customHeight="1" x14ac:dyDescent="0.25">
      <c r="A4438" s="849">
        <v>511125</v>
      </c>
      <c r="B4438" s="1061" t="s">
        <v>496</v>
      </c>
      <c r="C4438" s="835"/>
      <c r="D4438" s="1062"/>
      <c r="E4438" s="825"/>
      <c r="F4438" s="825"/>
      <c r="G4438" s="825"/>
      <c r="H4438" s="825"/>
      <c r="I4438" s="825"/>
      <c r="J4438" s="825"/>
      <c r="K4438" s="825"/>
      <c r="L4438" s="825"/>
      <c r="M4438" s="825"/>
      <c r="N4438" s="825"/>
      <c r="O4438" s="826">
        <f t="shared" si="501"/>
        <v>0</v>
      </c>
      <c r="P4438" s="702"/>
      <c r="Q4438" s="1821"/>
      <c r="R4438" s="1821"/>
      <c r="S4438" s="1821"/>
      <c r="T4438" s="1821"/>
      <c r="U4438" s="1821"/>
      <c r="V4438" s="1821"/>
      <c r="W4438" s="1821"/>
      <c r="X4438" s="1821"/>
      <c r="Y4438" s="1821"/>
      <c r="Z4438" s="1821"/>
      <c r="AA4438" s="1821"/>
      <c r="AB4438" s="1821"/>
      <c r="AC4438" s="1821"/>
      <c r="AD4438" s="1821"/>
      <c r="AE4438" s="1821"/>
      <c r="AF4438" s="1821"/>
      <c r="AG4438" s="1821"/>
      <c r="AH4438" s="1821"/>
      <c r="AI4438" s="1821"/>
      <c r="AJ4438" s="1821"/>
      <c r="AK4438" s="1821"/>
      <c r="AL4438" s="1821"/>
      <c r="AM4438" s="1821"/>
      <c r="AN4438" s="1821"/>
      <c r="AO4438" s="1821"/>
      <c r="AP4438" s="1821"/>
      <c r="AQ4438" s="1821"/>
      <c r="AR4438" s="1821"/>
      <c r="AS4438" s="1821"/>
      <c r="AT4438" s="1821"/>
      <c r="AU4438" s="1821"/>
      <c r="AV4438" s="1821"/>
      <c r="AW4438" s="1821"/>
      <c r="AX4438" s="1821"/>
      <c r="AY4438" s="1821"/>
      <c r="AZ4438" s="1821"/>
      <c r="BA4438" s="1821"/>
      <c r="BB4438" s="1821"/>
      <c r="BC4438" s="1821"/>
      <c r="BD4438" s="1821"/>
      <c r="BE4438" s="1821"/>
      <c r="BF4438" s="1821"/>
      <c r="BG4438" s="1821"/>
      <c r="BH4438" s="1821"/>
      <c r="BI4438" s="1821"/>
      <c r="BJ4438" s="1821"/>
      <c r="BK4438" s="1821"/>
      <c r="BL4438" s="1821"/>
      <c r="BM4438" s="1821"/>
      <c r="BN4438" s="1821"/>
      <c r="BO4438" s="1821"/>
      <c r="BP4438" s="1821"/>
      <c r="BQ4438" s="1821"/>
      <c r="BR4438" s="1821"/>
      <c r="BS4438" s="1821"/>
      <c r="BT4438" s="1821"/>
      <c r="BU4438" s="1821"/>
      <c r="BV4438" s="1821"/>
      <c r="BW4438" s="1821"/>
      <c r="BX4438" s="1821"/>
      <c r="BY4438" s="1821"/>
      <c r="BZ4438" s="1821"/>
      <c r="CA4438" s="1821"/>
      <c r="CB4438" s="1821"/>
      <c r="CC4438" s="1821"/>
      <c r="CD4438" s="1821"/>
      <c r="CE4438" s="1821"/>
      <c r="CF4438" s="1821"/>
      <c r="CG4438" s="1821"/>
      <c r="CH4438" s="1821"/>
      <c r="CI4438" s="1821"/>
      <c r="CJ4438" s="1821"/>
      <c r="CK4438" s="1821"/>
    </row>
    <row r="4439" spans="1:89" s="675" customFormat="1" ht="16.5" customHeight="1" x14ac:dyDescent="0.25">
      <c r="A4439" s="849"/>
      <c r="B4439" s="1061" t="s">
        <v>2247</v>
      </c>
      <c r="C4439" s="835"/>
      <c r="D4439" s="1062"/>
      <c r="E4439" s="825"/>
      <c r="F4439" s="825"/>
      <c r="G4439" s="825"/>
      <c r="H4439" s="825"/>
      <c r="I4439" s="825"/>
      <c r="J4439" s="825"/>
      <c r="K4439" s="825"/>
      <c r="L4439" s="825"/>
      <c r="M4439" s="825"/>
      <c r="N4439" s="825"/>
      <c r="O4439" s="826">
        <f t="shared" si="501"/>
        <v>0</v>
      </c>
      <c r="P4439" s="702"/>
      <c r="Q4439" s="1821"/>
      <c r="R4439" s="1821"/>
      <c r="S4439" s="1821"/>
      <c r="T4439" s="1821"/>
      <c r="U4439" s="1821"/>
      <c r="V4439" s="1821"/>
      <c r="W4439" s="1821"/>
      <c r="X4439" s="1821"/>
      <c r="Y4439" s="1821"/>
      <c r="Z4439" s="1821"/>
      <c r="AA4439" s="1821"/>
      <c r="AB4439" s="1821"/>
      <c r="AC4439" s="1821"/>
      <c r="AD4439" s="1821"/>
      <c r="AE4439" s="1821"/>
      <c r="AF4439" s="1821"/>
      <c r="AG4439" s="1821"/>
      <c r="AH4439" s="1821"/>
      <c r="AI4439" s="1821"/>
      <c r="AJ4439" s="1821"/>
      <c r="AK4439" s="1821"/>
      <c r="AL4439" s="1821"/>
      <c r="AM4439" s="1821"/>
      <c r="AN4439" s="1821"/>
      <c r="AO4439" s="1821"/>
      <c r="AP4439" s="1821"/>
      <c r="AQ4439" s="1821"/>
      <c r="AR4439" s="1821"/>
      <c r="AS4439" s="1821"/>
      <c r="AT4439" s="1821"/>
      <c r="AU4439" s="1821"/>
      <c r="AV4439" s="1821"/>
      <c r="AW4439" s="1821"/>
      <c r="AX4439" s="1821"/>
      <c r="AY4439" s="1821"/>
      <c r="AZ4439" s="1821"/>
      <c r="BA4439" s="1821"/>
      <c r="BB4439" s="1821"/>
      <c r="BC4439" s="1821"/>
      <c r="BD4439" s="1821"/>
      <c r="BE4439" s="1821"/>
      <c r="BF4439" s="1821"/>
      <c r="BG4439" s="1821"/>
      <c r="BH4439" s="1821"/>
      <c r="BI4439" s="1821"/>
      <c r="BJ4439" s="1821"/>
      <c r="BK4439" s="1821"/>
      <c r="BL4439" s="1821"/>
      <c r="BM4439" s="1821"/>
      <c r="BN4439" s="1821"/>
      <c r="BO4439" s="1821"/>
      <c r="BP4439" s="1821"/>
      <c r="BQ4439" s="1821"/>
      <c r="BR4439" s="1821"/>
      <c r="BS4439" s="1821"/>
      <c r="BT4439" s="1821"/>
      <c r="BU4439" s="1821"/>
      <c r="BV4439" s="1821"/>
      <c r="BW4439" s="1821"/>
      <c r="BX4439" s="1821"/>
      <c r="BY4439" s="1821"/>
      <c r="BZ4439" s="1821"/>
      <c r="CA4439" s="1821"/>
      <c r="CB4439" s="1821"/>
      <c r="CC4439" s="1821"/>
      <c r="CD4439" s="1821"/>
      <c r="CE4439" s="1821"/>
      <c r="CF4439" s="1821"/>
      <c r="CG4439" s="1821"/>
      <c r="CH4439" s="1821"/>
      <c r="CI4439" s="1821"/>
      <c r="CJ4439" s="1821"/>
      <c r="CK4439" s="1821"/>
    </row>
    <row r="4440" spans="1:89" s="675" customFormat="1" ht="16.5" customHeight="1" x14ac:dyDescent="0.25">
      <c r="A4440" s="849"/>
      <c r="B4440" s="1061" t="s">
        <v>497</v>
      </c>
      <c r="C4440" s="835">
        <v>1</v>
      </c>
      <c r="D4440" s="1062" t="s">
        <v>25</v>
      </c>
      <c r="E4440" s="825">
        <v>26455</v>
      </c>
      <c r="F4440" s="825">
        <f t="shared" ref="F4440:F4446" si="506">E4440*C4440</f>
        <v>26455</v>
      </c>
      <c r="G4440" s="825"/>
      <c r="H4440" s="825">
        <f t="shared" ref="H4440:H4446" si="507">G4440+F4440</f>
        <v>26455</v>
      </c>
      <c r="I4440" s="825"/>
      <c r="J4440" s="825"/>
      <c r="K4440" s="825"/>
      <c r="L4440" s="825"/>
      <c r="M4440" s="825"/>
      <c r="N4440" s="825"/>
      <c r="O4440" s="826">
        <f t="shared" si="501"/>
        <v>26455</v>
      </c>
      <c r="P4440" s="702"/>
      <c r="Q4440" s="1821"/>
      <c r="R4440" s="1821"/>
      <c r="S4440" s="1821"/>
      <c r="T4440" s="1821"/>
      <c r="U4440" s="1821"/>
      <c r="V4440" s="1821"/>
      <c r="W4440" s="1821"/>
      <c r="X4440" s="1821"/>
      <c r="Y4440" s="1821"/>
      <c r="Z4440" s="1821"/>
      <c r="AA4440" s="1821"/>
      <c r="AB4440" s="1821"/>
      <c r="AC4440" s="1821"/>
      <c r="AD4440" s="1821"/>
      <c r="AE4440" s="1821"/>
      <c r="AF4440" s="1821"/>
      <c r="AG4440" s="1821"/>
      <c r="AH4440" s="1821"/>
      <c r="AI4440" s="1821"/>
      <c r="AJ4440" s="1821"/>
      <c r="AK4440" s="1821"/>
      <c r="AL4440" s="1821"/>
      <c r="AM4440" s="1821"/>
      <c r="AN4440" s="1821"/>
      <c r="AO4440" s="1821"/>
      <c r="AP4440" s="1821"/>
      <c r="AQ4440" s="1821"/>
      <c r="AR4440" s="1821"/>
      <c r="AS4440" s="1821"/>
      <c r="AT4440" s="1821"/>
      <c r="AU4440" s="1821"/>
      <c r="AV4440" s="1821"/>
      <c r="AW4440" s="1821"/>
      <c r="AX4440" s="1821"/>
      <c r="AY4440" s="1821"/>
      <c r="AZ4440" s="1821"/>
      <c r="BA4440" s="1821"/>
      <c r="BB4440" s="1821"/>
      <c r="BC4440" s="1821"/>
      <c r="BD4440" s="1821"/>
      <c r="BE4440" s="1821"/>
      <c r="BF4440" s="1821"/>
      <c r="BG4440" s="1821"/>
      <c r="BH4440" s="1821"/>
      <c r="BI4440" s="1821"/>
      <c r="BJ4440" s="1821"/>
      <c r="BK4440" s="1821"/>
      <c r="BL4440" s="1821"/>
      <c r="BM4440" s="1821"/>
      <c r="BN4440" s="1821"/>
      <c r="BO4440" s="1821"/>
      <c r="BP4440" s="1821"/>
      <c r="BQ4440" s="1821"/>
      <c r="BR4440" s="1821"/>
      <c r="BS4440" s="1821"/>
      <c r="BT4440" s="1821"/>
      <c r="BU4440" s="1821"/>
      <c r="BV4440" s="1821"/>
      <c r="BW4440" s="1821"/>
      <c r="BX4440" s="1821"/>
      <c r="BY4440" s="1821"/>
      <c r="BZ4440" s="1821"/>
      <c r="CA4440" s="1821"/>
      <c r="CB4440" s="1821"/>
      <c r="CC4440" s="1821"/>
      <c r="CD4440" s="1821"/>
      <c r="CE4440" s="1821"/>
      <c r="CF4440" s="1821"/>
      <c r="CG4440" s="1821"/>
      <c r="CH4440" s="1821"/>
      <c r="CI4440" s="1821"/>
      <c r="CJ4440" s="1821"/>
      <c r="CK4440" s="1821"/>
    </row>
    <row r="4441" spans="1:89" s="675" customFormat="1" ht="16.5" customHeight="1" x14ac:dyDescent="0.25">
      <c r="A4441" s="849"/>
      <c r="B4441" s="1061" t="s">
        <v>498</v>
      </c>
      <c r="C4441" s="835">
        <v>1</v>
      </c>
      <c r="D4441" s="1062" t="s">
        <v>45</v>
      </c>
      <c r="E4441" s="825">
        <v>2035</v>
      </c>
      <c r="F4441" s="825">
        <f t="shared" si="506"/>
        <v>2035</v>
      </c>
      <c r="G4441" s="825"/>
      <c r="H4441" s="825">
        <f t="shared" si="507"/>
        <v>2035</v>
      </c>
      <c r="I4441" s="825"/>
      <c r="J4441" s="825"/>
      <c r="K4441" s="825"/>
      <c r="L4441" s="825"/>
      <c r="M4441" s="825"/>
      <c r="N4441" s="825"/>
      <c r="O4441" s="826">
        <f t="shared" si="501"/>
        <v>2035</v>
      </c>
      <c r="P4441" s="702"/>
      <c r="Q4441" s="1821"/>
      <c r="R4441" s="1821"/>
      <c r="S4441" s="1821"/>
      <c r="T4441" s="1821"/>
      <c r="U4441" s="1821"/>
      <c r="V4441" s="1821"/>
      <c r="W4441" s="1821"/>
      <c r="X4441" s="1821"/>
      <c r="Y4441" s="1821"/>
      <c r="Z4441" s="1821"/>
      <c r="AA4441" s="1821"/>
      <c r="AB4441" s="1821"/>
      <c r="AC4441" s="1821"/>
      <c r="AD4441" s="1821"/>
      <c r="AE4441" s="1821"/>
      <c r="AF4441" s="1821"/>
      <c r="AG4441" s="1821"/>
      <c r="AH4441" s="1821"/>
      <c r="AI4441" s="1821"/>
      <c r="AJ4441" s="1821"/>
      <c r="AK4441" s="1821"/>
      <c r="AL4441" s="1821"/>
      <c r="AM4441" s="1821"/>
      <c r="AN4441" s="1821"/>
      <c r="AO4441" s="1821"/>
      <c r="AP4441" s="1821"/>
      <c r="AQ4441" s="1821"/>
      <c r="AR4441" s="1821"/>
      <c r="AS4441" s="1821"/>
      <c r="AT4441" s="1821"/>
      <c r="AU4441" s="1821"/>
      <c r="AV4441" s="1821"/>
      <c r="AW4441" s="1821"/>
      <c r="AX4441" s="1821"/>
      <c r="AY4441" s="1821"/>
      <c r="AZ4441" s="1821"/>
      <c r="BA4441" s="1821"/>
      <c r="BB4441" s="1821"/>
      <c r="BC4441" s="1821"/>
      <c r="BD4441" s="1821"/>
      <c r="BE4441" s="1821"/>
      <c r="BF4441" s="1821"/>
      <c r="BG4441" s="1821"/>
      <c r="BH4441" s="1821"/>
      <c r="BI4441" s="1821"/>
      <c r="BJ4441" s="1821"/>
      <c r="BK4441" s="1821"/>
      <c r="BL4441" s="1821"/>
      <c r="BM4441" s="1821"/>
      <c r="BN4441" s="1821"/>
      <c r="BO4441" s="1821"/>
      <c r="BP4441" s="1821"/>
      <c r="BQ4441" s="1821"/>
      <c r="BR4441" s="1821"/>
      <c r="BS4441" s="1821"/>
      <c r="BT4441" s="1821"/>
      <c r="BU4441" s="1821"/>
      <c r="BV4441" s="1821"/>
      <c r="BW4441" s="1821"/>
      <c r="BX4441" s="1821"/>
      <c r="BY4441" s="1821"/>
      <c r="BZ4441" s="1821"/>
      <c r="CA4441" s="1821"/>
      <c r="CB4441" s="1821"/>
      <c r="CC4441" s="1821"/>
      <c r="CD4441" s="1821"/>
      <c r="CE4441" s="1821"/>
      <c r="CF4441" s="1821"/>
      <c r="CG4441" s="1821"/>
      <c r="CH4441" s="1821"/>
      <c r="CI4441" s="1821"/>
      <c r="CJ4441" s="1821"/>
      <c r="CK4441" s="1821"/>
    </row>
    <row r="4442" spans="1:89" s="675" customFormat="1" ht="16.5" customHeight="1" x14ac:dyDescent="0.25">
      <c r="A4442" s="849"/>
      <c r="B4442" s="1061"/>
      <c r="C4442" s="835"/>
      <c r="D4442" s="1062"/>
      <c r="E4442" s="825"/>
      <c r="F4442" s="825"/>
      <c r="G4442" s="825"/>
      <c r="H4442" s="825"/>
      <c r="I4442" s="825"/>
      <c r="J4442" s="825"/>
      <c r="K4442" s="825"/>
      <c r="L4442" s="825"/>
      <c r="M4442" s="825"/>
      <c r="N4442" s="825"/>
      <c r="O4442" s="826"/>
      <c r="P4442" s="702"/>
      <c r="Q4442" s="1821"/>
      <c r="R4442" s="1821"/>
      <c r="S4442" s="1821"/>
      <c r="T4442" s="1821"/>
      <c r="U4442" s="1821"/>
      <c r="V4442" s="1821"/>
      <c r="W4442" s="1821"/>
      <c r="X4442" s="1821"/>
      <c r="Y4442" s="1821"/>
      <c r="Z4442" s="1821"/>
      <c r="AA4442" s="1821"/>
      <c r="AB4442" s="1821"/>
      <c r="AC4442" s="1821"/>
      <c r="AD4442" s="1821"/>
      <c r="AE4442" s="1821"/>
      <c r="AF4442" s="1821"/>
      <c r="AG4442" s="1821"/>
      <c r="AH4442" s="1821"/>
      <c r="AI4442" s="1821"/>
      <c r="AJ4442" s="1821"/>
      <c r="AK4442" s="1821"/>
      <c r="AL4442" s="1821"/>
      <c r="AM4442" s="1821"/>
      <c r="AN4442" s="1821"/>
      <c r="AO4442" s="1821"/>
      <c r="AP4442" s="1821"/>
      <c r="AQ4442" s="1821"/>
      <c r="AR4442" s="1821"/>
      <c r="AS4442" s="1821"/>
      <c r="AT4442" s="1821"/>
      <c r="AU4442" s="1821"/>
      <c r="AV4442" s="1821"/>
      <c r="AW4442" s="1821"/>
      <c r="AX4442" s="1821"/>
      <c r="AY4442" s="1821"/>
      <c r="AZ4442" s="1821"/>
      <c r="BA4442" s="1821"/>
      <c r="BB4442" s="1821"/>
      <c r="BC4442" s="1821"/>
      <c r="BD4442" s="1821"/>
      <c r="BE4442" s="1821"/>
      <c r="BF4442" s="1821"/>
      <c r="BG4442" s="1821"/>
      <c r="BH4442" s="1821"/>
      <c r="BI4442" s="1821"/>
      <c r="BJ4442" s="1821"/>
      <c r="BK4442" s="1821"/>
      <c r="BL4442" s="1821"/>
      <c r="BM4442" s="1821"/>
      <c r="BN4442" s="1821"/>
      <c r="BO4442" s="1821"/>
      <c r="BP4442" s="1821"/>
      <c r="BQ4442" s="1821"/>
      <c r="BR4442" s="1821"/>
      <c r="BS4442" s="1821"/>
      <c r="BT4442" s="1821"/>
      <c r="BU4442" s="1821"/>
      <c r="BV4442" s="1821"/>
      <c r="BW4442" s="1821"/>
      <c r="BX4442" s="1821"/>
      <c r="BY4442" s="1821"/>
      <c r="BZ4442" s="1821"/>
      <c r="CA4442" s="1821"/>
      <c r="CB4442" s="1821"/>
      <c r="CC4442" s="1821"/>
      <c r="CD4442" s="1821"/>
      <c r="CE4442" s="1821"/>
      <c r="CF4442" s="1821"/>
      <c r="CG4442" s="1821"/>
      <c r="CH4442" s="1821"/>
      <c r="CI4442" s="1821"/>
      <c r="CJ4442" s="1821"/>
      <c r="CK4442" s="1821"/>
    </row>
    <row r="4443" spans="1:89" s="675" customFormat="1" ht="16.5" customHeight="1" x14ac:dyDescent="0.25">
      <c r="A4443" s="849">
        <v>511126</v>
      </c>
      <c r="B4443" s="1061" t="s">
        <v>499</v>
      </c>
      <c r="C4443" s="835"/>
      <c r="D4443" s="1062"/>
      <c r="E4443" s="825"/>
      <c r="F4443" s="825"/>
      <c r="G4443" s="825"/>
      <c r="H4443" s="825"/>
      <c r="I4443" s="825"/>
      <c r="J4443" s="825"/>
      <c r="K4443" s="825"/>
      <c r="L4443" s="825"/>
      <c r="M4443" s="825"/>
      <c r="N4443" s="825"/>
      <c r="O4443" s="826">
        <f t="shared" si="501"/>
        <v>0</v>
      </c>
      <c r="P4443" s="702"/>
      <c r="Q4443" s="1821"/>
      <c r="R4443" s="1821"/>
      <c r="S4443" s="1821"/>
      <c r="T4443" s="1821"/>
      <c r="U4443" s="1821"/>
      <c r="V4443" s="1821"/>
      <c r="W4443" s="1821"/>
      <c r="X4443" s="1821"/>
      <c r="Y4443" s="1821"/>
      <c r="Z4443" s="1821"/>
      <c r="AA4443" s="1821"/>
      <c r="AB4443" s="1821"/>
      <c r="AC4443" s="1821"/>
      <c r="AD4443" s="1821"/>
      <c r="AE4443" s="1821"/>
      <c r="AF4443" s="1821"/>
      <c r="AG4443" s="1821"/>
      <c r="AH4443" s="1821"/>
      <c r="AI4443" s="1821"/>
      <c r="AJ4443" s="1821"/>
      <c r="AK4443" s="1821"/>
      <c r="AL4443" s="1821"/>
      <c r="AM4443" s="1821"/>
      <c r="AN4443" s="1821"/>
      <c r="AO4443" s="1821"/>
      <c r="AP4443" s="1821"/>
      <c r="AQ4443" s="1821"/>
      <c r="AR4443" s="1821"/>
      <c r="AS4443" s="1821"/>
      <c r="AT4443" s="1821"/>
      <c r="AU4443" s="1821"/>
      <c r="AV4443" s="1821"/>
      <c r="AW4443" s="1821"/>
      <c r="AX4443" s="1821"/>
      <c r="AY4443" s="1821"/>
      <c r="AZ4443" s="1821"/>
      <c r="BA4443" s="1821"/>
      <c r="BB4443" s="1821"/>
      <c r="BC4443" s="1821"/>
      <c r="BD4443" s="1821"/>
      <c r="BE4443" s="1821"/>
      <c r="BF4443" s="1821"/>
      <c r="BG4443" s="1821"/>
      <c r="BH4443" s="1821"/>
      <c r="BI4443" s="1821"/>
      <c r="BJ4443" s="1821"/>
      <c r="BK4443" s="1821"/>
      <c r="BL4443" s="1821"/>
      <c r="BM4443" s="1821"/>
      <c r="BN4443" s="1821"/>
      <c r="BO4443" s="1821"/>
      <c r="BP4443" s="1821"/>
      <c r="BQ4443" s="1821"/>
      <c r="BR4443" s="1821"/>
      <c r="BS4443" s="1821"/>
      <c r="BT4443" s="1821"/>
      <c r="BU4443" s="1821"/>
      <c r="BV4443" s="1821"/>
      <c r="BW4443" s="1821"/>
      <c r="BX4443" s="1821"/>
      <c r="BY4443" s="1821"/>
      <c r="BZ4443" s="1821"/>
      <c r="CA4443" s="1821"/>
      <c r="CB4443" s="1821"/>
      <c r="CC4443" s="1821"/>
      <c r="CD4443" s="1821"/>
      <c r="CE4443" s="1821"/>
      <c r="CF4443" s="1821"/>
      <c r="CG4443" s="1821"/>
      <c r="CH4443" s="1821"/>
      <c r="CI4443" s="1821"/>
      <c r="CJ4443" s="1821"/>
      <c r="CK4443" s="1821"/>
    </row>
    <row r="4444" spans="1:89" s="675" customFormat="1" ht="16.5" customHeight="1" x14ac:dyDescent="0.25">
      <c r="A4444" s="849"/>
      <c r="B4444" s="1061" t="s">
        <v>2247</v>
      </c>
      <c r="C4444" s="835"/>
      <c r="D4444" s="1062"/>
      <c r="E4444" s="825"/>
      <c r="F4444" s="825"/>
      <c r="G4444" s="825"/>
      <c r="H4444" s="825"/>
      <c r="I4444" s="825"/>
      <c r="J4444" s="825"/>
      <c r="K4444" s="825"/>
      <c r="L4444" s="825"/>
      <c r="M4444" s="825"/>
      <c r="N4444" s="825"/>
      <c r="O4444" s="826">
        <f t="shared" si="501"/>
        <v>0</v>
      </c>
      <c r="P4444" s="702"/>
      <c r="Q4444" s="1821"/>
      <c r="R4444" s="1821"/>
      <c r="S4444" s="1821"/>
      <c r="T4444" s="1821"/>
      <c r="U4444" s="1821"/>
      <c r="V4444" s="1821"/>
      <c r="W4444" s="1821"/>
      <c r="X4444" s="1821"/>
      <c r="Y4444" s="1821"/>
      <c r="Z4444" s="1821"/>
      <c r="AA4444" s="1821"/>
      <c r="AB4444" s="1821"/>
      <c r="AC4444" s="1821"/>
      <c r="AD4444" s="1821"/>
      <c r="AE4444" s="1821"/>
      <c r="AF4444" s="1821"/>
      <c r="AG4444" s="1821"/>
      <c r="AH4444" s="1821"/>
      <c r="AI4444" s="1821"/>
      <c r="AJ4444" s="1821"/>
      <c r="AK4444" s="1821"/>
      <c r="AL4444" s="1821"/>
      <c r="AM4444" s="1821"/>
      <c r="AN4444" s="1821"/>
      <c r="AO4444" s="1821"/>
      <c r="AP4444" s="1821"/>
      <c r="AQ4444" s="1821"/>
      <c r="AR4444" s="1821"/>
      <c r="AS4444" s="1821"/>
      <c r="AT4444" s="1821"/>
      <c r="AU4444" s="1821"/>
      <c r="AV4444" s="1821"/>
      <c r="AW4444" s="1821"/>
      <c r="AX4444" s="1821"/>
      <c r="AY4444" s="1821"/>
      <c r="AZ4444" s="1821"/>
      <c r="BA4444" s="1821"/>
      <c r="BB4444" s="1821"/>
      <c r="BC4444" s="1821"/>
      <c r="BD4444" s="1821"/>
      <c r="BE4444" s="1821"/>
      <c r="BF4444" s="1821"/>
      <c r="BG4444" s="1821"/>
      <c r="BH4444" s="1821"/>
      <c r="BI4444" s="1821"/>
      <c r="BJ4444" s="1821"/>
      <c r="BK4444" s="1821"/>
      <c r="BL4444" s="1821"/>
      <c r="BM4444" s="1821"/>
      <c r="BN4444" s="1821"/>
      <c r="BO4444" s="1821"/>
      <c r="BP4444" s="1821"/>
      <c r="BQ4444" s="1821"/>
      <c r="BR4444" s="1821"/>
      <c r="BS4444" s="1821"/>
      <c r="BT4444" s="1821"/>
      <c r="BU4444" s="1821"/>
      <c r="BV4444" s="1821"/>
      <c r="BW4444" s="1821"/>
      <c r="BX4444" s="1821"/>
      <c r="BY4444" s="1821"/>
      <c r="BZ4444" s="1821"/>
      <c r="CA4444" s="1821"/>
      <c r="CB4444" s="1821"/>
      <c r="CC4444" s="1821"/>
      <c r="CD4444" s="1821"/>
      <c r="CE4444" s="1821"/>
      <c r="CF4444" s="1821"/>
      <c r="CG4444" s="1821"/>
      <c r="CH4444" s="1821"/>
      <c r="CI4444" s="1821"/>
      <c r="CJ4444" s="1821"/>
      <c r="CK4444" s="1821"/>
    </row>
    <row r="4445" spans="1:89" s="675" customFormat="1" ht="16.5" customHeight="1" x14ac:dyDescent="0.25">
      <c r="A4445" s="849"/>
      <c r="B4445" s="1061" t="s">
        <v>500</v>
      </c>
      <c r="C4445" s="835">
        <v>1</v>
      </c>
      <c r="D4445" s="1062" t="s">
        <v>25</v>
      </c>
      <c r="E4445" s="825">
        <v>144000</v>
      </c>
      <c r="F4445" s="825">
        <f t="shared" si="506"/>
        <v>144000</v>
      </c>
      <c r="G4445" s="825"/>
      <c r="H4445" s="825">
        <f t="shared" si="507"/>
        <v>144000</v>
      </c>
      <c r="I4445" s="825"/>
      <c r="J4445" s="825"/>
      <c r="K4445" s="825"/>
      <c r="L4445" s="825"/>
      <c r="M4445" s="825"/>
      <c r="N4445" s="825"/>
      <c r="O4445" s="826">
        <f t="shared" si="501"/>
        <v>144000</v>
      </c>
      <c r="P4445" s="702"/>
      <c r="Q4445" s="1821"/>
      <c r="R4445" s="1821"/>
      <c r="S4445" s="1821"/>
      <c r="T4445" s="1821"/>
      <c r="U4445" s="1821"/>
      <c r="V4445" s="1821"/>
      <c r="W4445" s="1821"/>
      <c r="X4445" s="1821"/>
      <c r="Y4445" s="1821"/>
      <c r="Z4445" s="1821"/>
      <c r="AA4445" s="1821"/>
      <c r="AB4445" s="1821"/>
      <c r="AC4445" s="1821"/>
      <c r="AD4445" s="1821"/>
      <c r="AE4445" s="1821"/>
      <c r="AF4445" s="1821"/>
      <c r="AG4445" s="1821"/>
      <c r="AH4445" s="1821"/>
      <c r="AI4445" s="1821"/>
      <c r="AJ4445" s="1821"/>
      <c r="AK4445" s="1821"/>
      <c r="AL4445" s="1821"/>
      <c r="AM4445" s="1821"/>
      <c r="AN4445" s="1821"/>
      <c r="AO4445" s="1821"/>
      <c r="AP4445" s="1821"/>
      <c r="AQ4445" s="1821"/>
      <c r="AR4445" s="1821"/>
      <c r="AS4445" s="1821"/>
      <c r="AT4445" s="1821"/>
      <c r="AU4445" s="1821"/>
      <c r="AV4445" s="1821"/>
      <c r="AW4445" s="1821"/>
      <c r="AX4445" s="1821"/>
      <c r="AY4445" s="1821"/>
      <c r="AZ4445" s="1821"/>
      <c r="BA4445" s="1821"/>
      <c r="BB4445" s="1821"/>
      <c r="BC4445" s="1821"/>
      <c r="BD4445" s="1821"/>
      <c r="BE4445" s="1821"/>
      <c r="BF4445" s="1821"/>
      <c r="BG4445" s="1821"/>
      <c r="BH4445" s="1821"/>
      <c r="BI4445" s="1821"/>
      <c r="BJ4445" s="1821"/>
      <c r="BK4445" s="1821"/>
      <c r="BL4445" s="1821"/>
      <c r="BM4445" s="1821"/>
      <c r="BN4445" s="1821"/>
      <c r="BO4445" s="1821"/>
      <c r="BP4445" s="1821"/>
      <c r="BQ4445" s="1821"/>
      <c r="BR4445" s="1821"/>
      <c r="BS4445" s="1821"/>
      <c r="BT4445" s="1821"/>
      <c r="BU4445" s="1821"/>
      <c r="BV4445" s="1821"/>
      <c r="BW4445" s="1821"/>
      <c r="BX4445" s="1821"/>
      <c r="BY4445" s="1821"/>
      <c r="BZ4445" s="1821"/>
      <c r="CA4445" s="1821"/>
      <c r="CB4445" s="1821"/>
      <c r="CC4445" s="1821"/>
      <c r="CD4445" s="1821"/>
      <c r="CE4445" s="1821"/>
      <c r="CF4445" s="1821"/>
      <c r="CG4445" s="1821"/>
      <c r="CH4445" s="1821"/>
      <c r="CI4445" s="1821"/>
      <c r="CJ4445" s="1821"/>
      <c r="CK4445" s="1821"/>
    </row>
    <row r="4446" spans="1:89" s="675" customFormat="1" ht="16.5" customHeight="1" x14ac:dyDescent="0.25">
      <c r="A4446" s="849"/>
      <c r="B4446" s="1061" t="s">
        <v>500</v>
      </c>
      <c r="C4446" s="835">
        <v>1</v>
      </c>
      <c r="D4446" s="1062" t="s">
        <v>45</v>
      </c>
      <c r="E4446" s="825">
        <v>12000</v>
      </c>
      <c r="F4446" s="825">
        <f t="shared" si="506"/>
        <v>12000</v>
      </c>
      <c r="G4446" s="825"/>
      <c r="H4446" s="825">
        <f t="shared" si="507"/>
        <v>12000</v>
      </c>
      <c r="I4446" s="825"/>
      <c r="J4446" s="825"/>
      <c r="K4446" s="825"/>
      <c r="L4446" s="825"/>
      <c r="M4446" s="825"/>
      <c r="N4446" s="825"/>
      <c r="O4446" s="826">
        <f t="shared" si="501"/>
        <v>12000</v>
      </c>
      <c r="P4446" s="702"/>
      <c r="Q4446" s="1821"/>
      <c r="R4446" s="1821"/>
      <c r="S4446" s="1821"/>
      <c r="T4446" s="1821"/>
      <c r="U4446" s="1821"/>
      <c r="V4446" s="1821"/>
      <c r="W4446" s="1821"/>
      <c r="X4446" s="1821"/>
      <c r="Y4446" s="1821"/>
      <c r="Z4446" s="1821"/>
      <c r="AA4446" s="1821"/>
      <c r="AB4446" s="1821"/>
      <c r="AC4446" s="1821"/>
      <c r="AD4446" s="1821"/>
      <c r="AE4446" s="1821"/>
      <c r="AF4446" s="1821"/>
      <c r="AG4446" s="1821"/>
      <c r="AH4446" s="1821"/>
      <c r="AI4446" s="1821"/>
      <c r="AJ4446" s="1821"/>
      <c r="AK4446" s="1821"/>
      <c r="AL4446" s="1821"/>
      <c r="AM4446" s="1821"/>
      <c r="AN4446" s="1821"/>
      <c r="AO4446" s="1821"/>
      <c r="AP4446" s="1821"/>
      <c r="AQ4446" s="1821"/>
      <c r="AR4446" s="1821"/>
      <c r="AS4446" s="1821"/>
      <c r="AT4446" s="1821"/>
      <c r="AU4446" s="1821"/>
      <c r="AV4446" s="1821"/>
      <c r="AW4446" s="1821"/>
      <c r="AX4446" s="1821"/>
      <c r="AY4446" s="1821"/>
      <c r="AZ4446" s="1821"/>
      <c r="BA4446" s="1821"/>
      <c r="BB4446" s="1821"/>
      <c r="BC4446" s="1821"/>
      <c r="BD4446" s="1821"/>
      <c r="BE4446" s="1821"/>
      <c r="BF4446" s="1821"/>
      <c r="BG4446" s="1821"/>
      <c r="BH4446" s="1821"/>
      <c r="BI4446" s="1821"/>
      <c r="BJ4446" s="1821"/>
      <c r="BK4446" s="1821"/>
      <c r="BL4446" s="1821"/>
      <c r="BM4446" s="1821"/>
      <c r="BN4446" s="1821"/>
      <c r="BO4446" s="1821"/>
      <c r="BP4446" s="1821"/>
      <c r="BQ4446" s="1821"/>
      <c r="BR4446" s="1821"/>
      <c r="BS4446" s="1821"/>
      <c r="BT4446" s="1821"/>
      <c r="BU4446" s="1821"/>
      <c r="BV4446" s="1821"/>
      <c r="BW4446" s="1821"/>
      <c r="BX4446" s="1821"/>
      <c r="BY4446" s="1821"/>
      <c r="BZ4446" s="1821"/>
      <c r="CA4446" s="1821"/>
      <c r="CB4446" s="1821"/>
      <c r="CC4446" s="1821"/>
      <c r="CD4446" s="1821"/>
      <c r="CE4446" s="1821"/>
      <c r="CF4446" s="1821"/>
      <c r="CG4446" s="1821"/>
      <c r="CH4446" s="1821"/>
      <c r="CI4446" s="1821"/>
      <c r="CJ4446" s="1821"/>
      <c r="CK4446" s="1821"/>
    </row>
    <row r="4447" spans="1:89" s="675" customFormat="1" ht="16.5" customHeight="1" x14ac:dyDescent="0.25">
      <c r="A4447" s="849"/>
      <c r="B4447" s="1061"/>
      <c r="C4447" s="835"/>
      <c r="D4447" s="1062"/>
      <c r="E4447" s="825"/>
      <c r="F4447" s="825"/>
      <c r="G4447" s="825"/>
      <c r="H4447" s="825"/>
      <c r="I4447" s="825"/>
      <c r="J4447" s="825"/>
      <c r="K4447" s="825"/>
      <c r="L4447" s="825"/>
      <c r="M4447" s="825"/>
      <c r="N4447" s="825"/>
      <c r="O4447" s="826"/>
      <c r="P4447" s="702"/>
      <c r="Q4447" s="1821"/>
      <c r="R4447" s="1821"/>
      <c r="S4447" s="1821"/>
      <c r="T4447" s="1821"/>
      <c r="U4447" s="1821"/>
      <c r="V4447" s="1821"/>
      <c r="W4447" s="1821"/>
      <c r="X4447" s="1821"/>
      <c r="Y4447" s="1821"/>
      <c r="Z4447" s="1821"/>
      <c r="AA4447" s="1821"/>
      <c r="AB4447" s="1821"/>
      <c r="AC4447" s="1821"/>
      <c r="AD4447" s="1821"/>
      <c r="AE4447" s="1821"/>
      <c r="AF4447" s="1821"/>
      <c r="AG4447" s="1821"/>
      <c r="AH4447" s="1821"/>
      <c r="AI4447" s="1821"/>
      <c r="AJ4447" s="1821"/>
      <c r="AK4447" s="1821"/>
      <c r="AL4447" s="1821"/>
      <c r="AM4447" s="1821"/>
      <c r="AN4447" s="1821"/>
      <c r="AO4447" s="1821"/>
      <c r="AP4447" s="1821"/>
      <c r="AQ4447" s="1821"/>
      <c r="AR4447" s="1821"/>
      <c r="AS4447" s="1821"/>
      <c r="AT4447" s="1821"/>
      <c r="AU4447" s="1821"/>
      <c r="AV4447" s="1821"/>
      <c r="AW4447" s="1821"/>
      <c r="AX4447" s="1821"/>
      <c r="AY4447" s="1821"/>
      <c r="AZ4447" s="1821"/>
      <c r="BA4447" s="1821"/>
      <c r="BB4447" s="1821"/>
      <c r="BC4447" s="1821"/>
      <c r="BD4447" s="1821"/>
      <c r="BE4447" s="1821"/>
      <c r="BF4447" s="1821"/>
      <c r="BG4447" s="1821"/>
      <c r="BH4447" s="1821"/>
      <c r="BI4447" s="1821"/>
      <c r="BJ4447" s="1821"/>
      <c r="BK4447" s="1821"/>
      <c r="BL4447" s="1821"/>
      <c r="BM4447" s="1821"/>
      <c r="BN4447" s="1821"/>
      <c r="BO4447" s="1821"/>
      <c r="BP4447" s="1821"/>
      <c r="BQ4447" s="1821"/>
      <c r="BR4447" s="1821"/>
      <c r="BS4447" s="1821"/>
      <c r="BT4447" s="1821"/>
      <c r="BU4447" s="1821"/>
      <c r="BV4447" s="1821"/>
      <c r="BW4447" s="1821"/>
      <c r="BX4447" s="1821"/>
      <c r="BY4447" s="1821"/>
      <c r="BZ4447" s="1821"/>
      <c r="CA4447" s="1821"/>
      <c r="CB4447" s="1821"/>
      <c r="CC4447" s="1821"/>
      <c r="CD4447" s="1821"/>
      <c r="CE4447" s="1821"/>
      <c r="CF4447" s="1821"/>
      <c r="CG4447" s="1821"/>
      <c r="CH4447" s="1821"/>
      <c r="CI4447" s="1821"/>
      <c r="CJ4447" s="1821"/>
      <c r="CK4447" s="1821"/>
    </row>
    <row r="4448" spans="1:89" s="675" customFormat="1" ht="16.5" customHeight="1" x14ac:dyDescent="0.25">
      <c r="A4448" s="849">
        <v>511129</v>
      </c>
      <c r="B4448" s="1061" t="s">
        <v>501</v>
      </c>
      <c r="C4448" s="835"/>
      <c r="D4448" s="1062"/>
      <c r="E4448" s="825"/>
      <c r="F4448" s="825"/>
      <c r="G4448" s="825"/>
      <c r="H4448" s="825"/>
      <c r="I4448" s="825"/>
      <c r="J4448" s="825"/>
      <c r="K4448" s="825"/>
      <c r="L4448" s="825"/>
      <c r="M4448" s="825"/>
      <c r="N4448" s="825"/>
      <c r="O4448" s="826">
        <f t="shared" si="501"/>
        <v>0</v>
      </c>
      <c r="P4448" s="702"/>
      <c r="Q4448" s="1821"/>
      <c r="R4448" s="1821"/>
      <c r="S4448" s="1821"/>
      <c r="T4448" s="1821"/>
      <c r="U4448" s="1821"/>
      <c r="V4448" s="1821"/>
      <c r="W4448" s="1821"/>
      <c r="X4448" s="1821"/>
      <c r="Y4448" s="1821"/>
      <c r="Z4448" s="1821"/>
      <c r="AA4448" s="1821"/>
      <c r="AB4448" s="1821"/>
      <c r="AC4448" s="1821"/>
      <c r="AD4448" s="1821"/>
      <c r="AE4448" s="1821"/>
      <c r="AF4448" s="1821"/>
      <c r="AG4448" s="1821"/>
      <c r="AH4448" s="1821"/>
      <c r="AI4448" s="1821"/>
      <c r="AJ4448" s="1821"/>
      <c r="AK4448" s="1821"/>
      <c r="AL4448" s="1821"/>
      <c r="AM4448" s="1821"/>
      <c r="AN4448" s="1821"/>
      <c r="AO4448" s="1821"/>
      <c r="AP4448" s="1821"/>
      <c r="AQ4448" s="1821"/>
      <c r="AR4448" s="1821"/>
      <c r="AS4448" s="1821"/>
      <c r="AT4448" s="1821"/>
      <c r="AU4448" s="1821"/>
      <c r="AV4448" s="1821"/>
      <c r="AW4448" s="1821"/>
      <c r="AX4448" s="1821"/>
      <c r="AY4448" s="1821"/>
      <c r="AZ4448" s="1821"/>
      <c r="BA4448" s="1821"/>
      <c r="BB4448" s="1821"/>
      <c r="BC4448" s="1821"/>
      <c r="BD4448" s="1821"/>
      <c r="BE4448" s="1821"/>
      <c r="BF4448" s="1821"/>
      <c r="BG4448" s="1821"/>
      <c r="BH4448" s="1821"/>
      <c r="BI4448" s="1821"/>
      <c r="BJ4448" s="1821"/>
      <c r="BK4448" s="1821"/>
      <c r="BL4448" s="1821"/>
      <c r="BM4448" s="1821"/>
      <c r="BN4448" s="1821"/>
      <c r="BO4448" s="1821"/>
      <c r="BP4448" s="1821"/>
      <c r="BQ4448" s="1821"/>
      <c r="BR4448" s="1821"/>
      <c r="BS4448" s="1821"/>
      <c r="BT4448" s="1821"/>
      <c r="BU4448" s="1821"/>
      <c r="BV4448" s="1821"/>
      <c r="BW4448" s="1821"/>
      <c r="BX4448" s="1821"/>
      <c r="BY4448" s="1821"/>
      <c r="BZ4448" s="1821"/>
      <c r="CA4448" s="1821"/>
      <c r="CB4448" s="1821"/>
      <c r="CC4448" s="1821"/>
      <c r="CD4448" s="1821"/>
      <c r="CE4448" s="1821"/>
      <c r="CF4448" s="1821"/>
      <c r="CG4448" s="1821"/>
      <c r="CH4448" s="1821"/>
      <c r="CI4448" s="1821"/>
      <c r="CJ4448" s="1821"/>
      <c r="CK4448" s="1821"/>
    </row>
    <row r="4449" spans="1:89" s="675" customFormat="1" ht="16.5" customHeight="1" x14ac:dyDescent="0.25">
      <c r="A4449" s="849"/>
      <c r="B4449" s="1061" t="s">
        <v>2247</v>
      </c>
      <c r="C4449" s="835"/>
      <c r="D4449" s="1062"/>
      <c r="E4449" s="825"/>
      <c r="F4449" s="825"/>
      <c r="G4449" s="825"/>
      <c r="H4449" s="825"/>
      <c r="I4449" s="825"/>
      <c r="J4449" s="825"/>
      <c r="K4449" s="825"/>
      <c r="L4449" s="825"/>
      <c r="M4449" s="825"/>
      <c r="N4449" s="825"/>
      <c r="O4449" s="826">
        <f t="shared" si="501"/>
        <v>0</v>
      </c>
      <c r="P4449" s="702"/>
      <c r="Q4449" s="1821"/>
      <c r="R4449" s="1821"/>
      <c r="S4449" s="1821"/>
      <c r="T4449" s="1821"/>
      <c r="U4449" s="1821"/>
      <c r="V4449" s="1821"/>
      <c r="W4449" s="1821"/>
      <c r="X4449" s="1821"/>
      <c r="Y4449" s="1821"/>
      <c r="Z4449" s="1821"/>
      <c r="AA4449" s="1821"/>
      <c r="AB4449" s="1821"/>
      <c r="AC4449" s="1821"/>
      <c r="AD4449" s="1821"/>
      <c r="AE4449" s="1821"/>
      <c r="AF4449" s="1821"/>
      <c r="AG4449" s="1821"/>
      <c r="AH4449" s="1821"/>
      <c r="AI4449" s="1821"/>
      <c r="AJ4449" s="1821"/>
      <c r="AK4449" s="1821"/>
      <c r="AL4449" s="1821"/>
      <c r="AM4449" s="1821"/>
      <c r="AN4449" s="1821"/>
      <c r="AO4449" s="1821"/>
      <c r="AP4449" s="1821"/>
      <c r="AQ4449" s="1821"/>
      <c r="AR4449" s="1821"/>
      <c r="AS4449" s="1821"/>
      <c r="AT4449" s="1821"/>
      <c r="AU4449" s="1821"/>
      <c r="AV4449" s="1821"/>
      <c r="AW4449" s="1821"/>
      <c r="AX4449" s="1821"/>
      <c r="AY4449" s="1821"/>
      <c r="AZ4449" s="1821"/>
      <c r="BA4449" s="1821"/>
      <c r="BB4449" s="1821"/>
      <c r="BC4449" s="1821"/>
      <c r="BD4449" s="1821"/>
      <c r="BE4449" s="1821"/>
      <c r="BF4449" s="1821"/>
      <c r="BG4449" s="1821"/>
      <c r="BH4449" s="1821"/>
      <c r="BI4449" s="1821"/>
      <c r="BJ4449" s="1821"/>
      <c r="BK4449" s="1821"/>
      <c r="BL4449" s="1821"/>
      <c r="BM4449" s="1821"/>
      <c r="BN4449" s="1821"/>
      <c r="BO4449" s="1821"/>
      <c r="BP4449" s="1821"/>
      <c r="BQ4449" s="1821"/>
      <c r="BR4449" s="1821"/>
      <c r="BS4449" s="1821"/>
      <c r="BT4449" s="1821"/>
      <c r="BU4449" s="1821"/>
      <c r="BV4449" s="1821"/>
      <c r="BW4449" s="1821"/>
      <c r="BX4449" s="1821"/>
      <c r="BY4449" s="1821"/>
      <c r="BZ4449" s="1821"/>
      <c r="CA4449" s="1821"/>
      <c r="CB4449" s="1821"/>
      <c r="CC4449" s="1821"/>
      <c r="CD4449" s="1821"/>
      <c r="CE4449" s="1821"/>
      <c r="CF4449" s="1821"/>
      <c r="CG4449" s="1821"/>
      <c r="CH4449" s="1821"/>
      <c r="CI4449" s="1821"/>
      <c r="CJ4449" s="1821"/>
      <c r="CK4449" s="1821"/>
    </row>
    <row r="4450" spans="1:89" s="675" customFormat="1" ht="16.5" customHeight="1" x14ac:dyDescent="0.25">
      <c r="A4450" s="849"/>
      <c r="B4450" s="1061" t="s">
        <v>1395</v>
      </c>
      <c r="C4450" s="835">
        <v>4488</v>
      </c>
      <c r="D4450" s="1062" t="s">
        <v>55</v>
      </c>
      <c r="E4450" s="825">
        <v>25</v>
      </c>
      <c r="F4450" s="825">
        <f>E4450*C4450</f>
        <v>112200</v>
      </c>
      <c r="G4450" s="825"/>
      <c r="H4450" s="825">
        <f>G4450+F4450</f>
        <v>112200</v>
      </c>
      <c r="I4450" s="825"/>
      <c r="J4450" s="825"/>
      <c r="K4450" s="825"/>
      <c r="L4450" s="825"/>
      <c r="M4450" s="825"/>
      <c r="N4450" s="825"/>
      <c r="O4450" s="826">
        <f t="shared" si="501"/>
        <v>112200</v>
      </c>
      <c r="P4450" s="702"/>
      <c r="Q4450" s="1821"/>
      <c r="R4450" s="1821"/>
      <c r="S4450" s="1821"/>
      <c r="T4450" s="1821"/>
      <c r="U4450" s="1821"/>
      <c r="V4450" s="1821"/>
      <c r="W4450" s="1821"/>
      <c r="X4450" s="1821"/>
      <c r="Y4450" s="1821"/>
      <c r="Z4450" s="1821"/>
      <c r="AA4450" s="1821"/>
      <c r="AB4450" s="1821"/>
      <c r="AC4450" s="1821"/>
      <c r="AD4450" s="1821"/>
      <c r="AE4450" s="1821"/>
      <c r="AF4450" s="1821"/>
      <c r="AG4450" s="1821"/>
      <c r="AH4450" s="1821"/>
      <c r="AI4450" s="1821"/>
      <c r="AJ4450" s="1821"/>
      <c r="AK4450" s="1821"/>
      <c r="AL4450" s="1821"/>
      <c r="AM4450" s="1821"/>
      <c r="AN4450" s="1821"/>
      <c r="AO4450" s="1821"/>
      <c r="AP4450" s="1821"/>
      <c r="AQ4450" s="1821"/>
      <c r="AR4450" s="1821"/>
      <c r="AS4450" s="1821"/>
      <c r="AT4450" s="1821"/>
      <c r="AU4450" s="1821"/>
      <c r="AV4450" s="1821"/>
      <c r="AW4450" s="1821"/>
      <c r="AX4450" s="1821"/>
      <c r="AY4450" s="1821"/>
      <c r="AZ4450" s="1821"/>
      <c r="BA4450" s="1821"/>
      <c r="BB4450" s="1821"/>
      <c r="BC4450" s="1821"/>
      <c r="BD4450" s="1821"/>
      <c r="BE4450" s="1821"/>
      <c r="BF4450" s="1821"/>
      <c r="BG4450" s="1821"/>
      <c r="BH4450" s="1821"/>
      <c r="BI4450" s="1821"/>
      <c r="BJ4450" s="1821"/>
      <c r="BK4450" s="1821"/>
      <c r="BL4450" s="1821"/>
      <c r="BM4450" s="1821"/>
      <c r="BN4450" s="1821"/>
      <c r="BO4450" s="1821"/>
      <c r="BP4450" s="1821"/>
      <c r="BQ4450" s="1821"/>
      <c r="BR4450" s="1821"/>
      <c r="BS4450" s="1821"/>
      <c r="BT4450" s="1821"/>
      <c r="BU4450" s="1821"/>
      <c r="BV4450" s="1821"/>
      <c r="BW4450" s="1821"/>
      <c r="BX4450" s="1821"/>
      <c r="BY4450" s="1821"/>
      <c r="BZ4450" s="1821"/>
      <c r="CA4450" s="1821"/>
      <c r="CB4450" s="1821"/>
      <c r="CC4450" s="1821"/>
      <c r="CD4450" s="1821"/>
      <c r="CE4450" s="1821"/>
      <c r="CF4450" s="1821"/>
      <c r="CG4450" s="1821"/>
      <c r="CH4450" s="1821"/>
      <c r="CI4450" s="1821"/>
      <c r="CJ4450" s="1821"/>
      <c r="CK4450" s="1821"/>
    </row>
    <row r="4451" spans="1:89" s="675" customFormat="1" ht="16.5" customHeight="1" x14ac:dyDescent="0.25">
      <c r="A4451" s="849"/>
      <c r="B4451" s="1061" t="s">
        <v>1396</v>
      </c>
      <c r="C4451" s="835">
        <v>9768</v>
      </c>
      <c r="D4451" s="1062" t="s">
        <v>55</v>
      </c>
      <c r="E4451" s="825">
        <v>27</v>
      </c>
      <c r="F4451" s="825">
        <f>E4451*C4451</f>
        <v>263736</v>
      </c>
      <c r="G4451" s="825"/>
      <c r="H4451" s="825">
        <f>G4451+F4451</f>
        <v>263736</v>
      </c>
      <c r="I4451" s="825"/>
      <c r="J4451" s="825"/>
      <c r="K4451" s="825"/>
      <c r="L4451" s="825"/>
      <c r="M4451" s="825"/>
      <c r="N4451" s="825"/>
      <c r="O4451" s="826">
        <f t="shared" si="501"/>
        <v>263736</v>
      </c>
      <c r="P4451" s="702"/>
      <c r="Q4451" s="1821"/>
      <c r="R4451" s="1821"/>
      <c r="S4451" s="1821"/>
      <c r="T4451" s="1821"/>
      <c r="U4451" s="1821"/>
      <c r="V4451" s="1821"/>
      <c r="W4451" s="1821"/>
      <c r="X4451" s="1821"/>
      <c r="Y4451" s="1821"/>
      <c r="Z4451" s="1821"/>
      <c r="AA4451" s="1821"/>
      <c r="AB4451" s="1821"/>
      <c r="AC4451" s="1821"/>
      <c r="AD4451" s="1821"/>
      <c r="AE4451" s="1821"/>
      <c r="AF4451" s="1821"/>
      <c r="AG4451" s="1821"/>
      <c r="AH4451" s="1821"/>
      <c r="AI4451" s="1821"/>
      <c r="AJ4451" s="1821"/>
      <c r="AK4451" s="1821"/>
      <c r="AL4451" s="1821"/>
      <c r="AM4451" s="1821"/>
      <c r="AN4451" s="1821"/>
      <c r="AO4451" s="1821"/>
      <c r="AP4451" s="1821"/>
      <c r="AQ4451" s="1821"/>
      <c r="AR4451" s="1821"/>
      <c r="AS4451" s="1821"/>
      <c r="AT4451" s="1821"/>
      <c r="AU4451" s="1821"/>
      <c r="AV4451" s="1821"/>
      <c r="AW4451" s="1821"/>
      <c r="AX4451" s="1821"/>
      <c r="AY4451" s="1821"/>
      <c r="AZ4451" s="1821"/>
      <c r="BA4451" s="1821"/>
      <c r="BB4451" s="1821"/>
      <c r="BC4451" s="1821"/>
      <c r="BD4451" s="1821"/>
      <c r="BE4451" s="1821"/>
      <c r="BF4451" s="1821"/>
      <c r="BG4451" s="1821"/>
      <c r="BH4451" s="1821"/>
      <c r="BI4451" s="1821"/>
      <c r="BJ4451" s="1821"/>
      <c r="BK4451" s="1821"/>
      <c r="BL4451" s="1821"/>
      <c r="BM4451" s="1821"/>
      <c r="BN4451" s="1821"/>
      <c r="BO4451" s="1821"/>
      <c r="BP4451" s="1821"/>
      <c r="BQ4451" s="1821"/>
      <c r="BR4451" s="1821"/>
      <c r="BS4451" s="1821"/>
      <c r="BT4451" s="1821"/>
      <c r="BU4451" s="1821"/>
      <c r="BV4451" s="1821"/>
      <c r="BW4451" s="1821"/>
      <c r="BX4451" s="1821"/>
      <c r="BY4451" s="1821"/>
      <c r="BZ4451" s="1821"/>
      <c r="CA4451" s="1821"/>
      <c r="CB4451" s="1821"/>
      <c r="CC4451" s="1821"/>
      <c r="CD4451" s="1821"/>
      <c r="CE4451" s="1821"/>
      <c r="CF4451" s="1821"/>
      <c r="CG4451" s="1821"/>
      <c r="CH4451" s="1821"/>
      <c r="CI4451" s="1821"/>
      <c r="CJ4451" s="1821"/>
      <c r="CK4451" s="1821"/>
    </row>
    <row r="4452" spans="1:89" s="675" customFormat="1" ht="16.5" customHeight="1" x14ac:dyDescent="0.25">
      <c r="A4452" s="849"/>
      <c r="B4452" s="1061" t="s">
        <v>1397</v>
      </c>
      <c r="C4452" s="835">
        <v>528</v>
      </c>
      <c r="D4452" s="1062" t="s">
        <v>55</v>
      </c>
      <c r="E4452" s="825">
        <v>29</v>
      </c>
      <c r="F4452" s="825">
        <f>E4452*C4452</f>
        <v>15312</v>
      </c>
      <c r="G4452" s="825"/>
      <c r="H4452" s="825">
        <f>G4452+F4452</f>
        <v>15312</v>
      </c>
      <c r="I4452" s="825"/>
      <c r="J4452" s="825"/>
      <c r="K4452" s="825"/>
      <c r="L4452" s="825"/>
      <c r="M4452" s="825"/>
      <c r="N4452" s="825"/>
      <c r="O4452" s="826">
        <f t="shared" si="501"/>
        <v>15312</v>
      </c>
      <c r="P4452" s="702"/>
      <c r="Q4452" s="1821"/>
      <c r="R4452" s="1821"/>
      <c r="S4452" s="1821"/>
      <c r="T4452" s="1821"/>
      <c r="U4452" s="1821"/>
      <c r="V4452" s="1821"/>
      <c r="W4452" s="1821"/>
      <c r="X4452" s="1821"/>
      <c r="Y4452" s="1821"/>
      <c r="Z4452" s="1821"/>
      <c r="AA4452" s="1821"/>
      <c r="AB4452" s="1821"/>
      <c r="AC4452" s="1821"/>
      <c r="AD4452" s="1821"/>
      <c r="AE4452" s="1821"/>
      <c r="AF4452" s="1821"/>
      <c r="AG4452" s="1821"/>
      <c r="AH4452" s="1821"/>
      <c r="AI4452" s="1821"/>
      <c r="AJ4452" s="1821"/>
      <c r="AK4452" s="1821"/>
      <c r="AL4452" s="1821"/>
      <c r="AM4452" s="1821"/>
      <c r="AN4452" s="1821"/>
      <c r="AO4452" s="1821"/>
      <c r="AP4452" s="1821"/>
      <c r="AQ4452" s="1821"/>
      <c r="AR4452" s="1821"/>
      <c r="AS4452" s="1821"/>
      <c r="AT4452" s="1821"/>
      <c r="AU4452" s="1821"/>
      <c r="AV4452" s="1821"/>
      <c r="AW4452" s="1821"/>
      <c r="AX4452" s="1821"/>
      <c r="AY4452" s="1821"/>
      <c r="AZ4452" s="1821"/>
      <c r="BA4452" s="1821"/>
      <c r="BB4452" s="1821"/>
      <c r="BC4452" s="1821"/>
      <c r="BD4452" s="1821"/>
      <c r="BE4452" s="1821"/>
      <c r="BF4452" s="1821"/>
      <c r="BG4452" s="1821"/>
      <c r="BH4452" s="1821"/>
      <c r="BI4452" s="1821"/>
      <c r="BJ4452" s="1821"/>
      <c r="BK4452" s="1821"/>
      <c r="BL4452" s="1821"/>
      <c r="BM4452" s="1821"/>
      <c r="BN4452" s="1821"/>
      <c r="BO4452" s="1821"/>
      <c r="BP4452" s="1821"/>
      <c r="BQ4452" s="1821"/>
      <c r="BR4452" s="1821"/>
      <c r="BS4452" s="1821"/>
      <c r="BT4452" s="1821"/>
      <c r="BU4452" s="1821"/>
      <c r="BV4452" s="1821"/>
      <c r="BW4452" s="1821"/>
      <c r="BX4452" s="1821"/>
      <c r="BY4452" s="1821"/>
      <c r="BZ4452" s="1821"/>
      <c r="CA4452" s="1821"/>
      <c r="CB4452" s="1821"/>
      <c r="CC4452" s="1821"/>
      <c r="CD4452" s="1821"/>
      <c r="CE4452" s="1821"/>
      <c r="CF4452" s="1821"/>
      <c r="CG4452" s="1821"/>
      <c r="CH4452" s="1821"/>
      <c r="CI4452" s="1821"/>
      <c r="CJ4452" s="1821"/>
      <c r="CK4452" s="1821"/>
    </row>
    <row r="4453" spans="1:89" s="675" customFormat="1" ht="16.5" customHeight="1" x14ac:dyDescent="0.25">
      <c r="A4453" s="849"/>
      <c r="B4453" s="1061"/>
      <c r="C4453" s="835"/>
      <c r="D4453" s="1062"/>
      <c r="E4453" s="825"/>
      <c r="F4453" s="825"/>
      <c r="G4453" s="825"/>
      <c r="H4453" s="825"/>
      <c r="I4453" s="825"/>
      <c r="J4453" s="825"/>
      <c r="K4453" s="825"/>
      <c r="L4453" s="825"/>
      <c r="M4453" s="825"/>
      <c r="N4453" s="825"/>
      <c r="O4453" s="826"/>
      <c r="P4453" s="702"/>
      <c r="Q4453" s="1821"/>
      <c r="R4453" s="1821"/>
      <c r="S4453" s="1821"/>
      <c r="T4453" s="1821"/>
      <c r="U4453" s="1821"/>
      <c r="V4453" s="1821"/>
      <c r="W4453" s="1821"/>
      <c r="X4453" s="1821"/>
      <c r="Y4453" s="1821"/>
      <c r="Z4453" s="1821"/>
      <c r="AA4453" s="1821"/>
      <c r="AB4453" s="1821"/>
      <c r="AC4453" s="1821"/>
      <c r="AD4453" s="1821"/>
      <c r="AE4453" s="1821"/>
      <c r="AF4453" s="1821"/>
      <c r="AG4453" s="1821"/>
      <c r="AH4453" s="1821"/>
      <c r="AI4453" s="1821"/>
      <c r="AJ4453" s="1821"/>
      <c r="AK4453" s="1821"/>
      <c r="AL4453" s="1821"/>
      <c r="AM4453" s="1821"/>
      <c r="AN4453" s="1821"/>
      <c r="AO4453" s="1821"/>
      <c r="AP4453" s="1821"/>
      <c r="AQ4453" s="1821"/>
      <c r="AR4453" s="1821"/>
      <c r="AS4453" s="1821"/>
      <c r="AT4453" s="1821"/>
      <c r="AU4453" s="1821"/>
      <c r="AV4453" s="1821"/>
      <c r="AW4453" s="1821"/>
      <c r="AX4453" s="1821"/>
      <c r="AY4453" s="1821"/>
      <c r="AZ4453" s="1821"/>
      <c r="BA4453" s="1821"/>
      <c r="BB4453" s="1821"/>
      <c r="BC4453" s="1821"/>
      <c r="BD4453" s="1821"/>
      <c r="BE4453" s="1821"/>
      <c r="BF4453" s="1821"/>
      <c r="BG4453" s="1821"/>
      <c r="BH4453" s="1821"/>
      <c r="BI4453" s="1821"/>
      <c r="BJ4453" s="1821"/>
      <c r="BK4453" s="1821"/>
      <c r="BL4453" s="1821"/>
      <c r="BM4453" s="1821"/>
      <c r="BN4453" s="1821"/>
      <c r="BO4453" s="1821"/>
      <c r="BP4453" s="1821"/>
      <c r="BQ4453" s="1821"/>
      <c r="BR4453" s="1821"/>
      <c r="BS4453" s="1821"/>
      <c r="BT4453" s="1821"/>
      <c r="BU4453" s="1821"/>
      <c r="BV4453" s="1821"/>
      <c r="BW4453" s="1821"/>
      <c r="BX4453" s="1821"/>
      <c r="BY4453" s="1821"/>
      <c r="BZ4453" s="1821"/>
      <c r="CA4453" s="1821"/>
      <c r="CB4453" s="1821"/>
      <c r="CC4453" s="1821"/>
      <c r="CD4453" s="1821"/>
      <c r="CE4453" s="1821"/>
      <c r="CF4453" s="1821"/>
      <c r="CG4453" s="1821"/>
      <c r="CH4453" s="1821"/>
      <c r="CI4453" s="1821"/>
      <c r="CJ4453" s="1821"/>
      <c r="CK4453" s="1821"/>
    </row>
    <row r="4454" spans="1:89" s="675" customFormat="1" ht="16.5" customHeight="1" x14ac:dyDescent="0.25">
      <c r="A4454" s="849">
        <v>511151</v>
      </c>
      <c r="B4454" s="1061" t="s">
        <v>502</v>
      </c>
      <c r="C4454" s="835"/>
      <c r="D4454" s="1062"/>
      <c r="E4454" s="825"/>
      <c r="F4454" s="825"/>
      <c r="G4454" s="825"/>
      <c r="H4454" s="825"/>
      <c r="I4454" s="825"/>
      <c r="J4454" s="825"/>
      <c r="K4454" s="825"/>
      <c r="L4454" s="825"/>
      <c r="M4454" s="825"/>
      <c r="N4454" s="825"/>
      <c r="O4454" s="826">
        <f t="shared" si="501"/>
        <v>0</v>
      </c>
      <c r="P4454" s="702"/>
      <c r="Q4454" s="1821"/>
      <c r="R4454" s="1821"/>
      <c r="S4454" s="1821"/>
      <c r="T4454" s="1821"/>
      <c r="U4454" s="1821"/>
      <c r="V4454" s="1821"/>
      <c r="W4454" s="1821"/>
      <c r="X4454" s="1821"/>
      <c r="Y4454" s="1821"/>
      <c r="Z4454" s="1821"/>
      <c r="AA4454" s="1821"/>
      <c r="AB4454" s="1821"/>
      <c r="AC4454" s="1821"/>
      <c r="AD4454" s="1821"/>
      <c r="AE4454" s="1821"/>
      <c r="AF4454" s="1821"/>
      <c r="AG4454" s="1821"/>
      <c r="AH4454" s="1821"/>
      <c r="AI4454" s="1821"/>
      <c r="AJ4454" s="1821"/>
      <c r="AK4454" s="1821"/>
      <c r="AL4454" s="1821"/>
      <c r="AM4454" s="1821"/>
      <c r="AN4454" s="1821"/>
      <c r="AO4454" s="1821"/>
      <c r="AP4454" s="1821"/>
      <c r="AQ4454" s="1821"/>
      <c r="AR4454" s="1821"/>
      <c r="AS4454" s="1821"/>
      <c r="AT4454" s="1821"/>
      <c r="AU4454" s="1821"/>
      <c r="AV4454" s="1821"/>
      <c r="AW4454" s="1821"/>
      <c r="AX4454" s="1821"/>
      <c r="AY4454" s="1821"/>
      <c r="AZ4454" s="1821"/>
      <c r="BA4454" s="1821"/>
      <c r="BB4454" s="1821"/>
      <c r="BC4454" s="1821"/>
      <c r="BD4454" s="1821"/>
      <c r="BE4454" s="1821"/>
      <c r="BF4454" s="1821"/>
      <c r="BG4454" s="1821"/>
      <c r="BH4454" s="1821"/>
      <c r="BI4454" s="1821"/>
      <c r="BJ4454" s="1821"/>
      <c r="BK4454" s="1821"/>
      <c r="BL4454" s="1821"/>
      <c r="BM4454" s="1821"/>
      <c r="BN4454" s="1821"/>
      <c r="BO4454" s="1821"/>
      <c r="BP4454" s="1821"/>
      <c r="BQ4454" s="1821"/>
      <c r="BR4454" s="1821"/>
      <c r="BS4454" s="1821"/>
      <c r="BT4454" s="1821"/>
      <c r="BU4454" s="1821"/>
      <c r="BV4454" s="1821"/>
      <c r="BW4454" s="1821"/>
      <c r="BX4454" s="1821"/>
      <c r="BY4454" s="1821"/>
      <c r="BZ4454" s="1821"/>
      <c r="CA4454" s="1821"/>
      <c r="CB4454" s="1821"/>
      <c r="CC4454" s="1821"/>
      <c r="CD4454" s="1821"/>
      <c r="CE4454" s="1821"/>
      <c r="CF4454" s="1821"/>
      <c r="CG4454" s="1821"/>
      <c r="CH4454" s="1821"/>
      <c r="CI4454" s="1821"/>
      <c r="CJ4454" s="1821"/>
      <c r="CK4454" s="1821"/>
    </row>
    <row r="4455" spans="1:89" s="675" customFormat="1" ht="16.5" customHeight="1" x14ac:dyDescent="0.25">
      <c r="A4455" s="849"/>
      <c r="B4455" s="1061" t="s">
        <v>2247</v>
      </c>
      <c r="C4455" s="835"/>
      <c r="D4455" s="1062"/>
      <c r="E4455" s="825"/>
      <c r="F4455" s="825"/>
      <c r="G4455" s="825"/>
      <c r="H4455" s="825"/>
      <c r="I4455" s="825"/>
      <c r="J4455" s="825"/>
      <c r="K4455" s="825"/>
      <c r="L4455" s="825"/>
      <c r="M4455" s="825"/>
      <c r="N4455" s="825"/>
      <c r="O4455" s="826">
        <f t="shared" si="501"/>
        <v>0</v>
      </c>
      <c r="P4455" s="702"/>
      <c r="Q4455" s="1821"/>
      <c r="R4455" s="1821"/>
      <c r="S4455" s="1821"/>
      <c r="T4455" s="1821"/>
      <c r="U4455" s="1821"/>
      <c r="V4455" s="1821"/>
      <c r="W4455" s="1821"/>
      <c r="X4455" s="1821"/>
      <c r="Y4455" s="1821"/>
      <c r="Z4455" s="1821"/>
      <c r="AA4455" s="1821"/>
      <c r="AB4455" s="1821"/>
      <c r="AC4455" s="1821"/>
      <c r="AD4455" s="1821"/>
      <c r="AE4455" s="1821"/>
      <c r="AF4455" s="1821"/>
      <c r="AG4455" s="1821"/>
      <c r="AH4455" s="1821"/>
      <c r="AI4455" s="1821"/>
      <c r="AJ4455" s="1821"/>
      <c r="AK4455" s="1821"/>
      <c r="AL4455" s="1821"/>
      <c r="AM4455" s="1821"/>
      <c r="AN4455" s="1821"/>
      <c r="AO4455" s="1821"/>
      <c r="AP4455" s="1821"/>
      <c r="AQ4455" s="1821"/>
      <c r="AR4455" s="1821"/>
      <c r="AS4455" s="1821"/>
      <c r="AT4455" s="1821"/>
      <c r="AU4455" s="1821"/>
      <c r="AV4455" s="1821"/>
      <c r="AW4455" s="1821"/>
      <c r="AX4455" s="1821"/>
      <c r="AY4455" s="1821"/>
      <c r="AZ4455" s="1821"/>
      <c r="BA4455" s="1821"/>
      <c r="BB4455" s="1821"/>
      <c r="BC4455" s="1821"/>
      <c r="BD4455" s="1821"/>
      <c r="BE4455" s="1821"/>
      <c r="BF4455" s="1821"/>
      <c r="BG4455" s="1821"/>
      <c r="BH4455" s="1821"/>
      <c r="BI4455" s="1821"/>
      <c r="BJ4455" s="1821"/>
      <c r="BK4455" s="1821"/>
      <c r="BL4455" s="1821"/>
      <c r="BM4455" s="1821"/>
      <c r="BN4455" s="1821"/>
      <c r="BO4455" s="1821"/>
      <c r="BP4455" s="1821"/>
      <c r="BQ4455" s="1821"/>
      <c r="BR4455" s="1821"/>
      <c r="BS4455" s="1821"/>
      <c r="BT4455" s="1821"/>
      <c r="BU4455" s="1821"/>
      <c r="BV4455" s="1821"/>
      <c r="BW4455" s="1821"/>
      <c r="BX4455" s="1821"/>
      <c r="BY4455" s="1821"/>
      <c r="BZ4455" s="1821"/>
      <c r="CA4455" s="1821"/>
      <c r="CB4455" s="1821"/>
      <c r="CC4455" s="1821"/>
      <c r="CD4455" s="1821"/>
      <c r="CE4455" s="1821"/>
      <c r="CF4455" s="1821"/>
      <c r="CG4455" s="1821"/>
      <c r="CH4455" s="1821"/>
      <c r="CI4455" s="1821"/>
      <c r="CJ4455" s="1821"/>
      <c r="CK4455" s="1821"/>
    </row>
    <row r="4456" spans="1:89" s="675" customFormat="1" ht="16.5" customHeight="1" x14ac:dyDescent="0.25">
      <c r="A4456" s="849"/>
      <c r="B4456" s="1061" t="s">
        <v>503</v>
      </c>
      <c r="C4456" s="835">
        <v>1</v>
      </c>
      <c r="D4456" s="1062" t="s">
        <v>25</v>
      </c>
      <c r="E4456" s="825">
        <v>76375</v>
      </c>
      <c r="F4456" s="825">
        <f t="shared" ref="F4456:F4461" si="508">E4456*C4456</f>
        <v>76375</v>
      </c>
      <c r="G4456" s="825"/>
      <c r="H4456" s="825">
        <f t="shared" ref="H4456:H4461" si="509">G4456+F4456</f>
        <v>76375</v>
      </c>
      <c r="I4456" s="825"/>
      <c r="J4456" s="825"/>
      <c r="K4456" s="825"/>
      <c r="L4456" s="825"/>
      <c r="M4456" s="825"/>
      <c r="N4456" s="825"/>
      <c r="O4456" s="826">
        <f t="shared" si="501"/>
        <v>76375</v>
      </c>
      <c r="P4456" s="702"/>
      <c r="Q4456" s="1821"/>
      <c r="R4456" s="1821"/>
      <c r="S4456" s="1821"/>
      <c r="T4456" s="1821"/>
      <c r="U4456" s="1821"/>
      <c r="V4456" s="1821"/>
      <c r="W4456" s="1821"/>
      <c r="X4456" s="1821"/>
      <c r="Y4456" s="1821"/>
      <c r="Z4456" s="1821"/>
      <c r="AA4456" s="1821"/>
      <c r="AB4456" s="1821"/>
      <c r="AC4456" s="1821"/>
      <c r="AD4456" s="1821"/>
      <c r="AE4456" s="1821"/>
      <c r="AF4456" s="1821"/>
      <c r="AG4456" s="1821"/>
      <c r="AH4456" s="1821"/>
      <c r="AI4456" s="1821"/>
      <c r="AJ4456" s="1821"/>
      <c r="AK4456" s="1821"/>
      <c r="AL4456" s="1821"/>
      <c r="AM4456" s="1821"/>
      <c r="AN4456" s="1821"/>
      <c r="AO4456" s="1821"/>
      <c r="AP4456" s="1821"/>
      <c r="AQ4456" s="1821"/>
      <c r="AR4456" s="1821"/>
      <c r="AS4456" s="1821"/>
      <c r="AT4456" s="1821"/>
      <c r="AU4456" s="1821"/>
      <c r="AV4456" s="1821"/>
      <c r="AW4456" s="1821"/>
      <c r="AX4456" s="1821"/>
      <c r="AY4456" s="1821"/>
      <c r="AZ4456" s="1821"/>
      <c r="BA4456" s="1821"/>
      <c r="BB4456" s="1821"/>
      <c r="BC4456" s="1821"/>
      <c r="BD4456" s="1821"/>
      <c r="BE4456" s="1821"/>
      <c r="BF4456" s="1821"/>
      <c r="BG4456" s="1821"/>
      <c r="BH4456" s="1821"/>
      <c r="BI4456" s="1821"/>
      <c r="BJ4456" s="1821"/>
      <c r="BK4456" s="1821"/>
      <c r="BL4456" s="1821"/>
      <c r="BM4456" s="1821"/>
      <c r="BN4456" s="1821"/>
      <c r="BO4456" s="1821"/>
      <c r="BP4456" s="1821"/>
      <c r="BQ4456" s="1821"/>
      <c r="BR4456" s="1821"/>
      <c r="BS4456" s="1821"/>
      <c r="BT4456" s="1821"/>
      <c r="BU4456" s="1821"/>
      <c r="BV4456" s="1821"/>
      <c r="BW4456" s="1821"/>
      <c r="BX4456" s="1821"/>
      <c r="BY4456" s="1821"/>
      <c r="BZ4456" s="1821"/>
      <c r="CA4456" s="1821"/>
      <c r="CB4456" s="1821"/>
      <c r="CC4456" s="1821"/>
      <c r="CD4456" s="1821"/>
      <c r="CE4456" s="1821"/>
      <c r="CF4456" s="1821"/>
      <c r="CG4456" s="1821"/>
      <c r="CH4456" s="1821"/>
      <c r="CI4456" s="1821"/>
      <c r="CJ4456" s="1821"/>
      <c r="CK4456" s="1821"/>
    </row>
    <row r="4457" spans="1:89" s="675" customFormat="1" ht="16.5" customHeight="1" x14ac:dyDescent="0.25">
      <c r="A4457" s="849"/>
      <c r="B4457" s="1061" t="s">
        <v>503</v>
      </c>
      <c r="C4457" s="835">
        <v>1</v>
      </c>
      <c r="D4457" s="1062" t="s">
        <v>45</v>
      </c>
      <c r="E4457" s="825">
        <v>5875</v>
      </c>
      <c r="F4457" s="825">
        <f t="shared" si="508"/>
        <v>5875</v>
      </c>
      <c r="G4457" s="825"/>
      <c r="H4457" s="825">
        <f t="shared" si="509"/>
        <v>5875</v>
      </c>
      <c r="I4457" s="825"/>
      <c r="J4457" s="825"/>
      <c r="K4457" s="825"/>
      <c r="L4457" s="825"/>
      <c r="M4457" s="825"/>
      <c r="N4457" s="825"/>
      <c r="O4457" s="826">
        <f t="shared" si="501"/>
        <v>5875</v>
      </c>
      <c r="P4457" s="702"/>
      <c r="Q4457" s="1821"/>
      <c r="R4457" s="1821"/>
      <c r="S4457" s="1821"/>
      <c r="T4457" s="1821"/>
      <c r="U4457" s="1821"/>
      <c r="V4457" s="1821"/>
      <c r="W4457" s="1821"/>
      <c r="X4457" s="1821"/>
      <c r="Y4457" s="1821"/>
      <c r="Z4457" s="1821"/>
      <c r="AA4457" s="1821"/>
      <c r="AB4457" s="1821"/>
      <c r="AC4457" s="1821"/>
      <c r="AD4457" s="1821"/>
      <c r="AE4457" s="1821"/>
      <c r="AF4457" s="1821"/>
      <c r="AG4457" s="1821"/>
      <c r="AH4457" s="1821"/>
      <c r="AI4457" s="1821"/>
      <c r="AJ4457" s="1821"/>
      <c r="AK4457" s="1821"/>
      <c r="AL4457" s="1821"/>
      <c r="AM4457" s="1821"/>
      <c r="AN4457" s="1821"/>
      <c r="AO4457" s="1821"/>
      <c r="AP4457" s="1821"/>
      <c r="AQ4457" s="1821"/>
      <c r="AR4457" s="1821"/>
      <c r="AS4457" s="1821"/>
      <c r="AT4457" s="1821"/>
      <c r="AU4457" s="1821"/>
      <c r="AV4457" s="1821"/>
      <c r="AW4457" s="1821"/>
      <c r="AX4457" s="1821"/>
      <c r="AY4457" s="1821"/>
      <c r="AZ4457" s="1821"/>
      <c r="BA4457" s="1821"/>
      <c r="BB4457" s="1821"/>
      <c r="BC4457" s="1821"/>
      <c r="BD4457" s="1821"/>
      <c r="BE4457" s="1821"/>
      <c r="BF4457" s="1821"/>
      <c r="BG4457" s="1821"/>
      <c r="BH4457" s="1821"/>
      <c r="BI4457" s="1821"/>
      <c r="BJ4457" s="1821"/>
      <c r="BK4457" s="1821"/>
      <c r="BL4457" s="1821"/>
      <c r="BM4457" s="1821"/>
      <c r="BN4457" s="1821"/>
      <c r="BO4457" s="1821"/>
      <c r="BP4457" s="1821"/>
      <c r="BQ4457" s="1821"/>
      <c r="BR4457" s="1821"/>
      <c r="BS4457" s="1821"/>
      <c r="BT4457" s="1821"/>
      <c r="BU4457" s="1821"/>
      <c r="BV4457" s="1821"/>
      <c r="BW4457" s="1821"/>
      <c r="BX4457" s="1821"/>
      <c r="BY4457" s="1821"/>
      <c r="BZ4457" s="1821"/>
      <c r="CA4457" s="1821"/>
      <c r="CB4457" s="1821"/>
      <c r="CC4457" s="1821"/>
      <c r="CD4457" s="1821"/>
      <c r="CE4457" s="1821"/>
      <c r="CF4457" s="1821"/>
      <c r="CG4457" s="1821"/>
      <c r="CH4457" s="1821"/>
      <c r="CI4457" s="1821"/>
      <c r="CJ4457" s="1821"/>
      <c r="CK4457" s="1821"/>
    </row>
    <row r="4458" spans="1:89" s="675" customFormat="1" ht="16.5" customHeight="1" x14ac:dyDescent="0.25">
      <c r="A4458" s="849"/>
      <c r="B4458" s="1061"/>
      <c r="C4458" s="835"/>
      <c r="D4458" s="1062"/>
      <c r="E4458" s="825"/>
      <c r="F4458" s="825"/>
      <c r="G4458" s="825"/>
      <c r="H4458" s="825"/>
      <c r="I4458" s="825"/>
      <c r="J4458" s="825"/>
      <c r="K4458" s="825"/>
      <c r="L4458" s="825"/>
      <c r="M4458" s="825"/>
      <c r="N4458" s="825"/>
      <c r="O4458" s="826"/>
      <c r="P4458" s="702"/>
      <c r="Q4458" s="1821"/>
      <c r="R4458" s="1821"/>
      <c r="S4458" s="1821"/>
      <c r="T4458" s="1821"/>
      <c r="U4458" s="1821"/>
      <c r="V4458" s="1821"/>
      <c r="W4458" s="1821"/>
      <c r="X4458" s="1821"/>
      <c r="Y4458" s="1821"/>
      <c r="Z4458" s="1821"/>
      <c r="AA4458" s="1821"/>
      <c r="AB4458" s="1821"/>
      <c r="AC4458" s="1821"/>
      <c r="AD4458" s="1821"/>
      <c r="AE4458" s="1821"/>
      <c r="AF4458" s="1821"/>
      <c r="AG4458" s="1821"/>
      <c r="AH4458" s="1821"/>
      <c r="AI4458" s="1821"/>
      <c r="AJ4458" s="1821"/>
      <c r="AK4458" s="1821"/>
      <c r="AL4458" s="1821"/>
      <c r="AM4458" s="1821"/>
      <c r="AN4458" s="1821"/>
      <c r="AO4458" s="1821"/>
      <c r="AP4458" s="1821"/>
      <c r="AQ4458" s="1821"/>
      <c r="AR4458" s="1821"/>
      <c r="AS4458" s="1821"/>
      <c r="AT4458" s="1821"/>
      <c r="AU4458" s="1821"/>
      <c r="AV4458" s="1821"/>
      <c r="AW4458" s="1821"/>
      <c r="AX4458" s="1821"/>
      <c r="AY4458" s="1821"/>
      <c r="AZ4458" s="1821"/>
      <c r="BA4458" s="1821"/>
      <c r="BB4458" s="1821"/>
      <c r="BC4458" s="1821"/>
      <c r="BD4458" s="1821"/>
      <c r="BE4458" s="1821"/>
      <c r="BF4458" s="1821"/>
      <c r="BG4458" s="1821"/>
      <c r="BH4458" s="1821"/>
      <c r="BI4458" s="1821"/>
      <c r="BJ4458" s="1821"/>
      <c r="BK4458" s="1821"/>
      <c r="BL4458" s="1821"/>
      <c r="BM4458" s="1821"/>
      <c r="BN4458" s="1821"/>
      <c r="BO4458" s="1821"/>
      <c r="BP4458" s="1821"/>
      <c r="BQ4458" s="1821"/>
      <c r="BR4458" s="1821"/>
      <c r="BS4458" s="1821"/>
      <c r="BT4458" s="1821"/>
      <c r="BU4458" s="1821"/>
      <c r="BV4458" s="1821"/>
      <c r="BW4458" s="1821"/>
      <c r="BX4458" s="1821"/>
      <c r="BY4458" s="1821"/>
      <c r="BZ4458" s="1821"/>
      <c r="CA4458" s="1821"/>
      <c r="CB4458" s="1821"/>
      <c r="CC4458" s="1821"/>
      <c r="CD4458" s="1821"/>
      <c r="CE4458" s="1821"/>
      <c r="CF4458" s="1821"/>
      <c r="CG4458" s="1821"/>
      <c r="CH4458" s="1821"/>
      <c r="CI4458" s="1821"/>
      <c r="CJ4458" s="1821"/>
      <c r="CK4458" s="1821"/>
    </row>
    <row r="4459" spans="1:89" s="675" customFormat="1" ht="16.5" customHeight="1" x14ac:dyDescent="0.25">
      <c r="A4459" s="849">
        <v>511147</v>
      </c>
      <c r="B4459" s="1061" t="s">
        <v>504</v>
      </c>
      <c r="C4459" s="835"/>
      <c r="D4459" s="1062"/>
      <c r="E4459" s="825"/>
      <c r="F4459" s="825"/>
      <c r="G4459" s="825"/>
      <c r="H4459" s="825"/>
      <c r="I4459" s="825"/>
      <c r="J4459" s="825"/>
      <c r="K4459" s="825"/>
      <c r="L4459" s="825"/>
      <c r="M4459" s="825"/>
      <c r="N4459" s="825"/>
      <c r="O4459" s="826">
        <f>N4459+K4459+H4459</f>
        <v>0</v>
      </c>
      <c r="P4459" s="702"/>
      <c r="Q4459" s="1821"/>
      <c r="R4459" s="1821"/>
      <c r="S4459" s="1821"/>
      <c r="T4459" s="1821"/>
      <c r="U4459" s="1821"/>
      <c r="V4459" s="1821"/>
      <c r="W4459" s="1821"/>
      <c r="X4459" s="1821"/>
      <c r="Y4459" s="1821"/>
      <c r="Z4459" s="1821"/>
      <c r="AA4459" s="1821"/>
      <c r="AB4459" s="1821"/>
      <c r="AC4459" s="1821"/>
      <c r="AD4459" s="1821"/>
      <c r="AE4459" s="1821"/>
      <c r="AF4459" s="1821"/>
      <c r="AG4459" s="1821"/>
      <c r="AH4459" s="1821"/>
      <c r="AI4459" s="1821"/>
      <c r="AJ4459" s="1821"/>
      <c r="AK4459" s="1821"/>
      <c r="AL4459" s="1821"/>
      <c r="AM4459" s="1821"/>
      <c r="AN4459" s="1821"/>
      <c r="AO4459" s="1821"/>
      <c r="AP4459" s="1821"/>
      <c r="AQ4459" s="1821"/>
      <c r="AR4459" s="1821"/>
      <c r="AS4459" s="1821"/>
      <c r="AT4459" s="1821"/>
      <c r="AU4459" s="1821"/>
      <c r="AV4459" s="1821"/>
      <c r="AW4459" s="1821"/>
      <c r="AX4459" s="1821"/>
      <c r="AY4459" s="1821"/>
      <c r="AZ4459" s="1821"/>
      <c r="BA4459" s="1821"/>
      <c r="BB4459" s="1821"/>
      <c r="BC4459" s="1821"/>
      <c r="BD4459" s="1821"/>
      <c r="BE4459" s="1821"/>
      <c r="BF4459" s="1821"/>
      <c r="BG4459" s="1821"/>
      <c r="BH4459" s="1821"/>
      <c r="BI4459" s="1821"/>
      <c r="BJ4459" s="1821"/>
      <c r="BK4459" s="1821"/>
      <c r="BL4459" s="1821"/>
      <c r="BM4459" s="1821"/>
      <c r="BN4459" s="1821"/>
      <c r="BO4459" s="1821"/>
      <c r="BP4459" s="1821"/>
      <c r="BQ4459" s="1821"/>
      <c r="BR4459" s="1821"/>
      <c r="BS4459" s="1821"/>
      <c r="BT4459" s="1821"/>
      <c r="BU4459" s="1821"/>
      <c r="BV4459" s="1821"/>
      <c r="BW4459" s="1821"/>
      <c r="BX4459" s="1821"/>
      <c r="BY4459" s="1821"/>
      <c r="BZ4459" s="1821"/>
      <c r="CA4459" s="1821"/>
      <c r="CB4459" s="1821"/>
      <c r="CC4459" s="1821"/>
      <c r="CD4459" s="1821"/>
      <c r="CE4459" s="1821"/>
      <c r="CF4459" s="1821"/>
      <c r="CG4459" s="1821"/>
      <c r="CH4459" s="1821"/>
      <c r="CI4459" s="1821"/>
      <c r="CJ4459" s="1821"/>
      <c r="CK4459" s="1821"/>
    </row>
    <row r="4460" spans="1:89" s="675" customFormat="1" ht="16.5" customHeight="1" x14ac:dyDescent="0.25">
      <c r="A4460" s="849"/>
      <c r="B4460" s="1061" t="s">
        <v>2247</v>
      </c>
      <c r="C4460" s="835"/>
      <c r="D4460" s="1062"/>
      <c r="E4460" s="825"/>
      <c r="F4460" s="825"/>
      <c r="G4460" s="825"/>
      <c r="H4460" s="825"/>
      <c r="I4460" s="825"/>
      <c r="J4460" s="825"/>
      <c r="K4460" s="825"/>
      <c r="L4460" s="825"/>
      <c r="M4460" s="825"/>
      <c r="N4460" s="825"/>
      <c r="O4460" s="826">
        <f>N4460+K4460+H4460</f>
        <v>0</v>
      </c>
      <c r="P4460" s="702"/>
      <c r="Q4460" s="1821"/>
      <c r="R4460" s="1821"/>
      <c r="S4460" s="1821"/>
      <c r="T4460" s="1821"/>
      <c r="U4460" s="1821"/>
      <c r="V4460" s="1821"/>
      <c r="W4460" s="1821"/>
      <c r="X4460" s="1821"/>
      <c r="Y4460" s="1821"/>
      <c r="Z4460" s="1821"/>
      <c r="AA4460" s="1821"/>
      <c r="AB4460" s="1821"/>
      <c r="AC4460" s="1821"/>
      <c r="AD4460" s="1821"/>
      <c r="AE4460" s="1821"/>
      <c r="AF4460" s="1821"/>
      <c r="AG4460" s="1821"/>
      <c r="AH4460" s="1821"/>
      <c r="AI4460" s="1821"/>
      <c r="AJ4460" s="1821"/>
      <c r="AK4460" s="1821"/>
      <c r="AL4460" s="1821"/>
      <c r="AM4460" s="1821"/>
      <c r="AN4460" s="1821"/>
      <c r="AO4460" s="1821"/>
      <c r="AP4460" s="1821"/>
      <c r="AQ4460" s="1821"/>
      <c r="AR4460" s="1821"/>
      <c r="AS4460" s="1821"/>
      <c r="AT4460" s="1821"/>
      <c r="AU4460" s="1821"/>
      <c r="AV4460" s="1821"/>
      <c r="AW4460" s="1821"/>
      <c r="AX4460" s="1821"/>
      <c r="AY4460" s="1821"/>
      <c r="AZ4460" s="1821"/>
      <c r="BA4460" s="1821"/>
      <c r="BB4460" s="1821"/>
      <c r="BC4460" s="1821"/>
      <c r="BD4460" s="1821"/>
      <c r="BE4460" s="1821"/>
      <c r="BF4460" s="1821"/>
      <c r="BG4460" s="1821"/>
      <c r="BH4460" s="1821"/>
      <c r="BI4460" s="1821"/>
      <c r="BJ4460" s="1821"/>
      <c r="BK4460" s="1821"/>
      <c r="BL4460" s="1821"/>
      <c r="BM4460" s="1821"/>
      <c r="BN4460" s="1821"/>
      <c r="BO4460" s="1821"/>
      <c r="BP4460" s="1821"/>
      <c r="BQ4460" s="1821"/>
      <c r="BR4460" s="1821"/>
      <c r="BS4460" s="1821"/>
      <c r="BT4460" s="1821"/>
      <c r="BU4460" s="1821"/>
      <c r="BV4460" s="1821"/>
      <c r="BW4460" s="1821"/>
      <c r="BX4460" s="1821"/>
      <c r="BY4460" s="1821"/>
      <c r="BZ4460" s="1821"/>
      <c r="CA4460" s="1821"/>
      <c r="CB4460" s="1821"/>
      <c r="CC4460" s="1821"/>
      <c r="CD4460" s="1821"/>
      <c r="CE4460" s="1821"/>
      <c r="CF4460" s="1821"/>
      <c r="CG4460" s="1821"/>
      <c r="CH4460" s="1821"/>
      <c r="CI4460" s="1821"/>
      <c r="CJ4460" s="1821"/>
      <c r="CK4460" s="1821"/>
    </row>
    <row r="4461" spans="1:89" s="675" customFormat="1" ht="16.5" customHeight="1" x14ac:dyDescent="0.25">
      <c r="A4461" s="849"/>
      <c r="B4461" s="1061" t="s">
        <v>505</v>
      </c>
      <c r="C4461" s="835">
        <v>1</v>
      </c>
      <c r="D4461" s="1062" t="s">
        <v>25</v>
      </c>
      <c r="E4461" s="825">
        <v>10000</v>
      </c>
      <c r="F4461" s="825">
        <f t="shared" si="508"/>
        <v>10000</v>
      </c>
      <c r="G4461" s="825"/>
      <c r="H4461" s="825">
        <f t="shared" si="509"/>
        <v>10000</v>
      </c>
      <c r="I4461" s="825"/>
      <c r="J4461" s="825"/>
      <c r="K4461" s="825"/>
      <c r="L4461" s="825"/>
      <c r="M4461" s="825"/>
      <c r="N4461" s="825"/>
      <c r="O4461" s="826">
        <f>N4461+K4461+H4461</f>
        <v>10000</v>
      </c>
      <c r="P4461" s="702"/>
      <c r="Q4461" s="1821"/>
      <c r="R4461" s="1821"/>
      <c r="S4461" s="1821"/>
      <c r="T4461" s="1821"/>
      <c r="U4461" s="1821"/>
      <c r="V4461" s="1821"/>
      <c r="W4461" s="1821"/>
      <c r="X4461" s="1821"/>
      <c r="Y4461" s="1821"/>
      <c r="Z4461" s="1821"/>
      <c r="AA4461" s="1821"/>
      <c r="AB4461" s="1821"/>
      <c r="AC4461" s="1821"/>
      <c r="AD4461" s="1821"/>
      <c r="AE4461" s="1821"/>
      <c r="AF4461" s="1821"/>
      <c r="AG4461" s="1821"/>
      <c r="AH4461" s="1821"/>
      <c r="AI4461" s="1821"/>
      <c r="AJ4461" s="1821"/>
      <c r="AK4461" s="1821"/>
      <c r="AL4461" s="1821"/>
      <c r="AM4461" s="1821"/>
      <c r="AN4461" s="1821"/>
      <c r="AO4461" s="1821"/>
      <c r="AP4461" s="1821"/>
      <c r="AQ4461" s="1821"/>
      <c r="AR4461" s="1821"/>
      <c r="AS4461" s="1821"/>
      <c r="AT4461" s="1821"/>
      <c r="AU4461" s="1821"/>
      <c r="AV4461" s="1821"/>
      <c r="AW4461" s="1821"/>
      <c r="AX4461" s="1821"/>
      <c r="AY4461" s="1821"/>
      <c r="AZ4461" s="1821"/>
      <c r="BA4461" s="1821"/>
      <c r="BB4461" s="1821"/>
      <c r="BC4461" s="1821"/>
      <c r="BD4461" s="1821"/>
      <c r="BE4461" s="1821"/>
      <c r="BF4461" s="1821"/>
      <c r="BG4461" s="1821"/>
      <c r="BH4461" s="1821"/>
      <c r="BI4461" s="1821"/>
      <c r="BJ4461" s="1821"/>
      <c r="BK4461" s="1821"/>
      <c r="BL4461" s="1821"/>
      <c r="BM4461" s="1821"/>
      <c r="BN4461" s="1821"/>
      <c r="BO4461" s="1821"/>
      <c r="BP4461" s="1821"/>
      <c r="BQ4461" s="1821"/>
      <c r="BR4461" s="1821"/>
      <c r="BS4461" s="1821"/>
      <c r="BT4461" s="1821"/>
      <c r="BU4461" s="1821"/>
      <c r="BV4461" s="1821"/>
      <c r="BW4461" s="1821"/>
      <c r="BX4461" s="1821"/>
      <c r="BY4461" s="1821"/>
      <c r="BZ4461" s="1821"/>
      <c r="CA4461" s="1821"/>
      <c r="CB4461" s="1821"/>
      <c r="CC4461" s="1821"/>
      <c r="CD4461" s="1821"/>
      <c r="CE4461" s="1821"/>
      <c r="CF4461" s="1821"/>
      <c r="CG4461" s="1821"/>
      <c r="CH4461" s="1821"/>
      <c r="CI4461" s="1821"/>
      <c r="CJ4461" s="1821"/>
      <c r="CK4461" s="1821"/>
    </row>
    <row r="4462" spans="1:89" s="675" customFormat="1" ht="16.5" customHeight="1" x14ac:dyDescent="0.25">
      <c r="A4462" s="849"/>
      <c r="B4462" s="1061"/>
      <c r="C4462" s="835"/>
      <c r="D4462" s="1062"/>
      <c r="E4462" s="825"/>
      <c r="F4462" s="825"/>
      <c r="G4462" s="825"/>
      <c r="H4462" s="825"/>
      <c r="I4462" s="825"/>
      <c r="J4462" s="825"/>
      <c r="K4462" s="825"/>
      <c r="L4462" s="825"/>
      <c r="M4462" s="825"/>
      <c r="N4462" s="825"/>
      <c r="O4462" s="826"/>
      <c r="P4462" s="702"/>
      <c r="Q4462" s="1821"/>
      <c r="R4462" s="1821"/>
      <c r="S4462" s="1821"/>
      <c r="T4462" s="1821"/>
      <c r="U4462" s="1821"/>
      <c r="V4462" s="1821"/>
      <c r="W4462" s="1821"/>
      <c r="X4462" s="1821"/>
      <c r="Y4462" s="1821"/>
      <c r="Z4462" s="1821"/>
      <c r="AA4462" s="1821"/>
      <c r="AB4462" s="1821"/>
      <c r="AC4462" s="1821"/>
      <c r="AD4462" s="1821"/>
      <c r="AE4462" s="1821"/>
      <c r="AF4462" s="1821"/>
      <c r="AG4462" s="1821"/>
      <c r="AH4462" s="1821"/>
      <c r="AI4462" s="1821"/>
      <c r="AJ4462" s="1821"/>
      <c r="AK4462" s="1821"/>
      <c r="AL4462" s="1821"/>
      <c r="AM4462" s="1821"/>
      <c r="AN4462" s="1821"/>
      <c r="AO4462" s="1821"/>
      <c r="AP4462" s="1821"/>
      <c r="AQ4462" s="1821"/>
      <c r="AR4462" s="1821"/>
      <c r="AS4462" s="1821"/>
      <c r="AT4462" s="1821"/>
      <c r="AU4462" s="1821"/>
      <c r="AV4462" s="1821"/>
      <c r="AW4462" s="1821"/>
      <c r="AX4462" s="1821"/>
      <c r="AY4462" s="1821"/>
      <c r="AZ4462" s="1821"/>
      <c r="BA4462" s="1821"/>
      <c r="BB4462" s="1821"/>
      <c r="BC4462" s="1821"/>
      <c r="BD4462" s="1821"/>
      <c r="BE4462" s="1821"/>
      <c r="BF4462" s="1821"/>
      <c r="BG4462" s="1821"/>
      <c r="BH4462" s="1821"/>
      <c r="BI4462" s="1821"/>
      <c r="BJ4462" s="1821"/>
      <c r="BK4462" s="1821"/>
      <c r="BL4462" s="1821"/>
      <c r="BM4462" s="1821"/>
      <c r="BN4462" s="1821"/>
      <c r="BO4462" s="1821"/>
      <c r="BP4462" s="1821"/>
      <c r="BQ4462" s="1821"/>
      <c r="BR4462" s="1821"/>
      <c r="BS4462" s="1821"/>
      <c r="BT4462" s="1821"/>
      <c r="BU4462" s="1821"/>
      <c r="BV4462" s="1821"/>
      <c r="BW4462" s="1821"/>
      <c r="BX4462" s="1821"/>
      <c r="BY4462" s="1821"/>
      <c r="BZ4462" s="1821"/>
      <c r="CA4462" s="1821"/>
      <c r="CB4462" s="1821"/>
      <c r="CC4462" s="1821"/>
      <c r="CD4462" s="1821"/>
      <c r="CE4462" s="1821"/>
      <c r="CF4462" s="1821"/>
      <c r="CG4462" s="1821"/>
      <c r="CH4462" s="1821"/>
      <c r="CI4462" s="1821"/>
      <c r="CJ4462" s="1821"/>
      <c r="CK4462" s="1821"/>
    </row>
    <row r="4463" spans="1:89" s="675" customFormat="1" ht="16.5" customHeight="1" x14ac:dyDescent="0.25">
      <c r="A4463" s="849">
        <v>512211</v>
      </c>
      <c r="B4463" s="1061" t="s">
        <v>506</v>
      </c>
      <c r="C4463" s="835"/>
      <c r="D4463" s="1062"/>
      <c r="E4463" s="825"/>
      <c r="F4463" s="825"/>
      <c r="G4463" s="825"/>
      <c r="H4463" s="825"/>
      <c r="I4463" s="825"/>
      <c r="J4463" s="825"/>
      <c r="K4463" s="825"/>
      <c r="L4463" s="825"/>
      <c r="M4463" s="825"/>
      <c r="N4463" s="825"/>
      <c r="O4463" s="826">
        <f t="shared" si="501"/>
        <v>0</v>
      </c>
      <c r="P4463" s="702"/>
      <c r="Q4463" s="1821"/>
      <c r="R4463" s="1821"/>
      <c r="S4463" s="1821"/>
      <c r="T4463" s="1821"/>
      <c r="U4463" s="1821"/>
      <c r="V4463" s="1821"/>
      <c r="W4463" s="1821"/>
      <c r="X4463" s="1821"/>
      <c r="Y4463" s="1821"/>
      <c r="Z4463" s="1821"/>
      <c r="AA4463" s="1821"/>
      <c r="AB4463" s="1821"/>
      <c r="AC4463" s="1821"/>
      <c r="AD4463" s="1821"/>
      <c r="AE4463" s="1821"/>
      <c r="AF4463" s="1821"/>
      <c r="AG4463" s="1821"/>
      <c r="AH4463" s="1821"/>
      <c r="AI4463" s="1821"/>
      <c r="AJ4463" s="1821"/>
      <c r="AK4463" s="1821"/>
      <c r="AL4463" s="1821"/>
      <c r="AM4463" s="1821"/>
      <c r="AN4463" s="1821"/>
      <c r="AO4463" s="1821"/>
      <c r="AP4463" s="1821"/>
      <c r="AQ4463" s="1821"/>
      <c r="AR4463" s="1821"/>
      <c r="AS4463" s="1821"/>
      <c r="AT4463" s="1821"/>
      <c r="AU4463" s="1821"/>
      <c r="AV4463" s="1821"/>
      <c r="AW4463" s="1821"/>
      <c r="AX4463" s="1821"/>
      <c r="AY4463" s="1821"/>
      <c r="AZ4463" s="1821"/>
      <c r="BA4463" s="1821"/>
      <c r="BB4463" s="1821"/>
      <c r="BC4463" s="1821"/>
      <c r="BD4463" s="1821"/>
      <c r="BE4463" s="1821"/>
      <c r="BF4463" s="1821"/>
      <c r="BG4463" s="1821"/>
      <c r="BH4463" s="1821"/>
      <c r="BI4463" s="1821"/>
      <c r="BJ4463" s="1821"/>
      <c r="BK4463" s="1821"/>
      <c r="BL4463" s="1821"/>
      <c r="BM4463" s="1821"/>
      <c r="BN4463" s="1821"/>
      <c r="BO4463" s="1821"/>
      <c r="BP4463" s="1821"/>
      <c r="BQ4463" s="1821"/>
      <c r="BR4463" s="1821"/>
      <c r="BS4463" s="1821"/>
      <c r="BT4463" s="1821"/>
      <c r="BU4463" s="1821"/>
      <c r="BV4463" s="1821"/>
      <c r="BW4463" s="1821"/>
      <c r="BX4463" s="1821"/>
      <c r="BY4463" s="1821"/>
      <c r="BZ4463" s="1821"/>
      <c r="CA4463" s="1821"/>
      <c r="CB4463" s="1821"/>
      <c r="CC4463" s="1821"/>
      <c r="CD4463" s="1821"/>
      <c r="CE4463" s="1821"/>
      <c r="CF4463" s="1821"/>
      <c r="CG4463" s="1821"/>
      <c r="CH4463" s="1821"/>
      <c r="CI4463" s="1821"/>
      <c r="CJ4463" s="1821"/>
      <c r="CK4463" s="1821"/>
    </row>
    <row r="4464" spans="1:89" s="675" customFormat="1" ht="16.5" customHeight="1" x14ac:dyDescent="0.25">
      <c r="A4464" s="849"/>
      <c r="B4464" s="1061" t="s">
        <v>2247</v>
      </c>
      <c r="C4464" s="835"/>
      <c r="D4464" s="1062"/>
      <c r="E4464" s="825"/>
      <c r="F4464" s="825"/>
      <c r="G4464" s="825"/>
      <c r="H4464" s="825"/>
      <c r="I4464" s="825"/>
      <c r="J4464" s="825"/>
      <c r="K4464" s="825"/>
      <c r="L4464" s="825"/>
      <c r="M4464" s="825"/>
      <c r="N4464" s="825"/>
      <c r="O4464" s="826">
        <f t="shared" si="501"/>
        <v>0</v>
      </c>
      <c r="P4464" s="702"/>
      <c r="Q4464" s="1821"/>
      <c r="R4464" s="1821"/>
      <c r="S4464" s="1821"/>
      <c r="T4464" s="1821"/>
      <c r="U4464" s="1821"/>
      <c r="V4464" s="1821"/>
      <c r="W4464" s="1821"/>
      <c r="X4464" s="1821"/>
      <c r="Y4464" s="1821"/>
      <c r="Z4464" s="1821"/>
      <c r="AA4464" s="1821"/>
      <c r="AB4464" s="1821"/>
      <c r="AC4464" s="1821"/>
      <c r="AD4464" s="1821"/>
      <c r="AE4464" s="1821"/>
      <c r="AF4464" s="1821"/>
      <c r="AG4464" s="1821"/>
      <c r="AH4464" s="1821"/>
      <c r="AI4464" s="1821"/>
      <c r="AJ4464" s="1821"/>
      <c r="AK4464" s="1821"/>
      <c r="AL4464" s="1821"/>
      <c r="AM4464" s="1821"/>
      <c r="AN4464" s="1821"/>
      <c r="AO4464" s="1821"/>
      <c r="AP4464" s="1821"/>
      <c r="AQ4464" s="1821"/>
      <c r="AR4464" s="1821"/>
      <c r="AS4464" s="1821"/>
      <c r="AT4464" s="1821"/>
      <c r="AU4464" s="1821"/>
      <c r="AV4464" s="1821"/>
      <c r="AW4464" s="1821"/>
      <c r="AX4464" s="1821"/>
      <c r="AY4464" s="1821"/>
      <c r="AZ4464" s="1821"/>
      <c r="BA4464" s="1821"/>
      <c r="BB4464" s="1821"/>
      <c r="BC4464" s="1821"/>
      <c r="BD4464" s="1821"/>
      <c r="BE4464" s="1821"/>
      <c r="BF4464" s="1821"/>
      <c r="BG4464" s="1821"/>
      <c r="BH4464" s="1821"/>
      <c r="BI4464" s="1821"/>
      <c r="BJ4464" s="1821"/>
      <c r="BK4464" s="1821"/>
      <c r="BL4464" s="1821"/>
      <c r="BM4464" s="1821"/>
      <c r="BN4464" s="1821"/>
      <c r="BO4464" s="1821"/>
      <c r="BP4464" s="1821"/>
      <c r="BQ4464" s="1821"/>
      <c r="BR4464" s="1821"/>
      <c r="BS4464" s="1821"/>
      <c r="BT4464" s="1821"/>
      <c r="BU4464" s="1821"/>
      <c r="BV4464" s="1821"/>
      <c r="BW4464" s="1821"/>
      <c r="BX4464" s="1821"/>
      <c r="BY4464" s="1821"/>
      <c r="BZ4464" s="1821"/>
      <c r="CA4464" s="1821"/>
      <c r="CB4464" s="1821"/>
      <c r="CC4464" s="1821"/>
      <c r="CD4464" s="1821"/>
      <c r="CE4464" s="1821"/>
      <c r="CF4464" s="1821"/>
      <c r="CG4464" s="1821"/>
      <c r="CH4464" s="1821"/>
      <c r="CI4464" s="1821"/>
      <c r="CJ4464" s="1821"/>
      <c r="CK4464" s="1821"/>
    </row>
    <row r="4465" spans="1:89" s="675" customFormat="1" ht="16.5" customHeight="1" x14ac:dyDescent="0.25">
      <c r="A4465" s="849"/>
      <c r="B4465" s="1061" t="s">
        <v>1398</v>
      </c>
      <c r="C4465" s="835">
        <v>5400</v>
      </c>
      <c r="D4465" s="1062" t="s">
        <v>507</v>
      </c>
      <c r="E4465" s="825">
        <v>13</v>
      </c>
      <c r="F4465" s="825">
        <f t="shared" ref="F4465:F4470" si="510">E4465*C4465</f>
        <v>70200</v>
      </c>
      <c r="G4465" s="825"/>
      <c r="H4465" s="825">
        <f t="shared" ref="H4465:H4470" si="511">G4465+F4465</f>
        <v>70200</v>
      </c>
      <c r="I4465" s="825"/>
      <c r="J4465" s="825"/>
      <c r="K4465" s="825"/>
      <c r="L4465" s="825"/>
      <c r="M4465" s="825"/>
      <c r="N4465" s="825"/>
      <c r="O4465" s="826">
        <f t="shared" si="501"/>
        <v>70200</v>
      </c>
      <c r="P4465" s="702"/>
      <c r="Q4465" s="1821"/>
      <c r="R4465" s="1821"/>
      <c r="S4465" s="1821"/>
      <c r="T4465" s="1821"/>
      <c r="U4465" s="1821"/>
      <c r="V4465" s="1821"/>
      <c r="W4465" s="1821"/>
      <c r="X4465" s="1821"/>
      <c r="Y4465" s="1821"/>
      <c r="Z4465" s="1821"/>
      <c r="AA4465" s="1821"/>
      <c r="AB4465" s="1821"/>
      <c r="AC4465" s="1821"/>
      <c r="AD4465" s="1821"/>
      <c r="AE4465" s="1821"/>
      <c r="AF4465" s="1821"/>
      <c r="AG4465" s="1821"/>
      <c r="AH4465" s="1821"/>
      <c r="AI4465" s="1821"/>
      <c r="AJ4465" s="1821"/>
      <c r="AK4465" s="1821"/>
      <c r="AL4465" s="1821"/>
      <c r="AM4465" s="1821"/>
      <c r="AN4465" s="1821"/>
      <c r="AO4465" s="1821"/>
      <c r="AP4465" s="1821"/>
      <c r="AQ4465" s="1821"/>
      <c r="AR4465" s="1821"/>
      <c r="AS4465" s="1821"/>
      <c r="AT4465" s="1821"/>
      <c r="AU4465" s="1821"/>
      <c r="AV4465" s="1821"/>
      <c r="AW4465" s="1821"/>
      <c r="AX4465" s="1821"/>
      <c r="AY4465" s="1821"/>
      <c r="AZ4465" s="1821"/>
      <c r="BA4465" s="1821"/>
      <c r="BB4465" s="1821"/>
      <c r="BC4465" s="1821"/>
      <c r="BD4465" s="1821"/>
      <c r="BE4465" s="1821"/>
      <c r="BF4465" s="1821"/>
      <c r="BG4465" s="1821"/>
      <c r="BH4465" s="1821"/>
      <c r="BI4465" s="1821"/>
      <c r="BJ4465" s="1821"/>
      <c r="BK4465" s="1821"/>
      <c r="BL4465" s="1821"/>
      <c r="BM4465" s="1821"/>
      <c r="BN4465" s="1821"/>
      <c r="BO4465" s="1821"/>
      <c r="BP4465" s="1821"/>
      <c r="BQ4465" s="1821"/>
      <c r="BR4465" s="1821"/>
      <c r="BS4465" s="1821"/>
      <c r="BT4465" s="1821"/>
      <c r="BU4465" s="1821"/>
      <c r="BV4465" s="1821"/>
      <c r="BW4465" s="1821"/>
      <c r="BX4465" s="1821"/>
      <c r="BY4465" s="1821"/>
      <c r="BZ4465" s="1821"/>
      <c r="CA4465" s="1821"/>
      <c r="CB4465" s="1821"/>
      <c r="CC4465" s="1821"/>
      <c r="CD4465" s="1821"/>
      <c r="CE4465" s="1821"/>
      <c r="CF4465" s="1821"/>
      <c r="CG4465" s="1821"/>
      <c r="CH4465" s="1821"/>
      <c r="CI4465" s="1821"/>
      <c r="CJ4465" s="1821"/>
      <c r="CK4465" s="1821"/>
    </row>
    <row r="4466" spans="1:89" s="675" customFormat="1" ht="16.5" customHeight="1" x14ac:dyDescent="0.25">
      <c r="A4466" s="849"/>
      <c r="B4466" s="1061" t="s">
        <v>1399</v>
      </c>
      <c r="C4466" s="835">
        <v>8100</v>
      </c>
      <c r="D4466" s="1062" t="s">
        <v>507</v>
      </c>
      <c r="E4466" s="825">
        <v>17</v>
      </c>
      <c r="F4466" s="825">
        <f t="shared" si="510"/>
        <v>137700</v>
      </c>
      <c r="G4466" s="825"/>
      <c r="H4466" s="825">
        <f t="shared" si="511"/>
        <v>137700</v>
      </c>
      <c r="I4466" s="825"/>
      <c r="J4466" s="825"/>
      <c r="K4466" s="825"/>
      <c r="L4466" s="825"/>
      <c r="M4466" s="825"/>
      <c r="N4466" s="825"/>
      <c r="O4466" s="826">
        <f t="shared" si="501"/>
        <v>137700</v>
      </c>
      <c r="P4466" s="702"/>
      <c r="Q4466" s="1821"/>
      <c r="R4466" s="1821"/>
      <c r="S4466" s="1821"/>
      <c r="T4466" s="1821"/>
      <c r="U4466" s="1821"/>
      <c r="V4466" s="1821"/>
      <c r="W4466" s="1821"/>
      <c r="X4466" s="1821"/>
      <c r="Y4466" s="1821"/>
      <c r="Z4466" s="1821"/>
      <c r="AA4466" s="1821"/>
      <c r="AB4466" s="1821"/>
      <c r="AC4466" s="1821"/>
      <c r="AD4466" s="1821"/>
      <c r="AE4466" s="1821"/>
      <c r="AF4466" s="1821"/>
      <c r="AG4466" s="1821"/>
      <c r="AH4466" s="1821"/>
      <c r="AI4466" s="1821"/>
      <c r="AJ4466" s="1821"/>
      <c r="AK4466" s="1821"/>
      <c r="AL4466" s="1821"/>
      <c r="AM4466" s="1821"/>
      <c r="AN4466" s="1821"/>
      <c r="AO4466" s="1821"/>
      <c r="AP4466" s="1821"/>
      <c r="AQ4466" s="1821"/>
      <c r="AR4466" s="1821"/>
      <c r="AS4466" s="1821"/>
      <c r="AT4466" s="1821"/>
      <c r="AU4466" s="1821"/>
      <c r="AV4466" s="1821"/>
      <c r="AW4466" s="1821"/>
      <c r="AX4466" s="1821"/>
      <c r="AY4466" s="1821"/>
      <c r="AZ4466" s="1821"/>
      <c r="BA4466" s="1821"/>
      <c r="BB4466" s="1821"/>
      <c r="BC4466" s="1821"/>
      <c r="BD4466" s="1821"/>
      <c r="BE4466" s="1821"/>
      <c r="BF4466" s="1821"/>
      <c r="BG4466" s="1821"/>
      <c r="BH4466" s="1821"/>
      <c r="BI4466" s="1821"/>
      <c r="BJ4466" s="1821"/>
      <c r="BK4466" s="1821"/>
      <c r="BL4466" s="1821"/>
      <c r="BM4466" s="1821"/>
      <c r="BN4466" s="1821"/>
      <c r="BO4466" s="1821"/>
      <c r="BP4466" s="1821"/>
      <c r="BQ4466" s="1821"/>
      <c r="BR4466" s="1821"/>
      <c r="BS4466" s="1821"/>
      <c r="BT4466" s="1821"/>
      <c r="BU4466" s="1821"/>
      <c r="BV4466" s="1821"/>
      <c r="BW4466" s="1821"/>
      <c r="BX4466" s="1821"/>
      <c r="BY4466" s="1821"/>
      <c r="BZ4466" s="1821"/>
      <c r="CA4466" s="1821"/>
      <c r="CB4466" s="1821"/>
      <c r="CC4466" s="1821"/>
      <c r="CD4466" s="1821"/>
      <c r="CE4466" s="1821"/>
      <c r="CF4466" s="1821"/>
      <c r="CG4466" s="1821"/>
      <c r="CH4466" s="1821"/>
      <c r="CI4466" s="1821"/>
      <c r="CJ4466" s="1821"/>
      <c r="CK4466" s="1821"/>
    </row>
    <row r="4467" spans="1:89" s="675" customFormat="1" ht="16.5" customHeight="1" x14ac:dyDescent="0.25">
      <c r="A4467" s="849"/>
      <c r="B4467" s="1061" t="s">
        <v>1400</v>
      </c>
      <c r="C4467" s="835">
        <v>540</v>
      </c>
      <c r="D4467" s="1062" t="s">
        <v>507</v>
      </c>
      <c r="E4467" s="825">
        <v>20</v>
      </c>
      <c r="F4467" s="825">
        <f t="shared" si="510"/>
        <v>10800</v>
      </c>
      <c r="G4467" s="825"/>
      <c r="H4467" s="825">
        <f t="shared" si="511"/>
        <v>10800</v>
      </c>
      <c r="I4467" s="825"/>
      <c r="J4467" s="825"/>
      <c r="K4467" s="825"/>
      <c r="L4467" s="825"/>
      <c r="M4467" s="825"/>
      <c r="N4467" s="825"/>
      <c r="O4467" s="826">
        <f t="shared" si="501"/>
        <v>10800</v>
      </c>
      <c r="P4467" s="702"/>
      <c r="Q4467" s="1821"/>
      <c r="R4467" s="1821"/>
      <c r="S4467" s="1821"/>
      <c r="T4467" s="1821"/>
      <c r="U4467" s="1821"/>
      <c r="V4467" s="1821"/>
      <c r="W4467" s="1821"/>
      <c r="X4467" s="1821"/>
      <c r="Y4467" s="1821"/>
      <c r="Z4467" s="1821"/>
      <c r="AA4467" s="1821"/>
      <c r="AB4467" s="1821"/>
      <c r="AC4467" s="1821"/>
      <c r="AD4467" s="1821"/>
      <c r="AE4467" s="1821"/>
      <c r="AF4467" s="1821"/>
      <c r="AG4467" s="1821"/>
      <c r="AH4467" s="1821"/>
      <c r="AI4467" s="1821"/>
      <c r="AJ4467" s="1821"/>
      <c r="AK4467" s="1821"/>
      <c r="AL4467" s="1821"/>
      <c r="AM4467" s="1821"/>
      <c r="AN4467" s="1821"/>
      <c r="AO4467" s="1821"/>
      <c r="AP4467" s="1821"/>
      <c r="AQ4467" s="1821"/>
      <c r="AR4467" s="1821"/>
      <c r="AS4467" s="1821"/>
      <c r="AT4467" s="1821"/>
      <c r="AU4467" s="1821"/>
      <c r="AV4467" s="1821"/>
      <c r="AW4467" s="1821"/>
      <c r="AX4467" s="1821"/>
      <c r="AY4467" s="1821"/>
      <c r="AZ4467" s="1821"/>
      <c r="BA4467" s="1821"/>
      <c r="BB4467" s="1821"/>
      <c r="BC4467" s="1821"/>
      <c r="BD4467" s="1821"/>
      <c r="BE4467" s="1821"/>
      <c r="BF4467" s="1821"/>
      <c r="BG4467" s="1821"/>
      <c r="BH4467" s="1821"/>
      <c r="BI4467" s="1821"/>
      <c r="BJ4467" s="1821"/>
      <c r="BK4467" s="1821"/>
      <c r="BL4467" s="1821"/>
      <c r="BM4467" s="1821"/>
      <c r="BN4467" s="1821"/>
      <c r="BO4467" s="1821"/>
      <c r="BP4467" s="1821"/>
      <c r="BQ4467" s="1821"/>
      <c r="BR4467" s="1821"/>
      <c r="BS4467" s="1821"/>
      <c r="BT4467" s="1821"/>
      <c r="BU4467" s="1821"/>
      <c r="BV4467" s="1821"/>
      <c r="BW4467" s="1821"/>
      <c r="BX4467" s="1821"/>
      <c r="BY4467" s="1821"/>
      <c r="BZ4467" s="1821"/>
      <c r="CA4467" s="1821"/>
      <c r="CB4467" s="1821"/>
      <c r="CC4467" s="1821"/>
      <c r="CD4467" s="1821"/>
      <c r="CE4467" s="1821"/>
      <c r="CF4467" s="1821"/>
      <c r="CG4467" s="1821"/>
      <c r="CH4467" s="1821"/>
      <c r="CI4467" s="1821"/>
      <c r="CJ4467" s="1821"/>
      <c r="CK4467" s="1821"/>
    </row>
    <row r="4468" spans="1:89" s="675" customFormat="1" ht="16.5" customHeight="1" x14ac:dyDescent="0.25">
      <c r="A4468" s="849"/>
      <c r="B4468" s="1061" t="s">
        <v>1401</v>
      </c>
      <c r="C4468" s="835">
        <v>1800</v>
      </c>
      <c r="D4468" s="1062" t="s">
        <v>55</v>
      </c>
      <c r="E4468" s="825">
        <v>25</v>
      </c>
      <c r="F4468" s="825">
        <f t="shared" si="510"/>
        <v>45000</v>
      </c>
      <c r="G4468" s="825"/>
      <c r="H4468" s="825">
        <f t="shared" si="511"/>
        <v>45000</v>
      </c>
      <c r="I4468" s="825"/>
      <c r="J4468" s="825"/>
      <c r="K4468" s="825"/>
      <c r="L4468" s="825"/>
      <c r="M4468" s="825"/>
      <c r="N4468" s="825"/>
      <c r="O4468" s="826">
        <f t="shared" si="501"/>
        <v>45000</v>
      </c>
      <c r="P4468" s="702"/>
      <c r="Q4468" s="1821"/>
      <c r="R4468" s="1821"/>
      <c r="S4468" s="1821"/>
      <c r="T4468" s="1821"/>
      <c r="U4468" s="1821"/>
      <c r="V4468" s="1821"/>
      <c r="W4468" s="1821"/>
      <c r="X4468" s="1821"/>
      <c r="Y4468" s="1821"/>
      <c r="Z4468" s="1821"/>
      <c r="AA4468" s="1821"/>
      <c r="AB4468" s="1821"/>
      <c r="AC4468" s="1821"/>
      <c r="AD4468" s="1821"/>
      <c r="AE4468" s="1821"/>
      <c r="AF4468" s="1821"/>
      <c r="AG4468" s="1821"/>
      <c r="AH4468" s="1821"/>
      <c r="AI4468" s="1821"/>
      <c r="AJ4468" s="1821"/>
      <c r="AK4468" s="1821"/>
      <c r="AL4468" s="1821"/>
      <c r="AM4468" s="1821"/>
      <c r="AN4468" s="1821"/>
      <c r="AO4468" s="1821"/>
      <c r="AP4468" s="1821"/>
      <c r="AQ4468" s="1821"/>
      <c r="AR4468" s="1821"/>
      <c r="AS4468" s="1821"/>
      <c r="AT4468" s="1821"/>
      <c r="AU4468" s="1821"/>
      <c r="AV4468" s="1821"/>
      <c r="AW4468" s="1821"/>
      <c r="AX4468" s="1821"/>
      <c r="AY4468" s="1821"/>
      <c r="AZ4468" s="1821"/>
      <c r="BA4468" s="1821"/>
      <c r="BB4468" s="1821"/>
      <c r="BC4468" s="1821"/>
      <c r="BD4468" s="1821"/>
      <c r="BE4468" s="1821"/>
      <c r="BF4468" s="1821"/>
      <c r="BG4468" s="1821"/>
      <c r="BH4468" s="1821"/>
      <c r="BI4468" s="1821"/>
      <c r="BJ4468" s="1821"/>
      <c r="BK4468" s="1821"/>
      <c r="BL4468" s="1821"/>
      <c r="BM4468" s="1821"/>
      <c r="BN4468" s="1821"/>
      <c r="BO4468" s="1821"/>
      <c r="BP4468" s="1821"/>
      <c r="BQ4468" s="1821"/>
      <c r="BR4468" s="1821"/>
      <c r="BS4468" s="1821"/>
      <c r="BT4468" s="1821"/>
      <c r="BU4468" s="1821"/>
      <c r="BV4468" s="1821"/>
      <c r="BW4468" s="1821"/>
      <c r="BX4468" s="1821"/>
      <c r="BY4468" s="1821"/>
      <c r="BZ4468" s="1821"/>
      <c r="CA4468" s="1821"/>
      <c r="CB4468" s="1821"/>
      <c r="CC4468" s="1821"/>
      <c r="CD4468" s="1821"/>
      <c r="CE4468" s="1821"/>
      <c r="CF4468" s="1821"/>
      <c r="CG4468" s="1821"/>
      <c r="CH4468" s="1821"/>
      <c r="CI4468" s="1821"/>
      <c r="CJ4468" s="1821"/>
      <c r="CK4468" s="1821"/>
    </row>
    <row r="4469" spans="1:89" s="675" customFormat="1" ht="16.5" customHeight="1" x14ac:dyDescent="0.25">
      <c r="A4469" s="849"/>
      <c r="B4469" s="1061" t="s">
        <v>1402</v>
      </c>
      <c r="C4469" s="835">
        <v>2700</v>
      </c>
      <c r="D4469" s="1062" t="s">
        <v>55</v>
      </c>
      <c r="E4469" s="825">
        <v>27</v>
      </c>
      <c r="F4469" s="825">
        <f t="shared" si="510"/>
        <v>72900</v>
      </c>
      <c r="G4469" s="825"/>
      <c r="H4469" s="825">
        <f t="shared" si="511"/>
        <v>72900</v>
      </c>
      <c r="I4469" s="825"/>
      <c r="J4469" s="825"/>
      <c r="K4469" s="825"/>
      <c r="L4469" s="825"/>
      <c r="M4469" s="825"/>
      <c r="N4469" s="825"/>
      <c r="O4469" s="826">
        <f t="shared" si="501"/>
        <v>72900</v>
      </c>
      <c r="P4469" s="702"/>
      <c r="Q4469" s="1821"/>
      <c r="R4469" s="1821"/>
      <c r="S4469" s="1821"/>
      <c r="T4469" s="1821"/>
      <c r="U4469" s="1821"/>
      <c r="V4469" s="1821"/>
      <c r="W4469" s="1821"/>
      <c r="X4469" s="1821"/>
      <c r="Y4469" s="1821"/>
      <c r="Z4469" s="1821"/>
      <c r="AA4469" s="1821"/>
      <c r="AB4469" s="1821"/>
      <c r="AC4469" s="1821"/>
      <c r="AD4469" s="1821"/>
      <c r="AE4469" s="1821"/>
      <c r="AF4469" s="1821"/>
      <c r="AG4469" s="1821"/>
      <c r="AH4469" s="1821"/>
      <c r="AI4469" s="1821"/>
      <c r="AJ4469" s="1821"/>
      <c r="AK4469" s="1821"/>
      <c r="AL4469" s="1821"/>
      <c r="AM4469" s="1821"/>
      <c r="AN4469" s="1821"/>
      <c r="AO4469" s="1821"/>
      <c r="AP4469" s="1821"/>
      <c r="AQ4469" s="1821"/>
      <c r="AR4469" s="1821"/>
      <c r="AS4469" s="1821"/>
      <c r="AT4469" s="1821"/>
      <c r="AU4469" s="1821"/>
      <c r="AV4469" s="1821"/>
      <c r="AW4469" s="1821"/>
      <c r="AX4469" s="1821"/>
      <c r="AY4469" s="1821"/>
      <c r="AZ4469" s="1821"/>
      <c r="BA4469" s="1821"/>
      <c r="BB4469" s="1821"/>
      <c r="BC4469" s="1821"/>
      <c r="BD4469" s="1821"/>
      <c r="BE4469" s="1821"/>
      <c r="BF4469" s="1821"/>
      <c r="BG4469" s="1821"/>
      <c r="BH4469" s="1821"/>
      <c r="BI4469" s="1821"/>
      <c r="BJ4469" s="1821"/>
      <c r="BK4469" s="1821"/>
      <c r="BL4469" s="1821"/>
      <c r="BM4469" s="1821"/>
      <c r="BN4469" s="1821"/>
      <c r="BO4469" s="1821"/>
      <c r="BP4469" s="1821"/>
      <c r="BQ4469" s="1821"/>
      <c r="BR4469" s="1821"/>
      <c r="BS4469" s="1821"/>
      <c r="BT4469" s="1821"/>
      <c r="BU4469" s="1821"/>
      <c r="BV4469" s="1821"/>
      <c r="BW4469" s="1821"/>
      <c r="BX4469" s="1821"/>
      <c r="BY4469" s="1821"/>
      <c r="BZ4469" s="1821"/>
      <c r="CA4469" s="1821"/>
      <c r="CB4469" s="1821"/>
      <c r="CC4469" s="1821"/>
      <c r="CD4469" s="1821"/>
      <c r="CE4469" s="1821"/>
      <c r="CF4469" s="1821"/>
      <c r="CG4469" s="1821"/>
      <c r="CH4469" s="1821"/>
      <c r="CI4469" s="1821"/>
      <c r="CJ4469" s="1821"/>
      <c r="CK4469" s="1821"/>
    </row>
    <row r="4470" spans="1:89" s="675" customFormat="1" ht="16.5" customHeight="1" x14ac:dyDescent="0.25">
      <c r="A4470" s="849"/>
      <c r="B4470" s="1061" t="s">
        <v>1403</v>
      </c>
      <c r="C4470" s="835">
        <v>180</v>
      </c>
      <c r="D4470" s="1062" t="s">
        <v>55</v>
      </c>
      <c r="E4470" s="825">
        <v>29</v>
      </c>
      <c r="F4470" s="825">
        <f t="shared" si="510"/>
        <v>5220</v>
      </c>
      <c r="G4470" s="825"/>
      <c r="H4470" s="825">
        <f t="shared" si="511"/>
        <v>5220</v>
      </c>
      <c r="I4470" s="825"/>
      <c r="J4470" s="825"/>
      <c r="K4470" s="825"/>
      <c r="L4470" s="825"/>
      <c r="M4470" s="825"/>
      <c r="N4470" s="825"/>
      <c r="O4470" s="826">
        <f t="shared" si="501"/>
        <v>5220</v>
      </c>
      <c r="P4470" s="702"/>
      <c r="Q4470" s="1821"/>
      <c r="R4470" s="1821"/>
      <c r="S4470" s="1821"/>
      <c r="T4470" s="1821"/>
      <c r="U4470" s="1821"/>
      <c r="V4470" s="1821"/>
      <c r="W4470" s="1821"/>
      <c r="X4470" s="1821"/>
      <c r="Y4470" s="1821"/>
      <c r="Z4470" s="1821"/>
      <c r="AA4470" s="1821"/>
      <c r="AB4470" s="1821"/>
      <c r="AC4470" s="1821"/>
      <c r="AD4470" s="1821"/>
      <c r="AE4470" s="1821"/>
      <c r="AF4470" s="1821"/>
      <c r="AG4470" s="1821"/>
      <c r="AH4470" s="1821"/>
      <c r="AI4470" s="1821"/>
      <c r="AJ4470" s="1821"/>
      <c r="AK4470" s="1821"/>
      <c r="AL4470" s="1821"/>
      <c r="AM4470" s="1821"/>
      <c r="AN4470" s="1821"/>
      <c r="AO4470" s="1821"/>
      <c r="AP4470" s="1821"/>
      <c r="AQ4470" s="1821"/>
      <c r="AR4470" s="1821"/>
      <c r="AS4470" s="1821"/>
      <c r="AT4470" s="1821"/>
      <c r="AU4470" s="1821"/>
      <c r="AV4470" s="1821"/>
      <c r="AW4470" s="1821"/>
      <c r="AX4470" s="1821"/>
      <c r="AY4470" s="1821"/>
      <c r="AZ4470" s="1821"/>
      <c r="BA4470" s="1821"/>
      <c r="BB4470" s="1821"/>
      <c r="BC4470" s="1821"/>
      <c r="BD4470" s="1821"/>
      <c r="BE4470" s="1821"/>
      <c r="BF4470" s="1821"/>
      <c r="BG4470" s="1821"/>
      <c r="BH4470" s="1821"/>
      <c r="BI4470" s="1821"/>
      <c r="BJ4470" s="1821"/>
      <c r="BK4470" s="1821"/>
      <c r="BL4470" s="1821"/>
      <c r="BM4470" s="1821"/>
      <c r="BN4470" s="1821"/>
      <c r="BO4470" s="1821"/>
      <c r="BP4470" s="1821"/>
      <c r="BQ4470" s="1821"/>
      <c r="BR4470" s="1821"/>
      <c r="BS4470" s="1821"/>
      <c r="BT4470" s="1821"/>
      <c r="BU4470" s="1821"/>
      <c r="BV4470" s="1821"/>
      <c r="BW4470" s="1821"/>
      <c r="BX4470" s="1821"/>
      <c r="BY4470" s="1821"/>
      <c r="BZ4470" s="1821"/>
      <c r="CA4470" s="1821"/>
      <c r="CB4470" s="1821"/>
      <c r="CC4470" s="1821"/>
      <c r="CD4470" s="1821"/>
      <c r="CE4470" s="1821"/>
      <c r="CF4470" s="1821"/>
      <c r="CG4470" s="1821"/>
      <c r="CH4470" s="1821"/>
      <c r="CI4470" s="1821"/>
      <c r="CJ4470" s="1821"/>
      <c r="CK4470" s="1821"/>
    </row>
    <row r="4471" spans="1:89" s="675" customFormat="1" ht="16.5" customHeight="1" x14ac:dyDescent="0.25">
      <c r="A4471" s="849"/>
      <c r="B4471" s="1061"/>
      <c r="C4471" s="835"/>
      <c r="D4471" s="1062"/>
      <c r="E4471" s="825"/>
      <c r="F4471" s="825"/>
      <c r="G4471" s="825"/>
      <c r="H4471" s="825"/>
      <c r="I4471" s="825"/>
      <c r="J4471" s="825"/>
      <c r="K4471" s="825"/>
      <c r="L4471" s="825"/>
      <c r="M4471" s="825"/>
      <c r="N4471" s="825"/>
      <c r="O4471" s="826"/>
      <c r="P4471" s="702"/>
      <c r="Q4471" s="1821"/>
      <c r="R4471" s="1821"/>
      <c r="S4471" s="1821"/>
      <c r="T4471" s="1821"/>
      <c r="U4471" s="1821"/>
      <c r="V4471" s="1821"/>
      <c r="W4471" s="1821"/>
      <c r="X4471" s="1821"/>
      <c r="Y4471" s="1821"/>
      <c r="Z4471" s="1821"/>
      <c r="AA4471" s="1821"/>
      <c r="AB4471" s="1821"/>
      <c r="AC4471" s="1821"/>
      <c r="AD4471" s="1821"/>
      <c r="AE4471" s="1821"/>
      <c r="AF4471" s="1821"/>
      <c r="AG4471" s="1821"/>
      <c r="AH4471" s="1821"/>
      <c r="AI4471" s="1821"/>
      <c r="AJ4471" s="1821"/>
      <c r="AK4471" s="1821"/>
      <c r="AL4471" s="1821"/>
      <c r="AM4471" s="1821"/>
      <c r="AN4471" s="1821"/>
      <c r="AO4471" s="1821"/>
      <c r="AP4471" s="1821"/>
      <c r="AQ4471" s="1821"/>
      <c r="AR4471" s="1821"/>
      <c r="AS4471" s="1821"/>
      <c r="AT4471" s="1821"/>
      <c r="AU4471" s="1821"/>
      <c r="AV4471" s="1821"/>
      <c r="AW4471" s="1821"/>
      <c r="AX4471" s="1821"/>
      <c r="AY4471" s="1821"/>
      <c r="AZ4471" s="1821"/>
      <c r="BA4471" s="1821"/>
      <c r="BB4471" s="1821"/>
      <c r="BC4471" s="1821"/>
      <c r="BD4471" s="1821"/>
      <c r="BE4471" s="1821"/>
      <c r="BF4471" s="1821"/>
      <c r="BG4471" s="1821"/>
      <c r="BH4471" s="1821"/>
      <c r="BI4471" s="1821"/>
      <c r="BJ4471" s="1821"/>
      <c r="BK4471" s="1821"/>
      <c r="BL4471" s="1821"/>
      <c r="BM4471" s="1821"/>
      <c r="BN4471" s="1821"/>
      <c r="BO4471" s="1821"/>
      <c r="BP4471" s="1821"/>
      <c r="BQ4471" s="1821"/>
      <c r="BR4471" s="1821"/>
      <c r="BS4471" s="1821"/>
      <c r="BT4471" s="1821"/>
      <c r="BU4471" s="1821"/>
      <c r="BV4471" s="1821"/>
      <c r="BW4471" s="1821"/>
      <c r="BX4471" s="1821"/>
      <c r="BY4471" s="1821"/>
      <c r="BZ4471" s="1821"/>
      <c r="CA4471" s="1821"/>
      <c r="CB4471" s="1821"/>
      <c r="CC4471" s="1821"/>
      <c r="CD4471" s="1821"/>
      <c r="CE4471" s="1821"/>
      <c r="CF4471" s="1821"/>
      <c r="CG4471" s="1821"/>
      <c r="CH4471" s="1821"/>
      <c r="CI4471" s="1821"/>
      <c r="CJ4471" s="1821"/>
      <c r="CK4471" s="1821"/>
    </row>
    <row r="4472" spans="1:89" s="675" customFormat="1" ht="16.5" customHeight="1" x14ac:dyDescent="0.25">
      <c r="A4472" s="849"/>
      <c r="B4472" s="1061" t="s">
        <v>1404</v>
      </c>
      <c r="C4472" s="835"/>
      <c r="D4472" s="1062"/>
      <c r="E4472" s="825"/>
      <c r="F4472" s="825"/>
      <c r="G4472" s="825"/>
      <c r="H4472" s="825"/>
      <c r="I4472" s="825"/>
      <c r="J4472" s="825"/>
      <c r="K4472" s="825"/>
      <c r="L4472" s="825"/>
      <c r="M4472" s="825"/>
      <c r="N4472" s="825"/>
      <c r="O4472" s="826"/>
      <c r="P4472" s="702"/>
      <c r="Q4472" s="1821"/>
      <c r="R4472" s="1821"/>
      <c r="S4472" s="1821"/>
      <c r="T4472" s="1821"/>
      <c r="U4472" s="1821"/>
      <c r="V4472" s="1821"/>
      <c r="W4472" s="1821"/>
      <c r="X4472" s="1821"/>
      <c r="Y4472" s="1821"/>
      <c r="Z4472" s="1821"/>
      <c r="AA4472" s="1821"/>
      <c r="AB4472" s="1821"/>
      <c r="AC4472" s="1821"/>
      <c r="AD4472" s="1821"/>
      <c r="AE4472" s="1821"/>
      <c r="AF4472" s="1821"/>
      <c r="AG4472" s="1821"/>
      <c r="AH4472" s="1821"/>
      <c r="AI4472" s="1821"/>
      <c r="AJ4472" s="1821"/>
      <c r="AK4472" s="1821"/>
      <c r="AL4472" s="1821"/>
      <c r="AM4472" s="1821"/>
      <c r="AN4472" s="1821"/>
      <c r="AO4472" s="1821"/>
      <c r="AP4472" s="1821"/>
      <c r="AQ4472" s="1821"/>
      <c r="AR4472" s="1821"/>
      <c r="AS4472" s="1821"/>
      <c r="AT4472" s="1821"/>
      <c r="AU4472" s="1821"/>
      <c r="AV4472" s="1821"/>
      <c r="AW4472" s="1821"/>
      <c r="AX4472" s="1821"/>
      <c r="AY4472" s="1821"/>
      <c r="AZ4472" s="1821"/>
      <c r="BA4472" s="1821"/>
      <c r="BB4472" s="1821"/>
      <c r="BC4472" s="1821"/>
      <c r="BD4472" s="1821"/>
      <c r="BE4472" s="1821"/>
      <c r="BF4472" s="1821"/>
      <c r="BG4472" s="1821"/>
      <c r="BH4472" s="1821"/>
      <c r="BI4472" s="1821"/>
      <c r="BJ4472" s="1821"/>
      <c r="BK4472" s="1821"/>
      <c r="BL4472" s="1821"/>
      <c r="BM4472" s="1821"/>
      <c r="BN4472" s="1821"/>
      <c r="BO4472" s="1821"/>
      <c r="BP4472" s="1821"/>
      <c r="BQ4472" s="1821"/>
      <c r="BR4472" s="1821"/>
      <c r="BS4472" s="1821"/>
      <c r="BT4472" s="1821"/>
      <c r="BU4472" s="1821"/>
      <c r="BV4472" s="1821"/>
      <c r="BW4472" s="1821"/>
      <c r="BX4472" s="1821"/>
      <c r="BY4472" s="1821"/>
      <c r="BZ4472" s="1821"/>
      <c r="CA4472" s="1821"/>
      <c r="CB4472" s="1821"/>
      <c r="CC4472" s="1821"/>
      <c r="CD4472" s="1821"/>
      <c r="CE4472" s="1821"/>
      <c r="CF4472" s="1821"/>
      <c r="CG4472" s="1821"/>
      <c r="CH4472" s="1821"/>
      <c r="CI4472" s="1821"/>
      <c r="CJ4472" s="1821"/>
      <c r="CK4472" s="1821"/>
    </row>
    <row r="4473" spans="1:89" s="675" customFormat="1" ht="16.5" customHeight="1" x14ac:dyDescent="0.25">
      <c r="A4473" s="849"/>
      <c r="B4473" s="1061" t="s">
        <v>2247</v>
      </c>
      <c r="C4473" s="835"/>
      <c r="D4473" s="1062"/>
      <c r="E4473" s="825"/>
      <c r="F4473" s="825"/>
      <c r="G4473" s="825"/>
      <c r="H4473" s="825"/>
      <c r="I4473" s="825"/>
      <c r="J4473" s="825"/>
      <c r="K4473" s="825"/>
      <c r="L4473" s="825"/>
      <c r="M4473" s="825"/>
      <c r="N4473" s="825"/>
      <c r="O4473" s="826">
        <f t="shared" ref="O4473:O4479" si="512">N4473+K4473+H4473</f>
        <v>0</v>
      </c>
      <c r="P4473" s="702"/>
      <c r="Q4473" s="1821"/>
      <c r="R4473" s="1821"/>
      <c r="S4473" s="1821"/>
      <c r="T4473" s="1821"/>
      <c r="U4473" s="1821"/>
      <c r="V4473" s="1821"/>
      <c r="W4473" s="1821"/>
      <c r="X4473" s="1821"/>
      <c r="Y4473" s="1821"/>
      <c r="Z4473" s="1821"/>
      <c r="AA4473" s="1821"/>
      <c r="AB4473" s="1821"/>
      <c r="AC4473" s="1821"/>
      <c r="AD4473" s="1821"/>
      <c r="AE4473" s="1821"/>
      <c r="AF4473" s="1821"/>
      <c r="AG4473" s="1821"/>
      <c r="AH4473" s="1821"/>
      <c r="AI4473" s="1821"/>
      <c r="AJ4473" s="1821"/>
      <c r="AK4473" s="1821"/>
      <c r="AL4473" s="1821"/>
      <c r="AM4473" s="1821"/>
      <c r="AN4473" s="1821"/>
      <c r="AO4473" s="1821"/>
      <c r="AP4473" s="1821"/>
      <c r="AQ4473" s="1821"/>
      <c r="AR4473" s="1821"/>
      <c r="AS4473" s="1821"/>
      <c r="AT4473" s="1821"/>
      <c r="AU4473" s="1821"/>
      <c r="AV4473" s="1821"/>
      <c r="AW4473" s="1821"/>
      <c r="AX4473" s="1821"/>
      <c r="AY4473" s="1821"/>
      <c r="AZ4473" s="1821"/>
      <c r="BA4473" s="1821"/>
      <c r="BB4473" s="1821"/>
      <c r="BC4473" s="1821"/>
      <c r="BD4473" s="1821"/>
      <c r="BE4473" s="1821"/>
      <c r="BF4473" s="1821"/>
      <c r="BG4473" s="1821"/>
      <c r="BH4473" s="1821"/>
      <c r="BI4473" s="1821"/>
      <c r="BJ4473" s="1821"/>
      <c r="BK4473" s="1821"/>
      <c r="BL4473" s="1821"/>
      <c r="BM4473" s="1821"/>
      <c r="BN4473" s="1821"/>
      <c r="BO4473" s="1821"/>
      <c r="BP4473" s="1821"/>
      <c r="BQ4473" s="1821"/>
      <c r="BR4473" s="1821"/>
      <c r="BS4473" s="1821"/>
      <c r="BT4473" s="1821"/>
      <c r="BU4473" s="1821"/>
      <c r="BV4473" s="1821"/>
      <c r="BW4473" s="1821"/>
      <c r="BX4473" s="1821"/>
      <c r="BY4473" s="1821"/>
      <c r="BZ4473" s="1821"/>
      <c r="CA4473" s="1821"/>
      <c r="CB4473" s="1821"/>
      <c r="CC4473" s="1821"/>
      <c r="CD4473" s="1821"/>
      <c r="CE4473" s="1821"/>
      <c r="CF4473" s="1821"/>
      <c r="CG4473" s="1821"/>
      <c r="CH4473" s="1821"/>
      <c r="CI4473" s="1821"/>
      <c r="CJ4473" s="1821"/>
      <c r="CK4473" s="1821"/>
    </row>
    <row r="4474" spans="1:89" s="675" customFormat="1" ht="16.5" customHeight="1" x14ac:dyDescent="0.25">
      <c r="A4474" s="849"/>
      <c r="B4474" s="1061" t="s">
        <v>1405</v>
      </c>
      <c r="C4474" s="835">
        <v>12</v>
      </c>
      <c r="D4474" s="1062" t="s">
        <v>20</v>
      </c>
      <c r="E4474" s="825">
        <v>6023</v>
      </c>
      <c r="F4474" s="825">
        <f t="shared" ref="F4474:F4479" si="513">E4474*C4474</f>
        <v>72276</v>
      </c>
      <c r="G4474" s="825"/>
      <c r="H4474" s="825">
        <f t="shared" ref="H4474:H4479" si="514">G4474+F4474</f>
        <v>72276</v>
      </c>
      <c r="I4474" s="825"/>
      <c r="J4474" s="825"/>
      <c r="K4474" s="825"/>
      <c r="L4474" s="825"/>
      <c r="M4474" s="825"/>
      <c r="N4474" s="825"/>
      <c r="O4474" s="826">
        <f t="shared" si="512"/>
        <v>72276</v>
      </c>
      <c r="P4474" s="702"/>
      <c r="Q4474" s="1821"/>
      <c r="R4474" s="1821"/>
      <c r="S4474" s="1821"/>
      <c r="T4474" s="1821"/>
      <c r="U4474" s="1821"/>
      <c r="V4474" s="1821"/>
      <c r="W4474" s="1821"/>
      <c r="X4474" s="1821"/>
      <c r="Y4474" s="1821"/>
      <c r="Z4474" s="1821"/>
      <c r="AA4474" s="1821"/>
      <c r="AB4474" s="1821"/>
      <c r="AC4474" s="1821"/>
      <c r="AD4474" s="1821"/>
      <c r="AE4474" s="1821"/>
      <c r="AF4474" s="1821"/>
      <c r="AG4474" s="1821"/>
      <c r="AH4474" s="1821"/>
      <c r="AI4474" s="1821"/>
      <c r="AJ4474" s="1821"/>
      <c r="AK4474" s="1821"/>
      <c r="AL4474" s="1821"/>
      <c r="AM4474" s="1821"/>
      <c r="AN4474" s="1821"/>
      <c r="AO4474" s="1821"/>
      <c r="AP4474" s="1821"/>
      <c r="AQ4474" s="1821"/>
      <c r="AR4474" s="1821"/>
      <c r="AS4474" s="1821"/>
      <c r="AT4474" s="1821"/>
      <c r="AU4474" s="1821"/>
      <c r="AV4474" s="1821"/>
      <c r="AW4474" s="1821"/>
      <c r="AX4474" s="1821"/>
      <c r="AY4474" s="1821"/>
      <c r="AZ4474" s="1821"/>
      <c r="BA4474" s="1821"/>
      <c r="BB4474" s="1821"/>
      <c r="BC4474" s="1821"/>
      <c r="BD4474" s="1821"/>
      <c r="BE4474" s="1821"/>
      <c r="BF4474" s="1821"/>
      <c r="BG4474" s="1821"/>
      <c r="BH4474" s="1821"/>
      <c r="BI4474" s="1821"/>
      <c r="BJ4474" s="1821"/>
      <c r="BK4474" s="1821"/>
      <c r="BL4474" s="1821"/>
      <c r="BM4474" s="1821"/>
      <c r="BN4474" s="1821"/>
      <c r="BO4474" s="1821"/>
      <c r="BP4474" s="1821"/>
      <c r="BQ4474" s="1821"/>
      <c r="BR4474" s="1821"/>
      <c r="BS4474" s="1821"/>
      <c r="BT4474" s="1821"/>
      <c r="BU4474" s="1821"/>
      <c r="BV4474" s="1821"/>
      <c r="BW4474" s="1821"/>
      <c r="BX4474" s="1821"/>
      <c r="BY4474" s="1821"/>
      <c r="BZ4474" s="1821"/>
      <c r="CA4474" s="1821"/>
      <c r="CB4474" s="1821"/>
      <c r="CC4474" s="1821"/>
      <c r="CD4474" s="1821"/>
      <c r="CE4474" s="1821"/>
      <c r="CF4474" s="1821"/>
      <c r="CG4474" s="1821"/>
      <c r="CH4474" s="1821"/>
      <c r="CI4474" s="1821"/>
      <c r="CJ4474" s="1821"/>
      <c r="CK4474" s="1821"/>
    </row>
    <row r="4475" spans="1:89" s="675" customFormat="1" ht="16.5" customHeight="1" x14ac:dyDescent="0.25">
      <c r="A4475" s="849"/>
      <c r="B4475" s="1061" t="s">
        <v>1406</v>
      </c>
      <c r="C4475" s="835">
        <v>60</v>
      </c>
      <c r="D4475" s="1062" t="s">
        <v>20</v>
      </c>
      <c r="E4475" s="825">
        <v>2915</v>
      </c>
      <c r="F4475" s="825">
        <f t="shared" si="513"/>
        <v>174900</v>
      </c>
      <c r="G4475" s="825"/>
      <c r="H4475" s="825">
        <f t="shared" si="514"/>
        <v>174900</v>
      </c>
      <c r="I4475" s="825"/>
      <c r="J4475" s="825"/>
      <c r="K4475" s="825"/>
      <c r="L4475" s="825"/>
      <c r="M4475" s="825"/>
      <c r="N4475" s="825"/>
      <c r="O4475" s="826">
        <f t="shared" si="512"/>
        <v>174900</v>
      </c>
      <c r="P4475" s="702"/>
      <c r="Q4475" s="1821"/>
      <c r="R4475" s="1821"/>
      <c r="S4475" s="1821"/>
      <c r="T4475" s="1821"/>
      <c r="U4475" s="1821"/>
      <c r="V4475" s="1821"/>
      <c r="W4475" s="1821"/>
      <c r="X4475" s="1821"/>
      <c r="Y4475" s="1821"/>
      <c r="Z4475" s="1821"/>
      <c r="AA4475" s="1821"/>
      <c r="AB4475" s="1821"/>
      <c r="AC4475" s="1821"/>
      <c r="AD4475" s="1821"/>
      <c r="AE4475" s="1821"/>
      <c r="AF4475" s="1821"/>
      <c r="AG4475" s="1821"/>
      <c r="AH4475" s="1821"/>
      <c r="AI4475" s="1821"/>
      <c r="AJ4475" s="1821"/>
      <c r="AK4475" s="1821"/>
      <c r="AL4475" s="1821"/>
      <c r="AM4475" s="1821"/>
      <c r="AN4475" s="1821"/>
      <c r="AO4475" s="1821"/>
      <c r="AP4475" s="1821"/>
      <c r="AQ4475" s="1821"/>
      <c r="AR4475" s="1821"/>
      <c r="AS4475" s="1821"/>
      <c r="AT4475" s="1821"/>
      <c r="AU4475" s="1821"/>
      <c r="AV4475" s="1821"/>
      <c r="AW4475" s="1821"/>
      <c r="AX4475" s="1821"/>
      <c r="AY4475" s="1821"/>
      <c r="AZ4475" s="1821"/>
      <c r="BA4475" s="1821"/>
      <c r="BB4475" s="1821"/>
      <c r="BC4475" s="1821"/>
      <c r="BD4475" s="1821"/>
      <c r="BE4475" s="1821"/>
      <c r="BF4475" s="1821"/>
      <c r="BG4475" s="1821"/>
      <c r="BH4475" s="1821"/>
      <c r="BI4475" s="1821"/>
      <c r="BJ4475" s="1821"/>
      <c r="BK4475" s="1821"/>
      <c r="BL4475" s="1821"/>
      <c r="BM4475" s="1821"/>
      <c r="BN4475" s="1821"/>
      <c r="BO4475" s="1821"/>
      <c r="BP4475" s="1821"/>
      <c r="BQ4475" s="1821"/>
      <c r="BR4475" s="1821"/>
      <c r="BS4475" s="1821"/>
      <c r="BT4475" s="1821"/>
      <c r="BU4475" s="1821"/>
      <c r="BV4475" s="1821"/>
      <c r="BW4475" s="1821"/>
      <c r="BX4475" s="1821"/>
      <c r="BY4475" s="1821"/>
      <c r="BZ4475" s="1821"/>
      <c r="CA4475" s="1821"/>
      <c r="CB4475" s="1821"/>
      <c r="CC4475" s="1821"/>
      <c r="CD4475" s="1821"/>
      <c r="CE4475" s="1821"/>
      <c r="CF4475" s="1821"/>
      <c r="CG4475" s="1821"/>
      <c r="CH4475" s="1821"/>
      <c r="CI4475" s="1821"/>
      <c r="CJ4475" s="1821"/>
      <c r="CK4475" s="1821"/>
    </row>
    <row r="4476" spans="1:89" s="675" customFormat="1" ht="16.5" customHeight="1" x14ac:dyDescent="0.25">
      <c r="A4476" s="849"/>
      <c r="B4476" s="1061" t="s">
        <v>1407</v>
      </c>
      <c r="C4476" s="835">
        <v>84</v>
      </c>
      <c r="D4476" s="1062" t="s">
        <v>20</v>
      </c>
      <c r="E4476" s="825">
        <v>2535</v>
      </c>
      <c r="F4476" s="825">
        <f t="shared" si="513"/>
        <v>212940</v>
      </c>
      <c r="G4476" s="825"/>
      <c r="H4476" s="825">
        <f t="shared" si="514"/>
        <v>212940</v>
      </c>
      <c r="I4476" s="825"/>
      <c r="J4476" s="825"/>
      <c r="K4476" s="825"/>
      <c r="L4476" s="825"/>
      <c r="M4476" s="825"/>
      <c r="N4476" s="825"/>
      <c r="O4476" s="826">
        <f t="shared" si="512"/>
        <v>212940</v>
      </c>
      <c r="P4476" s="702"/>
      <c r="Q4476" s="1821"/>
      <c r="R4476" s="1821"/>
      <c r="S4476" s="1821"/>
      <c r="T4476" s="1821"/>
      <c r="U4476" s="1821"/>
      <c r="V4476" s="1821"/>
      <c r="W4476" s="1821"/>
      <c r="X4476" s="1821"/>
      <c r="Y4476" s="1821"/>
      <c r="Z4476" s="1821"/>
      <c r="AA4476" s="1821"/>
      <c r="AB4476" s="1821"/>
      <c r="AC4476" s="1821"/>
      <c r="AD4476" s="1821"/>
      <c r="AE4476" s="1821"/>
      <c r="AF4476" s="1821"/>
      <c r="AG4476" s="1821"/>
      <c r="AH4476" s="1821"/>
      <c r="AI4476" s="1821"/>
      <c r="AJ4476" s="1821"/>
      <c r="AK4476" s="1821"/>
      <c r="AL4476" s="1821"/>
      <c r="AM4476" s="1821"/>
      <c r="AN4476" s="1821"/>
      <c r="AO4476" s="1821"/>
      <c r="AP4476" s="1821"/>
      <c r="AQ4476" s="1821"/>
      <c r="AR4476" s="1821"/>
      <c r="AS4476" s="1821"/>
      <c r="AT4476" s="1821"/>
      <c r="AU4476" s="1821"/>
      <c r="AV4476" s="1821"/>
      <c r="AW4476" s="1821"/>
      <c r="AX4476" s="1821"/>
      <c r="AY4476" s="1821"/>
      <c r="AZ4476" s="1821"/>
      <c r="BA4476" s="1821"/>
      <c r="BB4476" s="1821"/>
      <c r="BC4476" s="1821"/>
      <c r="BD4476" s="1821"/>
      <c r="BE4476" s="1821"/>
      <c r="BF4476" s="1821"/>
      <c r="BG4476" s="1821"/>
      <c r="BH4476" s="1821"/>
      <c r="BI4476" s="1821"/>
      <c r="BJ4476" s="1821"/>
      <c r="BK4476" s="1821"/>
      <c r="BL4476" s="1821"/>
      <c r="BM4476" s="1821"/>
      <c r="BN4476" s="1821"/>
      <c r="BO4476" s="1821"/>
      <c r="BP4476" s="1821"/>
      <c r="BQ4476" s="1821"/>
      <c r="BR4476" s="1821"/>
      <c r="BS4476" s="1821"/>
      <c r="BT4476" s="1821"/>
      <c r="BU4476" s="1821"/>
      <c r="BV4476" s="1821"/>
      <c r="BW4476" s="1821"/>
      <c r="BX4476" s="1821"/>
      <c r="BY4476" s="1821"/>
      <c r="BZ4476" s="1821"/>
      <c r="CA4476" s="1821"/>
      <c r="CB4476" s="1821"/>
      <c r="CC4476" s="1821"/>
      <c r="CD4476" s="1821"/>
      <c r="CE4476" s="1821"/>
      <c r="CF4476" s="1821"/>
      <c r="CG4476" s="1821"/>
      <c r="CH4476" s="1821"/>
      <c r="CI4476" s="1821"/>
      <c r="CJ4476" s="1821"/>
      <c r="CK4476" s="1821"/>
    </row>
    <row r="4477" spans="1:89" s="675" customFormat="1" ht="16.5" customHeight="1" x14ac:dyDescent="0.25">
      <c r="A4477" s="849"/>
      <c r="B4477" s="1061" t="s">
        <v>1408</v>
      </c>
      <c r="C4477" s="835">
        <v>336</v>
      </c>
      <c r="D4477" s="1062" t="s">
        <v>20</v>
      </c>
      <c r="E4477" s="825">
        <v>2304</v>
      </c>
      <c r="F4477" s="825">
        <f t="shared" si="513"/>
        <v>774144</v>
      </c>
      <c r="G4477" s="825"/>
      <c r="H4477" s="825">
        <f t="shared" si="514"/>
        <v>774144</v>
      </c>
      <c r="I4477" s="825"/>
      <c r="J4477" s="825"/>
      <c r="K4477" s="825"/>
      <c r="L4477" s="825"/>
      <c r="M4477" s="825"/>
      <c r="N4477" s="825"/>
      <c r="O4477" s="826">
        <f t="shared" si="512"/>
        <v>774144</v>
      </c>
      <c r="P4477" s="702"/>
      <c r="Q4477" s="1821"/>
      <c r="R4477" s="1821"/>
      <c r="S4477" s="1821"/>
      <c r="T4477" s="1821"/>
      <c r="U4477" s="1821"/>
      <c r="V4477" s="1821"/>
      <c r="W4477" s="1821"/>
      <c r="X4477" s="1821"/>
      <c r="Y4477" s="1821"/>
      <c r="Z4477" s="1821"/>
      <c r="AA4477" s="1821"/>
      <c r="AB4477" s="1821"/>
      <c r="AC4477" s="1821"/>
      <c r="AD4477" s="1821"/>
      <c r="AE4477" s="1821"/>
      <c r="AF4477" s="1821"/>
      <c r="AG4477" s="1821"/>
      <c r="AH4477" s="1821"/>
      <c r="AI4477" s="1821"/>
      <c r="AJ4477" s="1821"/>
      <c r="AK4477" s="1821"/>
      <c r="AL4477" s="1821"/>
      <c r="AM4477" s="1821"/>
      <c r="AN4477" s="1821"/>
      <c r="AO4477" s="1821"/>
      <c r="AP4477" s="1821"/>
      <c r="AQ4477" s="1821"/>
      <c r="AR4477" s="1821"/>
      <c r="AS4477" s="1821"/>
      <c r="AT4477" s="1821"/>
      <c r="AU4477" s="1821"/>
      <c r="AV4477" s="1821"/>
      <c r="AW4477" s="1821"/>
      <c r="AX4477" s="1821"/>
      <c r="AY4477" s="1821"/>
      <c r="AZ4477" s="1821"/>
      <c r="BA4477" s="1821"/>
      <c r="BB4477" s="1821"/>
      <c r="BC4477" s="1821"/>
      <c r="BD4477" s="1821"/>
      <c r="BE4477" s="1821"/>
      <c r="BF4477" s="1821"/>
      <c r="BG4477" s="1821"/>
      <c r="BH4477" s="1821"/>
      <c r="BI4477" s="1821"/>
      <c r="BJ4477" s="1821"/>
      <c r="BK4477" s="1821"/>
      <c r="BL4477" s="1821"/>
      <c r="BM4477" s="1821"/>
      <c r="BN4477" s="1821"/>
      <c r="BO4477" s="1821"/>
      <c r="BP4477" s="1821"/>
      <c r="BQ4477" s="1821"/>
      <c r="BR4477" s="1821"/>
      <c r="BS4477" s="1821"/>
      <c r="BT4477" s="1821"/>
      <c r="BU4477" s="1821"/>
      <c r="BV4477" s="1821"/>
      <c r="BW4477" s="1821"/>
      <c r="BX4477" s="1821"/>
      <c r="BY4477" s="1821"/>
      <c r="BZ4477" s="1821"/>
      <c r="CA4477" s="1821"/>
      <c r="CB4477" s="1821"/>
      <c r="CC4477" s="1821"/>
      <c r="CD4477" s="1821"/>
      <c r="CE4477" s="1821"/>
      <c r="CF4477" s="1821"/>
      <c r="CG4477" s="1821"/>
      <c r="CH4477" s="1821"/>
      <c r="CI4477" s="1821"/>
      <c r="CJ4477" s="1821"/>
      <c r="CK4477" s="1821"/>
    </row>
    <row r="4478" spans="1:89" s="675" customFormat="1" ht="16.5" customHeight="1" x14ac:dyDescent="0.25">
      <c r="A4478" s="849"/>
      <c r="B4478" s="1061" t="s">
        <v>1409</v>
      </c>
      <c r="C4478" s="835">
        <v>84</v>
      </c>
      <c r="D4478" s="1062" t="s">
        <v>20</v>
      </c>
      <c r="E4478" s="825">
        <v>2095</v>
      </c>
      <c r="F4478" s="825">
        <f t="shared" si="513"/>
        <v>175980</v>
      </c>
      <c r="G4478" s="825"/>
      <c r="H4478" s="825">
        <f t="shared" si="514"/>
        <v>175980</v>
      </c>
      <c r="I4478" s="825"/>
      <c r="J4478" s="825"/>
      <c r="K4478" s="825"/>
      <c r="L4478" s="825"/>
      <c r="M4478" s="825"/>
      <c r="N4478" s="825"/>
      <c r="O4478" s="826">
        <f t="shared" si="512"/>
        <v>175980</v>
      </c>
      <c r="P4478" s="702"/>
      <c r="Q4478" s="1821"/>
      <c r="R4478" s="1821"/>
      <c r="S4478" s="1821"/>
      <c r="T4478" s="1821"/>
      <c r="U4478" s="1821"/>
      <c r="V4478" s="1821"/>
      <c r="W4478" s="1821"/>
      <c r="X4478" s="1821"/>
      <c r="Y4478" s="1821"/>
      <c r="Z4478" s="1821"/>
      <c r="AA4478" s="1821"/>
      <c r="AB4478" s="1821"/>
      <c r="AC4478" s="1821"/>
      <c r="AD4478" s="1821"/>
      <c r="AE4478" s="1821"/>
      <c r="AF4478" s="1821"/>
      <c r="AG4478" s="1821"/>
      <c r="AH4478" s="1821"/>
      <c r="AI4478" s="1821"/>
      <c r="AJ4478" s="1821"/>
      <c r="AK4478" s="1821"/>
      <c r="AL4478" s="1821"/>
      <c r="AM4478" s="1821"/>
      <c r="AN4478" s="1821"/>
      <c r="AO4478" s="1821"/>
      <c r="AP4478" s="1821"/>
      <c r="AQ4478" s="1821"/>
      <c r="AR4478" s="1821"/>
      <c r="AS4478" s="1821"/>
      <c r="AT4478" s="1821"/>
      <c r="AU4478" s="1821"/>
      <c r="AV4478" s="1821"/>
      <c r="AW4478" s="1821"/>
      <c r="AX4478" s="1821"/>
      <c r="AY4478" s="1821"/>
      <c r="AZ4478" s="1821"/>
      <c r="BA4478" s="1821"/>
      <c r="BB4478" s="1821"/>
      <c r="BC4478" s="1821"/>
      <c r="BD4478" s="1821"/>
      <c r="BE4478" s="1821"/>
      <c r="BF4478" s="1821"/>
      <c r="BG4478" s="1821"/>
      <c r="BH4478" s="1821"/>
      <c r="BI4478" s="1821"/>
      <c r="BJ4478" s="1821"/>
      <c r="BK4478" s="1821"/>
      <c r="BL4478" s="1821"/>
      <c r="BM4478" s="1821"/>
      <c r="BN4478" s="1821"/>
      <c r="BO4478" s="1821"/>
      <c r="BP4478" s="1821"/>
      <c r="BQ4478" s="1821"/>
      <c r="BR4478" s="1821"/>
      <c r="BS4478" s="1821"/>
      <c r="BT4478" s="1821"/>
      <c r="BU4478" s="1821"/>
      <c r="BV4478" s="1821"/>
      <c r="BW4478" s="1821"/>
      <c r="BX4478" s="1821"/>
      <c r="BY4478" s="1821"/>
      <c r="BZ4478" s="1821"/>
      <c r="CA4478" s="1821"/>
      <c r="CB4478" s="1821"/>
      <c r="CC4478" s="1821"/>
      <c r="CD4478" s="1821"/>
      <c r="CE4478" s="1821"/>
      <c r="CF4478" s="1821"/>
      <c r="CG4478" s="1821"/>
      <c r="CH4478" s="1821"/>
      <c r="CI4478" s="1821"/>
      <c r="CJ4478" s="1821"/>
      <c r="CK4478" s="1821"/>
    </row>
    <row r="4479" spans="1:89" s="675" customFormat="1" ht="16.5" customHeight="1" x14ac:dyDescent="0.25">
      <c r="A4479" s="849"/>
      <c r="B4479" s="1061" t="s">
        <v>1410</v>
      </c>
      <c r="C4479" s="835">
        <v>96</v>
      </c>
      <c r="D4479" s="1062" t="s">
        <v>20</v>
      </c>
      <c r="E4479" s="825">
        <v>1904</v>
      </c>
      <c r="F4479" s="825">
        <f t="shared" si="513"/>
        <v>182784</v>
      </c>
      <c r="G4479" s="825"/>
      <c r="H4479" s="825">
        <f t="shared" si="514"/>
        <v>182784</v>
      </c>
      <c r="I4479" s="825"/>
      <c r="J4479" s="825"/>
      <c r="K4479" s="825"/>
      <c r="L4479" s="825"/>
      <c r="M4479" s="825"/>
      <c r="N4479" s="825"/>
      <c r="O4479" s="826">
        <f t="shared" si="512"/>
        <v>182784</v>
      </c>
      <c r="P4479" s="702"/>
      <c r="Q4479" s="1821"/>
      <c r="R4479" s="1821"/>
      <c r="S4479" s="1821"/>
      <c r="T4479" s="1821"/>
      <c r="U4479" s="1821"/>
      <c r="V4479" s="1821"/>
      <c r="W4479" s="1821"/>
      <c r="X4479" s="1821"/>
      <c r="Y4479" s="1821"/>
      <c r="Z4479" s="1821"/>
      <c r="AA4479" s="1821"/>
      <c r="AB4479" s="1821"/>
      <c r="AC4479" s="1821"/>
      <c r="AD4479" s="1821"/>
      <c r="AE4479" s="1821"/>
      <c r="AF4479" s="1821"/>
      <c r="AG4479" s="1821"/>
      <c r="AH4479" s="1821"/>
      <c r="AI4479" s="1821"/>
      <c r="AJ4479" s="1821"/>
      <c r="AK4479" s="1821"/>
      <c r="AL4479" s="1821"/>
      <c r="AM4479" s="1821"/>
      <c r="AN4479" s="1821"/>
      <c r="AO4479" s="1821"/>
      <c r="AP4479" s="1821"/>
      <c r="AQ4479" s="1821"/>
      <c r="AR4479" s="1821"/>
      <c r="AS4479" s="1821"/>
      <c r="AT4479" s="1821"/>
      <c r="AU4479" s="1821"/>
      <c r="AV4479" s="1821"/>
      <c r="AW4479" s="1821"/>
      <c r="AX4479" s="1821"/>
      <c r="AY4479" s="1821"/>
      <c r="AZ4479" s="1821"/>
      <c r="BA4479" s="1821"/>
      <c r="BB4479" s="1821"/>
      <c r="BC4479" s="1821"/>
      <c r="BD4479" s="1821"/>
      <c r="BE4479" s="1821"/>
      <c r="BF4479" s="1821"/>
      <c r="BG4479" s="1821"/>
      <c r="BH4479" s="1821"/>
      <c r="BI4479" s="1821"/>
      <c r="BJ4479" s="1821"/>
      <c r="BK4479" s="1821"/>
      <c r="BL4479" s="1821"/>
      <c r="BM4479" s="1821"/>
      <c r="BN4479" s="1821"/>
      <c r="BO4479" s="1821"/>
      <c r="BP4479" s="1821"/>
      <c r="BQ4479" s="1821"/>
      <c r="BR4479" s="1821"/>
      <c r="BS4479" s="1821"/>
      <c r="BT4479" s="1821"/>
      <c r="BU4479" s="1821"/>
      <c r="BV4479" s="1821"/>
      <c r="BW4479" s="1821"/>
      <c r="BX4479" s="1821"/>
      <c r="BY4479" s="1821"/>
      <c r="BZ4479" s="1821"/>
      <c r="CA4479" s="1821"/>
      <c r="CB4479" s="1821"/>
      <c r="CC4479" s="1821"/>
      <c r="CD4479" s="1821"/>
      <c r="CE4479" s="1821"/>
      <c r="CF4479" s="1821"/>
      <c r="CG4479" s="1821"/>
      <c r="CH4479" s="1821"/>
      <c r="CI4479" s="1821"/>
      <c r="CJ4479" s="1821"/>
      <c r="CK4479" s="1821"/>
    </row>
    <row r="4480" spans="1:89" s="675" customFormat="1" ht="16.5" customHeight="1" x14ac:dyDescent="0.25">
      <c r="A4480" s="849"/>
      <c r="B4480" s="1061"/>
      <c r="C4480" s="835"/>
      <c r="D4480" s="1062"/>
      <c r="E4480" s="825"/>
      <c r="F4480" s="825"/>
      <c r="G4480" s="825"/>
      <c r="H4480" s="825"/>
      <c r="I4480" s="825"/>
      <c r="J4480" s="825"/>
      <c r="K4480" s="825"/>
      <c r="L4480" s="825"/>
      <c r="M4480" s="825"/>
      <c r="N4480" s="825"/>
      <c r="O4480" s="826"/>
      <c r="P4480" s="702"/>
      <c r="Q4480" s="1821"/>
      <c r="R4480" s="1821"/>
      <c r="S4480" s="1821"/>
      <c r="T4480" s="1821"/>
      <c r="U4480" s="1821"/>
      <c r="V4480" s="1821"/>
      <c r="W4480" s="1821"/>
      <c r="X4480" s="1821"/>
      <c r="Y4480" s="1821"/>
      <c r="Z4480" s="1821"/>
      <c r="AA4480" s="1821"/>
      <c r="AB4480" s="1821"/>
      <c r="AC4480" s="1821"/>
      <c r="AD4480" s="1821"/>
      <c r="AE4480" s="1821"/>
      <c r="AF4480" s="1821"/>
      <c r="AG4480" s="1821"/>
      <c r="AH4480" s="1821"/>
      <c r="AI4480" s="1821"/>
      <c r="AJ4480" s="1821"/>
      <c r="AK4480" s="1821"/>
      <c r="AL4480" s="1821"/>
      <c r="AM4480" s="1821"/>
      <c r="AN4480" s="1821"/>
      <c r="AO4480" s="1821"/>
      <c r="AP4480" s="1821"/>
      <c r="AQ4480" s="1821"/>
      <c r="AR4480" s="1821"/>
      <c r="AS4480" s="1821"/>
      <c r="AT4480" s="1821"/>
      <c r="AU4480" s="1821"/>
      <c r="AV4480" s="1821"/>
      <c r="AW4480" s="1821"/>
      <c r="AX4480" s="1821"/>
      <c r="AY4480" s="1821"/>
      <c r="AZ4480" s="1821"/>
      <c r="BA4480" s="1821"/>
      <c r="BB4480" s="1821"/>
      <c r="BC4480" s="1821"/>
      <c r="BD4480" s="1821"/>
      <c r="BE4480" s="1821"/>
      <c r="BF4480" s="1821"/>
      <c r="BG4480" s="1821"/>
      <c r="BH4480" s="1821"/>
      <c r="BI4480" s="1821"/>
      <c r="BJ4480" s="1821"/>
      <c r="BK4480" s="1821"/>
      <c r="BL4480" s="1821"/>
      <c r="BM4480" s="1821"/>
      <c r="BN4480" s="1821"/>
      <c r="BO4480" s="1821"/>
      <c r="BP4480" s="1821"/>
      <c r="BQ4480" s="1821"/>
      <c r="BR4480" s="1821"/>
      <c r="BS4480" s="1821"/>
      <c r="BT4480" s="1821"/>
      <c r="BU4480" s="1821"/>
      <c r="BV4480" s="1821"/>
      <c r="BW4480" s="1821"/>
      <c r="BX4480" s="1821"/>
      <c r="BY4480" s="1821"/>
      <c r="BZ4480" s="1821"/>
      <c r="CA4480" s="1821"/>
      <c r="CB4480" s="1821"/>
      <c r="CC4480" s="1821"/>
      <c r="CD4480" s="1821"/>
      <c r="CE4480" s="1821"/>
      <c r="CF4480" s="1821"/>
      <c r="CG4480" s="1821"/>
      <c r="CH4480" s="1821"/>
      <c r="CI4480" s="1821"/>
      <c r="CJ4480" s="1821"/>
      <c r="CK4480" s="1821"/>
    </row>
    <row r="4481" spans="1:89" s="675" customFormat="1" ht="16.5" customHeight="1" x14ac:dyDescent="0.25">
      <c r="A4481" s="849"/>
      <c r="B4481" s="1061"/>
      <c r="C4481" s="835"/>
      <c r="D4481" s="1062"/>
      <c r="E4481" s="825"/>
      <c r="F4481" s="825"/>
      <c r="G4481" s="825"/>
      <c r="H4481" s="825"/>
      <c r="I4481" s="825"/>
      <c r="J4481" s="825"/>
      <c r="K4481" s="825"/>
      <c r="L4481" s="825"/>
      <c r="M4481" s="825"/>
      <c r="N4481" s="825"/>
      <c r="O4481" s="826"/>
      <c r="P4481" s="702"/>
      <c r="Q4481" s="1821"/>
      <c r="R4481" s="1821"/>
      <c r="S4481" s="1821"/>
      <c r="T4481" s="1821"/>
      <c r="U4481" s="1821"/>
      <c r="V4481" s="1821"/>
      <c r="W4481" s="1821"/>
      <c r="X4481" s="1821"/>
      <c r="Y4481" s="1821"/>
      <c r="Z4481" s="1821"/>
      <c r="AA4481" s="1821"/>
      <c r="AB4481" s="1821"/>
      <c r="AC4481" s="1821"/>
      <c r="AD4481" s="1821"/>
      <c r="AE4481" s="1821"/>
      <c r="AF4481" s="1821"/>
      <c r="AG4481" s="1821"/>
      <c r="AH4481" s="1821"/>
      <c r="AI4481" s="1821"/>
      <c r="AJ4481" s="1821"/>
      <c r="AK4481" s="1821"/>
      <c r="AL4481" s="1821"/>
      <c r="AM4481" s="1821"/>
      <c r="AN4481" s="1821"/>
      <c r="AO4481" s="1821"/>
      <c r="AP4481" s="1821"/>
      <c r="AQ4481" s="1821"/>
      <c r="AR4481" s="1821"/>
      <c r="AS4481" s="1821"/>
      <c r="AT4481" s="1821"/>
      <c r="AU4481" s="1821"/>
      <c r="AV4481" s="1821"/>
      <c r="AW4481" s="1821"/>
      <c r="AX4481" s="1821"/>
      <c r="AY4481" s="1821"/>
      <c r="AZ4481" s="1821"/>
      <c r="BA4481" s="1821"/>
      <c r="BB4481" s="1821"/>
      <c r="BC4481" s="1821"/>
      <c r="BD4481" s="1821"/>
      <c r="BE4481" s="1821"/>
      <c r="BF4481" s="1821"/>
      <c r="BG4481" s="1821"/>
      <c r="BH4481" s="1821"/>
      <c r="BI4481" s="1821"/>
      <c r="BJ4481" s="1821"/>
      <c r="BK4481" s="1821"/>
      <c r="BL4481" s="1821"/>
      <c r="BM4481" s="1821"/>
      <c r="BN4481" s="1821"/>
      <c r="BO4481" s="1821"/>
      <c r="BP4481" s="1821"/>
      <c r="BQ4481" s="1821"/>
      <c r="BR4481" s="1821"/>
      <c r="BS4481" s="1821"/>
      <c r="BT4481" s="1821"/>
      <c r="BU4481" s="1821"/>
      <c r="BV4481" s="1821"/>
      <c r="BW4481" s="1821"/>
      <c r="BX4481" s="1821"/>
      <c r="BY4481" s="1821"/>
      <c r="BZ4481" s="1821"/>
      <c r="CA4481" s="1821"/>
      <c r="CB4481" s="1821"/>
      <c r="CC4481" s="1821"/>
      <c r="CD4481" s="1821"/>
      <c r="CE4481" s="1821"/>
      <c r="CF4481" s="1821"/>
      <c r="CG4481" s="1821"/>
      <c r="CH4481" s="1821"/>
      <c r="CI4481" s="1821"/>
      <c r="CJ4481" s="1821"/>
      <c r="CK4481" s="1821"/>
    </row>
    <row r="4482" spans="1:89" s="675" customFormat="1" ht="16.5" customHeight="1" x14ac:dyDescent="0.25">
      <c r="A4482" s="849">
        <v>512412</v>
      </c>
      <c r="B4482" s="1061" t="s">
        <v>508</v>
      </c>
      <c r="C4482" s="835"/>
      <c r="D4482" s="1062"/>
      <c r="E4482" s="825"/>
      <c r="F4482" s="825"/>
      <c r="G4482" s="825"/>
      <c r="H4482" s="825"/>
      <c r="I4482" s="825"/>
      <c r="J4482" s="825"/>
      <c r="K4482" s="825"/>
      <c r="L4482" s="825"/>
      <c r="M4482" s="825"/>
      <c r="N4482" s="825"/>
      <c r="O4482" s="826">
        <f t="shared" si="501"/>
        <v>0</v>
      </c>
      <c r="P4482" s="702"/>
      <c r="Q4482" s="1821"/>
      <c r="R4482" s="1821"/>
      <c r="S4482" s="1821"/>
      <c r="T4482" s="1821"/>
      <c r="U4482" s="1821"/>
      <c r="V4482" s="1821"/>
      <c r="W4482" s="1821"/>
      <c r="X4482" s="1821"/>
      <c r="Y4482" s="1821"/>
      <c r="Z4482" s="1821"/>
      <c r="AA4482" s="1821"/>
      <c r="AB4482" s="1821"/>
      <c r="AC4482" s="1821"/>
      <c r="AD4482" s="1821"/>
      <c r="AE4482" s="1821"/>
      <c r="AF4482" s="1821"/>
      <c r="AG4482" s="1821"/>
      <c r="AH4482" s="1821"/>
      <c r="AI4482" s="1821"/>
      <c r="AJ4482" s="1821"/>
      <c r="AK4482" s="1821"/>
      <c r="AL4482" s="1821"/>
      <c r="AM4482" s="1821"/>
      <c r="AN4482" s="1821"/>
      <c r="AO4482" s="1821"/>
      <c r="AP4482" s="1821"/>
      <c r="AQ4482" s="1821"/>
      <c r="AR4482" s="1821"/>
      <c r="AS4482" s="1821"/>
      <c r="AT4482" s="1821"/>
      <c r="AU4482" s="1821"/>
      <c r="AV4482" s="1821"/>
      <c r="AW4482" s="1821"/>
      <c r="AX4482" s="1821"/>
      <c r="AY4482" s="1821"/>
      <c r="AZ4482" s="1821"/>
      <c r="BA4482" s="1821"/>
      <c r="BB4482" s="1821"/>
      <c r="BC4482" s="1821"/>
      <c r="BD4482" s="1821"/>
      <c r="BE4482" s="1821"/>
      <c r="BF4482" s="1821"/>
      <c r="BG4482" s="1821"/>
      <c r="BH4482" s="1821"/>
      <c r="BI4482" s="1821"/>
      <c r="BJ4482" s="1821"/>
      <c r="BK4482" s="1821"/>
      <c r="BL4482" s="1821"/>
      <c r="BM4482" s="1821"/>
      <c r="BN4482" s="1821"/>
      <c r="BO4482" s="1821"/>
      <c r="BP4482" s="1821"/>
      <c r="BQ4482" s="1821"/>
      <c r="BR4482" s="1821"/>
      <c r="BS4482" s="1821"/>
      <c r="BT4482" s="1821"/>
      <c r="BU4482" s="1821"/>
      <c r="BV4482" s="1821"/>
      <c r="BW4482" s="1821"/>
      <c r="BX4482" s="1821"/>
      <c r="BY4482" s="1821"/>
      <c r="BZ4482" s="1821"/>
      <c r="CA4482" s="1821"/>
      <c r="CB4482" s="1821"/>
      <c r="CC4482" s="1821"/>
      <c r="CD4482" s="1821"/>
      <c r="CE4482" s="1821"/>
      <c r="CF4482" s="1821"/>
      <c r="CG4482" s="1821"/>
      <c r="CH4482" s="1821"/>
      <c r="CI4482" s="1821"/>
      <c r="CJ4482" s="1821"/>
      <c r="CK4482" s="1821"/>
    </row>
    <row r="4483" spans="1:89" s="675" customFormat="1" ht="16.5" customHeight="1" x14ac:dyDescent="0.25">
      <c r="A4483" s="849"/>
      <c r="B4483" s="1061" t="s">
        <v>2247</v>
      </c>
      <c r="C4483" s="835"/>
      <c r="D4483" s="1062"/>
      <c r="E4483" s="825"/>
      <c r="F4483" s="825"/>
      <c r="G4483" s="825"/>
      <c r="H4483" s="825"/>
      <c r="I4483" s="825"/>
      <c r="J4483" s="825"/>
      <c r="K4483" s="825"/>
      <c r="L4483" s="825"/>
      <c r="M4483" s="825"/>
      <c r="N4483" s="825"/>
      <c r="O4483" s="826">
        <f t="shared" si="501"/>
        <v>0</v>
      </c>
      <c r="P4483" s="702"/>
      <c r="Q4483" s="1821"/>
      <c r="R4483" s="1821"/>
      <c r="S4483" s="1821"/>
      <c r="T4483" s="1821"/>
      <c r="U4483" s="1821"/>
      <c r="V4483" s="1821"/>
      <c r="W4483" s="1821"/>
      <c r="X4483" s="1821"/>
      <c r="Y4483" s="1821"/>
      <c r="Z4483" s="1821"/>
      <c r="AA4483" s="1821"/>
      <c r="AB4483" s="1821"/>
      <c r="AC4483" s="1821"/>
      <c r="AD4483" s="1821"/>
      <c r="AE4483" s="1821"/>
      <c r="AF4483" s="1821"/>
      <c r="AG4483" s="1821"/>
      <c r="AH4483" s="1821"/>
      <c r="AI4483" s="1821"/>
      <c r="AJ4483" s="1821"/>
      <c r="AK4483" s="1821"/>
      <c r="AL4483" s="1821"/>
      <c r="AM4483" s="1821"/>
      <c r="AN4483" s="1821"/>
      <c r="AO4483" s="1821"/>
      <c r="AP4483" s="1821"/>
      <c r="AQ4483" s="1821"/>
      <c r="AR4483" s="1821"/>
      <c r="AS4483" s="1821"/>
      <c r="AT4483" s="1821"/>
      <c r="AU4483" s="1821"/>
      <c r="AV4483" s="1821"/>
      <c r="AW4483" s="1821"/>
      <c r="AX4483" s="1821"/>
      <c r="AY4483" s="1821"/>
      <c r="AZ4483" s="1821"/>
      <c r="BA4483" s="1821"/>
      <c r="BB4483" s="1821"/>
      <c r="BC4483" s="1821"/>
      <c r="BD4483" s="1821"/>
      <c r="BE4483" s="1821"/>
      <c r="BF4483" s="1821"/>
      <c r="BG4483" s="1821"/>
      <c r="BH4483" s="1821"/>
      <c r="BI4483" s="1821"/>
      <c r="BJ4483" s="1821"/>
      <c r="BK4483" s="1821"/>
      <c r="BL4483" s="1821"/>
      <c r="BM4483" s="1821"/>
      <c r="BN4483" s="1821"/>
      <c r="BO4483" s="1821"/>
      <c r="BP4483" s="1821"/>
      <c r="BQ4483" s="1821"/>
      <c r="BR4483" s="1821"/>
      <c r="BS4483" s="1821"/>
      <c r="BT4483" s="1821"/>
      <c r="BU4483" s="1821"/>
      <c r="BV4483" s="1821"/>
      <c r="BW4483" s="1821"/>
      <c r="BX4483" s="1821"/>
      <c r="BY4483" s="1821"/>
      <c r="BZ4483" s="1821"/>
      <c r="CA4483" s="1821"/>
      <c r="CB4483" s="1821"/>
      <c r="CC4483" s="1821"/>
      <c r="CD4483" s="1821"/>
      <c r="CE4483" s="1821"/>
      <c r="CF4483" s="1821"/>
      <c r="CG4483" s="1821"/>
      <c r="CH4483" s="1821"/>
      <c r="CI4483" s="1821"/>
      <c r="CJ4483" s="1821"/>
      <c r="CK4483" s="1821"/>
    </row>
    <row r="4484" spans="1:89" s="675" customFormat="1" ht="16.5" customHeight="1" x14ac:dyDescent="0.25">
      <c r="A4484" s="849"/>
      <c r="B4484" s="1061" t="s">
        <v>509</v>
      </c>
      <c r="C4484" s="835">
        <v>1</v>
      </c>
      <c r="D4484" s="1062" t="s">
        <v>25</v>
      </c>
      <c r="E4484" s="825">
        <v>500000</v>
      </c>
      <c r="F4484" s="825">
        <f>E4484*C4484</f>
        <v>500000</v>
      </c>
      <c r="G4484" s="825"/>
      <c r="H4484" s="825">
        <f>G4484+F4484</f>
        <v>500000</v>
      </c>
      <c r="I4484" s="825"/>
      <c r="J4484" s="825"/>
      <c r="K4484" s="825"/>
      <c r="L4484" s="825"/>
      <c r="M4484" s="825"/>
      <c r="N4484" s="825"/>
      <c r="O4484" s="826">
        <f t="shared" si="501"/>
        <v>500000</v>
      </c>
      <c r="P4484" s="702"/>
      <c r="Q4484" s="1821"/>
      <c r="R4484" s="1821"/>
      <c r="S4484" s="1821"/>
      <c r="T4484" s="1821"/>
      <c r="U4484" s="1821"/>
      <c r="V4484" s="1821"/>
      <c r="W4484" s="1821"/>
      <c r="X4484" s="1821"/>
      <c r="Y4484" s="1821"/>
      <c r="Z4484" s="1821"/>
      <c r="AA4484" s="1821"/>
      <c r="AB4484" s="1821"/>
      <c r="AC4484" s="1821"/>
      <c r="AD4484" s="1821"/>
      <c r="AE4484" s="1821"/>
      <c r="AF4484" s="1821"/>
      <c r="AG4484" s="1821"/>
      <c r="AH4484" s="1821"/>
      <c r="AI4484" s="1821"/>
      <c r="AJ4484" s="1821"/>
      <c r="AK4484" s="1821"/>
      <c r="AL4484" s="1821"/>
      <c r="AM4484" s="1821"/>
      <c r="AN4484" s="1821"/>
      <c r="AO4484" s="1821"/>
      <c r="AP4484" s="1821"/>
      <c r="AQ4484" s="1821"/>
      <c r="AR4484" s="1821"/>
      <c r="AS4484" s="1821"/>
      <c r="AT4484" s="1821"/>
      <c r="AU4484" s="1821"/>
      <c r="AV4484" s="1821"/>
      <c r="AW4484" s="1821"/>
      <c r="AX4484" s="1821"/>
      <c r="AY4484" s="1821"/>
      <c r="AZ4484" s="1821"/>
      <c r="BA4484" s="1821"/>
      <c r="BB4484" s="1821"/>
      <c r="BC4484" s="1821"/>
      <c r="BD4484" s="1821"/>
      <c r="BE4484" s="1821"/>
      <c r="BF4484" s="1821"/>
      <c r="BG4484" s="1821"/>
      <c r="BH4484" s="1821"/>
      <c r="BI4484" s="1821"/>
      <c r="BJ4484" s="1821"/>
      <c r="BK4484" s="1821"/>
      <c r="BL4484" s="1821"/>
      <c r="BM4484" s="1821"/>
      <c r="BN4484" s="1821"/>
      <c r="BO4484" s="1821"/>
      <c r="BP4484" s="1821"/>
      <c r="BQ4484" s="1821"/>
      <c r="BR4484" s="1821"/>
      <c r="BS4484" s="1821"/>
      <c r="BT4484" s="1821"/>
      <c r="BU4484" s="1821"/>
      <c r="BV4484" s="1821"/>
      <c r="BW4484" s="1821"/>
      <c r="BX4484" s="1821"/>
      <c r="BY4484" s="1821"/>
      <c r="BZ4484" s="1821"/>
      <c r="CA4484" s="1821"/>
      <c r="CB4484" s="1821"/>
      <c r="CC4484" s="1821"/>
      <c r="CD4484" s="1821"/>
      <c r="CE4484" s="1821"/>
      <c r="CF4484" s="1821"/>
      <c r="CG4484" s="1821"/>
      <c r="CH4484" s="1821"/>
      <c r="CI4484" s="1821"/>
      <c r="CJ4484" s="1821"/>
      <c r="CK4484" s="1821"/>
    </row>
    <row r="4485" spans="1:89" s="675" customFormat="1" ht="16.5" customHeight="1" x14ac:dyDescent="0.25">
      <c r="A4485" s="849"/>
      <c r="B4485" s="1061"/>
      <c r="C4485" s="835"/>
      <c r="D4485" s="1062"/>
      <c r="E4485" s="825"/>
      <c r="F4485" s="825"/>
      <c r="G4485" s="825"/>
      <c r="H4485" s="825"/>
      <c r="I4485" s="825"/>
      <c r="J4485" s="825"/>
      <c r="K4485" s="825"/>
      <c r="L4485" s="825"/>
      <c r="M4485" s="825"/>
      <c r="N4485" s="825"/>
      <c r="O4485" s="826"/>
      <c r="P4485" s="702"/>
      <c r="Q4485" s="1821"/>
      <c r="R4485" s="1821"/>
      <c r="S4485" s="1821"/>
      <c r="T4485" s="1821"/>
      <c r="U4485" s="1821"/>
      <c r="V4485" s="1821"/>
      <c r="W4485" s="1821"/>
      <c r="X4485" s="1821"/>
      <c r="Y4485" s="1821"/>
      <c r="Z4485" s="1821"/>
      <c r="AA4485" s="1821"/>
      <c r="AB4485" s="1821"/>
      <c r="AC4485" s="1821"/>
      <c r="AD4485" s="1821"/>
      <c r="AE4485" s="1821"/>
      <c r="AF4485" s="1821"/>
      <c r="AG4485" s="1821"/>
      <c r="AH4485" s="1821"/>
      <c r="AI4485" s="1821"/>
      <c r="AJ4485" s="1821"/>
      <c r="AK4485" s="1821"/>
      <c r="AL4485" s="1821"/>
      <c r="AM4485" s="1821"/>
      <c r="AN4485" s="1821"/>
      <c r="AO4485" s="1821"/>
      <c r="AP4485" s="1821"/>
      <c r="AQ4485" s="1821"/>
      <c r="AR4485" s="1821"/>
      <c r="AS4485" s="1821"/>
      <c r="AT4485" s="1821"/>
      <c r="AU4485" s="1821"/>
      <c r="AV4485" s="1821"/>
      <c r="AW4485" s="1821"/>
      <c r="AX4485" s="1821"/>
      <c r="AY4485" s="1821"/>
      <c r="AZ4485" s="1821"/>
      <c r="BA4485" s="1821"/>
      <c r="BB4485" s="1821"/>
      <c r="BC4485" s="1821"/>
      <c r="BD4485" s="1821"/>
      <c r="BE4485" s="1821"/>
      <c r="BF4485" s="1821"/>
      <c r="BG4485" s="1821"/>
      <c r="BH4485" s="1821"/>
      <c r="BI4485" s="1821"/>
      <c r="BJ4485" s="1821"/>
      <c r="BK4485" s="1821"/>
      <c r="BL4485" s="1821"/>
      <c r="BM4485" s="1821"/>
      <c r="BN4485" s="1821"/>
      <c r="BO4485" s="1821"/>
      <c r="BP4485" s="1821"/>
      <c r="BQ4485" s="1821"/>
      <c r="BR4485" s="1821"/>
      <c r="BS4485" s="1821"/>
      <c r="BT4485" s="1821"/>
      <c r="BU4485" s="1821"/>
      <c r="BV4485" s="1821"/>
      <c r="BW4485" s="1821"/>
      <c r="BX4485" s="1821"/>
      <c r="BY4485" s="1821"/>
      <c r="BZ4485" s="1821"/>
      <c r="CA4485" s="1821"/>
      <c r="CB4485" s="1821"/>
      <c r="CC4485" s="1821"/>
      <c r="CD4485" s="1821"/>
      <c r="CE4485" s="1821"/>
      <c r="CF4485" s="1821"/>
      <c r="CG4485" s="1821"/>
      <c r="CH4485" s="1821"/>
      <c r="CI4485" s="1821"/>
      <c r="CJ4485" s="1821"/>
      <c r="CK4485" s="1821"/>
    </row>
    <row r="4486" spans="1:89" s="675" customFormat="1" ht="16.5" customHeight="1" x14ac:dyDescent="0.25">
      <c r="A4486" s="849"/>
      <c r="B4486" s="1061"/>
      <c r="C4486" s="835"/>
      <c r="D4486" s="1062"/>
      <c r="E4486" s="825"/>
      <c r="F4486" s="825"/>
      <c r="G4486" s="825"/>
      <c r="H4486" s="825"/>
      <c r="I4486" s="825"/>
      <c r="J4486" s="825"/>
      <c r="K4486" s="825"/>
      <c r="L4486" s="825"/>
      <c r="M4486" s="825"/>
      <c r="N4486" s="825"/>
      <c r="O4486" s="826"/>
      <c r="P4486" s="702"/>
      <c r="Q4486" s="1821"/>
      <c r="R4486" s="1821"/>
      <c r="S4486" s="1821"/>
      <c r="T4486" s="1821"/>
      <c r="U4486" s="1821"/>
      <c r="V4486" s="1821"/>
      <c r="W4486" s="1821"/>
      <c r="X4486" s="1821"/>
      <c r="Y4486" s="1821"/>
      <c r="Z4486" s="1821"/>
      <c r="AA4486" s="1821"/>
      <c r="AB4486" s="1821"/>
      <c r="AC4486" s="1821"/>
      <c r="AD4486" s="1821"/>
      <c r="AE4486" s="1821"/>
      <c r="AF4486" s="1821"/>
      <c r="AG4486" s="1821"/>
      <c r="AH4486" s="1821"/>
      <c r="AI4486" s="1821"/>
      <c r="AJ4486" s="1821"/>
      <c r="AK4486" s="1821"/>
      <c r="AL4486" s="1821"/>
      <c r="AM4486" s="1821"/>
      <c r="AN4486" s="1821"/>
      <c r="AO4486" s="1821"/>
      <c r="AP4486" s="1821"/>
      <c r="AQ4486" s="1821"/>
      <c r="AR4486" s="1821"/>
      <c r="AS4486" s="1821"/>
      <c r="AT4486" s="1821"/>
      <c r="AU4486" s="1821"/>
      <c r="AV4486" s="1821"/>
      <c r="AW4486" s="1821"/>
      <c r="AX4486" s="1821"/>
      <c r="AY4486" s="1821"/>
      <c r="AZ4486" s="1821"/>
      <c r="BA4486" s="1821"/>
      <c r="BB4486" s="1821"/>
      <c r="BC4486" s="1821"/>
      <c r="BD4486" s="1821"/>
      <c r="BE4486" s="1821"/>
      <c r="BF4486" s="1821"/>
      <c r="BG4486" s="1821"/>
      <c r="BH4486" s="1821"/>
      <c r="BI4486" s="1821"/>
      <c r="BJ4486" s="1821"/>
      <c r="BK4486" s="1821"/>
      <c r="BL4486" s="1821"/>
      <c r="BM4486" s="1821"/>
      <c r="BN4486" s="1821"/>
      <c r="BO4486" s="1821"/>
      <c r="BP4486" s="1821"/>
      <c r="BQ4486" s="1821"/>
      <c r="BR4486" s="1821"/>
      <c r="BS4486" s="1821"/>
      <c r="BT4486" s="1821"/>
      <c r="BU4486" s="1821"/>
      <c r="BV4486" s="1821"/>
      <c r="BW4486" s="1821"/>
      <c r="BX4486" s="1821"/>
      <c r="BY4486" s="1821"/>
      <c r="BZ4486" s="1821"/>
      <c r="CA4486" s="1821"/>
      <c r="CB4486" s="1821"/>
      <c r="CC4486" s="1821"/>
      <c r="CD4486" s="1821"/>
      <c r="CE4486" s="1821"/>
      <c r="CF4486" s="1821"/>
      <c r="CG4486" s="1821"/>
      <c r="CH4486" s="1821"/>
      <c r="CI4486" s="1821"/>
      <c r="CJ4486" s="1821"/>
      <c r="CK4486" s="1821"/>
    </row>
    <row r="4487" spans="1:89" s="675" customFormat="1" ht="16.5" customHeight="1" x14ac:dyDescent="0.25">
      <c r="A4487" s="849" t="s">
        <v>270</v>
      </c>
      <c r="B4487" s="1061" t="s">
        <v>510</v>
      </c>
      <c r="C4487" s="835"/>
      <c r="D4487" s="1062"/>
      <c r="E4487" s="825"/>
      <c r="F4487" s="825"/>
      <c r="G4487" s="825"/>
      <c r="H4487" s="825"/>
      <c r="I4487" s="825"/>
      <c r="J4487" s="825"/>
      <c r="K4487" s="825"/>
      <c r="L4487" s="825"/>
      <c r="M4487" s="825"/>
      <c r="N4487" s="825"/>
      <c r="O4487" s="826">
        <f t="shared" si="501"/>
        <v>0</v>
      </c>
      <c r="P4487" s="702"/>
      <c r="Q4487" s="1821"/>
      <c r="R4487" s="1821"/>
      <c r="S4487" s="1821"/>
      <c r="T4487" s="1821"/>
      <c r="U4487" s="1821"/>
      <c r="V4487" s="1821"/>
      <c r="W4487" s="1821"/>
      <c r="X4487" s="1821"/>
      <c r="Y4487" s="1821"/>
      <c r="Z4487" s="1821"/>
      <c r="AA4487" s="1821"/>
      <c r="AB4487" s="1821"/>
      <c r="AC4487" s="1821"/>
      <c r="AD4487" s="1821"/>
      <c r="AE4487" s="1821"/>
      <c r="AF4487" s="1821"/>
      <c r="AG4487" s="1821"/>
      <c r="AH4487" s="1821"/>
      <c r="AI4487" s="1821"/>
      <c r="AJ4487" s="1821"/>
      <c r="AK4487" s="1821"/>
      <c r="AL4487" s="1821"/>
      <c r="AM4487" s="1821"/>
      <c r="AN4487" s="1821"/>
      <c r="AO4487" s="1821"/>
      <c r="AP4487" s="1821"/>
      <c r="AQ4487" s="1821"/>
      <c r="AR4487" s="1821"/>
      <c r="AS4487" s="1821"/>
      <c r="AT4487" s="1821"/>
      <c r="AU4487" s="1821"/>
      <c r="AV4487" s="1821"/>
      <c r="AW4487" s="1821"/>
      <c r="AX4487" s="1821"/>
      <c r="AY4487" s="1821"/>
      <c r="AZ4487" s="1821"/>
      <c r="BA4487" s="1821"/>
      <c r="BB4487" s="1821"/>
      <c r="BC4487" s="1821"/>
      <c r="BD4487" s="1821"/>
      <c r="BE4487" s="1821"/>
      <c r="BF4487" s="1821"/>
      <c r="BG4487" s="1821"/>
      <c r="BH4487" s="1821"/>
      <c r="BI4487" s="1821"/>
      <c r="BJ4487" s="1821"/>
      <c r="BK4487" s="1821"/>
      <c r="BL4487" s="1821"/>
      <c r="BM4487" s="1821"/>
      <c r="BN4487" s="1821"/>
      <c r="BO4487" s="1821"/>
      <c r="BP4487" s="1821"/>
      <c r="BQ4487" s="1821"/>
      <c r="BR4487" s="1821"/>
      <c r="BS4487" s="1821"/>
      <c r="BT4487" s="1821"/>
      <c r="BU4487" s="1821"/>
      <c r="BV4487" s="1821"/>
      <c r="BW4487" s="1821"/>
      <c r="BX4487" s="1821"/>
      <c r="BY4487" s="1821"/>
      <c r="BZ4487" s="1821"/>
      <c r="CA4487" s="1821"/>
      <c r="CB4487" s="1821"/>
      <c r="CC4487" s="1821"/>
      <c r="CD4487" s="1821"/>
      <c r="CE4487" s="1821"/>
      <c r="CF4487" s="1821"/>
      <c r="CG4487" s="1821"/>
      <c r="CH4487" s="1821"/>
      <c r="CI4487" s="1821"/>
      <c r="CJ4487" s="1821"/>
      <c r="CK4487" s="1821"/>
    </row>
    <row r="4488" spans="1:89" s="675" customFormat="1" ht="16.5" customHeight="1" x14ac:dyDescent="0.25">
      <c r="A4488" s="849" t="s">
        <v>272</v>
      </c>
      <c r="B4488" s="1061" t="s">
        <v>511</v>
      </c>
      <c r="C4488" s="835"/>
      <c r="D4488" s="1062"/>
      <c r="E4488" s="825"/>
      <c r="F4488" s="825"/>
      <c r="G4488" s="825"/>
      <c r="H4488" s="825"/>
      <c r="I4488" s="825"/>
      <c r="J4488" s="825"/>
      <c r="K4488" s="825"/>
      <c r="L4488" s="825"/>
      <c r="M4488" s="825"/>
      <c r="N4488" s="825"/>
      <c r="O4488" s="826"/>
      <c r="P4488" s="702"/>
      <c r="Q4488" s="1821"/>
      <c r="R4488" s="1821"/>
      <c r="S4488" s="1821"/>
      <c r="T4488" s="1821"/>
      <c r="U4488" s="1821"/>
      <c r="V4488" s="1821"/>
      <c r="W4488" s="1821"/>
      <c r="X4488" s="1821"/>
      <c r="Y4488" s="1821"/>
      <c r="Z4488" s="1821"/>
      <c r="AA4488" s="1821"/>
      <c r="AB4488" s="1821"/>
      <c r="AC4488" s="1821"/>
      <c r="AD4488" s="1821"/>
      <c r="AE4488" s="1821"/>
      <c r="AF4488" s="1821"/>
      <c r="AG4488" s="1821"/>
      <c r="AH4488" s="1821"/>
      <c r="AI4488" s="1821"/>
      <c r="AJ4488" s="1821"/>
      <c r="AK4488" s="1821"/>
      <c r="AL4488" s="1821"/>
      <c r="AM4488" s="1821"/>
      <c r="AN4488" s="1821"/>
      <c r="AO4488" s="1821"/>
      <c r="AP4488" s="1821"/>
      <c r="AQ4488" s="1821"/>
      <c r="AR4488" s="1821"/>
      <c r="AS4488" s="1821"/>
      <c r="AT4488" s="1821"/>
      <c r="AU4488" s="1821"/>
      <c r="AV4488" s="1821"/>
      <c r="AW4488" s="1821"/>
      <c r="AX4488" s="1821"/>
      <c r="AY4488" s="1821"/>
      <c r="AZ4488" s="1821"/>
      <c r="BA4488" s="1821"/>
      <c r="BB4488" s="1821"/>
      <c r="BC4488" s="1821"/>
      <c r="BD4488" s="1821"/>
      <c r="BE4488" s="1821"/>
      <c r="BF4488" s="1821"/>
      <c r="BG4488" s="1821"/>
      <c r="BH4488" s="1821"/>
      <c r="BI4488" s="1821"/>
      <c r="BJ4488" s="1821"/>
      <c r="BK4488" s="1821"/>
      <c r="BL4488" s="1821"/>
      <c r="BM4488" s="1821"/>
      <c r="BN4488" s="1821"/>
      <c r="BO4488" s="1821"/>
      <c r="BP4488" s="1821"/>
      <c r="BQ4488" s="1821"/>
      <c r="BR4488" s="1821"/>
      <c r="BS4488" s="1821"/>
      <c r="BT4488" s="1821"/>
      <c r="BU4488" s="1821"/>
      <c r="BV4488" s="1821"/>
      <c r="BW4488" s="1821"/>
      <c r="BX4488" s="1821"/>
      <c r="BY4488" s="1821"/>
      <c r="BZ4488" s="1821"/>
      <c r="CA4488" s="1821"/>
      <c r="CB4488" s="1821"/>
      <c r="CC4488" s="1821"/>
      <c r="CD4488" s="1821"/>
      <c r="CE4488" s="1821"/>
      <c r="CF4488" s="1821"/>
      <c r="CG4488" s="1821"/>
      <c r="CH4488" s="1821"/>
      <c r="CI4488" s="1821"/>
      <c r="CJ4488" s="1821"/>
      <c r="CK4488" s="1821"/>
    </row>
    <row r="4489" spans="1:89" s="675" customFormat="1" ht="16.5" customHeight="1" x14ac:dyDescent="0.25">
      <c r="A4489" s="849"/>
      <c r="B4489" s="1061" t="s">
        <v>512</v>
      </c>
      <c r="C4489" s="835"/>
      <c r="D4489" s="1062"/>
      <c r="E4489" s="825"/>
      <c r="F4489" s="825"/>
      <c r="G4489" s="825"/>
      <c r="H4489" s="825"/>
      <c r="I4489" s="825">
        <f>E4489*C4489</f>
        <v>0</v>
      </c>
      <c r="J4489" s="825"/>
      <c r="K4489" s="825">
        <f t="shared" ref="K4489:K4501" si="515">J4489+I4489</f>
        <v>0</v>
      </c>
      <c r="L4489" s="825"/>
      <c r="M4489" s="825"/>
      <c r="N4489" s="825"/>
      <c r="O4489" s="826">
        <f t="shared" si="501"/>
        <v>0</v>
      </c>
      <c r="P4489" s="702"/>
      <c r="Q4489" s="1821"/>
      <c r="R4489" s="1821"/>
      <c r="S4489" s="1821"/>
      <c r="T4489" s="1821"/>
      <c r="U4489" s="1821"/>
      <c r="V4489" s="1821"/>
      <c r="W4489" s="1821"/>
      <c r="X4489" s="1821"/>
      <c r="Y4489" s="1821"/>
      <c r="Z4489" s="1821"/>
      <c r="AA4489" s="1821"/>
      <c r="AB4489" s="1821"/>
      <c r="AC4489" s="1821"/>
      <c r="AD4489" s="1821"/>
      <c r="AE4489" s="1821"/>
      <c r="AF4489" s="1821"/>
      <c r="AG4489" s="1821"/>
      <c r="AH4489" s="1821"/>
      <c r="AI4489" s="1821"/>
      <c r="AJ4489" s="1821"/>
      <c r="AK4489" s="1821"/>
      <c r="AL4489" s="1821"/>
      <c r="AM4489" s="1821"/>
      <c r="AN4489" s="1821"/>
      <c r="AO4489" s="1821"/>
      <c r="AP4489" s="1821"/>
      <c r="AQ4489" s="1821"/>
      <c r="AR4489" s="1821"/>
      <c r="AS4489" s="1821"/>
      <c r="AT4489" s="1821"/>
      <c r="AU4489" s="1821"/>
      <c r="AV4489" s="1821"/>
      <c r="AW4489" s="1821"/>
      <c r="AX4489" s="1821"/>
      <c r="AY4489" s="1821"/>
      <c r="AZ4489" s="1821"/>
      <c r="BA4489" s="1821"/>
      <c r="BB4489" s="1821"/>
      <c r="BC4489" s="1821"/>
      <c r="BD4489" s="1821"/>
      <c r="BE4489" s="1821"/>
      <c r="BF4489" s="1821"/>
      <c r="BG4489" s="1821"/>
      <c r="BH4489" s="1821"/>
      <c r="BI4489" s="1821"/>
      <c r="BJ4489" s="1821"/>
      <c r="BK4489" s="1821"/>
      <c r="BL4489" s="1821"/>
      <c r="BM4489" s="1821"/>
      <c r="BN4489" s="1821"/>
      <c r="BO4489" s="1821"/>
      <c r="BP4489" s="1821"/>
      <c r="BQ4489" s="1821"/>
      <c r="BR4489" s="1821"/>
      <c r="BS4489" s="1821"/>
      <c r="BT4489" s="1821"/>
      <c r="BU4489" s="1821"/>
      <c r="BV4489" s="1821"/>
      <c r="BW4489" s="1821"/>
      <c r="BX4489" s="1821"/>
      <c r="BY4489" s="1821"/>
      <c r="BZ4489" s="1821"/>
      <c r="CA4489" s="1821"/>
      <c r="CB4489" s="1821"/>
      <c r="CC4489" s="1821"/>
      <c r="CD4489" s="1821"/>
      <c r="CE4489" s="1821"/>
      <c r="CF4489" s="1821"/>
      <c r="CG4489" s="1821"/>
      <c r="CH4489" s="1821"/>
      <c r="CI4489" s="1821"/>
      <c r="CJ4489" s="1821"/>
      <c r="CK4489" s="1821"/>
    </row>
    <row r="4490" spans="1:89" s="675" customFormat="1" ht="16.5" customHeight="1" x14ac:dyDescent="0.25">
      <c r="A4490" s="849"/>
      <c r="B4490" s="1061" t="s">
        <v>2247</v>
      </c>
      <c r="C4490" s="835"/>
      <c r="D4490" s="1062"/>
      <c r="E4490" s="825"/>
      <c r="F4490" s="825"/>
      <c r="G4490" s="825"/>
      <c r="H4490" s="825"/>
      <c r="I4490" s="825">
        <f t="shared" ref="I4490:I4558" si="516">E4490*C4490</f>
        <v>0</v>
      </c>
      <c r="J4490" s="825"/>
      <c r="K4490" s="825"/>
      <c r="L4490" s="825"/>
      <c r="M4490" s="825"/>
      <c r="N4490" s="825"/>
      <c r="O4490" s="826">
        <f t="shared" si="501"/>
        <v>0</v>
      </c>
      <c r="P4490" s="702"/>
      <c r="Q4490" s="1821"/>
      <c r="R4490" s="1821"/>
      <c r="S4490" s="1821"/>
      <c r="T4490" s="1821"/>
      <c r="U4490" s="1821"/>
      <c r="V4490" s="1821"/>
      <c r="W4490" s="1821"/>
      <c r="X4490" s="1821"/>
      <c r="Y4490" s="1821"/>
      <c r="Z4490" s="1821"/>
      <c r="AA4490" s="1821"/>
      <c r="AB4490" s="1821"/>
      <c r="AC4490" s="1821"/>
      <c r="AD4490" s="1821"/>
      <c r="AE4490" s="1821"/>
      <c r="AF4490" s="1821"/>
      <c r="AG4490" s="1821"/>
      <c r="AH4490" s="1821"/>
      <c r="AI4490" s="1821"/>
      <c r="AJ4490" s="1821"/>
      <c r="AK4490" s="1821"/>
      <c r="AL4490" s="1821"/>
      <c r="AM4490" s="1821"/>
      <c r="AN4490" s="1821"/>
      <c r="AO4490" s="1821"/>
      <c r="AP4490" s="1821"/>
      <c r="AQ4490" s="1821"/>
      <c r="AR4490" s="1821"/>
      <c r="AS4490" s="1821"/>
      <c r="AT4490" s="1821"/>
      <c r="AU4490" s="1821"/>
      <c r="AV4490" s="1821"/>
      <c r="AW4490" s="1821"/>
      <c r="AX4490" s="1821"/>
      <c r="AY4490" s="1821"/>
      <c r="AZ4490" s="1821"/>
      <c r="BA4490" s="1821"/>
      <c r="BB4490" s="1821"/>
      <c r="BC4490" s="1821"/>
      <c r="BD4490" s="1821"/>
      <c r="BE4490" s="1821"/>
      <c r="BF4490" s="1821"/>
      <c r="BG4490" s="1821"/>
      <c r="BH4490" s="1821"/>
      <c r="BI4490" s="1821"/>
      <c r="BJ4490" s="1821"/>
      <c r="BK4490" s="1821"/>
      <c r="BL4490" s="1821"/>
      <c r="BM4490" s="1821"/>
      <c r="BN4490" s="1821"/>
      <c r="BO4490" s="1821"/>
      <c r="BP4490" s="1821"/>
      <c r="BQ4490" s="1821"/>
      <c r="BR4490" s="1821"/>
      <c r="BS4490" s="1821"/>
      <c r="BT4490" s="1821"/>
      <c r="BU4490" s="1821"/>
      <c r="BV4490" s="1821"/>
      <c r="BW4490" s="1821"/>
      <c r="BX4490" s="1821"/>
      <c r="BY4490" s="1821"/>
      <c r="BZ4490" s="1821"/>
      <c r="CA4490" s="1821"/>
      <c r="CB4490" s="1821"/>
      <c r="CC4490" s="1821"/>
      <c r="CD4490" s="1821"/>
      <c r="CE4490" s="1821"/>
      <c r="CF4490" s="1821"/>
      <c r="CG4490" s="1821"/>
      <c r="CH4490" s="1821"/>
      <c r="CI4490" s="1821"/>
      <c r="CJ4490" s="1821"/>
      <c r="CK4490" s="1821"/>
    </row>
    <row r="4491" spans="1:89" s="675" customFormat="1" ht="16.5" customHeight="1" x14ac:dyDescent="0.25">
      <c r="A4491" s="849"/>
      <c r="B4491" s="1061" t="s">
        <v>513</v>
      </c>
      <c r="C4491" s="835">
        <v>1</v>
      </c>
      <c r="D4491" s="1062" t="s">
        <v>25</v>
      </c>
      <c r="E4491" s="825">
        <v>50330</v>
      </c>
      <c r="F4491" s="825"/>
      <c r="G4491" s="825"/>
      <c r="H4491" s="825"/>
      <c r="I4491" s="825">
        <f t="shared" si="516"/>
        <v>50330</v>
      </c>
      <c r="J4491" s="825"/>
      <c r="K4491" s="825">
        <f t="shared" si="515"/>
        <v>50330</v>
      </c>
      <c r="L4491" s="825"/>
      <c r="M4491" s="825"/>
      <c r="N4491" s="825"/>
      <c r="O4491" s="826">
        <f t="shared" si="501"/>
        <v>50330</v>
      </c>
      <c r="P4491" s="702"/>
      <c r="Q4491" s="1821"/>
      <c r="R4491" s="1821"/>
      <c r="S4491" s="1821"/>
      <c r="T4491" s="1821"/>
      <c r="U4491" s="1821"/>
      <c r="V4491" s="1821"/>
      <c r="W4491" s="1821"/>
      <c r="X4491" s="1821"/>
      <c r="Y4491" s="1821"/>
      <c r="Z4491" s="1821"/>
      <c r="AA4491" s="1821"/>
      <c r="AB4491" s="1821"/>
      <c r="AC4491" s="1821"/>
      <c r="AD4491" s="1821"/>
      <c r="AE4491" s="1821"/>
      <c r="AF4491" s="1821"/>
      <c r="AG4491" s="1821"/>
      <c r="AH4491" s="1821"/>
      <c r="AI4491" s="1821"/>
      <c r="AJ4491" s="1821"/>
      <c r="AK4491" s="1821"/>
      <c r="AL4491" s="1821"/>
      <c r="AM4491" s="1821"/>
      <c r="AN4491" s="1821"/>
      <c r="AO4491" s="1821"/>
      <c r="AP4491" s="1821"/>
      <c r="AQ4491" s="1821"/>
      <c r="AR4491" s="1821"/>
      <c r="AS4491" s="1821"/>
      <c r="AT4491" s="1821"/>
      <c r="AU4491" s="1821"/>
      <c r="AV4491" s="1821"/>
      <c r="AW4491" s="1821"/>
      <c r="AX4491" s="1821"/>
      <c r="AY4491" s="1821"/>
      <c r="AZ4491" s="1821"/>
      <c r="BA4491" s="1821"/>
      <c r="BB4491" s="1821"/>
      <c r="BC4491" s="1821"/>
      <c r="BD4491" s="1821"/>
      <c r="BE4491" s="1821"/>
      <c r="BF4491" s="1821"/>
      <c r="BG4491" s="1821"/>
      <c r="BH4491" s="1821"/>
      <c r="BI4491" s="1821"/>
      <c r="BJ4491" s="1821"/>
      <c r="BK4491" s="1821"/>
      <c r="BL4491" s="1821"/>
      <c r="BM4491" s="1821"/>
      <c r="BN4491" s="1821"/>
      <c r="BO4491" s="1821"/>
      <c r="BP4491" s="1821"/>
      <c r="BQ4491" s="1821"/>
      <c r="BR4491" s="1821"/>
      <c r="BS4491" s="1821"/>
      <c r="BT4491" s="1821"/>
      <c r="BU4491" s="1821"/>
      <c r="BV4491" s="1821"/>
      <c r="BW4491" s="1821"/>
      <c r="BX4491" s="1821"/>
      <c r="BY4491" s="1821"/>
      <c r="BZ4491" s="1821"/>
      <c r="CA4491" s="1821"/>
      <c r="CB4491" s="1821"/>
      <c r="CC4491" s="1821"/>
      <c r="CD4491" s="1821"/>
      <c r="CE4491" s="1821"/>
      <c r="CF4491" s="1821"/>
      <c r="CG4491" s="1821"/>
      <c r="CH4491" s="1821"/>
      <c r="CI4491" s="1821"/>
      <c r="CJ4491" s="1821"/>
      <c r="CK4491" s="1821"/>
    </row>
    <row r="4492" spans="1:89" s="675" customFormat="1" ht="16.5" customHeight="1" x14ac:dyDescent="0.25">
      <c r="A4492" s="849"/>
      <c r="B4492" s="1061" t="s">
        <v>514</v>
      </c>
      <c r="C4492" s="835">
        <v>116</v>
      </c>
      <c r="D4492" s="1062" t="s">
        <v>51</v>
      </c>
      <c r="E4492" s="825">
        <v>570</v>
      </c>
      <c r="F4492" s="825"/>
      <c r="G4492" s="825"/>
      <c r="H4492" s="825"/>
      <c r="I4492" s="825">
        <f t="shared" si="516"/>
        <v>66120</v>
      </c>
      <c r="J4492" s="825"/>
      <c r="K4492" s="825">
        <f t="shared" si="515"/>
        <v>66120</v>
      </c>
      <c r="L4492" s="825"/>
      <c r="M4492" s="825"/>
      <c r="N4492" s="825"/>
      <c r="O4492" s="826">
        <f t="shared" si="501"/>
        <v>66120</v>
      </c>
      <c r="P4492" s="702"/>
      <c r="Q4492" s="1821"/>
      <c r="R4492" s="1821"/>
      <c r="S4492" s="1821"/>
      <c r="T4492" s="1821"/>
      <c r="U4492" s="1821"/>
      <c r="V4492" s="1821"/>
      <c r="W4492" s="1821"/>
      <c r="X4492" s="1821"/>
      <c r="Y4492" s="1821"/>
      <c r="Z4492" s="1821"/>
      <c r="AA4492" s="1821"/>
      <c r="AB4492" s="1821"/>
      <c r="AC4492" s="1821"/>
      <c r="AD4492" s="1821"/>
      <c r="AE4492" s="1821"/>
      <c r="AF4492" s="1821"/>
      <c r="AG4492" s="1821"/>
      <c r="AH4492" s="1821"/>
      <c r="AI4492" s="1821"/>
      <c r="AJ4492" s="1821"/>
      <c r="AK4492" s="1821"/>
      <c r="AL4492" s="1821"/>
      <c r="AM4492" s="1821"/>
      <c r="AN4492" s="1821"/>
      <c r="AO4492" s="1821"/>
      <c r="AP4492" s="1821"/>
      <c r="AQ4492" s="1821"/>
      <c r="AR4492" s="1821"/>
      <c r="AS4492" s="1821"/>
      <c r="AT4492" s="1821"/>
      <c r="AU4492" s="1821"/>
      <c r="AV4492" s="1821"/>
      <c r="AW4492" s="1821"/>
      <c r="AX4492" s="1821"/>
      <c r="AY4492" s="1821"/>
      <c r="AZ4492" s="1821"/>
      <c r="BA4492" s="1821"/>
      <c r="BB4492" s="1821"/>
      <c r="BC4492" s="1821"/>
      <c r="BD4492" s="1821"/>
      <c r="BE4492" s="1821"/>
      <c r="BF4492" s="1821"/>
      <c r="BG4492" s="1821"/>
      <c r="BH4492" s="1821"/>
      <c r="BI4492" s="1821"/>
      <c r="BJ4492" s="1821"/>
      <c r="BK4492" s="1821"/>
      <c r="BL4492" s="1821"/>
      <c r="BM4492" s="1821"/>
      <c r="BN4492" s="1821"/>
      <c r="BO4492" s="1821"/>
      <c r="BP4492" s="1821"/>
      <c r="BQ4492" s="1821"/>
      <c r="BR4492" s="1821"/>
      <c r="BS4492" s="1821"/>
      <c r="BT4492" s="1821"/>
      <c r="BU4492" s="1821"/>
      <c r="BV4492" s="1821"/>
      <c r="BW4492" s="1821"/>
      <c r="BX4492" s="1821"/>
      <c r="BY4492" s="1821"/>
      <c r="BZ4492" s="1821"/>
      <c r="CA4492" s="1821"/>
      <c r="CB4492" s="1821"/>
      <c r="CC4492" s="1821"/>
      <c r="CD4492" s="1821"/>
      <c r="CE4492" s="1821"/>
      <c r="CF4492" s="1821"/>
      <c r="CG4492" s="1821"/>
      <c r="CH4492" s="1821"/>
      <c r="CI4492" s="1821"/>
      <c r="CJ4492" s="1821"/>
      <c r="CK4492" s="1821"/>
    </row>
    <row r="4493" spans="1:89" s="675" customFormat="1" ht="16.5" customHeight="1" x14ac:dyDescent="0.25">
      <c r="A4493" s="849"/>
      <c r="B4493" s="1061" t="s">
        <v>515</v>
      </c>
      <c r="C4493" s="835">
        <v>18</v>
      </c>
      <c r="D4493" s="1062" t="s">
        <v>51</v>
      </c>
      <c r="E4493" s="825">
        <v>580</v>
      </c>
      <c r="F4493" s="825"/>
      <c r="G4493" s="825"/>
      <c r="H4493" s="825"/>
      <c r="I4493" s="825">
        <f t="shared" si="516"/>
        <v>10440</v>
      </c>
      <c r="J4493" s="825"/>
      <c r="K4493" s="825">
        <f t="shared" si="515"/>
        <v>10440</v>
      </c>
      <c r="L4493" s="825"/>
      <c r="M4493" s="825"/>
      <c r="N4493" s="825"/>
      <c r="O4493" s="826">
        <f t="shared" si="501"/>
        <v>10440</v>
      </c>
      <c r="P4493" s="702"/>
      <c r="Q4493" s="1821"/>
      <c r="R4493" s="1821"/>
      <c r="S4493" s="1821"/>
      <c r="T4493" s="1821"/>
      <c r="U4493" s="1821"/>
      <c r="V4493" s="1821"/>
      <c r="W4493" s="1821"/>
      <c r="X4493" s="1821"/>
      <c r="Y4493" s="1821"/>
      <c r="Z4493" s="1821"/>
      <c r="AA4493" s="1821"/>
      <c r="AB4493" s="1821"/>
      <c r="AC4493" s="1821"/>
      <c r="AD4493" s="1821"/>
      <c r="AE4493" s="1821"/>
      <c r="AF4493" s="1821"/>
      <c r="AG4493" s="1821"/>
      <c r="AH4493" s="1821"/>
      <c r="AI4493" s="1821"/>
      <c r="AJ4493" s="1821"/>
      <c r="AK4493" s="1821"/>
      <c r="AL4493" s="1821"/>
      <c r="AM4493" s="1821"/>
      <c r="AN4493" s="1821"/>
      <c r="AO4493" s="1821"/>
      <c r="AP4493" s="1821"/>
      <c r="AQ4493" s="1821"/>
      <c r="AR4493" s="1821"/>
      <c r="AS4493" s="1821"/>
      <c r="AT4493" s="1821"/>
      <c r="AU4493" s="1821"/>
      <c r="AV4493" s="1821"/>
      <c r="AW4493" s="1821"/>
      <c r="AX4493" s="1821"/>
      <c r="AY4493" s="1821"/>
      <c r="AZ4493" s="1821"/>
      <c r="BA4493" s="1821"/>
      <c r="BB4493" s="1821"/>
      <c r="BC4493" s="1821"/>
      <c r="BD4493" s="1821"/>
      <c r="BE4493" s="1821"/>
      <c r="BF4493" s="1821"/>
      <c r="BG4493" s="1821"/>
      <c r="BH4493" s="1821"/>
      <c r="BI4493" s="1821"/>
      <c r="BJ4493" s="1821"/>
      <c r="BK4493" s="1821"/>
      <c r="BL4493" s="1821"/>
      <c r="BM4493" s="1821"/>
      <c r="BN4493" s="1821"/>
      <c r="BO4493" s="1821"/>
      <c r="BP4493" s="1821"/>
      <c r="BQ4493" s="1821"/>
      <c r="BR4493" s="1821"/>
      <c r="BS4493" s="1821"/>
      <c r="BT4493" s="1821"/>
      <c r="BU4493" s="1821"/>
      <c r="BV4493" s="1821"/>
      <c r="BW4493" s="1821"/>
      <c r="BX4493" s="1821"/>
      <c r="BY4493" s="1821"/>
      <c r="BZ4493" s="1821"/>
      <c r="CA4493" s="1821"/>
      <c r="CB4493" s="1821"/>
      <c r="CC4493" s="1821"/>
      <c r="CD4493" s="1821"/>
      <c r="CE4493" s="1821"/>
      <c r="CF4493" s="1821"/>
      <c r="CG4493" s="1821"/>
      <c r="CH4493" s="1821"/>
      <c r="CI4493" s="1821"/>
      <c r="CJ4493" s="1821"/>
      <c r="CK4493" s="1821"/>
    </row>
    <row r="4494" spans="1:89" s="675" customFormat="1" ht="16.5" customHeight="1" x14ac:dyDescent="0.25">
      <c r="A4494" s="849"/>
      <c r="B4494" s="1061" t="s">
        <v>516</v>
      </c>
      <c r="C4494" s="835">
        <v>116</v>
      </c>
      <c r="D4494" s="1062" t="s">
        <v>51</v>
      </c>
      <c r="E4494" s="825">
        <v>570</v>
      </c>
      <c r="F4494" s="825"/>
      <c r="G4494" s="825"/>
      <c r="H4494" s="825"/>
      <c r="I4494" s="825">
        <f t="shared" si="516"/>
        <v>66120</v>
      </c>
      <c r="J4494" s="825"/>
      <c r="K4494" s="825">
        <f t="shared" si="515"/>
        <v>66120</v>
      </c>
      <c r="L4494" s="825"/>
      <c r="M4494" s="825"/>
      <c r="N4494" s="825"/>
      <c r="O4494" s="826">
        <f t="shared" ref="O4494:O4501" si="517">N4494+K4494+H4494</f>
        <v>66120</v>
      </c>
      <c r="P4494" s="702"/>
      <c r="Q4494" s="1821"/>
      <c r="R4494" s="1821"/>
      <c r="S4494" s="1821"/>
      <c r="T4494" s="1821"/>
      <c r="U4494" s="1821"/>
      <c r="V4494" s="1821"/>
      <c r="W4494" s="1821"/>
      <c r="X4494" s="1821"/>
      <c r="Y4494" s="1821"/>
      <c r="Z4494" s="1821"/>
      <c r="AA4494" s="1821"/>
      <c r="AB4494" s="1821"/>
      <c r="AC4494" s="1821"/>
      <c r="AD4494" s="1821"/>
      <c r="AE4494" s="1821"/>
      <c r="AF4494" s="1821"/>
      <c r="AG4494" s="1821"/>
      <c r="AH4494" s="1821"/>
      <c r="AI4494" s="1821"/>
      <c r="AJ4494" s="1821"/>
      <c r="AK4494" s="1821"/>
      <c r="AL4494" s="1821"/>
      <c r="AM4494" s="1821"/>
      <c r="AN4494" s="1821"/>
      <c r="AO4494" s="1821"/>
      <c r="AP4494" s="1821"/>
      <c r="AQ4494" s="1821"/>
      <c r="AR4494" s="1821"/>
      <c r="AS4494" s="1821"/>
      <c r="AT4494" s="1821"/>
      <c r="AU4494" s="1821"/>
      <c r="AV4494" s="1821"/>
      <c r="AW4494" s="1821"/>
      <c r="AX4494" s="1821"/>
      <c r="AY4494" s="1821"/>
      <c r="AZ4494" s="1821"/>
      <c r="BA4494" s="1821"/>
      <c r="BB4494" s="1821"/>
      <c r="BC4494" s="1821"/>
      <c r="BD4494" s="1821"/>
      <c r="BE4494" s="1821"/>
      <c r="BF4494" s="1821"/>
      <c r="BG4494" s="1821"/>
      <c r="BH4494" s="1821"/>
      <c r="BI4494" s="1821"/>
      <c r="BJ4494" s="1821"/>
      <c r="BK4494" s="1821"/>
      <c r="BL4494" s="1821"/>
      <c r="BM4494" s="1821"/>
      <c r="BN4494" s="1821"/>
      <c r="BO4494" s="1821"/>
      <c r="BP4494" s="1821"/>
      <c r="BQ4494" s="1821"/>
      <c r="BR4494" s="1821"/>
      <c r="BS4494" s="1821"/>
      <c r="BT4494" s="1821"/>
      <c r="BU4494" s="1821"/>
      <c r="BV4494" s="1821"/>
      <c r="BW4494" s="1821"/>
      <c r="BX4494" s="1821"/>
      <c r="BY4494" s="1821"/>
      <c r="BZ4494" s="1821"/>
      <c r="CA4494" s="1821"/>
      <c r="CB4494" s="1821"/>
      <c r="CC4494" s="1821"/>
      <c r="CD4494" s="1821"/>
      <c r="CE4494" s="1821"/>
      <c r="CF4494" s="1821"/>
      <c r="CG4494" s="1821"/>
      <c r="CH4494" s="1821"/>
      <c r="CI4494" s="1821"/>
      <c r="CJ4494" s="1821"/>
      <c r="CK4494" s="1821"/>
    </row>
    <row r="4495" spans="1:89" s="675" customFormat="1" ht="16.5" customHeight="1" x14ac:dyDescent="0.25">
      <c r="A4495" s="849"/>
      <c r="B4495" s="1061" t="s">
        <v>1411</v>
      </c>
      <c r="C4495" s="835">
        <v>8</v>
      </c>
      <c r="D4495" s="1062" t="s">
        <v>51</v>
      </c>
      <c r="E4495" s="825">
        <v>400</v>
      </c>
      <c r="F4495" s="825"/>
      <c r="G4495" s="825"/>
      <c r="H4495" s="825"/>
      <c r="I4495" s="825">
        <f t="shared" si="516"/>
        <v>3200</v>
      </c>
      <c r="J4495" s="825"/>
      <c r="K4495" s="825">
        <f t="shared" si="515"/>
        <v>3200</v>
      </c>
      <c r="L4495" s="825"/>
      <c r="M4495" s="825"/>
      <c r="N4495" s="825"/>
      <c r="O4495" s="826">
        <f t="shared" si="517"/>
        <v>3200</v>
      </c>
      <c r="P4495" s="702"/>
      <c r="Q4495" s="1821"/>
      <c r="R4495" s="1821"/>
      <c r="S4495" s="1821"/>
      <c r="T4495" s="1821"/>
      <c r="U4495" s="1821"/>
      <c r="V4495" s="1821"/>
      <c r="W4495" s="1821"/>
      <c r="X4495" s="1821"/>
      <c r="Y4495" s="1821"/>
      <c r="Z4495" s="1821"/>
      <c r="AA4495" s="1821"/>
      <c r="AB4495" s="1821"/>
      <c r="AC4495" s="1821"/>
      <c r="AD4495" s="1821"/>
      <c r="AE4495" s="1821"/>
      <c r="AF4495" s="1821"/>
      <c r="AG4495" s="1821"/>
      <c r="AH4495" s="1821"/>
      <c r="AI4495" s="1821"/>
      <c r="AJ4495" s="1821"/>
      <c r="AK4495" s="1821"/>
      <c r="AL4495" s="1821"/>
      <c r="AM4495" s="1821"/>
      <c r="AN4495" s="1821"/>
      <c r="AO4495" s="1821"/>
      <c r="AP4495" s="1821"/>
      <c r="AQ4495" s="1821"/>
      <c r="AR4495" s="1821"/>
      <c r="AS4495" s="1821"/>
      <c r="AT4495" s="1821"/>
      <c r="AU4495" s="1821"/>
      <c r="AV4495" s="1821"/>
      <c r="AW4495" s="1821"/>
      <c r="AX4495" s="1821"/>
      <c r="AY4495" s="1821"/>
      <c r="AZ4495" s="1821"/>
      <c r="BA4495" s="1821"/>
      <c r="BB4495" s="1821"/>
      <c r="BC4495" s="1821"/>
      <c r="BD4495" s="1821"/>
      <c r="BE4495" s="1821"/>
      <c r="BF4495" s="1821"/>
      <c r="BG4495" s="1821"/>
      <c r="BH4495" s="1821"/>
      <c r="BI4495" s="1821"/>
      <c r="BJ4495" s="1821"/>
      <c r="BK4495" s="1821"/>
      <c r="BL4495" s="1821"/>
      <c r="BM4495" s="1821"/>
      <c r="BN4495" s="1821"/>
      <c r="BO4495" s="1821"/>
      <c r="BP4495" s="1821"/>
      <c r="BQ4495" s="1821"/>
      <c r="BR4495" s="1821"/>
      <c r="BS4495" s="1821"/>
      <c r="BT4495" s="1821"/>
      <c r="BU4495" s="1821"/>
      <c r="BV4495" s="1821"/>
      <c r="BW4495" s="1821"/>
      <c r="BX4495" s="1821"/>
      <c r="BY4495" s="1821"/>
      <c r="BZ4495" s="1821"/>
      <c r="CA4495" s="1821"/>
      <c r="CB4495" s="1821"/>
      <c r="CC4495" s="1821"/>
      <c r="CD4495" s="1821"/>
      <c r="CE4495" s="1821"/>
      <c r="CF4495" s="1821"/>
      <c r="CG4495" s="1821"/>
      <c r="CH4495" s="1821"/>
      <c r="CI4495" s="1821"/>
      <c r="CJ4495" s="1821"/>
      <c r="CK4495" s="1821"/>
    </row>
    <row r="4496" spans="1:89" s="675" customFormat="1" ht="16.5" customHeight="1" x14ac:dyDescent="0.25">
      <c r="A4496" s="849"/>
      <c r="B4496" s="1061"/>
      <c r="C4496" s="835"/>
      <c r="D4496" s="1062"/>
      <c r="E4496" s="825"/>
      <c r="F4496" s="825"/>
      <c r="G4496" s="825"/>
      <c r="H4496" s="825"/>
      <c r="I4496" s="825"/>
      <c r="J4496" s="825"/>
      <c r="K4496" s="825">
        <f t="shared" si="515"/>
        <v>0</v>
      </c>
      <c r="L4496" s="825"/>
      <c r="M4496" s="825"/>
      <c r="N4496" s="825"/>
      <c r="O4496" s="826">
        <f t="shared" si="517"/>
        <v>0</v>
      </c>
      <c r="P4496" s="702"/>
      <c r="Q4496" s="1821"/>
      <c r="R4496" s="1821"/>
      <c r="S4496" s="1821"/>
      <c r="T4496" s="1821"/>
      <c r="U4496" s="1821"/>
      <c r="V4496" s="1821"/>
      <c r="W4496" s="1821"/>
      <c r="X4496" s="1821"/>
      <c r="Y4496" s="1821"/>
      <c r="Z4496" s="1821"/>
      <c r="AA4496" s="1821"/>
      <c r="AB4496" s="1821"/>
      <c r="AC4496" s="1821"/>
      <c r="AD4496" s="1821"/>
      <c r="AE4496" s="1821"/>
      <c r="AF4496" s="1821"/>
      <c r="AG4496" s="1821"/>
      <c r="AH4496" s="1821"/>
      <c r="AI4496" s="1821"/>
      <c r="AJ4496" s="1821"/>
      <c r="AK4496" s="1821"/>
      <c r="AL4496" s="1821"/>
      <c r="AM4496" s="1821"/>
      <c r="AN4496" s="1821"/>
      <c r="AO4496" s="1821"/>
      <c r="AP4496" s="1821"/>
      <c r="AQ4496" s="1821"/>
      <c r="AR4496" s="1821"/>
      <c r="AS4496" s="1821"/>
      <c r="AT4496" s="1821"/>
      <c r="AU4496" s="1821"/>
      <c r="AV4496" s="1821"/>
      <c r="AW4496" s="1821"/>
      <c r="AX4496" s="1821"/>
      <c r="AY4496" s="1821"/>
      <c r="AZ4496" s="1821"/>
      <c r="BA4496" s="1821"/>
      <c r="BB4496" s="1821"/>
      <c r="BC4496" s="1821"/>
      <c r="BD4496" s="1821"/>
      <c r="BE4496" s="1821"/>
      <c r="BF4496" s="1821"/>
      <c r="BG4496" s="1821"/>
      <c r="BH4496" s="1821"/>
      <c r="BI4496" s="1821"/>
      <c r="BJ4496" s="1821"/>
      <c r="BK4496" s="1821"/>
      <c r="BL4496" s="1821"/>
      <c r="BM4496" s="1821"/>
      <c r="BN4496" s="1821"/>
      <c r="BO4496" s="1821"/>
      <c r="BP4496" s="1821"/>
      <c r="BQ4496" s="1821"/>
      <c r="BR4496" s="1821"/>
      <c r="BS4496" s="1821"/>
      <c r="BT4496" s="1821"/>
      <c r="BU4496" s="1821"/>
      <c r="BV4496" s="1821"/>
      <c r="BW4496" s="1821"/>
      <c r="BX4496" s="1821"/>
      <c r="BY4496" s="1821"/>
      <c r="BZ4496" s="1821"/>
      <c r="CA4496" s="1821"/>
      <c r="CB4496" s="1821"/>
      <c r="CC4496" s="1821"/>
      <c r="CD4496" s="1821"/>
      <c r="CE4496" s="1821"/>
      <c r="CF4496" s="1821"/>
      <c r="CG4496" s="1821"/>
      <c r="CH4496" s="1821"/>
      <c r="CI4496" s="1821"/>
      <c r="CJ4496" s="1821"/>
      <c r="CK4496" s="1821"/>
    </row>
    <row r="4497" spans="1:89" s="675" customFormat="1" ht="16.5" customHeight="1" x14ac:dyDescent="0.25">
      <c r="A4497" s="849"/>
      <c r="B4497" s="1061" t="s">
        <v>517</v>
      </c>
      <c r="C4497" s="835"/>
      <c r="D4497" s="1062"/>
      <c r="E4497" s="825"/>
      <c r="F4497" s="825"/>
      <c r="G4497" s="825"/>
      <c r="H4497" s="825"/>
      <c r="I4497" s="825"/>
      <c r="J4497" s="825"/>
      <c r="K4497" s="825">
        <f t="shared" si="515"/>
        <v>0</v>
      </c>
      <c r="L4497" s="825"/>
      <c r="M4497" s="825"/>
      <c r="N4497" s="825"/>
      <c r="O4497" s="826">
        <f t="shared" si="517"/>
        <v>0</v>
      </c>
      <c r="P4497" s="702"/>
      <c r="Q4497" s="1821"/>
      <c r="R4497" s="1821"/>
      <c r="S4497" s="1821"/>
      <c r="T4497" s="1821"/>
      <c r="U4497" s="1821"/>
      <c r="V4497" s="1821"/>
      <c r="W4497" s="1821"/>
      <c r="X4497" s="1821"/>
      <c r="Y4497" s="1821"/>
      <c r="Z4497" s="1821"/>
      <c r="AA4497" s="1821"/>
      <c r="AB4497" s="1821"/>
      <c r="AC4497" s="1821"/>
      <c r="AD4497" s="1821"/>
      <c r="AE4497" s="1821"/>
      <c r="AF4497" s="1821"/>
      <c r="AG4497" s="1821"/>
      <c r="AH4497" s="1821"/>
      <c r="AI4497" s="1821"/>
      <c r="AJ4497" s="1821"/>
      <c r="AK4497" s="1821"/>
      <c r="AL4497" s="1821"/>
      <c r="AM4497" s="1821"/>
      <c r="AN4497" s="1821"/>
      <c r="AO4497" s="1821"/>
      <c r="AP4497" s="1821"/>
      <c r="AQ4497" s="1821"/>
      <c r="AR4497" s="1821"/>
      <c r="AS4497" s="1821"/>
      <c r="AT4497" s="1821"/>
      <c r="AU4497" s="1821"/>
      <c r="AV4497" s="1821"/>
      <c r="AW4497" s="1821"/>
      <c r="AX4497" s="1821"/>
      <c r="AY4497" s="1821"/>
      <c r="AZ4497" s="1821"/>
      <c r="BA4497" s="1821"/>
      <c r="BB4497" s="1821"/>
      <c r="BC4497" s="1821"/>
      <c r="BD4497" s="1821"/>
      <c r="BE4497" s="1821"/>
      <c r="BF4497" s="1821"/>
      <c r="BG4497" s="1821"/>
      <c r="BH4497" s="1821"/>
      <c r="BI4497" s="1821"/>
      <c r="BJ4497" s="1821"/>
      <c r="BK4497" s="1821"/>
      <c r="BL4497" s="1821"/>
      <c r="BM4497" s="1821"/>
      <c r="BN4497" s="1821"/>
      <c r="BO4497" s="1821"/>
      <c r="BP4497" s="1821"/>
      <c r="BQ4497" s="1821"/>
      <c r="BR4497" s="1821"/>
      <c r="BS4497" s="1821"/>
      <c r="BT4497" s="1821"/>
      <c r="BU4497" s="1821"/>
      <c r="BV4497" s="1821"/>
      <c r="BW4497" s="1821"/>
      <c r="BX4497" s="1821"/>
      <c r="BY4497" s="1821"/>
      <c r="BZ4497" s="1821"/>
      <c r="CA4497" s="1821"/>
      <c r="CB4497" s="1821"/>
      <c r="CC4497" s="1821"/>
      <c r="CD4497" s="1821"/>
      <c r="CE4497" s="1821"/>
      <c r="CF4497" s="1821"/>
      <c r="CG4497" s="1821"/>
      <c r="CH4497" s="1821"/>
      <c r="CI4497" s="1821"/>
      <c r="CJ4497" s="1821"/>
      <c r="CK4497" s="1821"/>
    </row>
    <row r="4498" spans="1:89" s="675" customFormat="1" ht="16.5" customHeight="1" x14ac:dyDescent="0.25">
      <c r="A4498" s="849"/>
      <c r="B4498" s="1061" t="s">
        <v>2247</v>
      </c>
      <c r="C4498" s="835"/>
      <c r="D4498" s="1062"/>
      <c r="E4498" s="825"/>
      <c r="F4498" s="825"/>
      <c r="G4498" s="825"/>
      <c r="H4498" s="825"/>
      <c r="I4498" s="825"/>
      <c r="J4498" s="825"/>
      <c r="K4498" s="825">
        <f t="shared" si="515"/>
        <v>0</v>
      </c>
      <c r="L4498" s="825"/>
      <c r="M4498" s="825"/>
      <c r="N4498" s="825"/>
      <c r="O4498" s="826">
        <f t="shared" si="517"/>
        <v>0</v>
      </c>
      <c r="P4498" s="702"/>
      <c r="Q4498" s="1821"/>
      <c r="R4498" s="1821"/>
      <c r="S4498" s="1821"/>
      <c r="T4498" s="1821"/>
      <c r="U4498" s="1821"/>
      <c r="V4498" s="1821"/>
      <c r="W4498" s="1821"/>
      <c r="X4498" s="1821"/>
      <c r="Y4498" s="1821"/>
      <c r="Z4498" s="1821"/>
      <c r="AA4498" s="1821"/>
      <c r="AB4498" s="1821"/>
      <c r="AC4498" s="1821"/>
      <c r="AD4498" s="1821"/>
      <c r="AE4498" s="1821"/>
      <c r="AF4498" s="1821"/>
      <c r="AG4498" s="1821"/>
      <c r="AH4498" s="1821"/>
      <c r="AI4498" s="1821"/>
      <c r="AJ4498" s="1821"/>
      <c r="AK4498" s="1821"/>
      <c r="AL4498" s="1821"/>
      <c r="AM4498" s="1821"/>
      <c r="AN4498" s="1821"/>
      <c r="AO4498" s="1821"/>
      <c r="AP4498" s="1821"/>
      <c r="AQ4498" s="1821"/>
      <c r="AR4498" s="1821"/>
      <c r="AS4498" s="1821"/>
      <c r="AT4498" s="1821"/>
      <c r="AU4498" s="1821"/>
      <c r="AV4498" s="1821"/>
      <c r="AW4498" s="1821"/>
      <c r="AX4498" s="1821"/>
      <c r="AY4498" s="1821"/>
      <c r="AZ4498" s="1821"/>
      <c r="BA4498" s="1821"/>
      <c r="BB4498" s="1821"/>
      <c r="BC4498" s="1821"/>
      <c r="BD4498" s="1821"/>
      <c r="BE4498" s="1821"/>
      <c r="BF4498" s="1821"/>
      <c r="BG4498" s="1821"/>
      <c r="BH4498" s="1821"/>
      <c r="BI4498" s="1821"/>
      <c r="BJ4498" s="1821"/>
      <c r="BK4498" s="1821"/>
      <c r="BL4498" s="1821"/>
      <c r="BM4498" s="1821"/>
      <c r="BN4498" s="1821"/>
      <c r="BO4498" s="1821"/>
      <c r="BP4498" s="1821"/>
      <c r="BQ4498" s="1821"/>
      <c r="BR4498" s="1821"/>
      <c r="BS4498" s="1821"/>
      <c r="BT4498" s="1821"/>
      <c r="BU4498" s="1821"/>
      <c r="BV4498" s="1821"/>
      <c r="BW4498" s="1821"/>
      <c r="BX4498" s="1821"/>
      <c r="BY4498" s="1821"/>
      <c r="BZ4498" s="1821"/>
      <c r="CA4498" s="1821"/>
      <c r="CB4498" s="1821"/>
      <c r="CC4498" s="1821"/>
      <c r="CD4498" s="1821"/>
      <c r="CE4498" s="1821"/>
      <c r="CF4498" s="1821"/>
      <c r="CG4498" s="1821"/>
      <c r="CH4498" s="1821"/>
      <c r="CI4498" s="1821"/>
      <c r="CJ4498" s="1821"/>
      <c r="CK4498" s="1821"/>
    </row>
    <row r="4499" spans="1:89" s="675" customFormat="1" ht="16.5" customHeight="1" x14ac:dyDescent="0.25">
      <c r="A4499" s="849"/>
      <c r="B4499" s="1061" t="s">
        <v>518</v>
      </c>
      <c r="C4499" s="835">
        <v>12</v>
      </c>
      <c r="D4499" s="1062" t="s">
        <v>438</v>
      </c>
      <c r="E4499" s="825">
        <v>2525</v>
      </c>
      <c r="F4499" s="825"/>
      <c r="G4499" s="825"/>
      <c r="H4499" s="825"/>
      <c r="I4499" s="825">
        <f t="shared" si="516"/>
        <v>30300</v>
      </c>
      <c r="J4499" s="825"/>
      <c r="K4499" s="825">
        <f t="shared" si="515"/>
        <v>30300</v>
      </c>
      <c r="L4499" s="825"/>
      <c r="M4499" s="825"/>
      <c r="N4499" s="825"/>
      <c r="O4499" s="826">
        <f t="shared" si="517"/>
        <v>30300</v>
      </c>
      <c r="P4499" s="702"/>
      <c r="Q4499" s="1821"/>
      <c r="R4499" s="1821"/>
      <c r="S4499" s="1821"/>
      <c r="T4499" s="1821"/>
      <c r="U4499" s="1821"/>
      <c r="V4499" s="1821"/>
      <c r="W4499" s="1821"/>
      <c r="X4499" s="1821"/>
      <c r="Y4499" s="1821"/>
      <c r="Z4499" s="1821"/>
      <c r="AA4499" s="1821"/>
      <c r="AB4499" s="1821"/>
      <c r="AC4499" s="1821"/>
      <c r="AD4499" s="1821"/>
      <c r="AE4499" s="1821"/>
      <c r="AF4499" s="1821"/>
      <c r="AG4499" s="1821"/>
      <c r="AH4499" s="1821"/>
      <c r="AI4499" s="1821"/>
      <c r="AJ4499" s="1821"/>
      <c r="AK4499" s="1821"/>
      <c r="AL4499" s="1821"/>
      <c r="AM4499" s="1821"/>
      <c r="AN4499" s="1821"/>
      <c r="AO4499" s="1821"/>
      <c r="AP4499" s="1821"/>
      <c r="AQ4499" s="1821"/>
      <c r="AR4499" s="1821"/>
      <c r="AS4499" s="1821"/>
      <c r="AT4499" s="1821"/>
      <c r="AU4499" s="1821"/>
      <c r="AV4499" s="1821"/>
      <c r="AW4499" s="1821"/>
      <c r="AX4499" s="1821"/>
      <c r="AY4499" s="1821"/>
      <c r="AZ4499" s="1821"/>
      <c r="BA4499" s="1821"/>
      <c r="BB4499" s="1821"/>
      <c r="BC4499" s="1821"/>
      <c r="BD4499" s="1821"/>
      <c r="BE4499" s="1821"/>
      <c r="BF4499" s="1821"/>
      <c r="BG4499" s="1821"/>
      <c r="BH4499" s="1821"/>
      <c r="BI4499" s="1821"/>
      <c r="BJ4499" s="1821"/>
      <c r="BK4499" s="1821"/>
      <c r="BL4499" s="1821"/>
      <c r="BM4499" s="1821"/>
      <c r="BN4499" s="1821"/>
      <c r="BO4499" s="1821"/>
      <c r="BP4499" s="1821"/>
      <c r="BQ4499" s="1821"/>
      <c r="BR4499" s="1821"/>
      <c r="BS4499" s="1821"/>
      <c r="BT4499" s="1821"/>
      <c r="BU4499" s="1821"/>
      <c r="BV4499" s="1821"/>
      <c r="BW4499" s="1821"/>
      <c r="BX4499" s="1821"/>
      <c r="BY4499" s="1821"/>
      <c r="BZ4499" s="1821"/>
      <c r="CA4499" s="1821"/>
      <c r="CB4499" s="1821"/>
      <c r="CC4499" s="1821"/>
      <c r="CD4499" s="1821"/>
      <c r="CE4499" s="1821"/>
      <c r="CF4499" s="1821"/>
      <c r="CG4499" s="1821"/>
      <c r="CH4499" s="1821"/>
      <c r="CI4499" s="1821"/>
      <c r="CJ4499" s="1821"/>
      <c r="CK4499" s="1821"/>
    </row>
    <row r="4500" spans="1:89" s="675" customFormat="1" ht="16.5" customHeight="1" x14ac:dyDescent="0.25">
      <c r="A4500" s="849"/>
      <c r="B4500" s="1061" t="s">
        <v>1412</v>
      </c>
      <c r="C4500" s="835">
        <v>24</v>
      </c>
      <c r="D4500" s="1062" t="s">
        <v>20</v>
      </c>
      <c r="E4500" s="825">
        <v>2710</v>
      </c>
      <c r="F4500" s="825"/>
      <c r="G4500" s="825"/>
      <c r="H4500" s="825"/>
      <c r="I4500" s="825">
        <f t="shared" si="516"/>
        <v>65040</v>
      </c>
      <c r="J4500" s="825"/>
      <c r="K4500" s="825">
        <f t="shared" si="515"/>
        <v>65040</v>
      </c>
      <c r="L4500" s="825"/>
      <c r="M4500" s="825"/>
      <c r="N4500" s="825"/>
      <c r="O4500" s="826">
        <f t="shared" si="517"/>
        <v>65040</v>
      </c>
      <c r="P4500" s="702"/>
      <c r="Q4500" s="1821"/>
      <c r="R4500" s="1821"/>
      <c r="S4500" s="1821"/>
      <c r="T4500" s="1821"/>
      <c r="U4500" s="1821"/>
      <c r="V4500" s="1821"/>
      <c r="W4500" s="1821"/>
      <c r="X4500" s="1821"/>
      <c r="Y4500" s="1821"/>
      <c r="Z4500" s="1821"/>
      <c r="AA4500" s="1821"/>
      <c r="AB4500" s="1821"/>
      <c r="AC4500" s="1821"/>
      <c r="AD4500" s="1821"/>
      <c r="AE4500" s="1821"/>
      <c r="AF4500" s="1821"/>
      <c r="AG4500" s="1821"/>
      <c r="AH4500" s="1821"/>
      <c r="AI4500" s="1821"/>
      <c r="AJ4500" s="1821"/>
      <c r="AK4500" s="1821"/>
      <c r="AL4500" s="1821"/>
      <c r="AM4500" s="1821"/>
      <c r="AN4500" s="1821"/>
      <c r="AO4500" s="1821"/>
      <c r="AP4500" s="1821"/>
      <c r="AQ4500" s="1821"/>
      <c r="AR4500" s="1821"/>
      <c r="AS4500" s="1821"/>
      <c r="AT4500" s="1821"/>
      <c r="AU4500" s="1821"/>
      <c r="AV4500" s="1821"/>
      <c r="AW4500" s="1821"/>
      <c r="AX4500" s="1821"/>
      <c r="AY4500" s="1821"/>
      <c r="AZ4500" s="1821"/>
      <c r="BA4500" s="1821"/>
      <c r="BB4500" s="1821"/>
      <c r="BC4500" s="1821"/>
      <c r="BD4500" s="1821"/>
      <c r="BE4500" s="1821"/>
      <c r="BF4500" s="1821"/>
      <c r="BG4500" s="1821"/>
      <c r="BH4500" s="1821"/>
      <c r="BI4500" s="1821"/>
      <c r="BJ4500" s="1821"/>
      <c r="BK4500" s="1821"/>
      <c r="BL4500" s="1821"/>
      <c r="BM4500" s="1821"/>
      <c r="BN4500" s="1821"/>
      <c r="BO4500" s="1821"/>
      <c r="BP4500" s="1821"/>
      <c r="BQ4500" s="1821"/>
      <c r="BR4500" s="1821"/>
      <c r="BS4500" s="1821"/>
      <c r="BT4500" s="1821"/>
      <c r="BU4500" s="1821"/>
      <c r="BV4500" s="1821"/>
      <c r="BW4500" s="1821"/>
      <c r="BX4500" s="1821"/>
      <c r="BY4500" s="1821"/>
      <c r="BZ4500" s="1821"/>
      <c r="CA4500" s="1821"/>
      <c r="CB4500" s="1821"/>
      <c r="CC4500" s="1821"/>
      <c r="CD4500" s="1821"/>
      <c r="CE4500" s="1821"/>
      <c r="CF4500" s="1821"/>
      <c r="CG4500" s="1821"/>
      <c r="CH4500" s="1821"/>
      <c r="CI4500" s="1821"/>
      <c r="CJ4500" s="1821"/>
      <c r="CK4500" s="1821"/>
    </row>
    <row r="4501" spans="1:89" s="675" customFormat="1" ht="16.5" customHeight="1" x14ac:dyDescent="0.25">
      <c r="A4501" s="849"/>
      <c r="B4501" s="1061" t="s">
        <v>1413</v>
      </c>
      <c r="C4501" s="835">
        <v>36</v>
      </c>
      <c r="D4501" s="1062" t="s">
        <v>20</v>
      </c>
      <c r="E4501" s="825">
        <v>2460</v>
      </c>
      <c r="F4501" s="825"/>
      <c r="G4501" s="825"/>
      <c r="H4501" s="825"/>
      <c r="I4501" s="825">
        <f t="shared" si="516"/>
        <v>88560</v>
      </c>
      <c r="J4501" s="825"/>
      <c r="K4501" s="825">
        <f t="shared" si="515"/>
        <v>88560</v>
      </c>
      <c r="L4501" s="825"/>
      <c r="M4501" s="825"/>
      <c r="N4501" s="825"/>
      <c r="O4501" s="826">
        <f t="shared" si="517"/>
        <v>88560</v>
      </c>
      <c r="P4501" s="702"/>
      <c r="Q4501" s="1821"/>
      <c r="R4501" s="1821"/>
      <c r="S4501" s="1821"/>
      <c r="T4501" s="1821"/>
      <c r="U4501" s="1821"/>
      <c r="V4501" s="1821"/>
      <c r="W4501" s="1821"/>
      <c r="X4501" s="1821"/>
      <c r="Y4501" s="1821"/>
      <c r="Z4501" s="1821"/>
      <c r="AA4501" s="1821"/>
      <c r="AB4501" s="1821"/>
      <c r="AC4501" s="1821"/>
      <c r="AD4501" s="1821"/>
      <c r="AE4501" s="1821"/>
      <c r="AF4501" s="1821"/>
      <c r="AG4501" s="1821"/>
      <c r="AH4501" s="1821"/>
      <c r="AI4501" s="1821"/>
      <c r="AJ4501" s="1821"/>
      <c r="AK4501" s="1821"/>
      <c r="AL4501" s="1821"/>
      <c r="AM4501" s="1821"/>
      <c r="AN4501" s="1821"/>
      <c r="AO4501" s="1821"/>
      <c r="AP4501" s="1821"/>
      <c r="AQ4501" s="1821"/>
      <c r="AR4501" s="1821"/>
      <c r="AS4501" s="1821"/>
      <c r="AT4501" s="1821"/>
      <c r="AU4501" s="1821"/>
      <c r="AV4501" s="1821"/>
      <c r="AW4501" s="1821"/>
      <c r="AX4501" s="1821"/>
      <c r="AY4501" s="1821"/>
      <c r="AZ4501" s="1821"/>
      <c r="BA4501" s="1821"/>
      <c r="BB4501" s="1821"/>
      <c r="BC4501" s="1821"/>
      <c r="BD4501" s="1821"/>
      <c r="BE4501" s="1821"/>
      <c r="BF4501" s="1821"/>
      <c r="BG4501" s="1821"/>
      <c r="BH4501" s="1821"/>
      <c r="BI4501" s="1821"/>
      <c r="BJ4501" s="1821"/>
      <c r="BK4501" s="1821"/>
      <c r="BL4501" s="1821"/>
      <c r="BM4501" s="1821"/>
      <c r="BN4501" s="1821"/>
      <c r="BO4501" s="1821"/>
      <c r="BP4501" s="1821"/>
      <c r="BQ4501" s="1821"/>
      <c r="BR4501" s="1821"/>
      <c r="BS4501" s="1821"/>
      <c r="BT4501" s="1821"/>
      <c r="BU4501" s="1821"/>
      <c r="BV4501" s="1821"/>
      <c r="BW4501" s="1821"/>
      <c r="BX4501" s="1821"/>
      <c r="BY4501" s="1821"/>
      <c r="BZ4501" s="1821"/>
      <c r="CA4501" s="1821"/>
      <c r="CB4501" s="1821"/>
      <c r="CC4501" s="1821"/>
      <c r="CD4501" s="1821"/>
      <c r="CE4501" s="1821"/>
      <c r="CF4501" s="1821"/>
      <c r="CG4501" s="1821"/>
      <c r="CH4501" s="1821"/>
      <c r="CI4501" s="1821"/>
      <c r="CJ4501" s="1821"/>
      <c r="CK4501" s="1821"/>
    </row>
    <row r="4502" spans="1:89" s="675" customFormat="1" ht="16.5" customHeight="1" x14ac:dyDescent="0.25">
      <c r="A4502" s="849"/>
      <c r="B4502" s="1061"/>
      <c r="C4502" s="835"/>
      <c r="D4502" s="1062"/>
      <c r="E4502" s="825"/>
      <c r="F4502" s="825"/>
      <c r="G4502" s="825"/>
      <c r="H4502" s="825"/>
      <c r="I4502" s="825">
        <f t="shared" si="516"/>
        <v>0</v>
      </c>
      <c r="J4502" s="825"/>
      <c r="K4502" s="825"/>
      <c r="L4502" s="825"/>
      <c r="M4502" s="825"/>
      <c r="N4502" s="825"/>
      <c r="O4502" s="826"/>
      <c r="P4502" s="702"/>
      <c r="Q4502" s="1821"/>
      <c r="R4502" s="1821"/>
      <c r="S4502" s="1821"/>
      <c r="T4502" s="1821"/>
      <c r="U4502" s="1821"/>
      <c r="V4502" s="1821"/>
      <c r="W4502" s="1821"/>
      <c r="X4502" s="1821"/>
      <c r="Y4502" s="1821"/>
      <c r="Z4502" s="1821"/>
      <c r="AA4502" s="1821"/>
      <c r="AB4502" s="1821"/>
      <c r="AC4502" s="1821"/>
      <c r="AD4502" s="1821"/>
      <c r="AE4502" s="1821"/>
      <c r="AF4502" s="1821"/>
      <c r="AG4502" s="1821"/>
      <c r="AH4502" s="1821"/>
      <c r="AI4502" s="1821"/>
      <c r="AJ4502" s="1821"/>
      <c r="AK4502" s="1821"/>
      <c r="AL4502" s="1821"/>
      <c r="AM4502" s="1821"/>
      <c r="AN4502" s="1821"/>
      <c r="AO4502" s="1821"/>
      <c r="AP4502" s="1821"/>
      <c r="AQ4502" s="1821"/>
      <c r="AR4502" s="1821"/>
      <c r="AS4502" s="1821"/>
      <c r="AT4502" s="1821"/>
      <c r="AU4502" s="1821"/>
      <c r="AV4502" s="1821"/>
      <c r="AW4502" s="1821"/>
      <c r="AX4502" s="1821"/>
      <c r="AY4502" s="1821"/>
      <c r="AZ4502" s="1821"/>
      <c r="BA4502" s="1821"/>
      <c r="BB4502" s="1821"/>
      <c r="BC4502" s="1821"/>
      <c r="BD4502" s="1821"/>
      <c r="BE4502" s="1821"/>
      <c r="BF4502" s="1821"/>
      <c r="BG4502" s="1821"/>
      <c r="BH4502" s="1821"/>
      <c r="BI4502" s="1821"/>
      <c r="BJ4502" s="1821"/>
      <c r="BK4502" s="1821"/>
      <c r="BL4502" s="1821"/>
      <c r="BM4502" s="1821"/>
      <c r="BN4502" s="1821"/>
      <c r="BO4502" s="1821"/>
      <c r="BP4502" s="1821"/>
      <c r="BQ4502" s="1821"/>
      <c r="BR4502" s="1821"/>
      <c r="BS4502" s="1821"/>
      <c r="BT4502" s="1821"/>
      <c r="BU4502" s="1821"/>
      <c r="BV4502" s="1821"/>
      <c r="BW4502" s="1821"/>
      <c r="BX4502" s="1821"/>
      <c r="BY4502" s="1821"/>
      <c r="BZ4502" s="1821"/>
      <c r="CA4502" s="1821"/>
      <c r="CB4502" s="1821"/>
      <c r="CC4502" s="1821"/>
      <c r="CD4502" s="1821"/>
      <c r="CE4502" s="1821"/>
      <c r="CF4502" s="1821"/>
      <c r="CG4502" s="1821"/>
      <c r="CH4502" s="1821"/>
      <c r="CI4502" s="1821"/>
      <c r="CJ4502" s="1821"/>
      <c r="CK4502" s="1821"/>
    </row>
    <row r="4503" spans="1:89" s="675" customFormat="1" ht="16.5" customHeight="1" x14ac:dyDescent="0.25">
      <c r="A4503" s="849" t="s">
        <v>276</v>
      </c>
      <c r="B4503" s="1061" t="s">
        <v>519</v>
      </c>
      <c r="C4503" s="835"/>
      <c r="D4503" s="1062"/>
      <c r="E4503" s="825"/>
      <c r="F4503" s="825"/>
      <c r="G4503" s="825"/>
      <c r="H4503" s="825"/>
      <c r="I4503" s="825">
        <f t="shared" si="516"/>
        <v>0</v>
      </c>
      <c r="J4503" s="825"/>
      <c r="K4503" s="825"/>
      <c r="L4503" s="825"/>
      <c r="M4503" s="825"/>
      <c r="N4503" s="825"/>
      <c r="O4503" s="826"/>
      <c r="P4503" s="702"/>
      <c r="Q4503" s="1821"/>
      <c r="R4503" s="1821"/>
      <c r="S4503" s="1821"/>
      <c r="T4503" s="1821"/>
      <c r="U4503" s="1821"/>
      <c r="V4503" s="1821"/>
      <c r="W4503" s="1821"/>
      <c r="X4503" s="1821"/>
      <c r="Y4503" s="1821"/>
      <c r="Z4503" s="1821"/>
      <c r="AA4503" s="1821"/>
      <c r="AB4503" s="1821"/>
      <c r="AC4503" s="1821"/>
      <c r="AD4503" s="1821"/>
      <c r="AE4503" s="1821"/>
      <c r="AF4503" s="1821"/>
      <c r="AG4503" s="1821"/>
      <c r="AH4503" s="1821"/>
      <c r="AI4503" s="1821"/>
      <c r="AJ4503" s="1821"/>
      <c r="AK4503" s="1821"/>
      <c r="AL4503" s="1821"/>
      <c r="AM4503" s="1821"/>
      <c r="AN4503" s="1821"/>
      <c r="AO4503" s="1821"/>
      <c r="AP4503" s="1821"/>
      <c r="AQ4503" s="1821"/>
      <c r="AR4503" s="1821"/>
      <c r="AS4503" s="1821"/>
      <c r="AT4503" s="1821"/>
      <c r="AU4503" s="1821"/>
      <c r="AV4503" s="1821"/>
      <c r="AW4503" s="1821"/>
      <c r="AX4503" s="1821"/>
      <c r="AY4503" s="1821"/>
      <c r="AZ4503" s="1821"/>
      <c r="BA4503" s="1821"/>
      <c r="BB4503" s="1821"/>
      <c r="BC4503" s="1821"/>
      <c r="BD4503" s="1821"/>
      <c r="BE4503" s="1821"/>
      <c r="BF4503" s="1821"/>
      <c r="BG4503" s="1821"/>
      <c r="BH4503" s="1821"/>
      <c r="BI4503" s="1821"/>
      <c r="BJ4503" s="1821"/>
      <c r="BK4503" s="1821"/>
      <c r="BL4503" s="1821"/>
      <c r="BM4503" s="1821"/>
      <c r="BN4503" s="1821"/>
      <c r="BO4503" s="1821"/>
      <c r="BP4503" s="1821"/>
      <c r="BQ4503" s="1821"/>
      <c r="BR4503" s="1821"/>
      <c r="BS4503" s="1821"/>
      <c r="BT4503" s="1821"/>
      <c r="BU4503" s="1821"/>
      <c r="BV4503" s="1821"/>
      <c r="BW4503" s="1821"/>
      <c r="BX4503" s="1821"/>
      <c r="BY4503" s="1821"/>
      <c r="BZ4503" s="1821"/>
      <c r="CA4503" s="1821"/>
      <c r="CB4503" s="1821"/>
      <c r="CC4503" s="1821"/>
      <c r="CD4503" s="1821"/>
      <c r="CE4503" s="1821"/>
      <c r="CF4503" s="1821"/>
      <c r="CG4503" s="1821"/>
      <c r="CH4503" s="1821"/>
      <c r="CI4503" s="1821"/>
      <c r="CJ4503" s="1821"/>
      <c r="CK4503" s="1821"/>
    </row>
    <row r="4504" spans="1:89" s="675" customFormat="1" ht="16.5" customHeight="1" x14ac:dyDescent="0.25">
      <c r="A4504" s="849"/>
      <c r="B4504" s="1061" t="s">
        <v>1414</v>
      </c>
      <c r="C4504" s="835"/>
      <c r="D4504" s="1062"/>
      <c r="E4504" s="825"/>
      <c r="F4504" s="825"/>
      <c r="G4504" s="825"/>
      <c r="H4504" s="825"/>
      <c r="I4504" s="825">
        <f t="shared" si="516"/>
        <v>0</v>
      </c>
      <c r="J4504" s="825"/>
      <c r="K4504" s="825">
        <f t="shared" ref="K4504:K4509" si="518">J4504+I4504</f>
        <v>0</v>
      </c>
      <c r="L4504" s="825"/>
      <c r="M4504" s="825"/>
      <c r="N4504" s="825"/>
      <c r="O4504" s="826">
        <f t="shared" ref="O4504:O4509" si="519">N4504+K4504+H4504</f>
        <v>0</v>
      </c>
      <c r="P4504" s="702"/>
      <c r="Q4504" s="1821"/>
      <c r="R4504" s="1821"/>
      <c r="S4504" s="1821"/>
      <c r="T4504" s="1821"/>
      <c r="U4504" s="1821"/>
      <c r="V4504" s="1821"/>
      <c r="W4504" s="1821"/>
      <c r="X4504" s="1821"/>
      <c r="Y4504" s="1821"/>
      <c r="Z4504" s="1821"/>
      <c r="AA4504" s="1821"/>
      <c r="AB4504" s="1821"/>
      <c r="AC4504" s="1821"/>
      <c r="AD4504" s="1821"/>
      <c r="AE4504" s="1821"/>
      <c r="AF4504" s="1821"/>
      <c r="AG4504" s="1821"/>
      <c r="AH4504" s="1821"/>
      <c r="AI4504" s="1821"/>
      <c r="AJ4504" s="1821"/>
      <c r="AK4504" s="1821"/>
      <c r="AL4504" s="1821"/>
      <c r="AM4504" s="1821"/>
      <c r="AN4504" s="1821"/>
      <c r="AO4504" s="1821"/>
      <c r="AP4504" s="1821"/>
      <c r="AQ4504" s="1821"/>
      <c r="AR4504" s="1821"/>
      <c r="AS4504" s="1821"/>
      <c r="AT4504" s="1821"/>
      <c r="AU4504" s="1821"/>
      <c r="AV4504" s="1821"/>
      <c r="AW4504" s="1821"/>
      <c r="AX4504" s="1821"/>
      <c r="AY4504" s="1821"/>
      <c r="AZ4504" s="1821"/>
      <c r="BA4504" s="1821"/>
      <c r="BB4504" s="1821"/>
      <c r="BC4504" s="1821"/>
      <c r="BD4504" s="1821"/>
      <c r="BE4504" s="1821"/>
      <c r="BF4504" s="1821"/>
      <c r="BG4504" s="1821"/>
      <c r="BH4504" s="1821"/>
      <c r="BI4504" s="1821"/>
      <c r="BJ4504" s="1821"/>
      <c r="BK4504" s="1821"/>
      <c r="BL4504" s="1821"/>
      <c r="BM4504" s="1821"/>
      <c r="BN4504" s="1821"/>
      <c r="BO4504" s="1821"/>
      <c r="BP4504" s="1821"/>
      <c r="BQ4504" s="1821"/>
      <c r="BR4504" s="1821"/>
      <c r="BS4504" s="1821"/>
      <c r="BT4504" s="1821"/>
      <c r="BU4504" s="1821"/>
      <c r="BV4504" s="1821"/>
      <c r="BW4504" s="1821"/>
      <c r="BX4504" s="1821"/>
      <c r="BY4504" s="1821"/>
      <c r="BZ4504" s="1821"/>
      <c r="CA4504" s="1821"/>
      <c r="CB4504" s="1821"/>
      <c r="CC4504" s="1821"/>
      <c r="CD4504" s="1821"/>
      <c r="CE4504" s="1821"/>
      <c r="CF4504" s="1821"/>
      <c r="CG4504" s="1821"/>
      <c r="CH4504" s="1821"/>
      <c r="CI4504" s="1821"/>
      <c r="CJ4504" s="1821"/>
      <c r="CK4504" s="1821"/>
    </row>
    <row r="4505" spans="1:89" s="675" customFormat="1" ht="16.5" customHeight="1" x14ac:dyDescent="0.25">
      <c r="A4505" s="849"/>
      <c r="B4505" s="1061" t="s">
        <v>2247</v>
      </c>
      <c r="C4505" s="835"/>
      <c r="D4505" s="1062"/>
      <c r="E4505" s="825"/>
      <c r="F4505" s="825"/>
      <c r="G4505" s="825"/>
      <c r="H4505" s="825"/>
      <c r="I4505" s="825">
        <f t="shared" si="516"/>
        <v>0</v>
      </c>
      <c r="J4505" s="825"/>
      <c r="K4505" s="825">
        <f t="shared" si="518"/>
        <v>0</v>
      </c>
      <c r="L4505" s="825"/>
      <c r="M4505" s="825"/>
      <c r="N4505" s="825"/>
      <c r="O4505" s="826">
        <f t="shared" si="519"/>
        <v>0</v>
      </c>
      <c r="P4505" s="702"/>
      <c r="Q4505" s="1821"/>
      <c r="R4505" s="1821"/>
      <c r="S4505" s="1821"/>
      <c r="T4505" s="1821"/>
      <c r="U4505" s="1821"/>
      <c r="V4505" s="1821"/>
      <c r="W4505" s="1821"/>
      <c r="X4505" s="1821"/>
      <c r="Y4505" s="1821"/>
      <c r="Z4505" s="1821"/>
      <c r="AA4505" s="1821"/>
      <c r="AB4505" s="1821"/>
      <c r="AC4505" s="1821"/>
      <c r="AD4505" s="1821"/>
      <c r="AE4505" s="1821"/>
      <c r="AF4505" s="1821"/>
      <c r="AG4505" s="1821"/>
      <c r="AH4505" s="1821"/>
      <c r="AI4505" s="1821"/>
      <c r="AJ4505" s="1821"/>
      <c r="AK4505" s="1821"/>
      <c r="AL4505" s="1821"/>
      <c r="AM4505" s="1821"/>
      <c r="AN4505" s="1821"/>
      <c r="AO4505" s="1821"/>
      <c r="AP4505" s="1821"/>
      <c r="AQ4505" s="1821"/>
      <c r="AR4505" s="1821"/>
      <c r="AS4505" s="1821"/>
      <c r="AT4505" s="1821"/>
      <c r="AU4505" s="1821"/>
      <c r="AV4505" s="1821"/>
      <c r="AW4505" s="1821"/>
      <c r="AX4505" s="1821"/>
      <c r="AY4505" s="1821"/>
      <c r="AZ4505" s="1821"/>
      <c r="BA4505" s="1821"/>
      <c r="BB4505" s="1821"/>
      <c r="BC4505" s="1821"/>
      <c r="BD4505" s="1821"/>
      <c r="BE4505" s="1821"/>
      <c r="BF4505" s="1821"/>
      <c r="BG4505" s="1821"/>
      <c r="BH4505" s="1821"/>
      <c r="BI4505" s="1821"/>
      <c r="BJ4505" s="1821"/>
      <c r="BK4505" s="1821"/>
      <c r="BL4505" s="1821"/>
      <c r="BM4505" s="1821"/>
      <c r="BN4505" s="1821"/>
      <c r="BO4505" s="1821"/>
      <c r="BP4505" s="1821"/>
      <c r="BQ4505" s="1821"/>
      <c r="BR4505" s="1821"/>
      <c r="BS4505" s="1821"/>
      <c r="BT4505" s="1821"/>
      <c r="BU4505" s="1821"/>
      <c r="BV4505" s="1821"/>
      <c r="BW4505" s="1821"/>
      <c r="BX4505" s="1821"/>
      <c r="BY4505" s="1821"/>
      <c r="BZ4505" s="1821"/>
      <c r="CA4505" s="1821"/>
      <c r="CB4505" s="1821"/>
      <c r="CC4505" s="1821"/>
      <c r="CD4505" s="1821"/>
      <c r="CE4505" s="1821"/>
      <c r="CF4505" s="1821"/>
      <c r="CG4505" s="1821"/>
      <c r="CH4505" s="1821"/>
      <c r="CI4505" s="1821"/>
      <c r="CJ4505" s="1821"/>
      <c r="CK4505" s="1821"/>
    </row>
    <row r="4506" spans="1:89" s="675" customFormat="1" ht="16.5" customHeight="1" x14ac:dyDescent="0.25">
      <c r="A4506" s="849"/>
      <c r="B4506" s="1061" t="s">
        <v>520</v>
      </c>
      <c r="C4506" s="835">
        <v>6</v>
      </c>
      <c r="D4506" s="1062" t="s">
        <v>119</v>
      </c>
      <c r="E4506" s="825">
        <v>32740</v>
      </c>
      <c r="F4506" s="825"/>
      <c r="G4506" s="825"/>
      <c r="H4506" s="825"/>
      <c r="I4506" s="825">
        <f t="shared" si="516"/>
        <v>196440</v>
      </c>
      <c r="J4506" s="825"/>
      <c r="K4506" s="825">
        <f t="shared" si="518"/>
        <v>196440</v>
      </c>
      <c r="L4506" s="825"/>
      <c r="M4506" s="825"/>
      <c r="N4506" s="825"/>
      <c r="O4506" s="826">
        <f t="shared" si="519"/>
        <v>196440</v>
      </c>
      <c r="P4506" s="702"/>
      <c r="Q4506" s="1821"/>
      <c r="R4506" s="1821"/>
      <c r="S4506" s="1821"/>
      <c r="T4506" s="1821"/>
      <c r="U4506" s="1821"/>
      <c r="V4506" s="1821"/>
      <c r="W4506" s="1821"/>
      <c r="X4506" s="1821"/>
      <c r="Y4506" s="1821"/>
      <c r="Z4506" s="1821"/>
      <c r="AA4506" s="1821"/>
      <c r="AB4506" s="1821"/>
      <c r="AC4506" s="1821"/>
      <c r="AD4506" s="1821"/>
      <c r="AE4506" s="1821"/>
      <c r="AF4506" s="1821"/>
      <c r="AG4506" s="1821"/>
      <c r="AH4506" s="1821"/>
      <c r="AI4506" s="1821"/>
      <c r="AJ4506" s="1821"/>
      <c r="AK4506" s="1821"/>
      <c r="AL4506" s="1821"/>
      <c r="AM4506" s="1821"/>
      <c r="AN4506" s="1821"/>
      <c r="AO4506" s="1821"/>
      <c r="AP4506" s="1821"/>
      <c r="AQ4506" s="1821"/>
      <c r="AR4506" s="1821"/>
      <c r="AS4506" s="1821"/>
      <c r="AT4506" s="1821"/>
      <c r="AU4506" s="1821"/>
      <c r="AV4506" s="1821"/>
      <c r="AW4506" s="1821"/>
      <c r="AX4506" s="1821"/>
      <c r="AY4506" s="1821"/>
      <c r="AZ4506" s="1821"/>
      <c r="BA4506" s="1821"/>
      <c r="BB4506" s="1821"/>
      <c r="BC4506" s="1821"/>
      <c r="BD4506" s="1821"/>
      <c r="BE4506" s="1821"/>
      <c r="BF4506" s="1821"/>
      <c r="BG4506" s="1821"/>
      <c r="BH4506" s="1821"/>
      <c r="BI4506" s="1821"/>
      <c r="BJ4506" s="1821"/>
      <c r="BK4506" s="1821"/>
      <c r="BL4506" s="1821"/>
      <c r="BM4506" s="1821"/>
      <c r="BN4506" s="1821"/>
      <c r="BO4506" s="1821"/>
      <c r="BP4506" s="1821"/>
      <c r="BQ4506" s="1821"/>
      <c r="BR4506" s="1821"/>
      <c r="BS4506" s="1821"/>
      <c r="BT4506" s="1821"/>
      <c r="BU4506" s="1821"/>
      <c r="BV4506" s="1821"/>
      <c r="BW4506" s="1821"/>
      <c r="BX4506" s="1821"/>
      <c r="BY4506" s="1821"/>
      <c r="BZ4506" s="1821"/>
      <c r="CA4506" s="1821"/>
      <c r="CB4506" s="1821"/>
      <c r="CC4506" s="1821"/>
      <c r="CD4506" s="1821"/>
      <c r="CE4506" s="1821"/>
      <c r="CF4506" s="1821"/>
      <c r="CG4506" s="1821"/>
      <c r="CH4506" s="1821"/>
      <c r="CI4506" s="1821"/>
      <c r="CJ4506" s="1821"/>
      <c r="CK4506" s="1821"/>
    </row>
    <row r="4507" spans="1:89" s="675" customFormat="1" ht="16.5" customHeight="1" x14ac:dyDescent="0.25">
      <c r="A4507" s="849"/>
      <c r="B4507" s="1061" t="s">
        <v>521</v>
      </c>
      <c r="C4507" s="835">
        <v>1</v>
      </c>
      <c r="D4507" s="1062" t="s">
        <v>119</v>
      </c>
      <c r="E4507" s="825">
        <v>21970</v>
      </c>
      <c r="F4507" s="825"/>
      <c r="G4507" s="825"/>
      <c r="H4507" s="825"/>
      <c r="I4507" s="825">
        <f t="shared" si="516"/>
        <v>21970</v>
      </c>
      <c r="J4507" s="825"/>
      <c r="K4507" s="825">
        <f t="shared" si="518"/>
        <v>21970</v>
      </c>
      <c r="L4507" s="825"/>
      <c r="M4507" s="825"/>
      <c r="N4507" s="825"/>
      <c r="O4507" s="826">
        <f t="shared" si="519"/>
        <v>21970</v>
      </c>
      <c r="P4507" s="702"/>
      <c r="Q4507" s="1821"/>
      <c r="R4507" s="1821"/>
      <c r="S4507" s="1821"/>
      <c r="T4507" s="1821"/>
      <c r="U4507" s="1821"/>
      <c r="V4507" s="1821"/>
      <c r="W4507" s="1821"/>
      <c r="X4507" s="1821"/>
      <c r="Y4507" s="1821"/>
      <c r="Z4507" s="1821"/>
      <c r="AA4507" s="1821"/>
      <c r="AB4507" s="1821"/>
      <c r="AC4507" s="1821"/>
      <c r="AD4507" s="1821"/>
      <c r="AE4507" s="1821"/>
      <c r="AF4507" s="1821"/>
      <c r="AG4507" s="1821"/>
      <c r="AH4507" s="1821"/>
      <c r="AI4507" s="1821"/>
      <c r="AJ4507" s="1821"/>
      <c r="AK4507" s="1821"/>
      <c r="AL4507" s="1821"/>
      <c r="AM4507" s="1821"/>
      <c r="AN4507" s="1821"/>
      <c r="AO4507" s="1821"/>
      <c r="AP4507" s="1821"/>
      <c r="AQ4507" s="1821"/>
      <c r="AR4507" s="1821"/>
      <c r="AS4507" s="1821"/>
      <c r="AT4507" s="1821"/>
      <c r="AU4507" s="1821"/>
      <c r="AV4507" s="1821"/>
      <c r="AW4507" s="1821"/>
      <c r="AX4507" s="1821"/>
      <c r="AY4507" s="1821"/>
      <c r="AZ4507" s="1821"/>
      <c r="BA4507" s="1821"/>
      <c r="BB4507" s="1821"/>
      <c r="BC4507" s="1821"/>
      <c r="BD4507" s="1821"/>
      <c r="BE4507" s="1821"/>
      <c r="BF4507" s="1821"/>
      <c r="BG4507" s="1821"/>
      <c r="BH4507" s="1821"/>
      <c r="BI4507" s="1821"/>
      <c r="BJ4507" s="1821"/>
      <c r="BK4507" s="1821"/>
      <c r="BL4507" s="1821"/>
      <c r="BM4507" s="1821"/>
      <c r="BN4507" s="1821"/>
      <c r="BO4507" s="1821"/>
      <c r="BP4507" s="1821"/>
      <c r="BQ4507" s="1821"/>
      <c r="BR4507" s="1821"/>
      <c r="BS4507" s="1821"/>
      <c r="BT4507" s="1821"/>
      <c r="BU4507" s="1821"/>
      <c r="BV4507" s="1821"/>
      <c r="BW4507" s="1821"/>
      <c r="BX4507" s="1821"/>
      <c r="BY4507" s="1821"/>
      <c r="BZ4507" s="1821"/>
      <c r="CA4507" s="1821"/>
      <c r="CB4507" s="1821"/>
      <c r="CC4507" s="1821"/>
      <c r="CD4507" s="1821"/>
      <c r="CE4507" s="1821"/>
      <c r="CF4507" s="1821"/>
      <c r="CG4507" s="1821"/>
      <c r="CH4507" s="1821"/>
      <c r="CI4507" s="1821"/>
      <c r="CJ4507" s="1821"/>
      <c r="CK4507" s="1821"/>
    </row>
    <row r="4508" spans="1:89" s="675" customFormat="1" ht="16.5" customHeight="1" x14ac:dyDescent="0.25">
      <c r="A4508" s="849"/>
      <c r="B4508" s="1061" t="s">
        <v>522</v>
      </c>
      <c r="C4508" s="835">
        <v>7</v>
      </c>
      <c r="D4508" s="1062" t="s">
        <v>119</v>
      </c>
      <c r="E4508" s="825">
        <v>3430</v>
      </c>
      <c r="F4508" s="825"/>
      <c r="G4508" s="825"/>
      <c r="H4508" s="825"/>
      <c r="I4508" s="825">
        <f t="shared" si="516"/>
        <v>24010</v>
      </c>
      <c r="J4508" s="825"/>
      <c r="K4508" s="825">
        <f t="shared" si="518"/>
        <v>24010</v>
      </c>
      <c r="L4508" s="825"/>
      <c r="M4508" s="825"/>
      <c r="N4508" s="825"/>
      <c r="O4508" s="826">
        <f t="shared" si="519"/>
        <v>24010</v>
      </c>
      <c r="P4508" s="702"/>
      <c r="Q4508" s="1821"/>
      <c r="R4508" s="1821"/>
      <c r="S4508" s="1821"/>
      <c r="T4508" s="1821"/>
      <c r="U4508" s="1821"/>
      <c r="V4508" s="1821"/>
      <c r="W4508" s="1821"/>
      <c r="X4508" s="1821"/>
      <c r="Y4508" s="1821"/>
      <c r="Z4508" s="1821"/>
      <c r="AA4508" s="1821"/>
      <c r="AB4508" s="1821"/>
      <c r="AC4508" s="1821"/>
      <c r="AD4508" s="1821"/>
      <c r="AE4508" s="1821"/>
      <c r="AF4508" s="1821"/>
      <c r="AG4508" s="1821"/>
      <c r="AH4508" s="1821"/>
      <c r="AI4508" s="1821"/>
      <c r="AJ4508" s="1821"/>
      <c r="AK4508" s="1821"/>
      <c r="AL4508" s="1821"/>
      <c r="AM4508" s="1821"/>
      <c r="AN4508" s="1821"/>
      <c r="AO4508" s="1821"/>
      <c r="AP4508" s="1821"/>
      <c r="AQ4508" s="1821"/>
      <c r="AR4508" s="1821"/>
      <c r="AS4508" s="1821"/>
      <c r="AT4508" s="1821"/>
      <c r="AU4508" s="1821"/>
      <c r="AV4508" s="1821"/>
      <c r="AW4508" s="1821"/>
      <c r="AX4508" s="1821"/>
      <c r="AY4508" s="1821"/>
      <c r="AZ4508" s="1821"/>
      <c r="BA4508" s="1821"/>
      <c r="BB4508" s="1821"/>
      <c r="BC4508" s="1821"/>
      <c r="BD4508" s="1821"/>
      <c r="BE4508" s="1821"/>
      <c r="BF4508" s="1821"/>
      <c r="BG4508" s="1821"/>
      <c r="BH4508" s="1821"/>
      <c r="BI4508" s="1821"/>
      <c r="BJ4508" s="1821"/>
      <c r="BK4508" s="1821"/>
      <c r="BL4508" s="1821"/>
      <c r="BM4508" s="1821"/>
      <c r="BN4508" s="1821"/>
      <c r="BO4508" s="1821"/>
      <c r="BP4508" s="1821"/>
      <c r="BQ4508" s="1821"/>
      <c r="BR4508" s="1821"/>
      <c r="BS4508" s="1821"/>
      <c r="BT4508" s="1821"/>
      <c r="BU4508" s="1821"/>
      <c r="BV4508" s="1821"/>
      <c r="BW4508" s="1821"/>
      <c r="BX4508" s="1821"/>
      <c r="BY4508" s="1821"/>
      <c r="BZ4508" s="1821"/>
      <c r="CA4508" s="1821"/>
      <c r="CB4508" s="1821"/>
      <c r="CC4508" s="1821"/>
      <c r="CD4508" s="1821"/>
      <c r="CE4508" s="1821"/>
      <c r="CF4508" s="1821"/>
      <c r="CG4508" s="1821"/>
      <c r="CH4508" s="1821"/>
      <c r="CI4508" s="1821"/>
      <c r="CJ4508" s="1821"/>
      <c r="CK4508" s="1821"/>
    </row>
    <row r="4509" spans="1:89" s="675" customFormat="1" ht="16.5" customHeight="1" x14ac:dyDescent="0.25">
      <c r="A4509" s="849"/>
      <c r="B4509" s="1061"/>
      <c r="C4509" s="835"/>
      <c r="D4509" s="1062"/>
      <c r="E4509" s="825"/>
      <c r="F4509" s="825"/>
      <c r="G4509" s="825"/>
      <c r="H4509" s="825"/>
      <c r="I4509" s="825">
        <f t="shared" si="516"/>
        <v>0</v>
      </c>
      <c r="J4509" s="825"/>
      <c r="K4509" s="825">
        <f t="shared" si="518"/>
        <v>0</v>
      </c>
      <c r="L4509" s="825"/>
      <c r="M4509" s="825"/>
      <c r="N4509" s="825"/>
      <c r="O4509" s="826">
        <f t="shared" si="519"/>
        <v>0</v>
      </c>
      <c r="P4509" s="702"/>
      <c r="Q4509" s="1821"/>
      <c r="R4509" s="1821"/>
      <c r="S4509" s="1821"/>
      <c r="T4509" s="1821"/>
      <c r="U4509" s="1821"/>
      <c r="V4509" s="1821"/>
      <c r="W4509" s="1821"/>
      <c r="X4509" s="1821"/>
      <c r="Y4509" s="1821"/>
      <c r="Z4509" s="1821"/>
      <c r="AA4509" s="1821"/>
      <c r="AB4509" s="1821"/>
      <c r="AC4509" s="1821"/>
      <c r="AD4509" s="1821"/>
      <c r="AE4509" s="1821"/>
      <c r="AF4509" s="1821"/>
      <c r="AG4509" s="1821"/>
      <c r="AH4509" s="1821"/>
      <c r="AI4509" s="1821"/>
      <c r="AJ4509" s="1821"/>
      <c r="AK4509" s="1821"/>
      <c r="AL4509" s="1821"/>
      <c r="AM4509" s="1821"/>
      <c r="AN4509" s="1821"/>
      <c r="AO4509" s="1821"/>
      <c r="AP4509" s="1821"/>
      <c r="AQ4509" s="1821"/>
      <c r="AR4509" s="1821"/>
      <c r="AS4509" s="1821"/>
      <c r="AT4509" s="1821"/>
      <c r="AU4509" s="1821"/>
      <c r="AV4509" s="1821"/>
      <c r="AW4509" s="1821"/>
      <c r="AX4509" s="1821"/>
      <c r="AY4509" s="1821"/>
      <c r="AZ4509" s="1821"/>
      <c r="BA4509" s="1821"/>
      <c r="BB4509" s="1821"/>
      <c r="BC4509" s="1821"/>
      <c r="BD4509" s="1821"/>
      <c r="BE4509" s="1821"/>
      <c r="BF4509" s="1821"/>
      <c r="BG4509" s="1821"/>
      <c r="BH4509" s="1821"/>
      <c r="BI4509" s="1821"/>
      <c r="BJ4509" s="1821"/>
      <c r="BK4509" s="1821"/>
      <c r="BL4509" s="1821"/>
      <c r="BM4509" s="1821"/>
      <c r="BN4509" s="1821"/>
      <c r="BO4509" s="1821"/>
      <c r="BP4509" s="1821"/>
      <c r="BQ4509" s="1821"/>
      <c r="BR4509" s="1821"/>
      <c r="BS4509" s="1821"/>
      <c r="BT4509" s="1821"/>
      <c r="BU4509" s="1821"/>
      <c r="BV4509" s="1821"/>
      <c r="BW4509" s="1821"/>
      <c r="BX4509" s="1821"/>
      <c r="BY4509" s="1821"/>
      <c r="BZ4509" s="1821"/>
      <c r="CA4509" s="1821"/>
      <c r="CB4509" s="1821"/>
      <c r="CC4509" s="1821"/>
      <c r="CD4509" s="1821"/>
      <c r="CE4509" s="1821"/>
      <c r="CF4509" s="1821"/>
      <c r="CG4509" s="1821"/>
      <c r="CH4509" s="1821"/>
      <c r="CI4509" s="1821"/>
      <c r="CJ4509" s="1821"/>
      <c r="CK4509" s="1821"/>
    </row>
    <row r="4510" spans="1:89" s="675" customFormat="1" ht="16.5" customHeight="1" x14ac:dyDescent="0.25">
      <c r="A4510" s="849" t="s">
        <v>280</v>
      </c>
      <c r="B4510" s="1061" t="s">
        <v>523</v>
      </c>
      <c r="C4510" s="835"/>
      <c r="D4510" s="1062"/>
      <c r="E4510" s="825"/>
      <c r="F4510" s="825"/>
      <c r="G4510" s="825"/>
      <c r="H4510" s="825"/>
      <c r="I4510" s="825">
        <f t="shared" si="516"/>
        <v>0</v>
      </c>
      <c r="J4510" s="825"/>
      <c r="K4510" s="825"/>
      <c r="L4510" s="825"/>
      <c r="M4510" s="825"/>
      <c r="N4510" s="825"/>
      <c r="O4510" s="826"/>
      <c r="P4510" s="702"/>
      <c r="Q4510" s="1821"/>
      <c r="R4510" s="1821"/>
      <c r="S4510" s="1821"/>
      <c r="T4510" s="1821"/>
      <c r="U4510" s="1821"/>
      <c r="V4510" s="1821"/>
      <c r="W4510" s="1821"/>
      <c r="X4510" s="1821"/>
      <c r="Y4510" s="1821"/>
      <c r="Z4510" s="1821"/>
      <c r="AA4510" s="1821"/>
      <c r="AB4510" s="1821"/>
      <c r="AC4510" s="1821"/>
      <c r="AD4510" s="1821"/>
      <c r="AE4510" s="1821"/>
      <c r="AF4510" s="1821"/>
      <c r="AG4510" s="1821"/>
      <c r="AH4510" s="1821"/>
      <c r="AI4510" s="1821"/>
      <c r="AJ4510" s="1821"/>
      <c r="AK4510" s="1821"/>
      <c r="AL4510" s="1821"/>
      <c r="AM4510" s="1821"/>
      <c r="AN4510" s="1821"/>
      <c r="AO4510" s="1821"/>
      <c r="AP4510" s="1821"/>
      <c r="AQ4510" s="1821"/>
      <c r="AR4510" s="1821"/>
      <c r="AS4510" s="1821"/>
      <c r="AT4510" s="1821"/>
      <c r="AU4510" s="1821"/>
      <c r="AV4510" s="1821"/>
      <c r="AW4510" s="1821"/>
      <c r="AX4510" s="1821"/>
      <c r="AY4510" s="1821"/>
      <c r="AZ4510" s="1821"/>
      <c r="BA4510" s="1821"/>
      <c r="BB4510" s="1821"/>
      <c r="BC4510" s="1821"/>
      <c r="BD4510" s="1821"/>
      <c r="BE4510" s="1821"/>
      <c r="BF4510" s="1821"/>
      <c r="BG4510" s="1821"/>
      <c r="BH4510" s="1821"/>
      <c r="BI4510" s="1821"/>
      <c r="BJ4510" s="1821"/>
      <c r="BK4510" s="1821"/>
      <c r="BL4510" s="1821"/>
      <c r="BM4510" s="1821"/>
      <c r="BN4510" s="1821"/>
      <c r="BO4510" s="1821"/>
      <c r="BP4510" s="1821"/>
      <c r="BQ4510" s="1821"/>
      <c r="BR4510" s="1821"/>
      <c r="BS4510" s="1821"/>
      <c r="BT4510" s="1821"/>
      <c r="BU4510" s="1821"/>
      <c r="BV4510" s="1821"/>
      <c r="BW4510" s="1821"/>
      <c r="BX4510" s="1821"/>
      <c r="BY4510" s="1821"/>
      <c r="BZ4510" s="1821"/>
      <c r="CA4510" s="1821"/>
      <c r="CB4510" s="1821"/>
      <c r="CC4510" s="1821"/>
      <c r="CD4510" s="1821"/>
      <c r="CE4510" s="1821"/>
      <c r="CF4510" s="1821"/>
      <c r="CG4510" s="1821"/>
      <c r="CH4510" s="1821"/>
      <c r="CI4510" s="1821"/>
      <c r="CJ4510" s="1821"/>
      <c r="CK4510" s="1821"/>
    </row>
    <row r="4511" spans="1:89" s="675" customFormat="1" ht="16.5" customHeight="1" x14ac:dyDescent="0.25">
      <c r="A4511" s="849"/>
      <c r="B4511" s="1061" t="s">
        <v>21</v>
      </c>
      <c r="C4511" s="835"/>
      <c r="D4511" s="1062"/>
      <c r="E4511" s="825"/>
      <c r="F4511" s="825"/>
      <c r="G4511" s="825"/>
      <c r="H4511" s="825"/>
      <c r="I4511" s="825">
        <f t="shared" si="516"/>
        <v>0</v>
      </c>
      <c r="J4511" s="825"/>
      <c r="K4511" s="825">
        <f>J4511+I4511</f>
        <v>0</v>
      </c>
      <c r="L4511" s="825"/>
      <c r="M4511" s="825"/>
      <c r="N4511" s="825"/>
      <c r="O4511" s="826">
        <f>N4511+K4511+H4511</f>
        <v>0</v>
      </c>
      <c r="P4511" s="702"/>
      <c r="Q4511" s="1821"/>
      <c r="R4511" s="1821"/>
      <c r="S4511" s="1821"/>
      <c r="T4511" s="1821"/>
      <c r="U4511" s="1821"/>
      <c r="V4511" s="1821"/>
      <c r="W4511" s="1821"/>
      <c r="X4511" s="1821"/>
      <c r="Y4511" s="1821"/>
      <c r="Z4511" s="1821"/>
      <c r="AA4511" s="1821"/>
      <c r="AB4511" s="1821"/>
      <c r="AC4511" s="1821"/>
      <c r="AD4511" s="1821"/>
      <c r="AE4511" s="1821"/>
      <c r="AF4511" s="1821"/>
      <c r="AG4511" s="1821"/>
      <c r="AH4511" s="1821"/>
      <c r="AI4511" s="1821"/>
      <c r="AJ4511" s="1821"/>
      <c r="AK4511" s="1821"/>
      <c r="AL4511" s="1821"/>
      <c r="AM4511" s="1821"/>
      <c r="AN4511" s="1821"/>
      <c r="AO4511" s="1821"/>
      <c r="AP4511" s="1821"/>
      <c r="AQ4511" s="1821"/>
      <c r="AR4511" s="1821"/>
      <c r="AS4511" s="1821"/>
      <c r="AT4511" s="1821"/>
      <c r="AU4511" s="1821"/>
      <c r="AV4511" s="1821"/>
      <c r="AW4511" s="1821"/>
      <c r="AX4511" s="1821"/>
      <c r="AY4511" s="1821"/>
      <c r="AZ4511" s="1821"/>
      <c r="BA4511" s="1821"/>
      <c r="BB4511" s="1821"/>
      <c r="BC4511" s="1821"/>
      <c r="BD4511" s="1821"/>
      <c r="BE4511" s="1821"/>
      <c r="BF4511" s="1821"/>
      <c r="BG4511" s="1821"/>
      <c r="BH4511" s="1821"/>
      <c r="BI4511" s="1821"/>
      <c r="BJ4511" s="1821"/>
      <c r="BK4511" s="1821"/>
      <c r="BL4511" s="1821"/>
      <c r="BM4511" s="1821"/>
      <c r="BN4511" s="1821"/>
      <c r="BO4511" s="1821"/>
      <c r="BP4511" s="1821"/>
      <c r="BQ4511" s="1821"/>
      <c r="BR4511" s="1821"/>
      <c r="BS4511" s="1821"/>
      <c r="BT4511" s="1821"/>
      <c r="BU4511" s="1821"/>
      <c r="BV4511" s="1821"/>
      <c r="BW4511" s="1821"/>
      <c r="BX4511" s="1821"/>
      <c r="BY4511" s="1821"/>
      <c r="BZ4511" s="1821"/>
      <c r="CA4511" s="1821"/>
      <c r="CB4511" s="1821"/>
      <c r="CC4511" s="1821"/>
      <c r="CD4511" s="1821"/>
      <c r="CE4511" s="1821"/>
      <c r="CF4511" s="1821"/>
      <c r="CG4511" s="1821"/>
      <c r="CH4511" s="1821"/>
      <c r="CI4511" s="1821"/>
      <c r="CJ4511" s="1821"/>
      <c r="CK4511" s="1821"/>
    </row>
    <row r="4512" spans="1:89" s="675" customFormat="1" ht="16.5" customHeight="1" x14ac:dyDescent="0.25">
      <c r="A4512" s="849"/>
      <c r="B4512" s="1061" t="s">
        <v>2247</v>
      </c>
      <c r="C4512" s="835"/>
      <c r="D4512" s="1062"/>
      <c r="E4512" s="825"/>
      <c r="F4512" s="825"/>
      <c r="G4512" s="825"/>
      <c r="H4512" s="825"/>
      <c r="I4512" s="825">
        <f t="shared" si="516"/>
        <v>0</v>
      </c>
      <c r="J4512" s="825"/>
      <c r="K4512" s="825">
        <f>J4512+I4512</f>
        <v>0</v>
      </c>
      <c r="L4512" s="825"/>
      <c r="M4512" s="825"/>
      <c r="N4512" s="825"/>
      <c r="O4512" s="826">
        <f>N4512+K4512+H4512</f>
        <v>0</v>
      </c>
      <c r="P4512" s="702"/>
      <c r="Q4512" s="1821"/>
      <c r="R4512" s="1821"/>
      <c r="S4512" s="1821"/>
      <c r="T4512" s="1821"/>
      <c r="U4512" s="1821"/>
      <c r="V4512" s="1821"/>
      <c r="W4512" s="1821"/>
      <c r="X4512" s="1821"/>
      <c r="Y4512" s="1821"/>
      <c r="Z4512" s="1821"/>
      <c r="AA4512" s="1821"/>
      <c r="AB4512" s="1821"/>
      <c r="AC4512" s="1821"/>
      <c r="AD4512" s="1821"/>
      <c r="AE4512" s="1821"/>
      <c r="AF4512" s="1821"/>
      <c r="AG4512" s="1821"/>
      <c r="AH4512" s="1821"/>
      <c r="AI4512" s="1821"/>
      <c r="AJ4512" s="1821"/>
      <c r="AK4512" s="1821"/>
      <c r="AL4512" s="1821"/>
      <c r="AM4512" s="1821"/>
      <c r="AN4512" s="1821"/>
      <c r="AO4512" s="1821"/>
      <c r="AP4512" s="1821"/>
      <c r="AQ4512" s="1821"/>
      <c r="AR4512" s="1821"/>
      <c r="AS4512" s="1821"/>
      <c r="AT4512" s="1821"/>
      <c r="AU4512" s="1821"/>
      <c r="AV4512" s="1821"/>
      <c r="AW4512" s="1821"/>
      <c r="AX4512" s="1821"/>
      <c r="AY4512" s="1821"/>
      <c r="AZ4512" s="1821"/>
      <c r="BA4512" s="1821"/>
      <c r="BB4512" s="1821"/>
      <c r="BC4512" s="1821"/>
      <c r="BD4512" s="1821"/>
      <c r="BE4512" s="1821"/>
      <c r="BF4512" s="1821"/>
      <c r="BG4512" s="1821"/>
      <c r="BH4512" s="1821"/>
      <c r="BI4512" s="1821"/>
      <c r="BJ4512" s="1821"/>
      <c r="BK4512" s="1821"/>
      <c r="BL4512" s="1821"/>
      <c r="BM4512" s="1821"/>
      <c r="BN4512" s="1821"/>
      <c r="BO4512" s="1821"/>
      <c r="BP4512" s="1821"/>
      <c r="BQ4512" s="1821"/>
      <c r="BR4512" s="1821"/>
      <c r="BS4512" s="1821"/>
      <c r="BT4512" s="1821"/>
      <c r="BU4512" s="1821"/>
      <c r="BV4512" s="1821"/>
      <c r="BW4512" s="1821"/>
      <c r="BX4512" s="1821"/>
      <c r="BY4512" s="1821"/>
      <c r="BZ4512" s="1821"/>
      <c r="CA4512" s="1821"/>
      <c r="CB4512" s="1821"/>
      <c r="CC4512" s="1821"/>
      <c r="CD4512" s="1821"/>
      <c r="CE4512" s="1821"/>
      <c r="CF4512" s="1821"/>
      <c r="CG4512" s="1821"/>
      <c r="CH4512" s="1821"/>
      <c r="CI4512" s="1821"/>
      <c r="CJ4512" s="1821"/>
      <c r="CK4512" s="1821"/>
    </row>
    <row r="4513" spans="1:89" s="675" customFormat="1" ht="16.5" customHeight="1" x14ac:dyDescent="0.25">
      <c r="A4513" s="849"/>
      <c r="B4513" s="1061" t="s">
        <v>524</v>
      </c>
      <c r="C4513" s="835">
        <v>1</v>
      </c>
      <c r="D4513" s="1062" t="s">
        <v>25</v>
      </c>
      <c r="E4513" s="825">
        <v>100000</v>
      </c>
      <c r="F4513" s="825"/>
      <c r="G4513" s="825"/>
      <c r="H4513" s="825"/>
      <c r="I4513" s="825">
        <f t="shared" si="516"/>
        <v>100000</v>
      </c>
      <c r="J4513" s="825"/>
      <c r="K4513" s="825">
        <f>J4513+I4513</f>
        <v>100000</v>
      </c>
      <c r="L4513" s="825"/>
      <c r="M4513" s="825"/>
      <c r="N4513" s="825"/>
      <c r="O4513" s="826">
        <f>N4513+K4513+H4513</f>
        <v>100000</v>
      </c>
      <c r="P4513" s="702"/>
      <c r="Q4513" s="1821"/>
      <c r="R4513" s="1821"/>
      <c r="S4513" s="1821"/>
      <c r="T4513" s="1821"/>
      <c r="U4513" s="1821"/>
      <c r="V4513" s="1821"/>
      <c r="W4513" s="1821"/>
      <c r="X4513" s="1821"/>
      <c r="Y4513" s="1821"/>
      <c r="Z4513" s="1821"/>
      <c r="AA4513" s="1821"/>
      <c r="AB4513" s="1821"/>
      <c r="AC4513" s="1821"/>
      <c r="AD4513" s="1821"/>
      <c r="AE4513" s="1821"/>
      <c r="AF4513" s="1821"/>
      <c r="AG4513" s="1821"/>
      <c r="AH4513" s="1821"/>
      <c r="AI4513" s="1821"/>
      <c r="AJ4513" s="1821"/>
      <c r="AK4513" s="1821"/>
      <c r="AL4513" s="1821"/>
      <c r="AM4513" s="1821"/>
      <c r="AN4513" s="1821"/>
      <c r="AO4513" s="1821"/>
      <c r="AP4513" s="1821"/>
      <c r="AQ4513" s="1821"/>
      <c r="AR4513" s="1821"/>
      <c r="AS4513" s="1821"/>
      <c r="AT4513" s="1821"/>
      <c r="AU4513" s="1821"/>
      <c r="AV4513" s="1821"/>
      <c r="AW4513" s="1821"/>
      <c r="AX4513" s="1821"/>
      <c r="AY4513" s="1821"/>
      <c r="AZ4513" s="1821"/>
      <c r="BA4513" s="1821"/>
      <c r="BB4513" s="1821"/>
      <c r="BC4513" s="1821"/>
      <c r="BD4513" s="1821"/>
      <c r="BE4513" s="1821"/>
      <c r="BF4513" s="1821"/>
      <c r="BG4513" s="1821"/>
      <c r="BH4513" s="1821"/>
      <c r="BI4513" s="1821"/>
      <c r="BJ4513" s="1821"/>
      <c r="BK4513" s="1821"/>
      <c r="BL4513" s="1821"/>
      <c r="BM4513" s="1821"/>
      <c r="BN4513" s="1821"/>
      <c r="BO4513" s="1821"/>
      <c r="BP4513" s="1821"/>
      <c r="BQ4513" s="1821"/>
      <c r="BR4513" s="1821"/>
      <c r="BS4513" s="1821"/>
      <c r="BT4513" s="1821"/>
      <c r="BU4513" s="1821"/>
      <c r="BV4513" s="1821"/>
      <c r="BW4513" s="1821"/>
      <c r="BX4513" s="1821"/>
      <c r="BY4513" s="1821"/>
      <c r="BZ4513" s="1821"/>
      <c r="CA4513" s="1821"/>
      <c r="CB4513" s="1821"/>
      <c r="CC4513" s="1821"/>
      <c r="CD4513" s="1821"/>
      <c r="CE4513" s="1821"/>
      <c r="CF4513" s="1821"/>
      <c r="CG4513" s="1821"/>
      <c r="CH4513" s="1821"/>
      <c r="CI4513" s="1821"/>
      <c r="CJ4513" s="1821"/>
      <c r="CK4513" s="1821"/>
    </row>
    <row r="4514" spans="1:89" s="675" customFormat="1" ht="16.5" customHeight="1" x14ac:dyDescent="0.25">
      <c r="A4514" s="849"/>
      <c r="B4514" s="1061"/>
      <c r="C4514" s="835"/>
      <c r="D4514" s="1062"/>
      <c r="E4514" s="825"/>
      <c r="F4514" s="825"/>
      <c r="G4514" s="825"/>
      <c r="H4514" s="825"/>
      <c r="I4514" s="825">
        <f t="shared" si="516"/>
        <v>0</v>
      </c>
      <c r="J4514" s="825"/>
      <c r="K4514" s="825"/>
      <c r="L4514" s="825"/>
      <c r="M4514" s="825"/>
      <c r="N4514" s="825"/>
      <c r="O4514" s="826"/>
      <c r="P4514" s="702"/>
      <c r="Q4514" s="1821"/>
      <c r="R4514" s="1821"/>
      <c r="S4514" s="1821"/>
      <c r="T4514" s="1821"/>
      <c r="U4514" s="1821"/>
      <c r="V4514" s="1821"/>
      <c r="W4514" s="1821"/>
      <c r="X4514" s="1821"/>
      <c r="Y4514" s="1821"/>
      <c r="Z4514" s="1821"/>
      <c r="AA4514" s="1821"/>
      <c r="AB4514" s="1821"/>
      <c r="AC4514" s="1821"/>
      <c r="AD4514" s="1821"/>
      <c r="AE4514" s="1821"/>
      <c r="AF4514" s="1821"/>
      <c r="AG4514" s="1821"/>
      <c r="AH4514" s="1821"/>
      <c r="AI4514" s="1821"/>
      <c r="AJ4514" s="1821"/>
      <c r="AK4514" s="1821"/>
      <c r="AL4514" s="1821"/>
      <c r="AM4514" s="1821"/>
      <c r="AN4514" s="1821"/>
      <c r="AO4514" s="1821"/>
      <c r="AP4514" s="1821"/>
      <c r="AQ4514" s="1821"/>
      <c r="AR4514" s="1821"/>
      <c r="AS4514" s="1821"/>
      <c r="AT4514" s="1821"/>
      <c r="AU4514" s="1821"/>
      <c r="AV4514" s="1821"/>
      <c r="AW4514" s="1821"/>
      <c r="AX4514" s="1821"/>
      <c r="AY4514" s="1821"/>
      <c r="AZ4514" s="1821"/>
      <c r="BA4514" s="1821"/>
      <c r="BB4514" s="1821"/>
      <c r="BC4514" s="1821"/>
      <c r="BD4514" s="1821"/>
      <c r="BE4514" s="1821"/>
      <c r="BF4514" s="1821"/>
      <c r="BG4514" s="1821"/>
      <c r="BH4514" s="1821"/>
      <c r="BI4514" s="1821"/>
      <c r="BJ4514" s="1821"/>
      <c r="BK4514" s="1821"/>
      <c r="BL4514" s="1821"/>
      <c r="BM4514" s="1821"/>
      <c r="BN4514" s="1821"/>
      <c r="BO4514" s="1821"/>
      <c r="BP4514" s="1821"/>
      <c r="BQ4514" s="1821"/>
      <c r="BR4514" s="1821"/>
      <c r="BS4514" s="1821"/>
      <c r="BT4514" s="1821"/>
      <c r="BU4514" s="1821"/>
      <c r="BV4514" s="1821"/>
      <c r="BW4514" s="1821"/>
      <c r="BX4514" s="1821"/>
      <c r="BY4514" s="1821"/>
      <c r="BZ4514" s="1821"/>
      <c r="CA4514" s="1821"/>
      <c r="CB4514" s="1821"/>
      <c r="CC4514" s="1821"/>
      <c r="CD4514" s="1821"/>
      <c r="CE4514" s="1821"/>
      <c r="CF4514" s="1821"/>
      <c r="CG4514" s="1821"/>
      <c r="CH4514" s="1821"/>
      <c r="CI4514" s="1821"/>
      <c r="CJ4514" s="1821"/>
      <c r="CK4514" s="1821"/>
    </row>
    <row r="4515" spans="1:89" s="675" customFormat="1" ht="16.5" customHeight="1" x14ac:dyDescent="0.25">
      <c r="A4515" s="849" t="s">
        <v>286</v>
      </c>
      <c r="B4515" s="1061" t="s">
        <v>525</v>
      </c>
      <c r="C4515" s="835"/>
      <c r="D4515" s="1062"/>
      <c r="E4515" s="825"/>
      <c r="F4515" s="825"/>
      <c r="G4515" s="825"/>
      <c r="H4515" s="825"/>
      <c r="I4515" s="825">
        <f t="shared" si="516"/>
        <v>0</v>
      </c>
      <c r="J4515" s="825"/>
      <c r="K4515" s="825"/>
      <c r="L4515" s="825"/>
      <c r="M4515" s="825"/>
      <c r="N4515" s="825"/>
      <c r="O4515" s="826"/>
      <c r="P4515" s="702"/>
      <c r="Q4515" s="1821"/>
      <c r="R4515" s="1821"/>
      <c r="S4515" s="1821"/>
      <c r="T4515" s="1821"/>
      <c r="U4515" s="1821"/>
      <c r="V4515" s="1821"/>
      <c r="W4515" s="1821"/>
      <c r="X4515" s="1821"/>
      <c r="Y4515" s="1821"/>
      <c r="Z4515" s="1821"/>
      <c r="AA4515" s="1821"/>
      <c r="AB4515" s="1821"/>
      <c r="AC4515" s="1821"/>
      <c r="AD4515" s="1821"/>
      <c r="AE4515" s="1821"/>
      <c r="AF4515" s="1821"/>
      <c r="AG4515" s="1821"/>
      <c r="AH4515" s="1821"/>
      <c r="AI4515" s="1821"/>
      <c r="AJ4515" s="1821"/>
      <c r="AK4515" s="1821"/>
      <c r="AL4515" s="1821"/>
      <c r="AM4515" s="1821"/>
      <c r="AN4515" s="1821"/>
      <c r="AO4515" s="1821"/>
      <c r="AP4515" s="1821"/>
      <c r="AQ4515" s="1821"/>
      <c r="AR4515" s="1821"/>
      <c r="AS4515" s="1821"/>
      <c r="AT4515" s="1821"/>
      <c r="AU4515" s="1821"/>
      <c r="AV4515" s="1821"/>
      <c r="AW4515" s="1821"/>
      <c r="AX4515" s="1821"/>
      <c r="AY4515" s="1821"/>
      <c r="AZ4515" s="1821"/>
      <c r="BA4515" s="1821"/>
      <c r="BB4515" s="1821"/>
      <c r="BC4515" s="1821"/>
      <c r="BD4515" s="1821"/>
      <c r="BE4515" s="1821"/>
      <c r="BF4515" s="1821"/>
      <c r="BG4515" s="1821"/>
      <c r="BH4515" s="1821"/>
      <c r="BI4515" s="1821"/>
      <c r="BJ4515" s="1821"/>
      <c r="BK4515" s="1821"/>
      <c r="BL4515" s="1821"/>
      <c r="BM4515" s="1821"/>
      <c r="BN4515" s="1821"/>
      <c r="BO4515" s="1821"/>
      <c r="BP4515" s="1821"/>
      <c r="BQ4515" s="1821"/>
      <c r="BR4515" s="1821"/>
      <c r="BS4515" s="1821"/>
      <c r="BT4515" s="1821"/>
      <c r="BU4515" s="1821"/>
      <c r="BV4515" s="1821"/>
      <c r="BW4515" s="1821"/>
      <c r="BX4515" s="1821"/>
      <c r="BY4515" s="1821"/>
      <c r="BZ4515" s="1821"/>
      <c r="CA4515" s="1821"/>
      <c r="CB4515" s="1821"/>
      <c r="CC4515" s="1821"/>
      <c r="CD4515" s="1821"/>
      <c r="CE4515" s="1821"/>
      <c r="CF4515" s="1821"/>
      <c r="CG4515" s="1821"/>
      <c r="CH4515" s="1821"/>
      <c r="CI4515" s="1821"/>
      <c r="CJ4515" s="1821"/>
      <c r="CK4515" s="1821"/>
    </row>
    <row r="4516" spans="1:89" s="675" customFormat="1" ht="16.5" customHeight="1" x14ac:dyDescent="0.25">
      <c r="A4516" s="849"/>
      <c r="B4516" s="1061" t="s">
        <v>21</v>
      </c>
      <c r="C4516" s="835"/>
      <c r="D4516" s="1062"/>
      <c r="E4516" s="825"/>
      <c r="F4516" s="825"/>
      <c r="G4516" s="825"/>
      <c r="H4516" s="825"/>
      <c r="I4516" s="825">
        <f t="shared" si="516"/>
        <v>0</v>
      </c>
      <c r="J4516" s="825"/>
      <c r="K4516" s="825">
        <f>J4516+I4516</f>
        <v>0</v>
      </c>
      <c r="L4516" s="825"/>
      <c r="M4516" s="825"/>
      <c r="N4516" s="825"/>
      <c r="O4516" s="826">
        <f>N4516+K4516+H4516</f>
        <v>0</v>
      </c>
      <c r="P4516" s="702"/>
      <c r="Q4516" s="1821"/>
      <c r="R4516" s="1821"/>
      <c r="S4516" s="1821"/>
      <c r="T4516" s="1821"/>
      <c r="U4516" s="1821"/>
      <c r="V4516" s="1821"/>
      <c r="W4516" s="1821"/>
      <c r="X4516" s="1821"/>
      <c r="Y4516" s="1821"/>
      <c r="Z4516" s="1821"/>
      <c r="AA4516" s="1821"/>
      <c r="AB4516" s="1821"/>
      <c r="AC4516" s="1821"/>
      <c r="AD4516" s="1821"/>
      <c r="AE4516" s="1821"/>
      <c r="AF4516" s="1821"/>
      <c r="AG4516" s="1821"/>
      <c r="AH4516" s="1821"/>
      <c r="AI4516" s="1821"/>
      <c r="AJ4516" s="1821"/>
      <c r="AK4516" s="1821"/>
      <c r="AL4516" s="1821"/>
      <c r="AM4516" s="1821"/>
      <c r="AN4516" s="1821"/>
      <c r="AO4516" s="1821"/>
      <c r="AP4516" s="1821"/>
      <c r="AQ4516" s="1821"/>
      <c r="AR4516" s="1821"/>
      <c r="AS4516" s="1821"/>
      <c r="AT4516" s="1821"/>
      <c r="AU4516" s="1821"/>
      <c r="AV4516" s="1821"/>
      <c r="AW4516" s="1821"/>
      <c r="AX4516" s="1821"/>
      <c r="AY4516" s="1821"/>
      <c r="AZ4516" s="1821"/>
      <c r="BA4516" s="1821"/>
      <c r="BB4516" s="1821"/>
      <c r="BC4516" s="1821"/>
      <c r="BD4516" s="1821"/>
      <c r="BE4516" s="1821"/>
      <c r="BF4516" s="1821"/>
      <c r="BG4516" s="1821"/>
      <c r="BH4516" s="1821"/>
      <c r="BI4516" s="1821"/>
      <c r="BJ4516" s="1821"/>
      <c r="BK4516" s="1821"/>
      <c r="BL4516" s="1821"/>
      <c r="BM4516" s="1821"/>
      <c r="BN4516" s="1821"/>
      <c r="BO4516" s="1821"/>
      <c r="BP4516" s="1821"/>
      <c r="BQ4516" s="1821"/>
      <c r="BR4516" s="1821"/>
      <c r="BS4516" s="1821"/>
      <c r="BT4516" s="1821"/>
      <c r="BU4516" s="1821"/>
      <c r="BV4516" s="1821"/>
      <c r="BW4516" s="1821"/>
      <c r="BX4516" s="1821"/>
      <c r="BY4516" s="1821"/>
      <c r="BZ4516" s="1821"/>
      <c r="CA4516" s="1821"/>
      <c r="CB4516" s="1821"/>
      <c r="CC4516" s="1821"/>
      <c r="CD4516" s="1821"/>
      <c r="CE4516" s="1821"/>
      <c r="CF4516" s="1821"/>
      <c r="CG4516" s="1821"/>
      <c r="CH4516" s="1821"/>
      <c r="CI4516" s="1821"/>
      <c r="CJ4516" s="1821"/>
      <c r="CK4516" s="1821"/>
    </row>
    <row r="4517" spans="1:89" s="675" customFormat="1" ht="16.5" customHeight="1" x14ac:dyDescent="0.25">
      <c r="A4517" s="849"/>
      <c r="B4517" s="1061" t="s">
        <v>2247</v>
      </c>
      <c r="C4517" s="835"/>
      <c r="D4517" s="1062"/>
      <c r="E4517" s="825"/>
      <c r="F4517" s="825"/>
      <c r="G4517" s="825"/>
      <c r="H4517" s="825"/>
      <c r="I4517" s="825">
        <f t="shared" si="516"/>
        <v>0</v>
      </c>
      <c r="J4517" s="825"/>
      <c r="K4517" s="825">
        <f>J4517+I4517</f>
        <v>0</v>
      </c>
      <c r="L4517" s="825"/>
      <c r="M4517" s="825"/>
      <c r="N4517" s="825"/>
      <c r="O4517" s="826">
        <f>N4517+K4517+H4517</f>
        <v>0</v>
      </c>
      <c r="P4517" s="702"/>
      <c r="Q4517" s="1821"/>
      <c r="R4517" s="1821"/>
      <c r="S4517" s="1821"/>
      <c r="T4517" s="1821"/>
      <c r="U4517" s="1821"/>
      <c r="V4517" s="1821"/>
      <c r="W4517" s="1821"/>
      <c r="X4517" s="1821"/>
      <c r="Y4517" s="1821"/>
      <c r="Z4517" s="1821"/>
      <c r="AA4517" s="1821"/>
      <c r="AB4517" s="1821"/>
      <c r="AC4517" s="1821"/>
      <c r="AD4517" s="1821"/>
      <c r="AE4517" s="1821"/>
      <c r="AF4517" s="1821"/>
      <c r="AG4517" s="1821"/>
      <c r="AH4517" s="1821"/>
      <c r="AI4517" s="1821"/>
      <c r="AJ4517" s="1821"/>
      <c r="AK4517" s="1821"/>
      <c r="AL4517" s="1821"/>
      <c r="AM4517" s="1821"/>
      <c r="AN4517" s="1821"/>
      <c r="AO4517" s="1821"/>
      <c r="AP4517" s="1821"/>
      <c r="AQ4517" s="1821"/>
      <c r="AR4517" s="1821"/>
      <c r="AS4517" s="1821"/>
      <c r="AT4517" s="1821"/>
      <c r="AU4517" s="1821"/>
      <c r="AV4517" s="1821"/>
      <c r="AW4517" s="1821"/>
      <c r="AX4517" s="1821"/>
      <c r="AY4517" s="1821"/>
      <c r="AZ4517" s="1821"/>
      <c r="BA4517" s="1821"/>
      <c r="BB4517" s="1821"/>
      <c r="BC4517" s="1821"/>
      <c r="BD4517" s="1821"/>
      <c r="BE4517" s="1821"/>
      <c r="BF4517" s="1821"/>
      <c r="BG4517" s="1821"/>
      <c r="BH4517" s="1821"/>
      <c r="BI4517" s="1821"/>
      <c r="BJ4517" s="1821"/>
      <c r="BK4517" s="1821"/>
      <c r="BL4517" s="1821"/>
      <c r="BM4517" s="1821"/>
      <c r="BN4517" s="1821"/>
      <c r="BO4517" s="1821"/>
      <c r="BP4517" s="1821"/>
      <c r="BQ4517" s="1821"/>
      <c r="BR4517" s="1821"/>
      <c r="BS4517" s="1821"/>
      <c r="BT4517" s="1821"/>
      <c r="BU4517" s="1821"/>
      <c r="BV4517" s="1821"/>
      <c r="BW4517" s="1821"/>
      <c r="BX4517" s="1821"/>
      <c r="BY4517" s="1821"/>
      <c r="BZ4517" s="1821"/>
      <c r="CA4517" s="1821"/>
      <c r="CB4517" s="1821"/>
      <c r="CC4517" s="1821"/>
      <c r="CD4517" s="1821"/>
      <c r="CE4517" s="1821"/>
      <c r="CF4517" s="1821"/>
      <c r="CG4517" s="1821"/>
      <c r="CH4517" s="1821"/>
      <c r="CI4517" s="1821"/>
      <c r="CJ4517" s="1821"/>
      <c r="CK4517" s="1821"/>
    </row>
    <row r="4518" spans="1:89" s="675" customFormat="1" ht="16.5" customHeight="1" x14ac:dyDescent="0.25">
      <c r="A4518" s="849"/>
      <c r="B4518" s="1061" t="s">
        <v>526</v>
      </c>
      <c r="C4518" s="835">
        <v>1</v>
      </c>
      <c r="D4518" s="1062" t="s">
        <v>25</v>
      </c>
      <c r="E4518" s="825">
        <v>250250</v>
      </c>
      <c r="F4518" s="825"/>
      <c r="G4518" s="825"/>
      <c r="H4518" s="825"/>
      <c r="I4518" s="825">
        <f t="shared" si="516"/>
        <v>250250</v>
      </c>
      <c r="J4518" s="825"/>
      <c r="K4518" s="825">
        <f>J4518+I4518</f>
        <v>250250</v>
      </c>
      <c r="L4518" s="825"/>
      <c r="M4518" s="825"/>
      <c r="N4518" s="825"/>
      <c r="O4518" s="826">
        <f>N4518+K4518+H4518</f>
        <v>250250</v>
      </c>
      <c r="P4518" s="702"/>
      <c r="Q4518" s="1821"/>
      <c r="R4518" s="1821"/>
      <c r="S4518" s="1821"/>
      <c r="T4518" s="1821"/>
      <c r="U4518" s="1821"/>
      <c r="V4518" s="1821"/>
      <c r="W4518" s="1821"/>
      <c r="X4518" s="1821"/>
      <c r="Y4518" s="1821"/>
      <c r="Z4518" s="1821"/>
      <c r="AA4518" s="1821"/>
      <c r="AB4518" s="1821"/>
      <c r="AC4518" s="1821"/>
      <c r="AD4518" s="1821"/>
      <c r="AE4518" s="1821"/>
      <c r="AF4518" s="1821"/>
      <c r="AG4518" s="1821"/>
      <c r="AH4518" s="1821"/>
      <c r="AI4518" s="1821"/>
      <c r="AJ4518" s="1821"/>
      <c r="AK4518" s="1821"/>
      <c r="AL4518" s="1821"/>
      <c r="AM4518" s="1821"/>
      <c r="AN4518" s="1821"/>
      <c r="AO4518" s="1821"/>
      <c r="AP4518" s="1821"/>
      <c r="AQ4518" s="1821"/>
      <c r="AR4518" s="1821"/>
      <c r="AS4518" s="1821"/>
      <c r="AT4518" s="1821"/>
      <c r="AU4518" s="1821"/>
      <c r="AV4518" s="1821"/>
      <c r="AW4518" s="1821"/>
      <c r="AX4518" s="1821"/>
      <c r="AY4518" s="1821"/>
      <c r="AZ4518" s="1821"/>
      <c r="BA4518" s="1821"/>
      <c r="BB4518" s="1821"/>
      <c r="BC4518" s="1821"/>
      <c r="BD4518" s="1821"/>
      <c r="BE4518" s="1821"/>
      <c r="BF4518" s="1821"/>
      <c r="BG4518" s="1821"/>
      <c r="BH4518" s="1821"/>
      <c r="BI4518" s="1821"/>
      <c r="BJ4518" s="1821"/>
      <c r="BK4518" s="1821"/>
      <c r="BL4518" s="1821"/>
      <c r="BM4518" s="1821"/>
      <c r="BN4518" s="1821"/>
      <c r="BO4518" s="1821"/>
      <c r="BP4518" s="1821"/>
      <c r="BQ4518" s="1821"/>
      <c r="BR4518" s="1821"/>
      <c r="BS4518" s="1821"/>
      <c r="BT4518" s="1821"/>
      <c r="BU4518" s="1821"/>
      <c r="BV4518" s="1821"/>
      <c r="BW4518" s="1821"/>
      <c r="BX4518" s="1821"/>
      <c r="BY4518" s="1821"/>
      <c r="BZ4518" s="1821"/>
      <c r="CA4518" s="1821"/>
      <c r="CB4518" s="1821"/>
      <c r="CC4518" s="1821"/>
      <c r="CD4518" s="1821"/>
      <c r="CE4518" s="1821"/>
      <c r="CF4518" s="1821"/>
      <c r="CG4518" s="1821"/>
      <c r="CH4518" s="1821"/>
      <c r="CI4518" s="1821"/>
      <c r="CJ4518" s="1821"/>
      <c r="CK4518" s="1821"/>
    </row>
    <row r="4519" spans="1:89" s="675" customFormat="1" ht="16.5" customHeight="1" x14ac:dyDescent="0.25">
      <c r="A4519" s="849"/>
      <c r="B4519" s="1061"/>
      <c r="C4519" s="835"/>
      <c r="D4519" s="1062"/>
      <c r="E4519" s="825"/>
      <c r="F4519" s="825"/>
      <c r="G4519" s="825"/>
      <c r="H4519" s="825"/>
      <c r="I4519" s="825">
        <f t="shared" si="516"/>
        <v>0</v>
      </c>
      <c r="J4519" s="825"/>
      <c r="K4519" s="825"/>
      <c r="L4519" s="825"/>
      <c r="M4519" s="825"/>
      <c r="N4519" s="825"/>
      <c r="O4519" s="826"/>
      <c r="P4519" s="702"/>
      <c r="Q4519" s="1821"/>
      <c r="R4519" s="1821"/>
      <c r="S4519" s="1821"/>
      <c r="T4519" s="1821"/>
      <c r="U4519" s="1821"/>
      <c r="V4519" s="1821"/>
      <c r="W4519" s="1821"/>
      <c r="X4519" s="1821"/>
      <c r="Y4519" s="1821"/>
      <c r="Z4519" s="1821"/>
      <c r="AA4519" s="1821"/>
      <c r="AB4519" s="1821"/>
      <c r="AC4519" s="1821"/>
      <c r="AD4519" s="1821"/>
      <c r="AE4519" s="1821"/>
      <c r="AF4519" s="1821"/>
      <c r="AG4519" s="1821"/>
      <c r="AH4519" s="1821"/>
      <c r="AI4519" s="1821"/>
      <c r="AJ4519" s="1821"/>
      <c r="AK4519" s="1821"/>
      <c r="AL4519" s="1821"/>
      <c r="AM4519" s="1821"/>
      <c r="AN4519" s="1821"/>
      <c r="AO4519" s="1821"/>
      <c r="AP4519" s="1821"/>
      <c r="AQ4519" s="1821"/>
      <c r="AR4519" s="1821"/>
      <c r="AS4519" s="1821"/>
      <c r="AT4519" s="1821"/>
      <c r="AU4519" s="1821"/>
      <c r="AV4519" s="1821"/>
      <c r="AW4519" s="1821"/>
      <c r="AX4519" s="1821"/>
      <c r="AY4519" s="1821"/>
      <c r="AZ4519" s="1821"/>
      <c r="BA4519" s="1821"/>
      <c r="BB4519" s="1821"/>
      <c r="BC4519" s="1821"/>
      <c r="BD4519" s="1821"/>
      <c r="BE4519" s="1821"/>
      <c r="BF4519" s="1821"/>
      <c r="BG4519" s="1821"/>
      <c r="BH4519" s="1821"/>
      <c r="BI4519" s="1821"/>
      <c r="BJ4519" s="1821"/>
      <c r="BK4519" s="1821"/>
      <c r="BL4519" s="1821"/>
      <c r="BM4519" s="1821"/>
      <c r="BN4519" s="1821"/>
      <c r="BO4519" s="1821"/>
      <c r="BP4519" s="1821"/>
      <c r="BQ4519" s="1821"/>
      <c r="BR4519" s="1821"/>
      <c r="BS4519" s="1821"/>
      <c r="BT4519" s="1821"/>
      <c r="BU4519" s="1821"/>
      <c r="BV4519" s="1821"/>
      <c r="BW4519" s="1821"/>
      <c r="BX4519" s="1821"/>
      <c r="BY4519" s="1821"/>
      <c r="BZ4519" s="1821"/>
      <c r="CA4519" s="1821"/>
      <c r="CB4519" s="1821"/>
      <c r="CC4519" s="1821"/>
      <c r="CD4519" s="1821"/>
      <c r="CE4519" s="1821"/>
      <c r="CF4519" s="1821"/>
      <c r="CG4519" s="1821"/>
      <c r="CH4519" s="1821"/>
      <c r="CI4519" s="1821"/>
      <c r="CJ4519" s="1821"/>
      <c r="CK4519" s="1821"/>
    </row>
    <row r="4520" spans="1:89" s="675" customFormat="1" ht="16.5" customHeight="1" x14ac:dyDescent="0.25">
      <c r="A4520" s="849" t="s">
        <v>290</v>
      </c>
      <c r="B4520" s="1061" t="s">
        <v>527</v>
      </c>
      <c r="C4520" s="835"/>
      <c r="D4520" s="1062"/>
      <c r="E4520" s="825"/>
      <c r="F4520" s="825"/>
      <c r="G4520" s="825"/>
      <c r="H4520" s="825"/>
      <c r="I4520" s="825">
        <f t="shared" si="516"/>
        <v>0</v>
      </c>
      <c r="J4520" s="825"/>
      <c r="K4520" s="825"/>
      <c r="L4520" s="825"/>
      <c r="M4520" s="825"/>
      <c r="N4520" s="825"/>
      <c r="O4520" s="826"/>
      <c r="P4520" s="702"/>
      <c r="Q4520" s="1821"/>
      <c r="R4520" s="1821"/>
      <c r="S4520" s="1821"/>
      <c r="T4520" s="1821"/>
      <c r="U4520" s="1821"/>
      <c r="V4520" s="1821"/>
      <c r="W4520" s="1821"/>
      <c r="X4520" s="1821"/>
      <c r="Y4520" s="1821"/>
      <c r="Z4520" s="1821"/>
      <c r="AA4520" s="1821"/>
      <c r="AB4520" s="1821"/>
      <c r="AC4520" s="1821"/>
      <c r="AD4520" s="1821"/>
      <c r="AE4520" s="1821"/>
      <c r="AF4520" s="1821"/>
      <c r="AG4520" s="1821"/>
      <c r="AH4520" s="1821"/>
      <c r="AI4520" s="1821"/>
      <c r="AJ4520" s="1821"/>
      <c r="AK4520" s="1821"/>
      <c r="AL4520" s="1821"/>
      <c r="AM4520" s="1821"/>
      <c r="AN4520" s="1821"/>
      <c r="AO4520" s="1821"/>
      <c r="AP4520" s="1821"/>
      <c r="AQ4520" s="1821"/>
      <c r="AR4520" s="1821"/>
      <c r="AS4520" s="1821"/>
      <c r="AT4520" s="1821"/>
      <c r="AU4520" s="1821"/>
      <c r="AV4520" s="1821"/>
      <c r="AW4520" s="1821"/>
      <c r="AX4520" s="1821"/>
      <c r="AY4520" s="1821"/>
      <c r="AZ4520" s="1821"/>
      <c r="BA4520" s="1821"/>
      <c r="BB4520" s="1821"/>
      <c r="BC4520" s="1821"/>
      <c r="BD4520" s="1821"/>
      <c r="BE4520" s="1821"/>
      <c r="BF4520" s="1821"/>
      <c r="BG4520" s="1821"/>
      <c r="BH4520" s="1821"/>
      <c r="BI4520" s="1821"/>
      <c r="BJ4520" s="1821"/>
      <c r="BK4520" s="1821"/>
      <c r="BL4520" s="1821"/>
      <c r="BM4520" s="1821"/>
      <c r="BN4520" s="1821"/>
      <c r="BO4520" s="1821"/>
      <c r="BP4520" s="1821"/>
      <c r="BQ4520" s="1821"/>
      <c r="BR4520" s="1821"/>
      <c r="BS4520" s="1821"/>
      <c r="BT4520" s="1821"/>
      <c r="BU4520" s="1821"/>
      <c r="BV4520" s="1821"/>
      <c r="BW4520" s="1821"/>
      <c r="BX4520" s="1821"/>
      <c r="BY4520" s="1821"/>
      <c r="BZ4520" s="1821"/>
      <c r="CA4520" s="1821"/>
      <c r="CB4520" s="1821"/>
      <c r="CC4520" s="1821"/>
      <c r="CD4520" s="1821"/>
      <c r="CE4520" s="1821"/>
      <c r="CF4520" s="1821"/>
      <c r="CG4520" s="1821"/>
      <c r="CH4520" s="1821"/>
      <c r="CI4520" s="1821"/>
      <c r="CJ4520" s="1821"/>
      <c r="CK4520" s="1821"/>
    </row>
    <row r="4521" spans="1:89" s="675" customFormat="1" ht="16.5" customHeight="1" x14ac:dyDescent="0.25">
      <c r="A4521" s="849"/>
      <c r="B4521" s="1061" t="s">
        <v>21</v>
      </c>
      <c r="C4521" s="835"/>
      <c r="D4521" s="1062"/>
      <c r="E4521" s="825"/>
      <c r="F4521" s="825"/>
      <c r="G4521" s="825"/>
      <c r="H4521" s="825"/>
      <c r="I4521" s="825">
        <f t="shared" si="516"/>
        <v>0</v>
      </c>
      <c r="J4521" s="825"/>
      <c r="K4521" s="825">
        <f>J4521+I4521</f>
        <v>0</v>
      </c>
      <c r="L4521" s="825"/>
      <c r="M4521" s="825"/>
      <c r="N4521" s="825"/>
      <c r="O4521" s="826">
        <f>N4521+K4521+H4521</f>
        <v>0</v>
      </c>
      <c r="P4521" s="702"/>
      <c r="Q4521" s="1821"/>
      <c r="R4521" s="1821"/>
      <c r="S4521" s="1821"/>
      <c r="T4521" s="1821"/>
      <c r="U4521" s="1821"/>
      <c r="V4521" s="1821"/>
      <c r="W4521" s="1821"/>
      <c r="X4521" s="1821"/>
      <c r="Y4521" s="1821"/>
      <c r="Z4521" s="1821"/>
      <c r="AA4521" s="1821"/>
      <c r="AB4521" s="1821"/>
      <c r="AC4521" s="1821"/>
      <c r="AD4521" s="1821"/>
      <c r="AE4521" s="1821"/>
      <c r="AF4521" s="1821"/>
      <c r="AG4521" s="1821"/>
      <c r="AH4521" s="1821"/>
      <c r="AI4521" s="1821"/>
      <c r="AJ4521" s="1821"/>
      <c r="AK4521" s="1821"/>
      <c r="AL4521" s="1821"/>
      <c r="AM4521" s="1821"/>
      <c r="AN4521" s="1821"/>
      <c r="AO4521" s="1821"/>
      <c r="AP4521" s="1821"/>
      <c r="AQ4521" s="1821"/>
      <c r="AR4521" s="1821"/>
      <c r="AS4521" s="1821"/>
      <c r="AT4521" s="1821"/>
      <c r="AU4521" s="1821"/>
      <c r="AV4521" s="1821"/>
      <c r="AW4521" s="1821"/>
      <c r="AX4521" s="1821"/>
      <c r="AY4521" s="1821"/>
      <c r="AZ4521" s="1821"/>
      <c r="BA4521" s="1821"/>
      <c r="BB4521" s="1821"/>
      <c r="BC4521" s="1821"/>
      <c r="BD4521" s="1821"/>
      <c r="BE4521" s="1821"/>
      <c r="BF4521" s="1821"/>
      <c r="BG4521" s="1821"/>
      <c r="BH4521" s="1821"/>
      <c r="BI4521" s="1821"/>
      <c r="BJ4521" s="1821"/>
      <c r="BK4521" s="1821"/>
      <c r="BL4521" s="1821"/>
      <c r="BM4521" s="1821"/>
      <c r="BN4521" s="1821"/>
      <c r="BO4521" s="1821"/>
      <c r="BP4521" s="1821"/>
      <c r="BQ4521" s="1821"/>
      <c r="BR4521" s="1821"/>
      <c r="BS4521" s="1821"/>
      <c r="BT4521" s="1821"/>
      <c r="BU4521" s="1821"/>
      <c r="BV4521" s="1821"/>
      <c r="BW4521" s="1821"/>
      <c r="BX4521" s="1821"/>
      <c r="BY4521" s="1821"/>
      <c r="BZ4521" s="1821"/>
      <c r="CA4521" s="1821"/>
      <c r="CB4521" s="1821"/>
      <c r="CC4521" s="1821"/>
      <c r="CD4521" s="1821"/>
      <c r="CE4521" s="1821"/>
      <c r="CF4521" s="1821"/>
      <c r="CG4521" s="1821"/>
      <c r="CH4521" s="1821"/>
      <c r="CI4521" s="1821"/>
      <c r="CJ4521" s="1821"/>
      <c r="CK4521" s="1821"/>
    </row>
    <row r="4522" spans="1:89" s="675" customFormat="1" ht="16.5" customHeight="1" x14ac:dyDescent="0.25">
      <c r="A4522" s="849"/>
      <c r="B4522" s="1061" t="s">
        <v>2247</v>
      </c>
      <c r="C4522" s="835"/>
      <c r="D4522" s="1062"/>
      <c r="E4522" s="825"/>
      <c r="F4522" s="825"/>
      <c r="G4522" s="825"/>
      <c r="H4522" s="825"/>
      <c r="I4522" s="825">
        <f t="shared" si="516"/>
        <v>0</v>
      </c>
      <c r="J4522" s="825"/>
      <c r="K4522" s="825">
        <f>J4522+I4522</f>
        <v>0</v>
      </c>
      <c r="L4522" s="825"/>
      <c r="M4522" s="825"/>
      <c r="N4522" s="825"/>
      <c r="O4522" s="826">
        <f>N4522+K4522+H4522</f>
        <v>0</v>
      </c>
      <c r="P4522" s="702"/>
      <c r="Q4522" s="1821"/>
      <c r="R4522" s="1821"/>
      <c r="S4522" s="1821"/>
      <c r="T4522" s="1821"/>
      <c r="U4522" s="1821"/>
      <c r="V4522" s="1821"/>
      <c r="W4522" s="1821"/>
      <c r="X4522" s="1821"/>
      <c r="Y4522" s="1821"/>
      <c r="Z4522" s="1821"/>
      <c r="AA4522" s="1821"/>
      <c r="AB4522" s="1821"/>
      <c r="AC4522" s="1821"/>
      <c r="AD4522" s="1821"/>
      <c r="AE4522" s="1821"/>
      <c r="AF4522" s="1821"/>
      <c r="AG4522" s="1821"/>
      <c r="AH4522" s="1821"/>
      <c r="AI4522" s="1821"/>
      <c r="AJ4522" s="1821"/>
      <c r="AK4522" s="1821"/>
      <c r="AL4522" s="1821"/>
      <c r="AM4522" s="1821"/>
      <c r="AN4522" s="1821"/>
      <c r="AO4522" s="1821"/>
      <c r="AP4522" s="1821"/>
      <c r="AQ4522" s="1821"/>
      <c r="AR4522" s="1821"/>
      <c r="AS4522" s="1821"/>
      <c r="AT4522" s="1821"/>
      <c r="AU4522" s="1821"/>
      <c r="AV4522" s="1821"/>
      <c r="AW4522" s="1821"/>
      <c r="AX4522" s="1821"/>
      <c r="AY4522" s="1821"/>
      <c r="AZ4522" s="1821"/>
      <c r="BA4522" s="1821"/>
      <c r="BB4522" s="1821"/>
      <c r="BC4522" s="1821"/>
      <c r="BD4522" s="1821"/>
      <c r="BE4522" s="1821"/>
      <c r="BF4522" s="1821"/>
      <c r="BG4522" s="1821"/>
      <c r="BH4522" s="1821"/>
      <c r="BI4522" s="1821"/>
      <c r="BJ4522" s="1821"/>
      <c r="BK4522" s="1821"/>
      <c r="BL4522" s="1821"/>
      <c r="BM4522" s="1821"/>
      <c r="BN4522" s="1821"/>
      <c r="BO4522" s="1821"/>
      <c r="BP4522" s="1821"/>
      <c r="BQ4522" s="1821"/>
      <c r="BR4522" s="1821"/>
      <c r="BS4522" s="1821"/>
      <c r="BT4522" s="1821"/>
      <c r="BU4522" s="1821"/>
      <c r="BV4522" s="1821"/>
      <c r="BW4522" s="1821"/>
      <c r="BX4522" s="1821"/>
      <c r="BY4522" s="1821"/>
      <c r="BZ4522" s="1821"/>
      <c r="CA4522" s="1821"/>
      <c r="CB4522" s="1821"/>
      <c r="CC4522" s="1821"/>
      <c r="CD4522" s="1821"/>
      <c r="CE4522" s="1821"/>
      <c r="CF4522" s="1821"/>
      <c r="CG4522" s="1821"/>
      <c r="CH4522" s="1821"/>
      <c r="CI4522" s="1821"/>
      <c r="CJ4522" s="1821"/>
      <c r="CK4522" s="1821"/>
    </row>
    <row r="4523" spans="1:89" s="675" customFormat="1" ht="16.5" customHeight="1" x14ac:dyDescent="0.25">
      <c r="A4523" s="849"/>
      <c r="B4523" s="1061" t="s">
        <v>528</v>
      </c>
      <c r="C4523" s="835">
        <v>24</v>
      </c>
      <c r="D4523" s="1062" t="s">
        <v>438</v>
      </c>
      <c r="E4523" s="825">
        <v>3000</v>
      </c>
      <c r="F4523" s="825"/>
      <c r="G4523" s="825"/>
      <c r="H4523" s="825"/>
      <c r="I4523" s="825">
        <f t="shared" si="516"/>
        <v>72000</v>
      </c>
      <c r="J4523" s="825"/>
      <c r="K4523" s="825">
        <f>J4523+I4523</f>
        <v>72000</v>
      </c>
      <c r="L4523" s="825"/>
      <c r="M4523" s="825"/>
      <c r="N4523" s="825"/>
      <c r="O4523" s="826">
        <f>N4523+K4523+H4523</f>
        <v>72000</v>
      </c>
      <c r="P4523" s="702"/>
      <c r="Q4523" s="1821"/>
      <c r="R4523" s="1821"/>
      <c r="S4523" s="1821"/>
      <c r="T4523" s="1821"/>
      <c r="U4523" s="1821"/>
      <c r="V4523" s="1821"/>
      <c r="W4523" s="1821"/>
      <c r="X4523" s="1821"/>
      <c r="Y4523" s="1821"/>
      <c r="Z4523" s="1821"/>
      <c r="AA4523" s="1821"/>
      <c r="AB4523" s="1821"/>
      <c r="AC4523" s="1821"/>
      <c r="AD4523" s="1821"/>
      <c r="AE4523" s="1821"/>
      <c r="AF4523" s="1821"/>
      <c r="AG4523" s="1821"/>
      <c r="AH4523" s="1821"/>
      <c r="AI4523" s="1821"/>
      <c r="AJ4523" s="1821"/>
      <c r="AK4523" s="1821"/>
      <c r="AL4523" s="1821"/>
      <c r="AM4523" s="1821"/>
      <c r="AN4523" s="1821"/>
      <c r="AO4523" s="1821"/>
      <c r="AP4523" s="1821"/>
      <c r="AQ4523" s="1821"/>
      <c r="AR4523" s="1821"/>
      <c r="AS4523" s="1821"/>
      <c r="AT4523" s="1821"/>
      <c r="AU4523" s="1821"/>
      <c r="AV4523" s="1821"/>
      <c r="AW4523" s="1821"/>
      <c r="AX4523" s="1821"/>
      <c r="AY4523" s="1821"/>
      <c r="AZ4523" s="1821"/>
      <c r="BA4523" s="1821"/>
      <c r="BB4523" s="1821"/>
      <c r="BC4523" s="1821"/>
      <c r="BD4523" s="1821"/>
      <c r="BE4523" s="1821"/>
      <c r="BF4523" s="1821"/>
      <c r="BG4523" s="1821"/>
      <c r="BH4523" s="1821"/>
      <c r="BI4523" s="1821"/>
      <c r="BJ4523" s="1821"/>
      <c r="BK4523" s="1821"/>
      <c r="BL4523" s="1821"/>
      <c r="BM4523" s="1821"/>
      <c r="BN4523" s="1821"/>
      <c r="BO4523" s="1821"/>
      <c r="BP4523" s="1821"/>
      <c r="BQ4523" s="1821"/>
      <c r="BR4523" s="1821"/>
      <c r="BS4523" s="1821"/>
      <c r="BT4523" s="1821"/>
      <c r="BU4523" s="1821"/>
      <c r="BV4523" s="1821"/>
      <c r="BW4523" s="1821"/>
      <c r="BX4523" s="1821"/>
      <c r="BY4523" s="1821"/>
      <c r="BZ4523" s="1821"/>
      <c r="CA4523" s="1821"/>
      <c r="CB4523" s="1821"/>
      <c r="CC4523" s="1821"/>
      <c r="CD4523" s="1821"/>
      <c r="CE4523" s="1821"/>
      <c r="CF4523" s="1821"/>
      <c r="CG4523" s="1821"/>
      <c r="CH4523" s="1821"/>
      <c r="CI4523" s="1821"/>
      <c r="CJ4523" s="1821"/>
      <c r="CK4523" s="1821"/>
    </row>
    <row r="4524" spans="1:89" s="675" customFormat="1" ht="16.5" customHeight="1" x14ac:dyDescent="0.25">
      <c r="A4524" s="849"/>
      <c r="B4524" s="1061"/>
      <c r="C4524" s="835"/>
      <c r="D4524" s="1062"/>
      <c r="E4524" s="825"/>
      <c r="F4524" s="825"/>
      <c r="G4524" s="825"/>
      <c r="H4524" s="825"/>
      <c r="I4524" s="825">
        <f t="shared" si="516"/>
        <v>0</v>
      </c>
      <c r="J4524" s="825"/>
      <c r="K4524" s="825"/>
      <c r="L4524" s="825"/>
      <c r="M4524" s="825"/>
      <c r="N4524" s="825"/>
      <c r="O4524" s="826"/>
      <c r="P4524" s="702"/>
      <c r="Q4524" s="1821"/>
      <c r="R4524" s="1821"/>
      <c r="S4524" s="1821"/>
      <c r="T4524" s="1821"/>
      <c r="U4524" s="1821"/>
      <c r="V4524" s="1821"/>
      <c r="W4524" s="1821"/>
      <c r="X4524" s="1821"/>
      <c r="Y4524" s="1821"/>
      <c r="Z4524" s="1821"/>
      <c r="AA4524" s="1821"/>
      <c r="AB4524" s="1821"/>
      <c r="AC4524" s="1821"/>
      <c r="AD4524" s="1821"/>
      <c r="AE4524" s="1821"/>
      <c r="AF4524" s="1821"/>
      <c r="AG4524" s="1821"/>
      <c r="AH4524" s="1821"/>
      <c r="AI4524" s="1821"/>
      <c r="AJ4524" s="1821"/>
      <c r="AK4524" s="1821"/>
      <c r="AL4524" s="1821"/>
      <c r="AM4524" s="1821"/>
      <c r="AN4524" s="1821"/>
      <c r="AO4524" s="1821"/>
      <c r="AP4524" s="1821"/>
      <c r="AQ4524" s="1821"/>
      <c r="AR4524" s="1821"/>
      <c r="AS4524" s="1821"/>
      <c r="AT4524" s="1821"/>
      <c r="AU4524" s="1821"/>
      <c r="AV4524" s="1821"/>
      <c r="AW4524" s="1821"/>
      <c r="AX4524" s="1821"/>
      <c r="AY4524" s="1821"/>
      <c r="AZ4524" s="1821"/>
      <c r="BA4524" s="1821"/>
      <c r="BB4524" s="1821"/>
      <c r="BC4524" s="1821"/>
      <c r="BD4524" s="1821"/>
      <c r="BE4524" s="1821"/>
      <c r="BF4524" s="1821"/>
      <c r="BG4524" s="1821"/>
      <c r="BH4524" s="1821"/>
      <c r="BI4524" s="1821"/>
      <c r="BJ4524" s="1821"/>
      <c r="BK4524" s="1821"/>
      <c r="BL4524" s="1821"/>
      <c r="BM4524" s="1821"/>
      <c r="BN4524" s="1821"/>
      <c r="BO4524" s="1821"/>
      <c r="BP4524" s="1821"/>
      <c r="BQ4524" s="1821"/>
      <c r="BR4524" s="1821"/>
      <c r="BS4524" s="1821"/>
      <c r="BT4524" s="1821"/>
      <c r="BU4524" s="1821"/>
      <c r="BV4524" s="1821"/>
      <c r="BW4524" s="1821"/>
      <c r="BX4524" s="1821"/>
      <c r="BY4524" s="1821"/>
      <c r="BZ4524" s="1821"/>
      <c r="CA4524" s="1821"/>
      <c r="CB4524" s="1821"/>
      <c r="CC4524" s="1821"/>
      <c r="CD4524" s="1821"/>
      <c r="CE4524" s="1821"/>
      <c r="CF4524" s="1821"/>
      <c r="CG4524" s="1821"/>
      <c r="CH4524" s="1821"/>
      <c r="CI4524" s="1821"/>
      <c r="CJ4524" s="1821"/>
      <c r="CK4524" s="1821"/>
    </row>
    <row r="4525" spans="1:89" s="675" customFormat="1" ht="16.5" customHeight="1" x14ac:dyDescent="0.25">
      <c r="A4525" s="849" t="s">
        <v>302</v>
      </c>
      <c r="B4525" s="1061" t="s">
        <v>442</v>
      </c>
      <c r="C4525" s="835"/>
      <c r="D4525" s="1062"/>
      <c r="E4525" s="825"/>
      <c r="F4525" s="825"/>
      <c r="G4525" s="825"/>
      <c r="H4525" s="825"/>
      <c r="I4525" s="825">
        <f t="shared" si="516"/>
        <v>0</v>
      </c>
      <c r="J4525" s="825"/>
      <c r="K4525" s="825"/>
      <c r="L4525" s="825"/>
      <c r="M4525" s="825"/>
      <c r="N4525" s="825"/>
      <c r="O4525" s="826"/>
      <c r="P4525" s="702"/>
      <c r="Q4525" s="1821"/>
      <c r="R4525" s="1821"/>
      <c r="S4525" s="1821"/>
      <c r="T4525" s="1821"/>
      <c r="U4525" s="1821"/>
      <c r="V4525" s="1821"/>
      <c r="W4525" s="1821"/>
      <c r="X4525" s="1821"/>
      <c r="Y4525" s="1821"/>
      <c r="Z4525" s="1821"/>
      <c r="AA4525" s="1821"/>
      <c r="AB4525" s="1821"/>
      <c r="AC4525" s="1821"/>
      <c r="AD4525" s="1821"/>
      <c r="AE4525" s="1821"/>
      <c r="AF4525" s="1821"/>
      <c r="AG4525" s="1821"/>
      <c r="AH4525" s="1821"/>
      <c r="AI4525" s="1821"/>
      <c r="AJ4525" s="1821"/>
      <c r="AK4525" s="1821"/>
      <c r="AL4525" s="1821"/>
      <c r="AM4525" s="1821"/>
      <c r="AN4525" s="1821"/>
      <c r="AO4525" s="1821"/>
      <c r="AP4525" s="1821"/>
      <c r="AQ4525" s="1821"/>
      <c r="AR4525" s="1821"/>
      <c r="AS4525" s="1821"/>
      <c r="AT4525" s="1821"/>
      <c r="AU4525" s="1821"/>
      <c r="AV4525" s="1821"/>
      <c r="AW4525" s="1821"/>
      <c r="AX4525" s="1821"/>
      <c r="AY4525" s="1821"/>
      <c r="AZ4525" s="1821"/>
      <c r="BA4525" s="1821"/>
      <c r="BB4525" s="1821"/>
      <c r="BC4525" s="1821"/>
      <c r="BD4525" s="1821"/>
      <c r="BE4525" s="1821"/>
      <c r="BF4525" s="1821"/>
      <c r="BG4525" s="1821"/>
      <c r="BH4525" s="1821"/>
      <c r="BI4525" s="1821"/>
      <c r="BJ4525" s="1821"/>
      <c r="BK4525" s="1821"/>
      <c r="BL4525" s="1821"/>
      <c r="BM4525" s="1821"/>
      <c r="BN4525" s="1821"/>
      <c r="BO4525" s="1821"/>
      <c r="BP4525" s="1821"/>
      <c r="BQ4525" s="1821"/>
      <c r="BR4525" s="1821"/>
      <c r="BS4525" s="1821"/>
      <c r="BT4525" s="1821"/>
      <c r="BU4525" s="1821"/>
      <c r="BV4525" s="1821"/>
      <c r="BW4525" s="1821"/>
      <c r="BX4525" s="1821"/>
      <c r="BY4525" s="1821"/>
      <c r="BZ4525" s="1821"/>
      <c r="CA4525" s="1821"/>
      <c r="CB4525" s="1821"/>
      <c r="CC4525" s="1821"/>
      <c r="CD4525" s="1821"/>
      <c r="CE4525" s="1821"/>
      <c r="CF4525" s="1821"/>
      <c r="CG4525" s="1821"/>
      <c r="CH4525" s="1821"/>
      <c r="CI4525" s="1821"/>
      <c r="CJ4525" s="1821"/>
      <c r="CK4525" s="1821"/>
    </row>
    <row r="4526" spans="1:89" s="675" customFormat="1" ht="16.5" customHeight="1" x14ac:dyDescent="0.25">
      <c r="A4526" s="849"/>
      <c r="B4526" s="1061" t="s">
        <v>314</v>
      </c>
      <c r="C4526" s="835"/>
      <c r="D4526" s="1062"/>
      <c r="E4526" s="825"/>
      <c r="F4526" s="825"/>
      <c r="G4526" s="825"/>
      <c r="H4526" s="825"/>
      <c r="I4526" s="825">
        <f t="shared" si="516"/>
        <v>0</v>
      </c>
      <c r="J4526" s="825"/>
      <c r="K4526" s="825">
        <f t="shared" ref="K4526:K4542" si="520">J4526+I4526</f>
        <v>0</v>
      </c>
      <c r="L4526" s="825"/>
      <c r="M4526" s="825"/>
      <c r="N4526" s="825"/>
      <c r="O4526" s="826">
        <f t="shared" ref="O4526:O4542" si="521">N4526+K4526+H4526</f>
        <v>0</v>
      </c>
      <c r="P4526" s="702"/>
      <c r="Q4526" s="1821"/>
      <c r="R4526" s="1821"/>
      <c r="S4526" s="1821"/>
      <c r="T4526" s="1821"/>
      <c r="U4526" s="1821"/>
      <c r="V4526" s="1821"/>
      <c r="W4526" s="1821"/>
      <c r="X4526" s="1821"/>
      <c r="Y4526" s="1821"/>
      <c r="Z4526" s="1821"/>
      <c r="AA4526" s="1821"/>
      <c r="AB4526" s="1821"/>
      <c r="AC4526" s="1821"/>
      <c r="AD4526" s="1821"/>
      <c r="AE4526" s="1821"/>
      <c r="AF4526" s="1821"/>
      <c r="AG4526" s="1821"/>
      <c r="AH4526" s="1821"/>
      <c r="AI4526" s="1821"/>
      <c r="AJ4526" s="1821"/>
      <c r="AK4526" s="1821"/>
      <c r="AL4526" s="1821"/>
      <c r="AM4526" s="1821"/>
      <c r="AN4526" s="1821"/>
      <c r="AO4526" s="1821"/>
      <c r="AP4526" s="1821"/>
      <c r="AQ4526" s="1821"/>
      <c r="AR4526" s="1821"/>
      <c r="AS4526" s="1821"/>
      <c r="AT4526" s="1821"/>
      <c r="AU4526" s="1821"/>
      <c r="AV4526" s="1821"/>
      <c r="AW4526" s="1821"/>
      <c r="AX4526" s="1821"/>
      <c r="AY4526" s="1821"/>
      <c r="AZ4526" s="1821"/>
      <c r="BA4526" s="1821"/>
      <c r="BB4526" s="1821"/>
      <c r="BC4526" s="1821"/>
      <c r="BD4526" s="1821"/>
      <c r="BE4526" s="1821"/>
      <c r="BF4526" s="1821"/>
      <c r="BG4526" s="1821"/>
      <c r="BH4526" s="1821"/>
      <c r="BI4526" s="1821"/>
      <c r="BJ4526" s="1821"/>
      <c r="BK4526" s="1821"/>
      <c r="BL4526" s="1821"/>
      <c r="BM4526" s="1821"/>
      <c r="BN4526" s="1821"/>
      <c r="BO4526" s="1821"/>
      <c r="BP4526" s="1821"/>
      <c r="BQ4526" s="1821"/>
      <c r="BR4526" s="1821"/>
      <c r="BS4526" s="1821"/>
      <c r="BT4526" s="1821"/>
      <c r="BU4526" s="1821"/>
      <c r="BV4526" s="1821"/>
      <c r="BW4526" s="1821"/>
      <c r="BX4526" s="1821"/>
      <c r="BY4526" s="1821"/>
      <c r="BZ4526" s="1821"/>
      <c r="CA4526" s="1821"/>
      <c r="CB4526" s="1821"/>
      <c r="CC4526" s="1821"/>
      <c r="CD4526" s="1821"/>
      <c r="CE4526" s="1821"/>
      <c r="CF4526" s="1821"/>
      <c r="CG4526" s="1821"/>
      <c r="CH4526" s="1821"/>
      <c r="CI4526" s="1821"/>
      <c r="CJ4526" s="1821"/>
      <c r="CK4526" s="1821"/>
    </row>
    <row r="4527" spans="1:89" s="675" customFormat="1" ht="16.5" customHeight="1" x14ac:dyDescent="0.25">
      <c r="A4527" s="849"/>
      <c r="B4527" s="1061" t="s">
        <v>2247</v>
      </c>
      <c r="C4527" s="835"/>
      <c r="D4527" s="1062"/>
      <c r="E4527" s="825"/>
      <c r="F4527" s="825"/>
      <c r="G4527" s="825"/>
      <c r="H4527" s="825"/>
      <c r="I4527" s="825">
        <f t="shared" si="516"/>
        <v>0</v>
      </c>
      <c r="J4527" s="825"/>
      <c r="K4527" s="825">
        <f t="shared" si="520"/>
        <v>0</v>
      </c>
      <c r="L4527" s="825"/>
      <c r="M4527" s="825"/>
      <c r="N4527" s="825"/>
      <c r="O4527" s="826">
        <f t="shared" si="521"/>
        <v>0</v>
      </c>
      <c r="P4527" s="702"/>
      <c r="Q4527" s="1821"/>
      <c r="R4527" s="1821"/>
      <c r="S4527" s="1821"/>
      <c r="T4527" s="1821"/>
      <c r="U4527" s="1821"/>
      <c r="V4527" s="1821"/>
      <c r="W4527" s="1821"/>
      <c r="X4527" s="1821"/>
      <c r="Y4527" s="1821"/>
      <c r="Z4527" s="1821"/>
      <c r="AA4527" s="1821"/>
      <c r="AB4527" s="1821"/>
      <c r="AC4527" s="1821"/>
      <c r="AD4527" s="1821"/>
      <c r="AE4527" s="1821"/>
      <c r="AF4527" s="1821"/>
      <c r="AG4527" s="1821"/>
      <c r="AH4527" s="1821"/>
      <c r="AI4527" s="1821"/>
      <c r="AJ4527" s="1821"/>
      <c r="AK4527" s="1821"/>
      <c r="AL4527" s="1821"/>
      <c r="AM4527" s="1821"/>
      <c r="AN4527" s="1821"/>
      <c r="AO4527" s="1821"/>
      <c r="AP4527" s="1821"/>
      <c r="AQ4527" s="1821"/>
      <c r="AR4527" s="1821"/>
      <c r="AS4527" s="1821"/>
      <c r="AT4527" s="1821"/>
      <c r="AU4527" s="1821"/>
      <c r="AV4527" s="1821"/>
      <c r="AW4527" s="1821"/>
      <c r="AX4527" s="1821"/>
      <c r="AY4527" s="1821"/>
      <c r="AZ4527" s="1821"/>
      <c r="BA4527" s="1821"/>
      <c r="BB4527" s="1821"/>
      <c r="BC4527" s="1821"/>
      <c r="BD4527" s="1821"/>
      <c r="BE4527" s="1821"/>
      <c r="BF4527" s="1821"/>
      <c r="BG4527" s="1821"/>
      <c r="BH4527" s="1821"/>
      <c r="BI4527" s="1821"/>
      <c r="BJ4527" s="1821"/>
      <c r="BK4527" s="1821"/>
      <c r="BL4527" s="1821"/>
      <c r="BM4527" s="1821"/>
      <c r="BN4527" s="1821"/>
      <c r="BO4527" s="1821"/>
      <c r="BP4527" s="1821"/>
      <c r="BQ4527" s="1821"/>
      <c r="BR4527" s="1821"/>
      <c r="BS4527" s="1821"/>
      <c r="BT4527" s="1821"/>
      <c r="BU4527" s="1821"/>
      <c r="BV4527" s="1821"/>
      <c r="BW4527" s="1821"/>
      <c r="BX4527" s="1821"/>
      <c r="BY4527" s="1821"/>
      <c r="BZ4527" s="1821"/>
      <c r="CA4527" s="1821"/>
      <c r="CB4527" s="1821"/>
      <c r="CC4527" s="1821"/>
      <c r="CD4527" s="1821"/>
      <c r="CE4527" s="1821"/>
      <c r="CF4527" s="1821"/>
      <c r="CG4527" s="1821"/>
      <c r="CH4527" s="1821"/>
      <c r="CI4527" s="1821"/>
      <c r="CJ4527" s="1821"/>
      <c r="CK4527" s="1821"/>
    </row>
    <row r="4528" spans="1:89" s="675" customFormat="1" ht="16.5" customHeight="1" x14ac:dyDescent="0.25">
      <c r="A4528" s="849"/>
      <c r="B4528" s="1061" t="s">
        <v>529</v>
      </c>
      <c r="C4528" s="835">
        <v>1</v>
      </c>
      <c r="D4528" s="1062" t="s">
        <v>25</v>
      </c>
      <c r="E4528" s="825">
        <f>1500000-100000</f>
        <v>1400000</v>
      </c>
      <c r="F4528" s="825"/>
      <c r="G4528" s="825"/>
      <c r="H4528" s="825"/>
      <c r="I4528" s="825">
        <f t="shared" si="516"/>
        <v>1400000</v>
      </c>
      <c r="J4528" s="825"/>
      <c r="K4528" s="825">
        <f t="shared" si="520"/>
        <v>1400000</v>
      </c>
      <c r="L4528" s="825"/>
      <c r="M4528" s="825"/>
      <c r="N4528" s="825"/>
      <c r="O4528" s="826">
        <f t="shared" si="521"/>
        <v>1400000</v>
      </c>
      <c r="P4528" s="702"/>
      <c r="Q4528" s="1821"/>
      <c r="R4528" s="1821"/>
      <c r="S4528" s="1821"/>
      <c r="T4528" s="1821"/>
      <c r="U4528" s="1821"/>
      <c r="V4528" s="1821"/>
      <c r="W4528" s="1821"/>
      <c r="X4528" s="1821"/>
      <c r="Y4528" s="1821"/>
      <c r="Z4528" s="1821"/>
      <c r="AA4528" s="1821"/>
      <c r="AB4528" s="1821"/>
      <c r="AC4528" s="1821"/>
      <c r="AD4528" s="1821"/>
      <c r="AE4528" s="1821"/>
      <c r="AF4528" s="1821"/>
      <c r="AG4528" s="1821"/>
      <c r="AH4528" s="1821"/>
      <c r="AI4528" s="1821"/>
      <c r="AJ4528" s="1821"/>
      <c r="AK4528" s="1821"/>
      <c r="AL4528" s="1821"/>
      <c r="AM4528" s="1821"/>
      <c r="AN4528" s="1821"/>
      <c r="AO4528" s="1821"/>
      <c r="AP4528" s="1821"/>
      <c r="AQ4528" s="1821"/>
      <c r="AR4528" s="1821"/>
      <c r="AS4528" s="1821"/>
      <c r="AT4528" s="1821"/>
      <c r="AU4528" s="1821"/>
      <c r="AV4528" s="1821"/>
      <c r="AW4528" s="1821"/>
      <c r="AX4528" s="1821"/>
      <c r="AY4528" s="1821"/>
      <c r="AZ4528" s="1821"/>
      <c r="BA4528" s="1821"/>
      <c r="BB4528" s="1821"/>
      <c r="BC4528" s="1821"/>
      <c r="BD4528" s="1821"/>
      <c r="BE4528" s="1821"/>
      <c r="BF4528" s="1821"/>
      <c r="BG4528" s="1821"/>
      <c r="BH4528" s="1821"/>
      <c r="BI4528" s="1821"/>
      <c r="BJ4528" s="1821"/>
      <c r="BK4528" s="1821"/>
      <c r="BL4528" s="1821"/>
      <c r="BM4528" s="1821"/>
      <c r="BN4528" s="1821"/>
      <c r="BO4528" s="1821"/>
      <c r="BP4528" s="1821"/>
      <c r="BQ4528" s="1821"/>
      <c r="BR4528" s="1821"/>
      <c r="BS4528" s="1821"/>
      <c r="BT4528" s="1821"/>
      <c r="BU4528" s="1821"/>
      <c r="BV4528" s="1821"/>
      <c r="BW4528" s="1821"/>
      <c r="BX4528" s="1821"/>
      <c r="BY4528" s="1821"/>
      <c r="BZ4528" s="1821"/>
      <c r="CA4528" s="1821"/>
      <c r="CB4528" s="1821"/>
      <c r="CC4528" s="1821"/>
      <c r="CD4528" s="1821"/>
      <c r="CE4528" s="1821"/>
      <c r="CF4528" s="1821"/>
      <c r="CG4528" s="1821"/>
      <c r="CH4528" s="1821"/>
      <c r="CI4528" s="1821"/>
      <c r="CJ4528" s="1821"/>
      <c r="CK4528" s="1821"/>
    </row>
    <row r="4529" spans="1:89" s="675" customFormat="1" ht="16.5" customHeight="1" x14ac:dyDescent="0.25">
      <c r="A4529" s="849"/>
      <c r="B4529" s="1061"/>
      <c r="C4529" s="835"/>
      <c r="D4529" s="1062"/>
      <c r="E4529" s="825"/>
      <c r="F4529" s="825"/>
      <c r="G4529" s="825"/>
      <c r="H4529" s="825"/>
      <c r="I4529" s="825">
        <f t="shared" si="516"/>
        <v>0</v>
      </c>
      <c r="J4529" s="825"/>
      <c r="K4529" s="825"/>
      <c r="L4529" s="825"/>
      <c r="M4529" s="825"/>
      <c r="N4529" s="825"/>
      <c r="O4529" s="826"/>
      <c r="P4529" s="702"/>
      <c r="Q4529" s="1821"/>
      <c r="R4529" s="1821"/>
      <c r="S4529" s="1821"/>
      <c r="T4529" s="1821"/>
      <c r="U4529" s="1821"/>
      <c r="V4529" s="1821"/>
      <c r="W4529" s="1821"/>
      <c r="X4529" s="1821"/>
      <c r="Y4529" s="1821"/>
      <c r="Z4529" s="1821"/>
      <c r="AA4529" s="1821"/>
      <c r="AB4529" s="1821"/>
      <c r="AC4529" s="1821"/>
      <c r="AD4529" s="1821"/>
      <c r="AE4529" s="1821"/>
      <c r="AF4529" s="1821"/>
      <c r="AG4529" s="1821"/>
      <c r="AH4529" s="1821"/>
      <c r="AI4529" s="1821"/>
      <c r="AJ4529" s="1821"/>
      <c r="AK4529" s="1821"/>
      <c r="AL4529" s="1821"/>
      <c r="AM4529" s="1821"/>
      <c r="AN4529" s="1821"/>
      <c r="AO4529" s="1821"/>
      <c r="AP4529" s="1821"/>
      <c r="AQ4529" s="1821"/>
      <c r="AR4529" s="1821"/>
      <c r="AS4529" s="1821"/>
      <c r="AT4529" s="1821"/>
      <c r="AU4529" s="1821"/>
      <c r="AV4529" s="1821"/>
      <c r="AW4529" s="1821"/>
      <c r="AX4529" s="1821"/>
      <c r="AY4529" s="1821"/>
      <c r="AZ4529" s="1821"/>
      <c r="BA4529" s="1821"/>
      <c r="BB4529" s="1821"/>
      <c r="BC4529" s="1821"/>
      <c r="BD4529" s="1821"/>
      <c r="BE4529" s="1821"/>
      <c r="BF4529" s="1821"/>
      <c r="BG4529" s="1821"/>
      <c r="BH4529" s="1821"/>
      <c r="BI4529" s="1821"/>
      <c r="BJ4529" s="1821"/>
      <c r="BK4529" s="1821"/>
      <c r="BL4529" s="1821"/>
      <c r="BM4529" s="1821"/>
      <c r="BN4529" s="1821"/>
      <c r="BO4529" s="1821"/>
      <c r="BP4529" s="1821"/>
      <c r="BQ4529" s="1821"/>
      <c r="BR4529" s="1821"/>
      <c r="BS4529" s="1821"/>
      <c r="BT4529" s="1821"/>
      <c r="BU4529" s="1821"/>
      <c r="BV4529" s="1821"/>
      <c r="BW4529" s="1821"/>
      <c r="BX4529" s="1821"/>
      <c r="BY4529" s="1821"/>
      <c r="BZ4529" s="1821"/>
      <c r="CA4529" s="1821"/>
      <c r="CB4529" s="1821"/>
      <c r="CC4529" s="1821"/>
      <c r="CD4529" s="1821"/>
      <c r="CE4529" s="1821"/>
      <c r="CF4529" s="1821"/>
      <c r="CG4529" s="1821"/>
      <c r="CH4529" s="1821"/>
      <c r="CI4529" s="1821"/>
      <c r="CJ4529" s="1821"/>
      <c r="CK4529" s="1821"/>
    </row>
    <row r="4530" spans="1:89" s="675" customFormat="1" ht="16.5" customHeight="1" x14ac:dyDescent="0.25">
      <c r="A4530" s="849"/>
      <c r="B4530" s="1061" t="s">
        <v>21</v>
      </c>
      <c r="C4530" s="835"/>
      <c r="D4530" s="1062"/>
      <c r="E4530" s="825"/>
      <c r="F4530" s="825"/>
      <c r="G4530" s="825"/>
      <c r="H4530" s="825"/>
      <c r="I4530" s="825">
        <f t="shared" si="516"/>
        <v>0</v>
      </c>
      <c r="J4530" s="825"/>
      <c r="K4530" s="825">
        <f t="shared" si="520"/>
        <v>0</v>
      </c>
      <c r="L4530" s="825"/>
      <c r="M4530" s="825"/>
      <c r="N4530" s="825"/>
      <c r="O4530" s="826">
        <f t="shared" si="521"/>
        <v>0</v>
      </c>
      <c r="P4530" s="702"/>
      <c r="Q4530" s="1821"/>
      <c r="R4530" s="1821"/>
      <c r="S4530" s="1821"/>
      <c r="T4530" s="1821"/>
      <c r="U4530" s="1821"/>
      <c r="V4530" s="1821"/>
      <c r="W4530" s="1821"/>
      <c r="X4530" s="1821"/>
      <c r="Y4530" s="1821"/>
      <c r="Z4530" s="1821"/>
      <c r="AA4530" s="1821"/>
      <c r="AB4530" s="1821"/>
      <c r="AC4530" s="1821"/>
      <c r="AD4530" s="1821"/>
      <c r="AE4530" s="1821"/>
      <c r="AF4530" s="1821"/>
      <c r="AG4530" s="1821"/>
      <c r="AH4530" s="1821"/>
      <c r="AI4530" s="1821"/>
      <c r="AJ4530" s="1821"/>
      <c r="AK4530" s="1821"/>
      <c r="AL4530" s="1821"/>
      <c r="AM4530" s="1821"/>
      <c r="AN4530" s="1821"/>
      <c r="AO4530" s="1821"/>
      <c r="AP4530" s="1821"/>
      <c r="AQ4530" s="1821"/>
      <c r="AR4530" s="1821"/>
      <c r="AS4530" s="1821"/>
      <c r="AT4530" s="1821"/>
      <c r="AU4530" s="1821"/>
      <c r="AV4530" s="1821"/>
      <c r="AW4530" s="1821"/>
      <c r="AX4530" s="1821"/>
      <c r="AY4530" s="1821"/>
      <c r="AZ4530" s="1821"/>
      <c r="BA4530" s="1821"/>
      <c r="BB4530" s="1821"/>
      <c r="BC4530" s="1821"/>
      <c r="BD4530" s="1821"/>
      <c r="BE4530" s="1821"/>
      <c r="BF4530" s="1821"/>
      <c r="BG4530" s="1821"/>
      <c r="BH4530" s="1821"/>
      <c r="BI4530" s="1821"/>
      <c r="BJ4530" s="1821"/>
      <c r="BK4530" s="1821"/>
      <c r="BL4530" s="1821"/>
      <c r="BM4530" s="1821"/>
      <c r="BN4530" s="1821"/>
      <c r="BO4530" s="1821"/>
      <c r="BP4530" s="1821"/>
      <c r="BQ4530" s="1821"/>
      <c r="BR4530" s="1821"/>
      <c r="BS4530" s="1821"/>
      <c r="BT4530" s="1821"/>
      <c r="BU4530" s="1821"/>
      <c r="BV4530" s="1821"/>
      <c r="BW4530" s="1821"/>
      <c r="BX4530" s="1821"/>
      <c r="BY4530" s="1821"/>
      <c r="BZ4530" s="1821"/>
      <c r="CA4530" s="1821"/>
      <c r="CB4530" s="1821"/>
      <c r="CC4530" s="1821"/>
      <c r="CD4530" s="1821"/>
      <c r="CE4530" s="1821"/>
      <c r="CF4530" s="1821"/>
      <c r="CG4530" s="1821"/>
      <c r="CH4530" s="1821"/>
      <c r="CI4530" s="1821"/>
      <c r="CJ4530" s="1821"/>
      <c r="CK4530" s="1821"/>
    </row>
    <row r="4531" spans="1:89" s="675" customFormat="1" ht="16.5" customHeight="1" x14ac:dyDescent="0.25">
      <c r="A4531" s="849"/>
      <c r="B4531" s="1061" t="s">
        <v>2247</v>
      </c>
      <c r="C4531" s="835"/>
      <c r="D4531" s="1062"/>
      <c r="E4531" s="825"/>
      <c r="F4531" s="825"/>
      <c r="G4531" s="825"/>
      <c r="H4531" s="825"/>
      <c r="I4531" s="825">
        <f t="shared" si="516"/>
        <v>0</v>
      </c>
      <c r="J4531" s="825"/>
      <c r="K4531" s="825">
        <f t="shared" si="520"/>
        <v>0</v>
      </c>
      <c r="L4531" s="825"/>
      <c r="M4531" s="825"/>
      <c r="N4531" s="825"/>
      <c r="O4531" s="826">
        <f t="shared" si="521"/>
        <v>0</v>
      </c>
      <c r="P4531" s="702"/>
      <c r="Q4531" s="1821"/>
      <c r="R4531" s="1821"/>
      <c r="S4531" s="1821"/>
      <c r="T4531" s="1821"/>
      <c r="U4531" s="1821"/>
      <c r="V4531" s="1821"/>
      <c r="W4531" s="1821"/>
      <c r="X4531" s="1821"/>
      <c r="Y4531" s="1821"/>
      <c r="Z4531" s="1821"/>
      <c r="AA4531" s="1821"/>
      <c r="AB4531" s="1821"/>
      <c r="AC4531" s="1821"/>
      <c r="AD4531" s="1821"/>
      <c r="AE4531" s="1821"/>
      <c r="AF4531" s="1821"/>
      <c r="AG4531" s="1821"/>
      <c r="AH4531" s="1821"/>
      <c r="AI4531" s="1821"/>
      <c r="AJ4531" s="1821"/>
      <c r="AK4531" s="1821"/>
      <c r="AL4531" s="1821"/>
      <c r="AM4531" s="1821"/>
      <c r="AN4531" s="1821"/>
      <c r="AO4531" s="1821"/>
      <c r="AP4531" s="1821"/>
      <c r="AQ4531" s="1821"/>
      <c r="AR4531" s="1821"/>
      <c r="AS4531" s="1821"/>
      <c r="AT4531" s="1821"/>
      <c r="AU4531" s="1821"/>
      <c r="AV4531" s="1821"/>
      <c r="AW4531" s="1821"/>
      <c r="AX4531" s="1821"/>
      <c r="AY4531" s="1821"/>
      <c r="AZ4531" s="1821"/>
      <c r="BA4531" s="1821"/>
      <c r="BB4531" s="1821"/>
      <c r="BC4531" s="1821"/>
      <c r="BD4531" s="1821"/>
      <c r="BE4531" s="1821"/>
      <c r="BF4531" s="1821"/>
      <c r="BG4531" s="1821"/>
      <c r="BH4531" s="1821"/>
      <c r="BI4531" s="1821"/>
      <c r="BJ4531" s="1821"/>
      <c r="BK4531" s="1821"/>
      <c r="BL4531" s="1821"/>
      <c r="BM4531" s="1821"/>
      <c r="BN4531" s="1821"/>
      <c r="BO4531" s="1821"/>
      <c r="BP4531" s="1821"/>
      <c r="BQ4531" s="1821"/>
      <c r="BR4531" s="1821"/>
      <c r="BS4531" s="1821"/>
      <c r="BT4531" s="1821"/>
      <c r="BU4531" s="1821"/>
      <c r="BV4531" s="1821"/>
      <c r="BW4531" s="1821"/>
      <c r="BX4531" s="1821"/>
      <c r="BY4531" s="1821"/>
      <c r="BZ4531" s="1821"/>
      <c r="CA4531" s="1821"/>
      <c r="CB4531" s="1821"/>
      <c r="CC4531" s="1821"/>
      <c r="CD4531" s="1821"/>
      <c r="CE4531" s="1821"/>
      <c r="CF4531" s="1821"/>
      <c r="CG4531" s="1821"/>
      <c r="CH4531" s="1821"/>
      <c r="CI4531" s="1821"/>
      <c r="CJ4531" s="1821"/>
      <c r="CK4531" s="1821"/>
    </row>
    <row r="4532" spans="1:89" s="675" customFormat="1" ht="16.5" customHeight="1" x14ac:dyDescent="0.25">
      <c r="A4532" s="849"/>
      <c r="B4532" s="1061" t="s">
        <v>530</v>
      </c>
      <c r="C4532" s="835">
        <v>1</v>
      </c>
      <c r="D4532" s="1062" t="s">
        <v>25</v>
      </c>
      <c r="E4532" s="825">
        <f>250211+13400</f>
        <v>263611</v>
      </c>
      <c r="F4532" s="825"/>
      <c r="G4532" s="825"/>
      <c r="H4532" s="825"/>
      <c r="I4532" s="825">
        <f t="shared" si="516"/>
        <v>263611</v>
      </c>
      <c r="J4532" s="825"/>
      <c r="K4532" s="825">
        <f t="shared" si="520"/>
        <v>263611</v>
      </c>
      <c r="L4532" s="825"/>
      <c r="M4532" s="825"/>
      <c r="N4532" s="825"/>
      <c r="O4532" s="826">
        <f t="shared" si="521"/>
        <v>263611</v>
      </c>
      <c r="P4532" s="702"/>
      <c r="Q4532" s="1821"/>
      <c r="R4532" s="1821"/>
      <c r="S4532" s="1821"/>
      <c r="T4532" s="1821"/>
      <c r="U4532" s="1821"/>
      <c r="V4532" s="1821"/>
      <c r="W4532" s="1821"/>
      <c r="X4532" s="1821"/>
      <c r="Y4532" s="1821"/>
      <c r="Z4532" s="1821"/>
      <c r="AA4532" s="1821"/>
      <c r="AB4532" s="1821"/>
      <c r="AC4532" s="1821"/>
      <c r="AD4532" s="1821"/>
      <c r="AE4532" s="1821"/>
      <c r="AF4532" s="1821"/>
      <c r="AG4532" s="1821"/>
      <c r="AH4532" s="1821"/>
      <c r="AI4532" s="1821"/>
      <c r="AJ4532" s="1821"/>
      <c r="AK4532" s="1821"/>
      <c r="AL4532" s="1821"/>
      <c r="AM4532" s="1821"/>
      <c r="AN4532" s="1821"/>
      <c r="AO4532" s="1821"/>
      <c r="AP4532" s="1821"/>
      <c r="AQ4532" s="1821"/>
      <c r="AR4532" s="1821"/>
      <c r="AS4532" s="1821"/>
      <c r="AT4532" s="1821"/>
      <c r="AU4532" s="1821"/>
      <c r="AV4532" s="1821"/>
      <c r="AW4532" s="1821"/>
      <c r="AX4532" s="1821"/>
      <c r="AY4532" s="1821"/>
      <c r="AZ4532" s="1821"/>
      <c r="BA4532" s="1821"/>
      <c r="BB4532" s="1821"/>
      <c r="BC4532" s="1821"/>
      <c r="BD4532" s="1821"/>
      <c r="BE4532" s="1821"/>
      <c r="BF4532" s="1821"/>
      <c r="BG4532" s="1821"/>
      <c r="BH4532" s="1821"/>
      <c r="BI4532" s="1821"/>
      <c r="BJ4532" s="1821"/>
      <c r="BK4532" s="1821"/>
      <c r="BL4532" s="1821"/>
      <c r="BM4532" s="1821"/>
      <c r="BN4532" s="1821"/>
      <c r="BO4532" s="1821"/>
      <c r="BP4532" s="1821"/>
      <c r="BQ4532" s="1821"/>
      <c r="BR4532" s="1821"/>
      <c r="BS4532" s="1821"/>
      <c r="BT4532" s="1821"/>
      <c r="BU4532" s="1821"/>
      <c r="BV4532" s="1821"/>
      <c r="BW4532" s="1821"/>
      <c r="BX4532" s="1821"/>
      <c r="BY4532" s="1821"/>
      <c r="BZ4532" s="1821"/>
      <c r="CA4532" s="1821"/>
      <c r="CB4532" s="1821"/>
      <c r="CC4532" s="1821"/>
      <c r="CD4532" s="1821"/>
      <c r="CE4532" s="1821"/>
      <c r="CF4532" s="1821"/>
      <c r="CG4532" s="1821"/>
      <c r="CH4532" s="1821"/>
      <c r="CI4532" s="1821"/>
      <c r="CJ4532" s="1821"/>
      <c r="CK4532" s="1821"/>
    </row>
    <row r="4533" spans="1:89" s="675" customFormat="1" ht="16.5" customHeight="1" x14ac:dyDescent="0.25">
      <c r="A4533" s="849"/>
      <c r="B4533" s="1061"/>
      <c r="C4533" s="835"/>
      <c r="D4533" s="1062"/>
      <c r="E4533" s="825"/>
      <c r="F4533" s="825"/>
      <c r="G4533" s="825"/>
      <c r="H4533" s="825"/>
      <c r="I4533" s="825">
        <f t="shared" si="516"/>
        <v>0</v>
      </c>
      <c r="J4533" s="825"/>
      <c r="K4533" s="825"/>
      <c r="L4533" s="825"/>
      <c r="M4533" s="825"/>
      <c r="N4533" s="825"/>
      <c r="O4533" s="826"/>
      <c r="P4533" s="702"/>
      <c r="Q4533" s="1821"/>
      <c r="R4533" s="1821"/>
      <c r="S4533" s="1821"/>
      <c r="T4533" s="1821"/>
      <c r="U4533" s="1821"/>
      <c r="V4533" s="1821"/>
      <c r="W4533" s="1821"/>
      <c r="X4533" s="1821"/>
      <c r="Y4533" s="1821"/>
      <c r="Z4533" s="1821"/>
      <c r="AA4533" s="1821"/>
      <c r="AB4533" s="1821"/>
      <c r="AC4533" s="1821"/>
      <c r="AD4533" s="1821"/>
      <c r="AE4533" s="1821"/>
      <c r="AF4533" s="1821"/>
      <c r="AG4533" s="1821"/>
      <c r="AH4533" s="1821"/>
      <c r="AI4533" s="1821"/>
      <c r="AJ4533" s="1821"/>
      <c r="AK4533" s="1821"/>
      <c r="AL4533" s="1821"/>
      <c r="AM4533" s="1821"/>
      <c r="AN4533" s="1821"/>
      <c r="AO4533" s="1821"/>
      <c r="AP4533" s="1821"/>
      <c r="AQ4533" s="1821"/>
      <c r="AR4533" s="1821"/>
      <c r="AS4533" s="1821"/>
      <c r="AT4533" s="1821"/>
      <c r="AU4533" s="1821"/>
      <c r="AV4533" s="1821"/>
      <c r="AW4533" s="1821"/>
      <c r="AX4533" s="1821"/>
      <c r="AY4533" s="1821"/>
      <c r="AZ4533" s="1821"/>
      <c r="BA4533" s="1821"/>
      <c r="BB4533" s="1821"/>
      <c r="BC4533" s="1821"/>
      <c r="BD4533" s="1821"/>
      <c r="BE4533" s="1821"/>
      <c r="BF4533" s="1821"/>
      <c r="BG4533" s="1821"/>
      <c r="BH4533" s="1821"/>
      <c r="BI4533" s="1821"/>
      <c r="BJ4533" s="1821"/>
      <c r="BK4533" s="1821"/>
      <c r="BL4533" s="1821"/>
      <c r="BM4533" s="1821"/>
      <c r="BN4533" s="1821"/>
      <c r="BO4533" s="1821"/>
      <c r="BP4533" s="1821"/>
      <c r="BQ4533" s="1821"/>
      <c r="BR4533" s="1821"/>
      <c r="BS4533" s="1821"/>
      <c r="BT4533" s="1821"/>
      <c r="BU4533" s="1821"/>
      <c r="BV4533" s="1821"/>
      <c r="BW4533" s="1821"/>
      <c r="BX4533" s="1821"/>
      <c r="BY4533" s="1821"/>
      <c r="BZ4533" s="1821"/>
      <c r="CA4533" s="1821"/>
      <c r="CB4533" s="1821"/>
      <c r="CC4533" s="1821"/>
      <c r="CD4533" s="1821"/>
      <c r="CE4533" s="1821"/>
      <c r="CF4533" s="1821"/>
      <c r="CG4533" s="1821"/>
      <c r="CH4533" s="1821"/>
      <c r="CI4533" s="1821"/>
      <c r="CJ4533" s="1821"/>
      <c r="CK4533" s="1821"/>
    </row>
    <row r="4534" spans="1:89" s="675" customFormat="1" ht="16.5" customHeight="1" x14ac:dyDescent="0.25">
      <c r="A4534" s="849"/>
      <c r="B4534" s="1061"/>
      <c r="C4534" s="835"/>
      <c r="D4534" s="1062"/>
      <c r="E4534" s="825"/>
      <c r="F4534" s="825"/>
      <c r="G4534" s="825"/>
      <c r="H4534" s="825"/>
      <c r="I4534" s="825">
        <f t="shared" si="516"/>
        <v>0</v>
      </c>
      <c r="J4534" s="825"/>
      <c r="K4534" s="825"/>
      <c r="L4534" s="825"/>
      <c r="M4534" s="825"/>
      <c r="N4534" s="825"/>
      <c r="O4534" s="826"/>
      <c r="P4534" s="702"/>
      <c r="Q4534" s="1821"/>
      <c r="R4534" s="1821"/>
      <c r="S4534" s="1821"/>
      <c r="T4534" s="1821"/>
      <c r="U4534" s="1821"/>
      <c r="V4534" s="1821"/>
      <c r="W4534" s="1821"/>
      <c r="X4534" s="1821"/>
      <c r="Y4534" s="1821"/>
      <c r="Z4534" s="1821"/>
      <c r="AA4534" s="1821"/>
      <c r="AB4534" s="1821"/>
      <c r="AC4534" s="1821"/>
      <c r="AD4534" s="1821"/>
      <c r="AE4534" s="1821"/>
      <c r="AF4534" s="1821"/>
      <c r="AG4534" s="1821"/>
      <c r="AH4534" s="1821"/>
      <c r="AI4534" s="1821"/>
      <c r="AJ4534" s="1821"/>
      <c r="AK4534" s="1821"/>
      <c r="AL4534" s="1821"/>
      <c r="AM4534" s="1821"/>
      <c r="AN4534" s="1821"/>
      <c r="AO4534" s="1821"/>
      <c r="AP4534" s="1821"/>
      <c r="AQ4534" s="1821"/>
      <c r="AR4534" s="1821"/>
      <c r="AS4534" s="1821"/>
      <c r="AT4534" s="1821"/>
      <c r="AU4534" s="1821"/>
      <c r="AV4534" s="1821"/>
      <c r="AW4534" s="1821"/>
      <c r="AX4534" s="1821"/>
      <c r="AY4534" s="1821"/>
      <c r="AZ4534" s="1821"/>
      <c r="BA4534" s="1821"/>
      <c r="BB4534" s="1821"/>
      <c r="BC4534" s="1821"/>
      <c r="BD4534" s="1821"/>
      <c r="BE4534" s="1821"/>
      <c r="BF4534" s="1821"/>
      <c r="BG4534" s="1821"/>
      <c r="BH4534" s="1821"/>
      <c r="BI4534" s="1821"/>
      <c r="BJ4534" s="1821"/>
      <c r="BK4534" s="1821"/>
      <c r="BL4534" s="1821"/>
      <c r="BM4534" s="1821"/>
      <c r="BN4534" s="1821"/>
      <c r="BO4534" s="1821"/>
      <c r="BP4534" s="1821"/>
      <c r="BQ4534" s="1821"/>
      <c r="BR4534" s="1821"/>
      <c r="BS4534" s="1821"/>
      <c r="BT4534" s="1821"/>
      <c r="BU4534" s="1821"/>
      <c r="BV4534" s="1821"/>
      <c r="BW4534" s="1821"/>
      <c r="BX4534" s="1821"/>
      <c r="BY4534" s="1821"/>
      <c r="BZ4534" s="1821"/>
      <c r="CA4534" s="1821"/>
      <c r="CB4534" s="1821"/>
      <c r="CC4534" s="1821"/>
      <c r="CD4534" s="1821"/>
      <c r="CE4534" s="1821"/>
      <c r="CF4534" s="1821"/>
      <c r="CG4534" s="1821"/>
      <c r="CH4534" s="1821"/>
      <c r="CI4534" s="1821"/>
      <c r="CJ4534" s="1821"/>
      <c r="CK4534" s="1821"/>
    </row>
    <row r="4535" spans="1:89" s="675" customFormat="1" ht="16.5" customHeight="1" x14ac:dyDescent="0.25">
      <c r="A4535" s="849"/>
      <c r="B4535" s="1061"/>
      <c r="C4535" s="835"/>
      <c r="D4535" s="1062"/>
      <c r="E4535" s="825"/>
      <c r="F4535" s="825"/>
      <c r="G4535" s="825"/>
      <c r="H4535" s="825"/>
      <c r="I4535" s="825">
        <f t="shared" si="516"/>
        <v>0</v>
      </c>
      <c r="J4535" s="825"/>
      <c r="K4535" s="825"/>
      <c r="L4535" s="825"/>
      <c r="M4535" s="825"/>
      <c r="N4535" s="825"/>
      <c r="O4535" s="826"/>
      <c r="P4535" s="702"/>
      <c r="Q4535" s="1821"/>
      <c r="R4535" s="1821"/>
      <c r="S4535" s="1821"/>
      <c r="T4535" s="1821"/>
      <c r="U4535" s="1821"/>
      <c r="V4535" s="1821"/>
      <c r="W4535" s="1821"/>
      <c r="X4535" s="1821"/>
      <c r="Y4535" s="1821"/>
      <c r="Z4535" s="1821"/>
      <c r="AA4535" s="1821"/>
      <c r="AB4535" s="1821"/>
      <c r="AC4535" s="1821"/>
      <c r="AD4535" s="1821"/>
      <c r="AE4535" s="1821"/>
      <c r="AF4535" s="1821"/>
      <c r="AG4535" s="1821"/>
      <c r="AH4535" s="1821"/>
      <c r="AI4535" s="1821"/>
      <c r="AJ4535" s="1821"/>
      <c r="AK4535" s="1821"/>
      <c r="AL4535" s="1821"/>
      <c r="AM4535" s="1821"/>
      <c r="AN4535" s="1821"/>
      <c r="AO4535" s="1821"/>
      <c r="AP4535" s="1821"/>
      <c r="AQ4535" s="1821"/>
      <c r="AR4535" s="1821"/>
      <c r="AS4535" s="1821"/>
      <c r="AT4535" s="1821"/>
      <c r="AU4535" s="1821"/>
      <c r="AV4535" s="1821"/>
      <c r="AW4535" s="1821"/>
      <c r="AX4535" s="1821"/>
      <c r="AY4535" s="1821"/>
      <c r="AZ4535" s="1821"/>
      <c r="BA4535" s="1821"/>
      <c r="BB4535" s="1821"/>
      <c r="BC4535" s="1821"/>
      <c r="BD4535" s="1821"/>
      <c r="BE4535" s="1821"/>
      <c r="BF4535" s="1821"/>
      <c r="BG4535" s="1821"/>
      <c r="BH4535" s="1821"/>
      <c r="BI4535" s="1821"/>
      <c r="BJ4535" s="1821"/>
      <c r="BK4535" s="1821"/>
      <c r="BL4535" s="1821"/>
      <c r="BM4535" s="1821"/>
      <c r="BN4535" s="1821"/>
      <c r="BO4535" s="1821"/>
      <c r="BP4535" s="1821"/>
      <c r="BQ4535" s="1821"/>
      <c r="BR4535" s="1821"/>
      <c r="BS4535" s="1821"/>
      <c r="BT4535" s="1821"/>
      <c r="BU4535" s="1821"/>
      <c r="BV4535" s="1821"/>
      <c r="BW4535" s="1821"/>
      <c r="BX4535" s="1821"/>
      <c r="BY4535" s="1821"/>
      <c r="BZ4535" s="1821"/>
      <c r="CA4535" s="1821"/>
      <c r="CB4535" s="1821"/>
      <c r="CC4535" s="1821"/>
      <c r="CD4535" s="1821"/>
      <c r="CE4535" s="1821"/>
      <c r="CF4535" s="1821"/>
      <c r="CG4535" s="1821"/>
      <c r="CH4535" s="1821"/>
      <c r="CI4535" s="1821"/>
      <c r="CJ4535" s="1821"/>
      <c r="CK4535" s="1821"/>
    </row>
    <row r="4536" spans="1:89" s="675" customFormat="1" ht="16.5" customHeight="1" x14ac:dyDescent="0.25">
      <c r="A4536" s="849"/>
      <c r="B4536" s="1061" t="s">
        <v>349</v>
      </c>
      <c r="C4536" s="835"/>
      <c r="D4536" s="1062"/>
      <c r="E4536" s="825"/>
      <c r="F4536" s="825"/>
      <c r="G4536" s="825"/>
      <c r="H4536" s="825"/>
      <c r="I4536" s="825">
        <f t="shared" si="516"/>
        <v>0</v>
      </c>
      <c r="J4536" s="825"/>
      <c r="K4536" s="825">
        <f t="shared" si="520"/>
        <v>0</v>
      </c>
      <c r="L4536" s="825"/>
      <c r="M4536" s="825"/>
      <c r="N4536" s="825"/>
      <c r="O4536" s="826">
        <f t="shared" si="521"/>
        <v>0</v>
      </c>
      <c r="P4536" s="702"/>
      <c r="Q4536" s="1821"/>
      <c r="R4536" s="1821"/>
      <c r="S4536" s="1821"/>
      <c r="T4536" s="1821"/>
      <c r="U4536" s="1821"/>
      <c r="V4536" s="1821"/>
      <c r="W4536" s="1821"/>
      <c r="X4536" s="1821"/>
      <c r="Y4536" s="1821"/>
      <c r="Z4536" s="1821"/>
      <c r="AA4536" s="1821"/>
      <c r="AB4536" s="1821"/>
      <c r="AC4536" s="1821"/>
      <c r="AD4536" s="1821"/>
      <c r="AE4536" s="1821"/>
      <c r="AF4536" s="1821"/>
      <c r="AG4536" s="1821"/>
      <c r="AH4536" s="1821"/>
      <c r="AI4536" s="1821"/>
      <c r="AJ4536" s="1821"/>
      <c r="AK4536" s="1821"/>
      <c r="AL4536" s="1821"/>
      <c r="AM4536" s="1821"/>
      <c r="AN4536" s="1821"/>
      <c r="AO4536" s="1821"/>
      <c r="AP4536" s="1821"/>
      <c r="AQ4536" s="1821"/>
      <c r="AR4536" s="1821"/>
      <c r="AS4536" s="1821"/>
      <c r="AT4536" s="1821"/>
      <c r="AU4536" s="1821"/>
      <c r="AV4536" s="1821"/>
      <c r="AW4536" s="1821"/>
      <c r="AX4536" s="1821"/>
      <c r="AY4536" s="1821"/>
      <c r="AZ4536" s="1821"/>
      <c r="BA4536" s="1821"/>
      <c r="BB4536" s="1821"/>
      <c r="BC4536" s="1821"/>
      <c r="BD4536" s="1821"/>
      <c r="BE4536" s="1821"/>
      <c r="BF4536" s="1821"/>
      <c r="BG4536" s="1821"/>
      <c r="BH4536" s="1821"/>
      <c r="BI4536" s="1821"/>
      <c r="BJ4536" s="1821"/>
      <c r="BK4536" s="1821"/>
      <c r="BL4536" s="1821"/>
      <c r="BM4536" s="1821"/>
      <c r="BN4536" s="1821"/>
      <c r="BO4536" s="1821"/>
      <c r="BP4536" s="1821"/>
      <c r="BQ4536" s="1821"/>
      <c r="BR4536" s="1821"/>
      <c r="BS4536" s="1821"/>
      <c r="BT4536" s="1821"/>
      <c r="BU4536" s="1821"/>
      <c r="BV4536" s="1821"/>
      <c r="BW4536" s="1821"/>
      <c r="BX4536" s="1821"/>
      <c r="BY4536" s="1821"/>
      <c r="BZ4536" s="1821"/>
      <c r="CA4536" s="1821"/>
      <c r="CB4536" s="1821"/>
      <c r="CC4536" s="1821"/>
      <c r="CD4536" s="1821"/>
      <c r="CE4536" s="1821"/>
      <c r="CF4536" s="1821"/>
      <c r="CG4536" s="1821"/>
      <c r="CH4536" s="1821"/>
      <c r="CI4536" s="1821"/>
      <c r="CJ4536" s="1821"/>
      <c r="CK4536" s="1821"/>
    </row>
    <row r="4537" spans="1:89" s="675" customFormat="1" ht="16.5" customHeight="1" x14ac:dyDescent="0.25">
      <c r="A4537" s="849"/>
      <c r="B4537" s="1061" t="s">
        <v>2247</v>
      </c>
      <c r="C4537" s="835"/>
      <c r="D4537" s="1062"/>
      <c r="E4537" s="825"/>
      <c r="F4537" s="825"/>
      <c r="G4537" s="825"/>
      <c r="H4537" s="825"/>
      <c r="I4537" s="825">
        <f t="shared" si="516"/>
        <v>0</v>
      </c>
      <c r="J4537" s="825"/>
      <c r="K4537" s="825">
        <f t="shared" si="520"/>
        <v>0</v>
      </c>
      <c r="L4537" s="825"/>
      <c r="M4537" s="825"/>
      <c r="N4537" s="825"/>
      <c r="O4537" s="826">
        <f t="shared" si="521"/>
        <v>0</v>
      </c>
      <c r="P4537" s="702"/>
      <c r="Q4537" s="1821"/>
      <c r="R4537" s="1821"/>
      <c r="S4537" s="1821"/>
      <c r="T4537" s="1821"/>
      <c r="U4537" s="1821"/>
      <c r="V4537" s="1821"/>
      <c r="W4537" s="1821"/>
      <c r="X4537" s="1821"/>
      <c r="Y4537" s="1821"/>
      <c r="Z4537" s="1821"/>
      <c r="AA4537" s="1821"/>
      <c r="AB4537" s="1821"/>
      <c r="AC4537" s="1821"/>
      <c r="AD4537" s="1821"/>
      <c r="AE4537" s="1821"/>
      <c r="AF4537" s="1821"/>
      <c r="AG4537" s="1821"/>
      <c r="AH4537" s="1821"/>
      <c r="AI4537" s="1821"/>
      <c r="AJ4537" s="1821"/>
      <c r="AK4537" s="1821"/>
      <c r="AL4537" s="1821"/>
      <c r="AM4537" s="1821"/>
      <c r="AN4537" s="1821"/>
      <c r="AO4537" s="1821"/>
      <c r="AP4537" s="1821"/>
      <c r="AQ4537" s="1821"/>
      <c r="AR4537" s="1821"/>
      <c r="AS4537" s="1821"/>
      <c r="AT4537" s="1821"/>
      <c r="AU4537" s="1821"/>
      <c r="AV4537" s="1821"/>
      <c r="AW4537" s="1821"/>
      <c r="AX4537" s="1821"/>
      <c r="AY4537" s="1821"/>
      <c r="AZ4537" s="1821"/>
      <c r="BA4537" s="1821"/>
      <c r="BB4537" s="1821"/>
      <c r="BC4537" s="1821"/>
      <c r="BD4537" s="1821"/>
      <c r="BE4537" s="1821"/>
      <c r="BF4537" s="1821"/>
      <c r="BG4537" s="1821"/>
      <c r="BH4537" s="1821"/>
      <c r="BI4537" s="1821"/>
      <c r="BJ4537" s="1821"/>
      <c r="BK4537" s="1821"/>
      <c r="BL4537" s="1821"/>
      <c r="BM4537" s="1821"/>
      <c r="BN4537" s="1821"/>
      <c r="BO4537" s="1821"/>
      <c r="BP4537" s="1821"/>
      <c r="BQ4537" s="1821"/>
      <c r="BR4537" s="1821"/>
      <c r="BS4537" s="1821"/>
      <c r="BT4537" s="1821"/>
      <c r="BU4537" s="1821"/>
      <c r="BV4537" s="1821"/>
      <c r="BW4537" s="1821"/>
      <c r="BX4537" s="1821"/>
      <c r="BY4537" s="1821"/>
      <c r="BZ4537" s="1821"/>
      <c r="CA4537" s="1821"/>
      <c r="CB4537" s="1821"/>
      <c r="CC4537" s="1821"/>
      <c r="CD4537" s="1821"/>
      <c r="CE4537" s="1821"/>
      <c r="CF4537" s="1821"/>
      <c r="CG4537" s="1821"/>
      <c r="CH4537" s="1821"/>
      <c r="CI4537" s="1821"/>
      <c r="CJ4537" s="1821"/>
      <c r="CK4537" s="1821"/>
    </row>
    <row r="4538" spans="1:89" s="675" customFormat="1" ht="16.5" customHeight="1" x14ac:dyDescent="0.25">
      <c r="A4538" s="849"/>
      <c r="B4538" s="1061" t="s">
        <v>531</v>
      </c>
      <c r="C4538" s="835">
        <v>1</v>
      </c>
      <c r="D4538" s="1062" t="s">
        <v>25</v>
      </c>
      <c r="E4538" s="825">
        <v>400000</v>
      </c>
      <c r="F4538" s="825"/>
      <c r="G4538" s="825"/>
      <c r="H4538" s="825"/>
      <c r="I4538" s="825">
        <f t="shared" si="516"/>
        <v>400000</v>
      </c>
      <c r="J4538" s="825"/>
      <c r="K4538" s="825">
        <f t="shared" si="520"/>
        <v>400000</v>
      </c>
      <c r="L4538" s="825"/>
      <c r="M4538" s="825"/>
      <c r="N4538" s="825"/>
      <c r="O4538" s="826">
        <f t="shared" si="521"/>
        <v>400000</v>
      </c>
      <c r="P4538" s="702"/>
      <c r="Q4538" s="1821"/>
      <c r="R4538" s="1821"/>
      <c r="S4538" s="1821"/>
      <c r="T4538" s="1821"/>
      <c r="U4538" s="1821"/>
      <c r="V4538" s="1821"/>
      <c r="W4538" s="1821"/>
      <c r="X4538" s="1821"/>
      <c r="Y4538" s="1821"/>
      <c r="Z4538" s="1821"/>
      <c r="AA4538" s="1821"/>
      <c r="AB4538" s="1821"/>
      <c r="AC4538" s="1821"/>
      <c r="AD4538" s="1821"/>
      <c r="AE4538" s="1821"/>
      <c r="AF4538" s="1821"/>
      <c r="AG4538" s="1821"/>
      <c r="AH4538" s="1821"/>
      <c r="AI4538" s="1821"/>
      <c r="AJ4538" s="1821"/>
      <c r="AK4538" s="1821"/>
      <c r="AL4538" s="1821"/>
      <c r="AM4538" s="1821"/>
      <c r="AN4538" s="1821"/>
      <c r="AO4538" s="1821"/>
      <c r="AP4538" s="1821"/>
      <c r="AQ4538" s="1821"/>
      <c r="AR4538" s="1821"/>
      <c r="AS4538" s="1821"/>
      <c r="AT4538" s="1821"/>
      <c r="AU4538" s="1821"/>
      <c r="AV4538" s="1821"/>
      <c r="AW4538" s="1821"/>
      <c r="AX4538" s="1821"/>
      <c r="AY4538" s="1821"/>
      <c r="AZ4538" s="1821"/>
      <c r="BA4538" s="1821"/>
      <c r="BB4538" s="1821"/>
      <c r="BC4538" s="1821"/>
      <c r="BD4538" s="1821"/>
      <c r="BE4538" s="1821"/>
      <c r="BF4538" s="1821"/>
      <c r="BG4538" s="1821"/>
      <c r="BH4538" s="1821"/>
      <c r="BI4538" s="1821"/>
      <c r="BJ4538" s="1821"/>
      <c r="BK4538" s="1821"/>
      <c r="BL4538" s="1821"/>
      <c r="BM4538" s="1821"/>
      <c r="BN4538" s="1821"/>
      <c r="BO4538" s="1821"/>
      <c r="BP4538" s="1821"/>
      <c r="BQ4538" s="1821"/>
      <c r="BR4538" s="1821"/>
      <c r="BS4538" s="1821"/>
      <c r="BT4538" s="1821"/>
      <c r="BU4538" s="1821"/>
      <c r="BV4538" s="1821"/>
      <c r="BW4538" s="1821"/>
      <c r="BX4538" s="1821"/>
      <c r="BY4538" s="1821"/>
      <c r="BZ4538" s="1821"/>
      <c r="CA4538" s="1821"/>
      <c r="CB4538" s="1821"/>
      <c r="CC4538" s="1821"/>
      <c r="CD4538" s="1821"/>
      <c r="CE4538" s="1821"/>
      <c r="CF4538" s="1821"/>
      <c r="CG4538" s="1821"/>
      <c r="CH4538" s="1821"/>
      <c r="CI4538" s="1821"/>
      <c r="CJ4538" s="1821"/>
      <c r="CK4538" s="1821"/>
    </row>
    <row r="4539" spans="1:89" s="675" customFormat="1" ht="16.5" customHeight="1" x14ac:dyDescent="0.25">
      <c r="A4539" s="849"/>
      <c r="B4539" s="1061"/>
      <c r="C4539" s="835"/>
      <c r="D4539" s="1062"/>
      <c r="E4539" s="825"/>
      <c r="F4539" s="825"/>
      <c r="G4539" s="825"/>
      <c r="H4539" s="825"/>
      <c r="I4539" s="825">
        <f t="shared" si="516"/>
        <v>0</v>
      </c>
      <c r="J4539" s="825"/>
      <c r="K4539" s="825"/>
      <c r="L4539" s="825"/>
      <c r="M4539" s="825"/>
      <c r="N4539" s="825"/>
      <c r="O4539" s="826"/>
      <c r="P4539" s="702"/>
      <c r="Q4539" s="1821"/>
      <c r="R4539" s="1821"/>
      <c r="S4539" s="1821"/>
      <c r="T4539" s="1821"/>
      <c r="U4539" s="1821"/>
      <c r="V4539" s="1821"/>
      <c r="W4539" s="1821"/>
      <c r="X4539" s="1821"/>
      <c r="Y4539" s="1821"/>
      <c r="Z4539" s="1821"/>
      <c r="AA4539" s="1821"/>
      <c r="AB4539" s="1821"/>
      <c r="AC4539" s="1821"/>
      <c r="AD4539" s="1821"/>
      <c r="AE4539" s="1821"/>
      <c r="AF4539" s="1821"/>
      <c r="AG4539" s="1821"/>
      <c r="AH4539" s="1821"/>
      <c r="AI4539" s="1821"/>
      <c r="AJ4539" s="1821"/>
      <c r="AK4539" s="1821"/>
      <c r="AL4539" s="1821"/>
      <c r="AM4539" s="1821"/>
      <c r="AN4539" s="1821"/>
      <c r="AO4539" s="1821"/>
      <c r="AP4539" s="1821"/>
      <c r="AQ4539" s="1821"/>
      <c r="AR4539" s="1821"/>
      <c r="AS4539" s="1821"/>
      <c r="AT4539" s="1821"/>
      <c r="AU4539" s="1821"/>
      <c r="AV4539" s="1821"/>
      <c r="AW4539" s="1821"/>
      <c r="AX4539" s="1821"/>
      <c r="AY4539" s="1821"/>
      <c r="AZ4539" s="1821"/>
      <c r="BA4539" s="1821"/>
      <c r="BB4539" s="1821"/>
      <c r="BC4539" s="1821"/>
      <c r="BD4539" s="1821"/>
      <c r="BE4539" s="1821"/>
      <c r="BF4539" s="1821"/>
      <c r="BG4539" s="1821"/>
      <c r="BH4539" s="1821"/>
      <c r="BI4539" s="1821"/>
      <c r="BJ4539" s="1821"/>
      <c r="BK4539" s="1821"/>
      <c r="BL4539" s="1821"/>
      <c r="BM4539" s="1821"/>
      <c r="BN4539" s="1821"/>
      <c r="BO4539" s="1821"/>
      <c r="BP4539" s="1821"/>
      <c r="BQ4539" s="1821"/>
      <c r="BR4539" s="1821"/>
      <c r="BS4539" s="1821"/>
      <c r="BT4539" s="1821"/>
      <c r="BU4539" s="1821"/>
      <c r="BV4539" s="1821"/>
      <c r="BW4539" s="1821"/>
      <c r="BX4539" s="1821"/>
      <c r="BY4539" s="1821"/>
      <c r="BZ4539" s="1821"/>
      <c r="CA4539" s="1821"/>
      <c r="CB4539" s="1821"/>
      <c r="CC4539" s="1821"/>
      <c r="CD4539" s="1821"/>
      <c r="CE4539" s="1821"/>
      <c r="CF4539" s="1821"/>
      <c r="CG4539" s="1821"/>
      <c r="CH4539" s="1821"/>
      <c r="CI4539" s="1821"/>
      <c r="CJ4539" s="1821"/>
      <c r="CK4539" s="1821"/>
    </row>
    <row r="4540" spans="1:89" s="675" customFormat="1" ht="16.5" customHeight="1" x14ac:dyDescent="0.25">
      <c r="A4540" s="849"/>
      <c r="B4540" s="1061" t="s">
        <v>532</v>
      </c>
      <c r="C4540" s="835"/>
      <c r="D4540" s="1062"/>
      <c r="E4540" s="825"/>
      <c r="F4540" s="825"/>
      <c r="G4540" s="825"/>
      <c r="H4540" s="825"/>
      <c r="I4540" s="825">
        <f t="shared" si="516"/>
        <v>0</v>
      </c>
      <c r="J4540" s="825"/>
      <c r="K4540" s="825">
        <f t="shared" si="520"/>
        <v>0</v>
      </c>
      <c r="L4540" s="825"/>
      <c r="M4540" s="825"/>
      <c r="N4540" s="825"/>
      <c r="O4540" s="826">
        <f t="shared" si="521"/>
        <v>0</v>
      </c>
      <c r="P4540" s="702"/>
      <c r="Q4540" s="1821"/>
      <c r="R4540" s="1821"/>
      <c r="S4540" s="1821"/>
      <c r="T4540" s="1821"/>
      <c r="U4540" s="1821"/>
      <c r="V4540" s="1821"/>
      <c r="W4540" s="1821"/>
      <c r="X4540" s="1821"/>
      <c r="Y4540" s="1821"/>
      <c r="Z4540" s="1821"/>
      <c r="AA4540" s="1821"/>
      <c r="AB4540" s="1821"/>
      <c r="AC4540" s="1821"/>
      <c r="AD4540" s="1821"/>
      <c r="AE4540" s="1821"/>
      <c r="AF4540" s="1821"/>
      <c r="AG4540" s="1821"/>
      <c r="AH4540" s="1821"/>
      <c r="AI4540" s="1821"/>
      <c r="AJ4540" s="1821"/>
      <c r="AK4540" s="1821"/>
      <c r="AL4540" s="1821"/>
      <c r="AM4540" s="1821"/>
      <c r="AN4540" s="1821"/>
      <c r="AO4540" s="1821"/>
      <c r="AP4540" s="1821"/>
      <c r="AQ4540" s="1821"/>
      <c r="AR4540" s="1821"/>
      <c r="AS4540" s="1821"/>
      <c r="AT4540" s="1821"/>
      <c r="AU4540" s="1821"/>
      <c r="AV4540" s="1821"/>
      <c r="AW4540" s="1821"/>
      <c r="AX4540" s="1821"/>
      <c r="AY4540" s="1821"/>
      <c r="AZ4540" s="1821"/>
      <c r="BA4540" s="1821"/>
      <c r="BB4540" s="1821"/>
      <c r="BC4540" s="1821"/>
      <c r="BD4540" s="1821"/>
      <c r="BE4540" s="1821"/>
      <c r="BF4540" s="1821"/>
      <c r="BG4540" s="1821"/>
      <c r="BH4540" s="1821"/>
      <c r="BI4540" s="1821"/>
      <c r="BJ4540" s="1821"/>
      <c r="BK4540" s="1821"/>
      <c r="BL4540" s="1821"/>
      <c r="BM4540" s="1821"/>
      <c r="BN4540" s="1821"/>
      <c r="BO4540" s="1821"/>
      <c r="BP4540" s="1821"/>
      <c r="BQ4540" s="1821"/>
      <c r="BR4540" s="1821"/>
      <c r="BS4540" s="1821"/>
      <c r="BT4540" s="1821"/>
      <c r="BU4540" s="1821"/>
      <c r="BV4540" s="1821"/>
      <c r="BW4540" s="1821"/>
      <c r="BX4540" s="1821"/>
      <c r="BY4540" s="1821"/>
      <c r="BZ4540" s="1821"/>
      <c r="CA4540" s="1821"/>
      <c r="CB4540" s="1821"/>
      <c r="CC4540" s="1821"/>
      <c r="CD4540" s="1821"/>
      <c r="CE4540" s="1821"/>
      <c r="CF4540" s="1821"/>
      <c r="CG4540" s="1821"/>
      <c r="CH4540" s="1821"/>
      <c r="CI4540" s="1821"/>
      <c r="CJ4540" s="1821"/>
      <c r="CK4540" s="1821"/>
    </row>
    <row r="4541" spans="1:89" s="675" customFormat="1" ht="16.5" customHeight="1" x14ac:dyDescent="0.25">
      <c r="A4541" s="849"/>
      <c r="B4541" s="1061" t="s">
        <v>2247</v>
      </c>
      <c r="C4541" s="835"/>
      <c r="D4541" s="1062"/>
      <c r="E4541" s="825"/>
      <c r="F4541" s="825"/>
      <c r="G4541" s="825"/>
      <c r="H4541" s="825"/>
      <c r="I4541" s="825">
        <f t="shared" si="516"/>
        <v>0</v>
      </c>
      <c r="J4541" s="825"/>
      <c r="K4541" s="825">
        <f t="shared" si="520"/>
        <v>0</v>
      </c>
      <c r="L4541" s="825"/>
      <c r="M4541" s="825"/>
      <c r="N4541" s="825"/>
      <c r="O4541" s="826">
        <f t="shared" si="521"/>
        <v>0</v>
      </c>
      <c r="P4541" s="702"/>
      <c r="Q4541" s="1821"/>
      <c r="R4541" s="1821"/>
      <c r="S4541" s="1821"/>
      <c r="T4541" s="1821"/>
      <c r="U4541" s="1821"/>
      <c r="V4541" s="1821"/>
      <c r="W4541" s="1821"/>
      <c r="X4541" s="1821"/>
      <c r="Y4541" s="1821"/>
      <c r="Z4541" s="1821"/>
      <c r="AA4541" s="1821"/>
      <c r="AB4541" s="1821"/>
      <c r="AC4541" s="1821"/>
      <c r="AD4541" s="1821"/>
      <c r="AE4541" s="1821"/>
      <c r="AF4541" s="1821"/>
      <c r="AG4541" s="1821"/>
      <c r="AH4541" s="1821"/>
      <c r="AI4541" s="1821"/>
      <c r="AJ4541" s="1821"/>
      <c r="AK4541" s="1821"/>
      <c r="AL4541" s="1821"/>
      <c r="AM4541" s="1821"/>
      <c r="AN4541" s="1821"/>
      <c r="AO4541" s="1821"/>
      <c r="AP4541" s="1821"/>
      <c r="AQ4541" s="1821"/>
      <c r="AR4541" s="1821"/>
      <c r="AS4541" s="1821"/>
      <c r="AT4541" s="1821"/>
      <c r="AU4541" s="1821"/>
      <c r="AV4541" s="1821"/>
      <c r="AW4541" s="1821"/>
      <c r="AX4541" s="1821"/>
      <c r="AY4541" s="1821"/>
      <c r="AZ4541" s="1821"/>
      <c r="BA4541" s="1821"/>
      <c r="BB4541" s="1821"/>
      <c r="BC4541" s="1821"/>
      <c r="BD4541" s="1821"/>
      <c r="BE4541" s="1821"/>
      <c r="BF4541" s="1821"/>
      <c r="BG4541" s="1821"/>
      <c r="BH4541" s="1821"/>
      <c r="BI4541" s="1821"/>
      <c r="BJ4541" s="1821"/>
      <c r="BK4541" s="1821"/>
      <c r="BL4541" s="1821"/>
      <c r="BM4541" s="1821"/>
      <c r="BN4541" s="1821"/>
      <c r="BO4541" s="1821"/>
      <c r="BP4541" s="1821"/>
      <c r="BQ4541" s="1821"/>
      <c r="BR4541" s="1821"/>
      <c r="BS4541" s="1821"/>
      <c r="BT4541" s="1821"/>
      <c r="BU4541" s="1821"/>
      <c r="BV4541" s="1821"/>
      <c r="BW4541" s="1821"/>
      <c r="BX4541" s="1821"/>
      <c r="BY4541" s="1821"/>
      <c r="BZ4541" s="1821"/>
      <c r="CA4541" s="1821"/>
      <c r="CB4541" s="1821"/>
      <c r="CC4541" s="1821"/>
      <c r="CD4541" s="1821"/>
      <c r="CE4541" s="1821"/>
      <c r="CF4541" s="1821"/>
      <c r="CG4541" s="1821"/>
      <c r="CH4541" s="1821"/>
      <c r="CI4541" s="1821"/>
      <c r="CJ4541" s="1821"/>
      <c r="CK4541" s="1821"/>
    </row>
    <row r="4542" spans="1:89" s="675" customFormat="1" ht="16.5" customHeight="1" x14ac:dyDescent="0.25">
      <c r="A4542" s="849"/>
      <c r="B4542" s="1061" t="s">
        <v>533</v>
      </c>
      <c r="C4542" s="835">
        <v>1</v>
      </c>
      <c r="D4542" s="1062" t="s">
        <v>25</v>
      </c>
      <c r="E4542" s="825">
        <v>400000</v>
      </c>
      <c r="F4542" s="825"/>
      <c r="G4542" s="825"/>
      <c r="H4542" s="825"/>
      <c r="I4542" s="825">
        <f t="shared" si="516"/>
        <v>400000</v>
      </c>
      <c r="J4542" s="825"/>
      <c r="K4542" s="825">
        <f t="shared" si="520"/>
        <v>400000</v>
      </c>
      <c r="L4542" s="825"/>
      <c r="M4542" s="825"/>
      <c r="N4542" s="825"/>
      <c r="O4542" s="826">
        <f t="shared" si="521"/>
        <v>400000</v>
      </c>
      <c r="P4542" s="702"/>
      <c r="Q4542" s="1821"/>
      <c r="R4542" s="1821"/>
      <c r="S4542" s="1821"/>
      <c r="T4542" s="1821"/>
      <c r="U4542" s="1821"/>
      <c r="V4542" s="1821"/>
      <c r="W4542" s="1821"/>
      <c r="X4542" s="1821"/>
      <c r="Y4542" s="1821"/>
      <c r="Z4542" s="1821"/>
      <c r="AA4542" s="1821"/>
      <c r="AB4542" s="1821"/>
      <c r="AC4542" s="1821"/>
      <c r="AD4542" s="1821"/>
      <c r="AE4542" s="1821"/>
      <c r="AF4542" s="1821"/>
      <c r="AG4542" s="1821"/>
      <c r="AH4542" s="1821"/>
      <c r="AI4542" s="1821"/>
      <c r="AJ4542" s="1821"/>
      <c r="AK4542" s="1821"/>
      <c r="AL4542" s="1821"/>
      <c r="AM4542" s="1821"/>
      <c r="AN4542" s="1821"/>
      <c r="AO4542" s="1821"/>
      <c r="AP4542" s="1821"/>
      <c r="AQ4542" s="1821"/>
      <c r="AR4542" s="1821"/>
      <c r="AS4542" s="1821"/>
      <c r="AT4542" s="1821"/>
      <c r="AU4542" s="1821"/>
      <c r="AV4542" s="1821"/>
      <c r="AW4542" s="1821"/>
      <c r="AX4542" s="1821"/>
      <c r="AY4542" s="1821"/>
      <c r="AZ4542" s="1821"/>
      <c r="BA4542" s="1821"/>
      <c r="BB4542" s="1821"/>
      <c r="BC4542" s="1821"/>
      <c r="BD4542" s="1821"/>
      <c r="BE4542" s="1821"/>
      <c r="BF4542" s="1821"/>
      <c r="BG4542" s="1821"/>
      <c r="BH4542" s="1821"/>
      <c r="BI4542" s="1821"/>
      <c r="BJ4542" s="1821"/>
      <c r="BK4542" s="1821"/>
      <c r="BL4542" s="1821"/>
      <c r="BM4542" s="1821"/>
      <c r="BN4542" s="1821"/>
      <c r="BO4542" s="1821"/>
      <c r="BP4542" s="1821"/>
      <c r="BQ4542" s="1821"/>
      <c r="BR4542" s="1821"/>
      <c r="BS4542" s="1821"/>
      <c r="BT4542" s="1821"/>
      <c r="BU4542" s="1821"/>
      <c r="BV4542" s="1821"/>
      <c r="BW4542" s="1821"/>
      <c r="BX4542" s="1821"/>
      <c r="BY4542" s="1821"/>
      <c r="BZ4542" s="1821"/>
      <c r="CA4542" s="1821"/>
      <c r="CB4542" s="1821"/>
      <c r="CC4542" s="1821"/>
      <c r="CD4542" s="1821"/>
      <c r="CE4542" s="1821"/>
      <c r="CF4542" s="1821"/>
      <c r="CG4542" s="1821"/>
      <c r="CH4542" s="1821"/>
      <c r="CI4542" s="1821"/>
      <c r="CJ4542" s="1821"/>
      <c r="CK4542" s="1821"/>
    </row>
    <row r="4543" spans="1:89" s="675" customFormat="1" ht="16.5" customHeight="1" x14ac:dyDescent="0.25">
      <c r="A4543" s="849"/>
      <c r="B4543" s="1061"/>
      <c r="C4543" s="835"/>
      <c r="D4543" s="1062"/>
      <c r="E4543" s="825"/>
      <c r="F4543" s="825"/>
      <c r="G4543" s="825"/>
      <c r="H4543" s="825"/>
      <c r="I4543" s="825">
        <f t="shared" si="516"/>
        <v>0</v>
      </c>
      <c r="J4543" s="825"/>
      <c r="K4543" s="825"/>
      <c r="L4543" s="825"/>
      <c r="M4543" s="825"/>
      <c r="N4543" s="825"/>
      <c r="O4543" s="826"/>
      <c r="P4543" s="702"/>
      <c r="Q4543" s="1821"/>
      <c r="R4543" s="1821"/>
      <c r="S4543" s="1821"/>
      <c r="T4543" s="1821"/>
      <c r="U4543" s="1821"/>
      <c r="V4543" s="1821"/>
      <c r="W4543" s="1821"/>
      <c r="X4543" s="1821"/>
      <c r="Y4543" s="1821"/>
      <c r="Z4543" s="1821"/>
      <c r="AA4543" s="1821"/>
      <c r="AB4543" s="1821"/>
      <c r="AC4543" s="1821"/>
      <c r="AD4543" s="1821"/>
      <c r="AE4543" s="1821"/>
      <c r="AF4543" s="1821"/>
      <c r="AG4543" s="1821"/>
      <c r="AH4543" s="1821"/>
      <c r="AI4543" s="1821"/>
      <c r="AJ4543" s="1821"/>
      <c r="AK4543" s="1821"/>
      <c r="AL4543" s="1821"/>
      <c r="AM4543" s="1821"/>
      <c r="AN4543" s="1821"/>
      <c r="AO4543" s="1821"/>
      <c r="AP4543" s="1821"/>
      <c r="AQ4543" s="1821"/>
      <c r="AR4543" s="1821"/>
      <c r="AS4543" s="1821"/>
      <c r="AT4543" s="1821"/>
      <c r="AU4543" s="1821"/>
      <c r="AV4543" s="1821"/>
      <c r="AW4543" s="1821"/>
      <c r="AX4543" s="1821"/>
      <c r="AY4543" s="1821"/>
      <c r="AZ4543" s="1821"/>
      <c r="BA4543" s="1821"/>
      <c r="BB4543" s="1821"/>
      <c r="BC4543" s="1821"/>
      <c r="BD4543" s="1821"/>
      <c r="BE4543" s="1821"/>
      <c r="BF4543" s="1821"/>
      <c r="BG4543" s="1821"/>
      <c r="BH4543" s="1821"/>
      <c r="BI4543" s="1821"/>
      <c r="BJ4543" s="1821"/>
      <c r="BK4543" s="1821"/>
      <c r="BL4543" s="1821"/>
      <c r="BM4543" s="1821"/>
      <c r="BN4543" s="1821"/>
      <c r="BO4543" s="1821"/>
      <c r="BP4543" s="1821"/>
      <c r="BQ4543" s="1821"/>
      <c r="BR4543" s="1821"/>
      <c r="BS4543" s="1821"/>
      <c r="BT4543" s="1821"/>
      <c r="BU4543" s="1821"/>
      <c r="BV4543" s="1821"/>
      <c r="BW4543" s="1821"/>
      <c r="BX4543" s="1821"/>
      <c r="BY4543" s="1821"/>
      <c r="BZ4543" s="1821"/>
      <c r="CA4543" s="1821"/>
      <c r="CB4543" s="1821"/>
      <c r="CC4543" s="1821"/>
      <c r="CD4543" s="1821"/>
      <c r="CE4543" s="1821"/>
      <c r="CF4543" s="1821"/>
      <c r="CG4543" s="1821"/>
      <c r="CH4543" s="1821"/>
      <c r="CI4543" s="1821"/>
      <c r="CJ4543" s="1821"/>
      <c r="CK4543" s="1821"/>
    </row>
    <row r="4544" spans="1:89" s="675" customFormat="1" ht="16.5" customHeight="1" x14ac:dyDescent="0.25">
      <c r="A4544" s="849" t="s">
        <v>307</v>
      </c>
      <c r="B4544" s="1061" t="s">
        <v>1415</v>
      </c>
      <c r="C4544" s="835"/>
      <c r="D4544" s="1062"/>
      <c r="E4544" s="825"/>
      <c r="F4544" s="825"/>
      <c r="G4544" s="825"/>
      <c r="H4544" s="825"/>
      <c r="I4544" s="825">
        <f t="shared" si="516"/>
        <v>0</v>
      </c>
      <c r="J4544" s="825"/>
      <c r="K4544" s="825"/>
      <c r="L4544" s="825"/>
      <c r="M4544" s="825"/>
      <c r="N4544" s="825"/>
      <c r="O4544" s="826"/>
      <c r="P4544" s="702"/>
      <c r="Q4544" s="1821"/>
      <c r="R4544" s="1821"/>
      <c r="S4544" s="1821"/>
      <c r="T4544" s="1821"/>
      <c r="U4544" s="1821"/>
      <c r="V4544" s="1821"/>
      <c r="W4544" s="1821"/>
      <c r="X4544" s="1821"/>
      <c r="Y4544" s="1821"/>
      <c r="Z4544" s="1821"/>
      <c r="AA4544" s="1821"/>
      <c r="AB4544" s="1821"/>
      <c r="AC4544" s="1821"/>
      <c r="AD4544" s="1821"/>
      <c r="AE4544" s="1821"/>
      <c r="AF4544" s="1821"/>
      <c r="AG4544" s="1821"/>
      <c r="AH4544" s="1821"/>
      <c r="AI4544" s="1821"/>
      <c r="AJ4544" s="1821"/>
      <c r="AK4544" s="1821"/>
      <c r="AL4544" s="1821"/>
      <c r="AM4544" s="1821"/>
      <c r="AN4544" s="1821"/>
      <c r="AO4544" s="1821"/>
      <c r="AP4544" s="1821"/>
      <c r="AQ4544" s="1821"/>
      <c r="AR4544" s="1821"/>
      <c r="AS4544" s="1821"/>
      <c r="AT4544" s="1821"/>
      <c r="AU4544" s="1821"/>
      <c r="AV4544" s="1821"/>
      <c r="AW4544" s="1821"/>
      <c r="AX4544" s="1821"/>
      <c r="AY4544" s="1821"/>
      <c r="AZ4544" s="1821"/>
      <c r="BA4544" s="1821"/>
      <c r="BB4544" s="1821"/>
      <c r="BC4544" s="1821"/>
      <c r="BD4544" s="1821"/>
      <c r="BE4544" s="1821"/>
      <c r="BF4544" s="1821"/>
      <c r="BG4544" s="1821"/>
      <c r="BH4544" s="1821"/>
      <c r="BI4544" s="1821"/>
      <c r="BJ4544" s="1821"/>
      <c r="BK4544" s="1821"/>
      <c r="BL4544" s="1821"/>
      <c r="BM4544" s="1821"/>
      <c r="BN4544" s="1821"/>
      <c r="BO4544" s="1821"/>
      <c r="BP4544" s="1821"/>
      <c r="BQ4544" s="1821"/>
      <c r="BR4544" s="1821"/>
      <c r="BS4544" s="1821"/>
      <c r="BT4544" s="1821"/>
      <c r="BU4544" s="1821"/>
      <c r="BV4544" s="1821"/>
      <c r="BW4544" s="1821"/>
      <c r="BX4544" s="1821"/>
      <c r="BY4544" s="1821"/>
      <c r="BZ4544" s="1821"/>
      <c r="CA4544" s="1821"/>
      <c r="CB4544" s="1821"/>
      <c r="CC4544" s="1821"/>
      <c r="CD4544" s="1821"/>
      <c r="CE4544" s="1821"/>
      <c r="CF4544" s="1821"/>
      <c r="CG4544" s="1821"/>
      <c r="CH4544" s="1821"/>
      <c r="CI4544" s="1821"/>
      <c r="CJ4544" s="1821"/>
      <c r="CK4544" s="1821"/>
    </row>
    <row r="4545" spans="1:89" s="675" customFormat="1" ht="16.5" customHeight="1" x14ac:dyDescent="0.25">
      <c r="A4545" s="849"/>
      <c r="B4545" s="1061" t="s">
        <v>21</v>
      </c>
      <c r="C4545" s="835"/>
      <c r="D4545" s="1062"/>
      <c r="E4545" s="825"/>
      <c r="F4545" s="825"/>
      <c r="G4545" s="825"/>
      <c r="H4545" s="825"/>
      <c r="I4545" s="825">
        <f t="shared" si="516"/>
        <v>0</v>
      </c>
      <c r="J4545" s="825"/>
      <c r="K4545" s="825">
        <f>J4545+I4545</f>
        <v>0</v>
      </c>
      <c r="L4545" s="825"/>
      <c r="M4545" s="825"/>
      <c r="N4545" s="825"/>
      <c r="O4545" s="826">
        <f>N4545+K4545+H4545</f>
        <v>0</v>
      </c>
      <c r="P4545" s="702"/>
      <c r="Q4545" s="1821"/>
      <c r="R4545" s="1821"/>
      <c r="S4545" s="1821"/>
      <c r="T4545" s="1821"/>
      <c r="U4545" s="1821"/>
      <c r="V4545" s="1821"/>
      <c r="W4545" s="1821"/>
      <c r="X4545" s="1821"/>
      <c r="Y4545" s="1821"/>
      <c r="Z4545" s="1821"/>
      <c r="AA4545" s="1821"/>
      <c r="AB4545" s="1821"/>
      <c r="AC4545" s="1821"/>
      <c r="AD4545" s="1821"/>
      <c r="AE4545" s="1821"/>
      <c r="AF4545" s="1821"/>
      <c r="AG4545" s="1821"/>
      <c r="AH4545" s="1821"/>
      <c r="AI4545" s="1821"/>
      <c r="AJ4545" s="1821"/>
      <c r="AK4545" s="1821"/>
      <c r="AL4545" s="1821"/>
      <c r="AM4545" s="1821"/>
      <c r="AN4545" s="1821"/>
      <c r="AO4545" s="1821"/>
      <c r="AP4545" s="1821"/>
      <c r="AQ4545" s="1821"/>
      <c r="AR4545" s="1821"/>
      <c r="AS4545" s="1821"/>
      <c r="AT4545" s="1821"/>
      <c r="AU4545" s="1821"/>
      <c r="AV4545" s="1821"/>
      <c r="AW4545" s="1821"/>
      <c r="AX4545" s="1821"/>
      <c r="AY4545" s="1821"/>
      <c r="AZ4545" s="1821"/>
      <c r="BA4545" s="1821"/>
      <c r="BB4545" s="1821"/>
      <c r="BC4545" s="1821"/>
      <c r="BD4545" s="1821"/>
      <c r="BE4545" s="1821"/>
      <c r="BF4545" s="1821"/>
      <c r="BG4545" s="1821"/>
      <c r="BH4545" s="1821"/>
      <c r="BI4545" s="1821"/>
      <c r="BJ4545" s="1821"/>
      <c r="BK4545" s="1821"/>
      <c r="BL4545" s="1821"/>
      <c r="BM4545" s="1821"/>
      <c r="BN4545" s="1821"/>
      <c r="BO4545" s="1821"/>
      <c r="BP4545" s="1821"/>
      <c r="BQ4545" s="1821"/>
      <c r="BR4545" s="1821"/>
      <c r="BS4545" s="1821"/>
      <c r="BT4545" s="1821"/>
      <c r="BU4545" s="1821"/>
      <c r="BV4545" s="1821"/>
      <c r="BW4545" s="1821"/>
      <c r="BX4545" s="1821"/>
      <c r="BY4545" s="1821"/>
      <c r="BZ4545" s="1821"/>
      <c r="CA4545" s="1821"/>
      <c r="CB4545" s="1821"/>
      <c r="CC4545" s="1821"/>
      <c r="CD4545" s="1821"/>
      <c r="CE4545" s="1821"/>
      <c r="CF4545" s="1821"/>
      <c r="CG4545" s="1821"/>
      <c r="CH4545" s="1821"/>
      <c r="CI4545" s="1821"/>
      <c r="CJ4545" s="1821"/>
      <c r="CK4545" s="1821"/>
    </row>
    <row r="4546" spans="1:89" s="675" customFormat="1" ht="16.5" customHeight="1" x14ac:dyDescent="0.25">
      <c r="A4546" s="849"/>
      <c r="B4546" s="1061" t="s">
        <v>2247</v>
      </c>
      <c r="C4546" s="835"/>
      <c r="D4546" s="1062"/>
      <c r="E4546" s="825"/>
      <c r="F4546" s="825"/>
      <c r="G4546" s="825"/>
      <c r="H4546" s="825"/>
      <c r="I4546" s="825">
        <f t="shared" si="516"/>
        <v>0</v>
      </c>
      <c r="J4546" s="825"/>
      <c r="K4546" s="825">
        <f>J4546+I4546</f>
        <v>0</v>
      </c>
      <c r="L4546" s="825"/>
      <c r="M4546" s="825"/>
      <c r="N4546" s="825"/>
      <c r="O4546" s="826">
        <f>N4546+K4546+H4546</f>
        <v>0</v>
      </c>
      <c r="P4546" s="702"/>
      <c r="Q4546" s="1821"/>
      <c r="R4546" s="1821"/>
      <c r="S4546" s="1821"/>
      <c r="T4546" s="1821"/>
      <c r="U4546" s="1821"/>
      <c r="V4546" s="1821"/>
      <c r="W4546" s="1821"/>
      <c r="X4546" s="1821"/>
      <c r="Y4546" s="1821"/>
      <c r="Z4546" s="1821"/>
      <c r="AA4546" s="1821"/>
      <c r="AB4546" s="1821"/>
      <c r="AC4546" s="1821"/>
      <c r="AD4546" s="1821"/>
      <c r="AE4546" s="1821"/>
      <c r="AF4546" s="1821"/>
      <c r="AG4546" s="1821"/>
      <c r="AH4546" s="1821"/>
      <c r="AI4546" s="1821"/>
      <c r="AJ4546" s="1821"/>
      <c r="AK4546" s="1821"/>
      <c r="AL4546" s="1821"/>
      <c r="AM4546" s="1821"/>
      <c r="AN4546" s="1821"/>
      <c r="AO4546" s="1821"/>
      <c r="AP4546" s="1821"/>
      <c r="AQ4546" s="1821"/>
      <c r="AR4546" s="1821"/>
      <c r="AS4546" s="1821"/>
      <c r="AT4546" s="1821"/>
      <c r="AU4546" s="1821"/>
      <c r="AV4546" s="1821"/>
      <c r="AW4546" s="1821"/>
      <c r="AX4546" s="1821"/>
      <c r="AY4546" s="1821"/>
      <c r="AZ4546" s="1821"/>
      <c r="BA4546" s="1821"/>
      <c r="BB4546" s="1821"/>
      <c r="BC4546" s="1821"/>
      <c r="BD4546" s="1821"/>
      <c r="BE4546" s="1821"/>
      <c r="BF4546" s="1821"/>
      <c r="BG4546" s="1821"/>
      <c r="BH4546" s="1821"/>
      <c r="BI4546" s="1821"/>
      <c r="BJ4546" s="1821"/>
      <c r="BK4546" s="1821"/>
      <c r="BL4546" s="1821"/>
      <c r="BM4546" s="1821"/>
      <c r="BN4546" s="1821"/>
      <c r="BO4546" s="1821"/>
      <c r="BP4546" s="1821"/>
      <c r="BQ4546" s="1821"/>
      <c r="BR4546" s="1821"/>
      <c r="BS4546" s="1821"/>
      <c r="BT4546" s="1821"/>
      <c r="BU4546" s="1821"/>
      <c r="BV4546" s="1821"/>
      <c r="BW4546" s="1821"/>
      <c r="BX4546" s="1821"/>
      <c r="BY4546" s="1821"/>
      <c r="BZ4546" s="1821"/>
      <c r="CA4546" s="1821"/>
      <c r="CB4546" s="1821"/>
      <c r="CC4546" s="1821"/>
      <c r="CD4546" s="1821"/>
      <c r="CE4546" s="1821"/>
      <c r="CF4546" s="1821"/>
      <c r="CG4546" s="1821"/>
      <c r="CH4546" s="1821"/>
      <c r="CI4546" s="1821"/>
      <c r="CJ4546" s="1821"/>
      <c r="CK4546" s="1821"/>
    </row>
    <row r="4547" spans="1:89" s="675" customFormat="1" ht="16.5" customHeight="1" x14ac:dyDescent="0.25">
      <c r="A4547" s="849"/>
      <c r="B4547" s="1061" t="s">
        <v>534</v>
      </c>
      <c r="C4547" s="835">
        <v>1</v>
      </c>
      <c r="D4547" s="1062" t="s">
        <v>25</v>
      </c>
      <c r="E4547" s="825">
        <v>199980</v>
      </c>
      <c r="F4547" s="825"/>
      <c r="G4547" s="825"/>
      <c r="H4547" s="825"/>
      <c r="I4547" s="825">
        <f t="shared" si="516"/>
        <v>199980</v>
      </c>
      <c r="J4547" s="825"/>
      <c r="K4547" s="825">
        <f>J4547+I4547</f>
        <v>199980</v>
      </c>
      <c r="L4547" s="825"/>
      <c r="M4547" s="825"/>
      <c r="N4547" s="825"/>
      <c r="O4547" s="826">
        <f>N4547+K4547+H4547</f>
        <v>199980</v>
      </c>
      <c r="P4547" s="702"/>
      <c r="Q4547" s="1821"/>
      <c r="R4547" s="1821"/>
      <c r="S4547" s="1821"/>
      <c r="T4547" s="1821"/>
      <c r="U4547" s="1821"/>
      <c r="V4547" s="1821"/>
      <c r="W4547" s="1821"/>
      <c r="X4547" s="1821"/>
      <c r="Y4547" s="1821"/>
      <c r="Z4547" s="1821"/>
      <c r="AA4547" s="1821"/>
      <c r="AB4547" s="1821"/>
      <c r="AC4547" s="1821"/>
      <c r="AD4547" s="1821"/>
      <c r="AE4547" s="1821"/>
      <c r="AF4547" s="1821"/>
      <c r="AG4547" s="1821"/>
      <c r="AH4547" s="1821"/>
      <c r="AI4547" s="1821"/>
      <c r="AJ4547" s="1821"/>
      <c r="AK4547" s="1821"/>
      <c r="AL4547" s="1821"/>
      <c r="AM4547" s="1821"/>
      <c r="AN4547" s="1821"/>
      <c r="AO4547" s="1821"/>
      <c r="AP4547" s="1821"/>
      <c r="AQ4547" s="1821"/>
      <c r="AR4547" s="1821"/>
      <c r="AS4547" s="1821"/>
      <c r="AT4547" s="1821"/>
      <c r="AU4547" s="1821"/>
      <c r="AV4547" s="1821"/>
      <c r="AW4547" s="1821"/>
      <c r="AX4547" s="1821"/>
      <c r="AY4547" s="1821"/>
      <c r="AZ4547" s="1821"/>
      <c r="BA4547" s="1821"/>
      <c r="BB4547" s="1821"/>
      <c r="BC4547" s="1821"/>
      <c r="BD4547" s="1821"/>
      <c r="BE4547" s="1821"/>
      <c r="BF4547" s="1821"/>
      <c r="BG4547" s="1821"/>
      <c r="BH4547" s="1821"/>
      <c r="BI4547" s="1821"/>
      <c r="BJ4547" s="1821"/>
      <c r="BK4547" s="1821"/>
      <c r="BL4547" s="1821"/>
      <c r="BM4547" s="1821"/>
      <c r="BN4547" s="1821"/>
      <c r="BO4547" s="1821"/>
      <c r="BP4547" s="1821"/>
      <c r="BQ4547" s="1821"/>
      <c r="BR4547" s="1821"/>
      <c r="BS4547" s="1821"/>
      <c r="BT4547" s="1821"/>
      <c r="BU4547" s="1821"/>
      <c r="BV4547" s="1821"/>
      <c r="BW4547" s="1821"/>
      <c r="BX4547" s="1821"/>
      <c r="BY4547" s="1821"/>
      <c r="BZ4547" s="1821"/>
      <c r="CA4547" s="1821"/>
      <c r="CB4547" s="1821"/>
      <c r="CC4547" s="1821"/>
      <c r="CD4547" s="1821"/>
      <c r="CE4547" s="1821"/>
      <c r="CF4547" s="1821"/>
      <c r="CG4547" s="1821"/>
      <c r="CH4547" s="1821"/>
      <c r="CI4547" s="1821"/>
      <c r="CJ4547" s="1821"/>
      <c r="CK4547" s="1821"/>
    </row>
    <row r="4548" spans="1:89" s="675" customFormat="1" ht="16.5" customHeight="1" x14ac:dyDescent="0.25">
      <c r="A4548" s="849"/>
      <c r="B4548" s="1061"/>
      <c r="C4548" s="835"/>
      <c r="D4548" s="1062"/>
      <c r="E4548" s="825"/>
      <c r="F4548" s="825"/>
      <c r="G4548" s="825"/>
      <c r="H4548" s="825"/>
      <c r="I4548" s="825">
        <f t="shared" si="516"/>
        <v>0</v>
      </c>
      <c r="J4548" s="825"/>
      <c r="K4548" s="825"/>
      <c r="L4548" s="825"/>
      <c r="M4548" s="825"/>
      <c r="N4548" s="825"/>
      <c r="O4548" s="826"/>
      <c r="P4548" s="702"/>
      <c r="Q4548" s="1821"/>
      <c r="R4548" s="1821"/>
      <c r="S4548" s="1821"/>
      <c r="T4548" s="1821"/>
      <c r="U4548" s="1821"/>
      <c r="V4548" s="1821"/>
      <c r="W4548" s="1821"/>
      <c r="X4548" s="1821"/>
      <c r="Y4548" s="1821"/>
      <c r="Z4548" s="1821"/>
      <c r="AA4548" s="1821"/>
      <c r="AB4548" s="1821"/>
      <c r="AC4548" s="1821"/>
      <c r="AD4548" s="1821"/>
      <c r="AE4548" s="1821"/>
      <c r="AF4548" s="1821"/>
      <c r="AG4548" s="1821"/>
      <c r="AH4548" s="1821"/>
      <c r="AI4548" s="1821"/>
      <c r="AJ4548" s="1821"/>
      <c r="AK4548" s="1821"/>
      <c r="AL4548" s="1821"/>
      <c r="AM4548" s="1821"/>
      <c r="AN4548" s="1821"/>
      <c r="AO4548" s="1821"/>
      <c r="AP4548" s="1821"/>
      <c r="AQ4548" s="1821"/>
      <c r="AR4548" s="1821"/>
      <c r="AS4548" s="1821"/>
      <c r="AT4548" s="1821"/>
      <c r="AU4548" s="1821"/>
      <c r="AV4548" s="1821"/>
      <c r="AW4548" s="1821"/>
      <c r="AX4548" s="1821"/>
      <c r="AY4548" s="1821"/>
      <c r="AZ4548" s="1821"/>
      <c r="BA4548" s="1821"/>
      <c r="BB4548" s="1821"/>
      <c r="BC4548" s="1821"/>
      <c r="BD4548" s="1821"/>
      <c r="BE4548" s="1821"/>
      <c r="BF4548" s="1821"/>
      <c r="BG4548" s="1821"/>
      <c r="BH4548" s="1821"/>
      <c r="BI4548" s="1821"/>
      <c r="BJ4548" s="1821"/>
      <c r="BK4548" s="1821"/>
      <c r="BL4548" s="1821"/>
      <c r="BM4548" s="1821"/>
      <c r="BN4548" s="1821"/>
      <c r="BO4548" s="1821"/>
      <c r="BP4548" s="1821"/>
      <c r="BQ4548" s="1821"/>
      <c r="BR4548" s="1821"/>
      <c r="BS4548" s="1821"/>
      <c r="BT4548" s="1821"/>
      <c r="BU4548" s="1821"/>
      <c r="BV4548" s="1821"/>
      <c r="BW4548" s="1821"/>
      <c r="BX4548" s="1821"/>
      <c r="BY4548" s="1821"/>
      <c r="BZ4548" s="1821"/>
      <c r="CA4548" s="1821"/>
      <c r="CB4548" s="1821"/>
      <c r="CC4548" s="1821"/>
      <c r="CD4548" s="1821"/>
      <c r="CE4548" s="1821"/>
      <c r="CF4548" s="1821"/>
      <c r="CG4548" s="1821"/>
      <c r="CH4548" s="1821"/>
      <c r="CI4548" s="1821"/>
      <c r="CJ4548" s="1821"/>
      <c r="CK4548" s="1821"/>
    </row>
    <row r="4549" spans="1:89" s="675" customFormat="1" ht="16.5" customHeight="1" x14ac:dyDescent="0.25">
      <c r="A4549" s="849" t="s">
        <v>312</v>
      </c>
      <c r="B4549" s="1061" t="s">
        <v>194</v>
      </c>
      <c r="C4549" s="835"/>
      <c r="D4549" s="1062"/>
      <c r="E4549" s="825"/>
      <c r="F4549" s="825"/>
      <c r="G4549" s="825"/>
      <c r="H4549" s="825"/>
      <c r="I4549" s="825">
        <f t="shared" si="516"/>
        <v>0</v>
      </c>
      <c r="J4549" s="825"/>
      <c r="K4549" s="825"/>
      <c r="L4549" s="825"/>
      <c r="M4549" s="825"/>
      <c r="N4549" s="825"/>
      <c r="O4549" s="826"/>
      <c r="P4549" s="702"/>
      <c r="Q4549" s="1821"/>
      <c r="R4549" s="1821"/>
      <c r="S4549" s="1821"/>
      <c r="T4549" s="1821"/>
      <c r="U4549" s="1821"/>
      <c r="V4549" s="1821"/>
      <c r="W4549" s="1821"/>
      <c r="X4549" s="1821"/>
      <c r="Y4549" s="1821"/>
      <c r="Z4549" s="1821"/>
      <c r="AA4549" s="1821"/>
      <c r="AB4549" s="1821"/>
      <c r="AC4549" s="1821"/>
      <c r="AD4549" s="1821"/>
      <c r="AE4549" s="1821"/>
      <c r="AF4549" s="1821"/>
      <c r="AG4549" s="1821"/>
      <c r="AH4549" s="1821"/>
      <c r="AI4549" s="1821"/>
      <c r="AJ4549" s="1821"/>
      <c r="AK4549" s="1821"/>
      <c r="AL4549" s="1821"/>
      <c r="AM4549" s="1821"/>
      <c r="AN4549" s="1821"/>
      <c r="AO4549" s="1821"/>
      <c r="AP4549" s="1821"/>
      <c r="AQ4549" s="1821"/>
      <c r="AR4549" s="1821"/>
      <c r="AS4549" s="1821"/>
      <c r="AT4549" s="1821"/>
      <c r="AU4549" s="1821"/>
      <c r="AV4549" s="1821"/>
      <c r="AW4549" s="1821"/>
      <c r="AX4549" s="1821"/>
      <c r="AY4549" s="1821"/>
      <c r="AZ4549" s="1821"/>
      <c r="BA4549" s="1821"/>
      <c r="BB4549" s="1821"/>
      <c r="BC4549" s="1821"/>
      <c r="BD4549" s="1821"/>
      <c r="BE4549" s="1821"/>
      <c r="BF4549" s="1821"/>
      <c r="BG4549" s="1821"/>
      <c r="BH4549" s="1821"/>
      <c r="BI4549" s="1821"/>
      <c r="BJ4549" s="1821"/>
      <c r="BK4549" s="1821"/>
      <c r="BL4549" s="1821"/>
      <c r="BM4549" s="1821"/>
      <c r="BN4549" s="1821"/>
      <c r="BO4549" s="1821"/>
      <c r="BP4549" s="1821"/>
      <c r="BQ4549" s="1821"/>
      <c r="BR4549" s="1821"/>
      <c r="BS4549" s="1821"/>
      <c r="BT4549" s="1821"/>
      <c r="BU4549" s="1821"/>
      <c r="BV4549" s="1821"/>
      <c r="BW4549" s="1821"/>
      <c r="BX4549" s="1821"/>
      <c r="BY4549" s="1821"/>
      <c r="BZ4549" s="1821"/>
      <c r="CA4549" s="1821"/>
      <c r="CB4549" s="1821"/>
      <c r="CC4549" s="1821"/>
      <c r="CD4549" s="1821"/>
      <c r="CE4549" s="1821"/>
      <c r="CF4549" s="1821"/>
      <c r="CG4549" s="1821"/>
      <c r="CH4549" s="1821"/>
      <c r="CI4549" s="1821"/>
      <c r="CJ4549" s="1821"/>
      <c r="CK4549" s="1821"/>
    </row>
    <row r="4550" spans="1:89" s="675" customFormat="1" ht="16.5" customHeight="1" x14ac:dyDescent="0.25">
      <c r="A4550" s="849"/>
      <c r="B4550" s="1061" t="s">
        <v>1416</v>
      </c>
      <c r="C4550" s="835"/>
      <c r="D4550" s="1062"/>
      <c r="E4550" s="825"/>
      <c r="F4550" s="825"/>
      <c r="G4550" s="825"/>
      <c r="H4550" s="825"/>
      <c r="I4550" s="825">
        <f t="shared" si="516"/>
        <v>0</v>
      </c>
      <c r="J4550" s="825"/>
      <c r="K4550" s="825">
        <f>J4550+I4550</f>
        <v>0</v>
      </c>
      <c r="L4550" s="825"/>
      <c r="M4550" s="825"/>
      <c r="N4550" s="825"/>
      <c r="O4550" s="826">
        <f>N4550+K4550+H4550</f>
        <v>0</v>
      </c>
      <c r="P4550" s="702"/>
      <c r="Q4550" s="1821"/>
      <c r="R4550" s="1821"/>
      <c r="S4550" s="1821"/>
      <c r="T4550" s="1821"/>
      <c r="U4550" s="1821"/>
      <c r="V4550" s="1821"/>
      <c r="W4550" s="1821"/>
      <c r="X4550" s="1821"/>
      <c r="Y4550" s="1821"/>
      <c r="Z4550" s="1821"/>
      <c r="AA4550" s="1821"/>
      <c r="AB4550" s="1821"/>
      <c r="AC4550" s="1821"/>
      <c r="AD4550" s="1821"/>
      <c r="AE4550" s="1821"/>
      <c r="AF4550" s="1821"/>
      <c r="AG4550" s="1821"/>
      <c r="AH4550" s="1821"/>
      <c r="AI4550" s="1821"/>
      <c r="AJ4550" s="1821"/>
      <c r="AK4550" s="1821"/>
      <c r="AL4550" s="1821"/>
      <c r="AM4550" s="1821"/>
      <c r="AN4550" s="1821"/>
      <c r="AO4550" s="1821"/>
      <c r="AP4550" s="1821"/>
      <c r="AQ4550" s="1821"/>
      <c r="AR4550" s="1821"/>
      <c r="AS4550" s="1821"/>
      <c r="AT4550" s="1821"/>
      <c r="AU4550" s="1821"/>
      <c r="AV4550" s="1821"/>
      <c r="AW4550" s="1821"/>
      <c r="AX4550" s="1821"/>
      <c r="AY4550" s="1821"/>
      <c r="AZ4550" s="1821"/>
      <c r="BA4550" s="1821"/>
      <c r="BB4550" s="1821"/>
      <c r="BC4550" s="1821"/>
      <c r="BD4550" s="1821"/>
      <c r="BE4550" s="1821"/>
      <c r="BF4550" s="1821"/>
      <c r="BG4550" s="1821"/>
      <c r="BH4550" s="1821"/>
      <c r="BI4550" s="1821"/>
      <c r="BJ4550" s="1821"/>
      <c r="BK4550" s="1821"/>
      <c r="BL4550" s="1821"/>
      <c r="BM4550" s="1821"/>
      <c r="BN4550" s="1821"/>
      <c r="BO4550" s="1821"/>
      <c r="BP4550" s="1821"/>
      <c r="BQ4550" s="1821"/>
      <c r="BR4550" s="1821"/>
      <c r="BS4550" s="1821"/>
      <c r="BT4550" s="1821"/>
      <c r="BU4550" s="1821"/>
      <c r="BV4550" s="1821"/>
      <c r="BW4550" s="1821"/>
      <c r="BX4550" s="1821"/>
      <c r="BY4550" s="1821"/>
      <c r="BZ4550" s="1821"/>
      <c r="CA4550" s="1821"/>
      <c r="CB4550" s="1821"/>
      <c r="CC4550" s="1821"/>
      <c r="CD4550" s="1821"/>
      <c r="CE4550" s="1821"/>
      <c r="CF4550" s="1821"/>
      <c r="CG4550" s="1821"/>
      <c r="CH4550" s="1821"/>
      <c r="CI4550" s="1821"/>
      <c r="CJ4550" s="1821"/>
      <c r="CK4550" s="1821"/>
    </row>
    <row r="4551" spans="1:89" s="675" customFormat="1" ht="16.5" customHeight="1" x14ac:dyDescent="0.25">
      <c r="A4551" s="849"/>
      <c r="B4551" s="1061" t="s">
        <v>2247</v>
      </c>
      <c r="C4551" s="835"/>
      <c r="D4551" s="1062"/>
      <c r="E4551" s="825"/>
      <c r="F4551" s="825"/>
      <c r="G4551" s="825"/>
      <c r="H4551" s="825"/>
      <c r="I4551" s="825">
        <f t="shared" si="516"/>
        <v>0</v>
      </c>
      <c r="J4551" s="825"/>
      <c r="K4551" s="825">
        <f>J4551+I4551</f>
        <v>0</v>
      </c>
      <c r="L4551" s="825"/>
      <c r="M4551" s="825"/>
      <c r="N4551" s="825"/>
      <c r="O4551" s="826">
        <f>N4551+K4551+H4551</f>
        <v>0</v>
      </c>
      <c r="P4551" s="702"/>
      <c r="Q4551" s="1821"/>
      <c r="R4551" s="1821"/>
      <c r="S4551" s="1821"/>
      <c r="T4551" s="1821"/>
      <c r="U4551" s="1821"/>
      <c r="V4551" s="1821"/>
      <c r="W4551" s="1821"/>
      <c r="X4551" s="1821"/>
      <c r="Y4551" s="1821"/>
      <c r="Z4551" s="1821"/>
      <c r="AA4551" s="1821"/>
      <c r="AB4551" s="1821"/>
      <c r="AC4551" s="1821"/>
      <c r="AD4551" s="1821"/>
      <c r="AE4551" s="1821"/>
      <c r="AF4551" s="1821"/>
      <c r="AG4551" s="1821"/>
      <c r="AH4551" s="1821"/>
      <c r="AI4551" s="1821"/>
      <c r="AJ4551" s="1821"/>
      <c r="AK4551" s="1821"/>
      <c r="AL4551" s="1821"/>
      <c r="AM4551" s="1821"/>
      <c r="AN4551" s="1821"/>
      <c r="AO4551" s="1821"/>
      <c r="AP4551" s="1821"/>
      <c r="AQ4551" s="1821"/>
      <c r="AR4551" s="1821"/>
      <c r="AS4551" s="1821"/>
      <c r="AT4551" s="1821"/>
      <c r="AU4551" s="1821"/>
      <c r="AV4551" s="1821"/>
      <c r="AW4551" s="1821"/>
      <c r="AX4551" s="1821"/>
      <c r="AY4551" s="1821"/>
      <c r="AZ4551" s="1821"/>
      <c r="BA4551" s="1821"/>
      <c r="BB4551" s="1821"/>
      <c r="BC4551" s="1821"/>
      <c r="BD4551" s="1821"/>
      <c r="BE4551" s="1821"/>
      <c r="BF4551" s="1821"/>
      <c r="BG4551" s="1821"/>
      <c r="BH4551" s="1821"/>
      <c r="BI4551" s="1821"/>
      <c r="BJ4551" s="1821"/>
      <c r="BK4551" s="1821"/>
      <c r="BL4551" s="1821"/>
      <c r="BM4551" s="1821"/>
      <c r="BN4551" s="1821"/>
      <c r="BO4551" s="1821"/>
      <c r="BP4551" s="1821"/>
      <c r="BQ4551" s="1821"/>
      <c r="BR4551" s="1821"/>
      <c r="BS4551" s="1821"/>
      <c r="BT4551" s="1821"/>
      <c r="BU4551" s="1821"/>
      <c r="BV4551" s="1821"/>
      <c r="BW4551" s="1821"/>
      <c r="BX4551" s="1821"/>
      <c r="BY4551" s="1821"/>
      <c r="BZ4551" s="1821"/>
      <c r="CA4551" s="1821"/>
      <c r="CB4551" s="1821"/>
      <c r="CC4551" s="1821"/>
      <c r="CD4551" s="1821"/>
      <c r="CE4551" s="1821"/>
      <c r="CF4551" s="1821"/>
      <c r="CG4551" s="1821"/>
      <c r="CH4551" s="1821"/>
      <c r="CI4551" s="1821"/>
      <c r="CJ4551" s="1821"/>
      <c r="CK4551" s="1821"/>
    </row>
    <row r="4552" spans="1:89" s="675" customFormat="1" ht="16.5" customHeight="1" x14ac:dyDescent="0.25">
      <c r="A4552" s="849"/>
      <c r="B4552" s="1061" t="s">
        <v>535</v>
      </c>
      <c r="C4552" s="835">
        <v>12</v>
      </c>
      <c r="D4552" s="1062" t="s">
        <v>45</v>
      </c>
      <c r="E4552" s="825">
        <v>50000</v>
      </c>
      <c r="F4552" s="825"/>
      <c r="G4552" s="825"/>
      <c r="H4552" s="825"/>
      <c r="I4552" s="825">
        <f t="shared" si="516"/>
        <v>600000</v>
      </c>
      <c r="J4552" s="825"/>
      <c r="K4552" s="825">
        <f>J4552+I4552</f>
        <v>600000</v>
      </c>
      <c r="L4552" s="825"/>
      <c r="M4552" s="825"/>
      <c r="N4552" s="825"/>
      <c r="O4552" s="826">
        <f>N4552+K4552+H4552</f>
        <v>600000</v>
      </c>
      <c r="P4552" s="702"/>
      <c r="Q4552" s="1821"/>
      <c r="R4552" s="1821"/>
      <c r="S4552" s="1821"/>
      <c r="T4552" s="1821"/>
      <c r="U4552" s="1821"/>
      <c r="V4552" s="1821"/>
      <c r="W4552" s="1821"/>
      <c r="X4552" s="1821"/>
      <c r="Y4552" s="1821"/>
      <c r="Z4552" s="1821"/>
      <c r="AA4552" s="1821"/>
      <c r="AB4552" s="1821"/>
      <c r="AC4552" s="1821"/>
      <c r="AD4552" s="1821"/>
      <c r="AE4552" s="1821"/>
      <c r="AF4552" s="1821"/>
      <c r="AG4552" s="1821"/>
      <c r="AH4552" s="1821"/>
      <c r="AI4552" s="1821"/>
      <c r="AJ4552" s="1821"/>
      <c r="AK4552" s="1821"/>
      <c r="AL4552" s="1821"/>
      <c r="AM4552" s="1821"/>
      <c r="AN4552" s="1821"/>
      <c r="AO4552" s="1821"/>
      <c r="AP4552" s="1821"/>
      <c r="AQ4552" s="1821"/>
      <c r="AR4552" s="1821"/>
      <c r="AS4552" s="1821"/>
      <c r="AT4552" s="1821"/>
      <c r="AU4552" s="1821"/>
      <c r="AV4552" s="1821"/>
      <c r="AW4552" s="1821"/>
      <c r="AX4552" s="1821"/>
      <c r="AY4552" s="1821"/>
      <c r="AZ4552" s="1821"/>
      <c r="BA4552" s="1821"/>
      <c r="BB4552" s="1821"/>
      <c r="BC4552" s="1821"/>
      <c r="BD4552" s="1821"/>
      <c r="BE4552" s="1821"/>
      <c r="BF4552" s="1821"/>
      <c r="BG4552" s="1821"/>
      <c r="BH4552" s="1821"/>
      <c r="BI4552" s="1821"/>
      <c r="BJ4552" s="1821"/>
      <c r="BK4552" s="1821"/>
      <c r="BL4552" s="1821"/>
      <c r="BM4552" s="1821"/>
      <c r="BN4552" s="1821"/>
      <c r="BO4552" s="1821"/>
      <c r="BP4552" s="1821"/>
      <c r="BQ4552" s="1821"/>
      <c r="BR4552" s="1821"/>
      <c r="BS4552" s="1821"/>
      <c r="BT4552" s="1821"/>
      <c r="BU4552" s="1821"/>
      <c r="BV4552" s="1821"/>
      <c r="BW4552" s="1821"/>
      <c r="BX4552" s="1821"/>
      <c r="BY4552" s="1821"/>
      <c r="BZ4552" s="1821"/>
      <c r="CA4552" s="1821"/>
      <c r="CB4552" s="1821"/>
      <c r="CC4552" s="1821"/>
      <c r="CD4552" s="1821"/>
      <c r="CE4552" s="1821"/>
      <c r="CF4552" s="1821"/>
      <c r="CG4552" s="1821"/>
      <c r="CH4552" s="1821"/>
      <c r="CI4552" s="1821"/>
      <c r="CJ4552" s="1821"/>
      <c r="CK4552" s="1821"/>
    </row>
    <row r="4553" spans="1:89" s="675" customFormat="1" ht="16.5" customHeight="1" x14ac:dyDescent="0.25">
      <c r="A4553" s="849"/>
      <c r="B4553" s="1061" t="s">
        <v>536</v>
      </c>
      <c r="C4553" s="835">
        <v>12</v>
      </c>
      <c r="D4553" s="1062" t="s">
        <v>45</v>
      </c>
      <c r="E4553" s="825">
        <v>2500</v>
      </c>
      <c r="F4553" s="825"/>
      <c r="G4553" s="825"/>
      <c r="H4553" s="825"/>
      <c r="I4553" s="825">
        <f t="shared" si="516"/>
        <v>30000</v>
      </c>
      <c r="J4553" s="825"/>
      <c r="K4553" s="825">
        <f>J4553+I4553</f>
        <v>30000</v>
      </c>
      <c r="L4553" s="825"/>
      <c r="M4553" s="825"/>
      <c r="N4553" s="825"/>
      <c r="O4553" s="826">
        <f>N4553+K4553+H4553</f>
        <v>30000</v>
      </c>
      <c r="P4553" s="702"/>
      <c r="Q4553" s="1821"/>
      <c r="R4553" s="1821"/>
      <c r="S4553" s="1821"/>
      <c r="T4553" s="1821"/>
      <c r="U4553" s="1821"/>
      <c r="V4553" s="1821"/>
      <c r="W4553" s="1821"/>
      <c r="X4553" s="1821"/>
      <c r="Y4553" s="1821"/>
      <c r="Z4553" s="1821"/>
      <c r="AA4553" s="1821"/>
      <c r="AB4553" s="1821"/>
      <c r="AC4553" s="1821"/>
      <c r="AD4553" s="1821"/>
      <c r="AE4553" s="1821"/>
      <c r="AF4553" s="1821"/>
      <c r="AG4553" s="1821"/>
      <c r="AH4553" s="1821"/>
      <c r="AI4553" s="1821"/>
      <c r="AJ4553" s="1821"/>
      <c r="AK4553" s="1821"/>
      <c r="AL4553" s="1821"/>
      <c r="AM4553" s="1821"/>
      <c r="AN4553" s="1821"/>
      <c r="AO4553" s="1821"/>
      <c r="AP4553" s="1821"/>
      <c r="AQ4553" s="1821"/>
      <c r="AR4553" s="1821"/>
      <c r="AS4553" s="1821"/>
      <c r="AT4553" s="1821"/>
      <c r="AU4553" s="1821"/>
      <c r="AV4553" s="1821"/>
      <c r="AW4553" s="1821"/>
      <c r="AX4553" s="1821"/>
      <c r="AY4553" s="1821"/>
      <c r="AZ4553" s="1821"/>
      <c r="BA4553" s="1821"/>
      <c r="BB4553" s="1821"/>
      <c r="BC4553" s="1821"/>
      <c r="BD4553" s="1821"/>
      <c r="BE4553" s="1821"/>
      <c r="BF4553" s="1821"/>
      <c r="BG4553" s="1821"/>
      <c r="BH4553" s="1821"/>
      <c r="BI4553" s="1821"/>
      <c r="BJ4553" s="1821"/>
      <c r="BK4553" s="1821"/>
      <c r="BL4553" s="1821"/>
      <c r="BM4553" s="1821"/>
      <c r="BN4553" s="1821"/>
      <c r="BO4553" s="1821"/>
      <c r="BP4553" s="1821"/>
      <c r="BQ4553" s="1821"/>
      <c r="BR4553" s="1821"/>
      <c r="BS4553" s="1821"/>
      <c r="BT4553" s="1821"/>
      <c r="BU4553" s="1821"/>
      <c r="BV4553" s="1821"/>
      <c r="BW4553" s="1821"/>
      <c r="BX4553" s="1821"/>
      <c r="BY4553" s="1821"/>
      <c r="BZ4553" s="1821"/>
      <c r="CA4553" s="1821"/>
      <c r="CB4553" s="1821"/>
      <c r="CC4553" s="1821"/>
      <c r="CD4553" s="1821"/>
      <c r="CE4553" s="1821"/>
      <c r="CF4553" s="1821"/>
      <c r="CG4553" s="1821"/>
      <c r="CH4553" s="1821"/>
      <c r="CI4553" s="1821"/>
      <c r="CJ4553" s="1821"/>
      <c r="CK4553" s="1821"/>
    </row>
    <row r="4554" spans="1:89" s="675" customFormat="1" ht="16.5" customHeight="1" x14ac:dyDescent="0.25">
      <c r="A4554" s="849"/>
      <c r="B4554" s="1061"/>
      <c r="C4554" s="835"/>
      <c r="D4554" s="1062"/>
      <c r="E4554" s="825"/>
      <c r="F4554" s="825"/>
      <c r="G4554" s="825"/>
      <c r="H4554" s="825"/>
      <c r="I4554" s="825">
        <f t="shared" si="516"/>
        <v>0</v>
      </c>
      <c r="J4554" s="825"/>
      <c r="K4554" s="825"/>
      <c r="L4554" s="825"/>
      <c r="M4554" s="825"/>
      <c r="N4554" s="825"/>
      <c r="O4554" s="826"/>
      <c r="P4554" s="702"/>
      <c r="Q4554" s="1821"/>
      <c r="R4554" s="1821"/>
      <c r="S4554" s="1821"/>
      <c r="T4554" s="1821"/>
      <c r="U4554" s="1821"/>
      <c r="V4554" s="1821"/>
      <c r="W4554" s="1821"/>
      <c r="X4554" s="1821"/>
      <c r="Y4554" s="1821"/>
      <c r="Z4554" s="1821"/>
      <c r="AA4554" s="1821"/>
      <c r="AB4554" s="1821"/>
      <c r="AC4554" s="1821"/>
      <c r="AD4554" s="1821"/>
      <c r="AE4554" s="1821"/>
      <c r="AF4554" s="1821"/>
      <c r="AG4554" s="1821"/>
      <c r="AH4554" s="1821"/>
      <c r="AI4554" s="1821"/>
      <c r="AJ4554" s="1821"/>
      <c r="AK4554" s="1821"/>
      <c r="AL4554" s="1821"/>
      <c r="AM4554" s="1821"/>
      <c r="AN4554" s="1821"/>
      <c r="AO4554" s="1821"/>
      <c r="AP4554" s="1821"/>
      <c r="AQ4554" s="1821"/>
      <c r="AR4554" s="1821"/>
      <c r="AS4554" s="1821"/>
      <c r="AT4554" s="1821"/>
      <c r="AU4554" s="1821"/>
      <c r="AV4554" s="1821"/>
      <c r="AW4554" s="1821"/>
      <c r="AX4554" s="1821"/>
      <c r="AY4554" s="1821"/>
      <c r="AZ4554" s="1821"/>
      <c r="BA4554" s="1821"/>
      <c r="BB4554" s="1821"/>
      <c r="BC4554" s="1821"/>
      <c r="BD4554" s="1821"/>
      <c r="BE4554" s="1821"/>
      <c r="BF4554" s="1821"/>
      <c r="BG4554" s="1821"/>
      <c r="BH4554" s="1821"/>
      <c r="BI4554" s="1821"/>
      <c r="BJ4554" s="1821"/>
      <c r="BK4554" s="1821"/>
      <c r="BL4554" s="1821"/>
      <c r="BM4554" s="1821"/>
      <c r="BN4554" s="1821"/>
      <c r="BO4554" s="1821"/>
      <c r="BP4554" s="1821"/>
      <c r="BQ4554" s="1821"/>
      <c r="BR4554" s="1821"/>
      <c r="BS4554" s="1821"/>
      <c r="BT4554" s="1821"/>
      <c r="BU4554" s="1821"/>
      <c r="BV4554" s="1821"/>
      <c r="BW4554" s="1821"/>
      <c r="BX4554" s="1821"/>
      <c r="BY4554" s="1821"/>
      <c r="BZ4554" s="1821"/>
      <c r="CA4554" s="1821"/>
      <c r="CB4554" s="1821"/>
      <c r="CC4554" s="1821"/>
      <c r="CD4554" s="1821"/>
      <c r="CE4554" s="1821"/>
      <c r="CF4554" s="1821"/>
      <c r="CG4554" s="1821"/>
      <c r="CH4554" s="1821"/>
      <c r="CI4554" s="1821"/>
      <c r="CJ4554" s="1821"/>
      <c r="CK4554" s="1821"/>
    </row>
    <row r="4555" spans="1:89" s="675" customFormat="1" ht="16.5" customHeight="1" x14ac:dyDescent="0.25">
      <c r="A4555" s="849" t="s">
        <v>319</v>
      </c>
      <c r="B4555" s="1061" t="s">
        <v>537</v>
      </c>
      <c r="C4555" s="835"/>
      <c r="D4555" s="1062"/>
      <c r="E4555" s="825"/>
      <c r="F4555" s="825"/>
      <c r="G4555" s="825"/>
      <c r="H4555" s="825"/>
      <c r="I4555" s="825">
        <f t="shared" si="516"/>
        <v>0</v>
      </c>
      <c r="J4555" s="825"/>
      <c r="K4555" s="825"/>
      <c r="L4555" s="825"/>
      <c r="M4555" s="825"/>
      <c r="N4555" s="825"/>
      <c r="O4555" s="826"/>
      <c r="P4555" s="702"/>
      <c r="Q4555" s="1821"/>
      <c r="R4555" s="1821"/>
      <c r="S4555" s="1821"/>
      <c r="T4555" s="1821"/>
      <c r="U4555" s="1821"/>
      <c r="V4555" s="1821"/>
      <c r="W4555" s="1821"/>
      <c r="X4555" s="1821"/>
      <c r="Y4555" s="1821"/>
      <c r="Z4555" s="1821"/>
      <c r="AA4555" s="1821"/>
      <c r="AB4555" s="1821"/>
      <c r="AC4555" s="1821"/>
      <c r="AD4555" s="1821"/>
      <c r="AE4555" s="1821"/>
      <c r="AF4555" s="1821"/>
      <c r="AG4555" s="1821"/>
      <c r="AH4555" s="1821"/>
      <c r="AI4555" s="1821"/>
      <c r="AJ4555" s="1821"/>
      <c r="AK4555" s="1821"/>
      <c r="AL4555" s="1821"/>
      <c r="AM4555" s="1821"/>
      <c r="AN4555" s="1821"/>
      <c r="AO4555" s="1821"/>
      <c r="AP4555" s="1821"/>
      <c r="AQ4555" s="1821"/>
      <c r="AR4555" s="1821"/>
      <c r="AS4555" s="1821"/>
      <c r="AT4555" s="1821"/>
      <c r="AU4555" s="1821"/>
      <c r="AV4555" s="1821"/>
      <c r="AW4555" s="1821"/>
      <c r="AX4555" s="1821"/>
      <c r="AY4555" s="1821"/>
      <c r="AZ4555" s="1821"/>
      <c r="BA4555" s="1821"/>
      <c r="BB4555" s="1821"/>
      <c r="BC4555" s="1821"/>
      <c r="BD4555" s="1821"/>
      <c r="BE4555" s="1821"/>
      <c r="BF4555" s="1821"/>
      <c r="BG4555" s="1821"/>
      <c r="BH4555" s="1821"/>
      <c r="BI4555" s="1821"/>
      <c r="BJ4555" s="1821"/>
      <c r="BK4555" s="1821"/>
      <c r="BL4555" s="1821"/>
      <c r="BM4555" s="1821"/>
      <c r="BN4555" s="1821"/>
      <c r="BO4555" s="1821"/>
      <c r="BP4555" s="1821"/>
      <c r="BQ4555" s="1821"/>
      <c r="BR4555" s="1821"/>
      <c r="BS4555" s="1821"/>
      <c r="BT4555" s="1821"/>
      <c r="BU4555" s="1821"/>
      <c r="BV4555" s="1821"/>
      <c r="BW4555" s="1821"/>
      <c r="BX4555" s="1821"/>
      <c r="BY4555" s="1821"/>
      <c r="BZ4555" s="1821"/>
      <c r="CA4555" s="1821"/>
      <c r="CB4555" s="1821"/>
      <c r="CC4555" s="1821"/>
      <c r="CD4555" s="1821"/>
      <c r="CE4555" s="1821"/>
      <c r="CF4555" s="1821"/>
      <c r="CG4555" s="1821"/>
      <c r="CH4555" s="1821"/>
      <c r="CI4555" s="1821"/>
      <c r="CJ4555" s="1821"/>
      <c r="CK4555" s="1821"/>
    </row>
    <row r="4556" spans="1:89" s="675" customFormat="1" ht="16.5" customHeight="1" x14ac:dyDescent="0.25">
      <c r="A4556" s="849"/>
      <c r="B4556" s="1061" t="s">
        <v>538</v>
      </c>
      <c r="C4556" s="835"/>
      <c r="D4556" s="1062"/>
      <c r="E4556" s="825"/>
      <c r="F4556" s="825"/>
      <c r="G4556" s="825"/>
      <c r="H4556" s="825"/>
      <c r="I4556" s="825">
        <f t="shared" si="516"/>
        <v>0</v>
      </c>
      <c r="J4556" s="825"/>
      <c r="K4556" s="825">
        <f>J4556+I4556</f>
        <v>0</v>
      </c>
      <c r="L4556" s="825"/>
      <c r="M4556" s="825"/>
      <c r="N4556" s="825"/>
      <c r="O4556" s="826">
        <f>N4556+K4556+H4556</f>
        <v>0</v>
      </c>
      <c r="P4556" s="702"/>
      <c r="Q4556" s="1821"/>
      <c r="R4556" s="1821"/>
      <c r="S4556" s="1821"/>
      <c r="T4556" s="1821"/>
      <c r="U4556" s="1821"/>
      <c r="V4556" s="1821"/>
      <c r="W4556" s="1821"/>
      <c r="X4556" s="1821"/>
      <c r="Y4556" s="1821"/>
      <c r="Z4556" s="1821"/>
      <c r="AA4556" s="1821"/>
      <c r="AB4556" s="1821"/>
      <c r="AC4556" s="1821"/>
      <c r="AD4556" s="1821"/>
      <c r="AE4556" s="1821"/>
      <c r="AF4556" s="1821"/>
      <c r="AG4556" s="1821"/>
      <c r="AH4556" s="1821"/>
      <c r="AI4556" s="1821"/>
      <c r="AJ4556" s="1821"/>
      <c r="AK4556" s="1821"/>
      <c r="AL4556" s="1821"/>
      <c r="AM4556" s="1821"/>
      <c r="AN4556" s="1821"/>
      <c r="AO4556" s="1821"/>
      <c r="AP4556" s="1821"/>
      <c r="AQ4556" s="1821"/>
      <c r="AR4556" s="1821"/>
      <c r="AS4556" s="1821"/>
      <c r="AT4556" s="1821"/>
      <c r="AU4556" s="1821"/>
      <c r="AV4556" s="1821"/>
      <c r="AW4556" s="1821"/>
      <c r="AX4556" s="1821"/>
      <c r="AY4556" s="1821"/>
      <c r="AZ4556" s="1821"/>
      <c r="BA4556" s="1821"/>
      <c r="BB4556" s="1821"/>
      <c r="BC4556" s="1821"/>
      <c r="BD4556" s="1821"/>
      <c r="BE4556" s="1821"/>
      <c r="BF4556" s="1821"/>
      <c r="BG4556" s="1821"/>
      <c r="BH4556" s="1821"/>
      <c r="BI4556" s="1821"/>
      <c r="BJ4556" s="1821"/>
      <c r="BK4556" s="1821"/>
      <c r="BL4556" s="1821"/>
      <c r="BM4556" s="1821"/>
      <c r="BN4556" s="1821"/>
      <c r="BO4556" s="1821"/>
      <c r="BP4556" s="1821"/>
      <c r="BQ4556" s="1821"/>
      <c r="BR4556" s="1821"/>
      <c r="BS4556" s="1821"/>
      <c r="BT4556" s="1821"/>
      <c r="BU4556" s="1821"/>
      <c r="BV4556" s="1821"/>
      <c r="BW4556" s="1821"/>
      <c r="BX4556" s="1821"/>
      <c r="BY4556" s="1821"/>
      <c r="BZ4556" s="1821"/>
      <c r="CA4556" s="1821"/>
      <c r="CB4556" s="1821"/>
      <c r="CC4556" s="1821"/>
      <c r="CD4556" s="1821"/>
      <c r="CE4556" s="1821"/>
      <c r="CF4556" s="1821"/>
      <c r="CG4556" s="1821"/>
      <c r="CH4556" s="1821"/>
      <c r="CI4556" s="1821"/>
      <c r="CJ4556" s="1821"/>
      <c r="CK4556" s="1821"/>
    </row>
    <row r="4557" spans="1:89" s="675" customFormat="1" ht="16.5" customHeight="1" x14ac:dyDescent="0.25">
      <c r="A4557" s="849"/>
      <c r="B4557" s="1061" t="s">
        <v>2247</v>
      </c>
      <c r="C4557" s="835"/>
      <c r="D4557" s="1062"/>
      <c r="E4557" s="825"/>
      <c r="F4557" s="825"/>
      <c r="G4557" s="825"/>
      <c r="H4557" s="825"/>
      <c r="I4557" s="825">
        <f t="shared" si="516"/>
        <v>0</v>
      </c>
      <c r="J4557" s="825"/>
      <c r="K4557" s="825">
        <f>J4557+I4557</f>
        <v>0</v>
      </c>
      <c r="L4557" s="825"/>
      <c r="M4557" s="825"/>
      <c r="N4557" s="825"/>
      <c r="O4557" s="826">
        <f>N4557+K4557+H4557</f>
        <v>0</v>
      </c>
      <c r="P4557" s="702"/>
      <c r="Q4557" s="1821"/>
      <c r="R4557" s="1821"/>
      <c r="S4557" s="1821"/>
      <c r="T4557" s="1821"/>
      <c r="U4557" s="1821"/>
      <c r="V4557" s="1821"/>
      <c r="W4557" s="1821"/>
      <c r="X4557" s="1821"/>
      <c r="Y4557" s="1821"/>
      <c r="Z4557" s="1821"/>
      <c r="AA4557" s="1821"/>
      <c r="AB4557" s="1821"/>
      <c r="AC4557" s="1821"/>
      <c r="AD4557" s="1821"/>
      <c r="AE4557" s="1821"/>
      <c r="AF4557" s="1821"/>
      <c r="AG4557" s="1821"/>
      <c r="AH4557" s="1821"/>
      <c r="AI4557" s="1821"/>
      <c r="AJ4557" s="1821"/>
      <c r="AK4557" s="1821"/>
      <c r="AL4557" s="1821"/>
      <c r="AM4557" s="1821"/>
      <c r="AN4557" s="1821"/>
      <c r="AO4557" s="1821"/>
      <c r="AP4557" s="1821"/>
      <c r="AQ4557" s="1821"/>
      <c r="AR4557" s="1821"/>
      <c r="AS4557" s="1821"/>
      <c r="AT4557" s="1821"/>
      <c r="AU4557" s="1821"/>
      <c r="AV4557" s="1821"/>
      <c r="AW4557" s="1821"/>
      <c r="AX4557" s="1821"/>
      <c r="AY4557" s="1821"/>
      <c r="AZ4557" s="1821"/>
      <c r="BA4557" s="1821"/>
      <c r="BB4557" s="1821"/>
      <c r="BC4557" s="1821"/>
      <c r="BD4557" s="1821"/>
      <c r="BE4557" s="1821"/>
      <c r="BF4557" s="1821"/>
      <c r="BG4557" s="1821"/>
      <c r="BH4557" s="1821"/>
      <c r="BI4557" s="1821"/>
      <c r="BJ4557" s="1821"/>
      <c r="BK4557" s="1821"/>
      <c r="BL4557" s="1821"/>
      <c r="BM4557" s="1821"/>
      <c r="BN4557" s="1821"/>
      <c r="BO4557" s="1821"/>
      <c r="BP4557" s="1821"/>
      <c r="BQ4557" s="1821"/>
      <c r="BR4557" s="1821"/>
      <c r="BS4557" s="1821"/>
      <c r="BT4557" s="1821"/>
      <c r="BU4557" s="1821"/>
      <c r="BV4557" s="1821"/>
      <c r="BW4557" s="1821"/>
      <c r="BX4557" s="1821"/>
      <c r="BY4557" s="1821"/>
      <c r="BZ4557" s="1821"/>
      <c r="CA4557" s="1821"/>
      <c r="CB4557" s="1821"/>
      <c r="CC4557" s="1821"/>
      <c r="CD4557" s="1821"/>
      <c r="CE4557" s="1821"/>
      <c r="CF4557" s="1821"/>
      <c r="CG4557" s="1821"/>
      <c r="CH4557" s="1821"/>
      <c r="CI4557" s="1821"/>
      <c r="CJ4557" s="1821"/>
      <c r="CK4557" s="1821"/>
    </row>
    <row r="4558" spans="1:89" s="675" customFormat="1" ht="16.5" customHeight="1" x14ac:dyDescent="0.25">
      <c r="A4558" s="849"/>
      <c r="B4558" s="1061" t="s">
        <v>1417</v>
      </c>
      <c r="C4558" s="835">
        <v>1</v>
      </c>
      <c r="D4558" s="1062" t="s">
        <v>25</v>
      </c>
      <c r="E4558" s="825">
        <v>1096357</v>
      </c>
      <c r="F4558" s="825"/>
      <c r="G4558" s="825"/>
      <c r="H4558" s="825"/>
      <c r="I4558" s="825">
        <f t="shared" si="516"/>
        <v>1096357</v>
      </c>
      <c r="J4558" s="825"/>
      <c r="K4558" s="825">
        <f>J4558+I4558</f>
        <v>1096357</v>
      </c>
      <c r="L4558" s="825"/>
      <c r="M4558" s="825"/>
      <c r="N4558" s="825"/>
      <c r="O4558" s="826">
        <f>N4558+K4558+H4558</f>
        <v>1096357</v>
      </c>
      <c r="P4558" s="702"/>
      <c r="Q4558" s="1821"/>
      <c r="R4558" s="1821"/>
      <c r="S4558" s="1821"/>
      <c r="T4558" s="1821"/>
      <c r="U4558" s="1821"/>
      <c r="V4558" s="1821"/>
      <c r="W4558" s="1821"/>
      <c r="X4558" s="1821"/>
      <c r="Y4558" s="1821"/>
      <c r="Z4558" s="1821"/>
      <c r="AA4558" s="1821"/>
      <c r="AB4558" s="1821"/>
      <c r="AC4558" s="1821"/>
      <c r="AD4558" s="1821"/>
      <c r="AE4558" s="1821"/>
      <c r="AF4558" s="1821"/>
      <c r="AG4558" s="1821"/>
      <c r="AH4558" s="1821"/>
      <c r="AI4558" s="1821"/>
      <c r="AJ4558" s="1821"/>
      <c r="AK4558" s="1821"/>
      <c r="AL4558" s="1821"/>
      <c r="AM4558" s="1821"/>
      <c r="AN4558" s="1821"/>
      <c r="AO4558" s="1821"/>
      <c r="AP4558" s="1821"/>
      <c r="AQ4558" s="1821"/>
      <c r="AR4558" s="1821"/>
      <c r="AS4558" s="1821"/>
      <c r="AT4558" s="1821"/>
      <c r="AU4558" s="1821"/>
      <c r="AV4558" s="1821"/>
      <c r="AW4558" s="1821"/>
      <c r="AX4558" s="1821"/>
      <c r="AY4558" s="1821"/>
      <c r="AZ4558" s="1821"/>
      <c r="BA4558" s="1821"/>
      <c r="BB4558" s="1821"/>
      <c r="BC4558" s="1821"/>
      <c r="BD4558" s="1821"/>
      <c r="BE4558" s="1821"/>
      <c r="BF4558" s="1821"/>
      <c r="BG4558" s="1821"/>
      <c r="BH4558" s="1821"/>
      <c r="BI4558" s="1821"/>
      <c r="BJ4558" s="1821"/>
      <c r="BK4558" s="1821"/>
      <c r="BL4558" s="1821"/>
      <c r="BM4558" s="1821"/>
      <c r="BN4558" s="1821"/>
      <c r="BO4558" s="1821"/>
      <c r="BP4558" s="1821"/>
      <c r="BQ4558" s="1821"/>
      <c r="BR4558" s="1821"/>
      <c r="BS4558" s="1821"/>
      <c r="BT4558" s="1821"/>
      <c r="BU4558" s="1821"/>
      <c r="BV4558" s="1821"/>
      <c r="BW4558" s="1821"/>
      <c r="BX4558" s="1821"/>
      <c r="BY4558" s="1821"/>
      <c r="BZ4558" s="1821"/>
      <c r="CA4558" s="1821"/>
      <c r="CB4558" s="1821"/>
      <c r="CC4558" s="1821"/>
      <c r="CD4558" s="1821"/>
      <c r="CE4558" s="1821"/>
      <c r="CF4558" s="1821"/>
      <c r="CG4558" s="1821"/>
      <c r="CH4558" s="1821"/>
      <c r="CI4558" s="1821"/>
      <c r="CJ4558" s="1821"/>
      <c r="CK4558" s="1821"/>
    </row>
    <row r="4559" spans="1:89" s="675" customFormat="1" ht="16.5" customHeight="1" x14ac:dyDescent="0.25">
      <c r="A4559" s="849"/>
      <c r="B4559" s="1061"/>
      <c r="C4559" s="835"/>
      <c r="D4559" s="1062"/>
      <c r="E4559" s="825"/>
      <c r="F4559" s="825"/>
      <c r="G4559" s="825"/>
      <c r="H4559" s="825"/>
      <c r="I4559" s="825">
        <f>E4559*C4559</f>
        <v>0</v>
      </c>
      <c r="J4559" s="825"/>
      <c r="K4559" s="825"/>
      <c r="L4559" s="825"/>
      <c r="M4559" s="825"/>
      <c r="N4559" s="825"/>
      <c r="O4559" s="826"/>
      <c r="P4559" s="702"/>
      <c r="Q4559" s="1821"/>
      <c r="R4559" s="1821"/>
      <c r="S4559" s="1821"/>
      <c r="T4559" s="1821"/>
      <c r="U4559" s="1821"/>
      <c r="V4559" s="1821"/>
      <c r="W4559" s="1821"/>
      <c r="X4559" s="1821"/>
      <c r="Y4559" s="1821"/>
      <c r="Z4559" s="1821"/>
      <c r="AA4559" s="1821"/>
      <c r="AB4559" s="1821"/>
      <c r="AC4559" s="1821"/>
      <c r="AD4559" s="1821"/>
      <c r="AE4559" s="1821"/>
      <c r="AF4559" s="1821"/>
      <c r="AG4559" s="1821"/>
      <c r="AH4559" s="1821"/>
      <c r="AI4559" s="1821"/>
      <c r="AJ4559" s="1821"/>
      <c r="AK4559" s="1821"/>
      <c r="AL4559" s="1821"/>
      <c r="AM4559" s="1821"/>
      <c r="AN4559" s="1821"/>
      <c r="AO4559" s="1821"/>
      <c r="AP4559" s="1821"/>
      <c r="AQ4559" s="1821"/>
      <c r="AR4559" s="1821"/>
      <c r="AS4559" s="1821"/>
      <c r="AT4559" s="1821"/>
      <c r="AU4559" s="1821"/>
      <c r="AV4559" s="1821"/>
      <c r="AW4559" s="1821"/>
      <c r="AX4559" s="1821"/>
      <c r="AY4559" s="1821"/>
      <c r="AZ4559" s="1821"/>
      <c r="BA4559" s="1821"/>
      <c r="BB4559" s="1821"/>
      <c r="BC4559" s="1821"/>
      <c r="BD4559" s="1821"/>
      <c r="BE4559" s="1821"/>
      <c r="BF4559" s="1821"/>
      <c r="BG4559" s="1821"/>
      <c r="BH4559" s="1821"/>
      <c r="BI4559" s="1821"/>
      <c r="BJ4559" s="1821"/>
      <c r="BK4559" s="1821"/>
      <c r="BL4559" s="1821"/>
      <c r="BM4559" s="1821"/>
      <c r="BN4559" s="1821"/>
      <c r="BO4559" s="1821"/>
      <c r="BP4559" s="1821"/>
      <c r="BQ4559" s="1821"/>
      <c r="BR4559" s="1821"/>
      <c r="BS4559" s="1821"/>
      <c r="BT4559" s="1821"/>
      <c r="BU4559" s="1821"/>
      <c r="BV4559" s="1821"/>
      <c r="BW4559" s="1821"/>
      <c r="BX4559" s="1821"/>
      <c r="BY4559" s="1821"/>
      <c r="BZ4559" s="1821"/>
      <c r="CA4559" s="1821"/>
      <c r="CB4559" s="1821"/>
      <c r="CC4559" s="1821"/>
      <c r="CD4559" s="1821"/>
      <c r="CE4559" s="1821"/>
      <c r="CF4559" s="1821"/>
      <c r="CG4559" s="1821"/>
      <c r="CH4559" s="1821"/>
      <c r="CI4559" s="1821"/>
      <c r="CJ4559" s="1821"/>
      <c r="CK4559" s="1821"/>
    </row>
    <row r="4560" spans="1:89" s="675" customFormat="1" ht="16.5" customHeight="1" x14ac:dyDescent="0.25">
      <c r="A4560" s="849"/>
      <c r="B4560" s="1061"/>
      <c r="C4560" s="835"/>
      <c r="D4560" s="1062"/>
      <c r="E4560" s="825"/>
      <c r="F4560" s="825"/>
      <c r="G4560" s="825"/>
      <c r="H4560" s="825"/>
      <c r="I4560" s="825">
        <f>E4560*C4560</f>
        <v>0</v>
      </c>
      <c r="J4560" s="825"/>
      <c r="K4560" s="825"/>
      <c r="L4560" s="825"/>
      <c r="M4560" s="825"/>
      <c r="N4560" s="825"/>
      <c r="O4560" s="826"/>
      <c r="P4560" s="702"/>
      <c r="Q4560" s="1821"/>
      <c r="R4560" s="1821"/>
      <c r="S4560" s="1821"/>
      <c r="T4560" s="1821"/>
      <c r="U4560" s="1821"/>
      <c r="V4560" s="1821"/>
      <c r="W4560" s="1821"/>
      <c r="X4560" s="1821"/>
      <c r="Y4560" s="1821"/>
      <c r="Z4560" s="1821"/>
      <c r="AA4560" s="1821"/>
      <c r="AB4560" s="1821"/>
      <c r="AC4560" s="1821"/>
      <c r="AD4560" s="1821"/>
      <c r="AE4560" s="1821"/>
      <c r="AF4560" s="1821"/>
      <c r="AG4560" s="1821"/>
      <c r="AH4560" s="1821"/>
      <c r="AI4560" s="1821"/>
      <c r="AJ4560" s="1821"/>
      <c r="AK4560" s="1821"/>
      <c r="AL4560" s="1821"/>
      <c r="AM4560" s="1821"/>
      <c r="AN4560" s="1821"/>
      <c r="AO4560" s="1821"/>
      <c r="AP4560" s="1821"/>
      <c r="AQ4560" s="1821"/>
      <c r="AR4560" s="1821"/>
      <c r="AS4560" s="1821"/>
      <c r="AT4560" s="1821"/>
      <c r="AU4560" s="1821"/>
      <c r="AV4560" s="1821"/>
      <c r="AW4560" s="1821"/>
      <c r="AX4560" s="1821"/>
      <c r="AY4560" s="1821"/>
      <c r="AZ4560" s="1821"/>
      <c r="BA4560" s="1821"/>
      <c r="BB4560" s="1821"/>
      <c r="BC4560" s="1821"/>
      <c r="BD4560" s="1821"/>
      <c r="BE4560" s="1821"/>
      <c r="BF4560" s="1821"/>
      <c r="BG4560" s="1821"/>
      <c r="BH4560" s="1821"/>
      <c r="BI4560" s="1821"/>
      <c r="BJ4560" s="1821"/>
      <c r="BK4560" s="1821"/>
      <c r="BL4560" s="1821"/>
      <c r="BM4560" s="1821"/>
      <c r="BN4560" s="1821"/>
      <c r="BO4560" s="1821"/>
      <c r="BP4560" s="1821"/>
      <c r="BQ4560" s="1821"/>
      <c r="BR4560" s="1821"/>
      <c r="BS4560" s="1821"/>
      <c r="BT4560" s="1821"/>
      <c r="BU4560" s="1821"/>
      <c r="BV4560" s="1821"/>
      <c r="BW4560" s="1821"/>
      <c r="BX4560" s="1821"/>
      <c r="BY4560" s="1821"/>
      <c r="BZ4560" s="1821"/>
      <c r="CA4560" s="1821"/>
      <c r="CB4560" s="1821"/>
      <c r="CC4560" s="1821"/>
      <c r="CD4560" s="1821"/>
      <c r="CE4560" s="1821"/>
      <c r="CF4560" s="1821"/>
      <c r="CG4560" s="1821"/>
      <c r="CH4560" s="1821"/>
      <c r="CI4560" s="1821"/>
      <c r="CJ4560" s="1821"/>
      <c r="CK4560" s="1821"/>
    </row>
    <row r="4561" spans="1:89" s="675" customFormat="1" ht="16.5" customHeight="1" x14ac:dyDescent="0.25">
      <c r="A4561" s="849"/>
      <c r="B4561" s="1061"/>
      <c r="C4561" s="835"/>
      <c r="D4561" s="1062"/>
      <c r="E4561" s="825"/>
      <c r="F4561" s="825"/>
      <c r="G4561" s="825"/>
      <c r="H4561" s="825"/>
      <c r="I4561" s="825">
        <f>E4561*C4561</f>
        <v>0</v>
      </c>
      <c r="J4561" s="825"/>
      <c r="K4561" s="825"/>
      <c r="L4561" s="825"/>
      <c r="M4561" s="825"/>
      <c r="N4561" s="825"/>
      <c r="O4561" s="826"/>
      <c r="P4561" s="702"/>
      <c r="Q4561" s="1821"/>
      <c r="R4561" s="1821"/>
      <c r="S4561" s="1821"/>
      <c r="T4561" s="1821"/>
      <c r="U4561" s="1821"/>
      <c r="V4561" s="1821"/>
      <c r="W4561" s="1821"/>
      <c r="X4561" s="1821"/>
      <c r="Y4561" s="1821"/>
      <c r="Z4561" s="1821"/>
      <c r="AA4561" s="1821"/>
      <c r="AB4561" s="1821"/>
      <c r="AC4561" s="1821"/>
      <c r="AD4561" s="1821"/>
      <c r="AE4561" s="1821"/>
      <c r="AF4561" s="1821"/>
      <c r="AG4561" s="1821"/>
      <c r="AH4561" s="1821"/>
      <c r="AI4561" s="1821"/>
      <c r="AJ4561" s="1821"/>
      <c r="AK4561" s="1821"/>
      <c r="AL4561" s="1821"/>
      <c r="AM4561" s="1821"/>
      <c r="AN4561" s="1821"/>
      <c r="AO4561" s="1821"/>
      <c r="AP4561" s="1821"/>
      <c r="AQ4561" s="1821"/>
      <c r="AR4561" s="1821"/>
      <c r="AS4561" s="1821"/>
      <c r="AT4561" s="1821"/>
      <c r="AU4561" s="1821"/>
      <c r="AV4561" s="1821"/>
      <c r="AW4561" s="1821"/>
      <c r="AX4561" s="1821"/>
      <c r="AY4561" s="1821"/>
      <c r="AZ4561" s="1821"/>
      <c r="BA4561" s="1821"/>
      <c r="BB4561" s="1821"/>
      <c r="BC4561" s="1821"/>
      <c r="BD4561" s="1821"/>
      <c r="BE4561" s="1821"/>
      <c r="BF4561" s="1821"/>
      <c r="BG4561" s="1821"/>
      <c r="BH4561" s="1821"/>
      <c r="BI4561" s="1821"/>
      <c r="BJ4561" s="1821"/>
      <c r="BK4561" s="1821"/>
      <c r="BL4561" s="1821"/>
      <c r="BM4561" s="1821"/>
      <c r="BN4561" s="1821"/>
      <c r="BO4561" s="1821"/>
      <c r="BP4561" s="1821"/>
      <c r="BQ4561" s="1821"/>
      <c r="BR4561" s="1821"/>
      <c r="BS4561" s="1821"/>
      <c r="BT4561" s="1821"/>
      <c r="BU4561" s="1821"/>
      <c r="BV4561" s="1821"/>
      <c r="BW4561" s="1821"/>
      <c r="BX4561" s="1821"/>
      <c r="BY4561" s="1821"/>
      <c r="BZ4561" s="1821"/>
      <c r="CA4561" s="1821"/>
      <c r="CB4561" s="1821"/>
      <c r="CC4561" s="1821"/>
      <c r="CD4561" s="1821"/>
      <c r="CE4561" s="1821"/>
      <c r="CF4561" s="1821"/>
      <c r="CG4561" s="1821"/>
      <c r="CH4561" s="1821"/>
      <c r="CI4561" s="1821"/>
      <c r="CJ4561" s="1821"/>
      <c r="CK4561" s="1821"/>
    </row>
    <row r="4562" spans="1:89" s="675" customFormat="1" ht="16.5" customHeight="1" x14ac:dyDescent="0.25">
      <c r="A4562" s="849"/>
      <c r="B4562" s="1061" t="s">
        <v>313</v>
      </c>
      <c r="C4562" s="835"/>
      <c r="D4562" s="1062"/>
      <c r="E4562" s="825"/>
      <c r="F4562" s="825"/>
      <c r="G4562" s="825"/>
      <c r="H4562" s="825"/>
      <c r="I4562" s="825">
        <f>E4562*C4562</f>
        <v>0</v>
      </c>
      <c r="J4562" s="825"/>
      <c r="K4562" s="825"/>
      <c r="L4562" s="825"/>
      <c r="M4562" s="825"/>
      <c r="N4562" s="825"/>
      <c r="O4562" s="826"/>
      <c r="P4562" s="702"/>
      <c r="Q4562" s="1821"/>
      <c r="R4562" s="1821"/>
      <c r="S4562" s="1821"/>
      <c r="T4562" s="1821"/>
      <c r="U4562" s="1821"/>
      <c r="V4562" s="1821"/>
      <c r="W4562" s="1821"/>
      <c r="X4562" s="1821"/>
      <c r="Y4562" s="1821"/>
      <c r="Z4562" s="1821"/>
      <c r="AA4562" s="1821"/>
      <c r="AB4562" s="1821"/>
      <c r="AC4562" s="1821"/>
      <c r="AD4562" s="1821"/>
      <c r="AE4562" s="1821"/>
      <c r="AF4562" s="1821"/>
      <c r="AG4562" s="1821"/>
      <c r="AH4562" s="1821"/>
      <c r="AI4562" s="1821"/>
      <c r="AJ4562" s="1821"/>
      <c r="AK4562" s="1821"/>
      <c r="AL4562" s="1821"/>
      <c r="AM4562" s="1821"/>
      <c r="AN4562" s="1821"/>
      <c r="AO4562" s="1821"/>
      <c r="AP4562" s="1821"/>
      <c r="AQ4562" s="1821"/>
      <c r="AR4562" s="1821"/>
      <c r="AS4562" s="1821"/>
      <c r="AT4562" s="1821"/>
      <c r="AU4562" s="1821"/>
      <c r="AV4562" s="1821"/>
      <c r="AW4562" s="1821"/>
      <c r="AX4562" s="1821"/>
      <c r="AY4562" s="1821"/>
      <c r="AZ4562" s="1821"/>
      <c r="BA4562" s="1821"/>
      <c r="BB4562" s="1821"/>
      <c r="BC4562" s="1821"/>
      <c r="BD4562" s="1821"/>
      <c r="BE4562" s="1821"/>
      <c r="BF4562" s="1821"/>
      <c r="BG4562" s="1821"/>
      <c r="BH4562" s="1821"/>
      <c r="BI4562" s="1821"/>
      <c r="BJ4562" s="1821"/>
      <c r="BK4562" s="1821"/>
      <c r="BL4562" s="1821"/>
      <c r="BM4562" s="1821"/>
      <c r="BN4562" s="1821"/>
      <c r="BO4562" s="1821"/>
      <c r="BP4562" s="1821"/>
      <c r="BQ4562" s="1821"/>
      <c r="BR4562" s="1821"/>
      <c r="BS4562" s="1821"/>
      <c r="BT4562" s="1821"/>
      <c r="BU4562" s="1821"/>
      <c r="BV4562" s="1821"/>
      <c r="BW4562" s="1821"/>
      <c r="BX4562" s="1821"/>
      <c r="BY4562" s="1821"/>
      <c r="BZ4562" s="1821"/>
      <c r="CA4562" s="1821"/>
      <c r="CB4562" s="1821"/>
      <c r="CC4562" s="1821"/>
      <c r="CD4562" s="1821"/>
      <c r="CE4562" s="1821"/>
      <c r="CF4562" s="1821"/>
      <c r="CG4562" s="1821"/>
      <c r="CH4562" s="1821"/>
      <c r="CI4562" s="1821"/>
      <c r="CJ4562" s="1821"/>
      <c r="CK4562" s="1821"/>
    </row>
    <row r="4563" spans="1:89" s="675" customFormat="1" ht="16.5" customHeight="1" x14ac:dyDescent="0.25">
      <c r="A4563" s="849"/>
      <c r="B4563" s="1061"/>
      <c r="C4563" s="835"/>
      <c r="D4563" s="1062"/>
      <c r="E4563" s="825"/>
      <c r="F4563" s="825"/>
      <c r="G4563" s="825"/>
      <c r="H4563" s="825"/>
      <c r="I4563" s="825">
        <f>E4563*C4563</f>
        <v>0</v>
      </c>
      <c r="J4563" s="825"/>
      <c r="K4563" s="825"/>
      <c r="L4563" s="825"/>
      <c r="M4563" s="825"/>
      <c r="N4563" s="825"/>
      <c r="O4563" s="826"/>
      <c r="P4563" s="702"/>
      <c r="Q4563" s="1821"/>
      <c r="R4563" s="1821"/>
      <c r="S4563" s="1821"/>
      <c r="T4563" s="1821"/>
      <c r="U4563" s="1821"/>
      <c r="V4563" s="1821"/>
      <c r="W4563" s="1821"/>
      <c r="X4563" s="1821"/>
      <c r="Y4563" s="1821"/>
      <c r="Z4563" s="1821"/>
      <c r="AA4563" s="1821"/>
      <c r="AB4563" s="1821"/>
      <c r="AC4563" s="1821"/>
      <c r="AD4563" s="1821"/>
      <c r="AE4563" s="1821"/>
      <c r="AF4563" s="1821"/>
      <c r="AG4563" s="1821"/>
      <c r="AH4563" s="1821"/>
      <c r="AI4563" s="1821"/>
      <c r="AJ4563" s="1821"/>
      <c r="AK4563" s="1821"/>
      <c r="AL4563" s="1821"/>
      <c r="AM4563" s="1821"/>
      <c r="AN4563" s="1821"/>
      <c r="AO4563" s="1821"/>
      <c r="AP4563" s="1821"/>
      <c r="AQ4563" s="1821"/>
      <c r="AR4563" s="1821"/>
      <c r="AS4563" s="1821"/>
      <c r="AT4563" s="1821"/>
      <c r="AU4563" s="1821"/>
      <c r="AV4563" s="1821"/>
      <c r="AW4563" s="1821"/>
      <c r="AX4563" s="1821"/>
      <c r="AY4563" s="1821"/>
      <c r="AZ4563" s="1821"/>
      <c r="BA4563" s="1821"/>
      <c r="BB4563" s="1821"/>
      <c r="BC4563" s="1821"/>
      <c r="BD4563" s="1821"/>
      <c r="BE4563" s="1821"/>
      <c r="BF4563" s="1821"/>
      <c r="BG4563" s="1821"/>
      <c r="BH4563" s="1821"/>
      <c r="BI4563" s="1821"/>
      <c r="BJ4563" s="1821"/>
      <c r="BK4563" s="1821"/>
      <c r="BL4563" s="1821"/>
      <c r="BM4563" s="1821"/>
      <c r="BN4563" s="1821"/>
      <c r="BO4563" s="1821"/>
      <c r="BP4563" s="1821"/>
      <c r="BQ4563" s="1821"/>
      <c r="BR4563" s="1821"/>
      <c r="BS4563" s="1821"/>
      <c r="BT4563" s="1821"/>
      <c r="BU4563" s="1821"/>
      <c r="BV4563" s="1821"/>
      <c r="BW4563" s="1821"/>
      <c r="BX4563" s="1821"/>
      <c r="BY4563" s="1821"/>
      <c r="BZ4563" s="1821"/>
      <c r="CA4563" s="1821"/>
      <c r="CB4563" s="1821"/>
      <c r="CC4563" s="1821"/>
      <c r="CD4563" s="1821"/>
      <c r="CE4563" s="1821"/>
      <c r="CF4563" s="1821"/>
      <c r="CG4563" s="1821"/>
      <c r="CH4563" s="1821"/>
      <c r="CI4563" s="1821"/>
      <c r="CJ4563" s="1821"/>
      <c r="CK4563" s="1821"/>
    </row>
    <row r="4564" spans="1:89" s="675" customFormat="1" ht="16.5" customHeight="1" x14ac:dyDescent="0.25">
      <c r="A4564" s="849" t="s">
        <v>540</v>
      </c>
      <c r="B4564" s="1061" t="s">
        <v>511</v>
      </c>
      <c r="C4564" s="835"/>
      <c r="D4564" s="1062"/>
      <c r="E4564" s="825"/>
      <c r="F4564" s="825"/>
      <c r="G4564" s="825"/>
      <c r="H4564" s="825"/>
      <c r="I4564" s="825"/>
      <c r="J4564" s="825"/>
      <c r="K4564" s="825"/>
      <c r="L4564" s="825"/>
      <c r="M4564" s="825"/>
      <c r="N4564" s="825"/>
      <c r="O4564" s="826"/>
      <c r="P4564" s="702"/>
      <c r="Q4564" s="1821"/>
      <c r="R4564" s="1821"/>
      <c r="S4564" s="1821"/>
      <c r="T4564" s="1821"/>
      <c r="U4564" s="1821"/>
      <c r="V4564" s="1821"/>
      <c r="W4564" s="1821"/>
      <c r="X4564" s="1821"/>
      <c r="Y4564" s="1821"/>
      <c r="Z4564" s="1821"/>
      <c r="AA4564" s="1821"/>
      <c r="AB4564" s="1821"/>
      <c r="AC4564" s="1821"/>
      <c r="AD4564" s="1821"/>
      <c r="AE4564" s="1821"/>
      <c r="AF4564" s="1821"/>
      <c r="AG4564" s="1821"/>
      <c r="AH4564" s="1821"/>
      <c r="AI4564" s="1821"/>
      <c r="AJ4564" s="1821"/>
      <c r="AK4564" s="1821"/>
      <c r="AL4564" s="1821"/>
      <c r="AM4564" s="1821"/>
      <c r="AN4564" s="1821"/>
      <c r="AO4564" s="1821"/>
      <c r="AP4564" s="1821"/>
      <c r="AQ4564" s="1821"/>
      <c r="AR4564" s="1821"/>
      <c r="AS4564" s="1821"/>
      <c r="AT4564" s="1821"/>
      <c r="AU4564" s="1821"/>
      <c r="AV4564" s="1821"/>
      <c r="AW4564" s="1821"/>
      <c r="AX4564" s="1821"/>
      <c r="AY4564" s="1821"/>
      <c r="AZ4564" s="1821"/>
      <c r="BA4564" s="1821"/>
      <c r="BB4564" s="1821"/>
      <c r="BC4564" s="1821"/>
      <c r="BD4564" s="1821"/>
      <c r="BE4564" s="1821"/>
      <c r="BF4564" s="1821"/>
      <c r="BG4564" s="1821"/>
      <c r="BH4564" s="1821"/>
      <c r="BI4564" s="1821"/>
      <c r="BJ4564" s="1821"/>
      <c r="BK4564" s="1821"/>
      <c r="BL4564" s="1821"/>
      <c r="BM4564" s="1821"/>
      <c r="BN4564" s="1821"/>
      <c r="BO4564" s="1821"/>
      <c r="BP4564" s="1821"/>
      <c r="BQ4564" s="1821"/>
      <c r="BR4564" s="1821"/>
      <c r="BS4564" s="1821"/>
      <c r="BT4564" s="1821"/>
      <c r="BU4564" s="1821"/>
      <c r="BV4564" s="1821"/>
      <c r="BW4564" s="1821"/>
      <c r="BX4564" s="1821"/>
      <c r="BY4564" s="1821"/>
      <c r="BZ4564" s="1821"/>
      <c r="CA4564" s="1821"/>
      <c r="CB4564" s="1821"/>
      <c r="CC4564" s="1821"/>
      <c r="CD4564" s="1821"/>
      <c r="CE4564" s="1821"/>
      <c r="CF4564" s="1821"/>
      <c r="CG4564" s="1821"/>
      <c r="CH4564" s="1821"/>
      <c r="CI4564" s="1821"/>
      <c r="CJ4564" s="1821"/>
      <c r="CK4564" s="1821"/>
    </row>
    <row r="4565" spans="1:89" s="675" customFormat="1" ht="16.5" customHeight="1" x14ac:dyDescent="0.25">
      <c r="A4565" s="849"/>
      <c r="B4565" s="1061" t="s">
        <v>541</v>
      </c>
      <c r="C4565" s="835"/>
      <c r="D4565" s="1062"/>
      <c r="E4565" s="825"/>
      <c r="F4565" s="825"/>
      <c r="G4565" s="825"/>
      <c r="H4565" s="825"/>
      <c r="I4565" s="825"/>
      <c r="J4565" s="825"/>
      <c r="K4565" s="825">
        <f>J4565+I4565</f>
        <v>0</v>
      </c>
      <c r="L4565" s="825"/>
      <c r="M4565" s="825"/>
      <c r="N4565" s="825"/>
      <c r="O4565" s="826">
        <f t="shared" ref="O4565:O4577" si="522">N4565+K4565+H4565</f>
        <v>0</v>
      </c>
      <c r="P4565" s="702"/>
      <c r="Q4565" s="1821"/>
      <c r="R4565" s="1821"/>
      <c r="S4565" s="1821"/>
      <c r="T4565" s="1821"/>
      <c r="U4565" s="1821"/>
      <c r="V4565" s="1821"/>
      <c r="W4565" s="1821"/>
      <c r="X4565" s="1821"/>
      <c r="Y4565" s="1821"/>
      <c r="Z4565" s="1821"/>
      <c r="AA4565" s="1821"/>
      <c r="AB4565" s="1821"/>
      <c r="AC4565" s="1821"/>
      <c r="AD4565" s="1821"/>
      <c r="AE4565" s="1821"/>
      <c r="AF4565" s="1821"/>
      <c r="AG4565" s="1821"/>
      <c r="AH4565" s="1821"/>
      <c r="AI4565" s="1821"/>
      <c r="AJ4565" s="1821"/>
      <c r="AK4565" s="1821"/>
      <c r="AL4565" s="1821"/>
      <c r="AM4565" s="1821"/>
      <c r="AN4565" s="1821"/>
      <c r="AO4565" s="1821"/>
      <c r="AP4565" s="1821"/>
      <c r="AQ4565" s="1821"/>
      <c r="AR4565" s="1821"/>
      <c r="AS4565" s="1821"/>
      <c r="AT4565" s="1821"/>
      <c r="AU4565" s="1821"/>
      <c r="AV4565" s="1821"/>
      <c r="AW4565" s="1821"/>
      <c r="AX4565" s="1821"/>
      <c r="AY4565" s="1821"/>
      <c r="AZ4565" s="1821"/>
      <c r="BA4565" s="1821"/>
      <c r="BB4565" s="1821"/>
      <c r="BC4565" s="1821"/>
      <c r="BD4565" s="1821"/>
      <c r="BE4565" s="1821"/>
      <c r="BF4565" s="1821"/>
      <c r="BG4565" s="1821"/>
      <c r="BH4565" s="1821"/>
      <c r="BI4565" s="1821"/>
      <c r="BJ4565" s="1821"/>
      <c r="BK4565" s="1821"/>
      <c r="BL4565" s="1821"/>
      <c r="BM4565" s="1821"/>
      <c r="BN4565" s="1821"/>
      <c r="BO4565" s="1821"/>
      <c r="BP4565" s="1821"/>
      <c r="BQ4565" s="1821"/>
      <c r="BR4565" s="1821"/>
      <c r="BS4565" s="1821"/>
      <c r="BT4565" s="1821"/>
      <c r="BU4565" s="1821"/>
      <c r="BV4565" s="1821"/>
      <c r="BW4565" s="1821"/>
      <c r="BX4565" s="1821"/>
      <c r="BY4565" s="1821"/>
      <c r="BZ4565" s="1821"/>
      <c r="CA4565" s="1821"/>
      <c r="CB4565" s="1821"/>
      <c r="CC4565" s="1821"/>
      <c r="CD4565" s="1821"/>
      <c r="CE4565" s="1821"/>
      <c r="CF4565" s="1821"/>
      <c r="CG4565" s="1821"/>
      <c r="CH4565" s="1821"/>
      <c r="CI4565" s="1821"/>
      <c r="CJ4565" s="1821"/>
      <c r="CK4565" s="1821"/>
    </row>
    <row r="4566" spans="1:89" s="675" customFormat="1" ht="16.5" customHeight="1" x14ac:dyDescent="0.25">
      <c r="A4566" s="849"/>
      <c r="B4566" s="1061" t="s">
        <v>2247</v>
      </c>
      <c r="C4566" s="835"/>
      <c r="D4566" s="1062"/>
      <c r="E4566" s="825"/>
      <c r="F4566" s="825"/>
      <c r="G4566" s="825"/>
      <c r="H4566" s="825"/>
      <c r="I4566" s="825"/>
      <c r="J4566" s="825"/>
      <c r="K4566" s="825">
        <f>J4566+I4566</f>
        <v>0</v>
      </c>
      <c r="L4566" s="825"/>
      <c r="M4566" s="825"/>
      <c r="N4566" s="825"/>
      <c r="O4566" s="826">
        <f t="shared" si="522"/>
        <v>0</v>
      </c>
      <c r="P4566" s="702"/>
      <c r="Q4566" s="1821"/>
      <c r="R4566" s="1821"/>
      <c r="S4566" s="1821"/>
      <c r="T4566" s="1821"/>
      <c r="U4566" s="1821"/>
      <c r="V4566" s="1821"/>
      <c r="W4566" s="1821"/>
      <c r="X4566" s="1821"/>
      <c r="Y4566" s="1821"/>
      <c r="Z4566" s="1821"/>
      <c r="AA4566" s="1821"/>
      <c r="AB4566" s="1821"/>
      <c r="AC4566" s="1821"/>
      <c r="AD4566" s="1821"/>
      <c r="AE4566" s="1821"/>
      <c r="AF4566" s="1821"/>
      <c r="AG4566" s="1821"/>
      <c r="AH4566" s="1821"/>
      <c r="AI4566" s="1821"/>
      <c r="AJ4566" s="1821"/>
      <c r="AK4566" s="1821"/>
      <c r="AL4566" s="1821"/>
      <c r="AM4566" s="1821"/>
      <c r="AN4566" s="1821"/>
      <c r="AO4566" s="1821"/>
      <c r="AP4566" s="1821"/>
      <c r="AQ4566" s="1821"/>
      <c r="AR4566" s="1821"/>
      <c r="AS4566" s="1821"/>
      <c r="AT4566" s="1821"/>
      <c r="AU4566" s="1821"/>
      <c r="AV4566" s="1821"/>
      <c r="AW4566" s="1821"/>
      <c r="AX4566" s="1821"/>
      <c r="AY4566" s="1821"/>
      <c r="AZ4566" s="1821"/>
      <c r="BA4566" s="1821"/>
      <c r="BB4566" s="1821"/>
      <c r="BC4566" s="1821"/>
      <c r="BD4566" s="1821"/>
      <c r="BE4566" s="1821"/>
      <c r="BF4566" s="1821"/>
      <c r="BG4566" s="1821"/>
      <c r="BH4566" s="1821"/>
      <c r="BI4566" s="1821"/>
      <c r="BJ4566" s="1821"/>
      <c r="BK4566" s="1821"/>
      <c r="BL4566" s="1821"/>
      <c r="BM4566" s="1821"/>
      <c r="BN4566" s="1821"/>
      <c r="BO4566" s="1821"/>
      <c r="BP4566" s="1821"/>
      <c r="BQ4566" s="1821"/>
      <c r="BR4566" s="1821"/>
      <c r="BS4566" s="1821"/>
      <c r="BT4566" s="1821"/>
      <c r="BU4566" s="1821"/>
      <c r="BV4566" s="1821"/>
      <c r="BW4566" s="1821"/>
      <c r="BX4566" s="1821"/>
      <c r="BY4566" s="1821"/>
      <c r="BZ4566" s="1821"/>
      <c r="CA4566" s="1821"/>
      <c r="CB4566" s="1821"/>
      <c r="CC4566" s="1821"/>
      <c r="CD4566" s="1821"/>
      <c r="CE4566" s="1821"/>
      <c r="CF4566" s="1821"/>
      <c r="CG4566" s="1821"/>
      <c r="CH4566" s="1821"/>
      <c r="CI4566" s="1821"/>
      <c r="CJ4566" s="1821"/>
      <c r="CK4566" s="1821"/>
    </row>
    <row r="4567" spans="1:89" s="675" customFormat="1" ht="16.5" customHeight="1" x14ac:dyDescent="0.25">
      <c r="A4567" s="849"/>
      <c r="B4567" s="1061" t="s">
        <v>542</v>
      </c>
      <c r="C4567" s="835">
        <v>12</v>
      </c>
      <c r="D4567" s="1062" t="s">
        <v>20</v>
      </c>
      <c r="E4567" s="825">
        <v>1910</v>
      </c>
      <c r="F4567" s="825"/>
      <c r="G4567" s="825"/>
      <c r="H4567" s="825"/>
      <c r="I4567" s="825"/>
      <c r="J4567" s="825">
        <f>E4567*C4567</f>
        <v>22920</v>
      </c>
      <c r="K4567" s="825">
        <f>J4567+I4567</f>
        <v>22920</v>
      </c>
      <c r="L4567" s="825"/>
      <c r="M4567" s="825"/>
      <c r="N4567" s="825"/>
      <c r="O4567" s="826">
        <f t="shared" si="522"/>
        <v>22920</v>
      </c>
      <c r="P4567" s="702"/>
      <c r="Q4567" s="1821"/>
      <c r="R4567" s="1821"/>
      <c r="S4567" s="1821"/>
      <c r="T4567" s="1821"/>
      <c r="U4567" s="1821"/>
      <c r="V4567" s="1821"/>
      <c r="W4567" s="1821"/>
      <c r="X4567" s="1821"/>
      <c r="Y4567" s="1821"/>
      <c r="Z4567" s="1821"/>
      <c r="AA4567" s="1821"/>
      <c r="AB4567" s="1821"/>
      <c r="AC4567" s="1821"/>
      <c r="AD4567" s="1821"/>
      <c r="AE4567" s="1821"/>
      <c r="AF4567" s="1821"/>
      <c r="AG4567" s="1821"/>
      <c r="AH4567" s="1821"/>
      <c r="AI4567" s="1821"/>
      <c r="AJ4567" s="1821"/>
      <c r="AK4567" s="1821"/>
      <c r="AL4567" s="1821"/>
      <c r="AM4567" s="1821"/>
      <c r="AN4567" s="1821"/>
      <c r="AO4567" s="1821"/>
      <c r="AP4567" s="1821"/>
      <c r="AQ4567" s="1821"/>
      <c r="AR4567" s="1821"/>
      <c r="AS4567" s="1821"/>
      <c r="AT4567" s="1821"/>
      <c r="AU4567" s="1821"/>
      <c r="AV4567" s="1821"/>
      <c r="AW4567" s="1821"/>
      <c r="AX4567" s="1821"/>
      <c r="AY4567" s="1821"/>
      <c r="AZ4567" s="1821"/>
      <c r="BA4567" s="1821"/>
      <c r="BB4567" s="1821"/>
      <c r="BC4567" s="1821"/>
      <c r="BD4567" s="1821"/>
      <c r="BE4567" s="1821"/>
      <c r="BF4567" s="1821"/>
      <c r="BG4567" s="1821"/>
      <c r="BH4567" s="1821"/>
      <c r="BI4567" s="1821"/>
      <c r="BJ4567" s="1821"/>
      <c r="BK4567" s="1821"/>
      <c r="BL4567" s="1821"/>
      <c r="BM4567" s="1821"/>
      <c r="BN4567" s="1821"/>
      <c r="BO4567" s="1821"/>
      <c r="BP4567" s="1821"/>
      <c r="BQ4567" s="1821"/>
      <c r="BR4567" s="1821"/>
      <c r="BS4567" s="1821"/>
      <c r="BT4567" s="1821"/>
      <c r="BU4567" s="1821"/>
      <c r="BV4567" s="1821"/>
      <c r="BW4567" s="1821"/>
      <c r="BX4567" s="1821"/>
      <c r="BY4567" s="1821"/>
      <c r="BZ4567" s="1821"/>
      <c r="CA4567" s="1821"/>
      <c r="CB4567" s="1821"/>
      <c r="CC4567" s="1821"/>
      <c r="CD4567" s="1821"/>
      <c r="CE4567" s="1821"/>
      <c r="CF4567" s="1821"/>
      <c r="CG4567" s="1821"/>
      <c r="CH4567" s="1821"/>
      <c r="CI4567" s="1821"/>
      <c r="CJ4567" s="1821"/>
      <c r="CK4567" s="1821"/>
    </row>
    <row r="4568" spans="1:89" s="675" customFormat="1" ht="16.5" customHeight="1" x14ac:dyDescent="0.25">
      <c r="A4568" s="849"/>
      <c r="B4568" s="1061" t="s">
        <v>543</v>
      </c>
      <c r="C4568" s="835">
        <v>12</v>
      </c>
      <c r="D4568" s="1062" t="s">
        <v>20</v>
      </c>
      <c r="E4568" s="825">
        <v>1850</v>
      </c>
      <c r="F4568" s="825"/>
      <c r="G4568" s="825"/>
      <c r="H4568" s="825"/>
      <c r="I4568" s="825"/>
      <c r="J4568" s="825">
        <f t="shared" ref="J4568:J4615" si="523">E4568*C4568</f>
        <v>22200</v>
      </c>
      <c r="K4568" s="825">
        <f t="shared" ref="K4568:K4577" si="524">J4568+I4568</f>
        <v>22200</v>
      </c>
      <c r="L4568" s="825"/>
      <c r="M4568" s="825"/>
      <c r="N4568" s="825"/>
      <c r="O4568" s="826">
        <f t="shared" si="522"/>
        <v>22200</v>
      </c>
      <c r="P4568" s="702"/>
      <c r="Q4568" s="1821"/>
      <c r="R4568" s="1821"/>
      <c r="S4568" s="1821"/>
      <c r="T4568" s="1821"/>
      <c r="U4568" s="1821"/>
      <c r="V4568" s="1821"/>
      <c r="W4568" s="1821"/>
      <c r="X4568" s="1821"/>
      <c r="Y4568" s="1821"/>
      <c r="Z4568" s="1821"/>
      <c r="AA4568" s="1821"/>
      <c r="AB4568" s="1821"/>
      <c r="AC4568" s="1821"/>
      <c r="AD4568" s="1821"/>
      <c r="AE4568" s="1821"/>
      <c r="AF4568" s="1821"/>
      <c r="AG4568" s="1821"/>
      <c r="AH4568" s="1821"/>
      <c r="AI4568" s="1821"/>
      <c r="AJ4568" s="1821"/>
      <c r="AK4568" s="1821"/>
      <c r="AL4568" s="1821"/>
      <c r="AM4568" s="1821"/>
      <c r="AN4568" s="1821"/>
      <c r="AO4568" s="1821"/>
      <c r="AP4568" s="1821"/>
      <c r="AQ4568" s="1821"/>
      <c r="AR4568" s="1821"/>
      <c r="AS4568" s="1821"/>
      <c r="AT4568" s="1821"/>
      <c r="AU4568" s="1821"/>
      <c r="AV4568" s="1821"/>
      <c r="AW4568" s="1821"/>
      <c r="AX4568" s="1821"/>
      <c r="AY4568" s="1821"/>
      <c r="AZ4568" s="1821"/>
      <c r="BA4568" s="1821"/>
      <c r="BB4568" s="1821"/>
      <c r="BC4568" s="1821"/>
      <c r="BD4568" s="1821"/>
      <c r="BE4568" s="1821"/>
      <c r="BF4568" s="1821"/>
      <c r="BG4568" s="1821"/>
      <c r="BH4568" s="1821"/>
      <c r="BI4568" s="1821"/>
      <c r="BJ4568" s="1821"/>
      <c r="BK4568" s="1821"/>
      <c r="BL4568" s="1821"/>
      <c r="BM4568" s="1821"/>
      <c r="BN4568" s="1821"/>
      <c r="BO4568" s="1821"/>
      <c r="BP4568" s="1821"/>
      <c r="BQ4568" s="1821"/>
      <c r="BR4568" s="1821"/>
      <c r="BS4568" s="1821"/>
      <c r="BT4568" s="1821"/>
      <c r="BU4568" s="1821"/>
      <c r="BV4568" s="1821"/>
      <c r="BW4568" s="1821"/>
      <c r="BX4568" s="1821"/>
      <c r="BY4568" s="1821"/>
      <c r="BZ4568" s="1821"/>
      <c r="CA4568" s="1821"/>
      <c r="CB4568" s="1821"/>
      <c r="CC4568" s="1821"/>
      <c r="CD4568" s="1821"/>
      <c r="CE4568" s="1821"/>
      <c r="CF4568" s="1821"/>
      <c r="CG4568" s="1821"/>
      <c r="CH4568" s="1821"/>
      <c r="CI4568" s="1821"/>
      <c r="CJ4568" s="1821"/>
      <c r="CK4568" s="1821"/>
    </row>
    <row r="4569" spans="1:89" s="675" customFormat="1" ht="16.5" customHeight="1" x14ac:dyDescent="0.25">
      <c r="A4569" s="849"/>
      <c r="B4569" s="1061" t="s">
        <v>544</v>
      </c>
      <c r="C4569" s="835">
        <v>12</v>
      </c>
      <c r="D4569" s="1062" t="s">
        <v>20</v>
      </c>
      <c r="E4569" s="825">
        <v>1520</v>
      </c>
      <c r="F4569" s="825"/>
      <c r="G4569" s="825"/>
      <c r="H4569" s="825"/>
      <c r="I4569" s="825"/>
      <c r="J4569" s="825">
        <f t="shared" si="523"/>
        <v>18240</v>
      </c>
      <c r="K4569" s="825">
        <f t="shared" si="524"/>
        <v>18240</v>
      </c>
      <c r="L4569" s="825"/>
      <c r="M4569" s="825"/>
      <c r="N4569" s="825"/>
      <c r="O4569" s="826">
        <f t="shared" si="522"/>
        <v>18240</v>
      </c>
      <c r="P4569" s="702"/>
      <c r="Q4569" s="1821"/>
      <c r="R4569" s="1821"/>
      <c r="S4569" s="1821"/>
      <c r="T4569" s="1821"/>
      <c r="U4569" s="1821"/>
      <c r="V4569" s="1821"/>
      <c r="W4569" s="1821"/>
      <c r="X4569" s="1821"/>
      <c r="Y4569" s="1821"/>
      <c r="Z4569" s="1821"/>
      <c r="AA4569" s="1821"/>
      <c r="AB4569" s="1821"/>
      <c r="AC4569" s="1821"/>
      <c r="AD4569" s="1821"/>
      <c r="AE4569" s="1821"/>
      <c r="AF4569" s="1821"/>
      <c r="AG4569" s="1821"/>
      <c r="AH4569" s="1821"/>
      <c r="AI4569" s="1821"/>
      <c r="AJ4569" s="1821"/>
      <c r="AK4569" s="1821"/>
      <c r="AL4569" s="1821"/>
      <c r="AM4569" s="1821"/>
      <c r="AN4569" s="1821"/>
      <c r="AO4569" s="1821"/>
      <c r="AP4569" s="1821"/>
      <c r="AQ4569" s="1821"/>
      <c r="AR4569" s="1821"/>
      <c r="AS4569" s="1821"/>
      <c r="AT4569" s="1821"/>
      <c r="AU4569" s="1821"/>
      <c r="AV4569" s="1821"/>
      <c r="AW4569" s="1821"/>
      <c r="AX4569" s="1821"/>
      <c r="AY4569" s="1821"/>
      <c r="AZ4569" s="1821"/>
      <c r="BA4569" s="1821"/>
      <c r="BB4569" s="1821"/>
      <c r="BC4569" s="1821"/>
      <c r="BD4569" s="1821"/>
      <c r="BE4569" s="1821"/>
      <c r="BF4569" s="1821"/>
      <c r="BG4569" s="1821"/>
      <c r="BH4569" s="1821"/>
      <c r="BI4569" s="1821"/>
      <c r="BJ4569" s="1821"/>
      <c r="BK4569" s="1821"/>
      <c r="BL4569" s="1821"/>
      <c r="BM4569" s="1821"/>
      <c r="BN4569" s="1821"/>
      <c r="BO4569" s="1821"/>
      <c r="BP4569" s="1821"/>
      <c r="BQ4569" s="1821"/>
      <c r="BR4569" s="1821"/>
      <c r="BS4569" s="1821"/>
      <c r="BT4569" s="1821"/>
      <c r="BU4569" s="1821"/>
      <c r="BV4569" s="1821"/>
      <c r="BW4569" s="1821"/>
      <c r="BX4569" s="1821"/>
      <c r="BY4569" s="1821"/>
      <c r="BZ4569" s="1821"/>
      <c r="CA4569" s="1821"/>
      <c r="CB4569" s="1821"/>
      <c r="CC4569" s="1821"/>
      <c r="CD4569" s="1821"/>
      <c r="CE4569" s="1821"/>
      <c r="CF4569" s="1821"/>
      <c r="CG4569" s="1821"/>
      <c r="CH4569" s="1821"/>
      <c r="CI4569" s="1821"/>
      <c r="CJ4569" s="1821"/>
      <c r="CK4569" s="1821"/>
    </row>
    <row r="4570" spans="1:89" s="675" customFormat="1" ht="16.5" customHeight="1" x14ac:dyDescent="0.25">
      <c r="A4570" s="849"/>
      <c r="B4570" s="1061" t="s">
        <v>545</v>
      </c>
      <c r="C4570" s="835">
        <v>12</v>
      </c>
      <c r="D4570" s="1062" t="s">
        <v>20</v>
      </c>
      <c r="E4570" s="825">
        <v>1320</v>
      </c>
      <c r="F4570" s="825"/>
      <c r="G4570" s="825"/>
      <c r="H4570" s="825"/>
      <c r="I4570" s="825"/>
      <c r="J4570" s="825">
        <f t="shared" si="523"/>
        <v>15840</v>
      </c>
      <c r="K4570" s="825">
        <f t="shared" si="524"/>
        <v>15840</v>
      </c>
      <c r="L4570" s="825"/>
      <c r="M4570" s="825"/>
      <c r="N4570" s="825"/>
      <c r="O4570" s="826">
        <f t="shared" si="522"/>
        <v>15840</v>
      </c>
      <c r="P4570" s="702"/>
      <c r="Q4570" s="1821"/>
      <c r="R4570" s="1821"/>
      <c r="S4570" s="1821"/>
      <c r="T4570" s="1821"/>
      <c r="U4570" s="1821"/>
      <c r="V4570" s="1821"/>
      <c r="W4570" s="1821"/>
      <c r="X4570" s="1821"/>
      <c r="Y4570" s="1821"/>
      <c r="Z4570" s="1821"/>
      <c r="AA4570" s="1821"/>
      <c r="AB4570" s="1821"/>
      <c r="AC4570" s="1821"/>
      <c r="AD4570" s="1821"/>
      <c r="AE4570" s="1821"/>
      <c r="AF4570" s="1821"/>
      <c r="AG4570" s="1821"/>
      <c r="AH4570" s="1821"/>
      <c r="AI4570" s="1821"/>
      <c r="AJ4570" s="1821"/>
      <c r="AK4570" s="1821"/>
      <c r="AL4570" s="1821"/>
      <c r="AM4570" s="1821"/>
      <c r="AN4570" s="1821"/>
      <c r="AO4570" s="1821"/>
      <c r="AP4570" s="1821"/>
      <c r="AQ4570" s="1821"/>
      <c r="AR4570" s="1821"/>
      <c r="AS4570" s="1821"/>
      <c r="AT4570" s="1821"/>
      <c r="AU4570" s="1821"/>
      <c r="AV4570" s="1821"/>
      <c r="AW4570" s="1821"/>
      <c r="AX4570" s="1821"/>
      <c r="AY4570" s="1821"/>
      <c r="AZ4570" s="1821"/>
      <c r="BA4570" s="1821"/>
      <c r="BB4570" s="1821"/>
      <c r="BC4570" s="1821"/>
      <c r="BD4570" s="1821"/>
      <c r="BE4570" s="1821"/>
      <c r="BF4570" s="1821"/>
      <c r="BG4570" s="1821"/>
      <c r="BH4570" s="1821"/>
      <c r="BI4570" s="1821"/>
      <c r="BJ4570" s="1821"/>
      <c r="BK4570" s="1821"/>
      <c r="BL4570" s="1821"/>
      <c r="BM4570" s="1821"/>
      <c r="BN4570" s="1821"/>
      <c r="BO4570" s="1821"/>
      <c r="BP4570" s="1821"/>
      <c r="BQ4570" s="1821"/>
      <c r="BR4570" s="1821"/>
      <c r="BS4570" s="1821"/>
      <c r="BT4570" s="1821"/>
      <c r="BU4570" s="1821"/>
      <c r="BV4570" s="1821"/>
      <c r="BW4570" s="1821"/>
      <c r="BX4570" s="1821"/>
      <c r="BY4570" s="1821"/>
      <c r="BZ4570" s="1821"/>
      <c r="CA4570" s="1821"/>
      <c r="CB4570" s="1821"/>
      <c r="CC4570" s="1821"/>
      <c r="CD4570" s="1821"/>
      <c r="CE4570" s="1821"/>
      <c r="CF4570" s="1821"/>
      <c r="CG4570" s="1821"/>
      <c r="CH4570" s="1821"/>
      <c r="CI4570" s="1821"/>
      <c r="CJ4570" s="1821"/>
      <c r="CK4570" s="1821"/>
    </row>
    <row r="4571" spans="1:89" s="675" customFormat="1" ht="16.5" customHeight="1" x14ac:dyDescent="0.25">
      <c r="A4571" s="849"/>
      <c r="B4571" s="1061" t="s">
        <v>546</v>
      </c>
      <c r="C4571" s="835">
        <v>60</v>
      </c>
      <c r="D4571" s="1062" t="s">
        <v>20</v>
      </c>
      <c r="E4571" s="825">
        <v>980</v>
      </c>
      <c r="F4571" s="825"/>
      <c r="G4571" s="825"/>
      <c r="H4571" s="825"/>
      <c r="I4571" s="825"/>
      <c r="J4571" s="825">
        <f t="shared" si="523"/>
        <v>58800</v>
      </c>
      <c r="K4571" s="825">
        <f t="shared" si="524"/>
        <v>58800</v>
      </c>
      <c r="L4571" s="825"/>
      <c r="M4571" s="825"/>
      <c r="N4571" s="825"/>
      <c r="O4571" s="826">
        <f t="shared" si="522"/>
        <v>58800</v>
      </c>
      <c r="P4571" s="702"/>
      <c r="Q4571" s="1821"/>
      <c r="R4571" s="1821"/>
      <c r="S4571" s="1821"/>
      <c r="T4571" s="1821"/>
      <c r="U4571" s="1821"/>
      <c r="V4571" s="1821"/>
      <c r="W4571" s="1821"/>
      <c r="X4571" s="1821"/>
      <c r="Y4571" s="1821"/>
      <c r="Z4571" s="1821"/>
      <c r="AA4571" s="1821"/>
      <c r="AB4571" s="1821"/>
      <c r="AC4571" s="1821"/>
      <c r="AD4571" s="1821"/>
      <c r="AE4571" s="1821"/>
      <c r="AF4571" s="1821"/>
      <c r="AG4571" s="1821"/>
      <c r="AH4571" s="1821"/>
      <c r="AI4571" s="1821"/>
      <c r="AJ4571" s="1821"/>
      <c r="AK4571" s="1821"/>
      <c r="AL4571" s="1821"/>
      <c r="AM4571" s="1821"/>
      <c r="AN4571" s="1821"/>
      <c r="AO4571" s="1821"/>
      <c r="AP4571" s="1821"/>
      <c r="AQ4571" s="1821"/>
      <c r="AR4571" s="1821"/>
      <c r="AS4571" s="1821"/>
      <c r="AT4571" s="1821"/>
      <c r="AU4571" s="1821"/>
      <c r="AV4571" s="1821"/>
      <c r="AW4571" s="1821"/>
      <c r="AX4571" s="1821"/>
      <c r="AY4571" s="1821"/>
      <c r="AZ4571" s="1821"/>
      <c r="BA4571" s="1821"/>
      <c r="BB4571" s="1821"/>
      <c r="BC4571" s="1821"/>
      <c r="BD4571" s="1821"/>
      <c r="BE4571" s="1821"/>
      <c r="BF4571" s="1821"/>
      <c r="BG4571" s="1821"/>
      <c r="BH4571" s="1821"/>
      <c r="BI4571" s="1821"/>
      <c r="BJ4571" s="1821"/>
      <c r="BK4571" s="1821"/>
      <c r="BL4571" s="1821"/>
      <c r="BM4571" s="1821"/>
      <c r="BN4571" s="1821"/>
      <c r="BO4571" s="1821"/>
      <c r="BP4571" s="1821"/>
      <c r="BQ4571" s="1821"/>
      <c r="BR4571" s="1821"/>
      <c r="BS4571" s="1821"/>
      <c r="BT4571" s="1821"/>
      <c r="BU4571" s="1821"/>
      <c r="BV4571" s="1821"/>
      <c r="BW4571" s="1821"/>
      <c r="BX4571" s="1821"/>
      <c r="BY4571" s="1821"/>
      <c r="BZ4571" s="1821"/>
      <c r="CA4571" s="1821"/>
      <c r="CB4571" s="1821"/>
      <c r="CC4571" s="1821"/>
      <c r="CD4571" s="1821"/>
      <c r="CE4571" s="1821"/>
      <c r="CF4571" s="1821"/>
      <c r="CG4571" s="1821"/>
      <c r="CH4571" s="1821"/>
      <c r="CI4571" s="1821"/>
      <c r="CJ4571" s="1821"/>
      <c r="CK4571" s="1821"/>
    </row>
    <row r="4572" spans="1:89" s="675" customFormat="1" ht="16.5" customHeight="1" x14ac:dyDescent="0.25">
      <c r="A4572" s="849"/>
      <c r="B4572" s="1061" t="s">
        <v>1418</v>
      </c>
      <c r="C4572" s="835">
        <v>48</v>
      </c>
      <c r="D4572" s="1062" t="s">
        <v>20</v>
      </c>
      <c r="E4572" s="825">
        <v>300</v>
      </c>
      <c r="F4572" s="825"/>
      <c r="G4572" s="825"/>
      <c r="H4572" s="825"/>
      <c r="I4572" s="825"/>
      <c r="J4572" s="825">
        <f t="shared" si="523"/>
        <v>14400</v>
      </c>
      <c r="K4572" s="825">
        <f t="shared" si="524"/>
        <v>14400</v>
      </c>
      <c r="L4572" s="825"/>
      <c r="M4572" s="825"/>
      <c r="N4572" s="825"/>
      <c r="O4572" s="826">
        <f t="shared" si="522"/>
        <v>14400</v>
      </c>
      <c r="P4572" s="702"/>
      <c r="Q4572" s="1821"/>
      <c r="R4572" s="1821"/>
      <c r="S4572" s="1821"/>
      <c r="T4572" s="1821"/>
      <c r="U4572" s="1821"/>
      <c r="V4572" s="1821"/>
      <c r="W4572" s="1821"/>
      <c r="X4572" s="1821"/>
      <c r="Y4572" s="1821"/>
      <c r="Z4572" s="1821"/>
      <c r="AA4572" s="1821"/>
      <c r="AB4572" s="1821"/>
      <c r="AC4572" s="1821"/>
      <c r="AD4572" s="1821"/>
      <c r="AE4572" s="1821"/>
      <c r="AF4572" s="1821"/>
      <c r="AG4572" s="1821"/>
      <c r="AH4572" s="1821"/>
      <c r="AI4572" s="1821"/>
      <c r="AJ4572" s="1821"/>
      <c r="AK4572" s="1821"/>
      <c r="AL4572" s="1821"/>
      <c r="AM4572" s="1821"/>
      <c r="AN4572" s="1821"/>
      <c r="AO4572" s="1821"/>
      <c r="AP4572" s="1821"/>
      <c r="AQ4572" s="1821"/>
      <c r="AR4572" s="1821"/>
      <c r="AS4572" s="1821"/>
      <c r="AT4572" s="1821"/>
      <c r="AU4572" s="1821"/>
      <c r="AV4572" s="1821"/>
      <c r="AW4572" s="1821"/>
      <c r="AX4572" s="1821"/>
      <c r="AY4572" s="1821"/>
      <c r="AZ4572" s="1821"/>
      <c r="BA4572" s="1821"/>
      <c r="BB4572" s="1821"/>
      <c r="BC4572" s="1821"/>
      <c r="BD4572" s="1821"/>
      <c r="BE4572" s="1821"/>
      <c r="BF4572" s="1821"/>
      <c r="BG4572" s="1821"/>
      <c r="BH4572" s="1821"/>
      <c r="BI4572" s="1821"/>
      <c r="BJ4572" s="1821"/>
      <c r="BK4572" s="1821"/>
      <c r="BL4572" s="1821"/>
      <c r="BM4572" s="1821"/>
      <c r="BN4572" s="1821"/>
      <c r="BO4572" s="1821"/>
      <c r="BP4572" s="1821"/>
      <c r="BQ4572" s="1821"/>
      <c r="BR4572" s="1821"/>
      <c r="BS4572" s="1821"/>
      <c r="BT4572" s="1821"/>
      <c r="BU4572" s="1821"/>
      <c r="BV4572" s="1821"/>
      <c r="BW4572" s="1821"/>
      <c r="BX4572" s="1821"/>
      <c r="BY4572" s="1821"/>
      <c r="BZ4572" s="1821"/>
      <c r="CA4572" s="1821"/>
      <c r="CB4572" s="1821"/>
      <c r="CC4572" s="1821"/>
      <c r="CD4572" s="1821"/>
      <c r="CE4572" s="1821"/>
      <c r="CF4572" s="1821"/>
      <c r="CG4572" s="1821"/>
      <c r="CH4572" s="1821"/>
      <c r="CI4572" s="1821"/>
      <c r="CJ4572" s="1821"/>
      <c r="CK4572" s="1821"/>
    </row>
    <row r="4573" spans="1:89" s="675" customFormat="1" ht="16.5" customHeight="1" x14ac:dyDescent="0.25">
      <c r="A4573" s="849"/>
      <c r="B4573" s="1061"/>
      <c r="C4573" s="835"/>
      <c r="D4573" s="1062"/>
      <c r="E4573" s="825"/>
      <c r="F4573" s="825"/>
      <c r="G4573" s="825"/>
      <c r="H4573" s="825"/>
      <c r="I4573" s="825"/>
      <c r="J4573" s="825">
        <f t="shared" si="523"/>
        <v>0</v>
      </c>
      <c r="K4573" s="825"/>
      <c r="L4573" s="825"/>
      <c r="M4573" s="825"/>
      <c r="N4573" s="825"/>
      <c r="O4573" s="826"/>
      <c r="P4573" s="702"/>
      <c r="Q4573" s="1821"/>
      <c r="R4573" s="1821"/>
      <c r="S4573" s="1821"/>
      <c r="T4573" s="1821"/>
      <c r="U4573" s="1821"/>
      <c r="V4573" s="1821"/>
      <c r="W4573" s="1821"/>
      <c r="X4573" s="1821"/>
      <c r="Y4573" s="1821"/>
      <c r="Z4573" s="1821"/>
      <c r="AA4573" s="1821"/>
      <c r="AB4573" s="1821"/>
      <c r="AC4573" s="1821"/>
      <c r="AD4573" s="1821"/>
      <c r="AE4573" s="1821"/>
      <c r="AF4573" s="1821"/>
      <c r="AG4573" s="1821"/>
      <c r="AH4573" s="1821"/>
      <c r="AI4573" s="1821"/>
      <c r="AJ4573" s="1821"/>
      <c r="AK4573" s="1821"/>
      <c r="AL4573" s="1821"/>
      <c r="AM4573" s="1821"/>
      <c r="AN4573" s="1821"/>
      <c r="AO4573" s="1821"/>
      <c r="AP4573" s="1821"/>
      <c r="AQ4573" s="1821"/>
      <c r="AR4573" s="1821"/>
      <c r="AS4573" s="1821"/>
      <c r="AT4573" s="1821"/>
      <c r="AU4573" s="1821"/>
      <c r="AV4573" s="1821"/>
      <c r="AW4573" s="1821"/>
      <c r="AX4573" s="1821"/>
      <c r="AY4573" s="1821"/>
      <c r="AZ4573" s="1821"/>
      <c r="BA4573" s="1821"/>
      <c r="BB4573" s="1821"/>
      <c r="BC4573" s="1821"/>
      <c r="BD4573" s="1821"/>
      <c r="BE4573" s="1821"/>
      <c r="BF4573" s="1821"/>
      <c r="BG4573" s="1821"/>
      <c r="BH4573" s="1821"/>
      <c r="BI4573" s="1821"/>
      <c r="BJ4573" s="1821"/>
      <c r="BK4573" s="1821"/>
      <c r="BL4573" s="1821"/>
      <c r="BM4573" s="1821"/>
      <c r="BN4573" s="1821"/>
      <c r="BO4573" s="1821"/>
      <c r="BP4573" s="1821"/>
      <c r="BQ4573" s="1821"/>
      <c r="BR4573" s="1821"/>
      <c r="BS4573" s="1821"/>
      <c r="BT4573" s="1821"/>
      <c r="BU4573" s="1821"/>
      <c r="BV4573" s="1821"/>
      <c r="BW4573" s="1821"/>
      <c r="BX4573" s="1821"/>
      <c r="BY4573" s="1821"/>
      <c r="BZ4573" s="1821"/>
      <c r="CA4573" s="1821"/>
      <c r="CB4573" s="1821"/>
      <c r="CC4573" s="1821"/>
      <c r="CD4573" s="1821"/>
      <c r="CE4573" s="1821"/>
      <c r="CF4573" s="1821"/>
      <c r="CG4573" s="1821"/>
      <c r="CH4573" s="1821"/>
      <c r="CI4573" s="1821"/>
      <c r="CJ4573" s="1821"/>
      <c r="CK4573" s="1821"/>
    </row>
    <row r="4574" spans="1:89" s="675" customFormat="1" ht="16.5" customHeight="1" x14ac:dyDescent="0.25">
      <c r="A4574" s="849"/>
      <c r="B4574" s="1061" t="s">
        <v>1419</v>
      </c>
      <c r="C4574" s="835"/>
      <c r="D4574" s="1062"/>
      <c r="E4574" s="825"/>
      <c r="F4574" s="825"/>
      <c r="G4574" s="825"/>
      <c r="H4574" s="825"/>
      <c r="I4574" s="825"/>
      <c r="J4574" s="825">
        <f t="shared" si="523"/>
        <v>0</v>
      </c>
      <c r="K4574" s="825"/>
      <c r="L4574" s="825"/>
      <c r="M4574" s="825"/>
      <c r="N4574" s="825"/>
      <c r="O4574" s="826"/>
      <c r="P4574" s="702"/>
      <c r="Q4574" s="1821"/>
      <c r="R4574" s="1821"/>
      <c r="S4574" s="1821"/>
      <c r="T4574" s="1821"/>
      <c r="U4574" s="1821"/>
      <c r="V4574" s="1821"/>
      <c r="W4574" s="1821"/>
      <c r="X4574" s="1821"/>
      <c r="Y4574" s="1821"/>
      <c r="Z4574" s="1821"/>
      <c r="AA4574" s="1821"/>
      <c r="AB4574" s="1821"/>
      <c r="AC4574" s="1821"/>
      <c r="AD4574" s="1821"/>
      <c r="AE4574" s="1821"/>
      <c r="AF4574" s="1821"/>
      <c r="AG4574" s="1821"/>
      <c r="AH4574" s="1821"/>
      <c r="AI4574" s="1821"/>
      <c r="AJ4574" s="1821"/>
      <c r="AK4574" s="1821"/>
      <c r="AL4574" s="1821"/>
      <c r="AM4574" s="1821"/>
      <c r="AN4574" s="1821"/>
      <c r="AO4574" s="1821"/>
      <c r="AP4574" s="1821"/>
      <c r="AQ4574" s="1821"/>
      <c r="AR4574" s="1821"/>
      <c r="AS4574" s="1821"/>
      <c r="AT4574" s="1821"/>
      <c r="AU4574" s="1821"/>
      <c r="AV4574" s="1821"/>
      <c r="AW4574" s="1821"/>
      <c r="AX4574" s="1821"/>
      <c r="AY4574" s="1821"/>
      <c r="AZ4574" s="1821"/>
      <c r="BA4574" s="1821"/>
      <c r="BB4574" s="1821"/>
      <c r="BC4574" s="1821"/>
      <c r="BD4574" s="1821"/>
      <c r="BE4574" s="1821"/>
      <c r="BF4574" s="1821"/>
      <c r="BG4574" s="1821"/>
      <c r="BH4574" s="1821"/>
      <c r="BI4574" s="1821"/>
      <c r="BJ4574" s="1821"/>
      <c r="BK4574" s="1821"/>
      <c r="BL4574" s="1821"/>
      <c r="BM4574" s="1821"/>
      <c r="BN4574" s="1821"/>
      <c r="BO4574" s="1821"/>
      <c r="BP4574" s="1821"/>
      <c r="BQ4574" s="1821"/>
      <c r="BR4574" s="1821"/>
      <c r="BS4574" s="1821"/>
      <c r="BT4574" s="1821"/>
      <c r="BU4574" s="1821"/>
      <c r="BV4574" s="1821"/>
      <c r="BW4574" s="1821"/>
      <c r="BX4574" s="1821"/>
      <c r="BY4574" s="1821"/>
      <c r="BZ4574" s="1821"/>
      <c r="CA4574" s="1821"/>
      <c r="CB4574" s="1821"/>
      <c r="CC4574" s="1821"/>
      <c r="CD4574" s="1821"/>
      <c r="CE4574" s="1821"/>
      <c r="CF4574" s="1821"/>
      <c r="CG4574" s="1821"/>
      <c r="CH4574" s="1821"/>
      <c r="CI4574" s="1821"/>
      <c r="CJ4574" s="1821"/>
      <c r="CK4574" s="1821"/>
    </row>
    <row r="4575" spans="1:89" s="675" customFormat="1" ht="16.5" customHeight="1" x14ac:dyDescent="0.25">
      <c r="A4575" s="849"/>
      <c r="B4575" s="1061" t="s">
        <v>2247</v>
      </c>
      <c r="C4575" s="835"/>
      <c r="D4575" s="1062"/>
      <c r="E4575" s="825"/>
      <c r="F4575" s="825"/>
      <c r="G4575" s="825"/>
      <c r="H4575" s="825"/>
      <c r="I4575" s="825"/>
      <c r="J4575" s="825">
        <f t="shared" si="523"/>
        <v>0</v>
      </c>
      <c r="K4575" s="825"/>
      <c r="L4575" s="825"/>
      <c r="M4575" s="825"/>
      <c r="N4575" s="825"/>
      <c r="O4575" s="826"/>
      <c r="P4575" s="702"/>
      <c r="Q4575" s="1821"/>
      <c r="R4575" s="1821"/>
      <c r="S4575" s="1821"/>
      <c r="T4575" s="1821"/>
      <c r="U4575" s="1821"/>
      <c r="V4575" s="1821"/>
      <c r="W4575" s="1821"/>
      <c r="X4575" s="1821"/>
      <c r="Y4575" s="1821"/>
      <c r="Z4575" s="1821"/>
      <c r="AA4575" s="1821"/>
      <c r="AB4575" s="1821"/>
      <c r="AC4575" s="1821"/>
      <c r="AD4575" s="1821"/>
      <c r="AE4575" s="1821"/>
      <c r="AF4575" s="1821"/>
      <c r="AG4575" s="1821"/>
      <c r="AH4575" s="1821"/>
      <c r="AI4575" s="1821"/>
      <c r="AJ4575" s="1821"/>
      <c r="AK4575" s="1821"/>
      <c r="AL4575" s="1821"/>
      <c r="AM4575" s="1821"/>
      <c r="AN4575" s="1821"/>
      <c r="AO4575" s="1821"/>
      <c r="AP4575" s="1821"/>
      <c r="AQ4575" s="1821"/>
      <c r="AR4575" s="1821"/>
      <c r="AS4575" s="1821"/>
      <c r="AT4575" s="1821"/>
      <c r="AU4575" s="1821"/>
      <c r="AV4575" s="1821"/>
      <c r="AW4575" s="1821"/>
      <c r="AX4575" s="1821"/>
      <c r="AY4575" s="1821"/>
      <c r="AZ4575" s="1821"/>
      <c r="BA4575" s="1821"/>
      <c r="BB4575" s="1821"/>
      <c r="BC4575" s="1821"/>
      <c r="BD4575" s="1821"/>
      <c r="BE4575" s="1821"/>
      <c r="BF4575" s="1821"/>
      <c r="BG4575" s="1821"/>
      <c r="BH4575" s="1821"/>
      <c r="BI4575" s="1821"/>
      <c r="BJ4575" s="1821"/>
      <c r="BK4575" s="1821"/>
      <c r="BL4575" s="1821"/>
      <c r="BM4575" s="1821"/>
      <c r="BN4575" s="1821"/>
      <c r="BO4575" s="1821"/>
      <c r="BP4575" s="1821"/>
      <c r="BQ4575" s="1821"/>
      <c r="BR4575" s="1821"/>
      <c r="BS4575" s="1821"/>
      <c r="BT4575" s="1821"/>
      <c r="BU4575" s="1821"/>
      <c r="BV4575" s="1821"/>
      <c r="BW4575" s="1821"/>
      <c r="BX4575" s="1821"/>
      <c r="BY4575" s="1821"/>
      <c r="BZ4575" s="1821"/>
      <c r="CA4575" s="1821"/>
      <c r="CB4575" s="1821"/>
      <c r="CC4575" s="1821"/>
      <c r="CD4575" s="1821"/>
      <c r="CE4575" s="1821"/>
      <c r="CF4575" s="1821"/>
      <c r="CG4575" s="1821"/>
      <c r="CH4575" s="1821"/>
      <c r="CI4575" s="1821"/>
      <c r="CJ4575" s="1821"/>
      <c r="CK4575" s="1821"/>
    </row>
    <row r="4576" spans="1:89" s="675" customFormat="1" ht="16.5" customHeight="1" x14ac:dyDescent="0.25">
      <c r="A4576" s="849"/>
      <c r="B4576" s="1061" t="s">
        <v>547</v>
      </c>
      <c r="C4576" s="835">
        <v>135</v>
      </c>
      <c r="D4576" s="1062" t="s">
        <v>66</v>
      </c>
      <c r="E4576" s="825">
        <v>700</v>
      </c>
      <c r="F4576" s="825"/>
      <c r="G4576" s="825"/>
      <c r="H4576" s="825"/>
      <c r="I4576" s="825"/>
      <c r="J4576" s="825">
        <f t="shared" si="523"/>
        <v>94500</v>
      </c>
      <c r="K4576" s="825">
        <f t="shared" si="524"/>
        <v>94500</v>
      </c>
      <c r="L4576" s="825"/>
      <c r="M4576" s="825"/>
      <c r="N4576" s="825"/>
      <c r="O4576" s="826">
        <f t="shared" si="522"/>
        <v>94500</v>
      </c>
      <c r="P4576" s="702"/>
      <c r="Q4576" s="1821"/>
      <c r="R4576" s="1821"/>
      <c r="S4576" s="1821"/>
      <c r="T4576" s="1821"/>
      <c r="U4576" s="1821"/>
      <c r="V4576" s="1821"/>
      <c r="W4576" s="1821"/>
      <c r="X4576" s="1821"/>
      <c r="Y4576" s="1821"/>
      <c r="Z4576" s="1821"/>
      <c r="AA4576" s="1821"/>
      <c r="AB4576" s="1821"/>
      <c r="AC4576" s="1821"/>
      <c r="AD4576" s="1821"/>
      <c r="AE4576" s="1821"/>
      <c r="AF4576" s="1821"/>
      <c r="AG4576" s="1821"/>
      <c r="AH4576" s="1821"/>
      <c r="AI4576" s="1821"/>
      <c r="AJ4576" s="1821"/>
      <c r="AK4576" s="1821"/>
      <c r="AL4576" s="1821"/>
      <c r="AM4576" s="1821"/>
      <c r="AN4576" s="1821"/>
      <c r="AO4576" s="1821"/>
      <c r="AP4576" s="1821"/>
      <c r="AQ4576" s="1821"/>
      <c r="AR4576" s="1821"/>
      <c r="AS4576" s="1821"/>
      <c r="AT4576" s="1821"/>
      <c r="AU4576" s="1821"/>
      <c r="AV4576" s="1821"/>
      <c r="AW4576" s="1821"/>
      <c r="AX4576" s="1821"/>
      <c r="AY4576" s="1821"/>
      <c r="AZ4576" s="1821"/>
      <c r="BA4576" s="1821"/>
      <c r="BB4576" s="1821"/>
      <c r="BC4576" s="1821"/>
      <c r="BD4576" s="1821"/>
      <c r="BE4576" s="1821"/>
      <c r="BF4576" s="1821"/>
      <c r="BG4576" s="1821"/>
      <c r="BH4576" s="1821"/>
      <c r="BI4576" s="1821"/>
      <c r="BJ4576" s="1821"/>
      <c r="BK4576" s="1821"/>
      <c r="BL4576" s="1821"/>
      <c r="BM4576" s="1821"/>
      <c r="BN4576" s="1821"/>
      <c r="BO4576" s="1821"/>
      <c r="BP4576" s="1821"/>
      <c r="BQ4576" s="1821"/>
      <c r="BR4576" s="1821"/>
      <c r="BS4576" s="1821"/>
      <c r="BT4576" s="1821"/>
      <c r="BU4576" s="1821"/>
      <c r="BV4576" s="1821"/>
      <c r="BW4576" s="1821"/>
      <c r="BX4576" s="1821"/>
      <c r="BY4576" s="1821"/>
      <c r="BZ4576" s="1821"/>
      <c r="CA4576" s="1821"/>
      <c r="CB4576" s="1821"/>
      <c r="CC4576" s="1821"/>
      <c r="CD4576" s="1821"/>
      <c r="CE4576" s="1821"/>
      <c r="CF4576" s="1821"/>
      <c r="CG4576" s="1821"/>
      <c r="CH4576" s="1821"/>
      <c r="CI4576" s="1821"/>
      <c r="CJ4576" s="1821"/>
      <c r="CK4576" s="1821"/>
    </row>
    <row r="4577" spans="1:89" s="675" customFormat="1" ht="16.5" customHeight="1" x14ac:dyDescent="0.25">
      <c r="A4577" s="849"/>
      <c r="B4577" s="1061" t="s">
        <v>548</v>
      </c>
      <c r="C4577" s="835">
        <v>110</v>
      </c>
      <c r="D4577" s="1062" t="s">
        <v>66</v>
      </c>
      <c r="E4577" s="825">
        <v>450</v>
      </c>
      <c r="F4577" s="825"/>
      <c r="G4577" s="825"/>
      <c r="H4577" s="825"/>
      <c r="I4577" s="825"/>
      <c r="J4577" s="825">
        <f t="shared" si="523"/>
        <v>49500</v>
      </c>
      <c r="K4577" s="825">
        <f t="shared" si="524"/>
        <v>49500</v>
      </c>
      <c r="L4577" s="825"/>
      <c r="M4577" s="825"/>
      <c r="N4577" s="825"/>
      <c r="O4577" s="826">
        <f t="shared" si="522"/>
        <v>49500</v>
      </c>
      <c r="P4577" s="702"/>
      <c r="Q4577" s="1821"/>
      <c r="R4577" s="1821"/>
      <c r="S4577" s="1821"/>
      <c r="T4577" s="1821"/>
      <c r="U4577" s="1821"/>
      <c r="V4577" s="1821"/>
      <c r="W4577" s="1821"/>
      <c r="X4577" s="1821"/>
      <c r="Y4577" s="1821"/>
      <c r="Z4577" s="1821"/>
      <c r="AA4577" s="1821"/>
      <c r="AB4577" s="1821"/>
      <c r="AC4577" s="1821"/>
      <c r="AD4577" s="1821"/>
      <c r="AE4577" s="1821"/>
      <c r="AF4577" s="1821"/>
      <c r="AG4577" s="1821"/>
      <c r="AH4577" s="1821"/>
      <c r="AI4577" s="1821"/>
      <c r="AJ4577" s="1821"/>
      <c r="AK4577" s="1821"/>
      <c r="AL4577" s="1821"/>
      <c r="AM4577" s="1821"/>
      <c r="AN4577" s="1821"/>
      <c r="AO4577" s="1821"/>
      <c r="AP4577" s="1821"/>
      <c r="AQ4577" s="1821"/>
      <c r="AR4577" s="1821"/>
      <c r="AS4577" s="1821"/>
      <c r="AT4577" s="1821"/>
      <c r="AU4577" s="1821"/>
      <c r="AV4577" s="1821"/>
      <c r="AW4577" s="1821"/>
      <c r="AX4577" s="1821"/>
      <c r="AY4577" s="1821"/>
      <c r="AZ4577" s="1821"/>
      <c r="BA4577" s="1821"/>
      <c r="BB4577" s="1821"/>
      <c r="BC4577" s="1821"/>
      <c r="BD4577" s="1821"/>
      <c r="BE4577" s="1821"/>
      <c r="BF4577" s="1821"/>
      <c r="BG4577" s="1821"/>
      <c r="BH4577" s="1821"/>
      <c r="BI4577" s="1821"/>
      <c r="BJ4577" s="1821"/>
      <c r="BK4577" s="1821"/>
      <c r="BL4577" s="1821"/>
      <c r="BM4577" s="1821"/>
      <c r="BN4577" s="1821"/>
      <c r="BO4577" s="1821"/>
      <c r="BP4577" s="1821"/>
      <c r="BQ4577" s="1821"/>
      <c r="BR4577" s="1821"/>
      <c r="BS4577" s="1821"/>
      <c r="BT4577" s="1821"/>
      <c r="BU4577" s="1821"/>
      <c r="BV4577" s="1821"/>
      <c r="BW4577" s="1821"/>
      <c r="BX4577" s="1821"/>
      <c r="BY4577" s="1821"/>
      <c r="BZ4577" s="1821"/>
      <c r="CA4577" s="1821"/>
      <c r="CB4577" s="1821"/>
      <c r="CC4577" s="1821"/>
      <c r="CD4577" s="1821"/>
      <c r="CE4577" s="1821"/>
      <c r="CF4577" s="1821"/>
      <c r="CG4577" s="1821"/>
      <c r="CH4577" s="1821"/>
      <c r="CI4577" s="1821"/>
      <c r="CJ4577" s="1821"/>
      <c r="CK4577" s="1821"/>
    </row>
    <row r="4578" spans="1:89" s="675" customFormat="1" ht="16.5" customHeight="1" x14ac:dyDescent="0.25">
      <c r="A4578" s="849"/>
      <c r="B4578" s="1061"/>
      <c r="C4578" s="835"/>
      <c r="D4578" s="1062"/>
      <c r="E4578" s="825"/>
      <c r="F4578" s="825"/>
      <c r="G4578" s="825"/>
      <c r="H4578" s="825"/>
      <c r="I4578" s="825"/>
      <c r="J4578" s="825">
        <f t="shared" si="523"/>
        <v>0</v>
      </c>
      <c r="K4578" s="825"/>
      <c r="L4578" s="825"/>
      <c r="M4578" s="825"/>
      <c r="N4578" s="825"/>
      <c r="O4578" s="826"/>
      <c r="P4578" s="702"/>
      <c r="Q4578" s="1821"/>
      <c r="R4578" s="1821"/>
      <c r="S4578" s="1821"/>
      <c r="T4578" s="1821"/>
      <c r="U4578" s="1821"/>
      <c r="V4578" s="1821"/>
      <c r="W4578" s="1821"/>
      <c r="X4578" s="1821"/>
      <c r="Y4578" s="1821"/>
      <c r="Z4578" s="1821"/>
      <c r="AA4578" s="1821"/>
      <c r="AB4578" s="1821"/>
      <c r="AC4578" s="1821"/>
      <c r="AD4578" s="1821"/>
      <c r="AE4578" s="1821"/>
      <c r="AF4578" s="1821"/>
      <c r="AG4578" s="1821"/>
      <c r="AH4578" s="1821"/>
      <c r="AI4578" s="1821"/>
      <c r="AJ4578" s="1821"/>
      <c r="AK4578" s="1821"/>
      <c r="AL4578" s="1821"/>
      <c r="AM4578" s="1821"/>
      <c r="AN4578" s="1821"/>
      <c r="AO4578" s="1821"/>
      <c r="AP4578" s="1821"/>
      <c r="AQ4578" s="1821"/>
      <c r="AR4578" s="1821"/>
      <c r="AS4578" s="1821"/>
      <c r="AT4578" s="1821"/>
      <c r="AU4578" s="1821"/>
      <c r="AV4578" s="1821"/>
      <c r="AW4578" s="1821"/>
      <c r="AX4578" s="1821"/>
      <c r="AY4578" s="1821"/>
      <c r="AZ4578" s="1821"/>
      <c r="BA4578" s="1821"/>
      <c r="BB4578" s="1821"/>
      <c r="BC4578" s="1821"/>
      <c r="BD4578" s="1821"/>
      <c r="BE4578" s="1821"/>
      <c r="BF4578" s="1821"/>
      <c r="BG4578" s="1821"/>
      <c r="BH4578" s="1821"/>
      <c r="BI4578" s="1821"/>
      <c r="BJ4578" s="1821"/>
      <c r="BK4578" s="1821"/>
      <c r="BL4578" s="1821"/>
      <c r="BM4578" s="1821"/>
      <c r="BN4578" s="1821"/>
      <c r="BO4578" s="1821"/>
      <c r="BP4578" s="1821"/>
      <c r="BQ4578" s="1821"/>
      <c r="BR4578" s="1821"/>
      <c r="BS4578" s="1821"/>
      <c r="BT4578" s="1821"/>
      <c r="BU4578" s="1821"/>
      <c r="BV4578" s="1821"/>
      <c r="BW4578" s="1821"/>
      <c r="BX4578" s="1821"/>
      <c r="BY4578" s="1821"/>
      <c r="BZ4578" s="1821"/>
      <c r="CA4578" s="1821"/>
      <c r="CB4578" s="1821"/>
      <c r="CC4578" s="1821"/>
      <c r="CD4578" s="1821"/>
      <c r="CE4578" s="1821"/>
      <c r="CF4578" s="1821"/>
      <c r="CG4578" s="1821"/>
      <c r="CH4578" s="1821"/>
      <c r="CI4578" s="1821"/>
      <c r="CJ4578" s="1821"/>
      <c r="CK4578" s="1821"/>
    </row>
    <row r="4579" spans="1:89" s="675" customFormat="1" ht="16.5" customHeight="1" x14ac:dyDescent="0.25">
      <c r="A4579" s="849">
        <v>12</v>
      </c>
      <c r="B4579" s="1061" t="s">
        <v>549</v>
      </c>
      <c r="C4579" s="835"/>
      <c r="D4579" s="1062"/>
      <c r="E4579" s="825"/>
      <c r="F4579" s="825"/>
      <c r="G4579" s="825"/>
      <c r="H4579" s="825"/>
      <c r="I4579" s="825"/>
      <c r="J4579" s="825">
        <f t="shared" si="523"/>
        <v>0</v>
      </c>
      <c r="K4579" s="825">
        <f>J4579+I4579</f>
        <v>0</v>
      </c>
      <c r="L4579" s="825"/>
      <c r="M4579" s="825"/>
      <c r="N4579" s="825"/>
      <c r="O4579" s="826">
        <f>N4579+K4579+H4579</f>
        <v>0</v>
      </c>
      <c r="P4579" s="702"/>
      <c r="Q4579" s="1821"/>
      <c r="R4579" s="1821"/>
      <c r="S4579" s="1821"/>
      <c r="T4579" s="1821"/>
      <c r="U4579" s="1821"/>
      <c r="V4579" s="1821"/>
      <c r="W4579" s="1821"/>
      <c r="X4579" s="1821"/>
      <c r="Y4579" s="1821"/>
      <c r="Z4579" s="1821"/>
      <c r="AA4579" s="1821"/>
      <c r="AB4579" s="1821"/>
      <c r="AC4579" s="1821"/>
      <c r="AD4579" s="1821"/>
      <c r="AE4579" s="1821"/>
      <c r="AF4579" s="1821"/>
      <c r="AG4579" s="1821"/>
      <c r="AH4579" s="1821"/>
      <c r="AI4579" s="1821"/>
      <c r="AJ4579" s="1821"/>
      <c r="AK4579" s="1821"/>
      <c r="AL4579" s="1821"/>
      <c r="AM4579" s="1821"/>
      <c r="AN4579" s="1821"/>
      <c r="AO4579" s="1821"/>
      <c r="AP4579" s="1821"/>
      <c r="AQ4579" s="1821"/>
      <c r="AR4579" s="1821"/>
      <c r="AS4579" s="1821"/>
      <c r="AT4579" s="1821"/>
      <c r="AU4579" s="1821"/>
      <c r="AV4579" s="1821"/>
      <c r="AW4579" s="1821"/>
      <c r="AX4579" s="1821"/>
      <c r="AY4579" s="1821"/>
      <c r="AZ4579" s="1821"/>
      <c r="BA4579" s="1821"/>
      <c r="BB4579" s="1821"/>
      <c r="BC4579" s="1821"/>
      <c r="BD4579" s="1821"/>
      <c r="BE4579" s="1821"/>
      <c r="BF4579" s="1821"/>
      <c r="BG4579" s="1821"/>
      <c r="BH4579" s="1821"/>
      <c r="BI4579" s="1821"/>
      <c r="BJ4579" s="1821"/>
      <c r="BK4579" s="1821"/>
      <c r="BL4579" s="1821"/>
      <c r="BM4579" s="1821"/>
      <c r="BN4579" s="1821"/>
      <c r="BO4579" s="1821"/>
      <c r="BP4579" s="1821"/>
      <c r="BQ4579" s="1821"/>
      <c r="BR4579" s="1821"/>
      <c r="BS4579" s="1821"/>
      <c r="BT4579" s="1821"/>
      <c r="BU4579" s="1821"/>
      <c r="BV4579" s="1821"/>
      <c r="BW4579" s="1821"/>
      <c r="BX4579" s="1821"/>
      <c r="BY4579" s="1821"/>
      <c r="BZ4579" s="1821"/>
      <c r="CA4579" s="1821"/>
      <c r="CB4579" s="1821"/>
      <c r="CC4579" s="1821"/>
      <c r="CD4579" s="1821"/>
      <c r="CE4579" s="1821"/>
      <c r="CF4579" s="1821"/>
      <c r="CG4579" s="1821"/>
      <c r="CH4579" s="1821"/>
      <c r="CI4579" s="1821"/>
      <c r="CJ4579" s="1821"/>
      <c r="CK4579" s="1821"/>
    </row>
    <row r="4580" spans="1:89" s="675" customFormat="1" ht="16.5" customHeight="1" x14ac:dyDescent="0.25">
      <c r="A4580" s="849"/>
      <c r="B4580" s="1061" t="s">
        <v>21</v>
      </c>
      <c r="C4580" s="835"/>
      <c r="D4580" s="1062"/>
      <c r="E4580" s="825"/>
      <c r="F4580" s="825"/>
      <c r="G4580" s="825"/>
      <c r="H4580" s="825"/>
      <c r="I4580" s="825"/>
      <c r="J4580" s="825">
        <f t="shared" si="523"/>
        <v>0</v>
      </c>
      <c r="K4580" s="825">
        <f>J4580+I4580</f>
        <v>0</v>
      </c>
      <c r="L4580" s="825"/>
      <c r="M4580" s="825"/>
      <c r="N4580" s="825"/>
      <c r="O4580" s="826">
        <f>N4580+K4580+H4580</f>
        <v>0</v>
      </c>
      <c r="P4580" s="702"/>
      <c r="Q4580" s="1821"/>
      <c r="R4580" s="1821"/>
      <c r="S4580" s="1821"/>
      <c r="T4580" s="1821"/>
      <c r="U4580" s="1821"/>
      <c r="V4580" s="1821"/>
      <c r="W4580" s="1821"/>
      <c r="X4580" s="1821"/>
      <c r="Y4580" s="1821"/>
      <c r="Z4580" s="1821"/>
      <c r="AA4580" s="1821"/>
      <c r="AB4580" s="1821"/>
      <c r="AC4580" s="1821"/>
      <c r="AD4580" s="1821"/>
      <c r="AE4580" s="1821"/>
      <c r="AF4580" s="1821"/>
      <c r="AG4580" s="1821"/>
      <c r="AH4580" s="1821"/>
      <c r="AI4580" s="1821"/>
      <c r="AJ4580" s="1821"/>
      <c r="AK4580" s="1821"/>
      <c r="AL4580" s="1821"/>
      <c r="AM4580" s="1821"/>
      <c r="AN4580" s="1821"/>
      <c r="AO4580" s="1821"/>
      <c r="AP4580" s="1821"/>
      <c r="AQ4580" s="1821"/>
      <c r="AR4580" s="1821"/>
      <c r="AS4580" s="1821"/>
      <c r="AT4580" s="1821"/>
      <c r="AU4580" s="1821"/>
      <c r="AV4580" s="1821"/>
      <c r="AW4580" s="1821"/>
      <c r="AX4580" s="1821"/>
      <c r="AY4580" s="1821"/>
      <c r="AZ4580" s="1821"/>
      <c r="BA4580" s="1821"/>
      <c r="BB4580" s="1821"/>
      <c r="BC4580" s="1821"/>
      <c r="BD4580" s="1821"/>
      <c r="BE4580" s="1821"/>
      <c r="BF4580" s="1821"/>
      <c r="BG4580" s="1821"/>
      <c r="BH4580" s="1821"/>
      <c r="BI4580" s="1821"/>
      <c r="BJ4580" s="1821"/>
      <c r="BK4580" s="1821"/>
      <c r="BL4580" s="1821"/>
      <c r="BM4580" s="1821"/>
      <c r="BN4580" s="1821"/>
      <c r="BO4580" s="1821"/>
      <c r="BP4580" s="1821"/>
      <c r="BQ4580" s="1821"/>
      <c r="BR4580" s="1821"/>
      <c r="BS4580" s="1821"/>
      <c r="BT4580" s="1821"/>
      <c r="BU4580" s="1821"/>
      <c r="BV4580" s="1821"/>
      <c r="BW4580" s="1821"/>
      <c r="BX4580" s="1821"/>
      <c r="BY4580" s="1821"/>
      <c r="BZ4580" s="1821"/>
      <c r="CA4580" s="1821"/>
      <c r="CB4580" s="1821"/>
      <c r="CC4580" s="1821"/>
      <c r="CD4580" s="1821"/>
      <c r="CE4580" s="1821"/>
      <c r="CF4580" s="1821"/>
      <c r="CG4580" s="1821"/>
      <c r="CH4580" s="1821"/>
      <c r="CI4580" s="1821"/>
      <c r="CJ4580" s="1821"/>
      <c r="CK4580" s="1821"/>
    </row>
    <row r="4581" spans="1:89" s="675" customFormat="1" ht="16.5" customHeight="1" x14ac:dyDescent="0.25">
      <c r="A4581" s="849"/>
      <c r="B4581" s="1061" t="s">
        <v>2247</v>
      </c>
      <c r="C4581" s="835"/>
      <c r="D4581" s="1062"/>
      <c r="E4581" s="825"/>
      <c r="F4581" s="825"/>
      <c r="G4581" s="825"/>
      <c r="H4581" s="825"/>
      <c r="I4581" s="825"/>
      <c r="J4581" s="825">
        <f t="shared" si="523"/>
        <v>0</v>
      </c>
      <c r="K4581" s="825">
        <f>J4581+I4581</f>
        <v>0</v>
      </c>
      <c r="L4581" s="825"/>
      <c r="M4581" s="825"/>
      <c r="N4581" s="825"/>
      <c r="O4581" s="826">
        <f>N4581+K4581+H4581</f>
        <v>0</v>
      </c>
      <c r="P4581" s="702"/>
      <c r="Q4581" s="1821"/>
      <c r="R4581" s="1821"/>
      <c r="S4581" s="1821"/>
      <c r="T4581" s="1821"/>
      <c r="U4581" s="1821"/>
      <c r="V4581" s="1821"/>
      <c r="W4581" s="1821"/>
      <c r="X4581" s="1821"/>
      <c r="Y4581" s="1821"/>
      <c r="Z4581" s="1821"/>
      <c r="AA4581" s="1821"/>
      <c r="AB4581" s="1821"/>
      <c r="AC4581" s="1821"/>
      <c r="AD4581" s="1821"/>
      <c r="AE4581" s="1821"/>
      <c r="AF4581" s="1821"/>
      <c r="AG4581" s="1821"/>
      <c r="AH4581" s="1821"/>
      <c r="AI4581" s="1821"/>
      <c r="AJ4581" s="1821"/>
      <c r="AK4581" s="1821"/>
      <c r="AL4581" s="1821"/>
      <c r="AM4581" s="1821"/>
      <c r="AN4581" s="1821"/>
      <c r="AO4581" s="1821"/>
      <c r="AP4581" s="1821"/>
      <c r="AQ4581" s="1821"/>
      <c r="AR4581" s="1821"/>
      <c r="AS4581" s="1821"/>
      <c r="AT4581" s="1821"/>
      <c r="AU4581" s="1821"/>
      <c r="AV4581" s="1821"/>
      <c r="AW4581" s="1821"/>
      <c r="AX4581" s="1821"/>
      <c r="AY4581" s="1821"/>
      <c r="AZ4581" s="1821"/>
      <c r="BA4581" s="1821"/>
      <c r="BB4581" s="1821"/>
      <c r="BC4581" s="1821"/>
      <c r="BD4581" s="1821"/>
      <c r="BE4581" s="1821"/>
      <c r="BF4581" s="1821"/>
      <c r="BG4581" s="1821"/>
      <c r="BH4581" s="1821"/>
      <c r="BI4581" s="1821"/>
      <c r="BJ4581" s="1821"/>
      <c r="BK4581" s="1821"/>
      <c r="BL4581" s="1821"/>
      <c r="BM4581" s="1821"/>
      <c r="BN4581" s="1821"/>
      <c r="BO4581" s="1821"/>
      <c r="BP4581" s="1821"/>
      <c r="BQ4581" s="1821"/>
      <c r="BR4581" s="1821"/>
      <c r="BS4581" s="1821"/>
      <c r="BT4581" s="1821"/>
      <c r="BU4581" s="1821"/>
      <c r="BV4581" s="1821"/>
      <c r="BW4581" s="1821"/>
      <c r="BX4581" s="1821"/>
      <c r="BY4581" s="1821"/>
      <c r="BZ4581" s="1821"/>
      <c r="CA4581" s="1821"/>
      <c r="CB4581" s="1821"/>
      <c r="CC4581" s="1821"/>
      <c r="CD4581" s="1821"/>
      <c r="CE4581" s="1821"/>
      <c r="CF4581" s="1821"/>
      <c r="CG4581" s="1821"/>
      <c r="CH4581" s="1821"/>
      <c r="CI4581" s="1821"/>
      <c r="CJ4581" s="1821"/>
      <c r="CK4581" s="1821"/>
    </row>
    <row r="4582" spans="1:89" s="675" customFormat="1" ht="16.5" customHeight="1" x14ac:dyDescent="0.25">
      <c r="A4582" s="849"/>
      <c r="B4582" s="1061" t="s">
        <v>550</v>
      </c>
      <c r="C4582" s="835">
        <v>1</v>
      </c>
      <c r="D4582" s="1062" t="s">
        <v>25</v>
      </c>
      <c r="E4582" s="825">
        <v>516600</v>
      </c>
      <c r="F4582" s="825"/>
      <c r="G4582" s="825"/>
      <c r="H4582" s="825"/>
      <c r="I4582" s="825"/>
      <c r="J4582" s="825">
        <f>E4582*C4582</f>
        <v>516600</v>
      </c>
      <c r="K4582" s="825">
        <f>J4582+I4582</f>
        <v>516600</v>
      </c>
      <c r="L4582" s="825"/>
      <c r="M4582" s="825"/>
      <c r="N4582" s="825"/>
      <c r="O4582" s="826">
        <f>N4582+K4582+H4582</f>
        <v>516600</v>
      </c>
      <c r="P4582" s="702"/>
      <c r="Q4582" s="1821"/>
      <c r="R4582" s="1821"/>
      <c r="S4582" s="1821"/>
      <c r="T4582" s="1821"/>
      <c r="U4582" s="1821"/>
      <c r="V4582" s="1821"/>
      <c r="W4582" s="1821"/>
      <c r="X4582" s="1821"/>
      <c r="Y4582" s="1821"/>
      <c r="Z4582" s="1821"/>
      <c r="AA4582" s="1821"/>
      <c r="AB4582" s="1821"/>
      <c r="AC4582" s="1821"/>
      <c r="AD4582" s="1821"/>
      <c r="AE4582" s="1821"/>
      <c r="AF4582" s="1821"/>
      <c r="AG4582" s="1821"/>
      <c r="AH4582" s="1821"/>
      <c r="AI4582" s="1821"/>
      <c r="AJ4582" s="1821"/>
      <c r="AK4582" s="1821"/>
      <c r="AL4582" s="1821"/>
      <c r="AM4582" s="1821"/>
      <c r="AN4582" s="1821"/>
      <c r="AO4582" s="1821"/>
      <c r="AP4582" s="1821"/>
      <c r="AQ4582" s="1821"/>
      <c r="AR4582" s="1821"/>
      <c r="AS4582" s="1821"/>
      <c r="AT4582" s="1821"/>
      <c r="AU4582" s="1821"/>
      <c r="AV4582" s="1821"/>
      <c r="AW4582" s="1821"/>
      <c r="AX4582" s="1821"/>
      <c r="AY4582" s="1821"/>
      <c r="AZ4582" s="1821"/>
      <c r="BA4582" s="1821"/>
      <c r="BB4582" s="1821"/>
      <c r="BC4582" s="1821"/>
      <c r="BD4582" s="1821"/>
      <c r="BE4582" s="1821"/>
      <c r="BF4582" s="1821"/>
      <c r="BG4582" s="1821"/>
      <c r="BH4582" s="1821"/>
      <c r="BI4582" s="1821"/>
      <c r="BJ4582" s="1821"/>
      <c r="BK4582" s="1821"/>
      <c r="BL4582" s="1821"/>
      <c r="BM4582" s="1821"/>
      <c r="BN4582" s="1821"/>
      <c r="BO4582" s="1821"/>
      <c r="BP4582" s="1821"/>
      <c r="BQ4582" s="1821"/>
      <c r="BR4582" s="1821"/>
      <c r="BS4582" s="1821"/>
      <c r="BT4582" s="1821"/>
      <c r="BU4582" s="1821"/>
      <c r="BV4582" s="1821"/>
      <c r="BW4582" s="1821"/>
      <c r="BX4582" s="1821"/>
      <c r="BY4582" s="1821"/>
      <c r="BZ4582" s="1821"/>
      <c r="CA4582" s="1821"/>
      <c r="CB4582" s="1821"/>
      <c r="CC4582" s="1821"/>
      <c r="CD4582" s="1821"/>
      <c r="CE4582" s="1821"/>
      <c r="CF4582" s="1821"/>
      <c r="CG4582" s="1821"/>
      <c r="CH4582" s="1821"/>
      <c r="CI4582" s="1821"/>
      <c r="CJ4582" s="1821"/>
      <c r="CK4582" s="1821"/>
    </row>
    <row r="4583" spans="1:89" s="675" customFormat="1" ht="16.5" customHeight="1" x14ac:dyDescent="0.25">
      <c r="A4583" s="849"/>
      <c r="B4583" s="1061"/>
      <c r="C4583" s="835"/>
      <c r="D4583" s="1062"/>
      <c r="E4583" s="825"/>
      <c r="F4583" s="825"/>
      <c r="G4583" s="825"/>
      <c r="H4583" s="825"/>
      <c r="I4583" s="825"/>
      <c r="J4583" s="825"/>
      <c r="K4583" s="825"/>
      <c r="L4583" s="825"/>
      <c r="M4583" s="825"/>
      <c r="N4583" s="825"/>
      <c r="O4583" s="826"/>
      <c r="P4583" s="702"/>
      <c r="Q4583" s="1821"/>
      <c r="R4583" s="1821"/>
      <c r="S4583" s="1821"/>
      <c r="T4583" s="1821"/>
      <c r="U4583" s="1821"/>
      <c r="V4583" s="1821"/>
      <c r="W4583" s="1821"/>
      <c r="X4583" s="1821"/>
      <c r="Y4583" s="1821"/>
      <c r="Z4583" s="1821"/>
      <c r="AA4583" s="1821"/>
      <c r="AB4583" s="1821"/>
      <c r="AC4583" s="1821"/>
      <c r="AD4583" s="1821"/>
      <c r="AE4583" s="1821"/>
      <c r="AF4583" s="1821"/>
      <c r="AG4583" s="1821"/>
      <c r="AH4583" s="1821"/>
      <c r="AI4583" s="1821"/>
      <c r="AJ4583" s="1821"/>
      <c r="AK4583" s="1821"/>
      <c r="AL4583" s="1821"/>
      <c r="AM4583" s="1821"/>
      <c r="AN4583" s="1821"/>
      <c r="AO4583" s="1821"/>
      <c r="AP4583" s="1821"/>
      <c r="AQ4583" s="1821"/>
      <c r="AR4583" s="1821"/>
      <c r="AS4583" s="1821"/>
      <c r="AT4583" s="1821"/>
      <c r="AU4583" s="1821"/>
      <c r="AV4583" s="1821"/>
      <c r="AW4583" s="1821"/>
      <c r="AX4583" s="1821"/>
      <c r="AY4583" s="1821"/>
      <c r="AZ4583" s="1821"/>
      <c r="BA4583" s="1821"/>
      <c r="BB4583" s="1821"/>
      <c r="BC4583" s="1821"/>
      <c r="BD4583" s="1821"/>
      <c r="BE4583" s="1821"/>
      <c r="BF4583" s="1821"/>
      <c r="BG4583" s="1821"/>
      <c r="BH4583" s="1821"/>
      <c r="BI4583" s="1821"/>
      <c r="BJ4583" s="1821"/>
      <c r="BK4583" s="1821"/>
      <c r="BL4583" s="1821"/>
      <c r="BM4583" s="1821"/>
      <c r="BN4583" s="1821"/>
      <c r="BO4583" s="1821"/>
      <c r="BP4583" s="1821"/>
      <c r="BQ4583" s="1821"/>
      <c r="BR4583" s="1821"/>
      <c r="BS4583" s="1821"/>
      <c r="BT4583" s="1821"/>
      <c r="BU4583" s="1821"/>
      <c r="BV4583" s="1821"/>
      <c r="BW4583" s="1821"/>
      <c r="BX4583" s="1821"/>
      <c r="BY4583" s="1821"/>
      <c r="BZ4583" s="1821"/>
      <c r="CA4583" s="1821"/>
      <c r="CB4583" s="1821"/>
      <c r="CC4583" s="1821"/>
      <c r="CD4583" s="1821"/>
      <c r="CE4583" s="1821"/>
      <c r="CF4583" s="1821"/>
      <c r="CG4583" s="1821"/>
      <c r="CH4583" s="1821"/>
      <c r="CI4583" s="1821"/>
      <c r="CJ4583" s="1821"/>
      <c r="CK4583" s="1821"/>
    </row>
    <row r="4584" spans="1:89" s="675" customFormat="1" ht="16.5" customHeight="1" x14ac:dyDescent="0.25">
      <c r="A4584" s="849"/>
      <c r="B4584" s="1061"/>
      <c r="C4584" s="835"/>
      <c r="D4584" s="1062"/>
      <c r="E4584" s="825"/>
      <c r="F4584" s="825"/>
      <c r="G4584" s="825"/>
      <c r="H4584" s="825"/>
      <c r="I4584" s="825"/>
      <c r="J4584" s="825">
        <f t="shared" si="523"/>
        <v>0</v>
      </c>
      <c r="K4584" s="825"/>
      <c r="L4584" s="825"/>
      <c r="M4584" s="825"/>
      <c r="N4584" s="825"/>
      <c r="O4584" s="826"/>
      <c r="P4584" s="702"/>
      <c r="Q4584" s="1821"/>
      <c r="R4584" s="1821"/>
      <c r="S4584" s="1821"/>
      <c r="T4584" s="1821"/>
      <c r="U4584" s="1821"/>
      <c r="V4584" s="1821"/>
      <c r="W4584" s="1821"/>
      <c r="X4584" s="1821"/>
      <c r="Y4584" s="1821"/>
      <c r="Z4584" s="1821"/>
      <c r="AA4584" s="1821"/>
      <c r="AB4584" s="1821"/>
      <c r="AC4584" s="1821"/>
      <c r="AD4584" s="1821"/>
      <c r="AE4584" s="1821"/>
      <c r="AF4584" s="1821"/>
      <c r="AG4584" s="1821"/>
      <c r="AH4584" s="1821"/>
      <c r="AI4584" s="1821"/>
      <c r="AJ4584" s="1821"/>
      <c r="AK4584" s="1821"/>
      <c r="AL4584" s="1821"/>
      <c r="AM4584" s="1821"/>
      <c r="AN4584" s="1821"/>
      <c r="AO4584" s="1821"/>
      <c r="AP4584" s="1821"/>
      <c r="AQ4584" s="1821"/>
      <c r="AR4584" s="1821"/>
      <c r="AS4584" s="1821"/>
      <c r="AT4584" s="1821"/>
      <c r="AU4584" s="1821"/>
      <c r="AV4584" s="1821"/>
      <c r="AW4584" s="1821"/>
      <c r="AX4584" s="1821"/>
      <c r="AY4584" s="1821"/>
      <c r="AZ4584" s="1821"/>
      <c r="BA4584" s="1821"/>
      <c r="BB4584" s="1821"/>
      <c r="BC4584" s="1821"/>
      <c r="BD4584" s="1821"/>
      <c r="BE4584" s="1821"/>
      <c r="BF4584" s="1821"/>
      <c r="BG4584" s="1821"/>
      <c r="BH4584" s="1821"/>
      <c r="BI4584" s="1821"/>
      <c r="BJ4584" s="1821"/>
      <c r="BK4584" s="1821"/>
      <c r="BL4584" s="1821"/>
      <c r="BM4584" s="1821"/>
      <c r="BN4584" s="1821"/>
      <c r="BO4584" s="1821"/>
      <c r="BP4584" s="1821"/>
      <c r="BQ4584" s="1821"/>
      <c r="BR4584" s="1821"/>
      <c r="BS4584" s="1821"/>
      <c r="BT4584" s="1821"/>
      <c r="BU4584" s="1821"/>
      <c r="BV4584" s="1821"/>
      <c r="BW4584" s="1821"/>
      <c r="BX4584" s="1821"/>
      <c r="BY4584" s="1821"/>
      <c r="BZ4584" s="1821"/>
      <c r="CA4584" s="1821"/>
      <c r="CB4584" s="1821"/>
      <c r="CC4584" s="1821"/>
      <c r="CD4584" s="1821"/>
      <c r="CE4584" s="1821"/>
      <c r="CF4584" s="1821"/>
      <c r="CG4584" s="1821"/>
      <c r="CH4584" s="1821"/>
      <c r="CI4584" s="1821"/>
      <c r="CJ4584" s="1821"/>
      <c r="CK4584" s="1821"/>
    </row>
    <row r="4585" spans="1:89" s="675" customFormat="1" ht="16.5" customHeight="1" x14ac:dyDescent="0.25">
      <c r="A4585" s="849"/>
      <c r="B4585" s="1061"/>
      <c r="C4585" s="835"/>
      <c r="D4585" s="1062"/>
      <c r="E4585" s="825"/>
      <c r="F4585" s="825"/>
      <c r="G4585" s="825"/>
      <c r="H4585" s="825"/>
      <c r="I4585" s="825"/>
      <c r="J4585" s="825">
        <f t="shared" si="523"/>
        <v>0</v>
      </c>
      <c r="K4585" s="825">
        <f>J4585+I4585</f>
        <v>0</v>
      </c>
      <c r="L4585" s="825"/>
      <c r="M4585" s="825"/>
      <c r="N4585" s="825"/>
      <c r="O4585" s="826">
        <f t="shared" ref="O4585:O4603" si="525">N4585+K4585+H4585</f>
        <v>0</v>
      </c>
      <c r="P4585" s="702"/>
      <c r="Q4585" s="1821"/>
      <c r="R4585" s="1821"/>
      <c r="S4585" s="1821"/>
      <c r="T4585" s="1821"/>
      <c r="U4585" s="1821"/>
      <c r="V4585" s="1821"/>
      <c r="W4585" s="1821"/>
      <c r="X4585" s="1821"/>
      <c r="Y4585" s="1821"/>
      <c r="Z4585" s="1821"/>
      <c r="AA4585" s="1821"/>
      <c r="AB4585" s="1821"/>
      <c r="AC4585" s="1821"/>
      <c r="AD4585" s="1821"/>
      <c r="AE4585" s="1821"/>
      <c r="AF4585" s="1821"/>
      <c r="AG4585" s="1821"/>
      <c r="AH4585" s="1821"/>
      <c r="AI4585" s="1821"/>
      <c r="AJ4585" s="1821"/>
      <c r="AK4585" s="1821"/>
      <c r="AL4585" s="1821"/>
      <c r="AM4585" s="1821"/>
      <c r="AN4585" s="1821"/>
      <c r="AO4585" s="1821"/>
      <c r="AP4585" s="1821"/>
      <c r="AQ4585" s="1821"/>
      <c r="AR4585" s="1821"/>
      <c r="AS4585" s="1821"/>
      <c r="AT4585" s="1821"/>
      <c r="AU4585" s="1821"/>
      <c r="AV4585" s="1821"/>
      <c r="AW4585" s="1821"/>
      <c r="AX4585" s="1821"/>
      <c r="AY4585" s="1821"/>
      <c r="AZ4585" s="1821"/>
      <c r="BA4585" s="1821"/>
      <c r="BB4585" s="1821"/>
      <c r="BC4585" s="1821"/>
      <c r="BD4585" s="1821"/>
      <c r="BE4585" s="1821"/>
      <c r="BF4585" s="1821"/>
      <c r="BG4585" s="1821"/>
      <c r="BH4585" s="1821"/>
      <c r="BI4585" s="1821"/>
      <c r="BJ4585" s="1821"/>
      <c r="BK4585" s="1821"/>
      <c r="BL4585" s="1821"/>
      <c r="BM4585" s="1821"/>
      <c r="BN4585" s="1821"/>
      <c r="BO4585" s="1821"/>
      <c r="BP4585" s="1821"/>
      <c r="BQ4585" s="1821"/>
      <c r="BR4585" s="1821"/>
      <c r="BS4585" s="1821"/>
      <c r="BT4585" s="1821"/>
      <c r="BU4585" s="1821"/>
      <c r="BV4585" s="1821"/>
      <c r="BW4585" s="1821"/>
      <c r="BX4585" s="1821"/>
      <c r="BY4585" s="1821"/>
      <c r="BZ4585" s="1821"/>
      <c r="CA4585" s="1821"/>
      <c r="CB4585" s="1821"/>
      <c r="CC4585" s="1821"/>
      <c r="CD4585" s="1821"/>
      <c r="CE4585" s="1821"/>
      <c r="CF4585" s="1821"/>
      <c r="CG4585" s="1821"/>
      <c r="CH4585" s="1821"/>
      <c r="CI4585" s="1821"/>
      <c r="CJ4585" s="1821"/>
      <c r="CK4585" s="1821"/>
    </row>
    <row r="4586" spans="1:89" s="675" customFormat="1" ht="16.5" customHeight="1" x14ac:dyDescent="0.25">
      <c r="A4586" s="849" t="s">
        <v>551</v>
      </c>
      <c r="B4586" s="1061" t="s">
        <v>552</v>
      </c>
      <c r="C4586" s="835"/>
      <c r="D4586" s="1062"/>
      <c r="E4586" s="825"/>
      <c r="F4586" s="825"/>
      <c r="G4586" s="825"/>
      <c r="H4586" s="825"/>
      <c r="I4586" s="825"/>
      <c r="J4586" s="825">
        <f t="shared" si="523"/>
        <v>0</v>
      </c>
      <c r="K4586" s="825">
        <f t="shared" ref="K4586:K4603" si="526">J4586+I4586</f>
        <v>0</v>
      </c>
      <c r="L4586" s="825"/>
      <c r="M4586" s="825"/>
      <c r="N4586" s="825"/>
      <c r="O4586" s="826">
        <f t="shared" si="525"/>
        <v>0</v>
      </c>
      <c r="P4586" s="702"/>
      <c r="Q4586" s="1821"/>
      <c r="R4586" s="1821"/>
      <c r="S4586" s="1821"/>
      <c r="T4586" s="1821"/>
      <c r="U4586" s="1821"/>
      <c r="V4586" s="1821"/>
      <c r="W4586" s="1821"/>
      <c r="X4586" s="1821"/>
      <c r="Y4586" s="1821"/>
      <c r="Z4586" s="1821"/>
      <c r="AA4586" s="1821"/>
      <c r="AB4586" s="1821"/>
      <c r="AC4586" s="1821"/>
      <c r="AD4586" s="1821"/>
      <c r="AE4586" s="1821"/>
      <c r="AF4586" s="1821"/>
      <c r="AG4586" s="1821"/>
      <c r="AH4586" s="1821"/>
      <c r="AI4586" s="1821"/>
      <c r="AJ4586" s="1821"/>
      <c r="AK4586" s="1821"/>
      <c r="AL4586" s="1821"/>
      <c r="AM4586" s="1821"/>
      <c r="AN4586" s="1821"/>
      <c r="AO4586" s="1821"/>
      <c r="AP4586" s="1821"/>
      <c r="AQ4586" s="1821"/>
      <c r="AR4586" s="1821"/>
      <c r="AS4586" s="1821"/>
      <c r="AT4586" s="1821"/>
      <c r="AU4586" s="1821"/>
      <c r="AV4586" s="1821"/>
      <c r="AW4586" s="1821"/>
      <c r="AX4586" s="1821"/>
      <c r="AY4586" s="1821"/>
      <c r="AZ4586" s="1821"/>
      <c r="BA4586" s="1821"/>
      <c r="BB4586" s="1821"/>
      <c r="BC4586" s="1821"/>
      <c r="BD4586" s="1821"/>
      <c r="BE4586" s="1821"/>
      <c r="BF4586" s="1821"/>
      <c r="BG4586" s="1821"/>
      <c r="BH4586" s="1821"/>
      <c r="BI4586" s="1821"/>
      <c r="BJ4586" s="1821"/>
      <c r="BK4586" s="1821"/>
      <c r="BL4586" s="1821"/>
      <c r="BM4586" s="1821"/>
      <c r="BN4586" s="1821"/>
      <c r="BO4586" s="1821"/>
      <c r="BP4586" s="1821"/>
      <c r="BQ4586" s="1821"/>
      <c r="BR4586" s="1821"/>
      <c r="BS4586" s="1821"/>
      <c r="BT4586" s="1821"/>
      <c r="BU4586" s="1821"/>
      <c r="BV4586" s="1821"/>
      <c r="BW4586" s="1821"/>
      <c r="BX4586" s="1821"/>
      <c r="BY4586" s="1821"/>
      <c r="BZ4586" s="1821"/>
      <c r="CA4586" s="1821"/>
      <c r="CB4586" s="1821"/>
      <c r="CC4586" s="1821"/>
      <c r="CD4586" s="1821"/>
      <c r="CE4586" s="1821"/>
      <c r="CF4586" s="1821"/>
      <c r="CG4586" s="1821"/>
      <c r="CH4586" s="1821"/>
      <c r="CI4586" s="1821"/>
      <c r="CJ4586" s="1821"/>
      <c r="CK4586" s="1821"/>
    </row>
    <row r="4587" spans="1:89" s="675" customFormat="1" ht="16.5" customHeight="1" x14ac:dyDescent="0.25">
      <c r="A4587" s="849"/>
      <c r="B4587" s="1061" t="s">
        <v>292</v>
      </c>
      <c r="C4587" s="835"/>
      <c r="D4587" s="1062"/>
      <c r="E4587" s="825"/>
      <c r="F4587" s="825"/>
      <c r="G4587" s="825"/>
      <c r="H4587" s="825"/>
      <c r="I4587" s="825"/>
      <c r="J4587" s="825">
        <f t="shared" si="523"/>
        <v>0</v>
      </c>
      <c r="K4587" s="825">
        <f t="shared" si="526"/>
        <v>0</v>
      </c>
      <c r="L4587" s="825"/>
      <c r="M4587" s="825"/>
      <c r="N4587" s="825"/>
      <c r="O4587" s="826">
        <f t="shared" si="525"/>
        <v>0</v>
      </c>
      <c r="P4587" s="702"/>
      <c r="Q4587" s="1821"/>
      <c r="R4587" s="1821"/>
      <c r="S4587" s="1821"/>
      <c r="T4587" s="1821"/>
      <c r="U4587" s="1821"/>
      <c r="V4587" s="1821"/>
      <c r="W4587" s="1821"/>
      <c r="X4587" s="1821"/>
      <c r="Y4587" s="1821"/>
      <c r="Z4587" s="1821"/>
      <c r="AA4587" s="1821"/>
      <c r="AB4587" s="1821"/>
      <c r="AC4587" s="1821"/>
      <c r="AD4587" s="1821"/>
      <c r="AE4587" s="1821"/>
      <c r="AF4587" s="1821"/>
      <c r="AG4587" s="1821"/>
      <c r="AH4587" s="1821"/>
      <c r="AI4587" s="1821"/>
      <c r="AJ4587" s="1821"/>
      <c r="AK4587" s="1821"/>
      <c r="AL4587" s="1821"/>
      <c r="AM4587" s="1821"/>
      <c r="AN4587" s="1821"/>
      <c r="AO4587" s="1821"/>
      <c r="AP4587" s="1821"/>
      <c r="AQ4587" s="1821"/>
      <c r="AR4587" s="1821"/>
      <c r="AS4587" s="1821"/>
      <c r="AT4587" s="1821"/>
      <c r="AU4587" s="1821"/>
      <c r="AV4587" s="1821"/>
      <c r="AW4587" s="1821"/>
      <c r="AX4587" s="1821"/>
      <c r="AY4587" s="1821"/>
      <c r="AZ4587" s="1821"/>
      <c r="BA4587" s="1821"/>
      <c r="BB4587" s="1821"/>
      <c r="BC4587" s="1821"/>
      <c r="BD4587" s="1821"/>
      <c r="BE4587" s="1821"/>
      <c r="BF4587" s="1821"/>
      <c r="BG4587" s="1821"/>
      <c r="BH4587" s="1821"/>
      <c r="BI4587" s="1821"/>
      <c r="BJ4587" s="1821"/>
      <c r="BK4587" s="1821"/>
      <c r="BL4587" s="1821"/>
      <c r="BM4587" s="1821"/>
      <c r="BN4587" s="1821"/>
      <c r="BO4587" s="1821"/>
      <c r="BP4587" s="1821"/>
      <c r="BQ4587" s="1821"/>
      <c r="BR4587" s="1821"/>
      <c r="BS4587" s="1821"/>
      <c r="BT4587" s="1821"/>
      <c r="BU4587" s="1821"/>
      <c r="BV4587" s="1821"/>
      <c r="BW4587" s="1821"/>
      <c r="BX4587" s="1821"/>
      <c r="BY4587" s="1821"/>
      <c r="BZ4587" s="1821"/>
      <c r="CA4587" s="1821"/>
      <c r="CB4587" s="1821"/>
      <c r="CC4587" s="1821"/>
      <c r="CD4587" s="1821"/>
      <c r="CE4587" s="1821"/>
      <c r="CF4587" s="1821"/>
      <c r="CG4587" s="1821"/>
      <c r="CH4587" s="1821"/>
      <c r="CI4587" s="1821"/>
      <c r="CJ4587" s="1821"/>
      <c r="CK4587" s="1821"/>
    </row>
    <row r="4588" spans="1:89" s="675" customFormat="1" ht="16.5" customHeight="1" x14ac:dyDescent="0.25">
      <c r="A4588" s="849"/>
      <c r="B4588" s="1061" t="s">
        <v>2247</v>
      </c>
      <c r="C4588" s="835"/>
      <c r="D4588" s="1062"/>
      <c r="E4588" s="825"/>
      <c r="F4588" s="825"/>
      <c r="G4588" s="825"/>
      <c r="H4588" s="825"/>
      <c r="I4588" s="825"/>
      <c r="J4588" s="825">
        <f t="shared" si="523"/>
        <v>0</v>
      </c>
      <c r="K4588" s="825">
        <f t="shared" si="526"/>
        <v>0</v>
      </c>
      <c r="L4588" s="825"/>
      <c r="M4588" s="825"/>
      <c r="N4588" s="825"/>
      <c r="O4588" s="826">
        <f t="shared" si="525"/>
        <v>0</v>
      </c>
      <c r="P4588" s="702"/>
      <c r="Q4588" s="1821"/>
      <c r="R4588" s="1821"/>
      <c r="S4588" s="1821"/>
      <c r="T4588" s="1821"/>
      <c r="U4588" s="1821"/>
      <c r="V4588" s="1821"/>
      <c r="W4588" s="1821"/>
      <c r="X4588" s="1821"/>
      <c r="Y4588" s="1821"/>
      <c r="Z4588" s="1821"/>
      <c r="AA4588" s="1821"/>
      <c r="AB4588" s="1821"/>
      <c r="AC4588" s="1821"/>
      <c r="AD4588" s="1821"/>
      <c r="AE4588" s="1821"/>
      <c r="AF4588" s="1821"/>
      <c r="AG4588" s="1821"/>
      <c r="AH4588" s="1821"/>
      <c r="AI4588" s="1821"/>
      <c r="AJ4588" s="1821"/>
      <c r="AK4588" s="1821"/>
      <c r="AL4588" s="1821"/>
      <c r="AM4588" s="1821"/>
      <c r="AN4588" s="1821"/>
      <c r="AO4588" s="1821"/>
      <c r="AP4588" s="1821"/>
      <c r="AQ4588" s="1821"/>
      <c r="AR4588" s="1821"/>
      <c r="AS4588" s="1821"/>
      <c r="AT4588" s="1821"/>
      <c r="AU4588" s="1821"/>
      <c r="AV4588" s="1821"/>
      <c r="AW4588" s="1821"/>
      <c r="AX4588" s="1821"/>
      <c r="AY4588" s="1821"/>
      <c r="AZ4588" s="1821"/>
      <c r="BA4588" s="1821"/>
      <c r="BB4588" s="1821"/>
      <c r="BC4588" s="1821"/>
      <c r="BD4588" s="1821"/>
      <c r="BE4588" s="1821"/>
      <c r="BF4588" s="1821"/>
      <c r="BG4588" s="1821"/>
      <c r="BH4588" s="1821"/>
      <c r="BI4588" s="1821"/>
      <c r="BJ4588" s="1821"/>
      <c r="BK4588" s="1821"/>
      <c r="BL4588" s="1821"/>
      <c r="BM4588" s="1821"/>
      <c r="BN4588" s="1821"/>
      <c r="BO4588" s="1821"/>
      <c r="BP4588" s="1821"/>
      <c r="BQ4588" s="1821"/>
      <c r="BR4588" s="1821"/>
      <c r="BS4588" s="1821"/>
      <c r="BT4588" s="1821"/>
      <c r="BU4588" s="1821"/>
      <c r="BV4588" s="1821"/>
      <c r="BW4588" s="1821"/>
      <c r="BX4588" s="1821"/>
      <c r="BY4588" s="1821"/>
      <c r="BZ4588" s="1821"/>
      <c r="CA4588" s="1821"/>
      <c r="CB4588" s="1821"/>
      <c r="CC4588" s="1821"/>
      <c r="CD4588" s="1821"/>
      <c r="CE4588" s="1821"/>
      <c r="CF4588" s="1821"/>
      <c r="CG4588" s="1821"/>
      <c r="CH4588" s="1821"/>
      <c r="CI4588" s="1821"/>
      <c r="CJ4588" s="1821"/>
      <c r="CK4588" s="1821"/>
    </row>
    <row r="4589" spans="1:89" s="675" customFormat="1" ht="16.5" customHeight="1" x14ac:dyDescent="0.25">
      <c r="A4589" s="849"/>
      <c r="B4589" s="1061" t="s">
        <v>1420</v>
      </c>
      <c r="C4589" s="835">
        <v>1</v>
      </c>
      <c r="D4589" s="1062" t="s">
        <v>25</v>
      </c>
      <c r="E4589" s="825">
        <v>600000</v>
      </c>
      <c r="F4589" s="825"/>
      <c r="G4589" s="825"/>
      <c r="H4589" s="825"/>
      <c r="I4589" s="825"/>
      <c r="J4589" s="825">
        <f t="shared" si="523"/>
        <v>600000</v>
      </c>
      <c r="K4589" s="825">
        <f t="shared" si="526"/>
        <v>600000</v>
      </c>
      <c r="L4589" s="825"/>
      <c r="M4589" s="825"/>
      <c r="N4589" s="825"/>
      <c r="O4589" s="826">
        <f t="shared" si="525"/>
        <v>600000</v>
      </c>
      <c r="P4589" s="702"/>
      <c r="Q4589" s="1821"/>
      <c r="R4589" s="1821"/>
      <c r="S4589" s="1821"/>
      <c r="T4589" s="1821"/>
      <c r="U4589" s="1821"/>
      <c r="V4589" s="1821"/>
      <c r="W4589" s="1821"/>
      <c r="X4589" s="1821"/>
      <c r="Y4589" s="1821"/>
      <c r="Z4589" s="1821"/>
      <c r="AA4589" s="1821"/>
      <c r="AB4589" s="1821"/>
      <c r="AC4589" s="1821"/>
      <c r="AD4589" s="1821"/>
      <c r="AE4589" s="1821"/>
      <c r="AF4589" s="1821"/>
      <c r="AG4589" s="1821"/>
      <c r="AH4589" s="1821"/>
      <c r="AI4589" s="1821"/>
      <c r="AJ4589" s="1821"/>
      <c r="AK4589" s="1821"/>
      <c r="AL4589" s="1821"/>
      <c r="AM4589" s="1821"/>
      <c r="AN4589" s="1821"/>
      <c r="AO4589" s="1821"/>
      <c r="AP4589" s="1821"/>
      <c r="AQ4589" s="1821"/>
      <c r="AR4589" s="1821"/>
      <c r="AS4589" s="1821"/>
      <c r="AT4589" s="1821"/>
      <c r="AU4589" s="1821"/>
      <c r="AV4589" s="1821"/>
      <c r="AW4589" s="1821"/>
      <c r="AX4589" s="1821"/>
      <c r="AY4589" s="1821"/>
      <c r="AZ4589" s="1821"/>
      <c r="BA4589" s="1821"/>
      <c r="BB4589" s="1821"/>
      <c r="BC4589" s="1821"/>
      <c r="BD4589" s="1821"/>
      <c r="BE4589" s="1821"/>
      <c r="BF4589" s="1821"/>
      <c r="BG4589" s="1821"/>
      <c r="BH4589" s="1821"/>
      <c r="BI4589" s="1821"/>
      <c r="BJ4589" s="1821"/>
      <c r="BK4589" s="1821"/>
      <c r="BL4589" s="1821"/>
      <c r="BM4589" s="1821"/>
      <c r="BN4589" s="1821"/>
      <c r="BO4589" s="1821"/>
      <c r="BP4589" s="1821"/>
      <c r="BQ4589" s="1821"/>
      <c r="BR4589" s="1821"/>
      <c r="BS4589" s="1821"/>
      <c r="BT4589" s="1821"/>
      <c r="BU4589" s="1821"/>
      <c r="BV4589" s="1821"/>
      <c r="BW4589" s="1821"/>
      <c r="BX4589" s="1821"/>
      <c r="BY4589" s="1821"/>
      <c r="BZ4589" s="1821"/>
      <c r="CA4589" s="1821"/>
      <c r="CB4589" s="1821"/>
      <c r="CC4589" s="1821"/>
      <c r="CD4589" s="1821"/>
      <c r="CE4589" s="1821"/>
      <c r="CF4589" s="1821"/>
      <c r="CG4589" s="1821"/>
      <c r="CH4589" s="1821"/>
      <c r="CI4589" s="1821"/>
      <c r="CJ4589" s="1821"/>
      <c r="CK4589" s="1821"/>
    </row>
    <row r="4590" spans="1:89" s="675" customFormat="1" ht="16.5" customHeight="1" x14ac:dyDescent="0.25">
      <c r="A4590" s="849"/>
      <c r="B4590" s="1061" t="s">
        <v>1421</v>
      </c>
      <c r="C4590" s="835">
        <v>1</v>
      </c>
      <c r="D4590" s="1062" t="s">
        <v>25</v>
      </c>
      <c r="E4590" s="825">
        <v>700000</v>
      </c>
      <c r="F4590" s="825"/>
      <c r="G4590" s="825"/>
      <c r="H4590" s="825"/>
      <c r="I4590" s="825"/>
      <c r="J4590" s="825">
        <f t="shared" si="523"/>
        <v>700000</v>
      </c>
      <c r="K4590" s="825">
        <f t="shared" si="526"/>
        <v>700000</v>
      </c>
      <c r="L4590" s="825"/>
      <c r="M4590" s="825"/>
      <c r="N4590" s="825"/>
      <c r="O4590" s="826">
        <f t="shared" si="525"/>
        <v>700000</v>
      </c>
      <c r="P4590" s="702"/>
      <c r="Q4590" s="1821"/>
      <c r="R4590" s="1821"/>
      <c r="S4590" s="1821"/>
      <c r="T4590" s="1821"/>
      <c r="U4590" s="1821"/>
      <c r="V4590" s="1821"/>
      <c r="W4590" s="1821"/>
      <c r="X4590" s="1821"/>
      <c r="Y4590" s="1821"/>
      <c r="Z4590" s="1821"/>
      <c r="AA4590" s="1821"/>
      <c r="AB4590" s="1821"/>
      <c r="AC4590" s="1821"/>
      <c r="AD4590" s="1821"/>
      <c r="AE4590" s="1821"/>
      <c r="AF4590" s="1821"/>
      <c r="AG4590" s="1821"/>
      <c r="AH4590" s="1821"/>
      <c r="AI4590" s="1821"/>
      <c r="AJ4590" s="1821"/>
      <c r="AK4590" s="1821"/>
      <c r="AL4590" s="1821"/>
      <c r="AM4590" s="1821"/>
      <c r="AN4590" s="1821"/>
      <c r="AO4590" s="1821"/>
      <c r="AP4590" s="1821"/>
      <c r="AQ4590" s="1821"/>
      <c r="AR4590" s="1821"/>
      <c r="AS4590" s="1821"/>
      <c r="AT4590" s="1821"/>
      <c r="AU4590" s="1821"/>
      <c r="AV4590" s="1821"/>
      <c r="AW4590" s="1821"/>
      <c r="AX4590" s="1821"/>
      <c r="AY4590" s="1821"/>
      <c r="AZ4590" s="1821"/>
      <c r="BA4590" s="1821"/>
      <c r="BB4590" s="1821"/>
      <c r="BC4590" s="1821"/>
      <c r="BD4590" s="1821"/>
      <c r="BE4590" s="1821"/>
      <c r="BF4590" s="1821"/>
      <c r="BG4590" s="1821"/>
      <c r="BH4590" s="1821"/>
      <c r="BI4590" s="1821"/>
      <c r="BJ4590" s="1821"/>
      <c r="BK4590" s="1821"/>
      <c r="BL4590" s="1821"/>
      <c r="BM4590" s="1821"/>
      <c r="BN4590" s="1821"/>
      <c r="BO4590" s="1821"/>
      <c r="BP4590" s="1821"/>
      <c r="BQ4590" s="1821"/>
      <c r="BR4590" s="1821"/>
      <c r="BS4590" s="1821"/>
      <c r="BT4590" s="1821"/>
      <c r="BU4590" s="1821"/>
      <c r="BV4590" s="1821"/>
      <c r="BW4590" s="1821"/>
      <c r="BX4590" s="1821"/>
      <c r="BY4590" s="1821"/>
      <c r="BZ4590" s="1821"/>
      <c r="CA4590" s="1821"/>
      <c r="CB4590" s="1821"/>
      <c r="CC4590" s="1821"/>
      <c r="CD4590" s="1821"/>
      <c r="CE4590" s="1821"/>
      <c r="CF4590" s="1821"/>
      <c r="CG4590" s="1821"/>
      <c r="CH4590" s="1821"/>
      <c r="CI4590" s="1821"/>
      <c r="CJ4590" s="1821"/>
      <c r="CK4590" s="1821"/>
    </row>
    <row r="4591" spans="1:89" s="675" customFormat="1" ht="16.5" customHeight="1" x14ac:dyDescent="0.25">
      <c r="A4591" s="849"/>
      <c r="B4591" s="1061" t="s">
        <v>553</v>
      </c>
      <c r="C4591" s="835">
        <v>1</v>
      </c>
      <c r="D4591" s="1062" t="s">
        <v>25</v>
      </c>
      <c r="E4591" s="825">
        <v>41700</v>
      </c>
      <c r="F4591" s="825"/>
      <c r="G4591" s="825"/>
      <c r="H4591" s="825"/>
      <c r="I4591" s="825"/>
      <c r="J4591" s="825">
        <f t="shared" si="523"/>
        <v>41700</v>
      </c>
      <c r="K4591" s="825">
        <f t="shared" si="526"/>
        <v>41700</v>
      </c>
      <c r="L4591" s="825"/>
      <c r="M4591" s="825"/>
      <c r="N4591" s="825"/>
      <c r="O4591" s="826">
        <f t="shared" si="525"/>
        <v>41700</v>
      </c>
      <c r="P4591" s="702"/>
      <c r="Q4591" s="1821"/>
      <c r="R4591" s="1821"/>
      <c r="S4591" s="1821"/>
      <c r="T4591" s="1821"/>
      <c r="U4591" s="1821"/>
      <c r="V4591" s="1821"/>
      <c r="W4591" s="1821"/>
      <c r="X4591" s="1821"/>
      <c r="Y4591" s="1821"/>
      <c r="Z4591" s="1821"/>
      <c r="AA4591" s="1821"/>
      <c r="AB4591" s="1821"/>
      <c r="AC4591" s="1821"/>
      <c r="AD4591" s="1821"/>
      <c r="AE4591" s="1821"/>
      <c r="AF4591" s="1821"/>
      <c r="AG4591" s="1821"/>
      <c r="AH4591" s="1821"/>
      <c r="AI4591" s="1821"/>
      <c r="AJ4591" s="1821"/>
      <c r="AK4591" s="1821"/>
      <c r="AL4591" s="1821"/>
      <c r="AM4591" s="1821"/>
      <c r="AN4591" s="1821"/>
      <c r="AO4591" s="1821"/>
      <c r="AP4591" s="1821"/>
      <c r="AQ4591" s="1821"/>
      <c r="AR4591" s="1821"/>
      <c r="AS4591" s="1821"/>
      <c r="AT4591" s="1821"/>
      <c r="AU4591" s="1821"/>
      <c r="AV4591" s="1821"/>
      <c r="AW4591" s="1821"/>
      <c r="AX4591" s="1821"/>
      <c r="AY4591" s="1821"/>
      <c r="AZ4591" s="1821"/>
      <c r="BA4591" s="1821"/>
      <c r="BB4591" s="1821"/>
      <c r="BC4591" s="1821"/>
      <c r="BD4591" s="1821"/>
      <c r="BE4591" s="1821"/>
      <c r="BF4591" s="1821"/>
      <c r="BG4591" s="1821"/>
      <c r="BH4591" s="1821"/>
      <c r="BI4591" s="1821"/>
      <c r="BJ4591" s="1821"/>
      <c r="BK4591" s="1821"/>
      <c r="BL4591" s="1821"/>
      <c r="BM4591" s="1821"/>
      <c r="BN4591" s="1821"/>
      <c r="BO4591" s="1821"/>
      <c r="BP4591" s="1821"/>
      <c r="BQ4591" s="1821"/>
      <c r="BR4591" s="1821"/>
      <c r="BS4591" s="1821"/>
      <c r="BT4591" s="1821"/>
      <c r="BU4591" s="1821"/>
      <c r="BV4591" s="1821"/>
      <c r="BW4591" s="1821"/>
      <c r="BX4591" s="1821"/>
      <c r="BY4591" s="1821"/>
      <c r="BZ4591" s="1821"/>
      <c r="CA4591" s="1821"/>
      <c r="CB4591" s="1821"/>
      <c r="CC4591" s="1821"/>
      <c r="CD4591" s="1821"/>
      <c r="CE4591" s="1821"/>
      <c r="CF4591" s="1821"/>
      <c r="CG4591" s="1821"/>
      <c r="CH4591" s="1821"/>
      <c r="CI4591" s="1821"/>
      <c r="CJ4591" s="1821"/>
      <c r="CK4591" s="1821"/>
    </row>
    <row r="4592" spans="1:89" s="675" customFormat="1" ht="16.5" customHeight="1" x14ac:dyDescent="0.25">
      <c r="A4592" s="849"/>
      <c r="B4592" s="1061" t="s">
        <v>554</v>
      </c>
      <c r="C4592" s="835">
        <v>1</v>
      </c>
      <c r="D4592" s="1062" t="s">
        <v>25</v>
      </c>
      <c r="E4592" s="825">
        <v>39000</v>
      </c>
      <c r="F4592" s="825"/>
      <c r="G4592" s="825"/>
      <c r="H4592" s="825"/>
      <c r="I4592" s="825"/>
      <c r="J4592" s="825">
        <f t="shared" si="523"/>
        <v>39000</v>
      </c>
      <c r="K4592" s="825">
        <f t="shared" si="526"/>
        <v>39000</v>
      </c>
      <c r="L4592" s="825"/>
      <c r="M4592" s="825"/>
      <c r="N4592" s="825"/>
      <c r="O4592" s="826">
        <f t="shared" si="525"/>
        <v>39000</v>
      </c>
      <c r="P4592" s="702"/>
      <c r="Q4592" s="1821"/>
      <c r="R4592" s="1821"/>
      <c r="S4592" s="1821"/>
      <c r="T4592" s="1821"/>
      <c r="U4592" s="1821"/>
      <c r="V4592" s="1821"/>
      <c r="W4592" s="1821"/>
      <c r="X4592" s="1821"/>
      <c r="Y4592" s="1821"/>
      <c r="Z4592" s="1821"/>
      <c r="AA4592" s="1821"/>
      <c r="AB4592" s="1821"/>
      <c r="AC4592" s="1821"/>
      <c r="AD4592" s="1821"/>
      <c r="AE4592" s="1821"/>
      <c r="AF4592" s="1821"/>
      <c r="AG4592" s="1821"/>
      <c r="AH4592" s="1821"/>
      <c r="AI4592" s="1821"/>
      <c r="AJ4592" s="1821"/>
      <c r="AK4592" s="1821"/>
      <c r="AL4592" s="1821"/>
      <c r="AM4592" s="1821"/>
      <c r="AN4592" s="1821"/>
      <c r="AO4592" s="1821"/>
      <c r="AP4592" s="1821"/>
      <c r="AQ4592" s="1821"/>
      <c r="AR4592" s="1821"/>
      <c r="AS4592" s="1821"/>
      <c r="AT4592" s="1821"/>
      <c r="AU4592" s="1821"/>
      <c r="AV4592" s="1821"/>
      <c r="AW4592" s="1821"/>
      <c r="AX4592" s="1821"/>
      <c r="AY4592" s="1821"/>
      <c r="AZ4592" s="1821"/>
      <c r="BA4592" s="1821"/>
      <c r="BB4592" s="1821"/>
      <c r="BC4592" s="1821"/>
      <c r="BD4592" s="1821"/>
      <c r="BE4592" s="1821"/>
      <c r="BF4592" s="1821"/>
      <c r="BG4592" s="1821"/>
      <c r="BH4592" s="1821"/>
      <c r="BI4592" s="1821"/>
      <c r="BJ4592" s="1821"/>
      <c r="BK4592" s="1821"/>
      <c r="BL4592" s="1821"/>
      <c r="BM4592" s="1821"/>
      <c r="BN4592" s="1821"/>
      <c r="BO4592" s="1821"/>
      <c r="BP4592" s="1821"/>
      <c r="BQ4592" s="1821"/>
      <c r="BR4592" s="1821"/>
      <c r="BS4592" s="1821"/>
      <c r="BT4592" s="1821"/>
      <c r="BU4592" s="1821"/>
      <c r="BV4592" s="1821"/>
      <c r="BW4592" s="1821"/>
      <c r="BX4592" s="1821"/>
      <c r="BY4592" s="1821"/>
      <c r="BZ4592" s="1821"/>
      <c r="CA4592" s="1821"/>
      <c r="CB4592" s="1821"/>
      <c r="CC4592" s="1821"/>
      <c r="CD4592" s="1821"/>
      <c r="CE4592" s="1821"/>
      <c r="CF4592" s="1821"/>
      <c r="CG4592" s="1821"/>
      <c r="CH4592" s="1821"/>
      <c r="CI4592" s="1821"/>
      <c r="CJ4592" s="1821"/>
      <c r="CK4592" s="1821"/>
    </row>
    <row r="4593" spans="1:89" s="675" customFormat="1" ht="16.5" customHeight="1" x14ac:dyDescent="0.25">
      <c r="A4593" s="849"/>
      <c r="B4593" s="1061" t="s">
        <v>555</v>
      </c>
      <c r="C4593" s="835">
        <v>1</v>
      </c>
      <c r="D4593" s="1062" t="s">
        <v>25</v>
      </c>
      <c r="E4593" s="825">
        <v>200000</v>
      </c>
      <c r="F4593" s="825"/>
      <c r="G4593" s="825"/>
      <c r="H4593" s="825"/>
      <c r="I4593" s="825"/>
      <c r="J4593" s="825">
        <f t="shared" si="523"/>
        <v>200000</v>
      </c>
      <c r="K4593" s="825">
        <f t="shared" si="526"/>
        <v>200000</v>
      </c>
      <c r="L4593" s="825"/>
      <c r="M4593" s="825"/>
      <c r="N4593" s="825"/>
      <c r="O4593" s="826">
        <f t="shared" si="525"/>
        <v>200000</v>
      </c>
      <c r="P4593" s="702"/>
      <c r="Q4593" s="1821"/>
      <c r="R4593" s="1821"/>
      <c r="S4593" s="1821"/>
      <c r="T4593" s="1821"/>
      <c r="U4593" s="1821"/>
      <c r="V4593" s="1821"/>
      <c r="W4593" s="1821"/>
      <c r="X4593" s="1821"/>
      <c r="Y4593" s="1821"/>
      <c r="Z4593" s="1821"/>
      <c r="AA4593" s="1821"/>
      <c r="AB4593" s="1821"/>
      <c r="AC4593" s="1821"/>
      <c r="AD4593" s="1821"/>
      <c r="AE4593" s="1821"/>
      <c r="AF4593" s="1821"/>
      <c r="AG4593" s="1821"/>
      <c r="AH4593" s="1821"/>
      <c r="AI4593" s="1821"/>
      <c r="AJ4593" s="1821"/>
      <c r="AK4593" s="1821"/>
      <c r="AL4593" s="1821"/>
      <c r="AM4593" s="1821"/>
      <c r="AN4593" s="1821"/>
      <c r="AO4593" s="1821"/>
      <c r="AP4593" s="1821"/>
      <c r="AQ4593" s="1821"/>
      <c r="AR4593" s="1821"/>
      <c r="AS4593" s="1821"/>
      <c r="AT4593" s="1821"/>
      <c r="AU4593" s="1821"/>
      <c r="AV4593" s="1821"/>
      <c r="AW4593" s="1821"/>
      <c r="AX4593" s="1821"/>
      <c r="AY4593" s="1821"/>
      <c r="AZ4593" s="1821"/>
      <c r="BA4593" s="1821"/>
      <c r="BB4593" s="1821"/>
      <c r="BC4593" s="1821"/>
      <c r="BD4593" s="1821"/>
      <c r="BE4593" s="1821"/>
      <c r="BF4593" s="1821"/>
      <c r="BG4593" s="1821"/>
      <c r="BH4593" s="1821"/>
      <c r="BI4593" s="1821"/>
      <c r="BJ4593" s="1821"/>
      <c r="BK4593" s="1821"/>
      <c r="BL4593" s="1821"/>
      <c r="BM4593" s="1821"/>
      <c r="BN4593" s="1821"/>
      <c r="BO4593" s="1821"/>
      <c r="BP4593" s="1821"/>
      <c r="BQ4593" s="1821"/>
      <c r="BR4593" s="1821"/>
      <c r="BS4593" s="1821"/>
      <c r="BT4593" s="1821"/>
      <c r="BU4593" s="1821"/>
      <c r="BV4593" s="1821"/>
      <c r="BW4593" s="1821"/>
      <c r="BX4593" s="1821"/>
      <c r="BY4593" s="1821"/>
      <c r="BZ4593" s="1821"/>
      <c r="CA4593" s="1821"/>
      <c r="CB4593" s="1821"/>
      <c r="CC4593" s="1821"/>
      <c r="CD4593" s="1821"/>
      <c r="CE4593" s="1821"/>
      <c r="CF4593" s="1821"/>
      <c r="CG4593" s="1821"/>
      <c r="CH4593" s="1821"/>
      <c r="CI4593" s="1821"/>
      <c r="CJ4593" s="1821"/>
      <c r="CK4593" s="1821"/>
    </row>
    <row r="4594" spans="1:89" s="675" customFormat="1" ht="16.5" customHeight="1" x14ac:dyDescent="0.25">
      <c r="A4594" s="849"/>
      <c r="B4594" s="1061" t="s">
        <v>556</v>
      </c>
      <c r="C4594" s="835">
        <v>1</v>
      </c>
      <c r="D4594" s="1062" t="s">
        <v>25</v>
      </c>
      <c r="E4594" s="825">
        <v>200000</v>
      </c>
      <c r="F4594" s="825"/>
      <c r="G4594" s="825"/>
      <c r="H4594" s="825"/>
      <c r="I4594" s="825"/>
      <c r="J4594" s="825">
        <f t="shared" si="523"/>
        <v>200000</v>
      </c>
      <c r="K4594" s="825">
        <f t="shared" si="526"/>
        <v>200000</v>
      </c>
      <c r="L4594" s="825"/>
      <c r="M4594" s="825"/>
      <c r="N4594" s="825"/>
      <c r="O4594" s="826">
        <f t="shared" si="525"/>
        <v>200000</v>
      </c>
      <c r="P4594" s="702"/>
      <c r="Q4594" s="1821"/>
      <c r="R4594" s="1821"/>
      <c r="S4594" s="1821"/>
      <c r="T4594" s="1821"/>
      <c r="U4594" s="1821"/>
      <c r="V4594" s="1821"/>
      <c r="W4594" s="1821"/>
      <c r="X4594" s="1821"/>
      <c r="Y4594" s="1821"/>
      <c r="Z4594" s="1821"/>
      <c r="AA4594" s="1821"/>
      <c r="AB4594" s="1821"/>
      <c r="AC4594" s="1821"/>
      <c r="AD4594" s="1821"/>
      <c r="AE4594" s="1821"/>
      <c r="AF4594" s="1821"/>
      <c r="AG4594" s="1821"/>
      <c r="AH4594" s="1821"/>
      <c r="AI4594" s="1821"/>
      <c r="AJ4594" s="1821"/>
      <c r="AK4594" s="1821"/>
      <c r="AL4594" s="1821"/>
      <c r="AM4594" s="1821"/>
      <c r="AN4594" s="1821"/>
      <c r="AO4594" s="1821"/>
      <c r="AP4594" s="1821"/>
      <c r="AQ4594" s="1821"/>
      <c r="AR4594" s="1821"/>
      <c r="AS4594" s="1821"/>
      <c r="AT4594" s="1821"/>
      <c r="AU4594" s="1821"/>
      <c r="AV4594" s="1821"/>
      <c r="AW4594" s="1821"/>
      <c r="AX4594" s="1821"/>
      <c r="AY4594" s="1821"/>
      <c r="AZ4594" s="1821"/>
      <c r="BA4594" s="1821"/>
      <c r="BB4594" s="1821"/>
      <c r="BC4594" s="1821"/>
      <c r="BD4594" s="1821"/>
      <c r="BE4594" s="1821"/>
      <c r="BF4594" s="1821"/>
      <c r="BG4594" s="1821"/>
      <c r="BH4594" s="1821"/>
      <c r="BI4594" s="1821"/>
      <c r="BJ4594" s="1821"/>
      <c r="BK4594" s="1821"/>
      <c r="BL4594" s="1821"/>
      <c r="BM4594" s="1821"/>
      <c r="BN4594" s="1821"/>
      <c r="BO4594" s="1821"/>
      <c r="BP4594" s="1821"/>
      <c r="BQ4594" s="1821"/>
      <c r="BR4594" s="1821"/>
      <c r="BS4594" s="1821"/>
      <c r="BT4594" s="1821"/>
      <c r="BU4594" s="1821"/>
      <c r="BV4594" s="1821"/>
      <c r="BW4594" s="1821"/>
      <c r="BX4594" s="1821"/>
      <c r="BY4594" s="1821"/>
      <c r="BZ4594" s="1821"/>
      <c r="CA4594" s="1821"/>
      <c r="CB4594" s="1821"/>
      <c r="CC4594" s="1821"/>
      <c r="CD4594" s="1821"/>
      <c r="CE4594" s="1821"/>
      <c r="CF4594" s="1821"/>
      <c r="CG4594" s="1821"/>
      <c r="CH4594" s="1821"/>
      <c r="CI4594" s="1821"/>
      <c r="CJ4594" s="1821"/>
      <c r="CK4594" s="1821"/>
    </row>
    <row r="4595" spans="1:89" s="675" customFormat="1" ht="16.5" customHeight="1" x14ac:dyDescent="0.25">
      <c r="A4595" s="849"/>
      <c r="B4595" s="1061" t="s">
        <v>557</v>
      </c>
      <c r="C4595" s="835">
        <v>1</v>
      </c>
      <c r="D4595" s="1062" t="s">
        <v>25</v>
      </c>
      <c r="E4595" s="825">
        <v>200000</v>
      </c>
      <c r="F4595" s="825"/>
      <c r="G4595" s="825"/>
      <c r="H4595" s="825"/>
      <c r="I4595" s="825"/>
      <c r="J4595" s="825"/>
      <c r="K4595" s="825">
        <f>J4595+I4595</f>
        <v>0</v>
      </c>
      <c r="L4595" s="825"/>
      <c r="M4595" s="825">
        <f>E4595*C4595</f>
        <v>200000</v>
      </c>
      <c r="N4595" s="825">
        <f>M4595+L4595</f>
        <v>200000</v>
      </c>
      <c r="O4595" s="826">
        <f>N4595+K4595+H4595</f>
        <v>200000</v>
      </c>
      <c r="P4595" s="702"/>
      <c r="Q4595" s="1821"/>
      <c r="R4595" s="1821"/>
      <c r="S4595" s="1821"/>
      <c r="T4595" s="1821"/>
      <c r="U4595" s="1821"/>
      <c r="V4595" s="1821"/>
      <c r="W4595" s="1821"/>
      <c r="X4595" s="1821"/>
      <c r="Y4595" s="1821"/>
      <c r="Z4595" s="1821"/>
      <c r="AA4595" s="1821"/>
      <c r="AB4595" s="1821"/>
      <c r="AC4595" s="1821"/>
      <c r="AD4595" s="1821"/>
      <c r="AE4595" s="1821"/>
      <c r="AF4595" s="1821"/>
      <c r="AG4595" s="1821"/>
      <c r="AH4595" s="1821"/>
      <c r="AI4595" s="1821"/>
      <c r="AJ4595" s="1821"/>
      <c r="AK4595" s="1821"/>
      <c r="AL4595" s="1821"/>
      <c r="AM4595" s="1821"/>
      <c r="AN4595" s="1821"/>
      <c r="AO4595" s="1821"/>
      <c r="AP4595" s="1821"/>
      <c r="AQ4595" s="1821"/>
      <c r="AR4595" s="1821"/>
      <c r="AS4595" s="1821"/>
      <c r="AT4595" s="1821"/>
      <c r="AU4595" s="1821"/>
      <c r="AV4595" s="1821"/>
      <c r="AW4595" s="1821"/>
      <c r="AX4595" s="1821"/>
      <c r="AY4595" s="1821"/>
      <c r="AZ4595" s="1821"/>
      <c r="BA4595" s="1821"/>
      <c r="BB4595" s="1821"/>
      <c r="BC4595" s="1821"/>
      <c r="BD4595" s="1821"/>
      <c r="BE4595" s="1821"/>
      <c r="BF4595" s="1821"/>
      <c r="BG4595" s="1821"/>
      <c r="BH4595" s="1821"/>
      <c r="BI4595" s="1821"/>
      <c r="BJ4595" s="1821"/>
      <c r="BK4595" s="1821"/>
      <c r="BL4595" s="1821"/>
      <c r="BM4595" s="1821"/>
      <c r="BN4595" s="1821"/>
      <c r="BO4595" s="1821"/>
      <c r="BP4595" s="1821"/>
      <c r="BQ4595" s="1821"/>
      <c r="BR4595" s="1821"/>
      <c r="BS4595" s="1821"/>
      <c r="BT4595" s="1821"/>
      <c r="BU4595" s="1821"/>
      <c r="BV4595" s="1821"/>
      <c r="BW4595" s="1821"/>
      <c r="BX4595" s="1821"/>
      <c r="BY4595" s="1821"/>
      <c r="BZ4595" s="1821"/>
      <c r="CA4595" s="1821"/>
      <c r="CB4595" s="1821"/>
      <c r="CC4595" s="1821"/>
      <c r="CD4595" s="1821"/>
      <c r="CE4595" s="1821"/>
      <c r="CF4595" s="1821"/>
      <c r="CG4595" s="1821"/>
      <c r="CH4595" s="1821"/>
      <c r="CI4595" s="1821"/>
      <c r="CJ4595" s="1821"/>
      <c r="CK4595" s="1821"/>
    </row>
    <row r="4596" spans="1:89" s="675" customFormat="1" ht="16.5" customHeight="1" x14ac:dyDescent="0.25">
      <c r="A4596" s="849"/>
      <c r="B4596" s="1061" t="s">
        <v>558</v>
      </c>
      <c r="C4596" s="835">
        <v>1</v>
      </c>
      <c r="D4596" s="1062" t="s">
        <v>25</v>
      </c>
      <c r="E4596" s="825">
        <v>200000</v>
      </c>
      <c r="F4596" s="825"/>
      <c r="G4596" s="825"/>
      <c r="H4596" s="825"/>
      <c r="I4596" s="825"/>
      <c r="J4596" s="825">
        <f t="shared" si="523"/>
        <v>200000</v>
      </c>
      <c r="K4596" s="825">
        <f t="shared" si="526"/>
        <v>200000</v>
      </c>
      <c r="L4596" s="825"/>
      <c r="M4596" s="825"/>
      <c r="N4596" s="825"/>
      <c r="O4596" s="826">
        <f t="shared" si="525"/>
        <v>200000</v>
      </c>
      <c r="P4596" s="702"/>
      <c r="Q4596" s="1821"/>
      <c r="R4596" s="1821"/>
      <c r="S4596" s="1821"/>
      <c r="T4596" s="1821"/>
      <c r="U4596" s="1821"/>
      <c r="V4596" s="1821"/>
      <c r="W4596" s="1821"/>
      <c r="X4596" s="1821"/>
      <c r="Y4596" s="1821"/>
      <c r="Z4596" s="1821"/>
      <c r="AA4596" s="1821"/>
      <c r="AB4596" s="1821"/>
      <c r="AC4596" s="1821"/>
      <c r="AD4596" s="1821"/>
      <c r="AE4596" s="1821"/>
      <c r="AF4596" s="1821"/>
      <c r="AG4596" s="1821"/>
      <c r="AH4596" s="1821"/>
      <c r="AI4596" s="1821"/>
      <c r="AJ4596" s="1821"/>
      <c r="AK4596" s="1821"/>
      <c r="AL4596" s="1821"/>
      <c r="AM4596" s="1821"/>
      <c r="AN4596" s="1821"/>
      <c r="AO4596" s="1821"/>
      <c r="AP4596" s="1821"/>
      <c r="AQ4596" s="1821"/>
      <c r="AR4596" s="1821"/>
      <c r="AS4596" s="1821"/>
      <c r="AT4596" s="1821"/>
      <c r="AU4596" s="1821"/>
      <c r="AV4596" s="1821"/>
      <c r="AW4596" s="1821"/>
      <c r="AX4596" s="1821"/>
      <c r="AY4596" s="1821"/>
      <c r="AZ4596" s="1821"/>
      <c r="BA4596" s="1821"/>
      <c r="BB4596" s="1821"/>
      <c r="BC4596" s="1821"/>
      <c r="BD4596" s="1821"/>
      <c r="BE4596" s="1821"/>
      <c r="BF4596" s="1821"/>
      <c r="BG4596" s="1821"/>
      <c r="BH4596" s="1821"/>
      <c r="BI4596" s="1821"/>
      <c r="BJ4596" s="1821"/>
      <c r="BK4596" s="1821"/>
      <c r="BL4596" s="1821"/>
      <c r="BM4596" s="1821"/>
      <c r="BN4596" s="1821"/>
      <c r="BO4596" s="1821"/>
      <c r="BP4596" s="1821"/>
      <c r="BQ4596" s="1821"/>
      <c r="BR4596" s="1821"/>
      <c r="BS4596" s="1821"/>
      <c r="BT4596" s="1821"/>
      <c r="BU4596" s="1821"/>
      <c r="BV4596" s="1821"/>
      <c r="BW4596" s="1821"/>
      <c r="BX4596" s="1821"/>
      <c r="BY4596" s="1821"/>
      <c r="BZ4596" s="1821"/>
      <c r="CA4596" s="1821"/>
      <c r="CB4596" s="1821"/>
      <c r="CC4596" s="1821"/>
      <c r="CD4596" s="1821"/>
      <c r="CE4596" s="1821"/>
      <c r="CF4596" s="1821"/>
      <c r="CG4596" s="1821"/>
      <c r="CH4596" s="1821"/>
      <c r="CI4596" s="1821"/>
      <c r="CJ4596" s="1821"/>
      <c r="CK4596" s="1821"/>
    </row>
    <row r="4597" spans="1:89" s="675" customFormat="1" ht="16.5" customHeight="1" x14ac:dyDescent="0.25">
      <c r="A4597" s="849"/>
      <c r="B4597" s="1061" t="s">
        <v>559</v>
      </c>
      <c r="C4597" s="835">
        <v>1</v>
      </c>
      <c r="D4597" s="1062" t="s">
        <v>25</v>
      </c>
      <c r="E4597" s="825">
        <v>28720</v>
      </c>
      <c r="F4597" s="825"/>
      <c r="G4597" s="825"/>
      <c r="H4597" s="825"/>
      <c r="I4597" s="825"/>
      <c r="J4597" s="825">
        <f>E4597*C4597</f>
        <v>28720</v>
      </c>
      <c r="K4597" s="825">
        <f>J4597+I4597</f>
        <v>28720</v>
      </c>
      <c r="L4597" s="825"/>
      <c r="M4597" s="825"/>
      <c r="N4597" s="825"/>
      <c r="O4597" s="826">
        <f>N4597+K4597+H4597</f>
        <v>28720</v>
      </c>
      <c r="P4597" s="702"/>
      <c r="Q4597" s="1821"/>
      <c r="R4597" s="1821"/>
      <c r="S4597" s="1821"/>
      <c r="T4597" s="1821"/>
      <c r="U4597" s="1821"/>
      <c r="V4597" s="1821"/>
      <c r="W4597" s="1821"/>
      <c r="X4597" s="1821"/>
      <c r="Y4597" s="1821"/>
      <c r="Z4597" s="1821"/>
      <c r="AA4597" s="1821"/>
      <c r="AB4597" s="1821"/>
      <c r="AC4597" s="1821"/>
      <c r="AD4597" s="1821"/>
      <c r="AE4597" s="1821"/>
      <c r="AF4597" s="1821"/>
      <c r="AG4597" s="1821"/>
      <c r="AH4597" s="1821"/>
      <c r="AI4597" s="1821"/>
      <c r="AJ4597" s="1821"/>
      <c r="AK4597" s="1821"/>
      <c r="AL4597" s="1821"/>
      <c r="AM4597" s="1821"/>
      <c r="AN4597" s="1821"/>
      <c r="AO4597" s="1821"/>
      <c r="AP4597" s="1821"/>
      <c r="AQ4597" s="1821"/>
      <c r="AR4597" s="1821"/>
      <c r="AS4597" s="1821"/>
      <c r="AT4597" s="1821"/>
      <c r="AU4597" s="1821"/>
      <c r="AV4597" s="1821"/>
      <c r="AW4597" s="1821"/>
      <c r="AX4597" s="1821"/>
      <c r="AY4597" s="1821"/>
      <c r="AZ4597" s="1821"/>
      <c r="BA4597" s="1821"/>
      <c r="BB4597" s="1821"/>
      <c r="BC4597" s="1821"/>
      <c r="BD4597" s="1821"/>
      <c r="BE4597" s="1821"/>
      <c r="BF4597" s="1821"/>
      <c r="BG4597" s="1821"/>
      <c r="BH4597" s="1821"/>
      <c r="BI4597" s="1821"/>
      <c r="BJ4597" s="1821"/>
      <c r="BK4597" s="1821"/>
      <c r="BL4597" s="1821"/>
      <c r="BM4597" s="1821"/>
      <c r="BN4597" s="1821"/>
      <c r="BO4597" s="1821"/>
      <c r="BP4597" s="1821"/>
      <c r="BQ4597" s="1821"/>
      <c r="BR4597" s="1821"/>
      <c r="BS4597" s="1821"/>
      <c r="BT4597" s="1821"/>
      <c r="BU4597" s="1821"/>
      <c r="BV4597" s="1821"/>
      <c r="BW4597" s="1821"/>
      <c r="BX4597" s="1821"/>
      <c r="BY4597" s="1821"/>
      <c r="BZ4597" s="1821"/>
      <c r="CA4597" s="1821"/>
      <c r="CB4597" s="1821"/>
      <c r="CC4597" s="1821"/>
      <c r="CD4597" s="1821"/>
      <c r="CE4597" s="1821"/>
      <c r="CF4597" s="1821"/>
      <c r="CG4597" s="1821"/>
      <c r="CH4597" s="1821"/>
      <c r="CI4597" s="1821"/>
      <c r="CJ4597" s="1821"/>
      <c r="CK4597" s="1821"/>
    </row>
    <row r="4598" spans="1:89" s="675" customFormat="1" ht="16.5" customHeight="1" x14ac:dyDescent="0.25">
      <c r="A4598" s="849"/>
      <c r="B4598" s="1714" t="s">
        <v>2333</v>
      </c>
      <c r="C4598" s="835">
        <v>1</v>
      </c>
      <c r="D4598" s="1062" t="s">
        <v>25</v>
      </c>
      <c r="E4598" s="825">
        <v>11280</v>
      </c>
      <c r="F4598" s="825"/>
      <c r="G4598" s="825"/>
      <c r="H4598" s="825"/>
      <c r="I4598" s="825"/>
      <c r="J4598" s="825"/>
      <c r="K4598" s="825">
        <f>J4598+I4598</f>
        <v>0</v>
      </c>
      <c r="L4598" s="825"/>
      <c r="M4598" s="825">
        <f>E4598*C4598</f>
        <v>11280</v>
      </c>
      <c r="N4598" s="825">
        <f>M4598+L4598</f>
        <v>11280</v>
      </c>
      <c r="O4598" s="826">
        <f t="shared" si="525"/>
        <v>11280</v>
      </c>
      <c r="P4598" s="702"/>
      <c r="Q4598" s="1821"/>
      <c r="R4598" s="1821"/>
      <c r="S4598" s="1821"/>
      <c r="T4598" s="1821"/>
      <c r="U4598" s="1821"/>
      <c r="V4598" s="1821"/>
      <c r="W4598" s="1821"/>
      <c r="X4598" s="1821"/>
      <c r="Y4598" s="1821"/>
      <c r="Z4598" s="1821"/>
      <c r="AA4598" s="1821"/>
      <c r="AB4598" s="1821"/>
      <c r="AC4598" s="1821"/>
      <c r="AD4598" s="1821"/>
      <c r="AE4598" s="1821"/>
      <c r="AF4598" s="1821"/>
      <c r="AG4598" s="1821"/>
      <c r="AH4598" s="1821"/>
      <c r="AI4598" s="1821"/>
      <c r="AJ4598" s="1821"/>
      <c r="AK4598" s="1821"/>
      <c r="AL4598" s="1821"/>
      <c r="AM4598" s="1821"/>
      <c r="AN4598" s="1821"/>
      <c r="AO4598" s="1821"/>
      <c r="AP4598" s="1821"/>
      <c r="AQ4598" s="1821"/>
      <c r="AR4598" s="1821"/>
      <c r="AS4598" s="1821"/>
      <c r="AT4598" s="1821"/>
      <c r="AU4598" s="1821"/>
      <c r="AV4598" s="1821"/>
      <c r="AW4598" s="1821"/>
      <c r="AX4598" s="1821"/>
      <c r="AY4598" s="1821"/>
      <c r="AZ4598" s="1821"/>
      <c r="BA4598" s="1821"/>
      <c r="BB4598" s="1821"/>
      <c r="BC4598" s="1821"/>
      <c r="BD4598" s="1821"/>
      <c r="BE4598" s="1821"/>
      <c r="BF4598" s="1821"/>
      <c r="BG4598" s="1821"/>
      <c r="BH4598" s="1821"/>
      <c r="BI4598" s="1821"/>
      <c r="BJ4598" s="1821"/>
      <c r="BK4598" s="1821"/>
      <c r="BL4598" s="1821"/>
      <c r="BM4598" s="1821"/>
      <c r="BN4598" s="1821"/>
      <c r="BO4598" s="1821"/>
      <c r="BP4598" s="1821"/>
      <c r="BQ4598" s="1821"/>
      <c r="BR4598" s="1821"/>
      <c r="BS4598" s="1821"/>
      <c r="BT4598" s="1821"/>
      <c r="BU4598" s="1821"/>
      <c r="BV4598" s="1821"/>
      <c r="BW4598" s="1821"/>
      <c r="BX4598" s="1821"/>
      <c r="BY4598" s="1821"/>
      <c r="BZ4598" s="1821"/>
      <c r="CA4598" s="1821"/>
      <c r="CB4598" s="1821"/>
      <c r="CC4598" s="1821"/>
      <c r="CD4598" s="1821"/>
      <c r="CE4598" s="1821"/>
      <c r="CF4598" s="1821"/>
      <c r="CG4598" s="1821"/>
      <c r="CH4598" s="1821"/>
      <c r="CI4598" s="1821"/>
      <c r="CJ4598" s="1821"/>
      <c r="CK4598" s="1821"/>
    </row>
    <row r="4599" spans="1:89" s="675" customFormat="1" ht="16.5" customHeight="1" x14ac:dyDescent="0.25">
      <c r="A4599" s="849"/>
      <c r="B4599" s="1061" t="s">
        <v>1422</v>
      </c>
      <c r="C4599" s="835">
        <v>1</v>
      </c>
      <c r="D4599" s="1062" t="s">
        <v>16</v>
      </c>
      <c r="E4599" s="825">
        <v>29150</v>
      </c>
      <c r="F4599" s="825"/>
      <c r="G4599" s="825"/>
      <c r="H4599" s="825"/>
      <c r="I4599" s="825"/>
      <c r="J4599" s="825">
        <f t="shared" si="523"/>
        <v>29150</v>
      </c>
      <c r="K4599" s="825">
        <f t="shared" si="526"/>
        <v>29150</v>
      </c>
      <c r="L4599" s="825"/>
      <c r="M4599" s="825"/>
      <c r="N4599" s="825"/>
      <c r="O4599" s="826">
        <f t="shared" si="525"/>
        <v>29150</v>
      </c>
      <c r="P4599" s="702"/>
      <c r="Q4599" s="1821"/>
      <c r="R4599" s="1821"/>
      <c r="S4599" s="1821"/>
      <c r="T4599" s="1821"/>
      <c r="U4599" s="1821"/>
      <c r="V4599" s="1821"/>
      <c r="W4599" s="1821"/>
      <c r="X4599" s="1821"/>
      <c r="Y4599" s="1821"/>
      <c r="Z4599" s="1821"/>
      <c r="AA4599" s="1821"/>
      <c r="AB4599" s="1821"/>
      <c r="AC4599" s="1821"/>
      <c r="AD4599" s="1821"/>
      <c r="AE4599" s="1821"/>
      <c r="AF4599" s="1821"/>
      <c r="AG4599" s="1821"/>
      <c r="AH4599" s="1821"/>
      <c r="AI4599" s="1821"/>
      <c r="AJ4599" s="1821"/>
      <c r="AK4599" s="1821"/>
      <c r="AL4599" s="1821"/>
      <c r="AM4599" s="1821"/>
      <c r="AN4599" s="1821"/>
      <c r="AO4599" s="1821"/>
      <c r="AP4599" s="1821"/>
      <c r="AQ4599" s="1821"/>
      <c r="AR4599" s="1821"/>
      <c r="AS4599" s="1821"/>
      <c r="AT4599" s="1821"/>
      <c r="AU4599" s="1821"/>
      <c r="AV4599" s="1821"/>
      <c r="AW4599" s="1821"/>
      <c r="AX4599" s="1821"/>
      <c r="AY4599" s="1821"/>
      <c r="AZ4599" s="1821"/>
      <c r="BA4599" s="1821"/>
      <c r="BB4599" s="1821"/>
      <c r="BC4599" s="1821"/>
      <c r="BD4599" s="1821"/>
      <c r="BE4599" s="1821"/>
      <c r="BF4599" s="1821"/>
      <c r="BG4599" s="1821"/>
      <c r="BH4599" s="1821"/>
      <c r="BI4599" s="1821"/>
      <c r="BJ4599" s="1821"/>
      <c r="BK4599" s="1821"/>
      <c r="BL4599" s="1821"/>
      <c r="BM4599" s="1821"/>
      <c r="BN4599" s="1821"/>
      <c r="BO4599" s="1821"/>
      <c r="BP4599" s="1821"/>
      <c r="BQ4599" s="1821"/>
      <c r="BR4599" s="1821"/>
      <c r="BS4599" s="1821"/>
      <c r="BT4599" s="1821"/>
      <c r="BU4599" s="1821"/>
      <c r="BV4599" s="1821"/>
      <c r="BW4599" s="1821"/>
      <c r="BX4599" s="1821"/>
      <c r="BY4599" s="1821"/>
      <c r="BZ4599" s="1821"/>
      <c r="CA4599" s="1821"/>
      <c r="CB4599" s="1821"/>
      <c r="CC4599" s="1821"/>
      <c r="CD4599" s="1821"/>
      <c r="CE4599" s="1821"/>
      <c r="CF4599" s="1821"/>
      <c r="CG4599" s="1821"/>
      <c r="CH4599" s="1821"/>
      <c r="CI4599" s="1821"/>
      <c r="CJ4599" s="1821"/>
      <c r="CK4599" s="1821"/>
    </row>
    <row r="4600" spans="1:89" s="675" customFormat="1" ht="16.5" customHeight="1" x14ac:dyDescent="0.25">
      <c r="A4600" s="849"/>
      <c r="B4600" s="1061" t="s">
        <v>1423</v>
      </c>
      <c r="C4600" s="835">
        <v>1</v>
      </c>
      <c r="D4600" s="1062" t="s">
        <v>16</v>
      </c>
      <c r="E4600" s="825">
        <v>20000</v>
      </c>
      <c r="F4600" s="825"/>
      <c r="G4600" s="825"/>
      <c r="H4600" s="825"/>
      <c r="I4600" s="825"/>
      <c r="J4600" s="825">
        <f t="shared" si="523"/>
        <v>20000</v>
      </c>
      <c r="K4600" s="825">
        <f t="shared" si="526"/>
        <v>20000</v>
      </c>
      <c r="L4600" s="825"/>
      <c r="M4600" s="825"/>
      <c r="N4600" s="825"/>
      <c r="O4600" s="826">
        <f t="shared" si="525"/>
        <v>20000</v>
      </c>
      <c r="P4600" s="702"/>
      <c r="Q4600" s="1821"/>
      <c r="R4600" s="1821"/>
      <c r="S4600" s="1821"/>
      <c r="T4600" s="1821"/>
      <c r="U4600" s="1821"/>
      <c r="V4600" s="1821"/>
      <c r="W4600" s="1821"/>
      <c r="X4600" s="1821"/>
      <c r="Y4600" s="1821"/>
      <c r="Z4600" s="1821"/>
      <c r="AA4600" s="1821"/>
      <c r="AB4600" s="1821"/>
      <c r="AC4600" s="1821"/>
      <c r="AD4600" s="1821"/>
      <c r="AE4600" s="1821"/>
      <c r="AF4600" s="1821"/>
      <c r="AG4600" s="1821"/>
      <c r="AH4600" s="1821"/>
      <c r="AI4600" s="1821"/>
      <c r="AJ4600" s="1821"/>
      <c r="AK4600" s="1821"/>
      <c r="AL4600" s="1821"/>
      <c r="AM4600" s="1821"/>
      <c r="AN4600" s="1821"/>
      <c r="AO4600" s="1821"/>
      <c r="AP4600" s="1821"/>
      <c r="AQ4600" s="1821"/>
      <c r="AR4600" s="1821"/>
      <c r="AS4600" s="1821"/>
      <c r="AT4600" s="1821"/>
      <c r="AU4600" s="1821"/>
      <c r="AV4600" s="1821"/>
      <c r="AW4600" s="1821"/>
      <c r="AX4600" s="1821"/>
      <c r="AY4600" s="1821"/>
      <c r="AZ4600" s="1821"/>
      <c r="BA4600" s="1821"/>
      <c r="BB4600" s="1821"/>
      <c r="BC4600" s="1821"/>
      <c r="BD4600" s="1821"/>
      <c r="BE4600" s="1821"/>
      <c r="BF4600" s="1821"/>
      <c r="BG4600" s="1821"/>
      <c r="BH4600" s="1821"/>
      <c r="BI4600" s="1821"/>
      <c r="BJ4600" s="1821"/>
      <c r="BK4600" s="1821"/>
      <c r="BL4600" s="1821"/>
      <c r="BM4600" s="1821"/>
      <c r="BN4600" s="1821"/>
      <c r="BO4600" s="1821"/>
      <c r="BP4600" s="1821"/>
      <c r="BQ4600" s="1821"/>
      <c r="BR4600" s="1821"/>
      <c r="BS4600" s="1821"/>
      <c r="BT4600" s="1821"/>
      <c r="BU4600" s="1821"/>
      <c r="BV4600" s="1821"/>
      <c r="BW4600" s="1821"/>
      <c r="BX4600" s="1821"/>
      <c r="BY4600" s="1821"/>
      <c r="BZ4600" s="1821"/>
      <c r="CA4600" s="1821"/>
      <c r="CB4600" s="1821"/>
      <c r="CC4600" s="1821"/>
      <c r="CD4600" s="1821"/>
      <c r="CE4600" s="1821"/>
      <c r="CF4600" s="1821"/>
      <c r="CG4600" s="1821"/>
      <c r="CH4600" s="1821"/>
      <c r="CI4600" s="1821"/>
      <c r="CJ4600" s="1821"/>
      <c r="CK4600" s="1821"/>
    </row>
    <row r="4601" spans="1:89" s="675" customFormat="1" ht="16.5" customHeight="1" x14ac:dyDescent="0.25">
      <c r="A4601" s="849"/>
      <c r="B4601" s="1061" t="s">
        <v>564</v>
      </c>
      <c r="C4601" s="835">
        <v>1</v>
      </c>
      <c r="D4601" s="1062" t="s">
        <v>25</v>
      </c>
      <c r="E4601" s="825">
        <v>50000</v>
      </c>
      <c r="F4601" s="825"/>
      <c r="G4601" s="825"/>
      <c r="H4601" s="825"/>
      <c r="I4601" s="825"/>
      <c r="J4601" s="825">
        <f t="shared" si="523"/>
        <v>50000</v>
      </c>
      <c r="K4601" s="825">
        <f t="shared" si="526"/>
        <v>50000</v>
      </c>
      <c r="L4601" s="825"/>
      <c r="M4601" s="825"/>
      <c r="N4601" s="825"/>
      <c r="O4601" s="826">
        <f t="shared" si="525"/>
        <v>50000</v>
      </c>
      <c r="P4601" s="702"/>
      <c r="Q4601" s="1821"/>
      <c r="R4601" s="1821"/>
      <c r="S4601" s="1821"/>
      <c r="T4601" s="1821"/>
      <c r="U4601" s="1821"/>
      <c r="V4601" s="1821"/>
      <c r="W4601" s="1821"/>
      <c r="X4601" s="1821"/>
      <c r="Y4601" s="1821"/>
      <c r="Z4601" s="1821"/>
      <c r="AA4601" s="1821"/>
      <c r="AB4601" s="1821"/>
      <c r="AC4601" s="1821"/>
      <c r="AD4601" s="1821"/>
      <c r="AE4601" s="1821"/>
      <c r="AF4601" s="1821"/>
      <c r="AG4601" s="1821"/>
      <c r="AH4601" s="1821"/>
      <c r="AI4601" s="1821"/>
      <c r="AJ4601" s="1821"/>
      <c r="AK4601" s="1821"/>
      <c r="AL4601" s="1821"/>
      <c r="AM4601" s="1821"/>
      <c r="AN4601" s="1821"/>
      <c r="AO4601" s="1821"/>
      <c r="AP4601" s="1821"/>
      <c r="AQ4601" s="1821"/>
      <c r="AR4601" s="1821"/>
      <c r="AS4601" s="1821"/>
      <c r="AT4601" s="1821"/>
      <c r="AU4601" s="1821"/>
      <c r="AV4601" s="1821"/>
      <c r="AW4601" s="1821"/>
      <c r="AX4601" s="1821"/>
      <c r="AY4601" s="1821"/>
      <c r="AZ4601" s="1821"/>
      <c r="BA4601" s="1821"/>
      <c r="BB4601" s="1821"/>
      <c r="BC4601" s="1821"/>
      <c r="BD4601" s="1821"/>
      <c r="BE4601" s="1821"/>
      <c r="BF4601" s="1821"/>
      <c r="BG4601" s="1821"/>
      <c r="BH4601" s="1821"/>
      <c r="BI4601" s="1821"/>
      <c r="BJ4601" s="1821"/>
      <c r="BK4601" s="1821"/>
      <c r="BL4601" s="1821"/>
      <c r="BM4601" s="1821"/>
      <c r="BN4601" s="1821"/>
      <c r="BO4601" s="1821"/>
      <c r="BP4601" s="1821"/>
      <c r="BQ4601" s="1821"/>
      <c r="BR4601" s="1821"/>
      <c r="BS4601" s="1821"/>
      <c r="BT4601" s="1821"/>
      <c r="BU4601" s="1821"/>
      <c r="BV4601" s="1821"/>
      <c r="BW4601" s="1821"/>
      <c r="BX4601" s="1821"/>
      <c r="BY4601" s="1821"/>
      <c r="BZ4601" s="1821"/>
      <c r="CA4601" s="1821"/>
      <c r="CB4601" s="1821"/>
      <c r="CC4601" s="1821"/>
      <c r="CD4601" s="1821"/>
      <c r="CE4601" s="1821"/>
      <c r="CF4601" s="1821"/>
      <c r="CG4601" s="1821"/>
      <c r="CH4601" s="1821"/>
      <c r="CI4601" s="1821"/>
      <c r="CJ4601" s="1821"/>
      <c r="CK4601" s="1821"/>
    </row>
    <row r="4602" spans="1:89" s="675" customFormat="1" ht="16.5" customHeight="1" x14ac:dyDescent="0.25">
      <c r="A4602" s="849"/>
      <c r="B4602" s="1061" t="s">
        <v>1424</v>
      </c>
      <c r="C4602" s="835">
        <v>1</v>
      </c>
      <c r="D4602" s="1062" t="s">
        <v>25</v>
      </c>
      <c r="E4602" s="825">
        <v>175000</v>
      </c>
      <c r="F4602" s="825"/>
      <c r="G4602" s="825"/>
      <c r="H4602" s="825"/>
      <c r="I4602" s="825"/>
      <c r="J4602" s="825">
        <f t="shared" si="523"/>
        <v>175000</v>
      </c>
      <c r="K4602" s="825">
        <f t="shared" si="526"/>
        <v>175000</v>
      </c>
      <c r="L4602" s="825"/>
      <c r="M4602" s="825"/>
      <c r="N4602" s="825"/>
      <c r="O4602" s="826">
        <f t="shared" si="525"/>
        <v>175000</v>
      </c>
      <c r="P4602" s="702"/>
      <c r="Q4602" s="1821"/>
      <c r="R4602" s="1821"/>
      <c r="S4602" s="1821"/>
      <c r="T4602" s="1821"/>
      <c r="U4602" s="1821"/>
      <c r="V4602" s="1821"/>
      <c r="W4602" s="1821"/>
      <c r="X4602" s="1821"/>
      <c r="Y4602" s="1821"/>
      <c r="Z4602" s="1821"/>
      <c r="AA4602" s="1821"/>
      <c r="AB4602" s="1821"/>
      <c r="AC4602" s="1821"/>
      <c r="AD4602" s="1821"/>
      <c r="AE4602" s="1821"/>
      <c r="AF4602" s="1821"/>
      <c r="AG4602" s="1821"/>
      <c r="AH4602" s="1821"/>
      <c r="AI4602" s="1821"/>
      <c r="AJ4602" s="1821"/>
      <c r="AK4602" s="1821"/>
      <c r="AL4602" s="1821"/>
      <c r="AM4602" s="1821"/>
      <c r="AN4602" s="1821"/>
      <c r="AO4602" s="1821"/>
      <c r="AP4602" s="1821"/>
      <c r="AQ4602" s="1821"/>
      <c r="AR4602" s="1821"/>
      <c r="AS4602" s="1821"/>
      <c r="AT4602" s="1821"/>
      <c r="AU4602" s="1821"/>
      <c r="AV4602" s="1821"/>
      <c r="AW4602" s="1821"/>
      <c r="AX4602" s="1821"/>
      <c r="AY4602" s="1821"/>
      <c r="AZ4602" s="1821"/>
      <c r="BA4602" s="1821"/>
      <c r="BB4602" s="1821"/>
      <c r="BC4602" s="1821"/>
      <c r="BD4602" s="1821"/>
      <c r="BE4602" s="1821"/>
      <c r="BF4602" s="1821"/>
      <c r="BG4602" s="1821"/>
      <c r="BH4602" s="1821"/>
      <c r="BI4602" s="1821"/>
      <c r="BJ4602" s="1821"/>
      <c r="BK4602" s="1821"/>
      <c r="BL4602" s="1821"/>
      <c r="BM4602" s="1821"/>
      <c r="BN4602" s="1821"/>
      <c r="BO4602" s="1821"/>
      <c r="BP4602" s="1821"/>
      <c r="BQ4602" s="1821"/>
      <c r="BR4602" s="1821"/>
      <c r="BS4602" s="1821"/>
      <c r="BT4602" s="1821"/>
      <c r="BU4602" s="1821"/>
      <c r="BV4602" s="1821"/>
      <c r="BW4602" s="1821"/>
      <c r="BX4602" s="1821"/>
      <c r="BY4602" s="1821"/>
      <c r="BZ4602" s="1821"/>
      <c r="CA4602" s="1821"/>
      <c r="CB4602" s="1821"/>
      <c r="CC4602" s="1821"/>
      <c r="CD4602" s="1821"/>
      <c r="CE4602" s="1821"/>
      <c r="CF4602" s="1821"/>
      <c r="CG4602" s="1821"/>
      <c r="CH4602" s="1821"/>
      <c r="CI4602" s="1821"/>
      <c r="CJ4602" s="1821"/>
      <c r="CK4602" s="1821"/>
    </row>
    <row r="4603" spans="1:89" s="675" customFormat="1" ht="16.5" customHeight="1" x14ac:dyDescent="0.25">
      <c r="A4603" s="849"/>
      <c r="B4603" s="1061" t="s">
        <v>566</v>
      </c>
      <c r="C4603" s="835">
        <v>1</v>
      </c>
      <c r="D4603" s="1062" t="s">
        <v>25</v>
      </c>
      <c r="E4603" s="825">
        <v>20560</v>
      </c>
      <c r="F4603" s="825"/>
      <c r="G4603" s="825"/>
      <c r="H4603" s="825"/>
      <c r="I4603" s="825"/>
      <c r="J4603" s="825">
        <f t="shared" si="523"/>
        <v>20560</v>
      </c>
      <c r="K4603" s="825">
        <f t="shared" si="526"/>
        <v>20560</v>
      </c>
      <c r="L4603" s="825"/>
      <c r="M4603" s="825"/>
      <c r="N4603" s="825"/>
      <c r="O4603" s="826">
        <f t="shared" si="525"/>
        <v>20560</v>
      </c>
      <c r="P4603" s="702"/>
      <c r="Q4603" s="1821"/>
      <c r="R4603" s="1821"/>
      <c r="S4603" s="1821"/>
      <c r="T4603" s="1821"/>
      <c r="U4603" s="1821"/>
      <c r="V4603" s="1821"/>
      <c r="W4603" s="1821"/>
      <c r="X4603" s="1821"/>
      <c r="Y4603" s="1821"/>
      <c r="Z4603" s="1821"/>
      <c r="AA4603" s="1821"/>
      <c r="AB4603" s="1821"/>
      <c r="AC4603" s="1821"/>
      <c r="AD4603" s="1821"/>
      <c r="AE4603" s="1821"/>
      <c r="AF4603" s="1821"/>
      <c r="AG4603" s="1821"/>
      <c r="AH4603" s="1821"/>
      <c r="AI4603" s="1821"/>
      <c r="AJ4603" s="1821"/>
      <c r="AK4603" s="1821"/>
      <c r="AL4603" s="1821"/>
      <c r="AM4603" s="1821"/>
      <c r="AN4603" s="1821"/>
      <c r="AO4603" s="1821"/>
      <c r="AP4603" s="1821"/>
      <c r="AQ4603" s="1821"/>
      <c r="AR4603" s="1821"/>
      <c r="AS4603" s="1821"/>
      <c r="AT4603" s="1821"/>
      <c r="AU4603" s="1821"/>
      <c r="AV4603" s="1821"/>
      <c r="AW4603" s="1821"/>
      <c r="AX4603" s="1821"/>
      <c r="AY4603" s="1821"/>
      <c r="AZ4603" s="1821"/>
      <c r="BA4603" s="1821"/>
      <c r="BB4603" s="1821"/>
      <c r="BC4603" s="1821"/>
      <c r="BD4603" s="1821"/>
      <c r="BE4603" s="1821"/>
      <c r="BF4603" s="1821"/>
      <c r="BG4603" s="1821"/>
      <c r="BH4603" s="1821"/>
      <c r="BI4603" s="1821"/>
      <c r="BJ4603" s="1821"/>
      <c r="BK4603" s="1821"/>
      <c r="BL4603" s="1821"/>
      <c r="BM4603" s="1821"/>
      <c r="BN4603" s="1821"/>
      <c r="BO4603" s="1821"/>
      <c r="BP4603" s="1821"/>
      <c r="BQ4603" s="1821"/>
      <c r="BR4603" s="1821"/>
      <c r="BS4603" s="1821"/>
      <c r="BT4603" s="1821"/>
      <c r="BU4603" s="1821"/>
      <c r="BV4603" s="1821"/>
      <c r="BW4603" s="1821"/>
      <c r="BX4603" s="1821"/>
      <c r="BY4603" s="1821"/>
      <c r="BZ4603" s="1821"/>
      <c r="CA4603" s="1821"/>
      <c r="CB4603" s="1821"/>
      <c r="CC4603" s="1821"/>
      <c r="CD4603" s="1821"/>
      <c r="CE4603" s="1821"/>
      <c r="CF4603" s="1821"/>
      <c r="CG4603" s="1821"/>
      <c r="CH4603" s="1821"/>
      <c r="CI4603" s="1821"/>
      <c r="CJ4603" s="1821"/>
      <c r="CK4603" s="1821"/>
    </row>
    <row r="4604" spans="1:89" s="675" customFormat="1" ht="16.5" customHeight="1" x14ac:dyDescent="0.25">
      <c r="A4604" s="849"/>
      <c r="B4604" s="1061"/>
      <c r="C4604" s="835"/>
      <c r="D4604" s="1062"/>
      <c r="E4604" s="825"/>
      <c r="F4604" s="825"/>
      <c r="G4604" s="825"/>
      <c r="H4604" s="825"/>
      <c r="I4604" s="825"/>
      <c r="J4604" s="825">
        <f t="shared" si="523"/>
        <v>0</v>
      </c>
      <c r="K4604" s="825"/>
      <c r="L4604" s="825"/>
      <c r="M4604" s="825"/>
      <c r="N4604" s="825"/>
      <c r="O4604" s="826"/>
      <c r="P4604" s="702"/>
      <c r="Q4604" s="1821"/>
      <c r="R4604" s="1821"/>
      <c r="S4604" s="1821"/>
      <c r="T4604" s="1821"/>
      <c r="U4604" s="1821"/>
      <c r="V4604" s="1821"/>
      <c r="W4604" s="1821"/>
      <c r="X4604" s="1821"/>
      <c r="Y4604" s="1821"/>
      <c r="Z4604" s="1821"/>
      <c r="AA4604" s="1821"/>
      <c r="AB4604" s="1821"/>
      <c r="AC4604" s="1821"/>
      <c r="AD4604" s="1821"/>
      <c r="AE4604" s="1821"/>
      <c r="AF4604" s="1821"/>
      <c r="AG4604" s="1821"/>
      <c r="AH4604" s="1821"/>
      <c r="AI4604" s="1821"/>
      <c r="AJ4604" s="1821"/>
      <c r="AK4604" s="1821"/>
      <c r="AL4604" s="1821"/>
      <c r="AM4604" s="1821"/>
      <c r="AN4604" s="1821"/>
      <c r="AO4604" s="1821"/>
      <c r="AP4604" s="1821"/>
      <c r="AQ4604" s="1821"/>
      <c r="AR4604" s="1821"/>
      <c r="AS4604" s="1821"/>
      <c r="AT4604" s="1821"/>
      <c r="AU4604" s="1821"/>
      <c r="AV4604" s="1821"/>
      <c r="AW4604" s="1821"/>
      <c r="AX4604" s="1821"/>
      <c r="AY4604" s="1821"/>
      <c r="AZ4604" s="1821"/>
      <c r="BA4604" s="1821"/>
      <c r="BB4604" s="1821"/>
      <c r="BC4604" s="1821"/>
      <c r="BD4604" s="1821"/>
      <c r="BE4604" s="1821"/>
      <c r="BF4604" s="1821"/>
      <c r="BG4604" s="1821"/>
      <c r="BH4604" s="1821"/>
      <c r="BI4604" s="1821"/>
      <c r="BJ4604" s="1821"/>
      <c r="BK4604" s="1821"/>
      <c r="BL4604" s="1821"/>
      <c r="BM4604" s="1821"/>
      <c r="BN4604" s="1821"/>
      <c r="BO4604" s="1821"/>
      <c r="BP4604" s="1821"/>
      <c r="BQ4604" s="1821"/>
      <c r="BR4604" s="1821"/>
      <c r="BS4604" s="1821"/>
      <c r="BT4604" s="1821"/>
      <c r="BU4604" s="1821"/>
      <c r="BV4604" s="1821"/>
      <c r="BW4604" s="1821"/>
      <c r="BX4604" s="1821"/>
      <c r="BY4604" s="1821"/>
      <c r="BZ4604" s="1821"/>
      <c r="CA4604" s="1821"/>
      <c r="CB4604" s="1821"/>
      <c r="CC4604" s="1821"/>
      <c r="CD4604" s="1821"/>
      <c r="CE4604" s="1821"/>
      <c r="CF4604" s="1821"/>
      <c r="CG4604" s="1821"/>
      <c r="CH4604" s="1821"/>
      <c r="CI4604" s="1821"/>
      <c r="CJ4604" s="1821"/>
      <c r="CK4604" s="1821"/>
    </row>
    <row r="4605" spans="1:89" s="675" customFormat="1" ht="16.5" customHeight="1" x14ac:dyDescent="0.25">
      <c r="A4605" s="849"/>
      <c r="B4605" s="1061" t="s">
        <v>560</v>
      </c>
      <c r="C4605" s="835"/>
      <c r="D4605" s="1062"/>
      <c r="E4605" s="825"/>
      <c r="F4605" s="825"/>
      <c r="G4605" s="825"/>
      <c r="H4605" s="825"/>
      <c r="I4605" s="825"/>
      <c r="J4605" s="825">
        <f t="shared" si="523"/>
        <v>0</v>
      </c>
      <c r="K4605" s="825">
        <f t="shared" ref="K4605:K4614" si="527">J4605+I4605</f>
        <v>0</v>
      </c>
      <c r="L4605" s="825"/>
      <c r="M4605" s="825"/>
      <c r="N4605" s="825"/>
      <c r="O4605" s="826">
        <f t="shared" ref="O4605:O4614" si="528">N4605+K4605+H4605</f>
        <v>0</v>
      </c>
      <c r="P4605" s="702"/>
      <c r="Q4605" s="1821"/>
      <c r="R4605" s="1821"/>
      <c r="S4605" s="1821"/>
      <c r="T4605" s="1821"/>
      <c r="U4605" s="1821"/>
      <c r="V4605" s="1821"/>
      <c r="W4605" s="1821"/>
      <c r="X4605" s="1821"/>
      <c r="Y4605" s="1821"/>
      <c r="Z4605" s="1821"/>
      <c r="AA4605" s="1821"/>
      <c r="AB4605" s="1821"/>
      <c r="AC4605" s="1821"/>
      <c r="AD4605" s="1821"/>
      <c r="AE4605" s="1821"/>
      <c r="AF4605" s="1821"/>
      <c r="AG4605" s="1821"/>
      <c r="AH4605" s="1821"/>
      <c r="AI4605" s="1821"/>
      <c r="AJ4605" s="1821"/>
      <c r="AK4605" s="1821"/>
      <c r="AL4605" s="1821"/>
      <c r="AM4605" s="1821"/>
      <c r="AN4605" s="1821"/>
      <c r="AO4605" s="1821"/>
      <c r="AP4605" s="1821"/>
      <c r="AQ4605" s="1821"/>
      <c r="AR4605" s="1821"/>
      <c r="AS4605" s="1821"/>
      <c r="AT4605" s="1821"/>
      <c r="AU4605" s="1821"/>
      <c r="AV4605" s="1821"/>
      <c r="AW4605" s="1821"/>
      <c r="AX4605" s="1821"/>
      <c r="AY4605" s="1821"/>
      <c r="AZ4605" s="1821"/>
      <c r="BA4605" s="1821"/>
      <c r="BB4605" s="1821"/>
      <c r="BC4605" s="1821"/>
      <c r="BD4605" s="1821"/>
      <c r="BE4605" s="1821"/>
      <c r="BF4605" s="1821"/>
      <c r="BG4605" s="1821"/>
      <c r="BH4605" s="1821"/>
      <c r="BI4605" s="1821"/>
      <c r="BJ4605" s="1821"/>
      <c r="BK4605" s="1821"/>
      <c r="BL4605" s="1821"/>
      <c r="BM4605" s="1821"/>
      <c r="BN4605" s="1821"/>
      <c r="BO4605" s="1821"/>
      <c r="BP4605" s="1821"/>
      <c r="BQ4605" s="1821"/>
      <c r="BR4605" s="1821"/>
      <c r="BS4605" s="1821"/>
      <c r="BT4605" s="1821"/>
      <c r="BU4605" s="1821"/>
      <c r="BV4605" s="1821"/>
      <c r="BW4605" s="1821"/>
      <c r="BX4605" s="1821"/>
      <c r="BY4605" s="1821"/>
      <c r="BZ4605" s="1821"/>
      <c r="CA4605" s="1821"/>
      <c r="CB4605" s="1821"/>
      <c r="CC4605" s="1821"/>
      <c r="CD4605" s="1821"/>
      <c r="CE4605" s="1821"/>
      <c r="CF4605" s="1821"/>
      <c r="CG4605" s="1821"/>
      <c r="CH4605" s="1821"/>
      <c r="CI4605" s="1821"/>
      <c r="CJ4605" s="1821"/>
      <c r="CK4605" s="1821"/>
    </row>
    <row r="4606" spans="1:89" s="675" customFormat="1" ht="16.5" customHeight="1" x14ac:dyDescent="0.25">
      <c r="A4606" s="849"/>
      <c r="B4606" s="1061" t="s">
        <v>2247</v>
      </c>
      <c r="C4606" s="835"/>
      <c r="D4606" s="1062"/>
      <c r="E4606" s="825"/>
      <c r="F4606" s="825"/>
      <c r="G4606" s="825"/>
      <c r="H4606" s="825"/>
      <c r="I4606" s="825"/>
      <c r="J4606" s="825">
        <f t="shared" si="523"/>
        <v>0</v>
      </c>
      <c r="K4606" s="825">
        <f t="shared" si="527"/>
        <v>0</v>
      </c>
      <c r="L4606" s="825"/>
      <c r="M4606" s="825"/>
      <c r="N4606" s="825"/>
      <c r="O4606" s="826">
        <f t="shared" si="528"/>
        <v>0</v>
      </c>
      <c r="P4606" s="702"/>
      <c r="Q4606" s="1821"/>
      <c r="R4606" s="1821"/>
      <c r="S4606" s="1821"/>
      <c r="T4606" s="1821"/>
      <c r="U4606" s="1821"/>
      <c r="V4606" s="1821"/>
      <c r="W4606" s="1821"/>
      <c r="X4606" s="1821"/>
      <c r="Y4606" s="1821"/>
      <c r="Z4606" s="1821"/>
      <c r="AA4606" s="1821"/>
      <c r="AB4606" s="1821"/>
      <c r="AC4606" s="1821"/>
      <c r="AD4606" s="1821"/>
      <c r="AE4606" s="1821"/>
      <c r="AF4606" s="1821"/>
      <c r="AG4606" s="1821"/>
      <c r="AH4606" s="1821"/>
      <c r="AI4606" s="1821"/>
      <c r="AJ4606" s="1821"/>
      <c r="AK4606" s="1821"/>
      <c r="AL4606" s="1821"/>
      <c r="AM4606" s="1821"/>
      <c r="AN4606" s="1821"/>
      <c r="AO4606" s="1821"/>
      <c r="AP4606" s="1821"/>
      <c r="AQ4606" s="1821"/>
      <c r="AR4606" s="1821"/>
      <c r="AS4606" s="1821"/>
      <c r="AT4606" s="1821"/>
      <c r="AU4606" s="1821"/>
      <c r="AV4606" s="1821"/>
      <c r="AW4606" s="1821"/>
      <c r="AX4606" s="1821"/>
      <c r="AY4606" s="1821"/>
      <c r="AZ4606" s="1821"/>
      <c r="BA4606" s="1821"/>
      <c r="BB4606" s="1821"/>
      <c r="BC4606" s="1821"/>
      <c r="BD4606" s="1821"/>
      <c r="BE4606" s="1821"/>
      <c r="BF4606" s="1821"/>
      <c r="BG4606" s="1821"/>
      <c r="BH4606" s="1821"/>
      <c r="BI4606" s="1821"/>
      <c r="BJ4606" s="1821"/>
      <c r="BK4606" s="1821"/>
      <c r="BL4606" s="1821"/>
      <c r="BM4606" s="1821"/>
      <c r="BN4606" s="1821"/>
      <c r="BO4606" s="1821"/>
      <c r="BP4606" s="1821"/>
      <c r="BQ4606" s="1821"/>
      <c r="BR4606" s="1821"/>
      <c r="BS4606" s="1821"/>
      <c r="BT4606" s="1821"/>
      <c r="BU4606" s="1821"/>
      <c r="BV4606" s="1821"/>
      <c r="BW4606" s="1821"/>
      <c r="BX4606" s="1821"/>
      <c r="BY4606" s="1821"/>
      <c r="BZ4606" s="1821"/>
      <c r="CA4606" s="1821"/>
      <c r="CB4606" s="1821"/>
      <c r="CC4606" s="1821"/>
      <c r="CD4606" s="1821"/>
      <c r="CE4606" s="1821"/>
      <c r="CF4606" s="1821"/>
      <c r="CG4606" s="1821"/>
      <c r="CH4606" s="1821"/>
      <c r="CI4606" s="1821"/>
      <c r="CJ4606" s="1821"/>
      <c r="CK4606" s="1821"/>
    </row>
    <row r="4607" spans="1:89" s="675" customFormat="1" ht="16.5" customHeight="1" x14ac:dyDescent="0.25">
      <c r="A4607" s="849"/>
      <c r="B4607" s="1061" t="s">
        <v>561</v>
      </c>
      <c r="C4607" s="835">
        <v>1</v>
      </c>
      <c r="D4607" s="1062" t="s">
        <v>25</v>
      </c>
      <c r="E4607" s="825">
        <v>150000</v>
      </c>
      <c r="F4607" s="825"/>
      <c r="G4607" s="825"/>
      <c r="H4607" s="825"/>
      <c r="I4607" s="825"/>
      <c r="J4607" s="825">
        <f t="shared" si="523"/>
        <v>150000</v>
      </c>
      <c r="K4607" s="825">
        <f t="shared" si="527"/>
        <v>150000</v>
      </c>
      <c r="L4607" s="825"/>
      <c r="M4607" s="825"/>
      <c r="N4607" s="825"/>
      <c r="O4607" s="826">
        <f t="shared" si="528"/>
        <v>150000</v>
      </c>
      <c r="P4607" s="702"/>
      <c r="Q4607" s="1821"/>
      <c r="R4607" s="1821"/>
      <c r="S4607" s="1821"/>
      <c r="T4607" s="1821"/>
      <c r="U4607" s="1821"/>
      <c r="V4607" s="1821"/>
      <c r="W4607" s="1821"/>
      <c r="X4607" s="1821"/>
      <c r="Y4607" s="1821"/>
      <c r="Z4607" s="1821"/>
      <c r="AA4607" s="1821"/>
      <c r="AB4607" s="1821"/>
      <c r="AC4607" s="1821"/>
      <c r="AD4607" s="1821"/>
      <c r="AE4607" s="1821"/>
      <c r="AF4607" s="1821"/>
      <c r="AG4607" s="1821"/>
      <c r="AH4607" s="1821"/>
      <c r="AI4607" s="1821"/>
      <c r="AJ4607" s="1821"/>
      <c r="AK4607" s="1821"/>
      <c r="AL4607" s="1821"/>
      <c r="AM4607" s="1821"/>
      <c r="AN4607" s="1821"/>
      <c r="AO4607" s="1821"/>
      <c r="AP4607" s="1821"/>
      <c r="AQ4607" s="1821"/>
      <c r="AR4607" s="1821"/>
      <c r="AS4607" s="1821"/>
      <c r="AT4607" s="1821"/>
      <c r="AU4607" s="1821"/>
      <c r="AV4607" s="1821"/>
      <c r="AW4607" s="1821"/>
      <c r="AX4607" s="1821"/>
      <c r="AY4607" s="1821"/>
      <c r="AZ4607" s="1821"/>
      <c r="BA4607" s="1821"/>
      <c r="BB4607" s="1821"/>
      <c r="BC4607" s="1821"/>
      <c r="BD4607" s="1821"/>
      <c r="BE4607" s="1821"/>
      <c r="BF4607" s="1821"/>
      <c r="BG4607" s="1821"/>
      <c r="BH4607" s="1821"/>
      <c r="BI4607" s="1821"/>
      <c r="BJ4607" s="1821"/>
      <c r="BK4607" s="1821"/>
      <c r="BL4607" s="1821"/>
      <c r="BM4607" s="1821"/>
      <c r="BN4607" s="1821"/>
      <c r="BO4607" s="1821"/>
      <c r="BP4607" s="1821"/>
      <c r="BQ4607" s="1821"/>
      <c r="BR4607" s="1821"/>
      <c r="BS4607" s="1821"/>
      <c r="BT4607" s="1821"/>
      <c r="BU4607" s="1821"/>
      <c r="BV4607" s="1821"/>
      <c r="BW4607" s="1821"/>
      <c r="BX4607" s="1821"/>
      <c r="BY4607" s="1821"/>
      <c r="BZ4607" s="1821"/>
      <c r="CA4607" s="1821"/>
      <c r="CB4607" s="1821"/>
      <c r="CC4607" s="1821"/>
      <c r="CD4607" s="1821"/>
      <c r="CE4607" s="1821"/>
      <c r="CF4607" s="1821"/>
      <c r="CG4607" s="1821"/>
      <c r="CH4607" s="1821"/>
      <c r="CI4607" s="1821"/>
      <c r="CJ4607" s="1821"/>
      <c r="CK4607" s="1821"/>
    </row>
    <row r="4608" spans="1:89" s="675" customFormat="1" ht="16.5" customHeight="1" x14ac:dyDescent="0.25">
      <c r="A4608" s="849"/>
      <c r="B4608" s="1061" t="s">
        <v>1425</v>
      </c>
      <c r="C4608" s="835">
        <v>1</v>
      </c>
      <c r="D4608" s="1062" t="s">
        <v>25</v>
      </c>
      <c r="E4608" s="825">
        <v>70000</v>
      </c>
      <c r="F4608" s="825"/>
      <c r="G4608" s="825"/>
      <c r="H4608" s="825"/>
      <c r="I4608" s="825"/>
      <c r="J4608" s="825">
        <f t="shared" si="523"/>
        <v>70000</v>
      </c>
      <c r="K4608" s="825">
        <f t="shared" si="527"/>
        <v>70000</v>
      </c>
      <c r="L4608" s="825"/>
      <c r="M4608" s="825"/>
      <c r="N4608" s="825"/>
      <c r="O4608" s="826">
        <f t="shared" si="528"/>
        <v>70000</v>
      </c>
      <c r="P4608" s="702"/>
      <c r="Q4608" s="1821"/>
      <c r="R4608" s="1821"/>
      <c r="S4608" s="1821"/>
      <c r="T4608" s="1821"/>
      <c r="U4608" s="1821"/>
      <c r="V4608" s="1821"/>
      <c r="W4608" s="1821"/>
      <c r="X4608" s="1821"/>
      <c r="Y4608" s="1821"/>
      <c r="Z4608" s="1821"/>
      <c r="AA4608" s="1821"/>
      <c r="AB4608" s="1821"/>
      <c r="AC4608" s="1821"/>
      <c r="AD4608" s="1821"/>
      <c r="AE4608" s="1821"/>
      <c r="AF4608" s="1821"/>
      <c r="AG4608" s="1821"/>
      <c r="AH4608" s="1821"/>
      <c r="AI4608" s="1821"/>
      <c r="AJ4608" s="1821"/>
      <c r="AK4608" s="1821"/>
      <c r="AL4608" s="1821"/>
      <c r="AM4608" s="1821"/>
      <c r="AN4608" s="1821"/>
      <c r="AO4608" s="1821"/>
      <c r="AP4608" s="1821"/>
      <c r="AQ4608" s="1821"/>
      <c r="AR4608" s="1821"/>
      <c r="AS4608" s="1821"/>
      <c r="AT4608" s="1821"/>
      <c r="AU4608" s="1821"/>
      <c r="AV4608" s="1821"/>
      <c r="AW4608" s="1821"/>
      <c r="AX4608" s="1821"/>
      <c r="AY4608" s="1821"/>
      <c r="AZ4608" s="1821"/>
      <c r="BA4608" s="1821"/>
      <c r="BB4608" s="1821"/>
      <c r="BC4608" s="1821"/>
      <c r="BD4608" s="1821"/>
      <c r="BE4608" s="1821"/>
      <c r="BF4608" s="1821"/>
      <c r="BG4608" s="1821"/>
      <c r="BH4608" s="1821"/>
      <c r="BI4608" s="1821"/>
      <c r="BJ4608" s="1821"/>
      <c r="BK4608" s="1821"/>
      <c r="BL4608" s="1821"/>
      <c r="BM4608" s="1821"/>
      <c r="BN4608" s="1821"/>
      <c r="BO4608" s="1821"/>
      <c r="BP4608" s="1821"/>
      <c r="BQ4608" s="1821"/>
      <c r="BR4608" s="1821"/>
      <c r="BS4608" s="1821"/>
      <c r="BT4608" s="1821"/>
      <c r="BU4608" s="1821"/>
      <c r="BV4608" s="1821"/>
      <c r="BW4608" s="1821"/>
      <c r="BX4608" s="1821"/>
      <c r="BY4608" s="1821"/>
      <c r="BZ4608" s="1821"/>
      <c r="CA4608" s="1821"/>
      <c r="CB4608" s="1821"/>
      <c r="CC4608" s="1821"/>
      <c r="CD4608" s="1821"/>
      <c r="CE4608" s="1821"/>
      <c r="CF4608" s="1821"/>
      <c r="CG4608" s="1821"/>
      <c r="CH4608" s="1821"/>
      <c r="CI4608" s="1821"/>
      <c r="CJ4608" s="1821"/>
      <c r="CK4608" s="1821"/>
    </row>
    <row r="4609" spans="1:89" s="675" customFormat="1" ht="16.5" customHeight="1" x14ac:dyDescent="0.25">
      <c r="A4609" s="849"/>
      <c r="B4609" s="1061" t="s">
        <v>562</v>
      </c>
      <c r="C4609" s="835">
        <v>1</v>
      </c>
      <c r="D4609" s="1062" t="s">
        <v>25</v>
      </c>
      <c r="E4609" s="825">
        <v>70000</v>
      </c>
      <c r="F4609" s="825"/>
      <c r="G4609" s="825"/>
      <c r="H4609" s="825"/>
      <c r="I4609" s="825"/>
      <c r="J4609" s="825">
        <f t="shared" si="523"/>
        <v>70000</v>
      </c>
      <c r="K4609" s="825">
        <f t="shared" si="527"/>
        <v>70000</v>
      </c>
      <c r="L4609" s="825"/>
      <c r="M4609" s="825"/>
      <c r="N4609" s="825"/>
      <c r="O4609" s="826">
        <f t="shared" si="528"/>
        <v>70000</v>
      </c>
      <c r="P4609" s="702"/>
      <c r="Q4609" s="1821"/>
      <c r="R4609" s="1821"/>
      <c r="S4609" s="1821"/>
      <c r="T4609" s="1821"/>
      <c r="U4609" s="1821"/>
      <c r="V4609" s="1821"/>
      <c r="W4609" s="1821"/>
      <c r="X4609" s="1821"/>
      <c r="Y4609" s="1821"/>
      <c r="Z4609" s="1821"/>
      <c r="AA4609" s="1821"/>
      <c r="AB4609" s="1821"/>
      <c r="AC4609" s="1821"/>
      <c r="AD4609" s="1821"/>
      <c r="AE4609" s="1821"/>
      <c r="AF4609" s="1821"/>
      <c r="AG4609" s="1821"/>
      <c r="AH4609" s="1821"/>
      <c r="AI4609" s="1821"/>
      <c r="AJ4609" s="1821"/>
      <c r="AK4609" s="1821"/>
      <c r="AL4609" s="1821"/>
      <c r="AM4609" s="1821"/>
      <c r="AN4609" s="1821"/>
      <c r="AO4609" s="1821"/>
      <c r="AP4609" s="1821"/>
      <c r="AQ4609" s="1821"/>
      <c r="AR4609" s="1821"/>
      <c r="AS4609" s="1821"/>
      <c r="AT4609" s="1821"/>
      <c r="AU4609" s="1821"/>
      <c r="AV4609" s="1821"/>
      <c r="AW4609" s="1821"/>
      <c r="AX4609" s="1821"/>
      <c r="AY4609" s="1821"/>
      <c r="AZ4609" s="1821"/>
      <c r="BA4609" s="1821"/>
      <c r="BB4609" s="1821"/>
      <c r="BC4609" s="1821"/>
      <c r="BD4609" s="1821"/>
      <c r="BE4609" s="1821"/>
      <c r="BF4609" s="1821"/>
      <c r="BG4609" s="1821"/>
      <c r="BH4609" s="1821"/>
      <c r="BI4609" s="1821"/>
      <c r="BJ4609" s="1821"/>
      <c r="BK4609" s="1821"/>
      <c r="BL4609" s="1821"/>
      <c r="BM4609" s="1821"/>
      <c r="BN4609" s="1821"/>
      <c r="BO4609" s="1821"/>
      <c r="BP4609" s="1821"/>
      <c r="BQ4609" s="1821"/>
      <c r="BR4609" s="1821"/>
      <c r="BS4609" s="1821"/>
      <c r="BT4609" s="1821"/>
      <c r="BU4609" s="1821"/>
      <c r="BV4609" s="1821"/>
      <c r="BW4609" s="1821"/>
      <c r="BX4609" s="1821"/>
      <c r="BY4609" s="1821"/>
      <c r="BZ4609" s="1821"/>
      <c r="CA4609" s="1821"/>
      <c r="CB4609" s="1821"/>
      <c r="CC4609" s="1821"/>
      <c r="CD4609" s="1821"/>
      <c r="CE4609" s="1821"/>
      <c r="CF4609" s="1821"/>
      <c r="CG4609" s="1821"/>
      <c r="CH4609" s="1821"/>
      <c r="CI4609" s="1821"/>
      <c r="CJ4609" s="1821"/>
      <c r="CK4609" s="1821"/>
    </row>
    <row r="4610" spans="1:89" s="675" customFormat="1" ht="16.5" customHeight="1" x14ac:dyDescent="0.25">
      <c r="A4610" s="849"/>
      <c r="B4610" s="1061" t="s">
        <v>1426</v>
      </c>
      <c r="C4610" s="835">
        <v>1</v>
      </c>
      <c r="D4610" s="1062" t="s">
        <v>25</v>
      </c>
      <c r="E4610" s="825">
        <v>49995</v>
      </c>
      <c r="F4610" s="825"/>
      <c r="G4610" s="825"/>
      <c r="H4610" s="825"/>
      <c r="I4610" s="825"/>
      <c r="J4610" s="825">
        <f t="shared" si="523"/>
        <v>49995</v>
      </c>
      <c r="K4610" s="825">
        <f t="shared" si="527"/>
        <v>49995</v>
      </c>
      <c r="L4610" s="825"/>
      <c r="M4610" s="825"/>
      <c r="N4610" s="825"/>
      <c r="O4610" s="826">
        <f t="shared" si="528"/>
        <v>49995</v>
      </c>
      <c r="P4610" s="702"/>
      <c r="Q4610" s="1821"/>
      <c r="R4610" s="1821"/>
      <c r="S4610" s="1821"/>
      <c r="T4610" s="1821"/>
      <c r="U4610" s="1821"/>
      <c r="V4610" s="1821"/>
      <c r="W4610" s="1821"/>
      <c r="X4610" s="1821"/>
      <c r="Y4610" s="1821"/>
      <c r="Z4610" s="1821"/>
      <c r="AA4610" s="1821"/>
      <c r="AB4610" s="1821"/>
      <c r="AC4610" s="1821"/>
      <c r="AD4610" s="1821"/>
      <c r="AE4610" s="1821"/>
      <c r="AF4610" s="1821"/>
      <c r="AG4610" s="1821"/>
      <c r="AH4610" s="1821"/>
      <c r="AI4610" s="1821"/>
      <c r="AJ4610" s="1821"/>
      <c r="AK4610" s="1821"/>
      <c r="AL4610" s="1821"/>
      <c r="AM4610" s="1821"/>
      <c r="AN4610" s="1821"/>
      <c r="AO4610" s="1821"/>
      <c r="AP4610" s="1821"/>
      <c r="AQ4610" s="1821"/>
      <c r="AR4610" s="1821"/>
      <c r="AS4610" s="1821"/>
      <c r="AT4610" s="1821"/>
      <c r="AU4610" s="1821"/>
      <c r="AV4610" s="1821"/>
      <c r="AW4610" s="1821"/>
      <c r="AX4610" s="1821"/>
      <c r="AY4610" s="1821"/>
      <c r="AZ4610" s="1821"/>
      <c r="BA4610" s="1821"/>
      <c r="BB4610" s="1821"/>
      <c r="BC4610" s="1821"/>
      <c r="BD4610" s="1821"/>
      <c r="BE4610" s="1821"/>
      <c r="BF4610" s="1821"/>
      <c r="BG4610" s="1821"/>
      <c r="BH4610" s="1821"/>
      <c r="BI4610" s="1821"/>
      <c r="BJ4610" s="1821"/>
      <c r="BK4610" s="1821"/>
      <c r="BL4610" s="1821"/>
      <c r="BM4610" s="1821"/>
      <c r="BN4610" s="1821"/>
      <c r="BO4610" s="1821"/>
      <c r="BP4610" s="1821"/>
      <c r="BQ4610" s="1821"/>
      <c r="BR4610" s="1821"/>
      <c r="BS4610" s="1821"/>
      <c r="BT4610" s="1821"/>
      <c r="BU4610" s="1821"/>
      <c r="BV4610" s="1821"/>
      <c r="BW4610" s="1821"/>
      <c r="BX4610" s="1821"/>
      <c r="BY4610" s="1821"/>
      <c r="BZ4610" s="1821"/>
      <c r="CA4610" s="1821"/>
      <c r="CB4610" s="1821"/>
      <c r="CC4610" s="1821"/>
      <c r="CD4610" s="1821"/>
      <c r="CE4610" s="1821"/>
      <c r="CF4610" s="1821"/>
      <c r="CG4610" s="1821"/>
      <c r="CH4610" s="1821"/>
      <c r="CI4610" s="1821"/>
      <c r="CJ4610" s="1821"/>
      <c r="CK4610" s="1821"/>
    </row>
    <row r="4611" spans="1:89" s="675" customFormat="1" ht="16.5" customHeight="1" x14ac:dyDescent="0.25">
      <c r="A4611" s="849"/>
      <c r="B4611" s="1061" t="s">
        <v>563</v>
      </c>
      <c r="C4611" s="835">
        <v>1</v>
      </c>
      <c r="D4611" s="1062" t="s">
        <v>25</v>
      </c>
      <c r="E4611" s="825">
        <v>50000</v>
      </c>
      <c r="F4611" s="825"/>
      <c r="G4611" s="825"/>
      <c r="H4611" s="825"/>
      <c r="I4611" s="825"/>
      <c r="J4611" s="825">
        <f t="shared" si="523"/>
        <v>50000</v>
      </c>
      <c r="K4611" s="825">
        <f t="shared" si="527"/>
        <v>50000</v>
      </c>
      <c r="L4611" s="825"/>
      <c r="M4611" s="825"/>
      <c r="N4611" s="825"/>
      <c r="O4611" s="826">
        <f t="shared" si="528"/>
        <v>50000</v>
      </c>
      <c r="P4611" s="702"/>
      <c r="Q4611" s="1821"/>
      <c r="R4611" s="1821"/>
      <c r="S4611" s="1821"/>
      <c r="T4611" s="1821"/>
      <c r="U4611" s="1821"/>
      <c r="V4611" s="1821"/>
      <c r="W4611" s="1821"/>
      <c r="X4611" s="1821"/>
      <c r="Y4611" s="1821"/>
      <c r="Z4611" s="1821"/>
      <c r="AA4611" s="1821"/>
      <c r="AB4611" s="1821"/>
      <c r="AC4611" s="1821"/>
      <c r="AD4611" s="1821"/>
      <c r="AE4611" s="1821"/>
      <c r="AF4611" s="1821"/>
      <c r="AG4611" s="1821"/>
      <c r="AH4611" s="1821"/>
      <c r="AI4611" s="1821"/>
      <c r="AJ4611" s="1821"/>
      <c r="AK4611" s="1821"/>
      <c r="AL4611" s="1821"/>
      <c r="AM4611" s="1821"/>
      <c r="AN4611" s="1821"/>
      <c r="AO4611" s="1821"/>
      <c r="AP4611" s="1821"/>
      <c r="AQ4611" s="1821"/>
      <c r="AR4611" s="1821"/>
      <c r="AS4611" s="1821"/>
      <c r="AT4611" s="1821"/>
      <c r="AU4611" s="1821"/>
      <c r="AV4611" s="1821"/>
      <c r="AW4611" s="1821"/>
      <c r="AX4611" s="1821"/>
      <c r="AY4611" s="1821"/>
      <c r="AZ4611" s="1821"/>
      <c r="BA4611" s="1821"/>
      <c r="BB4611" s="1821"/>
      <c r="BC4611" s="1821"/>
      <c r="BD4611" s="1821"/>
      <c r="BE4611" s="1821"/>
      <c r="BF4611" s="1821"/>
      <c r="BG4611" s="1821"/>
      <c r="BH4611" s="1821"/>
      <c r="BI4611" s="1821"/>
      <c r="BJ4611" s="1821"/>
      <c r="BK4611" s="1821"/>
      <c r="BL4611" s="1821"/>
      <c r="BM4611" s="1821"/>
      <c r="BN4611" s="1821"/>
      <c r="BO4611" s="1821"/>
      <c r="BP4611" s="1821"/>
      <c r="BQ4611" s="1821"/>
      <c r="BR4611" s="1821"/>
      <c r="BS4611" s="1821"/>
      <c r="BT4611" s="1821"/>
      <c r="BU4611" s="1821"/>
      <c r="BV4611" s="1821"/>
      <c r="BW4611" s="1821"/>
      <c r="BX4611" s="1821"/>
      <c r="BY4611" s="1821"/>
      <c r="BZ4611" s="1821"/>
      <c r="CA4611" s="1821"/>
      <c r="CB4611" s="1821"/>
      <c r="CC4611" s="1821"/>
      <c r="CD4611" s="1821"/>
      <c r="CE4611" s="1821"/>
      <c r="CF4611" s="1821"/>
      <c r="CG4611" s="1821"/>
      <c r="CH4611" s="1821"/>
      <c r="CI4611" s="1821"/>
      <c r="CJ4611" s="1821"/>
      <c r="CK4611" s="1821"/>
    </row>
    <row r="4612" spans="1:89" s="675" customFormat="1" ht="16.5" customHeight="1" x14ac:dyDescent="0.25">
      <c r="A4612" s="849"/>
      <c r="B4612" s="1061" t="s">
        <v>1427</v>
      </c>
      <c r="C4612" s="835">
        <v>1</v>
      </c>
      <c r="D4612" s="1062" t="s">
        <v>25</v>
      </c>
      <c r="E4612" s="825">
        <v>80000</v>
      </c>
      <c r="F4612" s="825"/>
      <c r="G4612" s="825"/>
      <c r="H4612" s="825"/>
      <c r="I4612" s="825"/>
      <c r="J4612" s="825">
        <f t="shared" si="523"/>
        <v>80000</v>
      </c>
      <c r="K4612" s="825">
        <f t="shared" si="527"/>
        <v>80000</v>
      </c>
      <c r="L4612" s="825"/>
      <c r="M4612" s="825"/>
      <c r="N4612" s="825"/>
      <c r="O4612" s="826">
        <f t="shared" si="528"/>
        <v>80000</v>
      </c>
      <c r="P4612" s="702"/>
      <c r="Q4612" s="1821"/>
      <c r="R4612" s="1821"/>
      <c r="S4612" s="1821"/>
      <c r="T4612" s="1821"/>
      <c r="U4612" s="1821"/>
      <c r="V4612" s="1821"/>
      <c r="W4612" s="1821"/>
      <c r="X4612" s="1821"/>
      <c r="Y4612" s="1821"/>
      <c r="Z4612" s="1821"/>
      <c r="AA4612" s="1821"/>
      <c r="AB4612" s="1821"/>
      <c r="AC4612" s="1821"/>
      <c r="AD4612" s="1821"/>
      <c r="AE4612" s="1821"/>
      <c r="AF4612" s="1821"/>
      <c r="AG4612" s="1821"/>
      <c r="AH4612" s="1821"/>
      <c r="AI4612" s="1821"/>
      <c r="AJ4612" s="1821"/>
      <c r="AK4612" s="1821"/>
      <c r="AL4612" s="1821"/>
      <c r="AM4612" s="1821"/>
      <c r="AN4612" s="1821"/>
      <c r="AO4612" s="1821"/>
      <c r="AP4612" s="1821"/>
      <c r="AQ4612" s="1821"/>
      <c r="AR4612" s="1821"/>
      <c r="AS4612" s="1821"/>
      <c r="AT4612" s="1821"/>
      <c r="AU4612" s="1821"/>
      <c r="AV4612" s="1821"/>
      <c r="AW4612" s="1821"/>
      <c r="AX4612" s="1821"/>
      <c r="AY4612" s="1821"/>
      <c r="AZ4612" s="1821"/>
      <c r="BA4612" s="1821"/>
      <c r="BB4612" s="1821"/>
      <c r="BC4612" s="1821"/>
      <c r="BD4612" s="1821"/>
      <c r="BE4612" s="1821"/>
      <c r="BF4612" s="1821"/>
      <c r="BG4612" s="1821"/>
      <c r="BH4612" s="1821"/>
      <c r="BI4612" s="1821"/>
      <c r="BJ4612" s="1821"/>
      <c r="BK4612" s="1821"/>
      <c r="BL4612" s="1821"/>
      <c r="BM4612" s="1821"/>
      <c r="BN4612" s="1821"/>
      <c r="BO4612" s="1821"/>
      <c r="BP4612" s="1821"/>
      <c r="BQ4612" s="1821"/>
      <c r="BR4612" s="1821"/>
      <c r="BS4612" s="1821"/>
      <c r="BT4612" s="1821"/>
      <c r="BU4612" s="1821"/>
      <c r="BV4612" s="1821"/>
      <c r="BW4612" s="1821"/>
      <c r="BX4612" s="1821"/>
      <c r="BY4612" s="1821"/>
      <c r="BZ4612" s="1821"/>
      <c r="CA4612" s="1821"/>
      <c r="CB4612" s="1821"/>
      <c r="CC4612" s="1821"/>
      <c r="CD4612" s="1821"/>
      <c r="CE4612" s="1821"/>
      <c r="CF4612" s="1821"/>
      <c r="CG4612" s="1821"/>
      <c r="CH4612" s="1821"/>
      <c r="CI4612" s="1821"/>
      <c r="CJ4612" s="1821"/>
      <c r="CK4612" s="1821"/>
    </row>
    <row r="4613" spans="1:89" s="675" customFormat="1" ht="16.5" customHeight="1" x14ac:dyDescent="0.25">
      <c r="A4613" s="849"/>
      <c r="B4613" s="1061" t="s">
        <v>565</v>
      </c>
      <c r="C4613" s="835">
        <v>1</v>
      </c>
      <c r="D4613" s="1062" t="s">
        <v>25</v>
      </c>
      <c r="E4613" s="825">
        <v>100000</v>
      </c>
      <c r="F4613" s="825"/>
      <c r="G4613" s="825"/>
      <c r="H4613" s="825"/>
      <c r="I4613" s="825"/>
      <c r="J4613" s="825">
        <f>E4613*C4613</f>
        <v>100000</v>
      </c>
      <c r="K4613" s="825">
        <f t="shared" si="527"/>
        <v>100000</v>
      </c>
      <c r="L4613" s="825"/>
      <c r="M4613" s="825"/>
      <c r="N4613" s="825"/>
      <c r="O4613" s="826">
        <f t="shared" si="528"/>
        <v>100000</v>
      </c>
      <c r="P4613" s="702"/>
      <c r="Q4613" s="1821"/>
      <c r="R4613" s="1821"/>
      <c r="S4613" s="1821"/>
      <c r="T4613" s="1821"/>
      <c r="U4613" s="1821"/>
      <c r="V4613" s="1821"/>
      <c r="W4613" s="1821"/>
      <c r="X4613" s="1821"/>
      <c r="Y4613" s="1821"/>
      <c r="Z4613" s="1821"/>
      <c r="AA4613" s="1821"/>
      <c r="AB4613" s="1821"/>
      <c r="AC4613" s="1821"/>
      <c r="AD4613" s="1821"/>
      <c r="AE4613" s="1821"/>
      <c r="AF4613" s="1821"/>
      <c r="AG4613" s="1821"/>
      <c r="AH4613" s="1821"/>
      <c r="AI4613" s="1821"/>
      <c r="AJ4613" s="1821"/>
      <c r="AK4613" s="1821"/>
      <c r="AL4613" s="1821"/>
      <c r="AM4613" s="1821"/>
      <c r="AN4613" s="1821"/>
      <c r="AO4613" s="1821"/>
      <c r="AP4613" s="1821"/>
      <c r="AQ4613" s="1821"/>
      <c r="AR4613" s="1821"/>
      <c r="AS4613" s="1821"/>
      <c r="AT4613" s="1821"/>
      <c r="AU4613" s="1821"/>
      <c r="AV4613" s="1821"/>
      <c r="AW4613" s="1821"/>
      <c r="AX4613" s="1821"/>
      <c r="AY4613" s="1821"/>
      <c r="AZ4613" s="1821"/>
      <c r="BA4613" s="1821"/>
      <c r="BB4613" s="1821"/>
      <c r="BC4613" s="1821"/>
      <c r="BD4613" s="1821"/>
      <c r="BE4613" s="1821"/>
      <c r="BF4613" s="1821"/>
      <c r="BG4613" s="1821"/>
      <c r="BH4613" s="1821"/>
      <c r="BI4613" s="1821"/>
      <c r="BJ4613" s="1821"/>
      <c r="BK4613" s="1821"/>
      <c r="BL4613" s="1821"/>
      <c r="BM4613" s="1821"/>
      <c r="BN4613" s="1821"/>
      <c r="BO4613" s="1821"/>
      <c r="BP4613" s="1821"/>
      <c r="BQ4613" s="1821"/>
      <c r="BR4613" s="1821"/>
      <c r="BS4613" s="1821"/>
      <c r="BT4613" s="1821"/>
      <c r="BU4613" s="1821"/>
      <c r="BV4613" s="1821"/>
      <c r="BW4613" s="1821"/>
      <c r="BX4613" s="1821"/>
      <c r="BY4613" s="1821"/>
      <c r="BZ4613" s="1821"/>
      <c r="CA4613" s="1821"/>
      <c r="CB4613" s="1821"/>
      <c r="CC4613" s="1821"/>
      <c r="CD4613" s="1821"/>
      <c r="CE4613" s="1821"/>
      <c r="CF4613" s="1821"/>
      <c r="CG4613" s="1821"/>
      <c r="CH4613" s="1821"/>
      <c r="CI4613" s="1821"/>
      <c r="CJ4613" s="1821"/>
      <c r="CK4613" s="1821"/>
    </row>
    <row r="4614" spans="1:89" s="675" customFormat="1" ht="16.5" customHeight="1" x14ac:dyDescent="0.25">
      <c r="A4614" s="849"/>
      <c r="B4614" s="1061" t="s">
        <v>1428</v>
      </c>
      <c r="C4614" s="835">
        <v>1</v>
      </c>
      <c r="D4614" s="1062" t="s">
        <v>25</v>
      </c>
      <c r="E4614" s="825">
        <v>49500</v>
      </c>
      <c r="F4614" s="825"/>
      <c r="G4614" s="825"/>
      <c r="H4614" s="825"/>
      <c r="I4614" s="825"/>
      <c r="J4614" s="825">
        <f t="shared" si="523"/>
        <v>49500</v>
      </c>
      <c r="K4614" s="825">
        <f t="shared" si="527"/>
        <v>49500</v>
      </c>
      <c r="L4614" s="825"/>
      <c r="M4614" s="825"/>
      <c r="N4614" s="825"/>
      <c r="O4614" s="826">
        <f t="shared" si="528"/>
        <v>49500</v>
      </c>
      <c r="P4614" s="702"/>
      <c r="Q4614" s="1821"/>
      <c r="R4614" s="1821"/>
      <c r="S4614" s="1821"/>
      <c r="T4614" s="1821"/>
      <c r="U4614" s="1821"/>
      <c r="V4614" s="1821"/>
      <c r="W4614" s="1821"/>
      <c r="X4614" s="1821"/>
      <c r="Y4614" s="1821"/>
      <c r="Z4614" s="1821"/>
      <c r="AA4614" s="1821"/>
      <c r="AB4614" s="1821"/>
      <c r="AC4614" s="1821"/>
      <c r="AD4614" s="1821"/>
      <c r="AE4614" s="1821"/>
      <c r="AF4614" s="1821"/>
      <c r="AG4614" s="1821"/>
      <c r="AH4614" s="1821"/>
      <c r="AI4614" s="1821"/>
      <c r="AJ4614" s="1821"/>
      <c r="AK4614" s="1821"/>
      <c r="AL4614" s="1821"/>
      <c r="AM4614" s="1821"/>
      <c r="AN4614" s="1821"/>
      <c r="AO4614" s="1821"/>
      <c r="AP4614" s="1821"/>
      <c r="AQ4614" s="1821"/>
      <c r="AR4614" s="1821"/>
      <c r="AS4614" s="1821"/>
      <c r="AT4614" s="1821"/>
      <c r="AU4614" s="1821"/>
      <c r="AV4614" s="1821"/>
      <c r="AW4614" s="1821"/>
      <c r="AX4614" s="1821"/>
      <c r="AY4614" s="1821"/>
      <c r="AZ4614" s="1821"/>
      <c r="BA4614" s="1821"/>
      <c r="BB4614" s="1821"/>
      <c r="BC4614" s="1821"/>
      <c r="BD4614" s="1821"/>
      <c r="BE4614" s="1821"/>
      <c r="BF4614" s="1821"/>
      <c r="BG4614" s="1821"/>
      <c r="BH4614" s="1821"/>
      <c r="BI4614" s="1821"/>
      <c r="BJ4614" s="1821"/>
      <c r="BK4614" s="1821"/>
      <c r="BL4614" s="1821"/>
      <c r="BM4614" s="1821"/>
      <c r="BN4614" s="1821"/>
      <c r="BO4614" s="1821"/>
      <c r="BP4614" s="1821"/>
      <c r="BQ4614" s="1821"/>
      <c r="BR4614" s="1821"/>
      <c r="BS4614" s="1821"/>
      <c r="BT4614" s="1821"/>
      <c r="BU4614" s="1821"/>
      <c r="BV4614" s="1821"/>
      <c r="BW4614" s="1821"/>
      <c r="BX4614" s="1821"/>
      <c r="BY4614" s="1821"/>
      <c r="BZ4614" s="1821"/>
      <c r="CA4614" s="1821"/>
      <c r="CB4614" s="1821"/>
      <c r="CC4614" s="1821"/>
      <c r="CD4614" s="1821"/>
      <c r="CE4614" s="1821"/>
      <c r="CF4614" s="1821"/>
      <c r="CG4614" s="1821"/>
      <c r="CH4614" s="1821"/>
      <c r="CI4614" s="1821"/>
      <c r="CJ4614" s="1821"/>
      <c r="CK4614" s="1821"/>
    </row>
    <row r="4615" spans="1:89" s="675" customFormat="1" ht="16.5" customHeight="1" x14ac:dyDescent="0.25">
      <c r="A4615" s="849"/>
      <c r="B4615" s="1061"/>
      <c r="C4615" s="835"/>
      <c r="D4615" s="1062"/>
      <c r="E4615" s="825"/>
      <c r="F4615" s="825"/>
      <c r="G4615" s="825"/>
      <c r="H4615" s="825"/>
      <c r="I4615" s="825"/>
      <c r="J4615" s="825">
        <f t="shared" si="523"/>
        <v>0</v>
      </c>
      <c r="K4615" s="825"/>
      <c r="L4615" s="825"/>
      <c r="M4615" s="825"/>
      <c r="N4615" s="825"/>
      <c r="O4615" s="826"/>
      <c r="P4615" s="702"/>
      <c r="Q4615" s="1821"/>
      <c r="R4615" s="1821"/>
      <c r="S4615" s="1821"/>
      <c r="T4615" s="1821"/>
      <c r="U4615" s="1821"/>
      <c r="V4615" s="1821"/>
      <c r="W4615" s="1821"/>
      <c r="X4615" s="1821"/>
      <c r="Y4615" s="1821"/>
      <c r="Z4615" s="1821"/>
      <c r="AA4615" s="1821"/>
      <c r="AB4615" s="1821"/>
      <c r="AC4615" s="1821"/>
      <c r="AD4615" s="1821"/>
      <c r="AE4615" s="1821"/>
      <c r="AF4615" s="1821"/>
      <c r="AG4615" s="1821"/>
      <c r="AH4615" s="1821"/>
      <c r="AI4615" s="1821"/>
      <c r="AJ4615" s="1821"/>
      <c r="AK4615" s="1821"/>
      <c r="AL4615" s="1821"/>
      <c r="AM4615" s="1821"/>
      <c r="AN4615" s="1821"/>
      <c r="AO4615" s="1821"/>
      <c r="AP4615" s="1821"/>
      <c r="AQ4615" s="1821"/>
      <c r="AR4615" s="1821"/>
      <c r="AS4615" s="1821"/>
      <c r="AT4615" s="1821"/>
      <c r="AU4615" s="1821"/>
      <c r="AV4615" s="1821"/>
      <c r="AW4615" s="1821"/>
      <c r="AX4615" s="1821"/>
      <c r="AY4615" s="1821"/>
      <c r="AZ4615" s="1821"/>
      <c r="BA4615" s="1821"/>
      <c r="BB4615" s="1821"/>
      <c r="BC4615" s="1821"/>
      <c r="BD4615" s="1821"/>
      <c r="BE4615" s="1821"/>
      <c r="BF4615" s="1821"/>
      <c r="BG4615" s="1821"/>
      <c r="BH4615" s="1821"/>
      <c r="BI4615" s="1821"/>
      <c r="BJ4615" s="1821"/>
      <c r="BK4615" s="1821"/>
      <c r="BL4615" s="1821"/>
      <c r="BM4615" s="1821"/>
      <c r="BN4615" s="1821"/>
      <c r="BO4615" s="1821"/>
      <c r="BP4615" s="1821"/>
      <c r="BQ4615" s="1821"/>
      <c r="BR4615" s="1821"/>
      <c r="BS4615" s="1821"/>
      <c r="BT4615" s="1821"/>
      <c r="BU4615" s="1821"/>
      <c r="BV4615" s="1821"/>
      <c r="BW4615" s="1821"/>
      <c r="BX4615" s="1821"/>
      <c r="BY4615" s="1821"/>
      <c r="BZ4615" s="1821"/>
      <c r="CA4615" s="1821"/>
      <c r="CB4615" s="1821"/>
      <c r="CC4615" s="1821"/>
      <c r="CD4615" s="1821"/>
      <c r="CE4615" s="1821"/>
      <c r="CF4615" s="1821"/>
      <c r="CG4615" s="1821"/>
      <c r="CH4615" s="1821"/>
      <c r="CI4615" s="1821"/>
      <c r="CJ4615" s="1821"/>
      <c r="CK4615" s="1821"/>
    </row>
    <row r="4616" spans="1:89" s="675" customFormat="1" ht="16.5" customHeight="1" x14ac:dyDescent="0.25">
      <c r="A4616" s="849"/>
      <c r="B4616" s="1061"/>
      <c r="C4616" s="835"/>
      <c r="D4616" s="1062"/>
      <c r="E4616" s="825"/>
      <c r="F4616" s="825"/>
      <c r="G4616" s="825"/>
      <c r="H4616" s="825"/>
      <c r="I4616" s="825"/>
      <c r="J4616" s="825"/>
      <c r="K4616" s="825"/>
      <c r="L4616" s="825"/>
      <c r="M4616" s="825"/>
      <c r="N4616" s="825"/>
      <c r="O4616" s="826"/>
      <c r="P4616" s="702"/>
      <c r="Q4616" s="1821"/>
      <c r="R4616" s="1821"/>
      <c r="S4616" s="1821"/>
      <c r="T4616" s="1821"/>
      <c r="U4616" s="1821"/>
      <c r="V4616" s="1821"/>
      <c r="W4616" s="1821"/>
      <c r="X4616" s="1821"/>
      <c r="Y4616" s="1821"/>
      <c r="Z4616" s="1821"/>
      <c r="AA4616" s="1821"/>
      <c r="AB4616" s="1821"/>
      <c r="AC4616" s="1821"/>
      <c r="AD4616" s="1821"/>
      <c r="AE4616" s="1821"/>
      <c r="AF4616" s="1821"/>
      <c r="AG4616" s="1821"/>
      <c r="AH4616" s="1821"/>
      <c r="AI4616" s="1821"/>
      <c r="AJ4616" s="1821"/>
      <c r="AK4616" s="1821"/>
      <c r="AL4616" s="1821"/>
      <c r="AM4616" s="1821"/>
      <c r="AN4616" s="1821"/>
      <c r="AO4616" s="1821"/>
      <c r="AP4616" s="1821"/>
      <c r="AQ4616" s="1821"/>
      <c r="AR4616" s="1821"/>
      <c r="AS4616" s="1821"/>
      <c r="AT4616" s="1821"/>
      <c r="AU4616" s="1821"/>
      <c r="AV4616" s="1821"/>
      <c r="AW4616" s="1821"/>
      <c r="AX4616" s="1821"/>
      <c r="AY4616" s="1821"/>
      <c r="AZ4616" s="1821"/>
      <c r="BA4616" s="1821"/>
      <c r="BB4616" s="1821"/>
      <c r="BC4616" s="1821"/>
      <c r="BD4616" s="1821"/>
      <c r="BE4616" s="1821"/>
      <c r="BF4616" s="1821"/>
      <c r="BG4616" s="1821"/>
      <c r="BH4616" s="1821"/>
      <c r="BI4616" s="1821"/>
      <c r="BJ4616" s="1821"/>
      <c r="BK4616" s="1821"/>
      <c r="BL4616" s="1821"/>
      <c r="BM4616" s="1821"/>
      <c r="BN4616" s="1821"/>
      <c r="BO4616" s="1821"/>
      <c r="BP4616" s="1821"/>
      <c r="BQ4616" s="1821"/>
      <c r="BR4616" s="1821"/>
      <c r="BS4616" s="1821"/>
      <c r="BT4616" s="1821"/>
      <c r="BU4616" s="1821"/>
      <c r="BV4616" s="1821"/>
      <c r="BW4616" s="1821"/>
      <c r="BX4616" s="1821"/>
      <c r="BY4616" s="1821"/>
      <c r="BZ4616" s="1821"/>
      <c r="CA4616" s="1821"/>
      <c r="CB4616" s="1821"/>
      <c r="CC4616" s="1821"/>
      <c r="CD4616" s="1821"/>
      <c r="CE4616" s="1821"/>
      <c r="CF4616" s="1821"/>
      <c r="CG4616" s="1821"/>
      <c r="CH4616" s="1821"/>
      <c r="CI4616" s="1821"/>
      <c r="CJ4616" s="1821"/>
      <c r="CK4616" s="1821"/>
    </row>
    <row r="4617" spans="1:89" s="675" customFormat="1" ht="16.5" customHeight="1" x14ac:dyDescent="0.25">
      <c r="A4617" s="849"/>
      <c r="B4617" s="1061" t="s">
        <v>537</v>
      </c>
      <c r="C4617" s="835"/>
      <c r="D4617" s="1062"/>
      <c r="E4617" s="825"/>
      <c r="F4617" s="825"/>
      <c r="G4617" s="825"/>
      <c r="H4617" s="825"/>
      <c r="I4617" s="825">
        <f>E4617*C4617</f>
        <v>0</v>
      </c>
      <c r="J4617" s="825"/>
      <c r="K4617" s="825"/>
      <c r="L4617" s="825"/>
      <c r="M4617" s="825"/>
      <c r="N4617" s="825"/>
      <c r="O4617" s="826"/>
      <c r="P4617" s="702"/>
      <c r="Q4617" s="1821"/>
      <c r="R4617" s="1821"/>
      <c r="S4617" s="1821"/>
      <c r="T4617" s="1821"/>
      <c r="U4617" s="1821"/>
      <c r="V4617" s="1821"/>
      <c r="W4617" s="1821"/>
      <c r="X4617" s="1821"/>
      <c r="Y4617" s="1821"/>
      <c r="Z4617" s="1821"/>
      <c r="AA4617" s="1821"/>
      <c r="AB4617" s="1821"/>
      <c r="AC4617" s="1821"/>
      <c r="AD4617" s="1821"/>
      <c r="AE4617" s="1821"/>
      <c r="AF4617" s="1821"/>
      <c r="AG4617" s="1821"/>
      <c r="AH4617" s="1821"/>
      <c r="AI4617" s="1821"/>
      <c r="AJ4617" s="1821"/>
      <c r="AK4617" s="1821"/>
      <c r="AL4617" s="1821"/>
      <c r="AM4617" s="1821"/>
      <c r="AN4617" s="1821"/>
      <c r="AO4617" s="1821"/>
      <c r="AP4617" s="1821"/>
      <c r="AQ4617" s="1821"/>
      <c r="AR4617" s="1821"/>
      <c r="AS4617" s="1821"/>
      <c r="AT4617" s="1821"/>
      <c r="AU4617" s="1821"/>
      <c r="AV4617" s="1821"/>
      <c r="AW4617" s="1821"/>
      <c r="AX4617" s="1821"/>
      <c r="AY4617" s="1821"/>
      <c r="AZ4617" s="1821"/>
      <c r="BA4617" s="1821"/>
      <c r="BB4617" s="1821"/>
      <c r="BC4617" s="1821"/>
      <c r="BD4617" s="1821"/>
      <c r="BE4617" s="1821"/>
      <c r="BF4617" s="1821"/>
      <c r="BG4617" s="1821"/>
      <c r="BH4617" s="1821"/>
      <c r="BI4617" s="1821"/>
      <c r="BJ4617" s="1821"/>
      <c r="BK4617" s="1821"/>
      <c r="BL4617" s="1821"/>
      <c r="BM4617" s="1821"/>
      <c r="BN4617" s="1821"/>
      <c r="BO4617" s="1821"/>
      <c r="BP4617" s="1821"/>
      <c r="BQ4617" s="1821"/>
      <c r="BR4617" s="1821"/>
      <c r="BS4617" s="1821"/>
      <c r="BT4617" s="1821"/>
      <c r="BU4617" s="1821"/>
      <c r="BV4617" s="1821"/>
      <c r="BW4617" s="1821"/>
      <c r="BX4617" s="1821"/>
      <c r="BY4617" s="1821"/>
      <c r="BZ4617" s="1821"/>
      <c r="CA4617" s="1821"/>
      <c r="CB4617" s="1821"/>
      <c r="CC4617" s="1821"/>
      <c r="CD4617" s="1821"/>
      <c r="CE4617" s="1821"/>
      <c r="CF4617" s="1821"/>
      <c r="CG4617" s="1821"/>
      <c r="CH4617" s="1821"/>
      <c r="CI4617" s="1821"/>
      <c r="CJ4617" s="1821"/>
      <c r="CK4617" s="1821"/>
    </row>
    <row r="4618" spans="1:89" s="675" customFormat="1" ht="16.5" customHeight="1" x14ac:dyDescent="0.25">
      <c r="A4618" s="849"/>
      <c r="B4618" s="1061" t="s">
        <v>538</v>
      </c>
      <c r="C4618" s="835"/>
      <c r="D4618" s="1062"/>
      <c r="E4618" s="825"/>
      <c r="F4618" s="825"/>
      <c r="G4618" s="825"/>
      <c r="H4618" s="825"/>
      <c r="I4618" s="825">
        <f>E4618*C4618</f>
        <v>0</v>
      </c>
      <c r="J4618" s="825"/>
      <c r="K4618" s="825">
        <f>J4618+I4618</f>
        <v>0</v>
      </c>
      <c r="L4618" s="825"/>
      <c r="M4618" s="825"/>
      <c r="N4618" s="825"/>
      <c r="O4618" s="826">
        <f>N4618+K4618+H4618</f>
        <v>0</v>
      </c>
      <c r="P4618" s="702"/>
      <c r="Q4618" s="1821"/>
      <c r="R4618" s="1821"/>
      <c r="S4618" s="1821"/>
      <c r="T4618" s="1821"/>
      <c r="U4618" s="1821"/>
      <c r="V4618" s="1821"/>
      <c r="W4618" s="1821"/>
      <c r="X4618" s="1821"/>
      <c r="Y4618" s="1821"/>
      <c r="Z4618" s="1821"/>
      <c r="AA4618" s="1821"/>
      <c r="AB4618" s="1821"/>
      <c r="AC4618" s="1821"/>
      <c r="AD4618" s="1821"/>
      <c r="AE4618" s="1821"/>
      <c r="AF4618" s="1821"/>
      <c r="AG4618" s="1821"/>
      <c r="AH4618" s="1821"/>
      <c r="AI4618" s="1821"/>
      <c r="AJ4618" s="1821"/>
      <c r="AK4618" s="1821"/>
      <c r="AL4618" s="1821"/>
      <c r="AM4618" s="1821"/>
      <c r="AN4618" s="1821"/>
      <c r="AO4618" s="1821"/>
      <c r="AP4618" s="1821"/>
      <c r="AQ4618" s="1821"/>
      <c r="AR4618" s="1821"/>
      <c r="AS4618" s="1821"/>
      <c r="AT4618" s="1821"/>
      <c r="AU4618" s="1821"/>
      <c r="AV4618" s="1821"/>
      <c r="AW4618" s="1821"/>
      <c r="AX4618" s="1821"/>
      <c r="AY4618" s="1821"/>
      <c r="AZ4618" s="1821"/>
      <c r="BA4618" s="1821"/>
      <c r="BB4618" s="1821"/>
      <c r="BC4618" s="1821"/>
      <c r="BD4618" s="1821"/>
      <c r="BE4618" s="1821"/>
      <c r="BF4618" s="1821"/>
      <c r="BG4618" s="1821"/>
      <c r="BH4618" s="1821"/>
      <c r="BI4618" s="1821"/>
      <c r="BJ4618" s="1821"/>
      <c r="BK4618" s="1821"/>
      <c r="BL4618" s="1821"/>
      <c r="BM4618" s="1821"/>
      <c r="BN4618" s="1821"/>
      <c r="BO4618" s="1821"/>
      <c r="BP4618" s="1821"/>
      <c r="BQ4618" s="1821"/>
      <c r="BR4618" s="1821"/>
      <c r="BS4618" s="1821"/>
      <c r="BT4618" s="1821"/>
      <c r="BU4618" s="1821"/>
      <c r="BV4618" s="1821"/>
      <c r="BW4618" s="1821"/>
      <c r="BX4618" s="1821"/>
      <c r="BY4618" s="1821"/>
      <c r="BZ4618" s="1821"/>
      <c r="CA4618" s="1821"/>
      <c r="CB4618" s="1821"/>
      <c r="CC4618" s="1821"/>
      <c r="CD4618" s="1821"/>
      <c r="CE4618" s="1821"/>
      <c r="CF4618" s="1821"/>
      <c r="CG4618" s="1821"/>
      <c r="CH4618" s="1821"/>
      <c r="CI4618" s="1821"/>
      <c r="CJ4618" s="1821"/>
      <c r="CK4618" s="1821"/>
    </row>
    <row r="4619" spans="1:89" s="675" customFormat="1" ht="16.5" customHeight="1" x14ac:dyDescent="0.25">
      <c r="A4619" s="849"/>
      <c r="B4619" s="1061" t="s">
        <v>2247</v>
      </c>
      <c r="C4619" s="835"/>
      <c r="D4619" s="1062"/>
      <c r="E4619" s="825"/>
      <c r="F4619" s="825"/>
      <c r="G4619" s="825"/>
      <c r="H4619" s="825"/>
      <c r="I4619" s="825">
        <f>E4619*C4619</f>
        <v>0</v>
      </c>
      <c r="J4619" s="825"/>
      <c r="K4619" s="825">
        <f>J4619+I4619</f>
        <v>0</v>
      </c>
      <c r="L4619" s="825"/>
      <c r="M4619" s="825"/>
      <c r="N4619" s="825"/>
      <c r="O4619" s="826">
        <f>N4619+K4619+H4619</f>
        <v>0</v>
      </c>
      <c r="P4619" s="702"/>
      <c r="Q4619" s="1821"/>
      <c r="R4619" s="1821"/>
      <c r="S4619" s="1821"/>
      <c r="T4619" s="1821"/>
      <c r="U4619" s="1821"/>
      <c r="V4619" s="1821"/>
      <c r="W4619" s="1821"/>
      <c r="X4619" s="1821"/>
      <c r="Y4619" s="1821"/>
      <c r="Z4619" s="1821"/>
      <c r="AA4619" s="1821"/>
      <c r="AB4619" s="1821"/>
      <c r="AC4619" s="1821"/>
      <c r="AD4619" s="1821"/>
      <c r="AE4619" s="1821"/>
      <c r="AF4619" s="1821"/>
      <c r="AG4619" s="1821"/>
      <c r="AH4619" s="1821"/>
      <c r="AI4619" s="1821"/>
      <c r="AJ4619" s="1821"/>
      <c r="AK4619" s="1821"/>
      <c r="AL4619" s="1821"/>
      <c r="AM4619" s="1821"/>
      <c r="AN4619" s="1821"/>
      <c r="AO4619" s="1821"/>
      <c r="AP4619" s="1821"/>
      <c r="AQ4619" s="1821"/>
      <c r="AR4619" s="1821"/>
      <c r="AS4619" s="1821"/>
      <c r="AT4619" s="1821"/>
      <c r="AU4619" s="1821"/>
      <c r="AV4619" s="1821"/>
      <c r="AW4619" s="1821"/>
      <c r="AX4619" s="1821"/>
      <c r="AY4619" s="1821"/>
      <c r="AZ4619" s="1821"/>
      <c r="BA4619" s="1821"/>
      <c r="BB4619" s="1821"/>
      <c r="BC4619" s="1821"/>
      <c r="BD4619" s="1821"/>
      <c r="BE4619" s="1821"/>
      <c r="BF4619" s="1821"/>
      <c r="BG4619" s="1821"/>
      <c r="BH4619" s="1821"/>
      <c r="BI4619" s="1821"/>
      <c r="BJ4619" s="1821"/>
      <c r="BK4619" s="1821"/>
      <c r="BL4619" s="1821"/>
      <c r="BM4619" s="1821"/>
      <c r="BN4619" s="1821"/>
      <c r="BO4619" s="1821"/>
      <c r="BP4619" s="1821"/>
      <c r="BQ4619" s="1821"/>
      <c r="BR4619" s="1821"/>
      <c r="BS4619" s="1821"/>
      <c r="BT4619" s="1821"/>
      <c r="BU4619" s="1821"/>
      <c r="BV4619" s="1821"/>
      <c r="BW4619" s="1821"/>
      <c r="BX4619" s="1821"/>
      <c r="BY4619" s="1821"/>
      <c r="BZ4619" s="1821"/>
      <c r="CA4619" s="1821"/>
      <c r="CB4619" s="1821"/>
      <c r="CC4619" s="1821"/>
      <c r="CD4619" s="1821"/>
      <c r="CE4619" s="1821"/>
      <c r="CF4619" s="1821"/>
      <c r="CG4619" s="1821"/>
      <c r="CH4619" s="1821"/>
      <c r="CI4619" s="1821"/>
      <c r="CJ4619" s="1821"/>
      <c r="CK4619" s="1821"/>
    </row>
    <row r="4620" spans="1:89" s="675" customFormat="1" ht="16.5" customHeight="1" x14ac:dyDescent="0.25">
      <c r="A4620" s="849"/>
      <c r="B4620" s="1061" t="s">
        <v>539</v>
      </c>
      <c r="C4620" s="835">
        <v>1</v>
      </c>
      <c r="D4620" s="1062" t="s">
        <v>25</v>
      </c>
      <c r="E4620" s="825">
        <f>600000-100000</f>
        <v>500000</v>
      </c>
      <c r="F4620" s="825"/>
      <c r="G4620" s="825"/>
      <c r="H4620" s="825"/>
      <c r="I4620" s="825">
        <f>E4620*C4620</f>
        <v>500000</v>
      </c>
      <c r="J4620" s="825"/>
      <c r="K4620" s="825">
        <f>J4620+I4620</f>
        <v>500000</v>
      </c>
      <c r="L4620" s="825"/>
      <c r="M4620" s="825"/>
      <c r="N4620" s="825"/>
      <c r="O4620" s="826">
        <f>N4620+K4620+H4620</f>
        <v>500000</v>
      </c>
      <c r="P4620" s="702"/>
      <c r="Q4620" s="1821"/>
      <c r="R4620" s="1821"/>
      <c r="S4620" s="1821"/>
      <c r="T4620" s="1821"/>
      <c r="U4620" s="1821"/>
      <c r="V4620" s="1821"/>
      <c r="W4620" s="1821"/>
      <c r="X4620" s="1821"/>
      <c r="Y4620" s="1821"/>
      <c r="Z4620" s="1821"/>
      <c r="AA4620" s="1821"/>
      <c r="AB4620" s="1821"/>
      <c r="AC4620" s="1821"/>
      <c r="AD4620" s="1821"/>
      <c r="AE4620" s="1821"/>
      <c r="AF4620" s="1821"/>
      <c r="AG4620" s="1821"/>
      <c r="AH4620" s="1821"/>
      <c r="AI4620" s="1821"/>
      <c r="AJ4620" s="1821"/>
      <c r="AK4620" s="1821"/>
      <c r="AL4620" s="1821"/>
      <c r="AM4620" s="1821"/>
      <c r="AN4620" s="1821"/>
      <c r="AO4620" s="1821"/>
      <c r="AP4620" s="1821"/>
      <c r="AQ4620" s="1821"/>
      <c r="AR4620" s="1821"/>
      <c r="AS4620" s="1821"/>
      <c r="AT4620" s="1821"/>
      <c r="AU4620" s="1821"/>
      <c r="AV4620" s="1821"/>
      <c r="AW4620" s="1821"/>
      <c r="AX4620" s="1821"/>
      <c r="AY4620" s="1821"/>
      <c r="AZ4620" s="1821"/>
      <c r="BA4620" s="1821"/>
      <c r="BB4620" s="1821"/>
      <c r="BC4620" s="1821"/>
      <c r="BD4620" s="1821"/>
      <c r="BE4620" s="1821"/>
      <c r="BF4620" s="1821"/>
      <c r="BG4620" s="1821"/>
      <c r="BH4620" s="1821"/>
      <c r="BI4620" s="1821"/>
      <c r="BJ4620" s="1821"/>
      <c r="BK4620" s="1821"/>
      <c r="BL4620" s="1821"/>
      <c r="BM4620" s="1821"/>
      <c r="BN4620" s="1821"/>
      <c r="BO4620" s="1821"/>
      <c r="BP4620" s="1821"/>
      <c r="BQ4620" s="1821"/>
      <c r="BR4620" s="1821"/>
      <c r="BS4620" s="1821"/>
      <c r="BT4620" s="1821"/>
      <c r="BU4620" s="1821"/>
      <c r="BV4620" s="1821"/>
      <c r="BW4620" s="1821"/>
      <c r="BX4620" s="1821"/>
      <c r="BY4620" s="1821"/>
      <c r="BZ4620" s="1821"/>
      <c r="CA4620" s="1821"/>
      <c r="CB4620" s="1821"/>
      <c r="CC4620" s="1821"/>
      <c r="CD4620" s="1821"/>
      <c r="CE4620" s="1821"/>
      <c r="CF4620" s="1821"/>
      <c r="CG4620" s="1821"/>
      <c r="CH4620" s="1821"/>
      <c r="CI4620" s="1821"/>
      <c r="CJ4620" s="1821"/>
      <c r="CK4620" s="1821"/>
    </row>
    <row r="4621" spans="1:89" s="675" customFormat="1" ht="16.5" customHeight="1" x14ac:dyDescent="0.25">
      <c r="A4621" s="849"/>
      <c r="B4621" s="1061"/>
      <c r="C4621" s="835"/>
      <c r="D4621" s="1062"/>
      <c r="E4621" s="825"/>
      <c r="F4621" s="825"/>
      <c r="G4621" s="825"/>
      <c r="H4621" s="825"/>
      <c r="I4621" s="825"/>
      <c r="J4621" s="825"/>
      <c r="K4621" s="825"/>
      <c r="L4621" s="825"/>
      <c r="M4621" s="825"/>
      <c r="N4621" s="825"/>
      <c r="O4621" s="826"/>
      <c r="P4621" s="702"/>
      <c r="Q4621" s="1821"/>
      <c r="R4621" s="1821"/>
      <c r="S4621" s="1821"/>
      <c r="T4621" s="1821"/>
      <c r="U4621" s="1821"/>
      <c r="V4621" s="1821"/>
      <c r="W4621" s="1821"/>
      <c r="X4621" s="1821"/>
      <c r="Y4621" s="1821"/>
      <c r="Z4621" s="1821"/>
      <c r="AA4621" s="1821"/>
      <c r="AB4621" s="1821"/>
      <c r="AC4621" s="1821"/>
      <c r="AD4621" s="1821"/>
      <c r="AE4621" s="1821"/>
      <c r="AF4621" s="1821"/>
      <c r="AG4621" s="1821"/>
      <c r="AH4621" s="1821"/>
      <c r="AI4621" s="1821"/>
      <c r="AJ4621" s="1821"/>
      <c r="AK4621" s="1821"/>
      <c r="AL4621" s="1821"/>
      <c r="AM4621" s="1821"/>
      <c r="AN4621" s="1821"/>
      <c r="AO4621" s="1821"/>
      <c r="AP4621" s="1821"/>
      <c r="AQ4621" s="1821"/>
      <c r="AR4621" s="1821"/>
      <c r="AS4621" s="1821"/>
      <c r="AT4621" s="1821"/>
      <c r="AU4621" s="1821"/>
      <c r="AV4621" s="1821"/>
      <c r="AW4621" s="1821"/>
      <c r="AX4621" s="1821"/>
      <c r="AY4621" s="1821"/>
      <c r="AZ4621" s="1821"/>
      <c r="BA4621" s="1821"/>
      <c r="BB4621" s="1821"/>
      <c r="BC4621" s="1821"/>
      <c r="BD4621" s="1821"/>
      <c r="BE4621" s="1821"/>
      <c r="BF4621" s="1821"/>
      <c r="BG4621" s="1821"/>
      <c r="BH4621" s="1821"/>
      <c r="BI4621" s="1821"/>
      <c r="BJ4621" s="1821"/>
      <c r="BK4621" s="1821"/>
      <c r="BL4621" s="1821"/>
      <c r="BM4621" s="1821"/>
      <c r="BN4621" s="1821"/>
      <c r="BO4621" s="1821"/>
      <c r="BP4621" s="1821"/>
      <c r="BQ4621" s="1821"/>
      <c r="BR4621" s="1821"/>
      <c r="BS4621" s="1821"/>
      <c r="BT4621" s="1821"/>
      <c r="BU4621" s="1821"/>
      <c r="BV4621" s="1821"/>
      <c r="BW4621" s="1821"/>
      <c r="BX4621" s="1821"/>
      <c r="BY4621" s="1821"/>
      <c r="BZ4621" s="1821"/>
      <c r="CA4621" s="1821"/>
      <c r="CB4621" s="1821"/>
      <c r="CC4621" s="1821"/>
      <c r="CD4621" s="1821"/>
      <c r="CE4621" s="1821"/>
      <c r="CF4621" s="1821"/>
      <c r="CG4621" s="1821"/>
      <c r="CH4621" s="1821"/>
      <c r="CI4621" s="1821"/>
      <c r="CJ4621" s="1821"/>
      <c r="CK4621" s="1821"/>
    </row>
    <row r="4622" spans="1:89" s="675" customFormat="1" ht="16.5" customHeight="1" x14ac:dyDescent="0.25">
      <c r="A4622" s="849"/>
      <c r="B4622" s="1061"/>
      <c r="C4622" s="835"/>
      <c r="D4622" s="1062"/>
      <c r="E4622" s="825"/>
      <c r="F4622" s="825"/>
      <c r="G4622" s="825"/>
      <c r="H4622" s="825"/>
      <c r="I4622" s="825"/>
      <c r="J4622" s="825"/>
      <c r="K4622" s="825"/>
      <c r="L4622" s="825"/>
      <c r="M4622" s="825"/>
      <c r="N4622" s="825"/>
      <c r="O4622" s="826"/>
      <c r="P4622" s="702"/>
      <c r="Q4622" s="1821"/>
      <c r="R4622" s="1821"/>
      <c r="S4622" s="1821"/>
      <c r="T4622" s="1821"/>
      <c r="U4622" s="1821"/>
      <c r="V4622" s="1821"/>
      <c r="W4622" s="1821"/>
      <c r="X4622" s="1821"/>
      <c r="Y4622" s="1821"/>
      <c r="Z4622" s="1821"/>
      <c r="AA4622" s="1821"/>
      <c r="AB4622" s="1821"/>
      <c r="AC4622" s="1821"/>
      <c r="AD4622" s="1821"/>
      <c r="AE4622" s="1821"/>
      <c r="AF4622" s="1821"/>
      <c r="AG4622" s="1821"/>
      <c r="AH4622" s="1821"/>
      <c r="AI4622" s="1821"/>
      <c r="AJ4622" s="1821"/>
      <c r="AK4622" s="1821"/>
      <c r="AL4622" s="1821"/>
      <c r="AM4622" s="1821"/>
      <c r="AN4622" s="1821"/>
      <c r="AO4622" s="1821"/>
      <c r="AP4622" s="1821"/>
      <c r="AQ4622" s="1821"/>
      <c r="AR4622" s="1821"/>
      <c r="AS4622" s="1821"/>
      <c r="AT4622" s="1821"/>
      <c r="AU4622" s="1821"/>
      <c r="AV4622" s="1821"/>
      <c r="AW4622" s="1821"/>
      <c r="AX4622" s="1821"/>
      <c r="AY4622" s="1821"/>
      <c r="AZ4622" s="1821"/>
      <c r="BA4622" s="1821"/>
      <c r="BB4622" s="1821"/>
      <c r="BC4622" s="1821"/>
      <c r="BD4622" s="1821"/>
      <c r="BE4622" s="1821"/>
      <c r="BF4622" s="1821"/>
      <c r="BG4622" s="1821"/>
      <c r="BH4622" s="1821"/>
      <c r="BI4622" s="1821"/>
      <c r="BJ4622" s="1821"/>
      <c r="BK4622" s="1821"/>
      <c r="BL4622" s="1821"/>
      <c r="BM4622" s="1821"/>
      <c r="BN4622" s="1821"/>
      <c r="BO4622" s="1821"/>
      <c r="BP4622" s="1821"/>
      <c r="BQ4622" s="1821"/>
      <c r="BR4622" s="1821"/>
      <c r="BS4622" s="1821"/>
      <c r="BT4622" s="1821"/>
      <c r="BU4622" s="1821"/>
      <c r="BV4622" s="1821"/>
      <c r="BW4622" s="1821"/>
      <c r="BX4622" s="1821"/>
      <c r="BY4622" s="1821"/>
      <c r="BZ4622" s="1821"/>
      <c r="CA4622" s="1821"/>
      <c r="CB4622" s="1821"/>
      <c r="CC4622" s="1821"/>
      <c r="CD4622" s="1821"/>
      <c r="CE4622" s="1821"/>
      <c r="CF4622" s="1821"/>
      <c r="CG4622" s="1821"/>
      <c r="CH4622" s="1821"/>
      <c r="CI4622" s="1821"/>
      <c r="CJ4622" s="1821"/>
      <c r="CK4622" s="1821"/>
    </row>
    <row r="4623" spans="1:89" s="675" customFormat="1" ht="16.5" customHeight="1" x14ac:dyDescent="0.25">
      <c r="A4623" s="849"/>
      <c r="B4623" s="1061"/>
      <c r="C4623" s="835"/>
      <c r="D4623" s="1062"/>
      <c r="E4623" s="825"/>
      <c r="F4623" s="825"/>
      <c r="G4623" s="825"/>
      <c r="H4623" s="825"/>
      <c r="I4623" s="825"/>
      <c r="J4623" s="825"/>
      <c r="K4623" s="825"/>
      <c r="L4623" s="825"/>
      <c r="M4623" s="825"/>
      <c r="N4623" s="825"/>
      <c r="O4623" s="826"/>
      <c r="P4623" s="702"/>
      <c r="Q4623" s="1821"/>
      <c r="R4623" s="1821"/>
      <c r="S4623" s="1821"/>
      <c r="T4623" s="1821"/>
      <c r="U4623" s="1821"/>
      <c r="V4623" s="1821"/>
      <c r="W4623" s="1821"/>
      <c r="X4623" s="1821"/>
      <c r="Y4623" s="1821"/>
      <c r="Z4623" s="1821"/>
      <c r="AA4623" s="1821"/>
      <c r="AB4623" s="1821"/>
      <c r="AC4623" s="1821"/>
      <c r="AD4623" s="1821"/>
      <c r="AE4623" s="1821"/>
      <c r="AF4623" s="1821"/>
      <c r="AG4623" s="1821"/>
      <c r="AH4623" s="1821"/>
      <c r="AI4623" s="1821"/>
      <c r="AJ4623" s="1821"/>
      <c r="AK4623" s="1821"/>
      <c r="AL4623" s="1821"/>
      <c r="AM4623" s="1821"/>
      <c r="AN4623" s="1821"/>
      <c r="AO4623" s="1821"/>
      <c r="AP4623" s="1821"/>
      <c r="AQ4623" s="1821"/>
      <c r="AR4623" s="1821"/>
      <c r="AS4623" s="1821"/>
      <c r="AT4623" s="1821"/>
      <c r="AU4623" s="1821"/>
      <c r="AV4623" s="1821"/>
      <c r="AW4623" s="1821"/>
      <c r="AX4623" s="1821"/>
      <c r="AY4623" s="1821"/>
      <c r="AZ4623" s="1821"/>
      <c r="BA4623" s="1821"/>
      <c r="BB4623" s="1821"/>
      <c r="BC4623" s="1821"/>
      <c r="BD4623" s="1821"/>
      <c r="BE4623" s="1821"/>
      <c r="BF4623" s="1821"/>
      <c r="BG4623" s="1821"/>
      <c r="BH4623" s="1821"/>
      <c r="BI4623" s="1821"/>
      <c r="BJ4623" s="1821"/>
      <c r="BK4623" s="1821"/>
      <c r="BL4623" s="1821"/>
      <c r="BM4623" s="1821"/>
      <c r="BN4623" s="1821"/>
      <c r="BO4623" s="1821"/>
      <c r="BP4623" s="1821"/>
      <c r="BQ4623" s="1821"/>
      <c r="BR4623" s="1821"/>
      <c r="BS4623" s="1821"/>
      <c r="BT4623" s="1821"/>
      <c r="BU4623" s="1821"/>
      <c r="BV4623" s="1821"/>
      <c r="BW4623" s="1821"/>
      <c r="BX4623" s="1821"/>
      <c r="BY4623" s="1821"/>
      <c r="BZ4623" s="1821"/>
      <c r="CA4623" s="1821"/>
      <c r="CB4623" s="1821"/>
      <c r="CC4623" s="1821"/>
      <c r="CD4623" s="1821"/>
      <c r="CE4623" s="1821"/>
      <c r="CF4623" s="1821"/>
      <c r="CG4623" s="1821"/>
      <c r="CH4623" s="1821"/>
      <c r="CI4623" s="1821"/>
      <c r="CJ4623" s="1821"/>
      <c r="CK4623" s="1821"/>
    </row>
    <row r="4624" spans="1:89" s="675" customFormat="1" ht="16.5" customHeight="1" x14ac:dyDescent="0.25">
      <c r="A4624" s="849">
        <v>16</v>
      </c>
      <c r="B4624" s="1061" t="s">
        <v>567</v>
      </c>
      <c r="C4624" s="835"/>
      <c r="D4624" s="1062"/>
      <c r="E4624" s="825"/>
      <c r="F4624" s="825"/>
      <c r="G4624" s="825"/>
      <c r="H4624" s="825"/>
      <c r="I4624" s="825"/>
      <c r="J4624" s="825"/>
      <c r="K4624" s="825"/>
      <c r="L4624" s="825"/>
      <c r="M4624" s="825"/>
      <c r="N4624" s="825"/>
      <c r="O4624" s="826"/>
      <c r="P4624" s="702"/>
      <c r="Q4624" s="1821"/>
      <c r="R4624" s="1821"/>
      <c r="S4624" s="1821"/>
      <c r="T4624" s="1821"/>
      <c r="U4624" s="1821"/>
      <c r="V4624" s="1821"/>
      <c r="W4624" s="1821"/>
      <c r="X4624" s="1821"/>
      <c r="Y4624" s="1821"/>
      <c r="Z4624" s="1821"/>
      <c r="AA4624" s="1821"/>
      <c r="AB4624" s="1821"/>
      <c r="AC4624" s="1821"/>
      <c r="AD4624" s="1821"/>
      <c r="AE4624" s="1821"/>
      <c r="AF4624" s="1821"/>
      <c r="AG4624" s="1821"/>
      <c r="AH4624" s="1821"/>
      <c r="AI4624" s="1821"/>
      <c r="AJ4624" s="1821"/>
      <c r="AK4624" s="1821"/>
      <c r="AL4624" s="1821"/>
      <c r="AM4624" s="1821"/>
      <c r="AN4624" s="1821"/>
      <c r="AO4624" s="1821"/>
      <c r="AP4624" s="1821"/>
      <c r="AQ4624" s="1821"/>
      <c r="AR4624" s="1821"/>
      <c r="AS4624" s="1821"/>
      <c r="AT4624" s="1821"/>
      <c r="AU4624" s="1821"/>
      <c r="AV4624" s="1821"/>
      <c r="AW4624" s="1821"/>
      <c r="AX4624" s="1821"/>
      <c r="AY4624" s="1821"/>
      <c r="AZ4624" s="1821"/>
      <c r="BA4624" s="1821"/>
      <c r="BB4624" s="1821"/>
      <c r="BC4624" s="1821"/>
      <c r="BD4624" s="1821"/>
      <c r="BE4624" s="1821"/>
      <c r="BF4624" s="1821"/>
      <c r="BG4624" s="1821"/>
      <c r="BH4624" s="1821"/>
      <c r="BI4624" s="1821"/>
      <c r="BJ4624" s="1821"/>
      <c r="BK4624" s="1821"/>
      <c r="BL4624" s="1821"/>
      <c r="BM4624" s="1821"/>
      <c r="BN4624" s="1821"/>
      <c r="BO4624" s="1821"/>
      <c r="BP4624" s="1821"/>
      <c r="BQ4624" s="1821"/>
      <c r="BR4624" s="1821"/>
      <c r="BS4624" s="1821"/>
      <c r="BT4624" s="1821"/>
      <c r="BU4624" s="1821"/>
      <c r="BV4624" s="1821"/>
      <c r="BW4624" s="1821"/>
      <c r="BX4624" s="1821"/>
      <c r="BY4624" s="1821"/>
      <c r="BZ4624" s="1821"/>
      <c r="CA4624" s="1821"/>
      <c r="CB4624" s="1821"/>
      <c r="CC4624" s="1821"/>
      <c r="CD4624" s="1821"/>
      <c r="CE4624" s="1821"/>
      <c r="CF4624" s="1821"/>
      <c r="CG4624" s="1821"/>
      <c r="CH4624" s="1821"/>
      <c r="CI4624" s="1821"/>
      <c r="CJ4624" s="1821"/>
      <c r="CK4624" s="1821"/>
    </row>
    <row r="4625" spans="1:89" s="675" customFormat="1" ht="16.5" customHeight="1" x14ac:dyDescent="0.25">
      <c r="A4625" s="849"/>
      <c r="B4625" s="1061" t="s">
        <v>57</v>
      </c>
      <c r="C4625" s="835"/>
      <c r="D4625" s="1062"/>
      <c r="E4625" s="825"/>
      <c r="F4625" s="825"/>
      <c r="G4625" s="825"/>
      <c r="H4625" s="825"/>
      <c r="I4625" s="825"/>
      <c r="J4625" s="825"/>
      <c r="K4625" s="825"/>
      <c r="L4625" s="825"/>
      <c r="M4625" s="825"/>
      <c r="N4625" s="825"/>
      <c r="O4625" s="826">
        <f>SUM(O4626+O4674)</f>
        <v>1938720</v>
      </c>
      <c r="P4625" s="702"/>
      <c r="Q4625" s="1821"/>
      <c r="R4625" s="1821"/>
      <c r="S4625" s="1821"/>
      <c r="T4625" s="1821"/>
      <c r="U4625" s="1821"/>
      <c r="V4625" s="1821"/>
      <c r="W4625" s="1821"/>
      <c r="X4625" s="1821"/>
      <c r="Y4625" s="1821"/>
      <c r="Z4625" s="1821"/>
      <c r="AA4625" s="1821"/>
      <c r="AB4625" s="1821"/>
      <c r="AC4625" s="1821"/>
      <c r="AD4625" s="1821"/>
      <c r="AE4625" s="1821"/>
      <c r="AF4625" s="1821"/>
      <c r="AG4625" s="1821"/>
      <c r="AH4625" s="1821"/>
      <c r="AI4625" s="1821"/>
      <c r="AJ4625" s="1821"/>
      <c r="AK4625" s="1821"/>
      <c r="AL4625" s="1821"/>
      <c r="AM4625" s="1821"/>
      <c r="AN4625" s="1821"/>
      <c r="AO4625" s="1821"/>
      <c r="AP4625" s="1821"/>
      <c r="AQ4625" s="1821"/>
      <c r="AR4625" s="1821"/>
      <c r="AS4625" s="1821"/>
      <c r="AT4625" s="1821"/>
      <c r="AU4625" s="1821"/>
      <c r="AV4625" s="1821"/>
      <c r="AW4625" s="1821"/>
      <c r="AX4625" s="1821"/>
      <c r="AY4625" s="1821"/>
      <c r="AZ4625" s="1821"/>
      <c r="BA4625" s="1821"/>
      <c r="BB4625" s="1821"/>
      <c r="BC4625" s="1821"/>
      <c r="BD4625" s="1821"/>
      <c r="BE4625" s="1821"/>
      <c r="BF4625" s="1821"/>
      <c r="BG4625" s="1821"/>
      <c r="BH4625" s="1821"/>
      <c r="BI4625" s="1821"/>
      <c r="BJ4625" s="1821"/>
      <c r="BK4625" s="1821"/>
      <c r="BL4625" s="1821"/>
      <c r="BM4625" s="1821"/>
      <c r="BN4625" s="1821"/>
      <c r="BO4625" s="1821"/>
      <c r="BP4625" s="1821"/>
      <c r="BQ4625" s="1821"/>
      <c r="BR4625" s="1821"/>
      <c r="BS4625" s="1821"/>
      <c r="BT4625" s="1821"/>
      <c r="BU4625" s="1821"/>
      <c r="BV4625" s="1821"/>
      <c r="BW4625" s="1821"/>
      <c r="BX4625" s="1821"/>
      <c r="BY4625" s="1821"/>
      <c r="BZ4625" s="1821"/>
      <c r="CA4625" s="1821"/>
      <c r="CB4625" s="1821"/>
      <c r="CC4625" s="1821"/>
      <c r="CD4625" s="1821"/>
      <c r="CE4625" s="1821"/>
      <c r="CF4625" s="1821"/>
      <c r="CG4625" s="1821"/>
      <c r="CH4625" s="1821"/>
      <c r="CI4625" s="1821"/>
      <c r="CJ4625" s="1821"/>
      <c r="CK4625" s="1821"/>
    </row>
    <row r="4626" spans="1:89" s="675" customFormat="1" ht="16.5" customHeight="1" x14ac:dyDescent="0.25">
      <c r="A4626" s="849"/>
      <c r="B4626" s="1061" t="s">
        <v>2247</v>
      </c>
      <c r="C4626" s="835"/>
      <c r="D4626" s="1062"/>
      <c r="E4626" s="825"/>
      <c r="F4626" s="825"/>
      <c r="G4626" s="825"/>
      <c r="H4626" s="825"/>
      <c r="I4626" s="825"/>
      <c r="J4626" s="825"/>
      <c r="K4626" s="825"/>
      <c r="L4626" s="825"/>
      <c r="M4626" s="825"/>
      <c r="N4626" s="825"/>
      <c r="O4626" s="826">
        <f>SUM(O4627:O4658)</f>
        <v>938720</v>
      </c>
      <c r="P4626" s="702"/>
      <c r="Q4626" s="1821"/>
      <c r="R4626" s="1821"/>
      <c r="S4626" s="1821"/>
      <c r="T4626" s="1821"/>
      <c r="U4626" s="1821"/>
      <c r="V4626" s="1821"/>
      <c r="W4626" s="1821"/>
      <c r="X4626" s="1821"/>
      <c r="Y4626" s="1821"/>
      <c r="Z4626" s="1821"/>
      <c r="AA4626" s="1821"/>
      <c r="AB4626" s="1821"/>
      <c r="AC4626" s="1821"/>
      <c r="AD4626" s="1821"/>
      <c r="AE4626" s="1821"/>
      <c r="AF4626" s="1821"/>
      <c r="AG4626" s="1821"/>
      <c r="AH4626" s="1821"/>
      <c r="AI4626" s="1821"/>
      <c r="AJ4626" s="1821"/>
      <c r="AK4626" s="1821"/>
      <c r="AL4626" s="1821"/>
      <c r="AM4626" s="1821"/>
      <c r="AN4626" s="1821"/>
      <c r="AO4626" s="1821"/>
      <c r="AP4626" s="1821"/>
      <c r="AQ4626" s="1821"/>
      <c r="AR4626" s="1821"/>
      <c r="AS4626" s="1821"/>
      <c r="AT4626" s="1821"/>
      <c r="AU4626" s="1821"/>
      <c r="AV4626" s="1821"/>
      <c r="AW4626" s="1821"/>
      <c r="AX4626" s="1821"/>
      <c r="AY4626" s="1821"/>
      <c r="AZ4626" s="1821"/>
      <c r="BA4626" s="1821"/>
      <c r="BB4626" s="1821"/>
      <c r="BC4626" s="1821"/>
      <c r="BD4626" s="1821"/>
      <c r="BE4626" s="1821"/>
      <c r="BF4626" s="1821"/>
      <c r="BG4626" s="1821"/>
      <c r="BH4626" s="1821"/>
      <c r="BI4626" s="1821"/>
      <c r="BJ4626" s="1821"/>
      <c r="BK4626" s="1821"/>
      <c r="BL4626" s="1821"/>
      <c r="BM4626" s="1821"/>
      <c r="BN4626" s="1821"/>
      <c r="BO4626" s="1821"/>
      <c r="BP4626" s="1821"/>
      <c r="BQ4626" s="1821"/>
      <c r="BR4626" s="1821"/>
      <c r="BS4626" s="1821"/>
      <c r="BT4626" s="1821"/>
      <c r="BU4626" s="1821"/>
      <c r="BV4626" s="1821"/>
      <c r="BW4626" s="1821"/>
      <c r="BX4626" s="1821"/>
      <c r="BY4626" s="1821"/>
      <c r="BZ4626" s="1821"/>
      <c r="CA4626" s="1821"/>
      <c r="CB4626" s="1821"/>
      <c r="CC4626" s="1821"/>
      <c r="CD4626" s="1821"/>
      <c r="CE4626" s="1821"/>
      <c r="CF4626" s="1821"/>
      <c r="CG4626" s="1821"/>
      <c r="CH4626" s="1821"/>
      <c r="CI4626" s="1821"/>
      <c r="CJ4626" s="1821"/>
      <c r="CK4626" s="1821"/>
    </row>
    <row r="4627" spans="1:89" s="675" customFormat="1" ht="16.5" customHeight="1" x14ac:dyDescent="0.25">
      <c r="A4627" s="849"/>
      <c r="B4627" s="1061" t="s">
        <v>1429</v>
      </c>
      <c r="C4627" s="835">
        <v>1</v>
      </c>
      <c r="D4627" s="1062" t="s">
        <v>119</v>
      </c>
      <c r="E4627" s="825">
        <v>145000</v>
      </c>
      <c r="F4627" s="825"/>
      <c r="G4627" s="825"/>
      <c r="H4627" s="825"/>
      <c r="I4627" s="825"/>
      <c r="J4627" s="825"/>
      <c r="K4627" s="825">
        <f>J4627+I4627</f>
        <v>0</v>
      </c>
      <c r="L4627" s="825"/>
      <c r="M4627" s="825">
        <f>E4627*C4627</f>
        <v>145000</v>
      </c>
      <c r="N4627" s="825">
        <f>M4627+L4627</f>
        <v>145000</v>
      </c>
      <c r="O4627" s="826">
        <f>N4627+K4627+H4627</f>
        <v>145000</v>
      </c>
      <c r="P4627" s="702"/>
      <c r="Q4627" s="1821"/>
      <c r="R4627" s="1821"/>
      <c r="S4627" s="1821"/>
      <c r="T4627" s="1821"/>
      <c r="U4627" s="1821"/>
      <c r="V4627" s="1821"/>
      <c r="W4627" s="1821"/>
      <c r="X4627" s="1821"/>
      <c r="Y4627" s="1821"/>
      <c r="Z4627" s="1821"/>
      <c r="AA4627" s="1821"/>
      <c r="AB4627" s="1821"/>
      <c r="AC4627" s="1821"/>
      <c r="AD4627" s="1821"/>
      <c r="AE4627" s="1821"/>
      <c r="AF4627" s="1821"/>
      <c r="AG4627" s="1821"/>
      <c r="AH4627" s="1821"/>
      <c r="AI4627" s="1821"/>
      <c r="AJ4627" s="1821"/>
      <c r="AK4627" s="1821"/>
      <c r="AL4627" s="1821"/>
      <c r="AM4627" s="1821"/>
      <c r="AN4627" s="1821"/>
      <c r="AO4627" s="1821"/>
      <c r="AP4627" s="1821"/>
      <c r="AQ4627" s="1821"/>
      <c r="AR4627" s="1821"/>
      <c r="AS4627" s="1821"/>
      <c r="AT4627" s="1821"/>
      <c r="AU4627" s="1821"/>
      <c r="AV4627" s="1821"/>
      <c r="AW4627" s="1821"/>
      <c r="AX4627" s="1821"/>
      <c r="AY4627" s="1821"/>
      <c r="AZ4627" s="1821"/>
      <c r="BA4627" s="1821"/>
      <c r="BB4627" s="1821"/>
      <c r="BC4627" s="1821"/>
      <c r="BD4627" s="1821"/>
      <c r="BE4627" s="1821"/>
      <c r="BF4627" s="1821"/>
      <c r="BG4627" s="1821"/>
      <c r="BH4627" s="1821"/>
      <c r="BI4627" s="1821"/>
      <c r="BJ4627" s="1821"/>
      <c r="BK4627" s="1821"/>
      <c r="BL4627" s="1821"/>
      <c r="BM4627" s="1821"/>
      <c r="BN4627" s="1821"/>
      <c r="BO4627" s="1821"/>
      <c r="BP4627" s="1821"/>
      <c r="BQ4627" s="1821"/>
      <c r="BR4627" s="1821"/>
      <c r="BS4627" s="1821"/>
      <c r="BT4627" s="1821"/>
      <c r="BU4627" s="1821"/>
      <c r="BV4627" s="1821"/>
      <c r="BW4627" s="1821"/>
      <c r="BX4627" s="1821"/>
      <c r="BY4627" s="1821"/>
      <c r="BZ4627" s="1821"/>
      <c r="CA4627" s="1821"/>
      <c r="CB4627" s="1821"/>
      <c r="CC4627" s="1821"/>
      <c r="CD4627" s="1821"/>
      <c r="CE4627" s="1821"/>
      <c r="CF4627" s="1821"/>
      <c r="CG4627" s="1821"/>
      <c r="CH4627" s="1821"/>
      <c r="CI4627" s="1821"/>
      <c r="CJ4627" s="1821"/>
      <c r="CK4627" s="1821"/>
    </row>
    <row r="4628" spans="1:89" s="675" customFormat="1" ht="16.5" customHeight="1" x14ac:dyDescent="0.25">
      <c r="A4628" s="849"/>
      <c r="B4628" s="1061" t="s">
        <v>1430</v>
      </c>
      <c r="C4628" s="835">
        <v>1</v>
      </c>
      <c r="D4628" s="1062" t="s">
        <v>119</v>
      </c>
      <c r="E4628" s="825">
        <v>275000</v>
      </c>
      <c r="F4628" s="825"/>
      <c r="G4628" s="825"/>
      <c r="H4628" s="825"/>
      <c r="I4628" s="825"/>
      <c r="J4628" s="825"/>
      <c r="K4628" s="825">
        <f>J4628+I4628</f>
        <v>0</v>
      </c>
      <c r="L4628" s="825"/>
      <c r="M4628" s="825">
        <f>E4628*C4628</f>
        <v>275000</v>
      </c>
      <c r="N4628" s="825">
        <f>M4628+L4628</f>
        <v>275000</v>
      </c>
      <c r="O4628" s="826">
        <f>N4628+K4628+H4628</f>
        <v>275000</v>
      </c>
      <c r="P4628" s="702"/>
      <c r="Q4628" s="1821"/>
      <c r="R4628" s="1821"/>
      <c r="S4628" s="1821"/>
      <c r="T4628" s="1821"/>
      <c r="U4628" s="1821"/>
      <c r="V4628" s="1821"/>
      <c r="W4628" s="1821"/>
      <c r="X4628" s="1821"/>
      <c r="Y4628" s="1821"/>
      <c r="Z4628" s="1821"/>
      <c r="AA4628" s="1821"/>
      <c r="AB4628" s="1821"/>
      <c r="AC4628" s="1821"/>
      <c r="AD4628" s="1821"/>
      <c r="AE4628" s="1821"/>
      <c r="AF4628" s="1821"/>
      <c r="AG4628" s="1821"/>
      <c r="AH4628" s="1821"/>
      <c r="AI4628" s="1821"/>
      <c r="AJ4628" s="1821"/>
      <c r="AK4628" s="1821"/>
      <c r="AL4628" s="1821"/>
      <c r="AM4628" s="1821"/>
      <c r="AN4628" s="1821"/>
      <c r="AO4628" s="1821"/>
      <c r="AP4628" s="1821"/>
      <c r="AQ4628" s="1821"/>
      <c r="AR4628" s="1821"/>
      <c r="AS4628" s="1821"/>
      <c r="AT4628" s="1821"/>
      <c r="AU4628" s="1821"/>
      <c r="AV4628" s="1821"/>
      <c r="AW4628" s="1821"/>
      <c r="AX4628" s="1821"/>
      <c r="AY4628" s="1821"/>
      <c r="AZ4628" s="1821"/>
      <c r="BA4628" s="1821"/>
      <c r="BB4628" s="1821"/>
      <c r="BC4628" s="1821"/>
      <c r="BD4628" s="1821"/>
      <c r="BE4628" s="1821"/>
      <c r="BF4628" s="1821"/>
      <c r="BG4628" s="1821"/>
      <c r="BH4628" s="1821"/>
      <c r="BI4628" s="1821"/>
      <c r="BJ4628" s="1821"/>
      <c r="BK4628" s="1821"/>
      <c r="BL4628" s="1821"/>
      <c r="BM4628" s="1821"/>
      <c r="BN4628" s="1821"/>
      <c r="BO4628" s="1821"/>
      <c r="BP4628" s="1821"/>
      <c r="BQ4628" s="1821"/>
      <c r="BR4628" s="1821"/>
      <c r="BS4628" s="1821"/>
      <c r="BT4628" s="1821"/>
      <c r="BU4628" s="1821"/>
      <c r="BV4628" s="1821"/>
      <c r="BW4628" s="1821"/>
      <c r="BX4628" s="1821"/>
      <c r="BY4628" s="1821"/>
      <c r="BZ4628" s="1821"/>
      <c r="CA4628" s="1821"/>
      <c r="CB4628" s="1821"/>
      <c r="CC4628" s="1821"/>
      <c r="CD4628" s="1821"/>
      <c r="CE4628" s="1821"/>
      <c r="CF4628" s="1821"/>
      <c r="CG4628" s="1821"/>
      <c r="CH4628" s="1821"/>
      <c r="CI4628" s="1821"/>
      <c r="CJ4628" s="1821"/>
      <c r="CK4628" s="1821"/>
    </row>
    <row r="4629" spans="1:89" s="675" customFormat="1" ht="16.5" customHeight="1" x14ac:dyDescent="0.25">
      <c r="A4629" s="849"/>
      <c r="B4629" s="1061" t="s">
        <v>2248</v>
      </c>
      <c r="C4629" s="835">
        <v>2</v>
      </c>
      <c r="D4629" s="1062" t="s">
        <v>119</v>
      </c>
      <c r="E4629" s="825">
        <v>15000</v>
      </c>
      <c r="F4629" s="825"/>
      <c r="G4629" s="825"/>
      <c r="H4629" s="825"/>
      <c r="I4629" s="825"/>
      <c r="J4629" s="825"/>
      <c r="K4629" s="825"/>
      <c r="L4629" s="825"/>
      <c r="M4629" s="825">
        <f>E4629*C4629</f>
        <v>30000</v>
      </c>
      <c r="N4629" s="825">
        <f>M4629+L4629</f>
        <v>30000</v>
      </c>
      <c r="O4629" s="826">
        <f>N4629+K4629+H4629</f>
        <v>30000</v>
      </c>
      <c r="P4629" s="702"/>
      <c r="Q4629" s="1821"/>
      <c r="R4629" s="1821"/>
      <c r="S4629" s="1821"/>
      <c r="T4629" s="1821"/>
      <c r="U4629" s="1821"/>
      <c r="V4629" s="1821"/>
      <c r="W4629" s="1821"/>
      <c r="X4629" s="1821"/>
      <c r="Y4629" s="1821"/>
      <c r="Z4629" s="1821"/>
      <c r="AA4629" s="1821"/>
      <c r="AB4629" s="1821"/>
      <c r="AC4629" s="1821"/>
      <c r="AD4629" s="1821"/>
      <c r="AE4629" s="1821"/>
      <c r="AF4629" s="1821"/>
      <c r="AG4629" s="1821"/>
      <c r="AH4629" s="1821"/>
      <c r="AI4629" s="1821"/>
      <c r="AJ4629" s="1821"/>
      <c r="AK4629" s="1821"/>
      <c r="AL4629" s="1821"/>
      <c r="AM4629" s="1821"/>
      <c r="AN4629" s="1821"/>
      <c r="AO4629" s="1821"/>
      <c r="AP4629" s="1821"/>
      <c r="AQ4629" s="1821"/>
      <c r="AR4629" s="1821"/>
      <c r="AS4629" s="1821"/>
      <c r="AT4629" s="1821"/>
      <c r="AU4629" s="1821"/>
      <c r="AV4629" s="1821"/>
      <c r="AW4629" s="1821"/>
      <c r="AX4629" s="1821"/>
      <c r="AY4629" s="1821"/>
      <c r="AZ4629" s="1821"/>
      <c r="BA4629" s="1821"/>
      <c r="BB4629" s="1821"/>
      <c r="BC4629" s="1821"/>
      <c r="BD4629" s="1821"/>
      <c r="BE4629" s="1821"/>
      <c r="BF4629" s="1821"/>
      <c r="BG4629" s="1821"/>
      <c r="BH4629" s="1821"/>
      <c r="BI4629" s="1821"/>
      <c r="BJ4629" s="1821"/>
      <c r="BK4629" s="1821"/>
      <c r="BL4629" s="1821"/>
      <c r="BM4629" s="1821"/>
      <c r="BN4629" s="1821"/>
      <c r="BO4629" s="1821"/>
      <c r="BP4629" s="1821"/>
      <c r="BQ4629" s="1821"/>
      <c r="BR4629" s="1821"/>
      <c r="BS4629" s="1821"/>
      <c r="BT4629" s="1821"/>
      <c r="BU4629" s="1821"/>
      <c r="BV4629" s="1821"/>
      <c r="BW4629" s="1821"/>
      <c r="BX4629" s="1821"/>
      <c r="BY4629" s="1821"/>
      <c r="BZ4629" s="1821"/>
      <c r="CA4629" s="1821"/>
      <c r="CB4629" s="1821"/>
      <c r="CC4629" s="1821"/>
      <c r="CD4629" s="1821"/>
      <c r="CE4629" s="1821"/>
      <c r="CF4629" s="1821"/>
      <c r="CG4629" s="1821"/>
      <c r="CH4629" s="1821"/>
      <c r="CI4629" s="1821"/>
      <c r="CJ4629" s="1821"/>
      <c r="CK4629" s="1821"/>
    </row>
    <row r="4630" spans="1:89" s="675" customFormat="1" ht="16.5" customHeight="1" x14ac:dyDescent="0.25">
      <c r="A4630" s="849"/>
      <c r="B4630" s="1061"/>
      <c r="C4630" s="835"/>
      <c r="D4630" s="1062"/>
      <c r="E4630" s="825"/>
      <c r="F4630" s="825"/>
      <c r="G4630" s="825"/>
      <c r="H4630" s="825"/>
      <c r="I4630" s="825"/>
      <c r="J4630" s="825"/>
      <c r="K4630" s="825"/>
      <c r="L4630" s="825"/>
      <c r="M4630" s="825"/>
      <c r="N4630" s="825"/>
      <c r="O4630" s="826"/>
      <c r="P4630" s="702"/>
      <c r="Q4630" s="1821"/>
      <c r="R4630" s="1821"/>
      <c r="S4630" s="1821"/>
      <c r="T4630" s="1821"/>
      <c r="U4630" s="1821"/>
      <c r="V4630" s="1821"/>
      <c r="W4630" s="1821"/>
      <c r="X4630" s="1821"/>
      <c r="Y4630" s="1821"/>
      <c r="Z4630" s="1821"/>
      <c r="AA4630" s="1821"/>
      <c r="AB4630" s="1821"/>
      <c r="AC4630" s="1821"/>
      <c r="AD4630" s="1821"/>
      <c r="AE4630" s="1821"/>
      <c r="AF4630" s="1821"/>
      <c r="AG4630" s="1821"/>
      <c r="AH4630" s="1821"/>
      <c r="AI4630" s="1821"/>
      <c r="AJ4630" s="1821"/>
      <c r="AK4630" s="1821"/>
      <c r="AL4630" s="1821"/>
      <c r="AM4630" s="1821"/>
      <c r="AN4630" s="1821"/>
      <c r="AO4630" s="1821"/>
      <c r="AP4630" s="1821"/>
      <c r="AQ4630" s="1821"/>
      <c r="AR4630" s="1821"/>
      <c r="AS4630" s="1821"/>
      <c r="AT4630" s="1821"/>
      <c r="AU4630" s="1821"/>
      <c r="AV4630" s="1821"/>
      <c r="AW4630" s="1821"/>
      <c r="AX4630" s="1821"/>
      <c r="AY4630" s="1821"/>
      <c r="AZ4630" s="1821"/>
      <c r="BA4630" s="1821"/>
      <c r="BB4630" s="1821"/>
      <c r="BC4630" s="1821"/>
      <c r="BD4630" s="1821"/>
      <c r="BE4630" s="1821"/>
      <c r="BF4630" s="1821"/>
      <c r="BG4630" s="1821"/>
      <c r="BH4630" s="1821"/>
      <c r="BI4630" s="1821"/>
      <c r="BJ4630" s="1821"/>
      <c r="BK4630" s="1821"/>
      <c r="BL4630" s="1821"/>
      <c r="BM4630" s="1821"/>
      <c r="BN4630" s="1821"/>
      <c r="BO4630" s="1821"/>
      <c r="BP4630" s="1821"/>
      <c r="BQ4630" s="1821"/>
      <c r="BR4630" s="1821"/>
      <c r="BS4630" s="1821"/>
      <c r="BT4630" s="1821"/>
      <c r="BU4630" s="1821"/>
      <c r="BV4630" s="1821"/>
      <c r="BW4630" s="1821"/>
      <c r="BX4630" s="1821"/>
      <c r="BY4630" s="1821"/>
      <c r="BZ4630" s="1821"/>
      <c r="CA4630" s="1821"/>
      <c r="CB4630" s="1821"/>
      <c r="CC4630" s="1821"/>
      <c r="CD4630" s="1821"/>
      <c r="CE4630" s="1821"/>
      <c r="CF4630" s="1821"/>
      <c r="CG4630" s="1821"/>
      <c r="CH4630" s="1821"/>
      <c r="CI4630" s="1821"/>
      <c r="CJ4630" s="1821"/>
      <c r="CK4630" s="1821"/>
    </row>
    <row r="4631" spans="1:89" s="675" customFormat="1" ht="16.5" customHeight="1" x14ac:dyDescent="0.25">
      <c r="A4631" s="849"/>
      <c r="B4631" s="1061"/>
      <c r="C4631" s="835"/>
      <c r="D4631" s="1062"/>
      <c r="E4631" s="825"/>
      <c r="F4631" s="825"/>
      <c r="G4631" s="825"/>
      <c r="H4631" s="825"/>
      <c r="I4631" s="825"/>
      <c r="J4631" s="825"/>
      <c r="K4631" s="825"/>
      <c r="L4631" s="825"/>
      <c r="M4631" s="825"/>
      <c r="N4631" s="825"/>
      <c r="O4631" s="826"/>
      <c r="P4631" s="702"/>
      <c r="Q4631" s="1821"/>
      <c r="R4631" s="1821"/>
      <c r="S4631" s="1821"/>
      <c r="T4631" s="1821"/>
      <c r="U4631" s="1821"/>
      <c r="V4631" s="1821"/>
      <c r="W4631" s="1821"/>
      <c r="X4631" s="1821"/>
      <c r="Y4631" s="1821"/>
      <c r="Z4631" s="1821"/>
      <c r="AA4631" s="1821"/>
      <c r="AB4631" s="1821"/>
      <c r="AC4631" s="1821"/>
      <c r="AD4631" s="1821"/>
      <c r="AE4631" s="1821"/>
      <c r="AF4631" s="1821"/>
      <c r="AG4631" s="1821"/>
      <c r="AH4631" s="1821"/>
      <c r="AI4631" s="1821"/>
      <c r="AJ4631" s="1821"/>
      <c r="AK4631" s="1821"/>
      <c r="AL4631" s="1821"/>
      <c r="AM4631" s="1821"/>
      <c r="AN4631" s="1821"/>
      <c r="AO4631" s="1821"/>
      <c r="AP4631" s="1821"/>
      <c r="AQ4631" s="1821"/>
      <c r="AR4631" s="1821"/>
      <c r="AS4631" s="1821"/>
      <c r="AT4631" s="1821"/>
      <c r="AU4631" s="1821"/>
      <c r="AV4631" s="1821"/>
      <c r="AW4631" s="1821"/>
      <c r="AX4631" s="1821"/>
      <c r="AY4631" s="1821"/>
      <c r="AZ4631" s="1821"/>
      <c r="BA4631" s="1821"/>
      <c r="BB4631" s="1821"/>
      <c r="BC4631" s="1821"/>
      <c r="BD4631" s="1821"/>
      <c r="BE4631" s="1821"/>
      <c r="BF4631" s="1821"/>
      <c r="BG4631" s="1821"/>
      <c r="BH4631" s="1821"/>
      <c r="BI4631" s="1821"/>
      <c r="BJ4631" s="1821"/>
      <c r="BK4631" s="1821"/>
      <c r="BL4631" s="1821"/>
      <c r="BM4631" s="1821"/>
      <c r="BN4631" s="1821"/>
      <c r="BO4631" s="1821"/>
      <c r="BP4631" s="1821"/>
      <c r="BQ4631" s="1821"/>
      <c r="BR4631" s="1821"/>
      <c r="BS4631" s="1821"/>
      <c r="BT4631" s="1821"/>
      <c r="BU4631" s="1821"/>
      <c r="BV4631" s="1821"/>
      <c r="BW4631" s="1821"/>
      <c r="BX4631" s="1821"/>
      <c r="BY4631" s="1821"/>
      <c r="BZ4631" s="1821"/>
      <c r="CA4631" s="1821"/>
      <c r="CB4631" s="1821"/>
      <c r="CC4631" s="1821"/>
      <c r="CD4631" s="1821"/>
      <c r="CE4631" s="1821"/>
      <c r="CF4631" s="1821"/>
      <c r="CG4631" s="1821"/>
      <c r="CH4631" s="1821"/>
      <c r="CI4631" s="1821"/>
      <c r="CJ4631" s="1821"/>
      <c r="CK4631" s="1821"/>
    </row>
    <row r="4632" spans="1:89" s="675" customFormat="1" ht="16.5" customHeight="1" x14ac:dyDescent="0.25">
      <c r="A4632" s="849"/>
      <c r="B4632" s="1061" t="s">
        <v>541</v>
      </c>
      <c r="C4632" s="835"/>
      <c r="D4632" s="1062"/>
      <c r="E4632" s="825"/>
      <c r="F4632" s="825"/>
      <c r="G4632" s="825"/>
      <c r="H4632" s="825"/>
      <c r="I4632" s="825"/>
      <c r="J4632" s="825"/>
      <c r="K4632" s="825">
        <f>J4632+I4632</f>
        <v>0</v>
      </c>
      <c r="L4632" s="825"/>
      <c r="M4632" s="825">
        <f t="shared" ref="M4632:M4639" si="529">E4632*C4632</f>
        <v>0</v>
      </c>
      <c r="N4632" s="825">
        <f t="shared" ref="N4632:N4639" si="530">M4632+L4632</f>
        <v>0</v>
      </c>
      <c r="O4632" s="826">
        <f>N4632+K4632+H4632</f>
        <v>0</v>
      </c>
      <c r="P4632" s="702"/>
      <c r="Q4632" s="1821"/>
      <c r="R4632" s="1821"/>
      <c r="S4632" s="1821"/>
      <c r="T4632" s="1821"/>
      <c r="U4632" s="1821"/>
      <c r="V4632" s="1821"/>
      <c r="W4632" s="1821"/>
      <c r="X4632" s="1821"/>
      <c r="Y4632" s="1821"/>
      <c r="Z4632" s="1821"/>
      <c r="AA4632" s="1821"/>
      <c r="AB4632" s="1821"/>
      <c r="AC4632" s="1821"/>
      <c r="AD4632" s="1821"/>
      <c r="AE4632" s="1821"/>
      <c r="AF4632" s="1821"/>
      <c r="AG4632" s="1821"/>
      <c r="AH4632" s="1821"/>
      <c r="AI4632" s="1821"/>
      <c r="AJ4632" s="1821"/>
      <c r="AK4632" s="1821"/>
      <c r="AL4632" s="1821"/>
      <c r="AM4632" s="1821"/>
      <c r="AN4632" s="1821"/>
      <c r="AO4632" s="1821"/>
      <c r="AP4632" s="1821"/>
      <c r="AQ4632" s="1821"/>
      <c r="AR4632" s="1821"/>
      <c r="AS4632" s="1821"/>
      <c r="AT4632" s="1821"/>
      <c r="AU4632" s="1821"/>
      <c r="AV4632" s="1821"/>
      <c r="AW4632" s="1821"/>
      <c r="AX4632" s="1821"/>
      <c r="AY4632" s="1821"/>
      <c r="AZ4632" s="1821"/>
      <c r="BA4632" s="1821"/>
      <c r="BB4632" s="1821"/>
      <c r="BC4632" s="1821"/>
      <c r="BD4632" s="1821"/>
      <c r="BE4632" s="1821"/>
      <c r="BF4632" s="1821"/>
      <c r="BG4632" s="1821"/>
      <c r="BH4632" s="1821"/>
      <c r="BI4632" s="1821"/>
      <c r="BJ4632" s="1821"/>
      <c r="BK4632" s="1821"/>
      <c r="BL4632" s="1821"/>
      <c r="BM4632" s="1821"/>
      <c r="BN4632" s="1821"/>
      <c r="BO4632" s="1821"/>
      <c r="BP4632" s="1821"/>
      <c r="BQ4632" s="1821"/>
      <c r="BR4632" s="1821"/>
      <c r="BS4632" s="1821"/>
      <c r="BT4632" s="1821"/>
      <c r="BU4632" s="1821"/>
      <c r="BV4632" s="1821"/>
      <c r="BW4632" s="1821"/>
      <c r="BX4632" s="1821"/>
      <c r="BY4632" s="1821"/>
      <c r="BZ4632" s="1821"/>
      <c r="CA4632" s="1821"/>
      <c r="CB4632" s="1821"/>
      <c r="CC4632" s="1821"/>
      <c r="CD4632" s="1821"/>
      <c r="CE4632" s="1821"/>
      <c r="CF4632" s="1821"/>
      <c r="CG4632" s="1821"/>
      <c r="CH4632" s="1821"/>
      <c r="CI4632" s="1821"/>
      <c r="CJ4632" s="1821"/>
      <c r="CK4632" s="1821"/>
    </row>
    <row r="4633" spans="1:89" s="675" customFormat="1" ht="16.5" customHeight="1" x14ac:dyDescent="0.25">
      <c r="A4633" s="849"/>
      <c r="B4633" s="1061" t="s">
        <v>2247</v>
      </c>
      <c r="C4633" s="835"/>
      <c r="D4633" s="1062"/>
      <c r="E4633" s="825"/>
      <c r="F4633" s="825"/>
      <c r="G4633" s="825"/>
      <c r="H4633" s="825"/>
      <c r="I4633" s="825"/>
      <c r="J4633" s="825"/>
      <c r="K4633" s="825">
        <f>J4633+I4633</f>
        <v>0</v>
      </c>
      <c r="L4633" s="825"/>
      <c r="M4633" s="825">
        <f t="shared" si="529"/>
        <v>0</v>
      </c>
      <c r="N4633" s="825">
        <f t="shared" si="530"/>
        <v>0</v>
      </c>
      <c r="O4633" s="826"/>
      <c r="P4633" s="702"/>
      <c r="Q4633" s="1821"/>
      <c r="R4633" s="1821"/>
      <c r="S4633" s="1821"/>
      <c r="T4633" s="1821"/>
      <c r="U4633" s="1821"/>
      <c r="V4633" s="1821"/>
      <c r="W4633" s="1821"/>
      <c r="X4633" s="1821"/>
      <c r="Y4633" s="1821"/>
      <c r="Z4633" s="1821"/>
      <c r="AA4633" s="1821"/>
      <c r="AB4633" s="1821"/>
      <c r="AC4633" s="1821"/>
      <c r="AD4633" s="1821"/>
      <c r="AE4633" s="1821"/>
      <c r="AF4633" s="1821"/>
      <c r="AG4633" s="1821"/>
      <c r="AH4633" s="1821"/>
      <c r="AI4633" s="1821"/>
      <c r="AJ4633" s="1821"/>
      <c r="AK4633" s="1821"/>
      <c r="AL4633" s="1821"/>
      <c r="AM4633" s="1821"/>
      <c r="AN4633" s="1821"/>
      <c r="AO4633" s="1821"/>
      <c r="AP4633" s="1821"/>
      <c r="AQ4633" s="1821"/>
      <c r="AR4633" s="1821"/>
      <c r="AS4633" s="1821"/>
      <c r="AT4633" s="1821"/>
      <c r="AU4633" s="1821"/>
      <c r="AV4633" s="1821"/>
      <c r="AW4633" s="1821"/>
      <c r="AX4633" s="1821"/>
      <c r="AY4633" s="1821"/>
      <c r="AZ4633" s="1821"/>
      <c r="BA4633" s="1821"/>
      <c r="BB4633" s="1821"/>
      <c r="BC4633" s="1821"/>
      <c r="BD4633" s="1821"/>
      <c r="BE4633" s="1821"/>
      <c r="BF4633" s="1821"/>
      <c r="BG4633" s="1821"/>
      <c r="BH4633" s="1821"/>
      <c r="BI4633" s="1821"/>
      <c r="BJ4633" s="1821"/>
      <c r="BK4633" s="1821"/>
      <c r="BL4633" s="1821"/>
      <c r="BM4633" s="1821"/>
      <c r="BN4633" s="1821"/>
      <c r="BO4633" s="1821"/>
      <c r="BP4633" s="1821"/>
      <c r="BQ4633" s="1821"/>
      <c r="BR4633" s="1821"/>
      <c r="BS4633" s="1821"/>
      <c r="BT4633" s="1821"/>
      <c r="BU4633" s="1821"/>
      <c r="BV4633" s="1821"/>
      <c r="BW4633" s="1821"/>
      <c r="BX4633" s="1821"/>
      <c r="BY4633" s="1821"/>
      <c r="BZ4633" s="1821"/>
      <c r="CA4633" s="1821"/>
      <c r="CB4633" s="1821"/>
      <c r="CC4633" s="1821"/>
      <c r="CD4633" s="1821"/>
      <c r="CE4633" s="1821"/>
      <c r="CF4633" s="1821"/>
      <c r="CG4633" s="1821"/>
      <c r="CH4633" s="1821"/>
      <c r="CI4633" s="1821"/>
      <c r="CJ4633" s="1821"/>
      <c r="CK4633" s="1821"/>
    </row>
    <row r="4634" spans="1:89" s="675" customFormat="1" ht="16.5" customHeight="1" x14ac:dyDescent="0.25">
      <c r="A4634" s="849"/>
      <c r="B4634" s="1061" t="s">
        <v>569</v>
      </c>
      <c r="C4634" s="835">
        <v>12</v>
      </c>
      <c r="D4634" s="1062" t="s">
        <v>20</v>
      </c>
      <c r="E4634" s="825">
        <v>1070</v>
      </c>
      <c r="F4634" s="825"/>
      <c r="G4634" s="825"/>
      <c r="H4634" s="825"/>
      <c r="I4634" s="825"/>
      <c r="J4634" s="825"/>
      <c r="K4634" s="825"/>
      <c r="L4634" s="825"/>
      <c r="M4634" s="825">
        <f t="shared" si="529"/>
        <v>12840</v>
      </c>
      <c r="N4634" s="825">
        <f t="shared" si="530"/>
        <v>12840</v>
      </c>
      <c r="O4634" s="826">
        <f t="shared" ref="O4634:O4639" si="531">N4634+K4634+H4634</f>
        <v>12840</v>
      </c>
      <c r="P4634" s="702"/>
      <c r="Q4634" s="1821"/>
      <c r="R4634" s="1821"/>
      <c r="S4634" s="1821"/>
      <c r="T4634" s="1821"/>
      <c r="U4634" s="1821"/>
      <c r="V4634" s="1821"/>
      <c r="W4634" s="1821"/>
      <c r="X4634" s="1821"/>
      <c r="Y4634" s="1821"/>
      <c r="Z4634" s="1821"/>
      <c r="AA4634" s="1821"/>
      <c r="AB4634" s="1821"/>
      <c r="AC4634" s="1821"/>
      <c r="AD4634" s="1821"/>
      <c r="AE4634" s="1821"/>
      <c r="AF4634" s="1821"/>
      <c r="AG4634" s="1821"/>
      <c r="AH4634" s="1821"/>
      <c r="AI4634" s="1821"/>
      <c r="AJ4634" s="1821"/>
      <c r="AK4634" s="1821"/>
      <c r="AL4634" s="1821"/>
      <c r="AM4634" s="1821"/>
      <c r="AN4634" s="1821"/>
      <c r="AO4634" s="1821"/>
      <c r="AP4634" s="1821"/>
      <c r="AQ4634" s="1821"/>
      <c r="AR4634" s="1821"/>
      <c r="AS4634" s="1821"/>
      <c r="AT4634" s="1821"/>
      <c r="AU4634" s="1821"/>
      <c r="AV4634" s="1821"/>
      <c r="AW4634" s="1821"/>
      <c r="AX4634" s="1821"/>
      <c r="AY4634" s="1821"/>
      <c r="AZ4634" s="1821"/>
      <c r="BA4634" s="1821"/>
      <c r="BB4634" s="1821"/>
      <c r="BC4634" s="1821"/>
      <c r="BD4634" s="1821"/>
      <c r="BE4634" s="1821"/>
      <c r="BF4634" s="1821"/>
      <c r="BG4634" s="1821"/>
      <c r="BH4634" s="1821"/>
      <c r="BI4634" s="1821"/>
      <c r="BJ4634" s="1821"/>
      <c r="BK4634" s="1821"/>
      <c r="BL4634" s="1821"/>
      <c r="BM4634" s="1821"/>
      <c r="BN4634" s="1821"/>
      <c r="BO4634" s="1821"/>
      <c r="BP4634" s="1821"/>
      <c r="BQ4634" s="1821"/>
      <c r="BR4634" s="1821"/>
      <c r="BS4634" s="1821"/>
      <c r="BT4634" s="1821"/>
      <c r="BU4634" s="1821"/>
      <c r="BV4634" s="1821"/>
      <c r="BW4634" s="1821"/>
      <c r="BX4634" s="1821"/>
      <c r="BY4634" s="1821"/>
      <c r="BZ4634" s="1821"/>
      <c r="CA4634" s="1821"/>
      <c r="CB4634" s="1821"/>
      <c r="CC4634" s="1821"/>
      <c r="CD4634" s="1821"/>
      <c r="CE4634" s="1821"/>
      <c r="CF4634" s="1821"/>
      <c r="CG4634" s="1821"/>
      <c r="CH4634" s="1821"/>
      <c r="CI4634" s="1821"/>
      <c r="CJ4634" s="1821"/>
      <c r="CK4634" s="1821"/>
    </row>
    <row r="4635" spans="1:89" s="675" customFormat="1" ht="16.5" customHeight="1" x14ac:dyDescent="0.25">
      <c r="A4635" s="849"/>
      <c r="B4635" s="1061" t="s">
        <v>32</v>
      </c>
      <c r="C4635" s="835">
        <v>12</v>
      </c>
      <c r="D4635" s="1062" t="s">
        <v>20</v>
      </c>
      <c r="E4635" s="825">
        <v>880</v>
      </c>
      <c r="F4635" s="825"/>
      <c r="G4635" s="825"/>
      <c r="H4635" s="825"/>
      <c r="I4635" s="825"/>
      <c r="J4635" s="825"/>
      <c r="K4635" s="825"/>
      <c r="L4635" s="825"/>
      <c r="M4635" s="825">
        <f t="shared" si="529"/>
        <v>10560</v>
      </c>
      <c r="N4635" s="825">
        <f t="shared" si="530"/>
        <v>10560</v>
      </c>
      <c r="O4635" s="826">
        <f t="shared" si="531"/>
        <v>10560</v>
      </c>
      <c r="P4635" s="702"/>
      <c r="Q4635" s="1821"/>
      <c r="R4635" s="1821"/>
      <c r="S4635" s="1821"/>
      <c r="T4635" s="1821"/>
      <c r="U4635" s="1821"/>
      <c r="V4635" s="1821"/>
      <c r="W4635" s="1821"/>
      <c r="X4635" s="1821"/>
      <c r="Y4635" s="1821"/>
      <c r="Z4635" s="1821"/>
      <c r="AA4635" s="1821"/>
      <c r="AB4635" s="1821"/>
      <c r="AC4635" s="1821"/>
      <c r="AD4635" s="1821"/>
      <c r="AE4635" s="1821"/>
      <c r="AF4635" s="1821"/>
      <c r="AG4635" s="1821"/>
      <c r="AH4635" s="1821"/>
      <c r="AI4635" s="1821"/>
      <c r="AJ4635" s="1821"/>
      <c r="AK4635" s="1821"/>
      <c r="AL4635" s="1821"/>
      <c r="AM4635" s="1821"/>
      <c r="AN4635" s="1821"/>
      <c r="AO4635" s="1821"/>
      <c r="AP4635" s="1821"/>
      <c r="AQ4635" s="1821"/>
      <c r="AR4635" s="1821"/>
      <c r="AS4635" s="1821"/>
      <c r="AT4635" s="1821"/>
      <c r="AU4635" s="1821"/>
      <c r="AV4635" s="1821"/>
      <c r="AW4635" s="1821"/>
      <c r="AX4635" s="1821"/>
      <c r="AY4635" s="1821"/>
      <c r="AZ4635" s="1821"/>
      <c r="BA4635" s="1821"/>
      <c r="BB4635" s="1821"/>
      <c r="BC4635" s="1821"/>
      <c r="BD4635" s="1821"/>
      <c r="BE4635" s="1821"/>
      <c r="BF4635" s="1821"/>
      <c r="BG4635" s="1821"/>
      <c r="BH4635" s="1821"/>
      <c r="BI4635" s="1821"/>
      <c r="BJ4635" s="1821"/>
      <c r="BK4635" s="1821"/>
      <c r="BL4635" s="1821"/>
      <c r="BM4635" s="1821"/>
      <c r="BN4635" s="1821"/>
      <c r="BO4635" s="1821"/>
      <c r="BP4635" s="1821"/>
      <c r="BQ4635" s="1821"/>
      <c r="BR4635" s="1821"/>
      <c r="BS4635" s="1821"/>
      <c r="BT4635" s="1821"/>
      <c r="BU4635" s="1821"/>
      <c r="BV4635" s="1821"/>
      <c r="BW4635" s="1821"/>
      <c r="BX4635" s="1821"/>
      <c r="BY4635" s="1821"/>
      <c r="BZ4635" s="1821"/>
      <c r="CA4635" s="1821"/>
      <c r="CB4635" s="1821"/>
      <c r="CC4635" s="1821"/>
      <c r="CD4635" s="1821"/>
      <c r="CE4635" s="1821"/>
      <c r="CF4635" s="1821"/>
      <c r="CG4635" s="1821"/>
      <c r="CH4635" s="1821"/>
      <c r="CI4635" s="1821"/>
      <c r="CJ4635" s="1821"/>
      <c r="CK4635" s="1821"/>
    </row>
    <row r="4636" spans="1:89" s="675" customFormat="1" ht="16.5" customHeight="1" x14ac:dyDescent="0.25">
      <c r="A4636" s="849"/>
      <c r="B4636" s="1061" t="s">
        <v>33</v>
      </c>
      <c r="C4636" s="835">
        <v>72</v>
      </c>
      <c r="D4636" s="1062" t="s">
        <v>20</v>
      </c>
      <c r="E4636" s="825">
        <v>660</v>
      </c>
      <c r="F4636" s="825"/>
      <c r="G4636" s="825"/>
      <c r="H4636" s="825"/>
      <c r="I4636" s="825"/>
      <c r="J4636" s="825"/>
      <c r="K4636" s="825"/>
      <c r="L4636" s="825"/>
      <c r="M4636" s="825">
        <f t="shared" si="529"/>
        <v>47520</v>
      </c>
      <c r="N4636" s="825">
        <f t="shared" si="530"/>
        <v>47520</v>
      </c>
      <c r="O4636" s="826">
        <f t="shared" si="531"/>
        <v>47520</v>
      </c>
      <c r="P4636" s="702"/>
      <c r="Q4636" s="1821"/>
      <c r="R4636" s="1821"/>
      <c r="S4636" s="1821"/>
      <c r="T4636" s="1821"/>
      <c r="U4636" s="1821"/>
      <c r="V4636" s="1821"/>
      <c r="W4636" s="1821"/>
      <c r="X4636" s="1821"/>
      <c r="Y4636" s="1821"/>
      <c r="Z4636" s="1821"/>
      <c r="AA4636" s="1821"/>
      <c r="AB4636" s="1821"/>
      <c r="AC4636" s="1821"/>
      <c r="AD4636" s="1821"/>
      <c r="AE4636" s="1821"/>
      <c r="AF4636" s="1821"/>
      <c r="AG4636" s="1821"/>
      <c r="AH4636" s="1821"/>
      <c r="AI4636" s="1821"/>
      <c r="AJ4636" s="1821"/>
      <c r="AK4636" s="1821"/>
      <c r="AL4636" s="1821"/>
      <c r="AM4636" s="1821"/>
      <c r="AN4636" s="1821"/>
      <c r="AO4636" s="1821"/>
      <c r="AP4636" s="1821"/>
      <c r="AQ4636" s="1821"/>
      <c r="AR4636" s="1821"/>
      <c r="AS4636" s="1821"/>
      <c r="AT4636" s="1821"/>
      <c r="AU4636" s="1821"/>
      <c r="AV4636" s="1821"/>
      <c r="AW4636" s="1821"/>
      <c r="AX4636" s="1821"/>
      <c r="AY4636" s="1821"/>
      <c r="AZ4636" s="1821"/>
      <c r="BA4636" s="1821"/>
      <c r="BB4636" s="1821"/>
      <c r="BC4636" s="1821"/>
      <c r="BD4636" s="1821"/>
      <c r="BE4636" s="1821"/>
      <c r="BF4636" s="1821"/>
      <c r="BG4636" s="1821"/>
      <c r="BH4636" s="1821"/>
      <c r="BI4636" s="1821"/>
      <c r="BJ4636" s="1821"/>
      <c r="BK4636" s="1821"/>
      <c r="BL4636" s="1821"/>
      <c r="BM4636" s="1821"/>
      <c r="BN4636" s="1821"/>
      <c r="BO4636" s="1821"/>
      <c r="BP4636" s="1821"/>
      <c r="BQ4636" s="1821"/>
      <c r="BR4636" s="1821"/>
      <c r="BS4636" s="1821"/>
      <c r="BT4636" s="1821"/>
      <c r="BU4636" s="1821"/>
      <c r="BV4636" s="1821"/>
      <c r="BW4636" s="1821"/>
      <c r="BX4636" s="1821"/>
      <c r="BY4636" s="1821"/>
      <c r="BZ4636" s="1821"/>
      <c r="CA4636" s="1821"/>
      <c r="CB4636" s="1821"/>
      <c r="CC4636" s="1821"/>
      <c r="CD4636" s="1821"/>
      <c r="CE4636" s="1821"/>
      <c r="CF4636" s="1821"/>
      <c r="CG4636" s="1821"/>
      <c r="CH4636" s="1821"/>
      <c r="CI4636" s="1821"/>
      <c r="CJ4636" s="1821"/>
      <c r="CK4636" s="1821"/>
    </row>
    <row r="4637" spans="1:89" s="675" customFormat="1" ht="16.5" customHeight="1" x14ac:dyDescent="0.25">
      <c r="A4637" s="849"/>
      <c r="B4637" s="1061" t="s">
        <v>2249</v>
      </c>
      <c r="C4637" s="835">
        <v>12</v>
      </c>
      <c r="D4637" s="1062" t="s">
        <v>20</v>
      </c>
      <c r="E4637" s="825">
        <v>500</v>
      </c>
      <c r="F4637" s="825"/>
      <c r="G4637" s="825"/>
      <c r="H4637" s="825"/>
      <c r="I4637" s="825"/>
      <c r="J4637" s="825"/>
      <c r="K4637" s="825"/>
      <c r="L4637" s="825"/>
      <c r="M4637" s="825">
        <f t="shared" si="529"/>
        <v>6000</v>
      </c>
      <c r="N4637" s="825">
        <f t="shared" si="530"/>
        <v>6000</v>
      </c>
      <c r="O4637" s="826">
        <f t="shared" si="531"/>
        <v>6000</v>
      </c>
      <c r="P4637" s="702"/>
      <c r="Q4637" s="1821"/>
      <c r="R4637" s="1821"/>
      <c r="S4637" s="1821"/>
      <c r="T4637" s="1821"/>
      <c r="U4637" s="1821"/>
      <c r="V4637" s="1821"/>
      <c r="W4637" s="1821"/>
      <c r="X4637" s="1821"/>
      <c r="Y4637" s="1821"/>
      <c r="Z4637" s="1821"/>
      <c r="AA4637" s="1821"/>
      <c r="AB4637" s="1821"/>
      <c r="AC4637" s="1821"/>
      <c r="AD4637" s="1821"/>
      <c r="AE4637" s="1821"/>
      <c r="AF4637" s="1821"/>
      <c r="AG4637" s="1821"/>
      <c r="AH4637" s="1821"/>
      <c r="AI4637" s="1821"/>
      <c r="AJ4637" s="1821"/>
      <c r="AK4637" s="1821"/>
      <c r="AL4637" s="1821"/>
      <c r="AM4637" s="1821"/>
      <c r="AN4637" s="1821"/>
      <c r="AO4637" s="1821"/>
      <c r="AP4637" s="1821"/>
      <c r="AQ4637" s="1821"/>
      <c r="AR4637" s="1821"/>
      <c r="AS4637" s="1821"/>
      <c r="AT4637" s="1821"/>
      <c r="AU4637" s="1821"/>
      <c r="AV4637" s="1821"/>
      <c r="AW4637" s="1821"/>
      <c r="AX4637" s="1821"/>
      <c r="AY4637" s="1821"/>
      <c r="AZ4637" s="1821"/>
      <c r="BA4637" s="1821"/>
      <c r="BB4637" s="1821"/>
      <c r="BC4637" s="1821"/>
      <c r="BD4637" s="1821"/>
      <c r="BE4637" s="1821"/>
      <c r="BF4637" s="1821"/>
      <c r="BG4637" s="1821"/>
      <c r="BH4637" s="1821"/>
      <c r="BI4637" s="1821"/>
      <c r="BJ4637" s="1821"/>
      <c r="BK4637" s="1821"/>
      <c r="BL4637" s="1821"/>
      <c r="BM4637" s="1821"/>
      <c r="BN4637" s="1821"/>
      <c r="BO4637" s="1821"/>
      <c r="BP4637" s="1821"/>
      <c r="BQ4637" s="1821"/>
      <c r="BR4637" s="1821"/>
      <c r="BS4637" s="1821"/>
      <c r="BT4637" s="1821"/>
      <c r="BU4637" s="1821"/>
      <c r="BV4637" s="1821"/>
      <c r="BW4637" s="1821"/>
      <c r="BX4637" s="1821"/>
      <c r="BY4637" s="1821"/>
      <c r="BZ4637" s="1821"/>
      <c r="CA4637" s="1821"/>
      <c r="CB4637" s="1821"/>
      <c r="CC4637" s="1821"/>
      <c r="CD4637" s="1821"/>
      <c r="CE4637" s="1821"/>
      <c r="CF4637" s="1821"/>
      <c r="CG4637" s="1821"/>
      <c r="CH4637" s="1821"/>
      <c r="CI4637" s="1821"/>
      <c r="CJ4637" s="1821"/>
      <c r="CK4637" s="1821"/>
    </row>
    <row r="4638" spans="1:89" s="675" customFormat="1" ht="16.5" customHeight="1" x14ac:dyDescent="0.25">
      <c r="A4638" s="849"/>
      <c r="B4638" s="1061" t="s">
        <v>1431</v>
      </c>
      <c r="C4638" s="835">
        <v>432</v>
      </c>
      <c r="D4638" s="1062" t="s">
        <v>20</v>
      </c>
      <c r="E4638" s="825">
        <v>400</v>
      </c>
      <c r="F4638" s="825"/>
      <c r="G4638" s="825"/>
      <c r="H4638" s="825"/>
      <c r="I4638" s="825"/>
      <c r="J4638" s="825"/>
      <c r="K4638" s="825"/>
      <c r="L4638" s="825"/>
      <c r="M4638" s="825">
        <f t="shared" si="529"/>
        <v>172800</v>
      </c>
      <c r="N4638" s="825">
        <f t="shared" si="530"/>
        <v>172800</v>
      </c>
      <c r="O4638" s="826">
        <f t="shared" si="531"/>
        <v>172800</v>
      </c>
      <c r="P4638" s="702"/>
      <c r="Q4638" s="1821"/>
      <c r="R4638" s="1821"/>
      <c r="S4638" s="1821"/>
      <c r="T4638" s="1821"/>
      <c r="U4638" s="1821"/>
      <c r="V4638" s="1821"/>
      <c r="W4638" s="1821"/>
      <c r="X4638" s="1821"/>
      <c r="Y4638" s="1821"/>
      <c r="Z4638" s="1821"/>
      <c r="AA4638" s="1821"/>
      <c r="AB4638" s="1821"/>
      <c r="AC4638" s="1821"/>
      <c r="AD4638" s="1821"/>
      <c r="AE4638" s="1821"/>
      <c r="AF4638" s="1821"/>
      <c r="AG4638" s="1821"/>
      <c r="AH4638" s="1821"/>
      <c r="AI4638" s="1821"/>
      <c r="AJ4638" s="1821"/>
      <c r="AK4638" s="1821"/>
      <c r="AL4638" s="1821"/>
      <c r="AM4638" s="1821"/>
      <c r="AN4638" s="1821"/>
      <c r="AO4638" s="1821"/>
      <c r="AP4638" s="1821"/>
      <c r="AQ4638" s="1821"/>
      <c r="AR4638" s="1821"/>
      <c r="AS4638" s="1821"/>
      <c r="AT4638" s="1821"/>
      <c r="AU4638" s="1821"/>
      <c r="AV4638" s="1821"/>
      <c r="AW4638" s="1821"/>
      <c r="AX4638" s="1821"/>
      <c r="AY4638" s="1821"/>
      <c r="AZ4638" s="1821"/>
      <c r="BA4638" s="1821"/>
      <c r="BB4638" s="1821"/>
      <c r="BC4638" s="1821"/>
      <c r="BD4638" s="1821"/>
      <c r="BE4638" s="1821"/>
      <c r="BF4638" s="1821"/>
      <c r="BG4638" s="1821"/>
      <c r="BH4638" s="1821"/>
      <c r="BI4638" s="1821"/>
      <c r="BJ4638" s="1821"/>
      <c r="BK4638" s="1821"/>
      <c r="BL4638" s="1821"/>
      <c r="BM4638" s="1821"/>
      <c r="BN4638" s="1821"/>
      <c r="BO4638" s="1821"/>
      <c r="BP4638" s="1821"/>
      <c r="BQ4638" s="1821"/>
      <c r="BR4638" s="1821"/>
      <c r="BS4638" s="1821"/>
      <c r="BT4638" s="1821"/>
      <c r="BU4638" s="1821"/>
      <c r="BV4638" s="1821"/>
      <c r="BW4638" s="1821"/>
      <c r="BX4638" s="1821"/>
      <c r="BY4638" s="1821"/>
      <c r="BZ4638" s="1821"/>
      <c r="CA4638" s="1821"/>
      <c r="CB4638" s="1821"/>
      <c r="CC4638" s="1821"/>
      <c r="CD4638" s="1821"/>
      <c r="CE4638" s="1821"/>
      <c r="CF4638" s="1821"/>
      <c r="CG4638" s="1821"/>
      <c r="CH4638" s="1821"/>
      <c r="CI4638" s="1821"/>
      <c r="CJ4638" s="1821"/>
      <c r="CK4638" s="1821"/>
    </row>
    <row r="4639" spans="1:89" s="675" customFormat="1" ht="16.5" customHeight="1" x14ac:dyDescent="0.25">
      <c r="A4639" s="849"/>
      <c r="B4639" s="1061" t="s">
        <v>2250</v>
      </c>
      <c r="C4639" s="835">
        <v>180</v>
      </c>
      <c r="D4639" s="1062" t="s">
        <v>20</v>
      </c>
      <c r="E4639" s="825">
        <v>300</v>
      </c>
      <c r="F4639" s="825"/>
      <c r="G4639" s="825"/>
      <c r="H4639" s="825"/>
      <c r="I4639" s="825"/>
      <c r="J4639" s="825"/>
      <c r="K4639" s="825"/>
      <c r="L4639" s="825"/>
      <c r="M4639" s="825">
        <f t="shared" si="529"/>
        <v>54000</v>
      </c>
      <c r="N4639" s="825">
        <f t="shared" si="530"/>
        <v>54000</v>
      </c>
      <c r="O4639" s="826">
        <f t="shared" si="531"/>
        <v>54000</v>
      </c>
      <c r="P4639" s="702"/>
      <c r="Q4639" s="1821"/>
      <c r="R4639" s="1821"/>
      <c r="S4639" s="1821"/>
      <c r="T4639" s="1821"/>
      <c r="U4639" s="1821"/>
      <c r="V4639" s="1821"/>
      <c r="W4639" s="1821"/>
      <c r="X4639" s="1821"/>
      <c r="Y4639" s="1821"/>
      <c r="Z4639" s="1821"/>
      <c r="AA4639" s="1821"/>
      <c r="AB4639" s="1821"/>
      <c r="AC4639" s="1821"/>
      <c r="AD4639" s="1821"/>
      <c r="AE4639" s="1821"/>
      <c r="AF4639" s="1821"/>
      <c r="AG4639" s="1821"/>
      <c r="AH4639" s="1821"/>
      <c r="AI4639" s="1821"/>
      <c r="AJ4639" s="1821"/>
      <c r="AK4639" s="1821"/>
      <c r="AL4639" s="1821"/>
      <c r="AM4639" s="1821"/>
      <c r="AN4639" s="1821"/>
      <c r="AO4639" s="1821"/>
      <c r="AP4639" s="1821"/>
      <c r="AQ4639" s="1821"/>
      <c r="AR4639" s="1821"/>
      <c r="AS4639" s="1821"/>
      <c r="AT4639" s="1821"/>
      <c r="AU4639" s="1821"/>
      <c r="AV4639" s="1821"/>
      <c r="AW4639" s="1821"/>
      <c r="AX4639" s="1821"/>
      <c r="AY4639" s="1821"/>
      <c r="AZ4639" s="1821"/>
      <c r="BA4639" s="1821"/>
      <c r="BB4639" s="1821"/>
      <c r="BC4639" s="1821"/>
      <c r="BD4639" s="1821"/>
      <c r="BE4639" s="1821"/>
      <c r="BF4639" s="1821"/>
      <c r="BG4639" s="1821"/>
      <c r="BH4639" s="1821"/>
      <c r="BI4639" s="1821"/>
      <c r="BJ4639" s="1821"/>
      <c r="BK4639" s="1821"/>
      <c r="BL4639" s="1821"/>
      <c r="BM4639" s="1821"/>
      <c r="BN4639" s="1821"/>
      <c r="BO4639" s="1821"/>
      <c r="BP4639" s="1821"/>
      <c r="BQ4639" s="1821"/>
      <c r="BR4639" s="1821"/>
      <c r="BS4639" s="1821"/>
      <c r="BT4639" s="1821"/>
      <c r="BU4639" s="1821"/>
      <c r="BV4639" s="1821"/>
      <c r="BW4639" s="1821"/>
      <c r="BX4639" s="1821"/>
      <c r="BY4639" s="1821"/>
      <c r="BZ4639" s="1821"/>
      <c r="CA4639" s="1821"/>
      <c r="CB4639" s="1821"/>
      <c r="CC4639" s="1821"/>
      <c r="CD4639" s="1821"/>
      <c r="CE4639" s="1821"/>
      <c r="CF4639" s="1821"/>
      <c r="CG4639" s="1821"/>
      <c r="CH4639" s="1821"/>
      <c r="CI4639" s="1821"/>
      <c r="CJ4639" s="1821"/>
      <c r="CK4639" s="1821"/>
    </row>
    <row r="4640" spans="1:89" s="675" customFormat="1" ht="16.5" customHeight="1" x14ac:dyDescent="0.25">
      <c r="A4640" s="849"/>
      <c r="B4640" s="1061"/>
      <c r="C4640" s="835"/>
      <c r="D4640" s="1062"/>
      <c r="E4640" s="825"/>
      <c r="F4640" s="825"/>
      <c r="G4640" s="825"/>
      <c r="H4640" s="825"/>
      <c r="I4640" s="825"/>
      <c r="J4640" s="825"/>
      <c r="K4640" s="825"/>
      <c r="L4640" s="825"/>
      <c r="M4640" s="825"/>
      <c r="N4640" s="825"/>
      <c r="O4640" s="826"/>
      <c r="P4640" s="702"/>
      <c r="Q4640" s="1821"/>
      <c r="R4640" s="1821"/>
      <c r="S4640" s="1821"/>
      <c r="T4640" s="1821"/>
      <c r="U4640" s="1821"/>
      <c r="V4640" s="1821"/>
      <c r="W4640" s="1821"/>
      <c r="X4640" s="1821"/>
      <c r="Y4640" s="1821"/>
      <c r="Z4640" s="1821"/>
      <c r="AA4640" s="1821"/>
      <c r="AB4640" s="1821"/>
      <c r="AC4640" s="1821"/>
      <c r="AD4640" s="1821"/>
      <c r="AE4640" s="1821"/>
      <c r="AF4640" s="1821"/>
      <c r="AG4640" s="1821"/>
      <c r="AH4640" s="1821"/>
      <c r="AI4640" s="1821"/>
      <c r="AJ4640" s="1821"/>
      <c r="AK4640" s="1821"/>
      <c r="AL4640" s="1821"/>
      <c r="AM4640" s="1821"/>
      <c r="AN4640" s="1821"/>
      <c r="AO4640" s="1821"/>
      <c r="AP4640" s="1821"/>
      <c r="AQ4640" s="1821"/>
      <c r="AR4640" s="1821"/>
      <c r="AS4640" s="1821"/>
      <c r="AT4640" s="1821"/>
      <c r="AU4640" s="1821"/>
      <c r="AV4640" s="1821"/>
      <c r="AW4640" s="1821"/>
      <c r="AX4640" s="1821"/>
      <c r="AY4640" s="1821"/>
      <c r="AZ4640" s="1821"/>
      <c r="BA4640" s="1821"/>
      <c r="BB4640" s="1821"/>
      <c r="BC4640" s="1821"/>
      <c r="BD4640" s="1821"/>
      <c r="BE4640" s="1821"/>
      <c r="BF4640" s="1821"/>
      <c r="BG4640" s="1821"/>
      <c r="BH4640" s="1821"/>
      <c r="BI4640" s="1821"/>
      <c r="BJ4640" s="1821"/>
      <c r="BK4640" s="1821"/>
      <c r="BL4640" s="1821"/>
      <c r="BM4640" s="1821"/>
      <c r="BN4640" s="1821"/>
      <c r="BO4640" s="1821"/>
      <c r="BP4640" s="1821"/>
      <c r="BQ4640" s="1821"/>
      <c r="BR4640" s="1821"/>
      <c r="BS4640" s="1821"/>
      <c r="BT4640" s="1821"/>
      <c r="BU4640" s="1821"/>
      <c r="BV4640" s="1821"/>
      <c r="BW4640" s="1821"/>
      <c r="BX4640" s="1821"/>
      <c r="BY4640" s="1821"/>
      <c r="BZ4640" s="1821"/>
      <c r="CA4640" s="1821"/>
      <c r="CB4640" s="1821"/>
      <c r="CC4640" s="1821"/>
      <c r="CD4640" s="1821"/>
      <c r="CE4640" s="1821"/>
      <c r="CF4640" s="1821"/>
      <c r="CG4640" s="1821"/>
      <c r="CH4640" s="1821"/>
      <c r="CI4640" s="1821"/>
      <c r="CJ4640" s="1821"/>
      <c r="CK4640" s="1821"/>
    </row>
    <row r="4641" spans="1:89" s="675" customFormat="1" ht="16.5" customHeight="1" x14ac:dyDescent="0.25">
      <c r="A4641" s="849"/>
      <c r="B4641" s="1061"/>
      <c r="C4641" s="835"/>
      <c r="D4641" s="1062"/>
      <c r="E4641" s="825"/>
      <c r="F4641" s="825"/>
      <c r="G4641" s="825"/>
      <c r="H4641" s="825"/>
      <c r="I4641" s="825"/>
      <c r="J4641" s="825"/>
      <c r="K4641" s="825"/>
      <c r="L4641" s="825"/>
      <c r="M4641" s="825"/>
      <c r="N4641" s="825"/>
      <c r="O4641" s="826"/>
      <c r="P4641" s="702"/>
      <c r="Q4641" s="1821"/>
      <c r="R4641" s="1821"/>
      <c r="S4641" s="1821"/>
      <c r="T4641" s="1821"/>
      <c r="U4641" s="1821"/>
      <c r="V4641" s="1821"/>
      <c r="W4641" s="1821"/>
      <c r="X4641" s="1821"/>
      <c r="Y4641" s="1821"/>
      <c r="Z4641" s="1821"/>
      <c r="AA4641" s="1821"/>
      <c r="AB4641" s="1821"/>
      <c r="AC4641" s="1821"/>
      <c r="AD4641" s="1821"/>
      <c r="AE4641" s="1821"/>
      <c r="AF4641" s="1821"/>
      <c r="AG4641" s="1821"/>
      <c r="AH4641" s="1821"/>
      <c r="AI4641" s="1821"/>
      <c r="AJ4641" s="1821"/>
      <c r="AK4641" s="1821"/>
      <c r="AL4641" s="1821"/>
      <c r="AM4641" s="1821"/>
      <c r="AN4641" s="1821"/>
      <c r="AO4641" s="1821"/>
      <c r="AP4641" s="1821"/>
      <c r="AQ4641" s="1821"/>
      <c r="AR4641" s="1821"/>
      <c r="AS4641" s="1821"/>
      <c r="AT4641" s="1821"/>
      <c r="AU4641" s="1821"/>
      <c r="AV4641" s="1821"/>
      <c r="AW4641" s="1821"/>
      <c r="AX4641" s="1821"/>
      <c r="AY4641" s="1821"/>
      <c r="AZ4641" s="1821"/>
      <c r="BA4641" s="1821"/>
      <c r="BB4641" s="1821"/>
      <c r="BC4641" s="1821"/>
      <c r="BD4641" s="1821"/>
      <c r="BE4641" s="1821"/>
      <c r="BF4641" s="1821"/>
      <c r="BG4641" s="1821"/>
      <c r="BH4641" s="1821"/>
      <c r="BI4641" s="1821"/>
      <c r="BJ4641" s="1821"/>
      <c r="BK4641" s="1821"/>
      <c r="BL4641" s="1821"/>
      <c r="BM4641" s="1821"/>
      <c r="BN4641" s="1821"/>
      <c r="BO4641" s="1821"/>
      <c r="BP4641" s="1821"/>
      <c r="BQ4641" s="1821"/>
      <c r="BR4641" s="1821"/>
      <c r="BS4641" s="1821"/>
      <c r="BT4641" s="1821"/>
      <c r="BU4641" s="1821"/>
      <c r="BV4641" s="1821"/>
      <c r="BW4641" s="1821"/>
      <c r="BX4641" s="1821"/>
      <c r="BY4641" s="1821"/>
      <c r="BZ4641" s="1821"/>
      <c r="CA4641" s="1821"/>
      <c r="CB4641" s="1821"/>
      <c r="CC4641" s="1821"/>
      <c r="CD4641" s="1821"/>
      <c r="CE4641" s="1821"/>
      <c r="CF4641" s="1821"/>
      <c r="CG4641" s="1821"/>
      <c r="CH4641" s="1821"/>
      <c r="CI4641" s="1821"/>
      <c r="CJ4641" s="1821"/>
      <c r="CK4641" s="1821"/>
    </row>
    <row r="4642" spans="1:89" s="675" customFormat="1" ht="16.5" customHeight="1" x14ac:dyDescent="0.25">
      <c r="A4642" s="849"/>
      <c r="B4642" s="1061" t="s">
        <v>1432</v>
      </c>
      <c r="C4642" s="835"/>
      <c r="D4642" s="1062"/>
      <c r="E4642" s="825"/>
      <c r="F4642" s="825"/>
      <c r="G4642" s="825"/>
      <c r="H4642" s="825"/>
      <c r="I4642" s="825"/>
      <c r="J4642" s="825"/>
      <c r="K4642" s="825"/>
      <c r="L4642" s="825"/>
      <c r="M4642" s="825"/>
      <c r="N4642" s="825"/>
      <c r="O4642" s="826"/>
      <c r="P4642" s="702"/>
      <c r="Q4642" s="1821"/>
      <c r="R4642" s="1821"/>
      <c r="S4642" s="1821"/>
      <c r="T4642" s="1821"/>
      <c r="U4642" s="1821"/>
      <c r="V4642" s="1821"/>
      <c r="W4642" s="1821"/>
      <c r="X4642" s="1821"/>
      <c r="Y4642" s="1821"/>
      <c r="Z4642" s="1821"/>
      <c r="AA4642" s="1821"/>
      <c r="AB4642" s="1821"/>
      <c r="AC4642" s="1821"/>
      <c r="AD4642" s="1821"/>
      <c r="AE4642" s="1821"/>
      <c r="AF4642" s="1821"/>
      <c r="AG4642" s="1821"/>
      <c r="AH4642" s="1821"/>
      <c r="AI4642" s="1821"/>
      <c r="AJ4642" s="1821"/>
      <c r="AK4642" s="1821"/>
      <c r="AL4642" s="1821"/>
      <c r="AM4642" s="1821"/>
      <c r="AN4642" s="1821"/>
      <c r="AO4642" s="1821"/>
      <c r="AP4642" s="1821"/>
      <c r="AQ4642" s="1821"/>
      <c r="AR4642" s="1821"/>
      <c r="AS4642" s="1821"/>
      <c r="AT4642" s="1821"/>
      <c r="AU4642" s="1821"/>
      <c r="AV4642" s="1821"/>
      <c r="AW4642" s="1821"/>
      <c r="AX4642" s="1821"/>
      <c r="AY4642" s="1821"/>
      <c r="AZ4642" s="1821"/>
      <c r="BA4642" s="1821"/>
      <c r="BB4642" s="1821"/>
      <c r="BC4642" s="1821"/>
      <c r="BD4642" s="1821"/>
      <c r="BE4642" s="1821"/>
      <c r="BF4642" s="1821"/>
      <c r="BG4642" s="1821"/>
      <c r="BH4642" s="1821"/>
      <c r="BI4642" s="1821"/>
      <c r="BJ4642" s="1821"/>
      <c r="BK4642" s="1821"/>
      <c r="BL4642" s="1821"/>
      <c r="BM4642" s="1821"/>
      <c r="BN4642" s="1821"/>
      <c r="BO4642" s="1821"/>
      <c r="BP4642" s="1821"/>
      <c r="BQ4642" s="1821"/>
      <c r="BR4642" s="1821"/>
      <c r="BS4642" s="1821"/>
      <c r="BT4642" s="1821"/>
      <c r="BU4642" s="1821"/>
      <c r="BV4642" s="1821"/>
      <c r="BW4642" s="1821"/>
      <c r="BX4642" s="1821"/>
      <c r="BY4642" s="1821"/>
      <c r="BZ4642" s="1821"/>
      <c r="CA4642" s="1821"/>
      <c r="CB4642" s="1821"/>
      <c r="CC4642" s="1821"/>
      <c r="CD4642" s="1821"/>
      <c r="CE4642" s="1821"/>
      <c r="CF4642" s="1821"/>
      <c r="CG4642" s="1821"/>
      <c r="CH4642" s="1821"/>
      <c r="CI4642" s="1821"/>
      <c r="CJ4642" s="1821"/>
      <c r="CK4642" s="1821"/>
    </row>
    <row r="4643" spans="1:89" s="675" customFormat="1" ht="16.5" customHeight="1" x14ac:dyDescent="0.25">
      <c r="A4643" s="849"/>
      <c r="B4643" s="1061" t="s">
        <v>349</v>
      </c>
      <c r="C4643" s="835">
        <f>SUM(K4645:K4654)</f>
        <v>0</v>
      </c>
      <c r="D4643" s="1062"/>
      <c r="E4643" s="825"/>
      <c r="F4643" s="825"/>
      <c r="G4643" s="825"/>
      <c r="H4643" s="825"/>
      <c r="I4643" s="825">
        <f>E4643*C4643</f>
        <v>0</v>
      </c>
      <c r="J4643" s="825"/>
      <c r="K4643" s="825">
        <f>J4643+I4643</f>
        <v>0</v>
      </c>
      <c r="L4643" s="825"/>
      <c r="M4643" s="825"/>
      <c r="N4643" s="825"/>
      <c r="O4643" s="826"/>
      <c r="P4643" s="702"/>
      <c r="Q4643" s="1821"/>
      <c r="R4643" s="1821"/>
      <c r="S4643" s="1821"/>
      <c r="T4643" s="1821"/>
      <c r="U4643" s="1821"/>
      <c r="V4643" s="1821"/>
      <c r="W4643" s="1821"/>
      <c r="X4643" s="1821"/>
      <c r="Y4643" s="1821"/>
      <c r="Z4643" s="1821"/>
      <c r="AA4643" s="1821"/>
      <c r="AB4643" s="1821"/>
      <c r="AC4643" s="1821"/>
      <c r="AD4643" s="1821"/>
      <c r="AE4643" s="1821"/>
      <c r="AF4643" s="1821"/>
      <c r="AG4643" s="1821"/>
      <c r="AH4643" s="1821"/>
      <c r="AI4643" s="1821"/>
      <c r="AJ4643" s="1821"/>
      <c r="AK4643" s="1821"/>
      <c r="AL4643" s="1821"/>
      <c r="AM4643" s="1821"/>
      <c r="AN4643" s="1821"/>
      <c r="AO4643" s="1821"/>
      <c r="AP4643" s="1821"/>
      <c r="AQ4643" s="1821"/>
      <c r="AR4643" s="1821"/>
      <c r="AS4643" s="1821"/>
      <c r="AT4643" s="1821"/>
      <c r="AU4643" s="1821"/>
      <c r="AV4643" s="1821"/>
      <c r="AW4643" s="1821"/>
      <c r="AX4643" s="1821"/>
      <c r="AY4643" s="1821"/>
      <c r="AZ4643" s="1821"/>
      <c r="BA4643" s="1821"/>
      <c r="BB4643" s="1821"/>
      <c r="BC4643" s="1821"/>
      <c r="BD4643" s="1821"/>
      <c r="BE4643" s="1821"/>
      <c r="BF4643" s="1821"/>
      <c r="BG4643" s="1821"/>
      <c r="BH4643" s="1821"/>
      <c r="BI4643" s="1821"/>
      <c r="BJ4643" s="1821"/>
      <c r="BK4643" s="1821"/>
      <c r="BL4643" s="1821"/>
      <c r="BM4643" s="1821"/>
      <c r="BN4643" s="1821"/>
      <c r="BO4643" s="1821"/>
      <c r="BP4643" s="1821"/>
      <c r="BQ4643" s="1821"/>
      <c r="BR4643" s="1821"/>
      <c r="BS4643" s="1821"/>
      <c r="BT4643" s="1821"/>
      <c r="BU4643" s="1821"/>
      <c r="BV4643" s="1821"/>
      <c r="BW4643" s="1821"/>
      <c r="BX4643" s="1821"/>
      <c r="BY4643" s="1821"/>
      <c r="BZ4643" s="1821"/>
      <c r="CA4643" s="1821"/>
      <c r="CB4643" s="1821"/>
      <c r="CC4643" s="1821"/>
      <c r="CD4643" s="1821"/>
      <c r="CE4643" s="1821"/>
      <c r="CF4643" s="1821"/>
      <c r="CG4643" s="1821"/>
      <c r="CH4643" s="1821"/>
      <c r="CI4643" s="1821"/>
      <c r="CJ4643" s="1821"/>
      <c r="CK4643" s="1821"/>
    </row>
    <row r="4644" spans="1:89" s="675" customFormat="1" ht="16.5" customHeight="1" x14ac:dyDescent="0.25">
      <c r="A4644" s="849"/>
      <c r="B4644" s="1061" t="s">
        <v>2247</v>
      </c>
      <c r="C4644" s="835"/>
      <c r="D4644" s="1062"/>
      <c r="E4644" s="825"/>
      <c r="F4644" s="825"/>
      <c r="G4644" s="825"/>
      <c r="H4644" s="825"/>
      <c r="I4644" s="825">
        <f>E4644*C4644</f>
        <v>0</v>
      </c>
      <c r="J4644" s="825"/>
      <c r="K4644" s="825">
        <f>J4644+I4644</f>
        <v>0</v>
      </c>
      <c r="L4644" s="825"/>
      <c r="M4644" s="825"/>
      <c r="N4644" s="825"/>
      <c r="O4644" s="826"/>
      <c r="P4644" s="702"/>
      <c r="Q4644" s="1821"/>
      <c r="R4644" s="1821"/>
      <c r="S4644" s="1821"/>
      <c r="T4644" s="1821"/>
      <c r="U4644" s="1821"/>
      <c r="V4644" s="1821"/>
      <c r="W4644" s="1821"/>
      <c r="X4644" s="1821"/>
      <c r="Y4644" s="1821"/>
      <c r="Z4644" s="1821"/>
      <c r="AA4644" s="1821"/>
      <c r="AB4644" s="1821"/>
      <c r="AC4644" s="1821"/>
      <c r="AD4644" s="1821"/>
      <c r="AE4644" s="1821"/>
      <c r="AF4644" s="1821"/>
      <c r="AG4644" s="1821"/>
      <c r="AH4644" s="1821"/>
      <c r="AI4644" s="1821"/>
      <c r="AJ4644" s="1821"/>
      <c r="AK4644" s="1821"/>
      <c r="AL4644" s="1821"/>
      <c r="AM4644" s="1821"/>
      <c r="AN4644" s="1821"/>
      <c r="AO4644" s="1821"/>
      <c r="AP4644" s="1821"/>
      <c r="AQ4644" s="1821"/>
      <c r="AR4644" s="1821"/>
      <c r="AS4644" s="1821"/>
      <c r="AT4644" s="1821"/>
      <c r="AU4644" s="1821"/>
      <c r="AV4644" s="1821"/>
      <c r="AW4644" s="1821"/>
      <c r="AX4644" s="1821"/>
      <c r="AY4644" s="1821"/>
      <c r="AZ4644" s="1821"/>
      <c r="BA4644" s="1821"/>
      <c r="BB4644" s="1821"/>
      <c r="BC4644" s="1821"/>
      <c r="BD4644" s="1821"/>
      <c r="BE4644" s="1821"/>
      <c r="BF4644" s="1821"/>
      <c r="BG4644" s="1821"/>
      <c r="BH4644" s="1821"/>
      <c r="BI4644" s="1821"/>
      <c r="BJ4644" s="1821"/>
      <c r="BK4644" s="1821"/>
      <c r="BL4644" s="1821"/>
      <c r="BM4644" s="1821"/>
      <c r="BN4644" s="1821"/>
      <c r="BO4644" s="1821"/>
      <c r="BP4644" s="1821"/>
      <c r="BQ4644" s="1821"/>
      <c r="BR4644" s="1821"/>
      <c r="BS4644" s="1821"/>
      <c r="BT4644" s="1821"/>
      <c r="BU4644" s="1821"/>
      <c r="BV4644" s="1821"/>
      <c r="BW4644" s="1821"/>
      <c r="BX4644" s="1821"/>
      <c r="BY4644" s="1821"/>
      <c r="BZ4644" s="1821"/>
      <c r="CA4644" s="1821"/>
      <c r="CB4644" s="1821"/>
      <c r="CC4644" s="1821"/>
      <c r="CD4644" s="1821"/>
      <c r="CE4644" s="1821"/>
      <c r="CF4644" s="1821"/>
      <c r="CG4644" s="1821"/>
      <c r="CH4644" s="1821"/>
      <c r="CI4644" s="1821"/>
      <c r="CJ4644" s="1821"/>
      <c r="CK4644" s="1821"/>
    </row>
    <row r="4645" spans="1:89" s="675" customFormat="1" ht="16.5" customHeight="1" x14ac:dyDescent="0.25">
      <c r="A4645" s="849"/>
      <c r="B4645" s="1061" t="s">
        <v>1433</v>
      </c>
      <c r="C4645" s="835">
        <v>1</v>
      </c>
      <c r="D4645" s="1062" t="s">
        <v>25</v>
      </c>
      <c r="E4645" s="825">
        <v>153320</v>
      </c>
      <c r="F4645" s="825"/>
      <c r="G4645" s="825"/>
      <c r="H4645" s="825"/>
      <c r="I4645" s="825"/>
      <c r="J4645" s="825"/>
      <c r="K4645" s="825"/>
      <c r="L4645" s="825"/>
      <c r="M4645" s="825">
        <f>E4645*C4645</f>
        <v>153320</v>
      </c>
      <c r="N4645" s="825">
        <f>M4645+L4645</f>
        <v>153320</v>
      </c>
      <c r="O4645" s="826">
        <f>N4645+K4645+H4645</f>
        <v>153320</v>
      </c>
      <c r="P4645" s="702"/>
      <c r="Q4645" s="1821"/>
      <c r="R4645" s="1821"/>
      <c r="S4645" s="1821"/>
      <c r="T4645" s="1821"/>
      <c r="U4645" s="1821"/>
      <c r="V4645" s="1821"/>
      <c r="W4645" s="1821"/>
      <c r="X4645" s="1821"/>
      <c r="Y4645" s="1821"/>
      <c r="Z4645" s="1821"/>
      <c r="AA4645" s="1821"/>
      <c r="AB4645" s="1821"/>
      <c r="AC4645" s="1821"/>
      <c r="AD4645" s="1821"/>
      <c r="AE4645" s="1821"/>
      <c r="AF4645" s="1821"/>
      <c r="AG4645" s="1821"/>
      <c r="AH4645" s="1821"/>
      <c r="AI4645" s="1821"/>
      <c r="AJ4645" s="1821"/>
      <c r="AK4645" s="1821"/>
      <c r="AL4645" s="1821"/>
      <c r="AM4645" s="1821"/>
      <c r="AN4645" s="1821"/>
      <c r="AO4645" s="1821"/>
      <c r="AP4645" s="1821"/>
      <c r="AQ4645" s="1821"/>
      <c r="AR4645" s="1821"/>
      <c r="AS4645" s="1821"/>
      <c r="AT4645" s="1821"/>
      <c r="AU4645" s="1821"/>
      <c r="AV4645" s="1821"/>
      <c r="AW4645" s="1821"/>
      <c r="AX4645" s="1821"/>
      <c r="AY4645" s="1821"/>
      <c r="AZ4645" s="1821"/>
      <c r="BA4645" s="1821"/>
      <c r="BB4645" s="1821"/>
      <c r="BC4645" s="1821"/>
      <c r="BD4645" s="1821"/>
      <c r="BE4645" s="1821"/>
      <c r="BF4645" s="1821"/>
      <c r="BG4645" s="1821"/>
      <c r="BH4645" s="1821"/>
      <c r="BI4645" s="1821"/>
      <c r="BJ4645" s="1821"/>
      <c r="BK4645" s="1821"/>
      <c r="BL4645" s="1821"/>
      <c r="BM4645" s="1821"/>
      <c r="BN4645" s="1821"/>
      <c r="BO4645" s="1821"/>
      <c r="BP4645" s="1821"/>
      <c r="BQ4645" s="1821"/>
      <c r="BR4645" s="1821"/>
      <c r="BS4645" s="1821"/>
      <c r="BT4645" s="1821"/>
      <c r="BU4645" s="1821"/>
      <c r="BV4645" s="1821"/>
      <c r="BW4645" s="1821"/>
      <c r="BX4645" s="1821"/>
      <c r="BY4645" s="1821"/>
      <c r="BZ4645" s="1821"/>
      <c r="CA4645" s="1821"/>
      <c r="CB4645" s="1821"/>
      <c r="CC4645" s="1821"/>
      <c r="CD4645" s="1821"/>
      <c r="CE4645" s="1821"/>
      <c r="CF4645" s="1821"/>
      <c r="CG4645" s="1821"/>
      <c r="CH4645" s="1821"/>
      <c r="CI4645" s="1821"/>
      <c r="CJ4645" s="1821"/>
      <c r="CK4645" s="1821"/>
    </row>
    <row r="4646" spans="1:89" s="675" customFormat="1" ht="16.5" customHeight="1" x14ac:dyDescent="0.25">
      <c r="A4646" s="849"/>
      <c r="B4646" s="1061"/>
      <c r="C4646" s="835"/>
      <c r="D4646" s="1062"/>
      <c r="E4646" s="825"/>
      <c r="F4646" s="825"/>
      <c r="G4646" s="825"/>
      <c r="H4646" s="825"/>
      <c r="I4646" s="825"/>
      <c r="J4646" s="825"/>
      <c r="K4646" s="825"/>
      <c r="L4646" s="825"/>
      <c r="M4646" s="825"/>
      <c r="N4646" s="825"/>
      <c r="O4646" s="826"/>
      <c r="P4646" s="702"/>
      <c r="Q4646" s="1821"/>
      <c r="R4646" s="1821"/>
      <c r="S4646" s="1821"/>
      <c r="T4646" s="1821"/>
      <c r="U4646" s="1821"/>
      <c r="V4646" s="1821"/>
      <c r="W4646" s="1821"/>
      <c r="X4646" s="1821"/>
      <c r="Y4646" s="1821"/>
      <c r="Z4646" s="1821"/>
      <c r="AA4646" s="1821"/>
      <c r="AB4646" s="1821"/>
      <c r="AC4646" s="1821"/>
      <c r="AD4646" s="1821"/>
      <c r="AE4646" s="1821"/>
      <c r="AF4646" s="1821"/>
      <c r="AG4646" s="1821"/>
      <c r="AH4646" s="1821"/>
      <c r="AI4646" s="1821"/>
      <c r="AJ4646" s="1821"/>
      <c r="AK4646" s="1821"/>
      <c r="AL4646" s="1821"/>
      <c r="AM4646" s="1821"/>
      <c r="AN4646" s="1821"/>
      <c r="AO4646" s="1821"/>
      <c r="AP4646" s="1821"/>
      <c r="AQ4646" s="1821"/>
      <c r="AR4646" s="1821"/>
      <c r="AS4646" s="1821"/>
      <c r="AT4646" s="1821"/>
      <c r="AU4646" s="1821"/>
      <c r="AV4646" s="1821"/>
      <c r="AW4646" s="1821"/>
      <c r="AX4646" s="1821"/>
      <c r="AY4646" s="1821"/>
      <c r="AZ4646" s="1821"/>
      <c r="BA4646" s="1821"/>
      <c r="BB4646" s="1821"/>
      <c r="BC4646" s="1821"/>
      <c r="BD4646" s="1821"/>
      <c r="BE4646" s="1821"/>
      <c r="BF4646" s="1821"/>
      <c r="BG4646" s="1821"/>
      <c r="BH4646" s="1821"/>
      <c r="BI4646" s="1821"/>
      <c r="BJ4646" s="1821"/>
      <c r="BK4646" s="1821"/>
      <c r="BL4646" s="1821"/>
      <c r="BM4646" s="1821"/>
      <c r="BN4646" s="1821"/>
      <c r="BO4646" s="1821"/>
      <c r="BP4646" s="1821"/>
      <c r="BQ4646" s="1821"/>
      <c r="BR4646" s="1821"/>
      <c r="BS4646" s="1821"/>
      <c r="BT4646" s="1821"/>
      <c r="BU4646" s="1821"/>
      <c r="BV4646" s="1821"/>
      <c r="BW4646" s="1821"/>
      <c r="BX4646" s="1821"/>
      <c r="BY4646" s="1821"/>
      <c r="BZ4646" s="1821"/>
      <c r="CA4646" s="1821"/>
      <c r="CB4646" s="1821"/>
      <c r="CC4646" s="1821"/>
      <c r="CD4646" s="1821"/>
      <c r="CE4646" s="1821"/>
      <c r="CF4646" s="1821"/>
      <c r="CG4646" s="1821"/>
      <c r="CH4646" s="1821"/>
      <c r="CI4646" s="1821"/>
      <c r="CJ4646" s="1821"/>
      <c r="CK4646" s="1821"/>
    </row>
    <row r="4647" spans="1:89" s="675" customFormat="1" ht="16.5" customHeight="1" x14ac:dyDescent="0.25">
      <c r="A4647" s="849"/>
      <c r="B4647" s="1061" t="s">
        <v>27</v>
      </c>
      <c r="C4647" s="835"/>
      <c r="D4647" s="1062"/>
      <c r="E4647" s="825"/>
      <c r="F4647" s="825"/>
      <c r="G4647" s="825"/>
      <c r="H4647" s="825"/>
      <c r="I4647" s="825">
        <f>E4647*C4647</f>
        <v>0</v>
      </c>
      <c r="J4647" s="825"/>
      <c r="K4647" s="825">
        <f>J4647+I4647</f>
        <v>0</v>
      </c>
      <c r="L4647" s="825"/>
      <c r="M4647" s="825"/>
      <c r="N4647" s="825"/>
      <c r="O4647" s="826">
        <f>N4647+K4647+H4647</f>
        <v>0</v>
      </c>
      <c r="P4647" s="702"/>
      <c r="Q4647" s="1821"/>
      <c r="R4647" s="1821"/>
      <c r="S4647" s="1821"/>
      <c r="T4647" s="1821"/>
      <c r="U4647" s="1821"/>
      <c r="V4647" s="1821"/>
      <c r="W4647" s="1821"/>
      <c r="X4647" s="1821"/>
      <c r="Y4647" s="1821"/>
      <c r="Z4647" s="1821"/>
      <c r="AA4647" s="1821"/>
      <c r="AB4647" s="1821"/>
      <c r="AC4647" s="1821"/>
      <c r="AD4647" s="1821"/>
      <c r="AE4647" s="1821"/>
      <c r="AF4647" s="1821"/>
      <c r="AG4647" s="1821"/>
      <c r="AH4647" s="1821"/>
      <c r="AI4647" s="1821"/>
      <c r="AJ4647" s="1821"/>
      <c r="AK4647" s="1821"/>
      <c r="AL4647" s="1821"/>
      <c r="AM4647" s="1821"/>
      <c r="AN4647" s="1821"/>
      <c r="AO4647" s="1821"/>
      <c r="AP4647" s="1821"/>
      <c r="AQ4647" s="1821"/>
      <c r="AR4647" s="1821"/>
      <c r="AS4647" s="1821"/>
      <c r="AT4647" s="1821"/>
      <c r="AU4647" s="1821"/>
      <c r="AV4647" s="1821"/>
      <c r="AW4647" s="1821"/>
      <c r="AX4647" s="1821"/>
      <c r="AY4647" s="1821"/>
      <c r="AZ4647" s="1821"/>
      <c r="BA4647" s="1821"/>
      <c r="BB4647" s="1821"/>
      <c r="BC4647" s="1821"/>
      <c r="BD4647" s="1821"/>
      <c r="BE4647" s="1821"/>
      <c r="BF4647" s="1821"/>
      <c r="BG4647" s="1821"/>
      <c r="BH4647" s="1821"/>
      <c r="BI4647" s="1821"/>
      <c r="BJ4647" s="1821"/>
      <c r="BK4647" s="1821"/>
      <c r="BL4647" s="1821"/>
      <c r="BM4647" s="1821"/>
      <c r="BN4647" s="1821"/>
      <c r="BO4647" s="1821"/>
      <c r="BP4647" s="1821"/>
      <c r="BQ4647" s="1821"/>
      <c r="BR4647" s="1821"/>
      <c r="BS4647" s="1821"/>
      <c r="BT4647" s="1821"/>
      <c r="BU4647" s="1821"/>
      <c r="BV4647" s="1821"/>
      <c r="BW4647" s="1821"/>
      <c r="BX4647" s="1821"/>
      <c r="BY4647" s="1821"/>
      <c r="BZ4647" s="1821"/>
      <c r="CA4647" s="1821"/>
      <c r="CB4647" s="1821"/>
      <c r="CC4647" s="1821"/>
      <c r="CD4647" s="1821"/>
      <c r="CE4647" s="1821"/>
      <c r="CF4647" s="1821"/>
      <c r="CG4647" s="1821"/>
      <c r="CH4647" s="1821"/>
      <c r="CI4647" s="1821"/>
      <c r="CJ4647" s="1821"/>
      <c r="CK4647" s="1821"/>
    </row>
    <row r="4648" spans="1:89" s="675" customFormat="1" ht="16.5" customHeight="1" x14ac:dyDescent="0.25">
      <c r="A4648" s="849"/>
      <c r="B4648" s="1061" t="s">
        <v>2247</v>
      </c>
      <c r="C4648" s="835"/>
      <c r="D4648" s="1062"/>
      <c r="E4648" s="825"/>
      <c r="F4648" s="825"/>
      <c r="G4648" s="825"/>
      <c r="H4648" s="825"/>
      <c r="I4648" s="825">
        <f>E4648*C4648</f>
        <v>0</v>
      </c>
      <c r="J4648" s="825"/>
      <c r="K4648" s="825">
        <f>J4648+I4648</f>
        <v>0</v>
      </c>
      <c r="L4648" s="825"/>
      <c r="M4648" s="825"/>
      <c r="N4648" s="825"/>
      <c r="O4648" s="826">
        <f>N4648+K4648+H4648</f>
        <v>0</v>
      </c>
      <c r="P4648" s="702"/>
      <c r="Q4648" s="1821"/>
      <c r="R4648" s="1821"/>
      <c r="S4648" s="1821"/>
      <c r="T4648" s="1821"/>
      <c r="U4648" s="1821"/>
      <c r="V4648" s="1821"/>
      <c r="W4648" s="1821"/>
      <c r="X4648" s="1821"/>
      <c r="Y4648" s="1821"/>
      <c r="Z4648" s="1821"/>
      <c r="AA4648" s="1821"/>
      <c r="AB4648" s="1821"/>
      <c r="AC4648" s="1821"/>
      <c r="AD4648" s="1821"/>
      <c r="AE4648" s="1821"/>
      <c r="AF4648" s="1821"/>
      <c r="AG4648" s="1821"/>
      <c r="AH4648" s="1821"/>
      <c r="AI4648" s="1821"/>
      <c r="AJ4648" s="1821"/>
      <c r="AK4648" s="1821"/>
      <c r="AL4648" s="1821"/>
      <c r="AM4648" s="1821"/>
      <c r="AN4648" s="1821"/>
      <c r="AO4648" s="1821"/>
      <c r="AP4648" s="1821"/>
      <c r="AQ4648" s="1821"/>
      <c r="AR4648" s="1821"/>
      <c r="AS4648" s="1821"/>
      <c r="AT4648" s="1821"/>
      <c r="AU4648" s="1821"/>
      <c r="AV4648" s="1821"/>
      <c r="AW4648" s="1821"/>
      <c r="AX4648" s="1821"/>
      <c r="AY4648" s="1821"/>
      <c r="AZ4648" s="1821"/>
      <c r="BA4648" s="1821"/>
      <c r="BB4648" s="1821"/>
      <c r="BC4648" s="1821"/>
      <c r="BD4648" s="1821"/>
      <c r="BE4648" s="1821"/>
      <c r="BF4648" s="1821"/>
      <c r="BG4648" s="1821"/>
      <c r="BH4648" s="1821"/>
      <c r="BI4648" s="1821"/>
      <c r="BJ4648" s="1821"/>
      <c r="BK4648" s="1821"/>
      <c r="BL4648" s="1821"/>
      <c r="BM4648" s="1821"/>
      <c r="BN4648" s="1821"/>
      <c r="BO4648" s="1821"/>
      <c r="BP4648" s="1821"/>
      <c r="BQ4648" s="1821"/>
      <c r="BR4648" s="1821"/>
      <c r="BS4648" s="1821"/>
      <c r="BT4648" s="1821"/>
      <c r="BU4648" s="1821"/>
      <c r="BV4648" s="1821"/>
      <c r="BW4648" s="1821"/>
      <c r="BX4648" s="1821"/>
      <c r="BY4648" s="1821"/>
      <c r="BZ4648" s="1821"/>
      <c r="CA4648" s="1821"/>
      <c r="CB4648" s="1821"/>
      <c r="CC4648" s="1821"/>
      <c r="CD4648" s="1821"/>
      <c r="CE4648" s="1821"/>
      <c r="CF4648" s="1821"/>
      <c r="CG4648" s="1821"/>
      <c r="CH4648" s="1821"/>
      <c r="CI4648" s="1821"/>
      <c r="CJ4648" s="1821"/>
      <c r="CK4648" s="1821"/>
    </row>
    <row r="4649" spans="1:89" s="675" customFormat="1" ht="16.5" customHeight="1" x14ac:dyDescent="0.25">
      <c r="A4649" s="849"/>
      <c r="B4649" s="1061" t="s">
        <v>1434</v>
      </c>
      <c r="C4649" s="835">
        <v>1</v>
      </c>
      <c r="D4649" s="1062" t="s">
        <v>214</v>
      </c>
      <c r="E4649" s="825">
        <v>5000</v>
      </c>
      <c r="F4649" s="825"/>
      <c r="G4649" s="825"/>
      <c r="H4649" s="825"/>
      <c r="I4649" s="825"/>
      <c r="J4649" s="825"/>
      <c r="K4649" s="825"/>
      <c r="L4649" s="825"/>
      <c r="M4649" s="825">
        <f>E4649*C4649</f>
        <v>5000</v>
      </c>
      <c r="N4649" s="825">
        <f>M4649+L4649</f>
        <v>5000</v>
      </c>
      <c r="O4649" s="826">
        <f>N4649+K4649+H4649</f>
        <v>5000</v>
      </c>
      <c r="P4649" s="702"/>
      <c r="Q4649" s="1821"/>
      <c r="R4649" s="1821"/>
      <c r="S4649" s="1821"/>
      <c r="T4649" s="1821"/>
      <c r="U4649" s="1821"/>
      <c r="V4649" s="1821"/>
      <c r="W4649" s="1821"/>
      <c r="X4649" s="1821"/>
      <c r="Y4649" s="1821"/>
      <c r="Z4649" s="1821"/>
      <c r="AA4649" s="1821"/>
      <c r="AB4649" s="1821"/>
      <c r="AC4649" s="1821"/>
      <c r="AD4649" s="1821"/>
      <c r="AE4649" s="1821"/>
      <c r="AF4649" s="1821"/>
      <c r="AG4649" s="1821"/>
      <c r="AH4649" s="1821"/>
      <c r="AI4649" s="1821"/>
      <c r="AJ4649" s="1821"/>
      <c r="AK4649" s="1821"/>
      <c r="AL4649" s="1821"/>
      <c r="AM4649" s="1821"/>
      <c r="AN4649" s="1821"/>
      <c r="AO4649" s="1821"/>
      <c r="AP4649" s="1821"/>
      <c r="AQ4649" s="1821"/>
      <c r="AR4649" s="1821"/>
      <c r="AS4649" s="1821"/>
      <c r="AT4649" s="1821"/>
      <c r="AU4649" s="1821"/>
      <c r="AV4649" s="1821"/>
      <c r="AW4649" s="1821"/>
      <c r="AX4649" s="1821"/>
      <c r="AY4649" s="1821"/>
      <c r="AZ4649" s="1821"/>
      <c r="BA4649" s="1821"/>
      <c r="BB4649" s="1821"/>
      <c r="BC4649" s="1821"/>
      <c r="BD4649" s="1821"/>
      <c r="BE4649" s="1821"/>
      <c r="BF4649" s="1821"/>
      <c r="BG4649" s="1821"/>
      <c r="BH4649" s="1821"/>
      <c r="BI4649" s="1821"/>
      <c r="BJ4649" s="1821"/>
      <c r="BK4649" s="1821"/>
      <c r="BL4649" s="1821"/>
      <c r="BM4649" s="1821"/>
      <c r="BN4649" s="1821"/>
      <c r="BO4649" s="1821"/>
      <c r="BP4649" s="1821"/>
      <c r="BQ4649" s="1821"/>
      <c r="BR4649" s="1821"/>
      <c r="BS4649" s="1821"/>
      <c r="BT4649" s="1821"/>
      <c r="BU4649" s="1821"/>
      <c r="BV4649" s="1821"/>
      <c r="BW4649" s="1821"/>
      <c r="BX4649" s="1821"/>
      <c r="BY4649" s="1821"/>
      <c r="BZ4649" s="1821"/>
      <c r="CA4649" s="1821"/>
      <c r="CB4649" s="1821"/>
      <c r="CC4649" s="1821"/>
      <c r="CD4649" s="1821"/>
      <c r="CE4649" s="1821"/>
      <c r="CF4649" s="1821"/>
      <c r="CG4649" s="1821"/>
      <c r="CH4649" s="1821"/>
      <c r="CI4649" s="1821"/>
      <c r="CJ4649" s="1821"/>
      <c r="CK4649" s="1821"/>
    </row>
    <row r="4650" spans="1:89" s="675" customFormat="1" ht="16.5" customHeight="1" x14ac:dyDescent="0.25">
      <c r="A4650" s="849"/>
      <c r="B4650" s="1061" t="s">
        <v>1435</v>
      </c>
      <c r="C4650" s="835">
        <v>10</v>
      </c>
      <c r="D4650" s="1062" t="s">
        <v>1436</v>
      </c>
      <c r="E4650" s="825">
        <v>45</v>
      </c>
      <c r="F4650" s="825"/>
      <c r="G4650" s="825"/>
      <c r="H4650" s="825"/>
      <c r="I4650" s="825"/>
      <c r="J4650" s="825"/>
      <c r="K4650" s="825"/>
      <c r="L4650" s="825"/>
      <c r="M4650" s="825">
        <f>E4650*C4650</f>
        <v>450</v>
      </c>
      <c r="N4650" s="825">
        <f>M4650+L4650</f>
        <v>450</v>
      </c>
      <c r="O4650" s="826">
        <f>N4650+K4650+H4650</f>
        <v>450</v>
      </c>
      <c r="P4650" s="702"/>
      <c r="Q4650" s="1821"/>
      <c r="R4650" s="1821"/>
      <c r="S4650" s="1821"/>
      <c r="T4650" s="1821"/>
      <c r="U4650" s="1821"/>
      <c r="V4650" s="1821"/>
      <c r="W4650" s="1821"/>
      <c r="X4650" s="1821"/>
      <c r="Y4650" s="1821"/>
      <c r="Z4650" s="1821"/>
      <c r="AA4650" s="1821"/>
      <c r="AB4650" s="1821"/>
      <c r="AC4650" s="1821"/>
      <c r="AD4650" s="1821"/>
      <c r="AE4650" s="1821"/>
      <c r="AF4650" s="1821"/>
      <c r="AG4650" s="1821"/>
      <c r="AH4650" s="1821"/>
      <c r="AI4650" s="1821"/>
      <c r="AJ4650" s="1821"/>
      <c r="AK4650" s="1821"/>
      <c r="AL4650" s="1821"/>
      <c r="AM4650" s="1821"/>
      <c r="AN4650" s="1821"/>
      <c r="AO4650" s="1821"/>
      <c r="AP4650" s="1821"/>
      <c r="AQ4650" s="1821"/>
      <c r="AR4650" s="1821"/>
      <c r="AS4650" s="1821"/>
      <c r="AT4650" s="1821"/>
      <c r="AU4650" s="1821"/>
      <c r="AV4650" s="1821"/>
      <c r="AW4650" s="1821"/>
      <c r="AX4650" s="1821"/>
      <c r="AY4650" s="1821"/>
      <c r="AZ4650" s="1821"/>
      <c r="BA4650" s="1821"/>
      <c r="BB4650" s="1821"/>
      <c r="BC4650" s="1821"/>
      <c r="BD4650" s="1821"/>
      <c r="BE4650" s="1821"/>
      <c r="BF4650" s="1821"/>
      <c r="BG4650" s="1821"/>
      <c r="BH4650" s="1821"/>
      <c r="BI4650" s="1821"/>
      <c r="BJ4650" s="1821"/>
      <c r="BK4650" s="1821"/>
      <c r="BL4650" s="1821"/>
      <c r="BM4650" s="1821"/>
      <c r="BN4650" s="1821"/>
      <c r="BO4650" s="1821"/>
      <c r="BP4650" s="1821"/>
      <c r="BQ4650" s="1821"/>
      <c r="BR4650" s="1821"/>
      <c r="BS4650" s="1821"/>
      <c r="BT4650" s="1821"/>
      <c r="BU4650" s="1821"/>
      <c r="BV4650" s="1821"/>
      <c r="BW4650" s="1821"/>
      <c r="BX4650" s="1821"/>
      <c r="BY4650" s="1821"/>
      <c r="BZ4650" s="1821"/>
      <c r="CA4650" s="1821"/>
      <c r="CB4650" s="1821"/>
      <c r="CC4650" s="1821"/>
      <c r="CD4650" s="1821"/>
      <c r="CE4650" s="1821"/>
      <c r="CF4650" s="1821"/>
      <c r="CG4650" s="1821"/>
      <c r="CH4650" s="1821"/>
      <c r="CI4650" s="1821"/>
      <c r="CJ4650" s="1821"/>
      <c r="CK4650" s="1821"/>
    </row>
    <row r="4651" spans="1:89" s="675" customFormat="1" ht="16.5" customHeight="1" x14ac:dyDescent="0.25">
      <c r="A4651" s="849"/>
      <c r="B4651" s="1061"/>
      <c r="C4651" s="835"/>
      <c r="D4651" s="1062"/>
      <c r="E4651" s="825"/>
      <c r="F4651" s="825"/>
      <c r="G4651" s="825"/>
      <c r="H4651" s="825"/>
      <c r="I4651" s="825"/>
      <c r="J4651" s="825"/>
      <c r="K4651" s="825"/>
      <c r="L4651" s="825"/>
      <c r="M4651" s="825"/>
      <c r="N4651" s="825"/>
      <c r="O4651" s="826"/>
      <c r="P4651" s="702"/>
      <c r="Q4651" s="1821"/>
      <c r="R4651" s="1821"/>
      <c r="S4651" s="1821"/>
      <c r="T4651" s="1821"/>
      <c r="U4651" s="1821"/>
      <c r="V4651" s="1821"/>
      <c r="W4651" s="1821"/>
      <c r="X4651" s="1821"/>
      <c r="Y4651" s="1821"/>
      <c r="Z4651" s="1821"/>
      <c r="AA4651" s="1821"/>
      <c r="AB4651" s="1821"/>
      <c r="AC4651" s="1821"/>
      <c r="AD4651" s="1821"/>
      <c r="AE4651" s="1821"/>
      <c r="AF4651" s="1821"/>
      <c r="AG4651" s="1821"/>
      <c r="AH4651" s="1821"/>
      <c r="AI4651" s="1821"/>
      <c r="AJ4651" s="1821"/>
      <c r="AK4651" s="1821"/>
      <c r="AL4651" s="1821"/>
      <c r="AM4651" s="1821"/>
      <c r="AN4651" s="1821"/>
      <c r="AO4651" s="1821"/>
      <c r="AP4651" s="1821"/>
      <c r="AQ4651" s="1821"/>
      <c r="AR4651" s="1821"/>
      <c r="AS4651" s="1821"/>
      <c r="AT4651" s="1821"/>
      <c r="AU4651" s="1821"/>
      <c r="AV4651" s="1821"/>
      <c r="AW4651" s="1821"/>
      <c r="AX4651" s="1821"/>
      <c r="AY4651" s="1821"/>
      <c r="AZ4651" s="1821"/>
      <c r="BA4651" s="1821"/>
      <c r="BB4651" s="1821"/>
      <c r="BC4651" s="1821"/>
      <c r="BD4651" s="1821"/>
      <c r="BE4651" s="1821"/>
      <c r="BF4651" s="1821"/>
      <c r="BG4651" s="1821"/>
      <c r="BH4651" s="1821"/>
      <c r="BI4651" s="1821"/>
      <c r="BJ4651" s="1821"/>
      <c r="BK4651" s="1821"/>
      <c r="BL4651" s="1821"/>
      <c r="BM4651" s="1821"/>
      <c r="BN4651" s="1821"/>
      <c r="BO4651" s="1821"/>
      <c r="BP4651" s="1821"/>
      <c r="BQ4651" s="1821"/>
      <c r="BR4651" s="1821"/>
      <c r="BS4651" s="1821"/>
      <c r="BT4651" s="1821"/>
      <c r="BU4651" s="1821"/>
      <c r="BV4651" s="1821"/>
      <c r="BW4651" s="1821"/>
      <c r="BX4651" s="1821"/>
      <c r="BY4651" s="1821"/>
      <c r="BZ4651" s="1821"/>
      <c r="CA4651" s="1821"/>
      <c r="CB4651" s="1821"/>
      <c r="CC4651" s="1821"/>
      <c r="CD4651" s="1821"/>
      <c r="CE4651" s="1821"/>
      <c r="CF4651" s="1821"/>
      <c r="CG4651" s="1821"/>
      <c r="CH4651" s="1821"/>
      <c r="CI4651" s="1821"/>
      <c r="CJ4651" s="1821"/>
      <c r="CK4651" s="1821"/>
    </row>
    <row r="4652" spans="1:89" s="675" customFormat="1" ht="16.5" customHeight="1" x14ac:dyDescent="0.25">
      <c r="A4652" s="849"/>
      <c r="B4652" s="1061" t="s">
        <v>2251</v>
      </c>
      <c r="C4652" s="835"/>
      <c r="D4652" s="1062"/>
      <c r="E4652" s="825"/>
      <c r="F4652" s="825"/>
      <c r="G4652" s="825"/>
      <c r="H4652" s="825"/>
      <c r="I4652" s="825"/>
      <c r="J4652" s="825"/>
      <c r="K4652" s="825">
        <f>J4652+I4652</f>
        <v>0</v>
      </c>
      <c r="L4652" s="825">
        <f>E4652*C4652</f>
        <v>0</v>
      </c>
      <c r="M4652" s="825"/>
      <c r="N4652" s="825">
        <f t="shared" ref="N4652:N4658" si="532">M4652+L4652</f>
        <v>0</v>
      </c>
      <c r="O4652" s="826">
        <f t="shared" ref="O4652:O4658" si="533">N4652+K4652+H4652</f>
        <v>0</v>
      </c>
      <c r="P4652" s="702"/>
      <c r="Q4652" s="1821"/>
      <c r="R4652" s="1821"/>
      <c r="S4652" s="1821"/>
      <c r="T4652" s="1821"/>
      <c r="U4652" s="1821"/>
      <c r="V4652" s="1821"/>
      <c r="W4652" s="1821"/>
      <c r="X4652" s="1821"/>
      <c r="Y4652" s="1821"/>
      <c r="Z4652" s="1821"/>
      <c r="AA4652" s="1821"/>
      <c r="AB4652" s="1821"/>
      <c r="AC4652" s="1821"/>
      <c r="AD4652" s="1821"/>
      <c r="AE4652" s="1821"/>
      <c r="AF4652" s="1821"/>
      <c r="AG4652" s="1821"/>
      <c r="AH4652" s="1821"/>
      <c r="AI4652" s="1821"/>
      <c r="AJ4652" s="1821"/>
      <c r="AK4652" s="1821"/>
      <c r="AL4652" s="1821"/>
      <c r="AM4652" s="1821"/>
      <c r="AN4652" s="1821"/>
      <c r="AO4652" s="1821"/>
      <c r="AP4652" s="1821"/>
      <c r="AQ4652" s="1821"/>
      <c r="AR4652" s="1821"/>
      <c r="AS4652" s="1821"/>
      <c r="AT4652" s="1821"/>
      <c r="AU4652" s="1821"/>
      <c r="AV4652" s="1821"/>
      <c r="AW4652" s="1821"/>
      <c r="AX4652" s="1821"/>
      <c r="AY4652" s="1821"/>
      <c r="AZ4652" s="1821"/>
      <c r="BA4652" s="1821"/>
      <c r="BB4652" s="1821"/>
      <c r="BC4652" s="1821"/>
      <c r="BD4652" s="1821"/>
      <c r="BE4652" s="1821"/>
      <c r="BF4652" s="1821"/>
      <c r="BG4652" s="1821"/>
      <c r="BH4652" s="1821"/>
      <c r="BI4652" s="1821"/>
      <c r="BJ4652" s="1821"/>
      <c r="BK4652" s="1821"/>
      <c r="BL4652" s="1821"/>
      <c r="BM4652" s="1821"/>
      <c r="BN4652" s="1821"/>
      <c r="BO4652" s="1821"/>
      <c r="BP4652" s="1821"/>
      <c r="BQ4652" s="1821"/>
      <c r="BR4652" s="1821"/>
      <c r="BS4652" s="1821"/>
      <c r="BT4652" s="1821"/>
      <c r="BU4652" s="1821"/>
      <c r="BV4652" s="1821"/>
      <c r="BW4652" s="1821"/>
      <c r="BX4652" s="1821"/>
      <c r="BY4652" s="1821"/>
      <c r="BZ4652" s="1821"/>
      <c r="CA4652" s="1821"/>
      <c r="CB4652" s="1821"/>
      <c r="CC4652" s="1821"/>
      <c r="CD4652" s="1821"/>
      <c r="CE4652" s="1821"/>
      <c r="CF4652" s="1821"/>
      <c r="CG4652" s="1821"/>
      <c r="CH4652" s="1821"/>
      <c r="CI4652" s="1821"/>
      <c r="CJ4652" s="1821"/>
      <c r="CK4652" s="1821"/>
    </row>
    <row r="4653" spans="1:89" s="675" customFormat="1" ht="16.5" customHeight="1" x14ac:dyDescent="0.25">
      <c r="A4653" s="849"/>
      <c r="B4653" s="1061" t="s">
        <v>2247</v>
      </c>
      <c r="C4653" s="835"/>
      <c r="D4653" s="1062"/>
      <c r="E4653" s="825"/>
      <c r="F4653" s="825"/>
      <c r="G4653" s="825"/>
      <c r="H4653" s="825"/>
      <c r="I4653" s="825"/>
      <c r="J4653" s="825"/>
      <c r="K4653" s="825">
        <f>J4653+I4653</f>
        <v>0</v>
      </c>
      <c r="L4653" s="825">
        <f>E4653*C4653</f>
        <v>0</v>
      </c>
      <c r="M4653" s="825"/>
      <c r="N4653" s="825">
        <f t="shared" si="532"/>
        <v>0</v>
      </c>
      <c r="O4653" s="826">
        <f t="shared" si="533"/>
        <v>0</v>
      </c>
      <c r="P4653" s="702"/>
      <c r="Q4653" s="1821"/>
      <c r="R4653" s="1821"/>
      <c r="S4653" s="1821"/>
      <c r="T4653" s="1821"/>
      <c r="U4653" s="1821"/>
      <c r="V4653" s="1821"/>
      <c r="W4653" s="1821"/>
      <c r="X4653" s="1821"/>
      <c r="Y4653" s="1821"/>
      <c r="Z4653" s="1821"/>
      <c r="AA4653" s="1821"/>
      <c r="AB4653" s="1821"/>
      <c r="AC4653" s="1821"/>
      <c r="AD4653" s="1821"/>
      <c r="AE4653" s="1821"/>
      <c r="AF4653" s="1821"/>
      <c r="AG4653" s="1821"/>
      <c r="AH4653" s="1821"/>
      <c r="AI4653" s="1821"/>
      <c r="AJ4653" s="1821"/>
      <c r="AK4653" s="1821"/>
      <c r="AL4653" s="1821"/>
      <c r="AM4653" s="1821"/>
      <c r="AN4653" s="1821"/>
      <c r="AO4653" s="1821"/>
      <c r="AP4653" s="1821"/>
      <c r="AQ4653" s="1821"/>
      <c r="AR4653" s="1821"/>
      <c r="AS4653" s="1821"/>
      <c r="AT4653" s="1821"/>
      <c r="AU4653" s="1821"/>
      <c r="AV4653" s="1821"/>
      <c r="AW4653" s="1821"/>
      <c r="AX4653" s="1821"/>
      <c r="AY4653" s="1821"/>
      <c r="AZ4653" s="1821"/>
      <c r="BA4653" s="1821"/>
      <c r="BB4653" s="1821"/>
      <c r="BC4653" s="1821"/>
      <c r="BD4653" s="1821"/>
      <c r="BE4653" s="1821"/>
      <c r="BF4653" s="1821"/>
      <c r="BG4653" s="1821"/>
      <c r="BH4653" s="1821"/>
      <c r="BI4653" s="1821"/>
      <c r="BJ4653" s="1821"/>
      <c r="BK4653" s="1821"/>
      <c r="BL4653" s="1821"/>
      <c r="BM4653" s="1821"/>
      <c r="BN4653" s="1821"/>
      <c r="BO4653" s="1821"/>
      <c r="BP4653" s="1821"/>
      <c r="BQ4653" s="1821"/>
      <c r="BR4653" s="1821"/>
      <c r="BS4653" s="1821"/>
      <c r="BT4653" s="1821"/>
      <c r="BU4653" s="1821"/>
      <c r="BV4653" s="1821"/>
      <c r="BW4653" s="1821"/>
      <c r="BX4653" s="1821"/>
      <c r="BY4653" s="1821"/>
      <c r="BZ4653" s="1821"/>
      <c r="CA4653" s="1821"/>
      <c r="CB4653" s="1821"/>
      <c r="CC4653" s="1821"/>
      <c r="CD4653" s="1821"/>
      <c r="CE4653" s="1821"/>
      <c r="CF4653" s="1821"/>
      <c r="CG4653" s="1821"/>
      <c r="CH4653" s="1821"/>
      <c r="CI4653" s="1821"/>
      <c r="CJ4653" s="1821"/>
      <c r="CK4653" s="1821"/>
    </row>
    <row r="4654" spans="1:89" s="675" customFormat="1" ht="16.5" customHeight="1" x14ac:dyDescent="0.25">
      <c r="A4654" s="849"/>
      <c r="B4654" s="1061" t="s">
        <v>1437</v>
      </c>
      <c r="C4654" s="835">
        <v>4</v>
      </c>
      <c r="D4654" s="1062" t="s">
        <v>1438</v>
      </c>
      <c r="E4654" s="825">
        <v>145</v>
      </c>
      <c r="F4654" s="825"/>
      <c r="G4654" s="825"/>
      <c r="H4654" s="825"/>
      <c r="I4654" s="825"/>
      <c r="J4654" s="825"/>
      <c r="K4654" s="825"/>
      <c r="L4654" s="825"/>
      <c r="M4654" s="825">
        <f>E4654*C4654</f>
        <v>580</v>
      </c>
      <c r="N4654" s="825">
        <f t="shared" si="532"/>
        <v>580</v>
      </c>
      <c r="O4654" s="826">
        <f t="shared" si="533"/>
        <v>580</v>
      </c>
      <c r="P4654" s="702"/>
      <c r="Q4654" s="1821"/>
      <c r="R4654" s="1821"/>
      <c r="S4654" s="1821"/>
      <c r="T4654" s="1821"/>
      <c r="U4654" s="1821"/>
      <c r="V4654" s="1821"/>
      <c r="W4654" s="1821"/>
      <c r="X4654" s="1821"/>
      <c r="Y4654" s="1821"/>
      <c r="Z4654" s="1821"/>
      <c r="AA4654" s="1821"/>
      <c r="AB4654" s="1821"/>
      <c r="AC4654" s="1821"/>
      <c r="AD4654" s="1821"/>
      <c r="AE4654" s="1821"/>
      <c r="AF4654" s="1821"/>
      <c r="AG4654" s="1821"/>
      <c r="AH4654" s="1821"/>
      <c r="AI4654" s="1821"/>
      <c r="AJ4654" s="1821"/>
      <c r="AK4654" s="1821"/>
      <c r="AL4654" s="1821"/>
      <c r="AM4654" s="1821"/>
      <c r="AN4654" s="1821"/>
      <c r="AO4654" s="1821"/>
      <c r="AP4654" s="1821"/>
      <c r="AQ4654" s="1821"/>
      <c r="AR4654" s="1821"/>
      <c r="AS4654" s="1821"/>
      <c r="AT4654" s="1821"/>
      <c r="AU4654" s="1821"/>
      <c r="AV4654" s="1821"/>
      <c r="AW4654" s="1821"/>
      <c r="AX4654" s="1821"/>
      <c r="AY4654" s="1821"/>
      <c r="AZ4654" s="1821"/>
      <c r="BA4654" s="1821"/>
      <c r="BB4654" s="1821"/>
      <c r="BC4654" s="1821"/>
      <c r="BD4654" s="1821"/>
      <c r="BE4654" s="1821"/>
      <c r="BF4654" s="1821"/>
      <c r="BG4654" s="1821"/>
      <c r="BH4654" s="1821"/>
      <c r="BI4654" s="1821"/>
      <c r="BJ4654" s="1821"/>
      <c r="BK4654" s="1821"/>
      <c r="BL4654" s="1821"/>
      <c r="BM4654" s="1821"/>
      <c r="BN4654" s="1821"/>
      <c r="BO4654" s="1821"/>
      <c r="BP4654" s="1821"/>
      <c r="BQ4654" s="1821"/>
      <c r="BR4654" s="1821"/>
      <c r="BS4654" s="1821"/>
      <c r="BT4654" s="1821"/>
      <c r="BU4654" s="1821"/>
      <c r="BV4654" s="1821"/>
      <c r="BW4654" s="1821"/>
      <c r="BX4654" s="1821"/>
      <c r="BY4654" s="1821"/>
      <c r="BZ4654" s="1821"/>
      <c r="CA4654" s="1821"/>
      <c r="CB4654" s="1821"/>
      <c r="CC4654" s="1821"/>
      <c r="CD4654" s="1821"/>
      <c r="CE4654" s="1821"/>
      <c r="CF4654" s="1821"/>
      <c r="CG4654" s="1821"/>
      <c r="CH4654" s="1821"/>
      <c r="CI4654" s="1821"/>
      <c r="CJ4654" s="1821"/>
      <c r="CK4654" s="1821"/>
    </row>
    <row r="4655" spans="1:89" s="675" customFormat="1" ht="16.5" customHeight="1" x14ac:dyDescent="0.25">
      <c r="A4655" s="849"/>
      <c r="B4655" s="1061" t="s">
        <v>1439</v>
      </c>
      <c r="C4655" s="835">
        <v>1</v>
      </c>
      <c r="D4655" s="1062" t="s">
        <v>196</v>
      </c>
      <c r="E4655" s="825">
        <v>2650</v>
      </c>
      <c r="F4655" s="825"/>
      <c r="G4655" s="825"/>
      <c r="H4655" s="825"/>
      <c r="I4655" s="825"/>
      <c r="J4655" s="825"/>
      <c r="K4655" s="825"/>
      <c r="L4655" s="825"/>
      <c r="M4655" s="825">
        <f>E4655*C4655</f>
        <v>2650</v>
      </c>
      <c r="N4655" s="825">
        <f t="shared" si="532"/>
        <v>2650</v>
      </c>
      <c r="O4655" s="826">
        <f t="shared" si="533"/>
        <v>2650</v>
      </c>
      <c r="P4655" s="702"/>
      <c r="Q4655" s="1821"/>
      <c r="R4655" s="1821"/>
      <c r="S4655" s="1821"/>
      <c r="T4655" s="1821"/>
      <c r="U4655" s="1821"/>
      <c r="V4655" s="1821"/>
      <c r="W4655" s="1821"/>
      <c r="X4655" s="1821"/>
      <c r="Y4655" s="1821"/>
      <c r="Z4655" s="1821"/>
      <c r="AA4655" s="1821"/>
      <c r="AB4655" s="1821"/>
      <c r="AC4655" s="1821"/>
      <c r="AD4655" s="1821"/>
      <c r="AE4655" s="1821"/>
      <c r="AF4655" s="1821"/>
      <c r="AG4655" s="1821"/>
      <c r="AH4655" s="1821"/>
      <c r="AI4655" s="1821"/>
      <c r="AJ4655" s="1821"/>
      <c r="AK4655" s="1821"/>
      <c r="AL4655" s="1821"/>
      <c r="AM4655" s="1821"/>
      <c r="AN4655" s="1821"/>
      <c r="AO4655" s="1821"/>
      <c r="AP4655" s="1821"/>
      <c r="AQ4655" s="1821"/>
      <c r="AR4655" s="1821"/>
      <c r="AS4655" s="1821"/>
      <c r="AT4655" s="1821"/>
      <c r="AU4655" s="1821"/>
      <c r="AV4655" s="1821"/>
      <c r="AW4655" s="1821"/>
      <c r="AX4655" s="1821"/>
      <c r="AY4655" s="1821"/>
      <c r="AZ4655" s="1821"/>
      <c r="BA4655" s="1821"/>
      <c r="BB4655" s="1821"/>
      <c r="BC4655" s="1821"/>
      <c r="BD4655" s="1821"/>
      <c r="BE4655" s="1821"/>
      <c r="BF4655" s="1821"/>
      <c r="BG4655" s="1821"/>
      <c r="BH4655" s="1821"/>
      <c r="BI4655" s="1821"/>
      <c r="BJ4655" s="1821"/>
      <c r="BK4655" s="1821"/>
      <c r="BL4655" s="1821"/>
      <c r="BM4655" s="1821"/>
      <c r="BN4655" s="1821"/>
      <c r="BO4655" s="1821"/>
      <c r="BP4655" s="1821"/>
      <c r="BQ4655" s="1821"/>
      <c r="BR4655" s="1821"/>
      <c r="BS4655" s="1821"/>
      <c r="BT4655" s="1821"/>
      <c r="BU4655" s="1821"/>
      <c r="BV4655" s="1821"/>
      <c r="BW4655" s="1821"/>
      <c r="BX4655" s="1821"/>
      <c r="BY4655" s="1821"/>
      <c r="BZ4655" s="1821"/>
      <c r="CA4655" s="1821"/>
      <c r="CB4655" s="1821"/>
      <c r="CC4655" s="1821"/>
      <c r="CD4655" s="1821"/>
      <c r="CE4655" s="1821"/>
      <c r="CF4655" s="1821"/>
      <c r="CG4655" s="1821"/>
      <c r="CH4655" s="1821"/>
      <c r="CI4655" s="1821"/>
      <c r="CJ4655" s="1821"/>
      <c r="CK4655" s="1821"/>
    </row>
    <row r="4656" spans="1:89" s="675" customFormat="1" ht="16.5" customHeight="1" x14ac:dyDescent="0.25">
      <c r="A4656" s="849"/>
      <c r="B4656" s="1061" t="s">
        <v>1440</v>
      </c>
      <c r="C4656" s="835">
        <v>1</v>
      </c>
      <c r="D4656" s="1062" t="s">
        <v>196</v>
      </c>
      <c r="E4656" s="825">
        <v>15000</v>
      </c>
      <c r="F4656" s="825"/>
      <c r="G4656" s="825"/>
      <c r="H4656" s="825"/>
      <c r="I4656" s="825"/>
      <c r="J4656" s="825"/>
      <c r="K4656" s="825"/>
      <c r="L4656" s="825"/>
      <c r="M4656" s="825">
        <f>E4656*C4656</f>
        <v>15000</v>
      </c>
      <c r="N4656" s="825">
        <f t="shared" si="532"/>
        <v>15000</v>
      </c>
      <c r="O4656" s="826">
        <f t="shared" si="533"/>
        <v>15000</v>
      </c>
      <c r="P4656" s="702"/>
      <c r="Q4656" s="1821"/>
      <c r="R4656" s="1821"/>
      <c r="S4656" s="1821"/>
      <c r="T4656" s="1821"/>
      <c r="U4656" s="1821"/>
      <c r="V4656" s="1821"/>
      <c r="W4656" s="1821"/>
      <c r="X4656" s="1821"/>
      <c r="Y4656" s="1821"/>
      <c r="Z4656" s="1821"/>
      <c r="AA4656" s="1821"/>
      <c r="AB4656" s="1821"/>
      <c r="AC4656" s="1821"/>
      <c r="AD4656" s="1821"/>
      <c r="AE4656" s="1821"/>
      <c r="AF4656" s="1821"/>
      <c r="AG4656" s="1821"/>
      <c r="AH4656" s="1821"/>
      <c r="AI4656" s="1821"/>
      <c r="AJ4656" s="1821"/>
      <c r="AK4656" s="1821"/>
      <c r="AL4656" s="1821"/>
      <c r="AM4656" s="1821"/>
      <c r="AN4656" s="1821"/>
      <c r="AO4656" s="1821"/>
      <c r="AP4656" s="1821"/>
      <c r="AQ4656" s="1821"/>
      <c r="AR4656" s="1821"/>
      <c r="AS4656" s="1821"/>
      <c r="AT4656" s="1821"/>
      <c r="AU4656" s="1821"/>
      <c r="AV4656" s="1821"/>
      <c r="AW4656" s="1821"/>
      <c r="AX4656" s="1821"/>
      <c r="AY4656" s="1821"/>
      <c r="AZ4656" s="1821"/>
      <c r="BA4656" s="1821"/>
      <c r="BB4656" s="1821"/>
      <c r="BC4656" s="1821"/>
      <c r="BD4656" s="1821"/>
      <c r="BE4656" s="1821"/>
      <c r="BF4656" s="1821"/>
      <c r="BG4656" s="1821"/>
      <c r="BH4656" s="1821"/>
      <c r="BI4656" s="1821"/>
      <c r="BJ4656" s="1821"/>
      <c r="BK4656" s="1821"/>
      <c r="BL4656" s="1821"/>
      <c r="BM4656" s="1821"/>
      <c r="BN4656" s="1821"/>
      <c r="BO4656" s="1821"/>
      <c r="BP4656" s="1821"/>
      <c r="BQ4656" s="1821"/>
      <c r="BR4656" s="1821"/>
      <c r="BS4656" s="1821"/>
      <c r="BT4656" s="1821"/>
      <c r="BU4656" s="1821"/>
      <c r="BV4656" s="1821"/>
      <c r="BW4656" s="1821"/>
      <c r="BX4656" s="1821"/>
      <c r="BY4656" s="1821"/>
      <c r="BZ4656" s="1821"/>
      <c r="CA4656" s="1821"/>
      <c r="CB4656" s="1821"/>
      <c r="CC4656" s="1821"/>
      <c r="CD4656" s="1821"/>
      <c r="CE4656" s="1821"/>
      <c r="CF4656" s="1821"/>
      <c r="CG4656" s="1821"/>
      <c r="CH4656" s="1821"/>
      <c r="CI4656" s="1821"/>
      <c r="CJ4656" s="1821"/>
      <c r="CK4656" s="1821"/>
    </row>
    <row r="4657" spans="1:89" s="675" customFormat="1" ht="16.5" customHeight="1" x14ac:dyDescent="0.25">
      <c r="A4657" s="849"/>
      <c r="B4657" s="1061" t="s">
        <v>1441</v>
      </c>
      <c r="C4657" s="835">
        <v>2</v>
      </c>
      <c r="D4657" s="1062" t="s">
        <v>196</v>
      </c>
      <c r="E4657" s="825">
        <v>2500</v>
      </c>
      <c r="F4657" s="825"/>
      <c r="G4657" s="825"/>
      <c r="H4657" s="825"/>
      <c r="I4657" s="825"/>
      <c r="J4657" s="825"/>
      <c r="K4657" s="825"/>
      <c r="L4657" s="825"/>
      <c r="M4657" s="825">
        <f>E4657*C4657</f>
        <v>5000</v>
      </c>
      <c r="N4657" s="825">
        <f t="shared" si="532"/>
        <v>5000</v>
      </c>
      <c r="O4657" s="826">
        <f t="shared" si="533"/>
        <v>5000</v>
      </c>
      <c r="P4657" s="702"/>
      <c r="Q4657" s="1821"/>
      <c r="R4657" s="1821"/>
      <c r="S4657" s="1821"/>
      <c r="T4657" s="1821"/>
      <c r="U4657" s="1821"/>
      <c r="V4657" s="1821"/>
      <c r="W4657" s="1821"/>
      <c r="X4657" s="1821"/>
      <c r="Y4657" s="1821"/>
      <c r="Z4657" s="1821"/>
      <c r="AA4657" s="1821"/>
      <c r="AB4657" s="1821"/>
      <c r="AC4657" s="1821"/>
      <c r="AD4657" s="1821"/>
      <c r="AE4657" s="1821"/>
      <c r="AF4657" s="1821"/>
      <c r="AG4657" s="1821"/>
      <c r="AH4657" s="1821"/>
      <c r="AI4657" s="1821"/>
      <c r="AJ4657" s="1821"/>
      <c r="AK4657" s="1821"/>
      <c r="AL4657" s="1821"/>
      <c r="AM4657" s="1821"/>
      <c r="AN4657" s="1821"/>
      <c r="AO4657" s="1821"/>
      <c r="AP4657" s="1821"/>
      <c r="AQ4657" s="1821"/>
      <c r="AR4657" s="1821"/>
      <c r="AS4657" s="1821"/>
      <c r="AT4657" s="1821"/>
      <c r="AU4657" s="1821"/>
      <c r="AV4657" s="1821"/>
      <c r="AW4657" s="1821"/>
      <c r="AX4657" s="1821"/>
      <c r="AY4657" s="1821"/>
      <c r="AZ4657" s="1821"/>
      <c r="BA4657" s="1821"/>
      <c r="BB4657" s="1821"/>
      <c r="BC4657" s="1821"/>
      <c r="BD4657" s="1821"/>
      <c r="BE4657" s="1821"/>
      <c r="BF4657" s="1821"/>
      <c r="BG4657" s="1821"/>
      <c r="BH4657" s="1821"/>
      <c r="BI4657" s="1821"/>
      <c r="BJ4657" s="1821"/>
      <c r="BK4657" s="1821"/>
      <c r="BL4657" s="1821"/>
      <c r="BM4657" s="1821"/>
      <c r="BN4657" s="1821"/>
      <c r="BO4657" s="1821"/>
      <c r="BP4657" s="1821"/>
      <c r="BQ4657" s="1821"/>
      <c r="BR4657" s="1821"/>
      <c r="BS4657" s="1821"/>
      <c r="BT4657" s="1821"/>
      <c r="BU4657" s="1821"/>
      <c r="BV4657" s="1821"/>
      <c r="BW4657" s="1821"/>
      <c r="BX4657" s="1821"/>
      <c r="BY4657" s="1821"/>
      <c r="BZ4657" s="1821"/>
      <c r="CA4657" s="1821"/>
      <c r="CB4657" s="1821"/>
      <c r="CC4657" s="1821"/>
      <c r="CD4657" s="1821"/>
      <c r="CE4657" s="1821"/>
      <c r="CF4657" s="1821"/>
      <c r="CG4657" s="1821"/>
      <c r="CH4657" s="1821"/>
      <c r="CI4657" s="1821"/>
      <c r="CJ4657" s="1821"/>
      <c r="CK4657" s="1821"/>
    </row>
    <row r="4658" spans="1:89" s="675" customFormat="1" ht="16.5" customHeight="1" x14ac:dyDescent="0.25">
      <c r="A4658" s="849"/>
      <c r="B4658" s="1061" t="s">
        <v>1442</v>
      </c>
      <c r="C4658" s="835">
        <v>2</v>
      </c>
      <c r="D4658" s="1062" t="s">
        <v>196</v>
      </c>
      <c r="E4658" s="825">
        <v>1500</v>
      </c>
      <c r="F4658" s="825"/>
      <c r="G4658" s="825"/>
      <c r="H4658" s="825"/>
      <c r="I4658" s="825"/>
      <c r="J4658" s="825"/>
      <c r="K4658" s="825"/>
      <c r="L4658" s="825"/>
      <c r="M4658" s="825">
        <f>E4658*C4658</f>
        <v>3000</v>
      </c>
      <c r="N4658" s="825">
        <f t="shared" si="532"/>
        <v>3000</v>
      </c>
      <c r="O4658" s="826">
        <f t="shared" si="533"/>
        <v>3000</v>
      </c>
      <c r="P4658" s="702"/>
      <c r="Q4658" s="1821"/>
      <c r="R4658" s="1821"/>
      <c r="S4658" s="1821"/>
      <c r="T4658" s="1821"/>
      <c r="U4658" s="1821"/>
      <c r="V4658" s="1821"/>
      <c r="W4658" s="1821"/>
      <c r="X4658" s="1821"/>
      <c r="Y4658" s="1821"/>
      <c r="Z4658" s="1821"/>
      <c r="AA4658" s="1821"/>
      <c r="AB4658" s="1821"/>
      <c r="AC4658" s="1821"/>
      <c r="AD4658" s="1821"/>
      <c r="AE4658" s="1821"/>
      <c r="AF4658" s="1821"/>
      <c r="AG4658" s="1821"/>
      <c r="AH4658" s="1821"/>
      <c r="AI4658" s="1821"/>
      <c r="AJ4658" s="1821"/>
      <c r="AK4658" s="1821"/>
      <c r="AL4658" s="1821"/>
      <c r="AM4658" s="1821"/>
      <c r="AN4658" s="1821"/>
      <c r="AO4658" s="1821"/>
      <c r="AP4658" s="1821"/>
      <c r="AQ4658" s="1821"/>
      <c r="AR4658" s="1821"/>
      <c r="AS4658" s="1821"/>
      <c r="AT4658" s="1821"/>
      <c r="AU4658" s="1821"/>
      <c r="AV4658" s="1821"/>
      <c r="AW4658" s="1821"/>
      <c r="AX4658" s="1821"/>
      <c r="AY4658" s="1821"/>
      <c r="AZ4658" s="1821"/>
      <c r="BA4658" s="1821"/>
      <c r="BB4658" s="1821"/>
      <c r="BC4658" s="1821"/>
      <c r="BD4658" s="1821"/>
      <c r="BE4658" s="1821"/>
      <c r="BF4658" s="1821"/>
      <c r="BG4658" s="1821"/>
      <c r="BH4658" s="1821"/>
      <c r="BI4658" s="1821"/>
      <c r="BJ4658" s="1821"/>
      <c r="BK4658" s="1821"/>
      <c r="BL4658" s="1821"/>
      <c r="BM4658" s="1821"/>
      <c r="BN4658" s="1821"/>
      <c r="BO4658" s="1821"/>
      <c r="BP4658" s="1821"/>
      <c r="BQ4658" s="1821"/>
      <c r="BR4658" s="1821"/>
      <c r="BS4658" s="1821"/>
      <c r="BT4658" s="1821"/>
      <c r="BU4658" s="1821"/>
      <c r="BV4658" s="1821"/>
      <c r="BW4658" s="1821"/>
      <c r="BX4658" s="1821"/>
      <c r="BY4658" s="1821"/>
      <c r="BZ4658" s="1821"/>
      <c r="CA4658" s="1821"/>
      <c r="CB4658" s="1821"/>
      <c r="CC4658" s="1821"/>
      <c r="CD4658" s="1821"/>
      <c r="CE4658" s="1821"/>
      <c r="CF4658" s="1821"/>
      <c r="CG4658" s="1821"/>
      <c r="CH4658" s="1821"/>
      <c r="CI4658" s="1821"/>
      <c r="CJ4658" s="1821"/>
      <c r="CK4658" s="1821"/>
    </row>
    <row r="4659" spans="1:89" s="675" customFormat="1" ht="16.5" customHeight="1" x14ac:dyDescent="0.25">
      <c r="A4659" s="849"/>
      <c r="B4659" s="1061"/>
      <c r="C4659" s="835"/>
      <c r="D4659" s="1062"/>
      <c r="E4659" s="825"/>
      <c r="F4659" s="825"/>
      <c r="G4659" s="825"/>
      <c r="H4659" s="825"/>
      <c r="I4659" s="825"/>
      <c r="J4659" s="825"/>
      <c r="K4659" s="825"/>
      <c r="L4659" s="825"/>
      <c r="M4659" s="825"/>
      <c r="N4659" s="825"/>
      <c r="O4659" s="826"/>
      <c r="P4659" s="702"/>
      <c r="Q4659" s="1821"/>
      <c r="R4659" s="1821"/>
      <c r="S4659" s="1821"/>
      <c r="T4659" s="1821"/>
      <c r="U4659" s="1821"/>
      <c r="V4659" s="1821"/>
      <c r="W4659" s="1821"/>
      <c r="X4659" s="1821"/>
      <c r="Y4659" s="1821"/>
      <c r="Z4659" s="1821"/>
      <c r="AA4659" s="1821"/>
      <c r="AB4659" s="1821"/>
      <c r="AC4659" s="1821"/>
      <c r="AD4659" s="1821"/>
      <c r="AE4659" s="1821"/>
      <c r="AF4659" s="1821"/>
      <c r="AG4659" s="1821"/>
      <c r="AH4659" s="1821"/>
      <c r="AI4659" s="1821"/>
      <c r="AJ4659" s="1821"/>
      <c r="AK4659" s="1821"/>
      <c r="AL4659" s="1821"/>
      <c r="AM4659" s="1821"/>
      <c r="AN4659" s="1821"/>
      <c r="AO4659" s="1821"/>
      <c r="AP4659" s="1821"/>
      <c r="AQ4659" s="1821"/>
      <c r="AR4659" s="1821"/>
      <c r="AS4659" s="1821"/>
      <c r="AT4659" s="1821"/>
      <c r="AU4659" s="1821"/>
      <c r="AV4659" s="1821"/>
      <c r="AW4659" s="1821"/>
      <c r="AX4659" s="1821"/>
      <c r="AY4659" s="1821"/>
      <c r="AZ4659" s="1821"/>
      <c r="BA4659" s="1821"/>
      <c r="BB4659" s="1821"/>
      <c r="BC4659" s="1821"/>
      <c r="BD4659" s="1821"/>
      <c r="BE4659" s="1821"/>
      <c r="BF4659" s="1821"/>
      <c r="BG4659" s="1821"/>
      <c r="BH4659" s="1821"/>
      <c r="BI4659" s="1821"/>
      <c r="BJ4659" s="1821"/>
      <c r="BK4659" s="1821"/>
      <c r="BL4659" s="1821"/>
      <c r="BM4659" s="1821"/>
      <c r="BN4659" s="1821"/>
      <c r="BO4659" s="1821"/>
      <c r="BP4659" s="1821"/>
      <c r="BQ4659" s="1821"/>
      <c r="BR4659" s="1821"/>
      <c r="BS4659" s="1821"/>
      <c r="BT4659" s="1821"/>
      <c r="BU4659" s="1821"/>
      <c r="BV4659" s="1821"/>
      <c r="BW4659" s="1821"/>
      <c r="BX4659" s="1821"/>
      <c r="BY4659" s="1821"/>
      <c r="BZ4659" s="1821"/>
      <c r="CA4659" s="1821"/>
      <c r="CB4659" s="1821"/>
      <c r="CC4659" s="1821"/>
      <c r="CD4659" s="1821"/>
      <c r="CE4659" s="1821"/>
      <c r="CF4659" s="1821"/>
      <c r="CG4659" s="1821"/>
      <c r="CH4659" s="1821"/>
      <c r="CI4659" s="1821"/>
      <c r="CJ4659" s="1821"/>
      <c r="CK4659" s="1821"/>
    </row>
    <row r="4660" spans="1:89" s="675" customFormat="1" ht="16.5" customHeight="1" x14ac:dyDescent="0.25">
      <c r="A4660" s="849">
        <v>17</v>
      </c>
      <c r="B4660" s="1061" t="s">
        <v>570</v>
      </c>
      <c r="C4660" s="835"/>
      <c r="D4660" s="1062"/>
      <c r="E4660" s="825"/>
      <c r="F4660" s="825"/>
      <c r="G4660" s="825"/>
      <c r="H4660" s="825"/>
      <c r="I4660" s="825"/>
      <c r="J4660" s="825"/>
      <c r="K4660" s="825"/>
      <c r="L4660" s="825"/>
      <c r="M4660" s="825"/>
      <c r="N4660" s="825"/>
      <c r="O4660" s="826"/>
      <c r="P4660" s="702"/>
      <c r="Q4660" s="1821"/>
      <c r="R4660" s="1821"/>
      <c r="S4660" s="1821"/>
      <c r="T4660" s="1821"/>
      <c r="U4660" s="1821"/>
      <c r="V4660" s="1821"/>
      <c r="W4660" s="1821"/>
      <c r="X4660" s="1821"/>
      <c r="Y4660" s="1821"/>
      <c r="Z4660" s="1821"/>
      <c r="AA4660" s="1821"/>
      <c r="AB4660" s="1821"/>
      <c r="AC4660" s="1821"/>
      <c r="AD4660" s="1821"/>
      <c r="AE4660" s="1821"/>
      <c r="AF4660" s="1821"/>
      <c r="AG4660" s="1821"/>
      <c r="AH4660" s="1821"/>
      <c r="AI4660" s="1821"/>
      <c r="AJ4660" s="1821"/>
      <c r="AK4660" s="1821"/>
      <c r="AL4660" s="1821"/>
      <c r="AM4660" s="1821"/>
      <c r="AN4660" s="1821"/>
      <c r="AO4660" s="1821"/>
      <c r="AP4660" s="1821"/>
      <c r="AQ4660" s="1821"/>
      <c r="AR4660" s="1821"/>
      <c r="AS4660" s="1821"/>
      <c r="AT4660" s="1821"/>
      <c r="AU4660" s="1821"/>
      <c r="AV4660" s="1821"/>
      <c r="AW4660" s="1821"/>
      <c r="AX4660" s="1821"/>
      <c r="AY4660" s="1821"/>
      <c r="AZ4660" s="1821"/>
      <c r="BA4660" s="1821"/>
      <c r="BB4660" s="1821"/>
      <c r="BC4660" s="1821"/>
      <c r="BD4660" s="1821"/>
      <c r="BE4660" s="1821"/>
      <c r="BF4660" s="1821"/>
      <c r="BG4660" s="1821"/>
      <c r="BH4660" s="1821"/>
      <c r="BI4660" s="1821"/>
      <c r="BJ4660" s="1821"/>
      <c r="BK4660" s="1821"/>
      <c r="BL4660" s="1821"/>
      <c r="BM4660" s="1821"/>
      <c r="BN4660" s="1821"/>
      <c r="BO4660" s="1821"/>
      <c r="BP4660" s="1821"/>
      <c r="BQ4660" s="1821"/>
      <c r="BR4660" s="1821"/>
      <c r="BS4660" s="1821"/>
      <c r="BT4660" s="1821"/>
      <c r="BU4660" s="1821"/>
      <c r="BV4660" s="1821"/>
      <c r="BW4660" s="1821"/>
      <c r="BX4660" s="1821"/>
      <c r="BY4660" s="1821"/>
      <c r="BZ4660" s="1821"/>
      <c r="CA4660" s="1821"/>
      <c r="CB4660" s="1821"/>
      <c r="CC4660" s="1821"/>
      <c r="CD4660" s="1821"/>
      <c r="CE4660" s="1821"/>
      <c r="CF4660" s="1821"/>
      <c r="CG4660" s="1821"/>
      <c r="CH4660" s="1821"/>
      <c r="CI4660" s="1821"/>
      <c r="CJ4660" s="1821"/>
      <c r="CK4660" s="1821"/>
    </row>
    <row r="4661" spans="1:89" s="675" customFormat="1" ht="16.5" customHeight="1" x14ac:dyDescent="0.25">
      <c r="A4661" s="849"/>
      <c r="B4661" s="1061" t="s">
        <v>571</v>
      </c>
      <c r="C4661" s="835"/>
      <c r="D4661" s="1062"/>
      <c r="E4661" s="825"/>
      <c r="F4661" s="825"/>
      <c r="G4661" s="825"/>
      <c r="H4661" s="825"/>
      <c r="I4661" s="825"/>
      <c r="J4661" s="825"/>
      <c r="K4661" s="825"/>
      <c r="L4661" s="825"/>
      <c r="M4661" s="825"/>
      <c r="N4661" s="825"/>
      <c r="O4661" s="826">
        <f t="shared" ref="O4661:O4666" si="534">N4661+K4661+H4661</f>
        <v>0</v>
      </c>
      <c r="P4661" s="702"/>
      <c r="Q4661" s="1821"/>
      <c r="R4661" s="1821"/>
      <c r="S4661" s="1821"/>
      <c r="T4661" s="1821"/>
      <c r="U4661" s="1821"/>
      <c r="V4661" s="1821"/>
      <c r="W4661" s="1821"/>
      <c r="X4661" s="1821"/>
      <c r="Y4661" s="1821"/>
      <c r="Z4661" s="1821"/>
      <c r="AA4661" s="1821"/>
      <c r="AB4661" s="1821"/>
      <c r="AC4661" s="1821"/>
      <c r="AD4661" s="1821"/>
      <c r="AE4661" s="1821"/>
      <c r="AF4661" s="1821"/>
      <c r="AG4661" s="1821"/>
      <c r="AH4661" s="1821"/>
      <c r="AI4661" s="1821"/>
      <c r="AJ4661" s="1821"/>
      <c r="AK4661" s="1821"/>
      <c r="AL4661" s="1821"/>
      <c r="AM4661" s="1821"/>
      <c r="AN4661" s="1821"/>
      <c r="AO4661" s="1821"/>
      <c r="AP4661" s="1821"/>
      <c r="AQ4661" s="1821"/>
      <c r="AR4661" s="1821"/>
      <c r="AS4661" s="1821"/>
      <c r="AT4661" s="1821"/>
      <c r="AU4661" s="1821"/>
      <c r="AV4661" s="1821"/>
      <c r="AW4661" s="1821"/>
      <c r="AX4661" s="1821"/>
      <c r="AY4661" s="1821"/>
      <c r="AZ4661" s="1821"/>
      <c r="BA4661" s="1821"/>
      <c r="BB4661" s="1821"/>
      <c r="BC4661" s="1821"/>
      <c r="BD4661" s="1821"/>
      <c r="BE4661" s="1821"/>
      <c r="BF4661" s="1821"/>
      <c r="BG4661" s="1821"/>
      <c r="BH4661" s="1821"/>
      <c r="BI4661" s="1821"/>
      <c r="BJ4661" s="1821"/>
      <c r="BK4661" s="1821"/>
      <c r="BL4661" s="1821"/>
      <c r="BM4661" s="1821"/>
      <c r="BN4661" s="1821"/>
      <c r="BO4661" s="1821"/>
      <c r="BP4661" s="1821"/>
      <c r="BQ4661" s="1821"/>
      <c r="BR4661" s="1821"/>
      <c r="BS4661" s="1821"/>
      <c r="BT4661" s="1821"/>
      <c r="BU4661" s="1821"/>
      <c r="BV4661" s="1821"/>
      <c r="BW4661" s="1821"/>
      <c r="BX4661" s="1821"/>
      <c r="BY4661" s="1821"/>
      <c r="BZ4661" s="1821"/>
      <c r="CA4661" s="1821"/>
      <c r="CB4661" s="1821"/>
      <c r="CC4661" s="1821"/>
      <c r="CD4661" s="1821"/>
      <c r="CE4661" s="1821"/>
      <c r="CF4661" s="1821"/>
      <c r="CG4661" s="1821"/>
      <c r="CH4661" s="1821"/>
      <c r="CI4661" s="1821"/>
      <c r="CJ4661" s="1821"/>
      <c r="CK4661" s="1821"/>
    </row>
    <row r="4662" spans="1:89" s="675" customFormat="1" ht="16.5" customHeight="1" x14ac:dyDescent="0.25">
      <c r="A4662" s="849"/>
      <c r="B4662" s="1061" t="s">
        <v>2247</v>
      </c>
      <c r="C4662" s="835"/>
      <c r="D4662" s="1062"/>
      <c r="E4662" s="825"/>
      <c r="F4662" s="825"/>
      <c r="G4662" s="825"/>
      <c r="H4662" s="825"/>
      <c r="I4662" s="825"/>
      <c r="J4662" s="825"/>
      <c r="K4662" s="825"/>
      <c r="L4662" s="825"/>
      <c r="M4662" s="825"/>
      <c r="N4662" s="825"/>
      <c r="O4662" s="826">
        <f t="shared" si="534"/>
        <v>0</v>
      </c>
      <c r="P4662" s="702"/>
      <c r="Q4662" s="1821"/>
      <c r="R4662" s="1821"/>
      <c r="S4662" s="1821"/>
      <c r="T4662" s="1821"/>
      <c r="U4662" s="1821"/>
      <c r="V4662" s="1821"/>
      <c r="W4662" s="1821"/>
      <c r="X4662" s="1821"/>
      <c r="Y4662" s="1821"/>
      <c r="Z4662" s="1821"/>
      <c r="AA4662" s="1821"/>
      <c r="AB4662" s="1821"/>
      <c r="AC4662" s="1821"/>
      <c r="AD4662" s="1821"/>
      <c r="AE4662" s="1821"/>
      <c r="AF4662" s="1821"/>
      <c r="AG4662" s="1821"/>
      <c r="AH4662" s="1821"/>
      <c r="AI4662" s="1821"/>
      <c r="AJ4662" s="1821"/>
      <c r="AK4662" s="1821"/>
      <c r="AL4662" s="1821"/>
      <c r="AM4662" s="1821"/>
      <c r="AN4662" s="1821"/>
      <c r="AO4662" s="1821"/>
      <c r="AP4662" s="1821"/>
      <c r="AQ4662" s="1821"/>
      <c r="AR4662" s="1821"/>
      <c r="AS4662" s="1821"/>
      <c r="AT4662" s="1821"/>
      <c r="AU4662" s="1821"/>
      <c r="AV4662" s="1821"/>
      <c r="AW4662" s="1821"/>
      <c r="AX4662" s="1821"/>
      <c r="AY4662" s="1821"/>
      <c r="AZ4662" s="1821"/>
      <c r="BA4662" s="1821"/>
      <c r="BB4662" s="1821"/>
      <c r="BC4662" s="1821"/>
      <c r="BD4662" s="1821"/>
      <c r="BE4662" s="1821"/>
      <c r="BF4662" s="1821"/>
      <c r="BG4662" s="1821"/>
      <c r="BH4662" s="1821"/>
      <c r="BI4662" s="1821"/>
      <c r="BJ4662" s="1821"/>
      <c r="BK4662" s="1821"/>
      <c r="BL4662" s="1821"/>
      <c r="BM4662" s="1821"/>
      <c r="BN4662" s="1821"/>
      <c r="BO4662" s="1821"/>
      <c r="BP4662" s="1821"/>
      <c r="BQ4662" s="1821"/>
      <c r="BR4662" s="1821"/>
      <c r="BS4662" s="1821"/>
      <c r="BT4662" s="1821"/>
      <c r="BU4662" s="1821"/>
      <c r="BV4662" s="1821"/>
      <c r="BW4662" s="1821"/>
      <c r="BX4662" s="1821"/>
      <c r="BY4662" s="1821"/>
      <c r="BZ4662" s="1821"/>
      <c r="CA4662" s="1821"/>
      <c r="CB4662" s="1821"/>
      <c r="CC4662" s="1821"/>
      <c r="CD4662" s="1821"/>
      <c r="CE4662" s="1821"/>
      <c r="CF4662" s="1821"/>
      <c r="CG4662" s="1821"/>
      <c r="CH4662" s="1821"/>
      <c r="CI4662" s="1821"/>
      <c r="CJ4662" s="1821"/>
      <c r="CK4662" s="1821"/>
    </row>
    <row r="4663" spans="1:89" s="675" customFormat="1" ht="16.5" customHeight="1" x14ac:dyDescent="0.25">
      <c r="A4663" s="849"/>
      <c r="B4663" s="1061" t="s">
        <v>2252</v>
      </c>
      <c r="C4663" s="835">
        <v>1</v>
      </c>
      <c r="D4663" s="1062" t="s">
        <v>16</v>
      </c>
      <c r="E4663" s="825">
        <v>50000</v>
      </c>
      <c r="F4663" s="825"/>
      <c r="G4663" s="825"/>
      <c r="H4663" s="825"/>
      <c r="I4663" s="825"/>
      <c r="J4663" s="825"/>
      <c r="K4663" s="825"/>
      <c r="L4663" s="825">
        <f>+E4663</f>
        <v>50000</v>
      </c>
      <c r="M4663" s="825"/>
      <c r="N4663" s="825">
        <f>M4663+L4663</f>
        <v>50000</v>
      </c>
      <c r="O4663" s="826">
        <f t="shared" si="534"/>
        <v>50000</v>
      </c>
      <c r="P4663" s="702"/>
      <c r="Q4663" s="1821"/>
      <c r="R4663" s="1821"/>
      <c r="S4663" s="1821"/>
      <c r="T4663" s="1821"/>
      <c r="U4663" s="1821"/>
      <c r="V4663" s="1821"/>
      <c r="W4663" s="1821"/>
      <c r="X4663" s="1821"/>
      <c r="Y4663" s="1821"/>
      <c r="Z4663" s="1821"/>
      <c r="AA4663" s="1821"/>
      <c r="AB4663" s="1821"/>
      <c r="AC4663" s="1821"/>
      <c r="AD4663" s="1821"/>
      <c r="AE4663" s="1821"/>
      <c r="AF4663" s="1821"/>
      <c r="AG4663" s="1821"/>
      <c r="AH4663" s="1821"/>
      <c r="AI4663" s="1821"/>
      <c r="AJ4663" s="1821"/>
      <c r="AK4663" s="1821"/>
      <c r="AL4663" s="1821"/>
      <c r="AM4663" s="1821"/>
      <c r="AN4663" s="1821"/>
      <c r="AO4663" s="1821"/>
      <c r="AP4663" s="1821"/>
      <c r="AQ4663" s="1821"/>
      <c r="AR4663" s="1821"/>
      <c r="AS4663" s="1821"/>
      <c r="AT4663" s="1821"/>
      <c r="AU4663" s="1821"/>
      <c r="AV4663" s="1821"/>
      <c r="AW4663" s="1821"/>
      <c r="AX4663" s="1821"/>
      <c r="AY4663" s="1821"/>
      <c r="AZ4663" s="1821"/>
      <c r="BA4663" s="1821"/>
      <c r="BB4663" s="1821"/>
      <c r="BC4663" s="1821"/>
      <c r="BD4663" s="1821"/>
      <c r="BE4663" s="1821"/>
      <c r="BF4663" s="1821"/>
      <c r="BG4663" s="1821"/>
      <c r="BH4663" s="1821"/>
      <c r="BI4663" s="1821"/>
      <c r="BJ4663" s="1821"/>
      <c r="BK4663" s="1821"/>
      <c r="BL4663" s="1821"/>
      <c r="BM4663" s="1821"/>
      <c r="BN4663" s="1821"/>
      <c r="BO4663" s="1821"/>
      <c r="BP4663" s="1821"/>
      <c r="BQ4663" s="1821"/>
      <c r="BR4663" s="1821"/>
      <c r="BS4663" s="1821"/>
      <c r="BT4663" s="1821"/>
      <c r="BU4663" s="1821"/>
      <c r="BV4663" s="1821"/>
      <c r="BW4663" s="1821"/>
      <c r="BX4663" s="1821"/>
      <c r="BY4663" s="1821"/>
      <c r="BZ4663" s="1821"/>
      <c r="CA4663" s="1821"/>
      <c r="CB4663" s="1821"/>
      <c r="CC4663" s="1821"/>
      <c r="CD4663" s="1821"/>
      <c r="CE4663" s="1821"/>
      <c r="CF4663" s="1821"/>
      <c r="CG4663" s="1821"/>
      <c r="CH4663" s="1821"/>
      <c r="CI4663" s="1821"/>
      <c r="CJ4663" s="1821"/>
      <c r="CK4663" s="1821"/>
    </row>
    <row r="4664" spans="1:89" s="675" customFormat="1" ht="16.5" customHeight="1" x14ac:dyDescent="0.25">
      <c r="A4664" s="849"/>
      <c r="B4664" s="1061" t="s">
        <v>2253</v>
      </c>
      <c r="C4664" s="835">
        <v>1</v>
      </c>
      <c r="D4664" s="1062" t="s">
        <v>16</v>
      </c>
      <c r="E4664" s="825">
        <v>1146951</v>
      </c>
      <c r="F4664" s="825"/>
      <c r="G4664" s="825"/>
      <c r="H4664" s="825"/>
      <c r="I4664" s="825"/>
      <c r="J4664" s="825"/>
      <c r="K4664" s="825"/>
      <c r="L4664" s="825">
        <f>+E4664</f>
        <v>1146951</v>
      </c>
      <c r="M4664" s="825"/>
      <c r="N4664" s="825">
        <f>M4664+L4664</f>
        <v>1146951</v>
      </c>
      <c r="O4664" s="826">
        <f t="shared" si="534"/>
        <v>1146951</v>
      </c>
      <c r="P4664" s="702"/>
      <c r="Q4664" s="1821"/>
      <c r="R4664" s="1821"/>
      <c r="S4664" s="1821"/>
      <c r="T4664" s="1821"/>
      <c r="U4664" s="1821"/>
      <c r="V4664" s="1821"/>
      <c r="W4664" s="1821"/>
      <c r="X4664" s="1821"/>
      <c r="Y4664" s="1821"/>
      <c r="Z4664" s="1821"/>
      <c r="AA4664" s="1821"/>
      <c r="AB4664" s="1821"/>
      <c r="AC4664" s="1821"/>
      <c r="AD4664" s="1821"/>
      <c r="AE4664" s="1821"/>
      <c r="AF4664" s="1821"/>
      <c r="AG4664" s="1821"/>
      <c r="AH4664" s="1821"/>
      <c r="AI4664" s="1821"/>
      <c r="AJ4664" s="1821"/>
      <c r="AK4664" s="1821"/>
      <c r="AL4664" s="1821"/>
      <c r="AM4664" s="1821"/>
      <c r="AN4664" s="1821"/>
      <c r="AO4664" s="1821"/>
      <c r="AP4664" s="1821"/>
      <c r="AQ4664" s="1821"/>
      <c r="AR4664" s="1821"/>
      <c r="AS4664" s="1821"/>
      <c r="AT4664" s="1821"/>
      <c r="AU4664" s="1821"/>
      <c r="AV4664" s="1821"/>
      <c r="AW4664" s="1821"/>
      <c r="AX4664" s="1821"/>
      <c r="AY4664" s="1821"/>
      <c r="AZ4664" s="1821"/>
      <c r="BA4664" s="1821"/>
      <c r="BB4664" s="1821"/>
      <c r="BC4664" s="1821"/>
      <c r="BD4664" s="1821"/>
      <c r="BE4664" s="1821"/>
      <c r="BF4664" s="1821"/>
      <c r="BG4664" s="1821"/>
      <c r="BH4664" s="1821"/>
      <c r="BI4664" s="1821"/>
      <c r="BJ4664" s="1821"/>
      <c r="BK4664" s="1821"/>
      <c r="BL4664" s="1821"/>
      <c r="BM4664" s="1821"/>
      <c r="BN4664" s="1821"/>
      <c r="BO4664" s="1821"/>
      <c r="BP4664" s="1821"/>
      <c r="BQ4664" s="1821"/>
      <c r="BR4664" s="1821"/>
      <c r="BS4664" s="1821"/>
      <c r="BT4664" s="1821"/>
      <c r="BU4664" s="1821"/>
      <c r="BV4664" s="1821"/>
      <c r="BW4664" s="1821"/>
      <c r="BX4664" s="1821"/>
      <c r="BY4664" s="1821"/>
      <c r="BZ4664" s="1821"/>
      <c r="CA4664" s="1821"/>
      <c r="CB4664" s="1821"/>
      <c r="CC4664" s="1821"/>
      <c r="CD4664" s="1821"/>
      <c r="CE4664" s="1821"/>
      <c r="CF4664" s="1821"/>
      <c r="CG4664" s="1821"/>
      <c r="CH4664" s="1821"/>
      <c r="CI4664" s="1821"/>
      <c r="CJ4664" s="1821"/>
      <c r="CK4664" s="1821"/>
    </row>
    <row r="4665" spans="1:89" s="675" customFormat="1" ht="16.5" customHeight="1" x14ac:dyDescent="0.25">
      <c r="A4665" s="849"/>
      <c r="B4665" s="1061" t="s">
        <v>1443</v>
      </c>
      <c r="C4665" s="835">
        <v>1</v>
      </c>
      <c r="D4665" s="1062" t="s">
        <v>16</v>
      </c>
      <c r="E4665" s="825">
        <v>50000</v>
      </c>
      <c r="F4665" s="825"/>
      <c r="G4665" s="825"/>
      <c r="H4665" s="825"/>
      <c r="I4665" s="825"/>
      <c r="J4665" s="825"/>
      <c r="K4665" s="825"/>
      <c r="L4665" s="825">
        <f>+E4665</f>
        <v>50000</v>
      </c>
      <c r="M4665" s="825"/>
      <c r="N4665" s="825">
        <f>M4665+L4665</f>
        <v>50000</v>
      </c>
      <c r="O4665" s="826">
        <f t="shared" si="534"/>
        <v>50000</v>
      </c>
      <c r="P4665" s="702"/>
      <c r="Q4665" s="1821"/>
      <c r="R4665" s="1821"/>
      <c r="S4665" s="1821"/>
      <c r="T4665" s="1821"/>
      <c r="U4665" s="1821"/>
      <c r="V4665" s="1821"/>
      <c r="W4665" s="1821"/>
      <c r="X4665" s="1821"/>
      <c r="Y4665" s="1821"/>
      <c r="Z4665" s="1821"/>
      <c r="AA4665" s="1821"/>
      <c r="AB4665" s="1821"/>
      <c r="AC4665" s="1821"/>
      <c r="AD4665" s="1821"/>
      <c r="AE4665" s="1821"/>
      <c r="AF4665" s="1821"/>
      <c r="AG4665" s="1821"/>
      <c r="AH4665" s="1821"/>
      <c r="AI4665" s="1821"/>
      <c r="AJ4665" s="1821"/>
      <c r="AK4665" s="1821"/>
      <c r="AL4665" s="1821"/>
      <c r="AM4665" s="1821"/>
      <c r="AN4665" s="1821"/>
      <c r="AO4665" s="1821"/>
      <c r="AP4665" s="1821"/>
      <c r="AQ4665" s="1821"/>
      <c r="AR4665" s="1821"/>
      <c r="AS4665" s="1821"/>
      <c r="AT4665" s="1821"/>
      <c r="AU4665" s="1821"/>
      <c r="AV4665" s="1821"/>
      <c r="AW4665" s="1821"/>
      <c r="AX4665" s="1821"/>
      <c r="AY4665" s="1821"/>
      <c r="AZ4665" s="1821"/>
      <c r="BA4665" s="1821"/>
      <c r="BB4665" s="1821"/>
      <c r="BC4665" s="1821"/>
      <c r="BD4665" s="1821"/>
      <c r="BE4665" s="1821"/>
      <c r="BF4665" s="1821"/>
      <c r="BG4665" s="1821"/>
      <c r="BH4665" s="1821"/>
      <c r="BI4665" s="1821"/>
      <c r="BJ4665" s="1821"/>
      <c r="BK4665" s="1821"/>
      <c r="BL4665" s="1821"/>
      <c r="BM4665" s="1821"/>
      <c r="BN4665" s="1821"/>
      <c r="BO4665" s="1821"/>
      <c r="BP4665" s="1821"/>
      <c r="BQ4665" s="1821"/>
      <c r="BR4665" s="1821"/>
      <c r="BS4665" s="1821"/>
      <c r="BT4665" s="1821"/>
      <c r="BU4665" s="1821"/>
      <c r="BV4665" s="1821"/>
      <c r="BW4665" s="1821"/>
      <c r="BX4665" s="1821"/>
      <c r="BY4665" s="1821"/>
      <c r="BZ4665" s="1821"/>
      <c r="CA4665" s="1821"/>
      <c r="CB4665" s="1821"/>
      <c r="CC4665" s="1821"/>
      <c r="CD4665" s="1821"/>
      <c r="CE4665" s="1821"/>
      <c r="CF4665" s="1821"/>
      <c r="CG4665" s="1821"/>
      <c r="CH4665" s="1821"/>
      <c r="CI4665" s="1821"/>
      <c r="CJ4665" s="1821"/>
      <c r="CK4665" s="1821"/>
    </row>
    <row r="4666" spans="1:89" s="675" customFormat="1" ht="16.5" customHeight="1" x14ac:dyDescent="0.25">
      <c r="A4666" s="849"/>
      <c r="B4666" s="1061" t="s">
        <v>1444</v>
      </c>
      <c r="C4666" s="835">
        <v>1</v>
      </c>
      <c r="D4666" s="1062" t="s">
        <v>16</v>
      </c>
      <c r="E4666" s="825">
        <v>100000</v>
      </c>
      <c r="F4666" s="825"/>
      <c r="G4666" s="825"/>
      <c r="H4666" s="825"/>
      <c r="I4666" s="825"/>
      <c r="J4666" s="825"/>
      <c r="K4666" s="825"/>
      <c r="L4666" s="825">
        <f>E4666*C4666</f>
        <v>100000</v>
      </c>
      <c r="M4666" s="825"/>
      <c r="N4666" s="825">
        <f>M4666+L4666</f>
        <v>100000</v>
      </c>
      <c r="O4666" s="826">
        <f t="shared" si="534"/>
        <v>100000</v>
      </c>
      <c r="P4666" s="702"/>
      <c r="Q4666" s="1821"/>
      <c r="R4666" s="1821"/>
      <c r="S4666" s="1821"/>
      <c r="T4666" s="1821"/>
      <c r="U4666" s="1821"/>
      <c r="V4666" s="1821"/>
      <c r="W4666" s="1821"/>
      <c r="X4666" s="1821"/>
      <c r="Y4666" s="1821"/>
      <c r="Z4666" s="1821"/>
      <c r="AA4666" s="1821"/>
      <c r="AB4666" s="1821"/>
      <c r="AC4666" s="1821"/>
      <c r="AD4666" s="1821"/>
      <c r="AE4666" s="1821"/>
      <c r="AF4666" s="1821"/>
      <c r="AG4666" s="1821"/>
      <c r="AH4666" s="1821"/>
      <c r="AI4666" s="1821"/>
      <c r="AJ4666" s="1821"/>
      <c r="AK4666" s="1821"/>
      <c r="AL4666" s="1821"/>
      <c r="AM4666" s="1821"/>
      <c r="AN4666" s="1821"/>
      <c r="AO4666" s="1821"/>
      <c r="AP4666" s="1821"/>
      <c r="AQ4666" s="1821"/>
      <c r="AR4666" s="1821"/>
      <c r="AS4666" s="1821"/>
      <c r="AT4666" s="1821"/>
      <c r="AU4666" s="1821"/>
      <c r="AV4666" s="1821"/>
      <c r="AW4666" s="1821"/>
      <c r="AX4666" s="1821"/>
      <c r="AY4666" s="1821"/>
      <c r="AZ4666" s="1821"/>
      <c r="BA4666" s="1821"/>
      <c r="BB4666" s="1821"/>
      <c r="BC4666" s="1821"/>
      <c r="BD4666" s="1821"/>
      <c r="BE4666" s="1821"/>
      <c r="BF4666" s="1821"/>
      <c r="BG4666" s="1821"/>
      <c r="BH4666" s="1821"/>
      <c r="BI4666" s="1821"/>
      <c r="BJ4666" s="1821"/>
      <c r="BK4666" s="1821"/>
      <c r="BL4666" s="1821"/>
      <c r="BM4666" s="1821"/>
      <c r="BN4666" s="1821"/>
      <c r="BO4666" s="1821"/>
      <c r="BP4666" s="1821"/>
      <c r="BQ4666" s="1821"/>
      <c r="BR4666" s="1821"/>
      <c r="BS4666" s="1821"/>
      <c r="BT4666" s="1821"/>
      <c r="BU4666" s="1821"/>
      <c r="BV4666" s="1821"/>
      <c r="BW4666" s="1821"/>
      <c r="BX4666" s="1821"/>
      <c r="BY4666" s="1821"/>
      <c r="BZ4666" s="1821"/>
      <c r="CA4666" s="1821"/>
      <c r="CB4666" s="1821"/>
      <c r="CC4666" s="1821"/>
      <c r="CD4666" s="1821"/>
      <c r="CE4666" s="1821"/>
      <c r="CF4666" s="1821"/>
      <c r="CG4666" s="1821"/>
      <c r="CH4666" s="1821"/>
      <c r="CI4666" s="1821"/>
      <c r="CJ4666" s="1821"/>
      <c r="CK4666" s="1821"/>
    </row>
    <row r="4667" spans="1:89" s="675" customFormat="1" ht="16.5" customHeight="1" x14ac:dyDescent="0.25">
      <c r="A4667" s="849"/>
      <c r="B4667" s="1061"/>
      <c r="C4667" s="835"/>
      <c r="D4667" s="1062"/>
      <c r="E4667" s="825"/>
      <c r="F4667" s="825"/>
      <c r="G4667" s="825"/>
      <c r="H4667" s="825"/>
      <c r="I4667" s="825"/>
      <c r="J4667" s="825"/>
      <c r="K4667" s="825"/>
      <c r="L4667" s="825"/>
      <c r="M4667" s="825"/>
      <c r="N4667" s="825"/>
      <c r="O4667" s="826"/>
      <c r="P4667" s="702"/>
      <c r="Q4667" s="1821"/>
      <c r="R4667" s="1821"/>
      <c r="S4667" s="1821"/>
      <c r="T4667" s="1821"/>
      <c r="U4667" s="1821"/>
      <c r="V4667" s="1821"/>
      <c r="W4667" s="1821"/>
      <c r="X4667" s="1821"/>
      <c r="Y4667" s="1821"/>
      <c r="Z4667" s="1821"/>
      <c r="AA4667" s="1821"/>
      <c r="AB4667" s="1821"/>
      <c r="AC4667" s="1821"/>
      <c r="AD4667" s="1821"/>
      <c r="AE4667" s="1821"/>
      <c r="AF4667" s="1821"/>
      <c r="AG4667" s="1821"/>
      <c r="AH4667" s="1821"/>
      <c r="AI4667" s="1821"/>
      <c r="AJ4667" s="1821"/>
      <c r="AK4667" s="1821"/>
      <c r="AL4667" s="1821"/>
      <c r="AM4667" s="1821"/>
      <c r="AN4667" s="1821"/>
      <c r="AO4667" s="1821"/>
      <c r="AP4667" s="1821"/>
      <c r="AQ4667" s="1821"/>
      <c r="AR4667" s="1821"/>
      <c r="AS4667" s="1821"/>
      <c r="AT4667" s="1821"/>
      <c r="AU4667" s="1821"/>
      <c r="AV4667" s="1821"/>
      <c r="AW4667" s="1821"/>
      <c r="AX4667" s="1821"/>
      <c r="AY4667" s="1821"/>
      <c r="AZ4667" s="1821"/>
      <c r="BA4667" s="1821"/>
      <c r="BB4667" s="1821"/>
      <c r="BC4667" s="1821"/>
      <c r="BD4667" s="1821"/>
      <c r="BE4667" s="1821"/>
      <c r="BF4667" s="1821"/>
      <c r="BG4667" s="1821"/>
      <c r="BH4667" s="1821"/>
      <c r="BI4667" s="1821"/>
      <c r="BJ4667" s="1821"/>
      <c r="BK4667" s="1821"/>
      <c r="BL4667" s="1821"/>
      <c r="BM4667" s="1821"/>
      <c r="BN4667" s="1821"/>
      <c r="BO4667" s="1821"/>
      <c r="BP4667" s="1821"/>
      <c r="BQ4667" s="1821"/>
      <c r="BR4667" s="1821"/>
      <c r="BS4667" s="1821"/>
      <c r="BT4667" s="1821"/>
      <c r="BU4667" s="1821"/>
      <c r="BV4667" s="1821"/>
      <c r="BW4667" s="1821"/>
      <c r="BX4667" s="1821"/>
      <c r="BY4667" s="1821"/>
      <c r="BZ4667" s="1821"/>
      <c r="CA4667" s="1821"/>
      <c r="CB4667" s="1821"/>
      <c r="CC4667" s="1821"/>
      <c r="CD4667" s="1821"/>
      <c r="CE4667" s="1821"/>
      <c r="CF4667" s="1821"/>
      <c r="CG4667" s="1821"/>
      <c r="CH4667" s="1821"/>
      <c r="CI4667" s="1821"/>
      <c r="CJ4667" s="1821"/>
      <c r="CK4667" s="1821"/>
    </row>
    <row r="4668" spans="1:89" s="675" customFormat="1" ht="16.5" customHeight="1" x14ac:dyDescent="0.25">
      <c r="A4668" s="849">
        <v>18</v>
      </c>
      <c r="B4668" s="1061" t="s">
        <v>1445</v>
      </c>
      <c r="C4668" s="835"/>
      <c r="D4668" s="1062"/>
      <c r="E4668" s="825"/>
      <c r="F4668" s="825"/>
      <c r="G4668" s="825"/>
      <c r="H4668" s="825"/>
      <c r="I4668" s="825"/>
      <c r="J4668" s="825"/>
      <c r="K4668" s="825"/>
      <c r="L4668" s="825">
        <f>E4668*C4668</f>
        <v>0</v>
      </c>
      <c r="M4668" s="825"/>
      <c r="N4668" s="825">
        <f t="shared" ref="N4668:N4679" si="535">M4668+L4668</f>
        <v>0</v>
      </c>
      <c r="O4668" s="826">
        <f t="shared" ref="O4668:O4679" si="536">N4668+K4668+H4668</f>
        <v>0</v>
      </c>
      <c r="P4668" s="702"/>
      <c r="Q4668" s="1821"/>
      <c r="R4668" s="1821"/>
      <c r="S4668" s="1821"/>
      <c r="T4668" s="1821"/>
      <c r="U4668" s="1821"/>
      <c r="V4668" s="1821"/>
      <c r="W4668" s="1821"/>
      <c r="X4668" s="1821"/>
      <c r="Y4668" s="1821"/>
      <c r="Z4668" s="1821"/>
      <c r="AA4668" s="1821"/>
      <c r="AB4668" s="1821"/>
      <c r="AC4668" s="1821"/>
      <c r="AD4668" s="1821"/>
      <c r="AE4668" s="1821"/>
      <c r="AF4668" s="1821"/>
      <c r="AG4668" s="1821"/>
      <c r="AH4668" s="1821"/>
      <c r="AI4668" s="1821"/>
      <c r="AJ4668" s="1821"/>
      <c r="AK4668" s="1821"/>
      <c r="AL4668" s="1821"/>
      <c r="AM4668" s="1821"/>
      <c r="AN4668" s="1821"/>
      <c r="AO4668" s="1821"/>
      <c r="AP4668" s="1821"/>
      <c r="AQ4668" s="1821"/>
      <c r="AR4668" s="1821"/>
      <c r="AS4668" s="1821"/>
      <c r="AT4668" s="1821"/>
      <c r="AU4668" s="1821"/>
      <c r="AV4668" s="1821"/>
      <c r="AW4668" s="1821"/>
      <c r="AX4668" s="1821"/>
      <c r="AY4668" s="1821"/>
      <c r="AZ4668" s="1821"/>
      <c r="BA4668" s="1821"/>
      <c r="BB4668" s="1821"/>
      <c r="BC4668" s="1821"/>
      <c r="BD4668" s="1821"/>
      <c r="BE4668" s="1821"/>
      <c r="BF4668" s="1821"/>
      <c r="BG4668" s="1821"/>
      <c r="BH4668" s="1821"/>
      <c r="BI4668" s="1821"/>
      <c r="BJ4668" s="1821"/>
      <c r="BK4668" s="1821"/>
      <c r="BL4668" s="1821"/>
      <c r="BM4668" s="1821"/>
      <c r="BN4668" s="1821"/>
      <c r="BO4668" s="1821"/>
      <c r="BP4668" s="1821"/>
      <c r="BQ4668" s="1821"/>
      <c r="BR4668" s="1821"/>
      <c r="BS4668" s="1821"/>
      <c r="BT4668" s="1821"/>
      <c r="BU4668" s="1821"/>
      <c r="BV4668" s="1821"/>
      <c r="BW4668" s="1821"/>
      <c r="BX4668" s="1821"/>
      <c r="BY4668" s="1821"/>
      <c r="BZ4668" s="1821"/>
      <c r="CA4668" s="1821"/>
      <c r="CB4668" s="1821"/>
      <c r="CC4668" s="1821"/>
      <c r="CD4668" s="1821"/>
      <c r="CE4668" s="1821"/>
      <c r="CF4668" s="1821"/>
      <c r="CG4668" s="1821"/>
      <c r="CH4668" s="1821"/>
      <c r="CI4668" s="1821"/>
      <c r="CJ4668" s="1821"/>
      <c r="CK4668" s="1821"/>
    </row>
    <row r="4669" spans="1:89" s="675" customFormat="1" ht="16.5" customHeight="1" x14ac:dyDescent="0.25">
      <c r="A4669" s="849"/>
      <c r="B4669" s="1061" t="s">
        <v>568</v>
      </c>
      <c r="C4669" s="835"/>
      <c r="D4669" s="1062"/>
      <c r="E4669" s="825"/>
      <c r="F4669" s="825"/>
      <c r="G4669" s="825"/>
      <c r="H4669" s="825"/>
      <c r="I4669" s="825"/>
      <c r="J4669" s="825"/>
      <c r="K4669" s="825"/>
      <c r="L4669" s="825">
        <f>E4669*C4669</f>
        <v>0</v>
      </c>
      <c r="M4669" s="825"/>
      <c r="N4669" s="825">
        <f t="shared" si="535"/>
        <v>0</v>
      </c>
      <c r="O4669" s="826">
        <f t="shared" si="536"/>
        <v>0</v>
      </c>
      <c r="P4669" s="702"/>
      <c r="Q4669" s="1821"/>
      <c r="R4669" s="1821"/>
      <c r="S4669" s="1821"/>
      <c r="T4669" s="1821"/>
      <c r="U4669" s="1821"/>
      <c r="V4669" s="1821"/>
      <c r="W4669" s="1821"/>
      <c r="X4669" s="1821"/>
      <c r="Y4669" s="1821"/>
      <c r="Z4669" s="1821"/>
      <c r="AA4669" s="1821"/>
      <c r="AB4669" s="1821"/>
      <c r="AC4669" s="1821"/>
      <c r="AD4669" s="1821"/>
      <c r="AE4669" s="1821"/>
      <c r="AF4669" s="1821"/>
      <c r="AG4669" s="1821"/>
      <c r="AH4669" s="1821"/>
      <c r="AI4669" s="1821"/>
      <c r="AJ4669" s="1821"/>
      <c r="AK4669" s="1821"/>
      <c r="AL4669" s="1821"/>
      <c r="AM4669" s="1821"/>
      <c r="AN4669" s="1821"/>
      <c r="AO4669" s="1821"/>
      <c r="AP4669" s="1821"/>
      <c r="AQ4669" s="1821"/>
      <c r="AR4669" s="1821"/>
      <c r="AS4669" s="1821"/>
      <c r="AT4669" s="1821"/>
      <c r="AU4669" s="1821"/>
      <c r="AV4669" s="1821"/>
      <c r="AW4669" s="1821"/>
      <c r="AX4669" s="1821"/>
      <c r="AY4669" s="1821"/>
      <c r="AZ4669" s="1821"/>
      <c r="BA4669" s="1821"/>
      <c r="BB4669" s="1821"/>
      <c r="BC4669" s="1821"/>
      <c r="BD4669" s="1821"/>
      <c r="BE4669" s="1821"/>
      <c r="BF4669" s="1821"/>
      <c r="BG4669" s="1821"/>
      <c r="BH4669" s="1821"/>
      <c r="BI4669" s="1821"/>
      <c r="BJ4669" s="1821"/>
      <c r="BK4669" s="1821"/>
      <c r="BL4669" s="1821"/>
      <c r="BM4669" s="1821"/>
      <c r="BN4669" s="1821"/>
      <c r="BO4669" s="1821"/>
      <c r="BP4669" s="1821"/>
      <c r="BQ4669" s="1821"/>
      <c r="BR4669" s="1821"/>
      <c r="BS4669" s="1821"/>
      <c r="BT4669" s="1821"/>
      <c r="BU4669" s="1821"/>
      <c r="BV4669" s="1821"/>
      <c r="BW4669" s="1821"/>
      <c r="BX4669" s="1821"/>
      <c r="BY4669" s="1821"/>
      <c r="BZ4669" s="1821"/>
      <c r="CA4669" s="1821"/>
      <c r="CB4669" s="1821"/>
      <c r="CC4669" s="1821"/>
      <c r="CD4669" s="1821"/>
      <c r="CE4669" s="1821"/>
      <c r="CF4669" s="1821"/>
      <c r="CG4669" s="1821"/>
      <c r="CH4669" s="1821"/>
      <c r="CI4669" s="1821"/>
      <c r="CJ4669" s="1821"/>
      <c r="CK4669" s="1821"/>
    </row>
    <row r="4670" spans="1:89" s="675" customFormat="1" ht="16.5" customHeight="1" x14ac:dyDescent="0.25">
      <c r="A4670" s="849"/>
      <c r="B4670" s="1061" t="s">
        <v>2247</v>
      </c>
      <c r="C4670" s="835"/>
      <c r="D4670" s="1062"/>
      <c r="E4670" s="825"/>
      <c r="F4670" s="825"/>
      <c r="G4670" s="825"/>
      <c r="H4670" s="825"/>
      <c r="I4670" s="825"/>
      <c r="J4670" s="825"/>
      <c r="K4670" s="825"/>
      <c r="L4670" s="825">
        <f>E4670*C4670</f>
        <v>0</v>
      </c>
      <c r="M4670" s="825"/>
      <c r="N4670" s="825">
        <f t="shared" si="535"/>
        <v>0</v>
      </c>
      <c r="O4670" s="826">
        <f t="shared" si="536"/>
        <v>0</v>
      </c>
      <c r="P4670" s="702"/>
      <c r="Q4670" s="1821"/>
      <c r="R4670" s="1821"/>
      <c r="S4670" s="1821"/>
      <c r="T4670" s="1821"/>
      <c r="U4670" s="1821"/>
      <c r="V4670" s="1821"/>
      <c r="W4670" s="1821"/>
      <c r="X4670" s="1821"/>
      <c r="Y4670" s="1821"/>
      <c r="Z4670" s="1821"/>
      <c r="AA4670" s="1821"/>
      <c r="AB4670" s="1821"/>
      <c r="AC4670" s="1821"/>
      <c r="AD4670" s="1821"/>
      <c r="AE4670" s="1821"/>
      <c r="AF4670" s="1821"/>
      <c r="AG4670" s="1821"/>
      <c r="AH4670" s="1821"/>
      <c r="AI4670" s="1821"/>
      <c r="AJ4670" s="1821"/>
      <c r="AK4670" s="1821"/>
      <c r="AL4670" s="1821"/>
      <c r="AM4670" s="1821"/>
      <c r="AN4670" s="1821"/>
      <c r="AO4670" s="1821"/>
      <c r="AP4670" s="1821"/>
      <c r="AQ4670" s="1821"/>
      <c r="AR4670" s="1821"/>
      <c r="AS4670" s="1821"/>
      <c r="AT4670" s="1821"/>
      <c r="AU4670" s="1821"/>
      <c r="AV4670" s="1821"/>
      <c r="AW4670" s="1821"/>
      <c r="AX4670" s="1821"/>
      <c r="AY4670" s="1821"/>
      <c r="AZ4670" s="1821"/>
      <c r="BA4670" s="1821"/>
      <c r="BB4670" s="1821"/>
      <c r="BC4670" s="1821"/>
      <c r="BD4670" s="1821"/>
      <c r="BE4670" s="1821"/>
      <c r="BF4670" s="1821"/>
      <c r="BG4670" s="1821"/>
      <c r="BH4670" s="1821"/>
      <c r="BI4670" s="1821"/>
      <c r="BJ4670" s="1821"/>
      <c r="BK4670" s="1821"/>
      <c r="BL4670" s="1821"/>
      <c r="BM4670" s="1821"/>
      <c r="BN4670" s="1821"/>
      <c r="BO4670" s="1821"/>
      <c r="BP4670" s="1821"/>
      <c r="BQ4670" s="1821"/>
      <c r="BR4670" s="1821"/>
      <c r="BS4670" s="1821"/>
      <c r="BT4670" s="1821"/>
      <c r="BU4670" s="1821"/>
      <c r="BV4670" s="1821"/>
      <c r="BW4670" s="1821"/>
      <c r="BX4670" s="1821"/>
      <c r="BY4670" s="1821"/>
      <c r="BZ4670" s="1821"/>
      <c r="CA4670" s="1821"/>
      <c r="CB4670" s="1821"/>
      <c r="CC4670" s="1821"/>
      <c r="CD4670" s="1821"/>
      <c r="CE4670" s="1821"/>
      <c r="CF4670" s="1821"/>
      <c r="CG4670" s="1821"/>
      <c r="CH4670" s="1821"/>
      <c r="CI4670" s="1821"/>
      <c r="CJ4670" s="1821"/>
      <c r="CK4670" s="1821"/>
    </row>
    <row r="4671" spans="1:89" s="675" customFormat="1" ht="16.5" customHeight="1" x14ac:dyDescent="0.25">
      <c r="A4671" s="849"/>
      <c r="B4671" s="1061" t="s">
        <v>1446</v>
      </c>
      <c r="C4671" s="835">
        <v>1</v>
      </c>
      <c r="D4671" s="1062" t="s">
        <v>16</v>
      </c>
      <c r="E4671" s="825">
        <v>4833885</v>
      </c>
      <c r="F4671" s="825"/>
      <c r="G4671" s="825"/>
      <c r="H4671" s="825"/>
      <c r="I4671" s="825"/>
      <c r="J4671" s="825"/>
      <c r="K4671" s="825"/>
      <c r="L4671" s="825">
        <f>C4671*E4671</f>
        <v>4833885</v>
      </c>
      <c r="M4671" s="825"/>
      <c r="N4671" s="825">
        <f>M4671+L4671</f>
        <v>4833885</v>
      </c>
      <c r="O4671" s="826">
        <f t="shared" si="536"/>
        <v>4833885</v>
      </c>
      <c r="P4671" s="702"/>
      <c r="Q4671" s="1821"/>
      <c r="R4671" s="1821"/>
      <c r="S4671" s="1821"/>
      <c r="T4671" s="1821"/>
      <c r="U4671" s="1821"/>
      <c r="V4671" s="1821"/>
      <c r="W4671" s="1821"/>
      <c r="X4671" s="1821"/>
      <c r="Y4671" s="1821"/>
      <c r="Z4671" s="1821"/>
      <c r="AA4671" s="1821"/>
      <c r="AB4671" s="1821"/>
      <c r="AC4671" s="1821"/>
      <c r="AD4671" s="1821"/>
      <c r="AE4671" s="1821"/>
      <c r="AF4671" s="1821"/>
      <c r="AG4671" s="1821"/>
      <c r="AH4671" s="1821"/>
      <c r="AI4671" s="1821"/>
      <c r="AJ4671" s="1821"/>
      <c r="AK4671" s="1821"/>
      <c r="AL4671" s="1821"/>
      <c r="AM4671" s="1821"/>
      <c r="AN4671" s="1821"/>
      <c r="AO4671" s="1821"/>
      <c r="AP4671" s="1821"/>
      <c r="AQ4671" s="1821"/>
      <c r="AR4671" s="1821"/>
      <c r="AS4671" s="1821"/>
      <c r="AT4671" s="1821"/>
      <c r="AU4671" s="1821"/>
      <c r="AV4671" s="1821"/>
      <c r="AW4671" s="1821"/>
      <c r="AX4671" s="1821"/>
      <c r="AY4671" s="1821"/>
      <c r="AZ4671" s="1821"/>
      <c r="BA4671" s="1821"/>
      <c r="BB4671" s="1821"/>
      <c r="BC4671" s="1821"/>
      <c r="BD4671" s="1821"/>
      <c r="BE4671" s="1821"/>
      <c r="BF4671" s="1821"/>
      <c r="BG4671" s="1821"/>
      <c r="BH4671" s="1821"/>
      <c r="BI4671" s="1821"/>
      <c r="BJ4671" s="1821"/>
      <c r="BK4671" s="1821"/>
      <c r="BL4671" s="1821"/>
      <c r="BM4671" s="1821"/>
      <c r="BN4671" s="1821"/>
      <c r="BO4671" s="1821"/>
      <c r="BP4671" s="1821"/>
      <c r="BQ4671" s="1821"/>
      <c r="BR4671" s="1821"/>
      <c r="BS4671" s="1821"/>
      <c r="BT4671" s="1821"/>
      <c r="BU4671" s="1821"/>
      <c r="BV4671" s="1821"/>
      <c r="BW4671" s="1821"/>
      <c r="BX4671" s="1821"/>
      <c r="BY4671" s="1821"/>
      <c r="BZ4671" s="1821"/>
      <c r="CA4671" s="1821"/>
      <c r="CB4671" s="1821"/>
      <c r="CC4671" s="1821"/>
      <c r="CD4671" s="1821"/>
      <c r="CE4671" s="1821"/>
      <c r="CF4671" s="1821"/>
      <c r="CG4671" s="1821"/>
      <c r="CH4671" s="1821"/>
      <c r="CI4671" s="1821"/>
      <c r="CJ4671" s="1821"/>
      <c r="CK4671" s="1821"/>
    </row>
    <row r="4672" spans="1:89" s="675" customFormat="1" ht="16.5" customHeight="1" x14ac:dyDescent="0.25">
      <c r="A4672" s="849"/>
      <c r="B4672" s="1061" t="s">
        <v>1447</v>
      </c>
      <c r="C4672" s="835">
        <v>1</v>
      </c>
      <c r="D4672" s="1062" t="s">
        <v>16</v>
      </c>
      <c r="E4672" s="825">
        <v>120000</v>
      </c>
      <c r="F4672" s="825"/>
      <c r="G4672" s="825"/>
      <c r="H4672" s="825"/>
      <c r="I4672" s="825"/>
      <c r="J4672" s="825"/>
      <c r="K4672" s="825"/>
      <c r="L4672" s="825">
        <f>C4672*E4672</f>
        <v>120000</v>
      </c>
      <c r="M4672" s="825"/>
      <c r="N4672" s="825">
        <f>M4672+L4672</f>
        <v>120000</v>
      </c>
      <c r="O4672" s="826">
        <f>N4672+K4672+H4672</f>
        <v>120000</v>
      </c>
      <c r="P4672" s="702"/>
      <c r="Q4672" s="1821"/>
      <c r="R4672" s="1821"/>
      <c r="S4672" s="1821"/>
      <c r="T4672" s="1821"/>
      <c r="U4672" s="1821"/>
      <c r="V4672" s="1821"/>
      <c r="W4672" s="1821"/>
      <c r="X4672" s="1821"/>
      <c r="Y4672" s="1821"/>
      <c r="Z4672" s="1821"/>
      <c r="AA4672" s="1821"/>
      <c r="AB4672" s="1821"/>
      <c r="AC4672" s="1821"/>
      <c r="AD4672" s="1821"/>
      <c r="AE4672" s="1821"/>
      <c r="AF4672" s="1821"/>
      <c r="AG4672" s="1821"/>
      <c r="AH4672" s="1821"/>
      <c r="AI4672" s="1821"/>
      <c r="AJ4672" s="1821"/>
      <c r="AK4672" s="1821"/>
      <c r="AL4672" s="1821"/>
      <c r="AM4672" s="1821"/>
      <c r="AN4672" s="1821"/>
      <c r="AO4672" s="1821"/>
      <c r="AP4672" s="1821"/>
      <c r="AQ4672" s="1821"/>
      <c r="AR4672" s="1821"/>
      <c r="AS4672" s="1821"/>
      <c r="AT4672" s="1821"/>
      <c r="AU4672" s="1821"/>
      <c r="AV4672" s="1821"/>
      <c r="AW4672" s="1821"/>
      <c r="AX4672" s="1821"/>
      <c r="AY4672" s="1821"/>
      <c r="AZ4672" s="1821"/>
      <c r="BA4672" s="1821"/>
      <c r="BB4672" s="1821"/>
      <c r="BC4672" s="1821"/>
      <c r="BD4672" s="1821"/>
      <c r="BE4672" s="1821"/>
      <c r="BF4672" s="1821"/>
      <c r="BG4672" s="1821"/>
      <c r="BH4672" s="1821"/>
      <c r="BI4672" s="1821"/>
      <c r="BJ4672" s="1821"/>
      <c r="BK4672" s="1821"/>
      <c r="BL4672" s="1821"/>
      <c r="BM4672" s="1821"/>
      <c r="BN4672" s="1821"/>
      <c r="BO4672" s="1821"/>
      <c r="BP4672" s="1821"/>
      <c r="BQ4672" s="1821"/>
      <c r="BR4672" s="1821"/>
      <c r="BS4672" s="1821"/>
      <c r="BT4672" s="1821"/>
      <c r="BU4672" s="1821"/>
      <c r="BV4672" s="1821"/>
      <c r="BW4672" s="1821"/>
      <c r="BX4672" s="1821"/>
      <c r="BY4672" s="1821"/>
      <c r="BZ4672" s="1821"/>
      <c r="CA4672" s="1821"/>
      <c r="CB4672" s="1821"/>
      <c r="CC4672" s="1821"/>
      <c r="CD4672" s="1821"/>
      <c r="CE4672" s="1821"/>
      <c r="CF4672" s="1821"/>
      <c r="CG4672" s="1821"/>
      <c r="CH4672" s="1821"/>
      <c r="CI4672" s="1821"/>
      <c r="CJ4672" s="1821"/>
      <c r="CK4672" s="1821"/>
    </row>
    <row r="4673" spans="1:89" s="675" customFormat="1" ht="16.5" customHeight="1" x14ac:dyDescent="0.25">
      <c r="A4673" s="849"/>
      <c r="B4673" s="1061" t="s">
        <v>2254</v>
      </c>
      <c r="C4673" s="835">
        <v>1</v>
      </c>
      <c r="D4673" s="1062" t="s">
        <v>16</v>
      </c>
      <c r="E4673" s="825">
        <v>50000</v>
      </c>
      <c r="F4673" s="825"/>
      <c r="G4673" s="825"/>
      <c r="H4673" s="825"/>
      <c r="I4673" s="825"/>
      <c r="J4673" s="825"/>
      <c r="K4673" s="825"/>
      <c r="L4673" s="825">
        <f>C4673*E4673</f>
        <v>50000</v>
      </c>
      <c r="M4673" s="825"/>
      <c r="N4673" s="825">
        <f t="shared" si="535"/>
        <v>50000</v>
      </c>
      <c r="O4673" s="826">
        <f t="shared" si="536"/>
        <v>50000</v>
      </c>
      <c r="P4673" s="702"/>
      <c r="Q4673" s="1821"/>
      <c r="R4673" s="1821"/>
      <c r="S4673" s="1821"/>
      <c r="T4673" s="1821"/>
      <c r="U4673" s="1821"/>
      <c r="V4673" s="1821"/>
      <c r="W4673" s="1821"/>
      <c r="X4673" s="1821"/>
      <c r="Y4673" s="1821"/>
      <c r="Z4673" s="1821"/>
      <c r="AA4673" s="1821"/>
      <c r="AB4673" s="1821"/>
      <c r="AC4673" s="1821"/>
      <c r="AD4673" s="1821"/>
      <c r="AE4673" s="1821"/>
      <c r="AF4673" s="1821"/>
      <c r="AG4673" s="1821"/>
      <c r="AH4673" s="1821"/>
      <c r="AI4673" s="1821"/>
      <c r="AJ4673" s="1821"/>
      <c r="AK4673" s="1821"/>
      <c r="AL4673" s="1821"/>
      <c r="AM4673" s="1821"/>
      <c r="AN4673" s="1821"/>
      <c r="AO4673" s="1821"/>
      <c r="AP4673" s="1821"/>
      <c r="AQ4673" s="1821"/>
      <c r="AR4673" s="1821"/>
      <c r="AS4673" s="1821"/>
      <c r="AT4673" s="1821"/>
      <c r="AU4673" s="1821"/>
      <c r="AV4673" s="1821"/>
      <c r="AW4673" s="1821"/>
      <c r="AX4673" s="1821"/>
      <c r="AY4673" s="1821"/>
      <c r="AZ4673" s="1821"/>
      <c r="BA4673" s="1821"/>
      <c r="BB4673" s="1821"/>
      <c r="BC4673" s="1821"/>
      <c r="BD4673" s="1821"/>
      <c r="BE4673" s="1821"/>
      <c r="BF4673" s="1821"/>
      <c r="BG4673" s="1821"/>
      <c r="BH4673" s="1821"/>
      <c r="BI4673" s="1821"/>
      <c r="BJ4673" s="1821"/>
      <c r="BK4673" s="1821"/>
      <c r="BL4673" s="1821"/>
      <c r="BM4673" s="1821"/>
      <c r="BN4673" s="1821"/>
      <c r="BO4673" s="1821"/>
      <c r="BP4673" s="1821"/>
      <c r="BQ4673" s="1821"/>
      <c r="BR4673" s="1821"/>
      <c r="BS4673" s="1821"/>
      <c r="BT4673" s="1821"/>
      <c r="BU4673" s="1821"/>
      <c r="BV4673" s="1821"/>
      <c r="BW4673" s="1821"/>
      <c r="BX4673" s="1821"/>
      <c r="BY4673" s="1821"/>
      <c r="BZ4673" s="1821"/>
      <c r="CA4673" s="1821"/>
      <c r="CB4673" s="1821"/>
      <c r="CC4673" s="1821"/>
      <c r="CD4673" s="1821"/>
      <c r="CE4673" s="1821"/>
      <c r="CF4673" s="1821"/>
      <c r="CG4673" s="1821"/>
      <c r="CH4673" s="1821"/>
      <c r="CI4673" s="1821"/>
      <c r="CJ4673" s="1821"/>
      <c r="CK4673" s="1821"/>
    </row>
    <row r="4674" spans="1:89" s="675" customFormat="1" ht="16.5" customHeight="1" x14ac:dyDescent="0.25">
      <c r="A4674" s="849"/>
      <c r="B4674" s="1061" t="s">
        <v>2255</v>
      </c>
      <c r="C4674" s="835">
        <v>1</v>
      </c>
      <c r="D4674" s="1062" t="s">
        <v>16</v>
      </c>
      <c r="E4674" s="825">
        <v>1000000</v>
      </c>
      <c r="F4674" s="825"/>
      <c r="G4674" s="825"/>
      <c r="H4674" s="825"/>
      <c r="I4674" s="825"/>
      <c r="J4674" s="825"/>
      <c r="K4674" s="825"/>
      <c r="L4674" s="825"/>
      <c r="M4674" s="825">
        <f>E4674*C4674</f>
        <v>1000000</v>
      </c>
      <c r="N4674" s="825">
        <f t="shared" si="535"/>
        <v>1000000</v>
      </c>
      <c r="O4674" s="826">
        <f t="shared" si="536"/>
        <v>1000000</v>
      </c>
      <c r="P4674" s="702"/>
      <c r="Q4674" s="1821"/>
      <c r="R4674" s="1821"/>
      <c r="S4674" s="1821"/>
      <c r="T4674" s="1821"/>
      <c r="U4674" s="1821"/>
      <c r="V4674" s="1821"/>
      <c r="W4674" s="1821"/>
      <c r="X4674" s="1821"/>
      <c r="Y4674" s="1821"/>
      <c r="Z4674" s="1821"/>
      <c r="AA4674" s="1821"/>
      <c r="AB4674" s="1821"/>
      <c r="AC4674" s="1821"/>
      <c r="AD4674" s="1821"/>
      <c r="AE4674" s="1821"/>
      <c r="AF4674" s="1821"/>
      <c r="AG4674" s="1821"/>
      <c r="AH4674" s="1821"/>
      <c r="AI4674" s="1821"/>
      <c r="AJ4674" s="1821"/>
      <c r="AK4674" s="1821"/>
      <c r="AL4674" s="1821"/>
      <c r="AM4674" s="1821"/>
      <c r="AN4674" s="1821"/>
      <c r="AO4674" s="1821"/>
      <c r="AP4674" s="1821"/>
      <c r="AQ4674" s="1821"/>
      <c r="AR4674" s="1821"/>
      <c r="AS4674" s="1821"/>
      <c r="AT4674" s="1821"/>
      <c r="AU4674" s="1821"/>
      <c r="AV4674" s="1821"/>
      <c r="AW4674" s="1821"/>
      <c r="AX4674" s="1821"/>
      <c r="AY4674" s="1821"/>
      <c r="AZ4674" s="1821"/>
      <c r="BA4674" s="1821"/>
      <c r="BB4674" s="1821"/>
      <c r="BC4674" s="1821"/>
      <c r="BD4674" s="1821"/>
      <c r="BE4674" s="1821"/>
      <c r="BF4674" s="1821"/>
      <c r="BG4674" s="1821"/>
      <c r="BH4674" s="1821"/>
      <c r="BI4674" s="1821"/>
      <c r="BJ4674" s="1821"/>
      <c r="BK4674" s="1821"/>
      <c r="BL4674" s="1821"/>
      <c r="BM4674" s="1821"/>
      <c r="BN4674" s="1821"/>
      <c r="BO4674" s="1821"/>
      <c r="BP4674" s="1821"/>
      <c r="BQ4674" s="1821"/>
      <c r="BR4674" s="1821"/>
      <c r="BS4674" s="1821"/>
      <c r="BT4674" s="1821"/>
      <c r="BU4674" s="1821"/>
      <c r="BV4674" s="1821"/>
      <c r="BW4674" s="1821"/>
      <c r="BX4674" s="1821"/>
      <c r="BY4674" s="1821"/>
      <c r="BZ4674" s="1821"/>
      <c r="CA4674" s="1821"/>
      <c r="CB4674" s="1821"/>
      <c r="CC4674" s="1821"/>
      <c r="CD4674" s="1821"/>
      <c r="CE4674" s="1821"/>
      <c r="CF4674" s="1821"/>
      <c r="CG4674" s="1821"/>
      <c r="CH4674" s="1821"/>
      <c r="CI4674" s="1821"/>
      <c r="CJ4674" s="1821"/>
      <c r="CK4674" s="1821"/>
    </row>
    <row r="4675" spans="1:89" s="675" customFormat="1" ht="16.5" customHeight="1" x14ac:dyDescent="0.25">
      <c r="A4675" s="849"/>
      <c r="B4675" s="1061" t="s">
        <v>2256</v>
      </c>
      <c r="C4675" s="835">
        <v>1</v>
      </c>
      <c r="D4675" s="1062" t="s">
        <v>16</v>
      </c>
      <c r="E4675" s="825">
        <v>50000</v>
      </c>
      <c r="F4675" s="825"/>
      <c r="G4675" s="825"/>
      <c r="H4675" s="825"/>
      <c r="I4675" s="825"/>
      <c r="J4675" s="825"/>
      <c r="K4675" s="825"/>
      <c r="L4675" s="825"/>
      <c r="M4675" s="825">
        <f>E4675*C4675</f>
        <v>50000</v>
      </c>
      <c r="N4675" s="825">
        <f>M4675+L4675</f>
        <v>50000</v>
      </c>
      <c r="O4675" s="826">
        <f>N4675+K4675+H4675</f>
        <v>50000</v>
      </c>
      <c r="P4675" s="702"/>
      <c r="Q4675" s="1821"/>
      <c r="R4675" s="1821"/>
      <c r="S4675" s="1821"/>
      <c r="T4675" s="1821"/>
      <c r="U4675" s="1821"/>
      <c r="V4675" s="1821"/>
      <c r="W4675" s="1821"/>
      <c r="X4675" s="1821"/>
      <c r="Y4675" s="1821"/>
      <c r="Z4675" s="1821"/>
      <c r="AA4675" s="1821"/>
      <c r="AB4675" s="1821"/>
      <c r="AC4675" s="1821"/>
      <c r="AD4675" s="1821"/>
      <c r="AE4675" s="1821"/>
      <c r="AF4675" s="1821"/>
      <c r="AG4675" s="1821"/>
      <c r="AH4675" s="1821"/>
      <c r="AI4675" s="1821"/>
      <c r="AJ4675" s="1821"/>
      <c r="AK4675" s="1821"/>
      <c r="AL4675" s="1821"/>
      <c r="AM4675" s="1821"/>
      <c r="AN4675" s="1821"/>
      <c r="AO4675" s="1821"/>
      <c r="AP4675" s="1821"/>
      <c r="AQ4675" s="1821"/>
      <c r="AR4675" s="1821"/>
      <c r="AS4675" s="1821"/>
      <c r="AT4675" s="1821"/>
      <c r="AU4675" s="1821"/>
      <c r="AV4675" s="1821"/>
      <c r="AW4675" s="1821"/>
      <c r="AX4675" s="1821"/>
      <c r="AY4675" s="1821"/>
      <c r="AZ4675" s="1821"/>
      <c r="BA4675" s="1821"/>
      <c r="BB4675" s="1821"/>
      <c r="BC4675" s="1821"/>
      <c r="BD4675" s="1821"/>
      <c r="BE4675" s="1821"/>
      <c r="BF4675" s="1821"/>
      <c r="BG4675" s="1821"/>
      <c r="BH4675" s="1821"/>
      <c r="BI4675" s="1821"/>
      <c r="BJ4675" s="1821"/>
      <c r="BK4675" s="1821"/>
      <c r="BL4675" s="1821"/>
      <c r="BM4675" s="1821"/>
      <c r="BN4675" s="1821"/>
      <c r="BO4675" s="1821"/>
      <c r="BP4675" s="1821"/>
      <c r="BQ4675" s="1821"/>
      <c r="BR4675" s="1821"/>
      <c r="BS4675" s="1821"/>
      <c r="BT4675" s="1821"/>
      <c r="BU4675" s="1821"/>
      <c r="BV4675" s="1821"/>
      <c r="BW4675" s="1821"/>
      <c r="BX4675" s="1821"/>
      <c r="BY4675" s="1821"/>
      <c r="BZ4675" s="1821"/>
      <c r="CA4675" s="1821"/>
      <c r="CB4675" s="1821"/>
      <c r="CC4675" s="1821"/>
      <c r="CD4675" s="1821"/>
      <c r="CE4675" s="1821"/>
      <c r="CF4675" s="1821"/>
      <c r="CG4675" s="1821"/>
      <c r="CH4675" s="1821"/>
      <c r="CI4675" s="1821"/>
      <c r="CJ4675" s="1821"/>
      <c r="CK4675" s="1821"/>
    </row>
    <row r="4676" spans="1:89" s="675" customFormat="1" ht="16.5" customHeight="1" x14ac:dyDescent="0.25">
      <c r="A4676" s="849"/>
      <c r="B4676" s="1061"/>
      <c r="C4676" s="835"/>
      <c r="D4676" s="1062"/>
      <c r="E4676" s="825"/>
      <c r="F4676" s="825"/>
      <c r="G4676" s="825"/>
      <c r="H4676" s="825"/>
      <c r="I4676" s="825"/>
      <c r="J4676" s="825"/>
      <c r="K4676" s="825"/>
      <c r="L4676" s="825"/>
      <c r="M4676" s="825"/>
      <c r="N4676" s="825">
        <f t="shared" si="535"/>
        <v>0</v>
      </c>
      <c r="O4676" s="826">
        <f t="shared" si="536"/>
        <v>0</v>
      </c>
      <c r="P4676" s="702"/>
      <c r="Q4676" s="1821"/>
      <c r="R4676" s="1821"/>
      <c r="S4676" s="1821"/>
      <c r="T4676" s="1821"/>
      <c r="U4676" s="1821"/>
      <c r="V4676" s="1821"/>
      <c r="W4676" s="1821"/>
      <c r="X4676" s="1821"/>
      <c r="Y4676" s="1821"/>
      <c r="Z4676" s="1821"/>
      <c r="AA4676" s="1821"/>
      <c r="AB4676" s="1821"/>
      <c r="AC4676" s="1821"/>
      <c r="AD4676" s="1821"/>
      <c r="AE4676" s="1821"/>
      <c r="AF4676" s="1821"/>
      <c r="AG4676" s="1821"/>
      <c r="AH4676" s="1821"/>
      <c r="AI4676" s="1821"/>
      <c r="AJ4676" s="1821"/>
      <c r="AK4676" s="1821"/>
      <c r="AL4676" s="1821"/>
      <c r="AM4676" s="1821"/>
      <c r="AN4676" s="1821"/>
      <c r="AO4676" s="1821"/>
      <c r="AP4676" s="1821"/>
      <c r="AQ4676" s="1821"/>
      <c r="AR4676" s="1821"/>
      <c r="AS4676" s="1821"/>
      <c r="AT4676" s="1821"/>
      <c r="AU4676" s="1821"/>
      <c r="AV4676" s="1821"/>
      <c r="AW4676" s="1821"/>
      <c r="AX4676" s="1821"/>
      <c r="AY4676" s="1821"/>
      <c r="AZ4676" s="1821"/>
      <c r="BA4676" s="1821"/>
      <c r="BB4676" s="1821"/>
      <c r="BC4676" s="1821"/>
      <c r="BD4676" s="1821"/>
      <c r="BE4676" s="1821"/>
      <c r="BF4676" s="1821"/>
      <c r="BG4676" s="1821"/>
      <c r="BH4676" s="1821"/>
      <c r="BI4676" s="1821"/>
      <c r="BJ4676" s="1821"/>
      <c r="BK4676" s="1821"/>
      <c r="BL4676" s="1821"/>
      <c r="BM4676" s="1821"/>
      <c r="BN4676" s="1821"/>
      <c r="BO4676" s="1821"/>
      <c r="BP4676" s="1821"/>
      <c r="BQ4676" s="1821"/>
      <c r="BR4676" s="1821"/>
      <c r="BS4676" s="1821"/>
      <c r="BT4676" s="1821"/>
      <c r="BU4676" s="1821"/>
      <c r="BV4676" s="1821"/>
      <c r="BW4676" s="1821"/>
      <c r="BX4676" s="1821"/>
      <c r="BY4676" s="1821"/>
      <c r="BZ4676" s="1821"/>
      <c r="CA4676" s="1821"/>
      <c r="CB4676" s="1821"/>
      <c r="CC4676" s="1821"/>
      <c r="CD4676" s="1821"/>
      <c r="CE4676" s="1821"/>
      <c r="CF4676" s="1821"/>
      <c r="CG4676" s="1821"/>
      <c r="CH4676" s="1821"/>
      <c r="CI4676" s="1821"/>
      <c r="CJ4676" s="1821"/>
      <c r="CK4676" s="1821"/>
    </row>
    <row r="4677" spans="1:89" s="675" customFormat="1" ht="16.5" customHeight="1" x14ac:dyDescent="0.25">
      <c r="A4677" s="849"/>
      <c r="B4677" s="1061" t="s">
        <v>57</v>
      </c>
      <c r="C4677" s="835"/>
      <c r="D4677" s="1062"/>
      <c r="E4677" s="825"/>
      <c r="F4677" s="825"/>
      <c r="G4677" s="825"/>
      <c r="H4677" s="825"/>
      <c r="I4677" s="825"/>
      <c r="J4677" s="825"/>
      <c r="K4677" s="825"/>
      <c r="L4677" s="825"/>
      <c r="M4677" s="825"/>
      <c r="N4677" s="825">
        <f t="shared" si="535"/>
        <v>0</v>
      </c>
      <c r="O4677" s="826">
        <f t="shared" si="536"/>
        <v>0</v>
      </c>
      <c r="P4677" s="702"/>
      <c r="Q4677" s="1821"/>
      <c r="R4677" s="1821"/>
      <c r="S4677" s="1821"/>
      <c r="T4677" s="1821"/>
      <c r="U4677" s="1821"/>
      <c r="V4677" s="1821"/>
      <c r="W4677" s="1821"/>
      <c r="X4677" s="1821"/>
      <c r="Y4677" s="1821"/>
      <c r="Z4677" s="1821"/>
      <c r="AA4677" s="1821"/>
      <c r="AB4677" s="1821"/>
      <c r="AC4677" s="1821"/>
      <c r="AD4677" s="1821"/>
      <c r="AE4677" s="1821"/>
      <c r="AF4677" s="1821"/>
      <c r="AG4677" s="1821"/>
      <c r="AH4677" s="1821"/>
      <c r="AI4677" s="1821"/>
      <c r="AJ4677" s="1821"/>
      <c r="AK4677" s="1821"/>
      <c r="AL4677" s="1821"/>
      <c r="AM4677" s="1821"/>
      <c r="AN4677" s="1821"/>
      <c r="AO4677" s="1821"/>
      <c r="AP4677" s="1821"/>
      <c r="AQ4677" s="1821"/>
      <c r="AR4677" s="1821"/>
      <c r="AS4677" s="1821"/>
      <c r="AT4677" s="1821"/>
      <c r="AU4677" s="1821"/>
      <c r="AV4677" s="1821"/>
      <c r="AW4677" s="1821"/>
      <c r="AX4677" s="1821"/>
      <c r="AY4677" s="1821"/>
      <c r="AZ4677" s="1821"/>
      <c r="BA4677" s="1821"/>
      <c r="BB4677" s="1821"/>
      <c r="BC4677" s="1821"/>
      <c r="BD4677" s="1821"/>
      <c r="BE4677" s="1821"/>
      <c r="BF4677" s="1821"/>
      <c r="BG4677" s="1821"/>
      <c r="BH4677" s="1821"/>
      <c r="BI4677" s="1821"/>
      <c r="BJ4677" s="1821"/>
      <c r="BK4677" s="1821"/>
      <c r="BL4677" s="1821"/>
      <c r="BM4677" s="1821"/>
      <c r="BN4677" s="1821"/>
      <c r="BO4677" s="1821"/>
      <c r="BP4677" s="1821"/>
      <c r="BQ4677" s="1821"/>
      <c r="BR4677" s="1821"/>
      <c r="BS4677" s="1821"/>
      <c r="BT4677" s="1821"/>
      <c r="BU4677" s="1821"/>
      <c r="BV4677" s="1821"/>
      <c r="BW4677" s="1821"/>
      <c r="BX4677" s="1821"/>
      <c r="BY4677" s="1821"/>
      <c r="BZ4677" s="1821"/>
      <c r="CA4677" s="1821"/>
      <c r="CB4677" s="1821"/>
      <c r="CC4677" s="1821"/>
      <c r="CD4677" s="1821"/>
      <c r="CE4677" s="1821"/>
      <c r="CF4677" s="1821"/>
      <c r="CG4677" s="1821"/>
      <c r="CH4677" s="1821"/>
      <c r="CI4677" s="1821"/>
      <c r="CJ4677" s="1821"/>
      <c r="CK4677" s="1821"/>
    </row>
    <row r="4678" spans="1:89" s="675" customFormat="1" ht="16.5" customHeight="1" x14ac:dyDescent="0.25">
      <c r="A4678" s="849"/>
      <c r="B4678" s="1061" t="s">
        <v>2247</v>
      </c>
      <c r="C4678" s="835"/>
      <c r="D4678" s="1062"/>
      <c r="E4678" s="825"/>
      <c r="F4678" s="825"/>
      <c r="G4678" s="825"/>
      <c r="H4678" s="825"/>
      <c r="I4678" s="825"/>
      <c r="J4678" s="825"/>
      <c r="K4678" s="825"/>
      <c r="L4678" s="825"/>
      <c r="M4678" s="825"/>
      <c r="N4678" s="825">
        <f t="shared" si="535"/>
        <v>0</v>
      </c>
      <c r="O4678" s="826">
        <f t="shared" si="536"/>
        <v>0</v>
      </c>
      <c r="P4678" s="702"/>
      <c r="Q4678" s="1821"/>
      <c r="R4678" s="1821"/>
      <c r="S4678" s="1821"/>
      <c r="T4678" s="1821"/>
      <c r="U4678" s="1821"/>
      <c r="V4678" s="1821"/>
      <c r="W4678" s="1821"/>
      <c r="X4678" s="1821"/>
      <c r="Y4678" s="1821"/>
      <c r="Z4678" s="1821"/>
      <c r="AA4678" s="1821"/>
      <c r="AB4678" s="1821"/>
      <c r="AC4678" s="1821"/>
      <c r="AD4678" s="1821"/>
      <c r="AE4678" s="1821"/>
      <c r="AF4678" s="1821"/>
      <c r="AG4678" s="1821"/>
      <c r="AH4678" s="1821"/>
      <c r="AI4678" s="1821"/>
      <c r="AJ4678" s="1821"/>
      <c r="AK4678" s="1821"/>
      <c r="AL4678" s="1821"/>
      <c r="AM4678" s="1821"/>
      <c r="AN4678" s="1821"/>
      <c r="AO4678" s="1821"/>
      <c r="AP4678" s="1821"/>
      <c r="AQ4678" s="1821"/>
      <c r="AR4678" s="1821"/>
      <c r="AS4678" s="1821"/>
      <c r="AT4678" s="1821"/>
      <c r="AU4678" s="1821"/>
      <c r="AV4678" s="1821"/>
      <c r="AW4678" s="1821"/>
      <c r="AX4678" s="1821"/>
      <c r="AY4678" s="1821"/>
      <c r="AZ4678" s="1821"/>
      <c r="BA4678" s="1821"/>
      <c r="BB4678" s="1821"/>
      <c r="BC4678" s="1821"/>
      <c r="BD4678" s="1821"/>
      <c r="BE4678" s="1821"/>
      <c r="BF4678" s="1821"/>
      <c r="BG4678" s="1821"/>
      <c r="BH4678" s="1821"/>
      <c r="BI4678" s="1821"/>
      <c r="BJ4678" s="1821"/>
      <c r="BK4678" s="1821"/>
      <c r="BL4678" s="1821"/>
      <c r="BM4678" s="1821"/>
      <c r="BN4678" s="1821"/>
      <c r="BO4678" s="1821"/>
      <c r="BP4678" s="1821"/>
      <c r="BQ4678" s="1821"/>
      <c r="BR4678" s="1821"/>
      <c r="BS4678" s="1821"/>
      <c r="BT4678" s="1821"/>
      <c r="BU4678" s="1821"/>
      <c r="BV4678" s="1821"/>
      <c r="BW4678" s="1821"/>
      <c r="BX4678" s="1821"/>
      <c r="BY4678" s="1821"/>
      <c r="BZ4678" s="1821"/>
      <c r="CA4678" s="1821"/>
      <c r="CB4678" s="1821"/>
      <c r="CC4678" s="1821"/>
      <c r="CD4678" s="1821"/>
      <c r="CE4678" s="1821"/>
      <c r="CF4678" s="1821"/>
      <c r="CG4678" s="1821"/>
      <c r="CH4678" s="1821"/>
      <c r="CI4678" s="1821"/>
      <c r="CJ4678" s="1821"/>
      <c r="CK4678" s="1821"/>
    </row>
    <row r="4679" spans="1:89" s="675" customFormat="1" ht="16.5" customHeight="1" x14ac:dyDescent="0.25">
      <c r="A4679" s="849"/>
      <c r="B4679" s="1061" t="s">
        <v>2257</v>
      </c>
      <c r="C4679" s="835">
        <v>1</v>
      </c>
      <c r="D4679" s="1062" t="s">
        <v>16</v>
      </c>
      <c r="E4679" s="825">
        <f>5638270-50000</f>
        <v>5588270</v>
      </c>
      <c r="F4679" s="825"/>
      <c r="G4679" s="825"/>
      <c r="H4679" s="825"/>
      <c r="I4679" s="825"/>
      <c r="J4679" s="825"/>
      <c r="K4679" s="825"/>
      <c r="L4679" s="825">
        <f>E4679*C4679</f>
        <v>5588270</v>
      </c>
      <c r="M4679" s="825"/>
      <c r="N4679" s="825">
        <f t="shared" si="535"/>
        <v>5588270</v>
      </c>
      <c r="O4679" s="826">
        <f t="shared" si="536"/>
        <v>5588270</v>
      </c>
      <c r="P4679" s="702"/>
      <c r="Q4679" s="1821"/>
      <c r="R4679" s="1821"/>
      <c r="S4679" s="1821"/>
      <c r="T4679" s="1821"/>
      <c r="U4679" s="1821"/>
      <c r="V4679" s="1821"/>
      <c r="W4679" s="1821"/>
      <c r="X4679" s="1821"/>
      <c r="Y4679" s="1821"/>
      <c r="Z4679" s="1821"/>
      <c r="AA4679" s="1821"/>
      <c r="AB4679" s="1821"/>
      <c r="AC4679" s="1821"/>
      <c r="AD4679" s="1821"/>
      <c r="AE4679" s="1821"/>
      <c r="AF4679" s="1821"/>
      <c r="AG4679" s="1821"/>
      <c r="AH4679" s="1821"/>
      <c r="AI4679" s="1821"/>
      <c r="AJ4679" s="1821"/>
      <c r="AK4679" s="1821"/>
      <c r="AL4679" s="1821"/>
      <c r="AM4679" s="1821"/>
      <c r="AN4679" s="1821"/>
      <c r="AO4679" s="1821"/>
      <c r="AP4679" s="1821"/>
      <c r="AQ4679" s="1821"/>
      <c r="AR4679" s="1821"/>
      <c r="AS4679" s="1821"/>
      <c r="AT4679" s="1821"/>
      <c r="AU4679" s="1821"/>
      <c r="AV4679" s="1821"/>
      <c r="AW4679" s="1821"/>
      <c r="AX4679" s="1821"/>
      <c r="AY4679" s="1821"/>
      <c r="AZ4679" s="1821"/>
      <c r="BA4679" s="1821"/>
      <c r="BB4679" s="1821"/>
      <c r="BC4679" s="1821"/>
      <c r="BD4679" s="1821"/>
      <c r="BE4679" s="1821"/>
      <c r="BF4679" s="1821"/>
      <c r="BG4679" s="1821"/>
      <c r="BH4679" s="1821"/>
      <c r="BI4679" s="1821"/>
      <c r="BJ4679" s="1821"/>
      <c r="BK4679" s="1821"/>
      <c r="BL4679" s="1821"/>
      <c r="BM4679" s="1821"/>
      <c r="BN4679" s="1821"/>
      <c r="BO4679" s="1821"/>
      <c r="BP4679" s="1821"/>
      <c r="BQ4679" s="1821"/>
      <c r="BR4679" s="1821"/>
      <c r="BS4679" s="1821"/>
      <c r="BT4679" s="1821"/>
      <c r="BU4679" s="1821"/>
      <c r="BV4679" s="1821"/>
      <c r="BW4679" s="1821"/>
      <c r="BX4679" s="1821"/>
      <c r="BY4679" s="1821"/>
      <c r="BZ4679" s="1821"/>
      <c r="CA4679" s="1821"/>
      <c r="CB4679" s="1821"/>
      <c r="CC4679" s="1821"/>
      <c r="CD4679" s="1821"/>
      <c r="CE4679" s="1821"/>
      <c r="CF4679" s="1821"/>
      <c r="CG4679" s="1821"/>
      <c r="CH4679" s="1821"/>
      <c r="CI4679" s="1821"/>
      <c r="CJ4679" s="1821"/>
      <c r="CK4679" s="1821"/>
    </row>
    <row r="4680" spans="1:89" s="675" customFormat="1" ht="16.5" customHeight="1" x14ac:dyDescent="0.25">
      <c r="A4680" s="849"/>
      <c r="B4680" s="1061"/>
      <c r="C4680" s="835"/>
      <c r="D4680" s="1062"/>
      <c r="E4680" s="825"/>
      <c r="F4680" s="825"/>
      <c r="G4680" s="825"/>
      <c r="H4680" s="825"/>
      <c r="I4680" s="825"/>
      <c r="J4680" s="825"/>
      <c r="K4680" s="825"/>
      <c r="L4680" s="825"/>
      <c r="M4680" s="825"/>
      <c r="N4680" s="825"/>
      <c r="O4680" s="826"/>
      <c r="P4680" s="702"/>
      <c r="Q4680" s="1821"/>
      <c r="R4680" s="1821"/>
      <c r="S4680" s="1821"/>
      <c r="T4680" s="1821"/>
      <c r="U4680" s="1821"/>
      <c r="V4680" s="1821"/>
      <c r="W4680" s="1821"/>
      <c r="X4680" s="1821"/>
      <c r="Y4680" s="1821"/>
      <c r="Z4680" s="1821"/>
      <c r="AA4680" s="1821"/>
      <c r="AB4680" s="1821"/>
      <c r="AC4680" s="1821"/>
      <c r="AD4680" s="1821"/>
      <c r="AE4680" s="1821"/>
      <c r="AF4680" s="1821"/>
      <c r="AG4680" s="1821"/>
      <c r="AH4680" s="1821"/>
      <c r="AI4680" s="1821"/>
      <c r="AJ4680" s="1821"/>
      <c r="AK4680" s="1821"/>
      <c r="AL4680" s="1821"/>
      <c r="AM4680" s="1821"/>
      <c r="AN4680" s="1821"/>
      <c r="AO4680" s="1821"/>
      <c r="AP4680" s="1821"/>
      <c r="AQ4680" s="1821"/>
      <c r="AR4680" s="1821"/>
      <c r="AS4680" s="1821"/>
      <c r="AT4680" s="1821"/>
      <c r="AU4680" s="1821"/>
      <c r="AV4680" s="1821"/>
      <c r="AW4680" s="1821"/>
      <c r="AX4680" s="1821"/>
      <c r="AY4680" s="1821"/>
      <c r="AZ4680" s="1821"/>
      <c r="BA4680" s="1821"/>
      <c r="BB4680" s="1821"/>
      <c r="BC4680" s="1821"/>
      <c r="BD4680" s="1821"/>
      <c r="BE4680" s="1821"/>
      <c r="BF4680" s="1821"/>
      <c r="BG4680" s="1821"/>
      <c r="BH4680" s="1821"/>
      <c r="BI4680" s="1821"/>
      <c r="BJ4680" s="1821"/>
      <c r="BK4680" s="1821"/>
      <c r="BL4680" s="1821"/>
      <c r="BM4680" s="1821"/>
      <c r="BN4680" s="1821"/>
      <c r="BO4680" s="1821"/>
      <c r="BP4680" s="1821"/>
      <c r="BQ4680" s="1821"/>
      <c r="BR4680" s="1821"/>
      <c r="BS4680" s="1821"/>
      <c r="BT4680" s="1821"/>
      <c r="BU4680" s="1821"/>
      <c r="BV4680" s="1821"/>
      <c r="BW4680" s="1821"/>
      <c r="BX4680" s="1821"/>
      <c r="BY4680" s="1821"/>
      <c r="BZ4680" s="1821"/>
      <c r="CA4680" s="1821"/>
      <c r="CB4680" s="1821"/>
      <c r="CC4680" s="1821"/>
      <c r="CD4680" s="1821"/>
      <c r="CE4680" s="1821"/>
      <c r="CF4680" s="1821"/>
      <c r="CG4680" s="1821"/>
      <c r="CH4680" s="1821"/>
      <c r="CI4680" s="1821"/>
      <c r="CJ4680" s="1821"/>
      <c r="CK4680" s="1821"/>
    </row>
    <row r="4681" spans="1:89" s="675" customFormat="1" ht="16.5" customHeight="1" x14ac:dyDescent="0.25">
      <c r="A4681" s="849"/>
      <c r="B4681" s="1061"/>
      <c r="C4681" s="835"/>
      <c r="D4681" s="1062"/>
      <c r="E4681" s="825"/>
      <c r="F4681" s="825"/>
      <c r="G4681" s="825"/>
      <c r="H4681" s="825"/>
      <c r="I4681" s="825"/>
      <c r="J4681" s="825"/>
      <c r="K4681" s="825"/>
      <c r="L4681" s="825"/>
      <c r="M4681" s="825"/>
      <c r="N4681" s="825"/>
      <c r="O4681" s="826"/>
      <c r="P4681" s="702"/>
      <c r="Q4681" s="1821"/>
      <c r="R4681" s="1821"/>
      <c r="S4681" s="1821"/>
      <c r="T4681" s="1821"/>
      <c r="U4681" s="1821"/>
      <c r="V4681" s="1821"/>
      <c r="W4681" s="1821"/>
      <c r="X4681" s="1821"/>
      <c r="Y4681" s="1821"/>
      <c r="Z4681" s="1821"/>
      <c r="AA4681" s="1821"/>
      <c r="AB4681" s="1821"/>
      <c r="AC4681" s="1821"/>
      <c r="AD4681" s="1821"/>
      <c r="AE4681" s="1821"/>
      <c r="AF4681" s="1821"/>
      <c r="AG4681" s="1821"/>
      <c r="AH4681" s="1821"/>
      <c r="AI4681" s="1821"/>
      <c r="AJ4681" s="1821"/>
      <c r="AK4681" s="1821"/>
      <c r="AL4681" s="1821"/>
      <c r="AM4681" s="1821"/>
      <c r="AN4681" s="1821"/>
      <c r="AO4681" s="1821"/>
      <c r="AP4681" s="1821"/>
      <c r="AQ4681" s="1821"/>
      <c r="AR4681" s="1821"/>
      <c r="AS4681" s="1821"/>
      <c r="AT4681" s="1821"/>
      <c r="AU4681" s="1821"/>
      <c r="AV4681" s="1821"/>
      <c r="AW4681" s="1821"/>
      <c r="AX4681" s="1821"/>
      <c r="AY4681" s="1821"/>
      <c r="AZ4681" s="1821"/>
      <c r="BA4681" s="1821"/>
      <c r="BB4681" s="1821"/>
      <c r="BC4681" s="1821"/>
      <c r="BD4681" s="1821"/>
      <c r="BE4681" s="1821"/>
      <c r="BF4681" s="1821"/>
      <c r="BG4681" s="1821"/>
      <c r="BH4681" s="1821"/>
      <c r="BI4681" s="1821"/>
      <c r="BJ4681" s="1821"/>
      <c r="BK4681" s="1821"/>
      <c r="BL4681" s="1821"/>
      <c r="BM4681" s="1821"/>
      <c r="BN4681" s="1821"/>
      <c r="BO4681" s="1821"/>
      <c r="BP4681" s="1821"/>
      <c r="BQ4681" s="1821"/>
      <c r="BR4681" s="1821"/>
      <c r="BS4681" s="1821"/>
      <c r="BT4681" s="1821"/>
      <c r="BU4681" s="1821"/>
      <c r="BV4681" s="1821"/>
      <c r="BW4681" s="1821"/>
      <c r="BX4681" s="1821"/>
      <c r="BY4681" s="1821"/>
      <c r="BZ4681" s="1821"/>
      <c r="CA4681" s="1821"/>
      <c r="CB4681" s="1821"/>
      <c r="CC4681" s="1821"/>
      <c r="CD4681" s="1821"/>
      <c r="CE4681" s="1821"/>
      <c r="CF4681" s="1821"/>
      <c r="CG4681" s="1821"/>
      <c r="CH4681" s="1821"/>
      <c r="CI4681" s="1821"/>
      <c r="CJ4681" s="1821"/>
      <c r="CK4681" s="1821"/>
    </row>
    <row r="4682" spans="1:89" s="675" customFormat="1" ht="16.5" customHeight="1" x14ac:dyDescent="0.25">
      <c r="A4682" s="849"/>
      <c r="B4682" s="1061" t="s">
        <v>2258</v>
      </c>
      <c r="C4682" s="835"/>
      <c r="D4682" s="1062"/>
      <c r="E4682" s="825"/>
      <c r="F4682" s="825"/>
      <c r="G4682" s="825"/>
      <c r="H4682" s="825"/>
      <c r="I4682" s="825"/>
      <c r="J4682" s="825"/>
      <c r="K4682" s="825"/>
      <c r="L4682" s="825">
        <f>E4682*C4682</f>
        <v>0</v>
      </c>
      <c r="M4682" s="825"/>
      <c r="N4682" s="825">
        <f>M4682+L4682</f>
        <v>0</v>
      </c>
      <c r="O4682" s="826">
        <f>N4682+K4682+H4682</f>
        <v>0</v>
      </c>
      <c r="P4682" s="702"/>
      <c r="Q4682" s="1821"/>
      <c r="R4682" s="1821"/>
      <c r="S4682" s="1821"/>
      <c r="T4682" s="1821"/>
      <c r="U4682" s="1821"/>
      <c r="V4682" s="1821"/>
      <c r="W4682" s="1821"/>
      <c r="X4682" s="1821"/>
      <c r="Y4682" s="1821"/>
      <c r="Z4682" s="1821"/>
      <c r="AA4682" s="1821"/>
      <c r="AB4682" s="1821"/>
      <c r="AC4682" s="1821"/>
      <c r="AD4682" s="1821"/>
      <c r="AE4682" s="1821"/>
      <c r="AF4682" s="1821"/>
      <c r="AG4682" s="1821"/>
      <c r="AH4682" s="1821"/>
      <c r="AI4682" s="1821"/>
      <c r="AJ4682" s="1821"/>
      <c r="AK4682" s="1821"/>
      <c r="AL4682" s="1821"/>
      <c r="AM4682" s="1821"/>
      <c r="AN4682" s="1821"/>
      <c r="AO4682" s="1821"/>
      <c r="AP4682" s="1821"/>
      <c r="AQ4682" s="1821"/>
      <c r="AR4682" s="1821"/>
      <c r="AS4682" s="1821"/>
      <c r="AT4682" s="1821"/>
      <c r="AU4682" s="1821"/>
      <c r="AV4682" s="1821"/>
      <c r="AW4682" s="1821"/>
      <c r="AX4682" s="1821"/>
      <c r="AY4682" s="1821"/>
      <c r="AZ4682" s="1821"/>
      <c r="BA4682" s="1821"/>
      <c r="BB4682" s="1821"/>
      <c r="BC4682" s="1821"/>
      <c r="BD4682" s="1821"/>
      <c r="BE4682" s="1821"/>
      <c r="BF4682" s="1821"/>
      <c r="BG4682" s="1821"/>
      <c r="BH4682" s="1821"/>
      <c r="BI4682" s="1821"/>
      <c r="BJ4682" s="1821"/>
      <c r="BK4682" s="1821"/>
      <c r="BL4682" s="1821"/>
      <c r="BM4682" s="1821"/>
      <c r="BN4682" s="1821"/>
      <c r="BO4682" s="1821"/>
      <c r="BP4682" s="1821"/>
      <c r="BQ4682" s="1821"/>
      <c r="BR4682" s="1821"/>
      <c r="BS4682" s="1821"/>
      <c r="BT4682" s="1821"/>
      <c r="BU4682" s="1821"/>
      <c r="BV4682" s="1821"/>
      <c r="BW4682" s="1821"/>
      <c r="BX4682" s="1821"/>
      <c r="BY4682" s="1821"/>
      <c r="BZ4682" s="1821"/>
      <c r="CA4682" s="1821"/>
      <c r="CB4682" s="1821"/>
      <c r="CC4682" s="1821"/>
      <c r="CD4682" s="1821"/>
      <c r="CE4682" s="1821"/>
      <c r="CF4682" s="1821"/>
      <c r="CG4682" s="1821"/>
      <c r="CH4682" s="1821"/>
      <c r="CI4682" s="1821"/>
      <c r="CJ4682" s="1821"/>
      <c r="CK4682" s="1821"/>
    </row>
    <row r="4683" spans="1:89" s="675" customFormat="1" ht="16.5" customHeight="1" x14ac:dyDescent="0.25">
      <c r="A4683" s="849"/>
      <c r="B4683" s="1061" t="s">
        <v>2247</v>
      </c>
      <c r="C4683" s="835"/>
      <c r="D4683" s="1062"/>
      <c r="E4683" s="825"/>
      <c r="F4683" s="825"/>
      <c r="G4683" s="825"/>
      <c r="H4683" s="825"/>
      <c r="I4683" s="825"/>
      <c r="J4683" s="825"/>
      <c r="K4683" s="825"/>
      <c r="L4683" s="825">
        <f>E4683*C4683</f>
        <v>0</v>
      </c>
      <c r="M4683" s="825"/>
      <c r="N4683" s="825">
        <f>M4683+L4683</f>
        <v>0</v>
      </c>
      <c r="O4683" s="826">
        <f>N4683+K4683+H4683</f>
        <v>0</v>
      </c>
      <c r="P4683" s="702"/>
      <c r="Q4683" s="1821"/>
      <c r="R4683" s="1821"/>
      <c r="S4683" s="1821"/>
      <c r="T4683" s="1821"/>
      <c r="U4683" s="1821"/>
      <c r="V4683" s="1821"/>
      <c r="W4683" s="1821"/>
      <c r="X4683" s="1821"/>
      <c r="Y4683" s="1821"/>
      <c r="Z4683" s="1821"/>
      <c r="AA4683" s="1821"/>
      <c r="AB4683" s="1821"/>
      <c r="AC4683" s="1821"/>
      <c r="AD4683" s="1821"/>
      <c r="AE4683" s="1821"/>
      <c r="AF4683" s="1821"/>
      <c r="AG4683" s="1821"/>
      <c r="AH4683" s="1821"/>
      <c r="AI4683" s="1821"/>
      <c r="AJ4683" s="1821"/>
      <c r="AK4683" s="1821"/>
      <c r="AL4683" s="1821"/>
      <c r="AM4683" s="1821"/>
      <c r="AN4683" s="1821"/>
      <c r="AO4683" s="1821"/>
      <c r="AP4683" s="1821"/>
      <c r="AQ4683" s="1821"/>
      <c r="AR4683" s="1821"/>
      <c r="AS4683" s="1821"/>
      <c r="AT4683" s="1821"/>
      <c r="AU4683" s="1821"/>
      <c r="AV4683" s="1821"/>
      <c r="AW4683" s="1821"/>
      <c r="AX4683" s="1821"/>
      <c r="AY4683" s="1821"/>
      <c r="AZ4683" s="1821"/>
      <c r="BA4683" s="1821"/>
      <c r="BB4683" s="1821"/>
      <c r="BC4683" s="1821"/>
      <c r="BD4683" s="1821"/>
      <c r="BE4683" s="1821"/>
      <c r="BF4683" s="1821"/>
      <c r="BG4683" s="1821"/>
      <c r="BH4683" s="1821"/>
      <c r="BI4683" s="1821"/>
      <c r="BJ4683" s="1821"/>
      <c r="BK4683" s="1821"/>
      <c r="BL4683" s="1821"/>
      <c r="BM4683" s="1821"/>
      <c r="BN4683" s="1821"/>
      <c r="BO4683" s="1821"/>
      <c r="BP4683" s="1821"/>
      <c r="BQ4683" s="1821"/>
      <c r="BR4683" s="1821"/>
      <c r="BS4683" s="1821"/>
      <c r="BT4683" s="1821"/>
      <c r="BU4683" s="1821"/>
      <c r="BV4683" s="1821"/>
      <c r="BW4683" s="1821"/>
      <c r="BX4683" s="1821"/>
      <c r="BY4683" s="1821"/>
      <c r="BZ4683" s="1821"/>
      <c r="CA4683" s="1821"/>
      <c r="CB4683" s="1821"/>
      <c r="CC4683" s="1821"/>
      <c r="CD4683" s="1821"/>
      <c r="CE4683" s="1821"/>
      <c r="CF4683" s="1821"/>
      <c r="CG4683" s="1821"/>
      <c r="CH4683" s="1821"/>
      <c r="CI4683" s="1821"/>
      <c r="CJ4683" s="1821"/>
      <c r="CK4683" s="1821"/>
    </row>
    <row r="4684" spans="1:89" s="675" customFormat="1" ht="16.5" customHeight="1" x14ac:dyDescent="0.25">
      <c r="A4684" s="849"/>
      <c r="B4684" s="1061" t="s">
        <v>2259</v>
      </c>
      <c r="C4684" s="835">
        <v>1</v>
      </c>
      <c r="D4684" s="1062" t="s">
        <v>16</v>
      </c>
      <c r="E4684" s="825">
        <v>700000</v>
      </c>
      <c r="F4684" s="825"/>
      <c r="G4684" s="825"/>
      <c r="H4684" s="825"/>
      <c r="I4684" s="825"/>
      <c r="J4684" s="825"/>
      <c r="K4684" s="825"/>
      <c r="L4684" s="825">
        <f>E4684*C4684</f>
        <v>700000</v>
      </c>
      <c r="M4684" s="825"/>
      <c r="N4684" s="825">
        <f>M4684+L4684</f>
        <v>700000</v>
      </c>
      <c r="O4684" s="826">
        <f>N4684+K4684+H4684</f>
        <v>700000</v>
      </c>
      <c r="P4684" s="702"/>
      <c r="Q4684" s="1821"/>
      <c r="R4684" s="1821"/>
      <c r="S4684" s="1821"/>
      <c r="T4684" s="1821"/>
      <c r="U4684" s="1821"/>
      <c r="V4684" s="1821"/>
      <c r="W4684" s="1821"/>
      <c r="X4684" s="1821"/>
      <c r="Y4684" s="1821"/>
      <c r="Z4684" s="1821"/>
      <c r="AA4684" s="1821"/>
      <c r="AB4684" s="1821"/>
      <c r="AC4684" s="1821"/>
      <c r="AD4684" s="1821"/>
      <c r="AE4684" s="1821"/>
      <c r="AF4684" s="1821"/>
      <c r="AG4684" s="1821"/>
      <c r="AH4684" s="1821"/>
      <c r="AI4684" s="1821"/>
      <c r="AJ4684" s="1821"/>
      <c r="AK4684" s="1821"/>
      <c r="AL4684" s="1821"/>
      <c r="AM4684" s="1821"/>
      <c r="AN4684" s="1821"/>
      <c r="AO4684" s="1821"/>
      <c r="AP4684" s="1821"/>
      <c r="AQ4684" s="1821"/>
      <c r="AR4684" s="1821"/>
      <c r="AS4684" s="1821"/>
      <c r="AT4684" s="1821"/>
      <c r="AU4684" s="1821"/>
      <c r="AV4684" s="1821"/>
      <c r="AW4684" s="1821"/>
      <c r="AX4684" s="1821"/>
      <c r="AY4684" s="1821"/>
      <c r="AZ4684" s="1821"/>
      <c r="BA4684" s="1821"/>
      <c r="BB4684" s="1821"/>
      <c r="BC4684" s="1821"/>
      <c r="BD4684" s="1821"/>
      <c r="BE4684" s="1821"/>
      <c r="BF4684" s="1821"/>
      <c r="BG4684" s="1821"/>
      <c r="BH4684" s="1821"/>
      <c r="BI4684" s="1821"/>
      <c r="BJ4684" s="1821"/>
      <c r="BK4684" s="1821"/>
      <c r="BL4684" s="1821"/>
      <c r="BM4684" s="1821"/>
      <c r="BN4684" s="1821"/>
      <c r="BO4684" s="1821"/>
      <c r="BP4684" s="1821"/>
      <c r="BQ4684" s="1821"/>
      <c r="BR4684" s="1821"/>
      <c r="BS4684" s="1821"/>
      <c r="BT4684" s="1821"/>
      <c r="BU4684" s="1821"/>
      <c r="BV4684" s="1821"/>
      <c r="BW4684" s="1821"/>
      <c r="BX4684" s="1821"/>
      <c r="BY4684" s="1821"/>
      <c r="BZ4684" s="1821"/>
      <c r="CA4684" s="1821"/>
      <c r="CB4684" s="1821"/>
      <c r="CC4684" s="1821"/>
      <c r="CD4684" s="1821"/>
      <c r="CE4684" s="1821"/>
      <c r="CF4684" s="1821"/>
      <c r="CG4684" s="1821"/>
      <c r="CH4684" s="1821"/>
      <c r="CI4684" s="1821"/>
      <c r="CJ4684" s="1821"/>
      <c r="CK4684" s="1821"/>
    </row>
    <row r="4685" spans="1:89" s="675" customFormat="1" ht="16.5" customHeight="1" x14ac:dyDescent="0.25">
      <c r="A4685" s="849"/>
      <c r="B4685" s="1714" t="s">
        <v>2334</v>
      </c>
      <c r="C4685" s="835">
        <v>1</v>
      </c>
      <c r="D4685" s="1062" t="s">
        <v>16</v>
      </c>
      <c r="E4685" s="825">
        <v>250000</v>
      </c>
      <c r="F4685" s="825"/>
      <c r="G4685" s="825"/>
      <c r="H4685" s="825"/>
      <c r="I4685" s="825"/>
      <c r="J4685" s="825"/>
      <c r="K4685" s="825"/>
      <c r="L4685" s="825">
        <f>E4685*C4685</f>
        <v>250000</v>
      </c>
      <c r="M4685" s="825"/>
      <c r="N4685" s="825">
        <f>M4685+L4685</f>
        <v>250000</v>
      </c>
      <c r="O4685" s="826">
        <f>N4685+K4685+H4685</f>
        <v>250000</v>
      </c>
      <c r="P4685" s="702"/>
      <c r="Q4685" s="1821"/>
      <c r="R4685" s="1821"/>
      <c r="S4685" s="1821"/>
      <c r="T4685" s="1821"/>
      <c r="U4685" s="1821"/>
      <c r="V4685" s="1821"/>
      <c r="W4685" s="1821"/>
      <c r="X4685" s="1821"/>
      <c r="Y4685" s="1821"/>
      <c r="Z4685" s="1821"/>
      <c r="AA4685" s="1821"/>
      <c r="AB4685" s="1821"/>
      <c r="AC4685" s="1821"/>
      <c r="AD4685" s="1821"/>
      <c r="AE4685" s="1821"/>
      <c r="AF4685" s="1821"/>
      <c r="AG4685" s="1821"/>
      <c r="AH4685" s="1821"/>
      <c r="AI4685" s="1821"/>
      <c r="AJ4685" s="1821"/>
      <c r="AK4685" s="1821"/>
      <c r="AL4685" s="1821"/>
      <c r="AM4685" s="1821"/>
      <c r="AN4685" s="1821"/>
      <c r="AO4685" s="1821"/>
      <c r="AP4685" s="1821"/>
      <c r="AQ4685" s="1821"/>
      <c r="AR4685" s="1821"/>
      <c r="AS4685" s="1821"/>
      <c r="AT4685" s="1821"/>
      <c r="AU4685" s="1821"/>
      <c r="AV4685" s="1821"/>
      <c r="AW4685" s="1821"/>
      <c r="AX4685" s="1821"/>
      <c r="AY4685" s="1821"/>
      <c r="AZ4685" s="1821"/>
      <c r="BA4685" s="1821"/>
      <c r="BB4685" s="1821"/>
      <c r="BC4685" s="1821"/>
      <c r="BD4685" s="1821"/>
      <c r="BE4685" s="1821"/>
      <c r="BF4685" s="1821"/>
      <c r="BG4685" s="1821"/>
      <c r="BH4685" s="1821"/>
      <c r="BI4685" s="1821"/>
      <c r="BJ4685" s="1821"/>
      <c r="BK4685" s="1821"/>
      <c r="BL4685" s="1821"/>
      <c r="BM4685" s="1821"/>
      <c r="BN4685" s="1821"/>
      <c r="BO4685" s="1821"/>
      <c r="BP4685" s="1821"/>
      <c r="BQ4685" s="1821"/>
      <c r="BR4685" s="1821"/>
      <c r="BS4685" s="1821"/>
      <c r="BT4685" s="1821"/>
      <c r="BU4685" s="1821"/>
      <c r="BV4685" s="1821"/>
      <c r="BW4685" s="1821"/>
      <c r="BX4685" s="1821"/>
      <c r="BY4685" s="1821"/>
      <c r="BZ4685" s="1821"/>
      <c r="CA4685" s="1821"/>
      <c r="CB4685" s="1821"/>
      <c r="CC4685" s="1821"/>
      <c r="CD4685" s="1821"/>
      <c r="CE4685" s="1821"/>
      <c r="CF4685" s="1821"/>
      <c r="CG4685" s="1821"/>
      <c r="CH4685" s="1821"/>
      <c r="CI4685" s="1821"/>
      <c r="CJ4685" s="1821"/>
      <c r="CK4685" s="1821"/>
    </row>
    <row r="4686" spans="1:89" s="675" customFormat="1" ht="16.5" customHeight="1" x14ac:dyDescent="0.25">
      <c r="A4686" s="849"/>
      <c r="B4686" s="1061"/>
      <c r="C4686" s="835"/>
      <c r="D4686" s="1062"/>
      <c r="E4686" s="825"/>
      <c r="F4686" s="825"/>
      <c r="G4686" s="825"/>
      <c r="H4686" s="825"/>
      <c r="I4686" s="825"/>
      <c r="J4686" s="825"/>
      <c r="K4686" s="825"/>
      <c r="L4686" s="825"/>
      <c r="M4686" s="825"/>
      <c r="N4686" s="825"/>
      <c r="O4686" s="826"/>
      <c r="P4686" s="702"/>
      <c r="Q4686" s="1821"/>
      <c r="R4686" s="1821"/>
      <c r="S4686" s="1821"/>
      <c r="T4686" s="1821"/>
      <c r="U4686" s="1821"/>
      <c r="V4686" s="1821"/>
      <c r="W4686" s="1821"/>
      <c r="X4686" s="1821"/>
      <c r="Y4686" s="1821"/>
      <c r="Z4686" s="1821"/>
      <c r="AA4686" s="1821"/>
      <c r="AB4686" s="1821"/>
      <c r="AC4686" s="1821"/>
      <c r="AD4686" s="1821"/>
      <c r="AE4686" s="1821"/>
      <c r="AF4686" s="1821"/>
      <c r="AG4686" s="1821"/>
      <c r="AH4686" s="1821"/>
      <c r="AI4686" s="1821"/>
      <c r="AJ4686" s="1821"/>
      <c r="AK4686" s="1821"/>
      <c r="AL4686" s="1821"/>
      <c r="AM4686" s="1821"/>
      <c r="AN4686" s="1821"/>
      <c r="AO4686" s="1821"/>
      <c r="AP4686" s="1821"/>
      <c r="AQ4686" s="1821"/>
      <c r="AR4686" s="1821"/>
      <c r="AS4686" s="1821"/>
      <c r="AT4686" s="1821"/>
      <c r="AU4686" s="1821"/>
      <c r="AV4686" s="1821"/>
      <c r="AW4686" s="1821"/>
      <c r="AX4686" s="1821"/>
      <c r="AY4686" s="1821"/>
      <c r="AZ4686" s="1821"/>
      <c r="BA4686" s="1821"/>
      <c r="BB4686" s="1821"/>
      <c r="BC4686" s="1821"/>
      <c r="BD4686" s="1821"/>
      <c r="BE4686" s="1821"/>
      <c r="BF4686" s="1821"/>
      <c r="BG4686" s="1821"/>
      <c r="BH4686" s="1821"/>
      <c r="BI4686" s="1821"/>
      <c r="BJ4686" s="1821"/>
      <c r="BK4686" s="1821"/>
      <c r="BL4686" s="1821"/>
      <c r="BM4686" s="1821"/>
      <c r="BN4686" s="1821"/>
      <c r="BO4686" s="1821"/>
      <c r="BP4686" s="1821"/>
      <c r="BQ4686" s="1821"/>
      <c r="BR4686" s="1821"/>
      <c r="BS4686" s="1821"/>
      <c r="BT4686" s="1821"/>
      <c r="BU4686" s="1821"/>
      <c r="BV4686" s="1821"/>
      <c r="BW4686" s="1821"/>
      <c r="BX4686" s="1821"/>
      <c r="BY4686" s="1821"/>
      <c r="BZ4686" s="1821"/>
      <c r="CA4686" s="1821"/>
      <c r="CB4686" s="1821"/>
      <c r="CC4686" s="1821"/>
      <c r="CD4686" s="1821"/>
      <c r="CE4686" s="1821"/>
      <c r="CF4686" s="1821"/>
      <c r="CG4686" s="1821"/>
      <c r="CH4686" s="1821"/>
      <c r="CI4686" s="1821"/>
      <c r="CJ4686" s="1821"/>
      <c r="CK4686" s="1821"/>
    </row>
    <row r="4687" spans="1:89" s="675" customFormat="1" ht="16.5" customHeight="1" x14ac:dyDescent="0.25">
      <c r="A4687" s="849"/>
      <c r="B4687" s="1061"/>
      <c r="C4687" s="835"/>
      <c r="D4687" s="1062"/>
      <c r="E4687" s="825"/>
      <c r="F4687" s="825"/>
      <c r="G4687" s="825"/>
      <c r="H4687" s="825"/>
      <c r="I4687" s="825"/>
      <c r="J4687" s="825"/>
      <c r="K4687" s="825"/>
      <c r="L4687" s="825"/>
      <c r="M4687" s="825"/>
      <c r="N4687" s="825"/>
      <c r="O4687" s="826"/>
      <c r="P4687" s="702"/>
      <c r="Q4687" s="1821"/>
      <c r="R4687" s="1821"/>
      <c r="S4687" s="1821"/>
      <c r="T4687" s="1821"/>
      <c r="U4687" s="1821"/>
      <c r="V4687" s="1821"/>
      <c r="W4687" s="1821"/>
      <c r="X4687" s="1821"/>
      <c r="Y4687" s="1821"/>
      <c r="Z4687" s="1821"/>
      <c r="AA4687" s="1821"/>
      <c r="AB4687" s="1821"/>
      <c r="AC4687" s="1821"/>
      <c r="AD4687" s="1821"/>
      <c r="AE4687" s="1821"/>
      <c r="AF4687" s="1821"/>
      <c r="AG4687" s="1821"/>
      <c r="AH4687" s="1821"/>
      <c r="AI4687" s="1821"/>
      <c r="AJ4687" s="1821"/>
      <c r="AK4687" s="1821"/>
      <c r="AL4687" s="1821"/>
      <c r="AM4687" s="1821"/>
      <c r="AN4687" s="1821"/>
      <c r="AO4687" s="1821"/>
      <c r="AP4687" s="1821"/>
      <c r="AQ4687" s="1821"/>
      <c r="AR4687" s="1821"/>
      <c r="AS4687" s="1821"/>
      <c r="AT4687" s="1821"/>
      <c r="AU4687" s="1821"/>
      <c r="AV4687" s="1821"/>
      <c r="AW4687" s="1821"/>
      <c r="AX4687" s="1821"/>
      <c r="AY4687" s="1821"/>
      <c r="AZ4687" s="1821"/>
      <c r="BA4687" s="1821"/>
      <c r="BB4687" s="1821"/>
      <c r="BC4687" s="1821"/>
      <c r="BD4687" s="1821"/>
      <c r="BE4687" s="1821"/>
      <c r="BF4687" s="1821"/>
      <c r="BG4687" s="1821"/>
      <c r="BH4687" s="1821"/>
      <c r="BI4687" s="1821"/>
      <c r="BJ4687" s="1821"/>
      <c r="BK4687" s="1821"/>
      <c r="BL4687" s="1821"/>
      <c r="BM4687" s="1821"/>
      <c r="BN4687" s="1821"/>
      <c r="BO4687" s="1821"/>
      <c r="BP4687" s="1821"/>
      <c r="BQ4687" s="1821"/>
      <c r="BR4687" s="1821"/>
      <c r="BS4687" s="1821"/>
      <c r="BT4687" s="1821"/>
      <c r="BU4687" s="1821"/>
      <c r="BV4687" s="1821"/>
      <c r="BW4687" s="1821"/>
      <c r="BX4687" s="1821"/>
      <c r="BY4687" s="1821"/>
      <c r="BZ4687" s="1821"/>
      <c r="CA4687" s="1821"/>
      <c r="CB4687" s="1821"/>
      <c r="CC4687" s="1821"/>
      <c r="CD4687" s="1821"/>
      <c r="CE4687" s="1821"/>
      <c r="CF4687" s="1821"/>
      <c r="CG4687" s="1821"/>
      <c r="CH4687" s="1821"/>
      <c r="CI4687" s="1821"/>
      <c r="CJ4687" s="1821"/>
      <c r="CK4687" s="1821"/>
    </row>
    <row r="4688" spans="1:89" s="675" customFormat="1" ht="16.5" customHeight="1" x14ac:dyDescent="0.25">
      <c r="A4688" s="849"/>
      <c r="B4688" s="1061"/>
      <c r="C4688" s="835"/>
      <c r="D4688" s="1062"/>
      <c r="E4688" s="825"/>
      <c r="F4688" s="825"/>
      <c r="G4688" s="825"/>
      <c r="H4688" s="825"/>
      <c r="I4688" s="825"/>
      <c r="J4688" s="825"/>
      <c r="K4688" s="825"/>
      <c r="L4688" s="825"/>
      <c r="M4688" s="825"/>
      <c r="N4688" s="825"/>
      <c r="O4688" s="826"/>
      <c r="P4688" s="702"/>
      <c r="Q4688" s="1821"/>
      <c r="R4688" s="1821"/>
      <c r="S4688" s="1821"/>
      <c r="T4688" s="1821"/>
      <c r="U4688" s="1821"/>
      <c r="V4688" s="1821"/>
      <c r="W4688" s="1821"/>
      <c r="X4688" s="1821"/>
      <c r="Y4688" s="1821"/>
      <c r="Z4688" s="1821"/>
      <c r="AA4688" s="1821"/>
      <c r="AB4688" s="1821"/>
      <c r="AC4688" s="1821"/>
      <c r="AD4688" s="1821"/>
      <c r="AE4688" s="1821"/>
      <c r="AF4688" s="1821"/>
      <c r="AG4688" s="1821"/>
      <c r="AH4688" s="1821"/>
      <c r="AI4688" s="1821"/>
      <c r="AJ4688" s="1821"/>
      <c r="AK4688" s="1821"/>
      <c r="AL4688" s="1821"/>
      <c r="AM4688" s="1821"/>
      <c r="AN4688" s="1821"/>
      <c r="AO4688" s="1821"/>
      <c r="AP4688" s="1821"/>
      <c r="AQ4688" s="1821"/>
      <c r="AR4688" s="1821"/>
      <c r="AS4688" s="1821"/>
      <c r="AT4688" s="1821"/>
      <c r="AU4688" s="1821"/>
      <c r="AV4688" s="1821"/>
      <c r="AW4688" s="1821"/>
      <c r="AX4688" s="1821"/>
      <c r="AY4688" s="1821"/>
      <c r="AZ4688" s="1821"/>
      <c r="BA4688" s="1821"/>
      <c r="BB4688" s="1821"/>
      <c r="BC4688" s="1821"/>
      <c r="BD4688" s="1821"/>
      <c r="BE4688" s="1821"/>
      <c r="BF4688" s="1821"/>
      <c r="BG4688" s="1821"/>
      <c r="BH4688" s="1821"/>
      <c r="BI4688" s="1821"/>
      <c r="BJ4688" s="1821"/>
      <c r="BK4688" s="1821"/>
      <c r="BL4688" s="1821"/>
      <c r="BM4688" s="1821"/>
      <c r="BN4688" s="1821"/>
      <c r="BO4688" s="1821"/>
      <c r="BP4688" s="1821"/>
      <c r="BQ4688" s="1821"/>
      <c r="BR4688" s="1821"/>
      <c r="BS4688" s="1821"/>
      <c r="BT4688" s="1821"/>
      <c r="BU4688" s="1821"/>
      <c r="BV4688" s="1821"/>
      <c r="BW4688" s="1821"/>
      <c r="BX4688" s="1821"/>
      <c r="BY4688" s="1821"/>
      <c r="BZ4688" s="1821"/>
      <c r="CA4688" s="1821"/>
      <c r="CB4688" s="1821"/>
      <c r="CC4688" s="1821"/>
      <c r="CD4688" s="1821"/>
      <c r="CE4688" s="1821"/>
      <c r="CF4688" s="1821"/>
      <c r="CG4688" s="1821"/>
      <c r="CH4688" s="1821"/>
      <c r="CI4688" s="1821"/>
      <c r="CJ4688" s="1821"/>
      <c r="CK4688" s="1821"/>
    </row>
    <row r="4689" spans="1:89" s="675" customFormat="1" ht="16.5" customHeight="1" x14ac:dyDescent="0.25">
      <c r="A4689" s="849"/>
      <c r="B4689" s="1061" t="s">
        <v>1448</v>
      </c>
      <c r="C4689" s="835"/>
      <c r="D4689" s="1062"/>
      <c r="E4689" s="825"/>
      <c r="F4689" s="825"/>
      <c r="G4689" s="825"/>
      <c r="H4689" s="825"/>
      <c r="I4689" s="825"/>
      <c r="J4689" s="825"/>
      <c r="K4689" s="825"/>
      <c r="L4689" s="825"/>
      <c r="M4689" s="825"/>
      <c r="N4689" s="825"/>
      <c r="O4689" s="826"/>
      <c r="P4689" s="702"/>
      <c r="Q4689" s="1821"/>
      <c r="R4689" s="1821"/>
      <c r="S4689" s="1821"/>
      <c r="T4689" s="1821"/>
      <c r="U4689" s="1821"/>
      <c r="V4689" s="1821"/>
      <c r="W4689" s="1821"/>
      <c r="X4689" s="1821"/>
      <c r="Y4689" s="1821"/>
      <c r="Z4689" s="1821"/>
      <c r="AA4689" s="1821"/>
      <c r="AB4689" s="1821"/>
      <c r="AC4689" s="1821"/>
      <c r="AD4689" s="1821"/>
      <c r="AE4689" s="1821"/>
      <c r="AF4689" s="1821"/>
      <c r="AG4689" s="1821"/>
      <c r="AH4689" s="1821"/>
      <c r="AI4689" s="1821"/>
      <c r="AJ4689" s="1821"/>
      <c r="AK4689" s="1821"/>
      <c r="AL4689" s="1821"/>
      <c r="AM4689" s="1821"/>
      <c r="AN4689" s="1821"/>
      <c r="AO4689" s="1821"/>
      <c r="AP4689" s="1821"/>
      <c r="AQ4689" s="1821"/>
      <c r="AR4689" s="1821"/>
      <c r="AS4689" s="1821"/>
      <c r="AT4689" s="1821"/>
      <c r="AU4689" s="1821"/>
      <c r="AV4689" s="1821"/>
      <c r="AW4689" s="1821"/>
      <c r="AX4689" s="1821"/>
      <c r="AY4689" s="1821"/>
      <c r="AZ4689" s="1821"/>
      <c r="BA4689" s="1821"/>
      <c r="BB4689" s="1821"/>
      <c r="BC4689" s="1821"/>
      <c r="BD4689" s="1821"/>
      <c r="BE4689" s="1821"/>
      <c r="BF4689" s="1821"/>
      <c r="BG4689" s="1821"/>
      <c r="BH4689" s="1821"/>
      <c r="BI4689" s="1821"/>
      <c r="BJ4689" s="1821"/>
      <c r="BK4689" s="1821"/>
      <c r="BL4689" s="1821"/>
      <c r="BM4689" s="1821"/>
      <c r="BN4689" s="1821"/>
      <c r="BO4689" s="1821"/>
      <c r="BP4689" s="1821"/>
      <c r="BQ4689" s="1821"/>
      <c r="BR4689" s="1821"/>
      <c r="BS4689" s="1821"/>
      <c r="BT4689" s="1821"/>
      <c r="BU4689" s="1821"/>
      <c r="BV4689" s="1821"/>
      <c r="BW4689" s="1821"/>
      <c r="BX4689" s="1821"/>
      <c r="BY4689" s="1821"/>
      <c r="BZ4689" s="1821"/>
      <c r="CA4689" s="1821"/>
      <c r="CB4689" s="1821"/>
      <c r="CC4689" s="1821"/>
      <c r="CD4689" s="1821"/>
      <c r="CE4689" s="1821"/>
      <c r="CF4689" s="1821"/>
      <c r="CG4689" s="1821"/>
      <c r="CH4689" s="1821"/>
      <c r="CI4689" s="1821"/>
      <c r="CJ4689" s="1821"/>
      <c r="CK4689" s="1821"/>
    </row>
    <row r="4690" spans="1:89" s="675" customFormat="1" ht="16.5" customHeight="1" x14ac:dyDescent="0.25">
      <c r="A4690" s="849"/>
      <c r="B4690" s="1061" t="s">
        <v>1449</v>
      </c>
      <c r="C4690" s="835"/>
      <c r="D4690" s="1062"/>
      <c r="E4690" s="825"/>
      <c r="F4690" s="825"/>
      <c r="G4690" s="825"/>
      <c r="H4690" s="825"/>
      <c r="I4690" s="825"/>
      <c r="J4690" s="825"/>
      <c r="K4690" s="825"/>
      <c r="L4690" s="825"/>
      <c r="M4690" s="825"/>
      <c r="N4690" s="825"/>
      <c r="O4690" s="826"/>
      <c r="P4690" s="702"/>
      <c r="Q4690" s="1821"/>
      <c r="R4690" s="1821"/>
      <c r="S4690" s="1821"/>
      <c r="T4690" s="1821"/>
      <c r="U4690" s="1821"/>
      <c r="V4690" s="1821"/>
      <c r="W4690" s="1821"/>
      <c r="X4690" s="1821"/>
      <c r="Y4690" s="1821"/>
      <c r="Z4690" s="1821"/>
      <c r="AA4690" s="1821"/>
      <c r="AB4690" s="1821"/>
      <c r="AC4690" s="1821"/>
      <c r="AD4690" s="1821"/>
      <c r="AE4690" s="1821"/>
      <c r="AF4690" s="1821"/>
      <c r="AG4690" s="1821"/>
      <c r="AH4690" s="1821"/>
      <c r="AI4690" s="1821"/>
      <c r="AJ4690" s="1821"/>
      <c r="AK4690" s="1821"/>
      <c r="AL4690" s="1821"/>
      <c r="AM4690" s="1821"/>
      <c r="AN4690" s="1821"/>
      <c r="AO4690" s="1821"/>
      <c r="AP4690" s="1821"/>
      <c r="AQ4690" s="1821"/>
      <c r="AR4690" s="1821"/>
      <c r="AS4690" s="1821"/>
      <c r="AT4690" s="1821"/>
      <c r="AU4690" s="1821"/>
      <c r="AV4690" s="1821"/>
      <c r="AW4690" s="1821"/>
      <c r="AX4690" s="1821"/>
      <c r="AY4690" s="1821"/>
      <c r="AZ4690" s="1821"/>
      <c r="BA4690" s="1821"/>
      <c r="BB4690" s="1821"/>
      <c r="BC4690" s="1821"/>
      <c r="BD4690" s="1821"/>
      <c r="BE4690" s="1821"/>
      <c r="BF4690" s="1821"/>
      <c r="BG4690" s="1821"/>
      <c r="BH4690" s="1821"/>
      <c r="BI4690" s="1821"/>
      <c r="BJ4690" s="1821"/>
      <c r="BK4690" s="1821"/>
      <c r="BL4690" s="1821"/>
      <c r="BM4690" s="1821"/>
      <c r="BN4690" s="1821"/>
      <c r="BO4690" s="1821"/>
      <c r="BP4690" s="1821"/>
      <c r="BQ4690" s="1821"/>
      <c r="BR4690" s="1821"/>
      <c r="BS4690" s="1821"/>
      <c r="BT4690" s="1821"/>
      <c r="BU4690" s="1821"/>
      <c r="BV4690" s="1821"/>
      <c r="BW4690" s="1821"/>
      <c r="BX4690" s="1821"/>
      <c r="BY4690" s="1821"/>
      <c r="BZ4690" s="1821"/>
      <c r="CA4690" s="1821"/>
      <c r="CB4690" s="1821"/>
      <c r="CC4690" s="1821"/>
      <c r="CD4690" s="1821"/>
      <c r="CE4690" s="1821"/>
      <c r="CF4690" s="1821"/>
      <c r="CG4690" s="1821"/>
      <c r="CH4690" s="1821"/>
      <c r="CI4690" s="1821"/>
      <c r="CJ4690" s="1821"/>
      <c r="CK4690" s="1821"/>
    </row>
    <row r="4691" spans="1:89" s="675" customFormat="1" ht="16.5" customHeight="1" x14ac:dyDescent="0.25">
      <c r="A4691" s="849"/>
      <c r="B4691" s="1061"/>
      <c r="C4691" s="835"/>
      <c r="D4691" s="1062"/>
      <c r="E4691" s="825"/>
      <c r="F4691" s="825"/>
      <c r="G4691" s="825"/>
      <c r="H4691" s="825"/>
      <c r="I4691" s="825"/>
      <c r="J4691" s="825"/>
      <c r="K4691" s="825"/>
      <c r="L4691" s="825"/>
      <c r="M4691" s="825"/>
      <c r="N4691" s="825"/>
      <c r="O4691" s="826"/>
      <c r="P4691" s="702"/>
      <c r="Q4691" s="1821"/>
      <c r="R4691" s="1821"/>
      <c r="S4691" s="1821"/>
      <c r="T4691" s="1821"/>
      <c r="U4691" s="1821"/>
      <c r="V4691" s="1821"/>
      <c r="W4691" s="1821"/>
      <c r="X4691" s="1821"/>
      <c r="Y4691" s="1821"/>
      <c r="Z4691" s="1821"/>
      <c r="AA4691" s="1821"/>
      <c r="AB4691" s="1821"/>
      <c r="AC4691" s="1821"/>
      <c r="AD4691" s="1821"/>
      <c r="AE4691" s="1821"/>
      <c r="AF4691" s="1821"/>
      <c r="AG4691" s="1821"/>
      <c r="AH4691" s="1821"/>
      <c r="AI4691" s="1821"/>
      <c r="AJ4691" s="1821"/>
      <c r="AK4691" s="1821"/>
      <c r="AL4691" s="1821"/>
      <c r="AM4691" s="1821"/>
      <c r="AN4691" s="1821"/>
      <c r="AO4691" s="1821"/>
      <c r="AP4691" s="1821"/>
      <c r="AQ4691" s="1821"/>
      <c r="AR4691" s="1821"/>
      <c r="AS4691" s="1821"/>
      <c r="AT4691" s="1821"/>
      <c r="AU4691" s="1821"/>
      <c r="AV4691" s="1821"/>
      <c r="AW4691" s="1821"/>
      <c r="AX4691" s="1821"/>
      <c r="AY4691" s="1821"/>
      <c r="AZ4691" s="1821"/>
      <c r="BA4691" s="1821"/>
      <c r="BB4691" s="1821"/>
      <c r="BC4691" s="1821"/>
      <c r="BD4691" s="1821"/>
      <c r="BE4691" s="1821"/>
      <c r="BF4691" s="1821"/>
      <c r="BG4691" s="1821"/>
      <c r="BH4691" s="1821"/>
      <c r="BI4691" s="1821"/>
      <c r="BJ4691" s="1821"/>
      <c r="BK4691" s="1821"/>
      <c r="BL4691" s="1821"/>
      <c r="BM4691" s="1821"/>
      <c r="BN4691" s="1821"/>
      <c r="BO4691" s="1821"/>
      <c r="BP4691" s="1821"/>
      <c r="BQ4691" s="1821"/>
      <c r="BR4691" s="1821"/>
      <c r="BS4691" s="1821"/>
      <c r="BT4691" s="1821"/>
      <c r="BU4691" s="1821"/>
      <c r="BV4691" s="1821"/>
      <c r="BW4691" s="1821"/>
      <c r="BX4691" s="1821"/>
      <c r="BY4691" s="1821"/>
      <c r="BZ4691" s="1821"/>
      <c r="CA4691" s="1821"/>
      <c r="CB4691" s="1821"/>
      <c r="CC4691" s="1821"/>
      <c r="CD4691" s="1821"/>
      <c r="CE4691" s="1821"/>
      <c r="CF4691" s="1821"/>
      <c r="CG4691" s="1821"/>
      <c r="CH4691" s="1821"/>
      <c r="CI4691" s="1821"/>
      <c r="CJ4691" s="1821"/>
      <c r="CK4691" s="1821"/>
    </row>
    <row r="4692" spans="1:89" s="675" customFormat="1" ht="16.5" customHeight="1" x14ac:dyDescent="0.25">
      <c r="A4692" s="849"/>
      <c r="B4692" s="1061" t="s">
        <v>349</v>
      </c>
      <c r="C4692" s="835"/>
      <c r="D4692" s="1062"/>
      <c r="E4692" s="825"/>
      <c r="F4692" s="825"/>
      <c r="G4692" s="825"/>
      <c r="H4692" s="825"/>
      <c r="I4692" s="825">
        <f>E4692*C4692</f>
        <v>0</v>
      </c>
      <c r="J4692" s="825"/>
      <c r="K4692" s="825">
        <f>J4692+I4692</f>
        <v>0</v>
      </c>
      <c r="L4692" s="825"/>
      <c r="M4692" s="825"/>
      <c r="N4692" s="825"/>
      <c r="O4692" s="826">
        <f>N4692+K4692+H4692</f>
        <v>0</v>
      </c>
      <c r="P4692" s="702"/>
      <c r="Q4692" s="1821"/>
      <c r="R4692" s="1821"/>
      <c r="S4692" s="1821"/>
      <c r="T4692" s="1821"/>
      <c r="U4692" s="1821"/>
      <c r="V4692" s="1821"/>
      <c r="W4692" s="1821"/>
      <c r="X4692" s="1821"/>
      <c r="Y4692" s="1821"/>
      <c r="Z4692" s="1821"/>
      <c r="AA4692" s="1821"/>
      <c r="AB4692" s="1821"/>
      <c r="AC4692" s="1821"/>
      <c r="AD4692" s="1821"/>
      <c r="AE4692" s="1821"/>
      <c r="AF4692" s="1821"/>
      <c r="AG4692" s="1821"/>
      <c r="AH4692" s="1821"/>
      <c r="AI4692" s="1821"/>
      <c r="AJ4692" s="1821"/>
      <c r="AK4692" s="1821"/>
      <c r="AL4692" s="1821"/>
      <c r="AM4692" s="1821"/>
      <c r="AN4692" s="1821"/>
      <c r="AO4692" s="1821"/>
      <c r="AP4692" s="1821"/>
      <c r="AQ4692" s="1821"/>
      <c r="AR4692" s="1821"/>
      <c r="AS4692" s="1821"/>
      <c r="AT4692" s="1821"/>
      <c r="AU4692" s="1821"/>
      <c r="AV4692" s="1821"/>
      <c r="AW4692" s="1821"/>
      <c r="AX4692" s="1821"/>
      <c r="AY4692" s="1821"/>
      <c r="AZ4692" s="1821"/>
      <c r="BA4692" s="1821"/>
      <c r="BB4692" s="1821"/>
      <c r="BC4692" s="1821"/>
      <c r="BD4692" s="1821"/>
      <c r="BE4692" s="1821"/>
      <c r="BF4692" s="1821"/>
      <c r="BG4692" s="1821"/>
      <c r="BH4692" s="1821"/>
      <c r="BI4692" s="1821"/>
      <c r="BJ4692" s="1821"/>
      <c r="BK4692" s="1821"/>
      <c r="BL4692" s="1821"/>
      <c r="BM4692" s="1821"/>
      <c r="BN4692" s="1821"/>
      <c r="BO4692" s="1821"/>
      <c r="BP4692" s="1821"/>
      <c r="BQ4692" s="1821"/>
      <c r="BR4692" s="1821"/>
      <c r="BS4692" s="1821"/>
      <c r="BT4692" s="1821"/>
      <c r="BU4692" s="1821"/>
      <c r="BV4692" s="1821"/>
      <c r="BW4692" s="1821"/>
      <c r="BX4692" s="1821"/>
      <c r="BY4692" s="1821"/>
      <c r="BZ4692" s="1821"/>
      <c r="CA4692" s="1821"/>
      <c r="CB4692" s="1821"/>
      <c r="CC4692" s="1821"/>
      <c r="CD4692" s="1821"/>
      <c r="CE4692" s="1821"/>
      <c r="CF4692" s="1821"/>
      <c r="CG4692" s="1821"/>
      <c r="CH4692" s="1821"/>
      <c r="CI4692" s="1821"/>
      <c r="CJ4692" s="1821"/>
      <c r="CK4692" s="1821"/>
    </row>
    <row r="4693" spans="1:89" s="675" customFormat="1" ht="16.5" customHeight="1" x14ac:dyDescent="0.25">
      <c r="A4693" s="849"/>
      <c r="B4693" s="1061" t="s">
        <v>2247</v>
      </c>
      <c r="C4693" s="835"/>
      <c r="D4693" s="1062"/>
      <c r="E4693" s="825"/>
      <c r="F4693" s="825"/>
      <c r="G4693" s="825"/>
      <c r="H4693" s="825"/>
      <c r="I4693" s="825">
        <f>E4693*C4693</f>
        <v>0</v>
      </c>
      <c r="J4693" s="825"/>
      <c r="K4693" s="825">
        <f>J4693+I4693</f>
        <v>0</v>
      </c>
      <c r="L4693" s="825"/>
      <c r="M4693" s="825"/>
      <c r="N4693" s="825"/>
      <c r="O4693" s="826">
        <f>N4693+K4693+H4693</f>
        <v>0</v>
      </c>
      <c r="P4693" s="702"/>
      <c r="Q4693" s="1821"/>
      <c r="R4693" s="1821"/>
      <c r="S4693" s="1821"/>
      <c r="T4693" s="1821"/>
      <c r="U4693" s="1821"/>
      <c r="V4693" s="1821"/>
      <c r="W4693" s="1821"/>
      <c r="X4693" s="1821"/>
      <c r="Y4693" s="1821"/>
      <c r="Z4693" s="1821"/>
      <c r="AA4693" s="1821"/>
      <c r="AB4693" s="1821"/>
      <c r="AC4693" s="1821"/>
      <c r="AD4693" s="1821"/>
      <c r="AE4693" s="1821"/>
      <c r="AF4693" s="1821"/>
      <c r="AG4693" s="1821"/>
      <c r="AH4693" s="1821"/>
      <c r="AI4693" s="1821"/>
      <c r="AJ4693" s="1821"/>
      <c r="AK4693" s="1821"/>
      <c r="AL4693" s="1821"/>
      <c r="AM4693" s="1821"/>
      <c r="AN4693" s="1821"/>
      <c r="AO4693" s="1821"/>
      <c r="AP4693" s="1821"/>
      <c r="AQ4693" s="1821"/>
      <c r="AR4693" s="1821"/>
      <c r="AS4693" s="1821"/>
      <c r="AT4693" s="1821"/>
      <c r="AU4693" s="1821"/>
      <c r="AV4693" s="1821"/>
      <c r="AW4693" s="1821"/>
      <c r="AX4693" s="1821"/>
      <c r="AY4693" s="1821"/>
      <c r="AZ4693" s="1821"/>
      <c r="BA4693" s="1821"/>
      <c r="BB4693" s="1821"/>
      <c r="BC4693" s="1821"/>
      <c r="BD4693" s="1821"/>
      <c r="BE4693" s="1821"/>
      <c r="BF4693" s="1821"/>
      <c r="BG4693" s="1821"/>
      <c r="BH4693" s="1821"/>
      <c r="BI4693" s="1821"/>
      <c r="BJ4693" s="1821"/>
      <c r="BK4693" s="1821"/>
      <c r="BL4693" s="1821"/>
      <c r="BM4693" s="1821"/>
      <c r="BN4693" s="1821"/>
      <c r="BO4693" s="1821"/>
      <c r="BP4693" s="1821"/>
      <c r="BQ4693" s="1821"/>
      <c r="BR4693" s="1821"/>
      <c r="BS4693" s="1821"/>
      <c r="BT4693" s="1821"/>
      <c r="BU4693" s="1821"/>
      <c r="BV4693" s="1821"/>
      <c r="BW4693" s="1821"/>
      <c r="BX4693" s="1821"/>
      <c r="BY4693" s="1821"/>
      <c r="BZ4693" s="1821"/>
      <c r="CA4693" s="1821"/>
      <c r="CB4693" s="1821"/>
      <c r="CC4693" s="1821"/>
      <c r="CD4693" s="1821"/>
      <c r="CE4693" s="1821"/>
      <c r="CF4693" s="1821"/>
      <c r="CG4693" s="1821"/>
      <c r="CH4693" s="1821"/>
      <c r="CI4693" s="1821"/>
      <c r="CJ4693" s="1821"/>
      <c r="CK4693" s="1821"/>
    </row>
    <row r="4694" spans="1:89" s="675" customFormat="1" ht="16.5" customHeight="1" x14ac:dyDescent="0.25">
      <c r="A4694" s="849"/>
      <c r="B4694" s="1061" t="s">
        <v>1450</v>
      </c>
      <c r="C4694" s="835">
        <v>1</v>
      </c>
      <c r="D4694" s="1062" t="s">
        <v>25</v>
      </c>
      <c r="E4694" s="825">
        <v>12020</v>
      </c>
      <c r="F4694" s="825"/>
      <c r="G4694" s="825"/>
      <c r="H4694" s="825"/>
      <c r="I4694" s="825">
        <f>E4694*C4694</f>
        <v>12020</v>
      </c>
      <c r="J4694" s="825"/>
      <c r="K4694" s="825">
        <f>J4694+I4694</f>
        <v>12020</v>
      </c>
      <c r="L4694" s="825"/>
      <c r="M4694" s="825"/>
      <c r="N4694" s="825"/>
      <c r="O4694" s="826">
        <f>N4694+K4694+H4694</f>
        <v>12020</v>
      </c>
      <c r="P4694" s="702"/>
      <c r="Q4694" s="1821"/>
      <c r="R4694" s="1821"/>
      <c r="S4694" s="1821"/>
      <c r="T4694" s="1821"/>
      <c r="U4694" s="1821"/>
      <c r="V4694" s="1821"/>
      <c r="W4694" s="1821"/>
      <c r="X4694" s="1821"/>
      <c r="Y4694" s="1821"/>
      <c r="Z4694" s="1821"/>
      <c r="AA4694" s="1821"/>
      <c r="AB4694" s="1821"/>
      <c r="AC4694" s="1821"/>
      <c r="AD4694" s="1821"/>
      <c r="AE4694" s="1821"/>
      <c r="AF4694" s="1821"/>
      <c r="AG4694" s="1821"/>
      <c r="AH4694" s="1821"/>
      <c r="AI4694" s="1821"/>
      <c r="AJ4694" s="1821"/>
      <c r="AK4694" s="1821"/>
      <c r="AL4694" s="1821"/>
      <c r="AM4694" s="1821"/>
      <c r="AN4694" s="1821"/>
      <c r="AO4694" s="1821"/>
      <c r="AP4694" s="1821"/>
      <c r="AQ4694" s="1821"/>
      <c r="AR4694" s="1821"/>
      <c r="AS4694" s="1821"/>
      <c r="AT4694" s="1821"/>
      <c r="AU4694" s="1821"/>
      <c r="AV4694" s="1821"/>
      <c r="AW4694" s="1821"/>
      <c r="AX4694" s="1821"/>
      <c r="AY4694" s="1821"/>
      <c r="AZ4694" s="1821"/>
      <c r="BA4694" s="1821"/>
      <c r="BB4694" s="1821"/>
      <c r="BC4694" s="1821"/>
      <c r="BD4694" s="1821"/>
      <c r="BE4694" s="1821"/>
      <c r="BF4694" s="1821"/>
      <c r="BG4694" s="1821"/>
      <c r="BH4694" s="1821"/>
      <c r="BI4694" s="1821"/>
      <c r="BJ4694" s="1821"/>
      <c r="BK4694" s="1821"/>
      <c r="BL4694" s="1821"/>
      <c r="BM4694" s="1821"/>
      <c r="BN4694" s="1821"/>
      <c r="BO4694" s="1821"/>
      <c r="BP4694" s="1821"/>
      <c r="BQ4694" s="1821"/>
      <c r="BR4694" s="1821"/>
      <c r="BS4694" s="1821"/>
      <c r="BT4694" s="1821"/>
      <c r="BU4694" s="1821"/>
      <c r="BV4694" s="1821"/>
      <c r="BW4694" s="1821"/>
      <c r="BX4694" s="1821"/>
      <c r="BY4694" s="1821"/>
      <c r="BZ4694" s="1821"/>
      <c r="CA4694" s="1821"/>
      <c r="CB4694" s="1821"/>
      <c r="CC4694" s="1821"/>
      <c r="CD4694" s="1821"/>
      <c r="CE4694" s="1821"/>
      <c r="CF4694" s="1821"/>
      <c r="CG4694" s="1821"/>
      <c r="CH4694" s="1821"/>
      <c r="CI4694" s="1821"/>
      <c r="CJ4694" s="1821"/>
      <c r="CK4694" s="1821"/>
    </row>
    <row r="4695" spans="1:89" s="675" customFormat="1" ht="16.5" customHeight="1" x14ac:dyDescent="0.25">
      <c r="A4695" s="849"/>
      <c r="B4695" s="1061"/>
      <c r="C4695" s="835"/>
      <c r="D4695" s="1062"/>
      <c r="E4695" s="825"/>
      <c r="F4695" s="825"/>
      <c r="G4695" s="825"/>
      <c r="H4695" s="825"/>
      <c r="I4695" s="825"/>
      <c r="J4695" s="825"/>
      <c r="K4695" s="825"/>
      <c r="L4695" s="825"/>
      <c r="M4695" s="825"/>
      <c r="N4695" s="825"/>
      <c r="O4695" s="826"/>
      <c r="P4695" s="702"/>
      <c r="Q4695" s="1821"/>
      <c r="R4695" s="1821"/>
      <c r="S4695" s="1821"/>
      <c r="T4695" s="1821"/>
      <c r="U4695" s="1821"/>
      <c r="V4695" s="1821"/>
      <c r="W4695" s="1821"/>
      <c r="X4695" s="1821"/>
      <c r="Y4695" s="1821"/>
      <c r="Z4695" s="1821"/>
      <c r="AA4695" s="1821"/>
      <c r="AB4695" s="1821"/>
      <c r="AC4695" s="1821"/>
      <c r="AD4695" s="1821"/>
      <c r="AE4695" s="1821"/>
      <c r="AF4695" s="1821"/>
      <c r="AG4695" s="1821"/>
      <c r="AH4695" s="1821"/>
      <c r="AI4695" s="1821"/>
      <c r="AJ4695" s="1821"/>
      <c r="AK4695" s="1821"/>
      <c r="AL4695" s="1821"/>
      <c r="AM4695" s="1821"/>
      <c r="AN4695" s="1821"/>
      <c r="AO4695" s="1821"/>
      <c r="AP4695" s="1821"/>
      <c r="AQ4695" s="1821"/>
      <c r="AR4695" s="1821"/>
      <c r="AS4695" s="1821"/>
      <c r="AT4695" s="1821"/>
      <c r="AU4695" s="1821"/>
      <c r="AV4695" s="1821"/>
      <c r="AW4695" s="1821"/>
      <c r="AX4695" s="1821"/>
      <c r="AY4695" s="1821"/>
      <c r="AZ4695" s="1821"/>
      <c r="BA4695" s="1821"/>
      <c r="BB4695" s="1821"/>
      <c r="BC4695" s="1821"/>
      <c r="BD4695" s="1821"/>
      <c r="BE4695" s="1821"/>
      <c r="BF4695" s="1821"/>
      <c r="BG4695" s="1821"/>
      <c r="BH4695" s="1821"/>
      <c r="BI4695" s="1821"/>
      <c r="BJ4695" s="1821"/>
      <c r="BK4695" s="1821"/>
      <c r="BL4695" s="1821"/>
      <c r="BM4695" s="1821"/>
      <c r="BN4695" s="1821"/>
      <c r="BO4695" s="1821"/>
      <c r="BP4695" s="1821"/>
      <c r="BQ4695" s="1821"/>
      <c r="BR4695" s="1821"/>
      <c r="BS4695" s="1821"/>
      <c r="BT4695" s="1821"/>
      <c r="BU4695" s="1821"/>
      <c r="BV4695" s="1821"/>
      <c r="BW4695" s="1821"/>
      <c r="BX4695" s="1821"/>
      <c r="BY4695" s="1821"/>
      <c r="BZ4695" s="1821"/>
      <c r="CA4695" s="1821"/>
      <c r="CB4695" s="1821"/>
      <c r="CC4695" s="1821"/>
      <c r="CD4695" s="1821"/>
      <c r="CE4695" s="1821"/>
      <c r="CF4695" s="1821"/>
      <c r="CG4695" s="1821"/>
      <c r="CH4695" s="1821"/>
      <c r="CI4695" s="1821"/>
      <c r="CJ4695" s="1821"/>
      <c r="CK4695" s="1821"/>
    </row>
    <row r="4696" spans="1:89" s="675" customFormat="1" ht="16.5" customHeight="1" x14ac:dyDescent="0.25">
      <c r="A4696" s="849"/>
      <c r="B4696" s="1061" t="s">
        <v>532</v>
      </c>
      <c r="C4696" s="835"/>
      <c r="D4696" s="1062"/>
      <c r="E4696" s="825"/>
      <c r="F4696" s="825"/>
      <c r="G4696" s="825"/>
      <c r="H4696" s="825"/>
      <c r="I4696" s="825">
        <f>E4696*C4696</f>
        <v>0</v>
      </c>
      <c r="J4696" s="825"/>
      <c r="K4696" s="825">
        <f>J4696+I4696</f>
        <v>0</v>
      </c>
      <c r="L4696" s="825"/>
      <c r="M4696" s="825"/>
      <c r="N4696" s="825"/>
      <c r="O4696" s="826">
        <f>N4696+K4696+H4696</f>
        <v>0</v>
      </c>
      <c r="P4696" s="702"/>
      <c r="Q4696" s="1821"/>
      <c r="R4696" s="1821"/>
      <c r="S4696" s="1821"/>
      <c r="T4696" s="1821"/>
      <c r="U4696" s="1821"/>
      <c r="V4696" s="1821"/>
      <c r="W4696" s="1821"/>
      <c r="X4696" s="1821"/>
      <c r="Y4696" s="1821"/>
      <c r="Z4696" s="1821"/>
      <c r="AA4696" s="1821"/>
      <c r="AB4696" s="1821"/>
      <c r="AC4696" s="1821"/>
      <c r="AD4696" s="1821"/>
      <c r="AE4696" s="1821"/>
      <c r="AF4696" s="1821"/>
      <c r="AG4696" s="1821"/>
      <c r="AH4696" s="1821"/>
      <c r="AI4696" s="1821"/>
      <c r="AJ4696" s="1821"/>
      <c r="AK4696" s="1821"/>
      <c r="AL4696" s="1821"/>
      <c r="AM4696" s="1821"/>
      <c r="AN4696" s="1821"/>
      <c r="AO4696" s="1821"/>
      <c r="AP4696" s="1821"/>
      <c r="AQ4696" s="1821"/>
      <c r="AR4696" s="1821"/>
      <c r="AS4696" s="1821"/>
      <c r="AT4696" s="1821"/>
      <c r="AU4696" s="1821"/>
      <c r="AV4696" s="1821"/>
      <c r="AW4696" s="1821"/>
      <c r="AX4696" s="1821"/>
      <c r="AY4696" s="1821"/>
      <c r="AZ4696" s="1821"/>
      <c r="BA4696" s="1821"/>
      <c r="BB4696" s="1821"/>
      <c r="BC4696" s="1821"/>
      <c r="BD4696" s="1821"/>
      <c r="BE4696" s="1821"/>
      <c r="BF4696" s="1821"/>
      <c r="BG4696" s="1821"/>
      <c r="BH4696" s="1821"/>
      <c r="BI4696" s="1821"/>
      <c r="BJ4696" s="1821"/>
      <c r="BK4696" s="1821"/>
      <c r="BL4696" s="1821"/>
      <c r="BM4696" s="1821"/>
      <c r="BN4696" s="1821"/>
      <c r="BO4696" s="1821"/>
      <c r="BP4696" s="1821"/>
      <c r="BQ4696" s="1821"/>
      <c r="BR4696" s="1821"/>
      <c r="BS4696" s="1821"/>
      <c r="BT4696" s="1821"/>
      <c r="BU4696" s="1821"/>
      <c r="BV4696" s="1821"/>
      <c r="BW4696" s="1821"/>
      <c r="BX4696" s="1821"/>
      <c r="BY4696" s="1821"/>
      <c r="BZ4696" s="1821"/>
      <c r="CA4696" s="1821"/>
      <c r="CB4696" s="1821"/>
      <c r="CC4696" s="1821"/>
      <c r="CD4696" s="1821"/>
      <c r="CE4696" s="1821"/>
      <c r="CF4696" s="1821"/>
      <c r="CG4696" s="1821"/>
      <c r="CH4696" s="1821"/>
      <c r="CI4696" s="1821"/>
      <c r="CJ4696" s="1821"/>
      <c r="CK4696" s="1821"/>
    </row>
    <row r="4697" spans="1:89" s="675" customFormat="1" ht="16.5" customHeight="1" x14ac:dyDescent="0.25">
      <c r="A4697" s="849"/>
      <c r="B4697" s="1061" t="s">
        <v>2247</v>
      </c>
      <c r="C4697" s="835"/>
      <c r="D4697" s="1062"/>
      <c r="E4697" s="825"/>
      <c r="F4697" s="825"/>
      <c r="G4697" s="825"/>
      <c r="H4697" s="825"/>
      <c r="I4697" s="825">
        <f>E4697*C4697</f>
        <v>0</v>
      </c>
      <c r="J4697" s="825"/>
      <c r="K4697" s="825">
        <f>J4697+I4697</f>
        <v>0</v>
      </c>
      <c r="L4697" s="825"/>
      <c r="M4697" s="825"/>
      <c r="N4697" s="825"/>
      <c r="O4697" s="826">
        <f>N4697+K4697+H4697</f>
        <v>0</v>
      </c>
      <c r="P4697" s="702"/>
      <c r="Q4697" s="1821"/>
      <c r="R4697" s="1821"/>
      <c r="S4697" s="1821"/>
      <c r="T4697" s="1821"/>
      <c r="U4697" s="1821"/>
      <c r="V4697" s="1821"/>
      <c r="W4697" s="1821"/>
      <c r="X4697" s="1821"/>
      <c r="Y4697" s="1821"/>
      <c r="Z4697" s="1821"/>
      <c r="AA4697" s="1821"/>
      <c r="AB4697" s="1821"/>
      <c r="AC4697" s="1821"/>
      <c r="AD4697" s="1821"/>
      <c r="AE4697" s="1821"/>
      <c r="AF4697" s="1821"/>
      <c r="AG4697" s="1821"/>
      <c r="AH4697" s="1821"/>
      <c r="AI4697" s="1821"/>
      <c r="AJ4697" s="1821"/>
      <c r="AK4697" s="1821"/>
      <c r="AL4697" s="1821"/>
      <c r="AM4697" s="1821"/>
      <c r="AN4697" s="1821"/>
      <c r="AO4697" s="1821"/>
      <c r="AP4697" s="1821"/>
      <c r="AQ4697" s="1821"/>
      <c r="AR4697" s="1821"/>
      <c r="AS4697" s="1821"/>
      <c r="AT4697" s="1821"/>
      <c r="AU4697" s="1821"/>
      <c r="AV4697" s="1821"/>
      <c r="AW4697" s="1821"/>
      <c r="AX4697" s="1821"/>
      <c r="AY4697" s="1821"/>
      <c r="AZ4697" s="1821"/>
      <c r="BA4697" s="1821"/>
      <c r="BB4697" s="1821"/>
      <c r="BC4697" s="1821"/>
      <c r="BD4697" s="1821"/>
      <c r="BE4697" s="1821"/>
      <c r="BF4697" s="1821"/>
      <c r="BG4697" s="1821"/>
      <c r="BH4697" s="1821"/>
      <c r="BI4697" s="1821"/>
      <c r="BJ4697" s="1821"/>
      <c r="BK4697" s="1821"/>
      <c r="BL4697" s="1821"/>
      <c r="BM4697" s="1821"/>
      <c r="BN4697" s="1821"/>
      <c r="BO4697" s="1821"/>
      <c r="BP4697" s="1821"/>
      <c r="BQ4697" s="1821"/>
      <c r="BR4697" s="1821"/>
      <c r="BS4697" s="1821"/>
      <c r="BT4697" s="1821"/>
      <c r="BU4697" s="1821"/>
      <c r="BV4697" s="1821"/>
      <c r="BW4697" s="1821"/>
      <c r="BX4697" s="1821"/>
      <c r="BY4697" s="1821"/>
      <c r="BZ4697" s="1821"/>
      <c r="CA4697" s="1821"/>
      <c r="CB4697" s="1821"/>
      <c r="CC4697" s="1821"/>
      <c r="CD4697" s="1821"/>
      <c r="CE4697" s="1821"/>
      <c r="CF4697" s="1821"/>
      <c r="CG4697" s="1821"/>
      <c r="CH4697" s="1821"/>
      <c r="CI4697" s="1821"/>
      <c r="CJ4697" s="1821"/>
      <c r="CK4697" s="1821"/>
    </row>
    <row r="4698" spans="1:89" s="675" customFormat="1" ht="16.5" customHeight="1" x14ac:dyDescent="0.25">
      <c r="A4698" s="849"/>
      <c r="B4698" s="1061" t="s">
        <v>1451</v>
      </c>
      <c r="C4698" s="835">
        <v>1</v>
      </c>
      <c r="D4698" s="1062" t="s">
        <v>25</v>
      </c>
      <c r="E4698" s="825">
        <v>80770</v>
      </c>
      <c r="F4698" s="825"/>
      <c r="G4698" s="825"/>
      <c r="H4698" s="825"/>
      <c r="I4698" s="825">
        <f>E4698*C4698</f>
        <v>80770</v>
      </c>
      <c r="J4698" s="825"/>
      <c r="K4698" s="825">
        <f>J4698+I4698</f>
        <v>80770</v>
      </c>
      <c r="L4698" s="825"/>
      <c r="M4698" s="825"/>
      <c r="N4698" s="825"/>
      <c r="O4698" s="826">
        <f>N4698+K4698+H4698</f>
        <v>80770</v>
      </c>
      <c r="P4698" s="702"/>
      <c r="Q4698" s="1821"/>
      <c r="R4698" s="1821"/>
      <c r="S4698" s="1821"/>
      <c r="T4698" s="1821"/>
      <c r="U4698" s="1821"/>
      <c r="V4698" s="1821"/>
      <c r="W4698" s="1821"/>
      <c r="X4698" s="1821"/>
      <c r="Y4698" s="1821"/>
      <c r="Z4698" s="1821"/>
      <c r="AA4698" s="1821"/>
      <c r="AB4698" s="1821"/>
      <c r="AC4698" s="1821"/>
      <c r="AD4698" s="1821"/>
      <c r="AE4698" s="1821"/>
      <c r="AF4698" s="1821"/>
      <c r="AG4698" s="1821"/>
      <c r="AH4698" s="1821"/>
      <c r="AI4698" s="1821"/>
      <c r="AJ4698" s="1821"/>
      <c r="AK4698" s="1821"/>
      <c r="AL4698" s="1821"/>
      <c r="AM4698" s="1821"/>
      <c r="AN4698" s="1821"/>
      <c r="AO4698" s="1821"/>
      <c r="AP4698" s="1821"/>
      <c r="AQ4698" s="1821"/>
      <c r="AR4698" s="1821"/>
      <c r="AS4698" s="1821"/>
      <c r="AT4698" s="1821"/>
      <c r="AU4698" s="1821"/>
      <c r="AV4698" s="1821"/>
      <c r="AW4698" s="1821"/>
      <c r="AX4698" s="1821"/>
      <c r="AY4698" s="1821"/>
      <c r="AZ4698" s="1821"/>
      <c r="BA4698" s="1821"/>
      <c r="BB4698" s="1821"/>
      <c r="BC4698" s="1821"/>
      <c r="BD4698" s="1821"/>
      <c r="BE4698" s="1821"/>
      <c r="BF4698" s="1821"/>
      <c r="BG4698" s="1821"/>
      <c r="BH4698" s="1821"/>
      <c r="BI4698" s="1821"/>
      <c r="BJ4698" s="1821"/>
      <c r="BK4698" s="1821"/>
      <c r="BL4698" s="1821"/>
      <c r="BM4698" s="1821"/>
      <c r="BN4698" s="1821"/>
      <c r="BO4698" s="1821"/>
      <c r="BP4698" s="1821"/>
      <c r="BQ4698" s="1821"/>
      <c r="BR4698" s="1821"/>
      <c r="BS4698" s="1821"/>
      <c r="BT4698" s="1821"/>
      <c r="BU4698" s="1821"/>
      <c r="BV4698" s="1821"/>
      <c r="BW4698" s="1821"/>
      <c r="BX4698" s="1821"/>
      <c r="BY4698" s="1821"/>
      <c r="BZ4698" s="1821"/>
      <c r="CA4698" s="1821"/>
      <c r="CB4698" s="1821"/>
      <c r="CC4698" s="1821"/>
      <c r="CD4698" s="1821"/>
      <c r="CE4698" s="1821"/>
      <c r="CF4698" s="1821"/>
      <c r="CG4698" s="1821"/>
      <c r="CH4698" s="1821"/>
      <c r="CI4698" s="1821"/>
      <c r="CJ4698" s="1821"/>
      <c r="CK4698" s="1821"/>
    </row>
    <row r="4699" spans="1:89" s="675" customFormat="1" ht="16.5" customHeight="1" x14ac:dyDescent="0.25">
      <c r="A4699" s="849"/>
      <c r="B4699" s="1061"/>
      <c r="C4699" s="835"/>
      <c r="D4699" s="1062"/>
      <c r="E4699" s="825"/>
      <c r="F4699" s="825"/>
      <c r="G4699" s="825"/>
      <c r="H4699" s="825"/>
      <c r="I4699" s="825"/>
      <c r="J4699" s="825"/>
      <c r="K4699" s="825"/>
      <c r="L4699" s="825"/>
      <c r="M4699" s="825"/>
      <c r="N4699" s="825"/>
      <c r="O4699" s="826"/>
      <c r="P4699" s="702"/>
      <c r="Q4699" s="1821"/>
      <c r="R4699" s="1821"/>
      <c r="S4699" s="1821"/>
      <c r="T4699" s="1821"/>
      <c r="U4699" s="1821"/>
      <c r="V4699" s="1821"/>
      <c r="W4699" s="1821"/>
      <c r="X4699" s="1821"/>
      <c r="Y4699" s="1821"/>
      <c r="Z4699" s="1821"/>
      <c r="AA4699" s="1821"/>
      <c r="AB4699" s="1821"/>
      <c r="AC4699" s="1821"/>
      <c r="AD4699" s="1821"/>
      <c r="AE4699" s="1821"/>
      <c r="AF4699" s="1821"/>
      <c r="AG4699" s="1821"/>
      <c r="AH4699" s="1821"/>
      <c r="AI4699" s="1821"/>
      <c r="AJ4699" s="1821"/>
      <c r="AK4699" s="1821"/>
      <c r="AL4699" s="1821"/>
      <c r="AM4699" s="1821"/>
      <c r="AN4699" s="1821"/>
      <c r="AO4699" s="1821"/>
      <c r="AP4699" s="1821"/>
      <c r="AQ4699" s="1821"/>
      <c r="AR4699" s="1821"/>
      <c r="AS4699" s="1821"/>
      <c r="AT4699" s="1821"/>
      <c r="AU4699" s="1821"/>
      <c r="AV4699" s="1821"/>
      <c r="AW4699" s="1821"/>
      <c r="AX4699" s="1821"/>
      <c r="AY4699" s="1821"/>
      <c r="AZ4699" s="1821"/>
      <c r="BA4699" s="1821"/>
      <c r="BB4699" s="1821"/>
      <c r="BC4699" s="1821"/>
      <c r="BD4699" s="1821"/>
      <c r="BE4699" s="1821"/>
      <c r="BF4699" s="1821"/>
      <c r="BG4699" s="1821"/>
      <c r="BH4699" s="1821"/>
      <c r="BI4699" s="1821"/>
      <c r="BJ4699" s="1821"/>
      <c r="BK4699" s="1821"/>
      <c r="BL4699" s="1821"/>
      <c r="BM4699" s="1821"/>
      <c r="BN4699" s="1821"/>
      <c r="BO4699" s="1821"/>
      <c r="BP4699" s="1821"/>
      <c r="BQ4699" s="1821"/>
      <c r="BR4699" s="1821"/>
      <c r="BS4699" s="1821"/>
      <c r="BT4699" s="1821"/>
      <c r="BU4699" s="1821"/>
      <c r="BV4699" s="1821"/>
      <c r="BW4699" s="1821"/>
      <c r="BX4699" s="1821"/>
      <c r="BY4699" s="1821"/>
      <c r="BZ4699" s="1821"/>
      <c r="CA4699" s="1821"/>
      <c r="CB4699" s="1821"/>
      <c r="CC4699" s="1821"/>
      <c r="CD4699" s="1821"/>
      <c r="CE4699" s="1821"/>
      <c r="CF4699" s="1821"/>
      <c r="CG4699" s="1821"/>
      <c r="CH4699" s="1821"/>
      <c r="CI4699" s="1821"/>
      <c r="CJ4699" s="1821"/>
      <c r="CK4699" s="1821"/>
    </row>
    <row r="4700" spans="1:89" s="675" customFormat="1" ht="16.5" customHeight="1" x14ac:dyDescent="0.25">
      <c r="A4700" s="849"/>
      <c r="B4700" s="1061" t="s">
        <v>27</v>
      </c>
      <c r="C4700" s="835"/>
      <c r="D4700" s="1062"/>
      <c r="E4700" s="825"/>
      <c r="F4700" s="825"/>
      <c r="G4700" s="825"/>
      <c r="H4700" s="825"/>
      <c r="I4700" s="825">
        <f>E4700*C4700</f>
        <v>0</v>
      </c>
      <c r="J4700" s="825"/>
      <c r="K4700" s="825">
        <f>J4700+I4700</f>
        <v>0</v>
      </c>
      <c r="L4700" s="825"/>
      <c r="M4700" s="825"/>
      <c r="N4700" s="825"/>
      <c r="O4700" s="826">
        <f>N4700+K4700+H4700</f>
        <v>0</v>
      </c>
      <c r="P4700" s="702"/>
      <c r="Q4700" s="1821"/>
      <c r="R4700" s="1821"/>
      <c r="S4700" s="1821"/>
      <c r="T4700" s="1821"/>
      <c r="U4700" s="1821"/>
      <c r="V4700" s="1821"/>
      <c r="W4700" s="1821"/>
      <c r="X4700" s="1821"/>
      <c r="Y4700" s="1821"/>
      <c r="Z4700" s="1821"/>
      <c r="AA4700" s="1821"/>
      <c r="AB4700" s="1821"/>
      <c r="AC4700" s="1821"/>
      <c r="AD4700" s="1821"/>
      <c r="AE4700" s="1821"/>
      <c r="AF4700" s="1821"/>
      <c r="AG4700" s="1821"/>
      <c r="AH4700" s="1821"/>
      <c r="AI4700" s="1821"/>
      <c r="AJ4700" s="1821"/>
      <c r="AK4700" s="1821"/>
      <c r="AL4700" s="1821"/>
      <c r="AM4700" s="1821"/>
      <c r="AN4700" s="1821"/>
      <c r="AO4700" s="1821"/>
      <c r="AP4700" s="1821"/>
      <c r="AQ4700" s="1821"/>
      <c r="AR4700" s="1821"/>
      <c r="AS4700" s="1821"/>
      <c r="AT4700" s="1821"/>
      <c r="AU4700" s="1821"/>
      <c r="AV4700" s="1821"/>
      <c r="AW4700" s="1821"/>
      <c r="AX4700" s="1821"/>
      <c r="AY4700" s="1821"/>
      <c r="AZ4700" s="1821"/>
      <c r="BA4700" s="1821"/>
      <c r="BB4700" s="1821"/>
      <c r="BC4700" s="1821"/>
      <c r="BD4700" s="1821"/>
      <c r="BE4700" s="1821"/>
      <c r="BF4700" s="1821"/>
      <c r="BG4700" s="1821"/>
      <c r="BH4700" s="1821"/>
      <c r="BI4700" s="1821"/>
      <c r="BJ4700" s="1821"/>
      <c r="BK4700" s="1821"/>
      <c r="BL4700" s="1821"/>
      <c r="BM4700" s="1821"/>
      <c r="BN4700" s="1821"/>
      <c r="BO4700" s="1821"/>
      <c r="BP4700" s="1821"/>
      <c r="BQ4700" s="1821"/>
      <c r="BR4700" s="1821"/>
      <c r="BS4700" s="1821"/>
      <c r="BT4700" s="1821"/>
      <c r="BU4700" s="1821"/>
      <c r="BV4700" s="1821"/>
      <c r="BW4700" s="1821"/>
      <c r="BX4700" s="1821"/>
      <c r="BY4700" s="1821"/>
      <c r="BZ4700" s="1821"/>
      <c r="CA4700" s="1821"/>
      <c r="CB4700" s="1821"/>
      <c r="CC4700" s="1821"/>
      <c r="CD4700" s="1821"/>
      <c r="CE4700" s="1821"/>
      <c r="CF4700" s="1821"/>
      <c r="CG4700" s="1821"/>
      <c r="CH4700" s="1821"/>
      <c r="CI4700" s="1821"/>
      <c r="CJ4700" s="1821"/>
      <c r="CK4700" s="1821"/>
    </row>
    <row r="4701" spans="1:89" s="675" customFormat="1" ht="16.5" customHeight="1" x14ac:dyDescent="0.25">
      <c r="A4701" s="849"/>
      <c r="B4701" s="1061" t="s">
        <v>2247</v>
      </c>
      <c r="C4701" s="835"/>
      <c r="D4701" s="1062"/>
      <c r="E4701" s="825"/>
      <c r="F4701" s="825"/>
      <c r="G4701" s="825"/>
      <c r="H4701" s="825"/>
      <c r="I4701" s="825">
        <f>E4701*C4701</f>
        <v>0</v>
      </c>
      <c r="J4701" s="825"/>
      <c r="K4701" s="825">
        <f>J4701+I4701</f>
        <v>0</v>
      </c>
      <c r="L4701" s="825"/>
      <c r="M4701" s="825"/>
      <c r="N4701" s="825"/>
      <c r="O4701" s="826">
        <f>N4701+K4701+H4701</f>
        <v>0</v>
      </c>
      <c r="P4701" s="702"/>
      <c r="Q4701" s="1821"/>
      <c r="R4701" s="1821"/>
      <c r="S4701" s="1821"/>
      <c r="T4701" s="1821"/>
      <c r="U4701" s="1821"/>
      <c r="V4701" s="1821"/>
      <c r="W4701" s="1821"/>
      <c r="X4701" s="1821"/>
      <c r="Y4701" s="1821"/>
      <c r="Z4701" s="1821"/>
      <c r="AA4701" s="1821"/>
      <c r="AB4701" s="1821"/>
      <c r="AC4701" s="1821"/>
      <c r="AD4701" s="1821"/>
      <c r="AE4701" s="1821"/>
      <c r="AF4701" s="1821"/>
      <c r="AG4701" s="1821"/>
      <c r="AH4701" s="1821"/>
      <c r="AI4701" s="1821"/>
      <c r="AJ4701" s="1821"/>
      <c r="AK4701" s="1821"/>
      <c r="AL4701" s="1821"/>
      <c r="AM4701" s="1821"/>
      <c r="AN4701" s="1821"/>
      <c r="AO4701" s="1821"/>
      <c r="AP4701" s="1821"/>
      <c r="AQ4701" s="1821"/>
      <c r="AR4701" s="1821"/>
      <c r="AS4701" s="1821"/>
      <c r="AT4701" s="1821"/>
      <c r="AU4701" s="1821"/>
      <c r="AV4701" s="1821"/>
      <c r="AW4701" s="1821"/>
      <c r="AX4701" s="1821"/>
      <c r="AY4701" s="1821"/>
      <c r="AZ4701" s="1821"/>
      <c r="BA4701" s="1821"/>
      <c r="BB4701" s="1821"/>
      <c r="BC4701" s="1821"/>
      <c r="BD4701" s="1821"/>
      <c r="BE4701" s="1821"/>
      <c r="BF4701" s="1821"/>
      <c r="BG4701" s="1821"/>
      <c r="BH4701" s="1821"/>
      <c r="BI4701" s="1821"/>
      <c r="BJ4701" s="1821"/>
      <c r="BK4701" s="1821"/>
      <c r="BL4701" s="1821"/>
      <c r="BM4701" s="1821"/>
      <c r="BN4701" s="1821"/>
      <c r="BO4701" s="1821"/>
      <c r="BP4701" s="1821"/>
      <c r="BQ4701" s="1821"/>
      <c r="BR4701" s="1821"/>
      <c r="BS4701" s="1821"/>
      <c r="BT4701" s="1821"/>
      <c r="BU4701" s="1821"/>
      <c r="BV4701" s="1821"/>
      <c r="BW4701" s="1821"/>
      <c r="BX4701" s="1821"/>
      <c r="BY4701" s="1821"/>
      <c r="BZ4701" s="1821"/>
      <c r="CA4701" s="1821"/>
      <c r="CB4701" s="1821"/>
      <c r="CC4701" s="1821"/>
      <c r="CD4701" s="1821"/>
      <c r="CE4701" s="1821"/>
      <c r="CF4701" s="1821"/>
      <c r="CG4701" s="1821"/>
      <c r="CH4701" s="1821"/>
      <c r="CI4701" s="1821"/>
      <c r="CJ4701" s="1821"/>
      <c r="CK4701" s="1821"/>
    </row>
    <row r="4702" spans="1:89" s="675" customFormat="1" ht="16.5" customHeight="1" x14ac:dyDescent="0.25">
      <c r="A4702" s="849"/>
      <c r="B4702" s="1061" t="s">
        <v>1434</v>
      </c>
      <c r="C4702" s="835">
        <v>1</v>
      </c>
      <c r="D4702" s="1062" t="s">
        <v>25</v>
      </c>
      <c r="E4702" s="825">
        <v>1000</v>
      </c>
      <c r="F4702" s="825"/>
      <c r="G4702" s="825"/>
      <c r="H4702" s="825"/>
      <c r="I4702" s="825">
        <f>E4702*C4702</f>
        <v>1000</v>
      </c>
      <c r="J4702" s="825"/>
      <c r="K4702" s="825">
        <f>J4702+I4702</f>
        <v>1000</v>
      </c>
      <c r="L4702" s="825"/>
      <c r="M4702" s="825"/>
      <c r="N4702" s="825"/>
      <c r="O4702" s="826">
        <f>N4702+K4702+H4702</f>
        <v>1000</v>
      </c>
      <c r="P4702" s="702"/>
      <c r="Q4702" s="1821"/>
      <c r="R4702" s="1821"/>
      <c r="S4702" s="1821"/>
      <c r="T4702" s="1821"/>
      <c r="U4702" s="1821"/>
      <c r="V4702" s="1821"/>
      <c r="W4702" s="1821"/>
      <c r="X4702" s="1821"/>
      <c r="Y4702" s="1821"/>
      <c r="Z4702" s="1821"/>
      <c r="AA4702" s="1821"/>
      <c r="AB4702" s="1821"/>
      <c r="AC4702" s="1821"/>
      <c r="AD4702" s="1821"/>
      <c r="AE4702" s="1821"/>
      <c r="AF4702" s="1821"/>
      <c r="AG4702" s="1821"/>
      <c r="AH4702" s="1821"/>
      <c r="AI4702" s="1821"/>
      <c r="AJ4702" s="1821"/>
      <c r="AK4702" s="1821"/>
      <c r="AL4702" s="1821"/>
      <c r="AM4702" s="1821"/>
      <c r="AN4702" s="1821"/>
      <c r="AO4702" s="1821"/>
      <c r="AP4702" s="1821"/>
      <c r="AQ4702" s="1821"/>
      <c r="AR4702" s="1821"/>
      <c r="AS4702" s="1821"/>
      <c r="AT4702" s="1821"/>
      <c r="AU4702" s="1821"/>
      <c r="AV4702" s="1821"/>
      <c r="AW4702" s="1821"/>
      <c r="AX4702" s="1821"/>
      <c r="AY4702" s="1821"/>
      <c r="AZ4702" s="1821"/>
      <c r="BA4702" s="1821"/>
      <c r="BB4702" s="1821"/>
      <c r="BC4702" s="1821"/>
      <c r="BD4702" s="1821"/>
      <c r="BE4702" s="1821"/>
      <c r="BF4702" s="1821"/>
      <c r="BG4702" s="1821"/>
      <c r="BH4702" s="1821"/>
      <c r="BI4702" s="1821"/>
      <c r="BJ4702" s="1821"/>
      <c r="BK4702" s="1821"/>
      <c r="BL4702" s="1821"/>
      <c r="BM4702" s="1821"/>
      <c r="BN4702" s="1821"/>
      <c r="BO4702" s="1821"/>
      <c r="BP4702" s="1821"/>
      <c r="BQ4702" s="1821"/>
      <c r="BR4702" s="1821"/>
      <c r="BS4702" s="1821"/>
      <c r="BT4702" s="1821"/>
      <c r="BU4702" s="1821"/>
      <c r="BV4702" s="1821"/>
      <c r="BW4702" s="1821"/>
      <c r="BX4702" s="1821"/>
      <c r="BY4702" s="1821"/>
      <c r="BZ4702" s="1821"/>
      <c r="CA4702" s="1821"/>
      <c r="CB4702" s="1821"/>
      <c r="CC4702" s="1821"/>
      <c r="CD4702" s="1821"/>
      <c r="CE4702" s="1821"/>
      <c r="CF4702" s="1821"/>
      <c r="CG4702" s="1821"/>
      <c r="CH4702" s="1821"/>
      <c r="CI4702" s="1821"/>
      <c r="CJ4702" s="1821"/>
      <c r="CK4702" s="1821"/>
    </row>
    <row r="4703" spans="1:89" s="675" customFormat="1" ht="16.5" customHeight="1" x14ac:dyDescent="0.25">
      <c r="A4703" s="849"/>
      <c r="B4703" s="1061"/>
      <c r="C4703" s="835"/>
      <c r="D4703" s="1062"/>
      <c r="E4703" s="825"/>
      <c r="F4703" s="825"/>
      <c r="G4703" s="825"/>
      <c r="H4703" s="825"/>
      <c r="I4703" s="825"/>
      <c r="J4703" s="825"/>
      <c r="K4703" s="825"/>
      <c r="L4703" s="825"/>
      <c r="M4703" s="825"/>
      <c r="N4703" s="825"/>
      <c r="O4703" s="826"/>
      <c r="P4703" s="702"/>
      <c r="Q4703" s="1821"/>
      <c r="R4703" s="1821"/>
      <c r="S4703" s="1821"/>
      <c r="T4703" s="1821"/>
      <c r="U4703" s="1821"/>
      <c r="V4703" s="1821"/>
      <c r="W4703" s="1821"/>
      <c r="X4703" s="1821"/>
      <c r="Y4703" s="1821"/>
      <c r="Z4703" s="1821"/>
      <c r="AA4703" s="1821"/>
      <c r="AB4703" s="1821"/>
      <c r="AC4703" s="1821"/>
      <c r="AD4703" s="1821"/>
      <c r="AE4703" s="1821"/>
      <c r="AF4703" s="1821"/>
      <c r="AG4703" s="1821"/>
      <c r="AH4703" s="1821"/>
      <c r="AI4703" s="1821"/>
      <c r="AJ4703" s="1821"/>
      <c r="AK4703" s="1821"/>
      <c r="AL4703" s="1821"/>
      <c r="AM4703" s="1821"/>
      <c r="AN4703" s="1821"/>
      <c r="AO4703" s="1821"/>
      <c r="AP4703" s="1821"/>
      <c r="AQ4703" s="1821"/>
      <c r="AR4703" s="1821"/>
      <c r="AS4703" s="1821"/>
      <c r="AT4703" s="1821"/>
      <c r="AU4703" s="1821"/>
      <c r="AV4703" s="1821"/>
      <c r="AW4703" s="1821"/>
      <c r="AX4703" s="1821"/>
      <c r="AY4703" s="1821"/>
      <c r="AZ4703" s="1821"/>
      <c r="BA4703" s="1821"/>
      <c r="BB4703" s="1821"/>
      <c r="BC4703" s="1821"/>
      <c r="BD4703" s="1821"/>
      <c r="BE4703" s="1821"/>
      <c r="BF4703" s="1821"/>
      <c r="BG4703" s="1821"/>
      <c r="BH4703" s="1821"/>
      <c r="BI4703" s="1821"/>
      <c r="BJ4703" s="1821"/>
      <c r="BK4703" s="1821"/>
      <c r="BL4703" s="1821"/>
      <c r="BM4703" s="1821"/>
      <c r="BN4703" s="1821"/>
      <c r="BO4703" s="1821"/>
      <c r="BP4703" s="1821"/>
      <c r="BQ4703" s="1821"/>
      <c r="BR4703" s="1821"/>
      <c r="BS4703" s="1821"/>
      <c r="BT4703" s="1821"/>
      <c r="BU4703" s="1821"/>
      <c r="BV4703" s="1821"/>
      <c r="BW4703" s="1821"/>
      <c r="BX4703" s="1821"/>
      <c r="BY4703" s="1821"/>
      <c r="BZ4703" s="1821"/>
      <c r="CA4703" s="1821"/>
      <c r="CB4703" s="1821"/>
      <c r="CC4703" s="1821"/>
      <c r="CD4703" s="1821"/>
      <c r="CE4703" s="1821"/>
      <c r="CF4703" s="1821"/>
      <c r="CG4703" s="1821"/>
      <c r="CH4703" s="1821"/>
      <c r="CI4703" s="1821"/>
      <c r="CJ4703" s="1821"/>
      <c r="CK4703" s="1821"/>
    </row>
    <row r="4704" spans="1:89" s="675" customFormat="1" ht="16.5" customHeight="1" x14ac:dyDescent="0.25">
      <c r="A4704" s="849"/>
      <c r="B4704" s="1061" t="s">
        <v>1343</v>
      </c>
      <c r="C4704" s="835"/>
      <c r="D4704" s="1062"/>
      <c r="E4704" s="825"/>
      <c r="F4704" s="825"/>
      <c r="G4704" s="825"/>
      <c r="H4704" s="825"/>
      <c r="I4704" s="825">
        <f t="shared" ref="I4704:I4710" si="537">E4704*C4704</f>
        <v>0</v>
      </c>
      <c r="J4704" s="825"/>
      <c r="K4704" s="825">
        <f t="shared" ref="K4704:K4710" si="538">J4704+I4704</f>
        <v>0</v>
      </c>
      <c r="L4704" s="825"/>
      <c r="M4704" s="825"/>
      <c r="N4704" s="825"/>
      <c r="O4704" s="826">
        <f t="shared" ref="O4704:O4710" si="539">N4704+K4704+H4704</f>
        <v>0</v>
      </c>
      <c r="P4704" s="702"/>
      <c r="Q4704" s="1821"/>
      <c r="R4704" s="1821"/>
      <c r="S4704" s="1821"/>
      <c r="T4704" s="1821"/>
      <c r="U4704" s="1821"/>
      <c r="V4704" s="1821"/>
      <c r="W4704" s="1821"/>
      <c r="X4704" s="1821"/>
      <c r="Y4704" s="1821"/>
      <c r="Z4704" s="1821"/>
      <c r="AA4704" s="1821"/>
      <c r="AB4704" s="1821"/>
      <c r="AC4704" s="1821"/>
      <c r="AD4704" s="1821"/>
      <c r="AE4704" s="1821"/>
      <c r="AF4704" s="1821"/>
      <c r="AG4704" s="1821"/>
      <c r="AH4704" s="1821"/>
      <c r="AI4704" s="1821"/>
      <c r="AJ4704" s="1821"/>
      <c r="AK4704" s="1821"/>
      <c r="AL4704" s="1821"/>
      <c r="AM4704" s="1821"/>
      <c r="AN4704" s="1821"/>
      <c r="AO4704" s="1821"/>
      <c r="AP4704" s="1821"/>
      <c r="AQ4704" s="1821"/>
      <c r="AR4704" s="1821"/>
      <c r="AS4704" s="1821"/>
      <c r="AT4704" s="1821"/>
      <c r="AU4704" s="1821"/>
      <c r="AV4704" s="1821"/>
      <c r="AW4704" s="1821"/>
      <c r="AX4704" s="1821"/>
      <c r="AY4704" s="1821"/>
      <c r="AZ4704" s="1821"/>
      <c r="BA4704" s="1821"/>
      <c r="BB4704" s="1821"/>
      <c r="BC4704" s="1821"/>
      <c r="BD4704" s="1821"/>
      <c r="BE4704" s="1821"/>
      <c r="BF4704" s="1821"/>
      <c r="BG4704" s="1821"/>
      <c r="BH4704" s="1821"/>
      <c r="BI4704" s="1821"/>
      <c r="BJ4704" s="1821"/>
      <c r="BK4704" s="1821"/>
      <c r="BL4704" s="1821"/>
      <c r="BM4704" s="1821"/>
      <c r="BN4704" s="1821"/>
      <c r="BO4704" s="1821"/>
      <c r="BP4704" s="1821"/>
      <c r="BQ4704" s="1821"/>
      <c r="BR4704" s="1821"/>
      <c r="BS4704" s="1821"/>
      <c r="BT4704" s="1821"/>
      <c r="BU4704" s="1821"/>
      <c r="BV4704" s="1821"/>
      <c r="BW4704" s="1821"/>
      <c r="BX4704" s="1821"/>
      <c r="BY4704" s="1821"/>
      <c r="BZ4704" s="1821"/>
      <c r="CA4704" s="1821"/>
      <c r="CB4704" s="1821"/>
      <c r="CC4704" s="1821"/>
      <c r="CD4704" s="1821"/>
      <c r="CE4704" s="1821"/>
      <c r="CF4704" s="1821"/>
      <c r="CG4704" s="1821"/>
      <c r="CH4704" s="1821"/>
      <c r="CI4704" s="1821"/>
      <c r="CJ4704" s="1821"/>
      <c r="CK4704" s="1821"/>
    </row>
    <row r="4705" spans="1:89" s="675" customFormat="1" ht="16.5" customHeight="1" x14ac:dyDescent="0.25">
      <c r="A4705" s="849"/>
      <c r="B4705" s="1061" t="s">
        <v>2247</v>
      </c>
      <c r="C4705" s="835"/>
      <c r="D4705" s="1062"/>
      <c r="E4705" s="825"/>
      <c r="F4705" s="825"/>
      <c r="G4705" s="825"/>
      <c r="H4705" s="825"/>
      <c r="I4705" s="825">
        <f t="shared" si="537"/>
        <v>0</v>
      </c>
      <c r="J4705" s="825"/>
      <c r="K4705" s="825">
        <f t="shared" si="538"/>
        <v>0</v>
      </c>
      <c r="L4705" s="825"/>
      <c r="M4705" s="825"/>
      <c r="N4705" s="825"/>
      <c r="O4705" s="826">
        <f t="shared" si="539"/>
        <v>0</v>
      </c>
      <c r="P4705" s="702"/>
      <c r="Q4705" s="1821"/>
      <c r="R4705" s="1821"/>
      <c r="S4705" s="1821"/>
      <c r="T4705" s="1821"/>
      <c r="U4705" s="1821"/>
      <c r="V4705" s="1821"/>
      <c r="W4705" s="1821"/>
      <c r="X4705" s="1821"/>
      <c r="Y4705" s="1821"/>
      <c r="Z4705" s="1821"/>
      <c r="AA4705" s="1821"/>
      <c r="AB4705" s="1821"/>
      <c r="AC4705" s="1821"/>
      <c r="AD4705" s="1821"/>
      <c r="AE4705" s="1821"/>
      <c r="AF4705" s="1821"/>
      <c r="AG4705" s="1821"/>
      <c r="AH4705" s="1821"/>
      <c r="AI4705" s="1821"/>
      <c r="AJ4705" s="1821"/>
      <c r="AK4705" s="1821"/>
      <c r="AL4705" s="1821"/>
      <c r="AM4705" s="1821"/>
      <c r="AN4705" s="1821"/>
      <c r="AO4705" s="1821"/>
      <c r="AP4705" s="1821"/>
      <c r="AQ4705" s="1821"/>
      <c r="AR4705" s="1821"/>
      <c r="AS4705" s="1821"/>
      <c r="AT4705" s="1821"/>
      <c r="AU4705" s="1821"/>
      <c r="AV4705" s="1821"/>
      <c r="AW4705" s="1821"/>
      <c r="AX4705" s="1821"/>
      <c r="AY4705" s="1821"/>
      <c r="AZ4705" s="1821"/>
      <c r="BA4705" s="1821"/>
      <c r="BB4705" s="1821"/>
      <c r="BC4705" s="1821"/>
      <c r="BD4705" s="1821"/>
      <c r="BE4705" s="1821"/>
      <c r="BF4705" s="1821"/>
      <c r="BG4705" s="1821"/>
      <c r="BH4705" s="1821"/>
      <c r="BI4705" s="1821"/>
      <c r="BJ4705" s="1821"/>
      <c r="BK4705" s="1821"/>
      <c r="BL4705" s="1821"/>
      <c r="BM4705" s="1821"/>
      <c r="BN4705" s="1821"/>
      <c r="BO4705" s="1821"/>
      <c r="BP4705" s="1821"/>
      <c r="BQ4705" s="1821"/>
      <c r="BR4705" s="1821"/>
      <c r="BS4705" s="1821"/>
      <c r="BT4705" s="1821"/>
      <c r="BU4705" s="1821"/>
      <c r="BV4705" s="1821"/>
      <c r="BW4705" s="1821"/>
      <c r="BX4705" s="1821"/>
      <c r="BY4705" s="1821"/>
      <c r="BZ4705" s="1821"/>
      <c r="CA4705" s="1821"/>
      <c r="CB4705" s="1821"/>
      <c r="CC4705" s="1821"/>
      <c r="CD4705" s="1821"/>
      <c r="CE4705" s="1821"/>
      <c r="CF4705" s="1821"/>
      <c r="CG4705" s="1821"/>
      <c r="CH4705" s="1821"/>
      <c r="CI4705" s="1821"/>
      <c r="CJ4705" s="1821"/>
      <c r="CK4705" s="1821"/>
    </row>
    <row r="4706" spans="1:89" s="675" customFormat="1" ht="16.5" customHeight="1" x14ac:dyDescent="0.25">
      <c r="A4706" s="849"/>
      <c r="B4706" s="1061" t="s">
        <v>1452</v>
      </c>
      <c r="C4706" s="835">
        <v>11</v>
      </c>
      <c r="D4706" s="1062" t="s">
        <v>1438</v>
      </c>
      <c r="E4706" s="825">
        <v>300</v>
      </c>
      <c r="F4706" s="825"/>
      <c r="G4706" s="825"/>
      <c r="H4706" s="825"/>
      <c r="I4706" s="825">
        <f t="shared" si="537"/>
        <v>3300</v>
      </c>
      <c r="J4706" s="825"/>
      <c r="K4706" s="825">
        <f t="shared" si="538"/>
        <v>3300</v>
      </c>
      <c r="L4706" s="825"/>
      <c r="M4706" s="825"/>
      <c r="N4706" s="825"/>
      <c r="O4706" s="826">
        <f t="shared" si="539"/>
        <v>3300</v>
      </c>
      <c r="P4706" s="702"/>
      <c r="Q4706" s="1821"/>
      <c r="R4706" s="1821"/>
      <c r="S4706" s="1821"/>
      <c r="T4706" s="1821"/>
      <c r="U4706" s="1821"/>
      <c r="V4706" s="1821"/>
      <c r="W4706" s="1821"/>
      <c r="X4706" s="1821"/>
      <c r="Y4706" s="1821"/>
      <c r="Z4706" s="1821"/>
      <c r="AA4706" s="1821"/>
      <c r="AB4706" s="1821"/>
      <c r="AC4706" s="1821"/>
      <c r="AD4706" s="1821"/>
      <c r="AE4706" s="1821"/>
      <c r="AF4706" s="1821"/>
      <c r="AG4706" s="1821"/>
      <c r="AH4706" s="1821"/>
      <c r="AI4706" s="1821"/>
      <c r="AJ4706" s="1821"/>
      <c r="AK4706" s="1821"/>
      <c r="AL4706" s="1821"/>
      <c r="AM4706" s="1821"/>
      <c r="AN4706" s="1821"/>
      <c r="AO4706" s="1821"/>
      <c r="AP4706" s="1821"/>
      <c r="AQ4706" s="1821"/>
      <c r="AR4706" s="1821"/>
      <c r="AS4706" s="1821"/>
      <c r="AT4706" s="1821"/>
      <c r="AU4706" s="1821"/>
      <c r="AV4706" s="1821"/>
      <c r="AW4706" s="1821"/>
      <c r="AX4706" s="1821"/>
      <c r="AY4706" s="1821"/>
      <c r="AZ4706" s="1821"/>
      <c r="BA4706" s="1821"/>
      <c r="BB4706" s="1821"/>
      <c r="BC4706" s="1821"/>
      <c r="BD4706" s="1821"/>
      <c r="BE4706" s="1821"/>
      <c r="BF4706" s="1821"/>
      <c r="BG4706" s="1821"/>
      <c r="BH4706" s="1821"/>
      <c r="BI4706" s="1821"/>
      <c r="BJ4706" s="1821"/>
      <c r="BK4706" s="1821"/>
      <c r="BL4706" s="1821"/>
      <c r="BM4706" s="1821"/>
      <c r="BN4706" s="1821"/>
      <c r="BO4706" s="1821"/>
      <c r="BP4706" s="1821"/>
      <c r="BQ4706" s="1821"/>
      <c r="BR4706" s="1821"/>
      <c r="BS4706" s="1821"/>
      <c r="BT4706" s="1821"/>
      <c r="BU4706" s="1821"/>
      <c r="BV4706" s="1821"/>
      <c r="BW4706" s="1821"/>
      <c r="BX4706" s="1821"/>
      <c r="BY4706" s="1821"/>
      <c r="BZ4706" s="1821"/>
      <c r="CA4706" s="1821"/>
      <c r="CB4706" s="1821"/>
      <c r="CC4706" s="1821"/>
      <c r="CD4706" s="1821"/>
      <c r="CE4706" s="1821"/>
      <c r="CF4706" s="1821"/>
      <c r="CG4706" s="1821"/>
      <c r="CH4706" s="1821"/>
      <c r="CI4706" s="1821"/>
      <c r="CJ4706" s="1821"/>
      <c r="CK4706" s="1821"/>
    </row>
    <row r="4707" spans="1:89" s="675" customFormat="1" ht="16.5" customHeight="1" x14ac:dyDescent="0.25">
      <c r="A4707" s="849"/>
      <c r="B4707" s="1061" t="s">
        <v>1453</v>
      </c>
      <c r="C4707" s="835">
        <v>10</v>
      </c>
      <c r="D4707" s="1062" t="s">
        <v>660</v>
      </c>
      <c r="E4707" s="825">
        <v>500</v>
      </c>
      <c r="F4707" s="825"/>
      <c r="G4707" s="825"/>
      <c r="H4707" s="825"/>
      <c r="I4707" s="825">
        <f t="shared" si="537"/>
        <v>5000</v>
      </c>
      <c r="J4707" s="825"/>
      <c r="K4707" s="825">
        <f t="shared" si="538"/>
        <v>5000</v>
      </c>
      <c r="L4707" s="825"/>
      <c r="M4707" s="825"/>
      <c r="N4707" s="825"/>
      <c r="O4707" s="826">
        <f t="shared" si="539"/>
        <v>5000</v>
      </c>
      <c r="P4707" s="702"/>
      <c r="Q4707" s="1821"/>
      <c r="R4707" s="1821"/>
      <c r="S4707" s="1821"/>
      <c r="T4707" s="1821"/>
      <c r="U4707" s="1821"/>
      <c r="V4707" s="1821"/>
      <c r="W4707" s="1821"/>
      <c r="X4707" s="1821"/>
      <c r="Y4707" s="1821"/>
      <c r="Z4707" s="1821"/>
      <c r="AA4707" s="1821"/>
      <c r="AB4707" s="1821"/>
      <c r="AC4707" s="1821"/>
      <c r="AD4707" s="1821"/>
      <c r="AE4707" s="1821"/>
      <c r="AF4707" s="1821"/>
      <c r="AG4707" s="1821"/>
      <c r="AH4707" s="1821"/>
      <c r="AI4707" s="1821"/>
      <c r="AJ4707" s="1821"/>
      <c r="AK4707" s="1821"/>
      <c r="AL4707" s="1821"/>
      <c r="AM4707" s="1821"/>
      <c r="AN4707" s="1821"/>
      <c r="AO4707" s="1821"/>
      <c r="AP4707" s="1821"/>
      <c r="AQ4707" s="1821"/>
      <c r="AR4707" s="1821"/>
      <c r="AS4707" s="1821"/>
      <c r="AT4707" s="1821"/>
      <c r="AU4707" s="1821"/>
      <c r="AV4707" s="1821"/>
      <c r="AW4707" s="1821"/>
      <c r="AX4707" s="1821"/>
      <c r="AY4707" s="1821"/>
      <c r="AZ4707" s="1821"/>
      <c r="BA4707" s="1821"/>
      <c r="BB4707" s="1821"/>
      <c r="BC4707" s="1821"/>
      <c r="BD4707" s="1821"/>
      <c r="BE4707" s="1821"/>
      <c r="BF4707" s="1821"/>
      <c r="BG4707" s="1821"/>
      <c r="BH4707" s="1821"/>
      <c r="BI4707" s="1821"/>
      <c r="BJ4707" s="1821"/>
      <c r="BK4707" s="1821"/>
      <c r="BL4707" s="1821"/>
      <c r="BM4707" s="1821"/>
      <c r="BN4707" s="1821"/>
      <c r="BO4707" s="1821"/>
      <c r="BP4707" s="1821"/>
      <c r="BQ4707" s="1821"/>
      <c r="BR4707" s="1821"/>
      <c r="BS4707" s="1821"/>
      <c r="BT4707" s="1821"/>
      <c r="BU4707" s="1821"/>
      <c r="BV4707" s="1821"/>
      <c r="BW4707" s="1821"/>
      <c r="BX4707" s="1821"/>
      <c r="BY4707" s="1821"/>
      <c r="BZ4707" s="1821"/>
      <c r="CA4707" s="1821"/>
      <c r="CB4707" s="1821"/>
      <c r="CC4707" s="1821"/>
      <c r="CD4707" s="1821"/>
      <c r="CE4707" s="1821"/>
      <c r="CF4707" s="1821"/>
      <c r="CG4707" s="1821"/>
      <c r="CH4707" s="1821"/>
      <c r="CI4707" s="1821"/>
      <c r="CJ4707" s="1821"/>
      <c r="CK4707" s="1821"/>
    </row>
    <row r="4708" spans="1:89" s="675" customFormat="1" ht="16.5" customHeight="1" x14ac:dyDescent="0.25">
      <c r="A4708" s="849"/>
      <c r="B4708" s="1061" t="s">
        <v>1454</v>
      </c>
      <c r="C4708" s="835">
        <v>1</v>
      </c>
      <c r="D4708" s="1062" t="s">
        <v>205</v>
      </c>
      <c r="E4708" s="825">
        <v>25000</v>
      </c>
      <c r="F4708" s="825"/>
      <c r="G4708" s="825"/>
      <c r="H4708" s="825"/>
      <c r="I4708" s="825">
        <f t="shared" si="537"/>
        <v>25000</v>
      </c>
      <c r="J4708" s="825"/>
      <c r="K4708" s="825">
        <f t="shared" si="538"/>
        <v>25000</v>
      </c>
      <c r="L4708" s="825"/>
      <c r="M4708" s="825"/>
      <c r="N4708" s="825"/>
      <c r="O4708" s="826">
        <f t="shared" si="539"/>
        <v>25000</v>
      </c>
      <c r="P4708" s="702"/>
      <c r="Q4708" s="1821"/>
      <c r="R4708" s="1821"/>
      <c r="S4708" s="1821"/>
      <c r="T4708" s="1821"/>
      <c r="U4708" s="1821"/>
      <c r="V4708" s="1821"/>
      <c r="W4708" s="1821"/>
      <c r="X4708" s="1821"/>
      <c r="Y4708" s="1821"/>
      <c r="Z4708" s="1821"/>
      <c r="AA4708" s="1821"/>
      <c r="AB4708" s="1821"/>
      <c r="AC4708" s="1821"/>
      <c r="AD4708" s="1821"/>
      <c r="AE4708" s="1821"/>
      <c r="AF4708" s="1821"/>
      <c r="AG4708" s="1821"/>
      <c r="AH4708" s="1821"/>
      <c r="AI4708" s="1821"/>
      <c r="AJ4708" s="1821"/>
      <c r="AK4708" s="1821"/>
      <c r="AL4708" s="1821"/>
      <c r="AM4708" s="1821"/>
      <c r="AN4708" s="1821"/>
      <c r="AO4708" s="1821"/>
      <c r="AP4708" s="1821"/>
      <c r="AQ4708" s="1821"/>
      <c r="AR4708" s="1821"/>
      <c r="AS4708" s="1821"/>
      <c r="AT4708" s="1821"/>
      <c r="AU4708" s="1821"/>
      <c r="AV4708" s="1821"/>
      <c r="AW4708" s="1821"/>
      <c r="AX4708" s="1821"/>
      <c r="AY4708" s="1821"/>
      <c r="AZ4708" s="1821"/>
      <c r="BA4708" s="1821"/>
      <c r="BB4708" s="1821"/>
      <c r="BC4708" s="1821"/>
      <c r="BD4708" s="1821"/>
      <c r="BE4708" s="1821"/>
      <c r="BF4708" s="1821"/>
      <c r="BG4708" s="1821"/>
      <c r="BH4708" s="1821"/>
      <c r="BI4708" s="1821"/>
      <c r="BJ4708" s="1821"/>
      <c r="BK4708" s="1821"/>
      <c r="BL4708" s="1821"/>
      <c r="BM4708" s="1821"/>
      <c r="BN4708" s="1821"/>
      <c r="BO4708" s="1821"/>
      <c r="BP4708" s="1821"/>
      <c r="BQ4708" s="1821"/>
      <c r="BR4708" s="1821"/>
      <c r="BS4708" s="1821"/>
      <c r="BT4708" s="1821"/>
      <c r="BU4708" s="1821"/>
      <c r="BV4708" s="1821"/>
      <c r="BW4708" s="1821"/>
      <c r="BX4708" s="1821"/>
      <c r="BY4708" s="1821"/>
      <c r="BZ4708" s="1821"/>
      <c r="CA4708" s="1821"/>
      <c r="CB4708" s="1821"/>
      <c r="CC4708" s="1821"/>
      <c r="CD4708" s="1821"/>
      <c r="CE4708" s="1821"/>
      <c r="CF4708" s="1821"/>
      <c r="CG4708" s="1821"/>
      <c r="CH4708" s="1821"/>
      <c r="CI4708" s="1821"/>
      <c r="CJ4708" s="1821"/>
      <c r="CK4708" s="1821"/>
    </row>
    <row r="4709" spans="1:89" s="675" customFormat="1" ht="16.5" customHeight="1" x14ac:dyDescent="0.25">
      <c r="A4709" s="849"/>
      <c r="B4709" s="1061" t="s">
        <v>1455</v>
      </c>
      <c r="C4709" s="835">
        <v>40</v>
      </c>
      <c r="D4709" s="1062" t="s">
        <v>1436</v>
      </c>
      <c r="E4709" s="825">
        <v>35</v>
      </c>
      <c r="F4709" s="825"/>
      <c r="G4709" s="825"/>
      <c r="H4709" s="825"/>
      <c r="I4709" s="825">
        <f t="shared" si="537"/>
        <v>1400</v>
      </c>
      <c r="J4709" s="825"/>
      <c r="K4709" s="825">
        <f t="shared" si="538"/>
        <v>1400</v>
      </c>
      <c r="L4709" s="825"/>
      <c r="M4709" s="825"/>
      <c r="N4709" s="825"/>
      <c r="O4709" s="826">
        <f t="shared" si="539"/>
        <v>1400</v>
      </c>
      <c r="P4709" s="702"/>
      <c r="Q4709" s="1821"/>
      <c r="R4709" s="1821"/>
      <c r="S4709" s="1821"/>
      <c r="T4709" s="1821"/>
      <c r="U4709" s="1821"/>
      <c r="V4709" s="1821"/>
      <c r="W4709" s="1821"/>
      <c r="X4709" s="1821"/>
      <c r="Y4709" s="1821"/>
      <c r="Z4709" s="1821"/>
      <c r="AA4709" s="1821"/>
      <c r="AB4709" s="1821"/>
      <c r="AC4709" s="1821"/>
      <c r="AD4709" s="1821"/>
      <c r="AE4709" s="1821"/>
      <c r="AF4709" s="1821"/>
      <c r="AG4709" s="1821"/>
      <c r="AH4709" s="1821"/>
      <c r="AI4709" s="1821"/>
      <c r="AJ4709" s="1821"/>
      <c r="AK4709" s="1821"/>
      <c r="AL4709" s="1821"/>
      <c r="AM4709" s="1821"/>
      <c r="AN4709" s="1821"/>
      <c r="AO4709" s="1821"/>
      <c r="AP4709" s="1821"/>
      <c r="AQ4709" s="1821"/>
      <c r="AR4709" s="1821"/>
      <c r="AS4709" s="1821"/>
      <c r="AT4709" s="1821"/>
      <c r="AU4709" s="1821"/>
      <c r="AV4709" s="1821"/>
      <c r="AW4709" s="1821"/>
      <c r="AX4709" s="1821"/>
      <c r="AY4709" s="1821"/>
      <c r="AZ4709" s="1821"/>
      <c r="BA4709" s="1821"/>
      <c r="BB4709" s="1821"/>
      <c r="BC4709" s="1821"/>
      <c r="BD4709" s="1821"/>
      <c r="BE4709" s="1821"/>
      <c r="BF4709" s="1821"/>
      <c r="BG4709" s="1821"/>
      <c r="BH4709" s="1821"/>
      <c r="BI4709" s="1821"/>
      <c r="BJ4709" s="1821"/>
      <c r="BK4709" s="1821"/>
      <c r="BL4709" s="1821"/>
      <c r="BM4709" s="1821"/>
      <c r="BN4709" s="1821"/>
      <c r="BO4709" s="1821"/>
      <c r="BP4709" s="1821"/>
      <c r="BQ4709" s="1821"/>
      <c r="BR4709" s="1821"/>
      <c r="BS4709" s="1821"/>
      <c r="BT4709" s="1821"/>
      <c r="BU4709" s="1821"/>
      <c r="BV4709" s="1821"/>
      <c r="BW4709" s="1821"/>
      <c r="BX4709" s="1821"/>
      <c r="BY4709" s="1821"/>
      <c r="BZ4709" s="1821"/>
      <c r="CA4709" s="1821"/>
      <c r="CB4709" s="1821"/>
      <c r="CC4709" s="1821"/>
      <c r="CD4709" s="1821"/>
      <c r="CE4709" s="1821"/>
      <c r="CF4709" s="1821"/>
      <c r="CG4709" s="1821"/>
      <c r="CH4709" s="1821"/>
      <c r="CI4709" s="1821"/>
      <c r="CJ4709" s="1821"/>
      <c r="CK4709" s="1821"/>
    </row>
    <row r="4710" spans="1:89" s="675" customFormat="1" ht="16.5" customHeight="1" x14ac:dyDescent="0.25">
      <c r="A4710" s="849"/>
      <c r="B4710" s="1061" t="s">
        <v>1456</v>
      </c>
      <c r="C4710" s="835">
        <v>40</v>
      </c>
      <c r="D4710" s="1062" t="s">
        <v>1436</v>
      </c>
      <c r="E4710" s="825">
        <v>11</v>
      </c>
      <c r="F4710" s="825"/>
      <c r="G4710" s="825"/>
      <c r="H4710" s="825"/>
      <c r="I4710" s="825">
        <f t="shared" si="537"/>
        <v>440</v>
      </c>
      <c r="J4710" s="825"/>
      <c r="K4710" s="825">
        <f t="shared" si="538"/>
        <v>440</v>
      </c>
      <c r="L4710" s="825"/>
      <c r="M4710" s="825"/>
      <c r="N4710" s="825"/>
      <c r="O4710" s="826">
        <f t="shared" si="539"/>
        <v>440</v>
      </c>
      <c r="P4710" s="702"/>
      <c r="Q4710" s="1821"/>
      <c r="R4710" s="1821"/>
      <c r="S4710" s="1821"/>
      <c r="T4710" s="1821"/>
      <c r="U4710" s="1821"/>
      <c r="V4710" s="1821"/>
      <c r="W4710" s="1821"/>
      <c r="X4710" s="1821"/>
      <c r="Y4710" s="1821"/>
      <c r="Z4710" s="1821"/>
      <c r="AA4710" s="1821"/>
      <c r="AB4710" s="1821"/>
      <c r="AC4710" s="1821"/>
      <c r="AD4710" s="1821"/>
      <c r="AE4710" s="1821"/>
      <c r="AF4710" s="1821"/>
      <c r="AG4710" s="1821"/>
      <c r="AH4710" s="1821"/>
      <c r="AI4710" s="1821"/>
      <c r="AJ4710" s="1821"/>
      <c r="AK4710" s="1821"/>
      <c r="AL4710" s="1821"/>
      <c r="AM4710" s="1821"/>
      <c r="AN4710" s="1821"/>
      <c r="AO4710" s="1821"/>
      <c r="AP4710" s="1821"/>
      <c r="AQ4710" s="1821"/>
      <c r="AR4710" s="1821"/>
      <c r="AS4710" s="1821"/>
      <c r="AT4710" s="1821"/>
      <c r="AU4710" s="1821"/>
      <c r="AV4710" s="1821"/>
      <c r="AW4710" s="1821"/>
      <c r="AX4710" s="1821"/>
      <c r="AY4710" s="1821"/>
      <c r="AZ4710" s="1821"/>
      <c r="BA4710" s="1821"/>
      <c r="BB4710" s="1821"/>
      <c r="BC4710" s="1821"/>
      <c r="BD4710" s="1821"/>
      <c r="BE4710" s="1821"/>
      <c r="BF4710" s="1821"/>
      <c r="BG4710" s="1821"/>
      <c r="BH4710" s="1821"/>
      <c r="BI4710" s="1821"/>
      <c r="BJ4710" s="1821"/>
      <c r="BK4710" s="1821"/>
      <c r="BL4710" s="1821"/>
      <c r="BM4710" s="1821"/>
      <c r="BN4710" s="1821"/>
      <c r="BO4710" s="1821"/>
      <c r="BP4710" s="1821"/>
      <c r="BQ4710" s="1821"/>
      <c r="BR4710" s="1821"/>
      <c r="BS4710" s="1821"/>
      <c r="BT4710" s="1821"/>
      <c r="BU4710" s="1821"/>
      <c r="BV4710" s="1821"/>
      <c r="BW4710" s="1821"/>
      <c r="BX4710" s="1821"/>
      <c r="BY4710" s="1821"/>
      <c r="BZ4710" s="1821"/>
      <c r="CA4710" s="1821"/>
      <c r="CB4710" s="1821"/>
      <c r="CC4710" s="1821"/>
      <c r="CD4710" s="1821"/>
      <c r="CE4710" s="1821"/>
      <c r="CF4710" s="1821"/>
      <c r="CG4710" s="1821"/>
      <c r="CH4710" s="1821"/>
      <c r="CI4710" s="1821"/>
      <c r="CJ4710" s="1821"/>
      <c r="CK4710" s="1821"/>
    </row>
    <row r="4711" spans="1:89" s="675" customFormat="1" ht="16.5" customHeight="1" x14ac:dyDescent="0.25">
      <c r="A4711" s="849"/>
      <c r="B4711" s="1061"/>
      <c r="C4711" s="835"/>
      <c r="D4711" s="1062"/>
      <c r="E4711" s="825"/>
      <c r="F4711" s="825"/>
      <c r="G4711" s="825"/>
      <c r="H4711" s="825"/>
      <c r="I4711" s="825"/>
      <c r="J4711" s="825"/>
      <c r="K4711" s="825"/>
      <c r="L4711" s="825"/>
      <c r="M4711" s="825"/>
      <c r="N4711" s="825"/>
      <c r="O4711" s="826"/>
      <c r="P4711" s="702"/>
      <c r="Q4711" s="1821"/>
      <c r="R4711" s="1821"/>
      <c r="S4711" s="1821"/>
      <c r="T4711" s="1821"/>
      <c r="U4711" s="1821"/>
      <c r="V4711" s="1821"/>
      <c r="W4711" s="1821"/>
      <c r="X4711" s="1821"/>
      <c r="Y4711" s="1821"/>
      <c r="Z4711" s="1821"/>
      <c r="AA4711" s="1821"/>
      <c r="AB4711" s="1821"/>
      <c r="AC4711" s="1821"/>
      <c r="AD4711" s="1821"/>
      <c r="AE4711" s="1821"/>
      <c r="AF4711" s="1821"/>
      <c r="AG4711" s="1821"/>
      <c r="AH4711" s="1821"/>
      <c r="AI4711" s="1821"/>
      <c r="AJ4711" s="1821"/>
      <c r="AK4711" s="1821"/>
      <c r="AL4711" s="1821"/>
      <c r="AM4711" s="1821"/>
      <c r="AN4711" s="1821"/>
      <c r="AO4711" s="1821"/>
      <c r="AP4711" s="1821"/>
      <c r="AQ4711" s="1821"/>
      <c r="AR4711" s="1821"/>
      <c r="AS4711" s="1821"/>
      <c r="AT4711" s="1821"/>
      <c r="AU4711" s="1821"/>
      <c r="AV4711" s="1821"/>
      <c r="AW4711" s="1821"/>
      <c r="AX4711" s="1821"/>
      <c r="AY4711" s="1821"/>
      <c r="AZ4711" s="1821"/>
      <c r="BA4711" s="1821"/>
      <c r="BB4711" s="1821"/>
      <c r="BC4711" s="1821"/>
      <c r="BD4711" s="1821"/>
      <c r="BE4711" s="1821"/>
      <c r="BF4711" s="1821"/>
      <c r="BG4711" s="1821"/>
      <c r="BH4711" s="1821"/>
      <c r="BI4711" s="1821"/>
      <c r="BJ4711" s="1821"/>
      <c r="BK4711" s="1821"/>
      <c r="BL4711" s="1821"/>
      <c r="BM4711" s="1821"/>
      <c r="BN4711" s="1821"/>
      <c r="BO4711" s="1821"/>
      <c r="BP4711" s="1821"/>
      <c r="BQ4711" s="1821"/>
      <c r="BR4711" s="1821"/>
      <c r="BS4711" s="1821"/>
      <c r="BT4711" s="1821"/>
      <c r="BU4711" s="1821"/>
      <c r="BV4711" s="1821"/>
      <c r="BW4711" s="1821"/>
      <c r="BX4711" s="1821"/>
      <c r="BY4711" s="1821"/>
      <c r="BZ4711" s="1821"/>
      <c r="CA4711" s="1821"/>
      <c r="CB4711" s="1821"/>
      <c r="CC4711" s="1821"/>
      <c r="CD4711" s="1821"/>
      <c r="CE4711" s="1821"/>
      <c r="CF4711" s="1821"/>
      <c r="CG4711" s="1821"/>
      <c r="CH4711" s="1821"/>
      <c r="CI4711" s="1821"/>
      <c r="CJ4711" s="1821"/>
      <c r="CK4711" s="1821"/>
    </row>
    <row r="4712" spans="1:89" ht="37.5" customHeight="1" thickBot="1" x14ac:dyDescent="0.3">
      <c r="A4712" s="1063"/>
      <c r="B4712" s="1064"/>
      <c r="C4712" s="1065"/>
      <c r="D4712" s="1066"/>
      <c r="E4712" s="1067"/>
      <c r="F4712" s="1067"/>
      <c r="G4712" s="1067"/>
      <c r="H4712" s="1067"/>
      <c r="I4712" s="1067"/>
      <c r="J4712" s="1067"/>
      <c r="K4712" s="1067"/>
      <c r="L4712" s="1067">
        <f>E4712*C4712</f>
        <v>0</v>
      </c>
      <c r="M4712" s="1067"/>
      <c r="N4712" s="1067">
        <f>M4712+L4712</f>
        <v>0</v>
      </c>
      <c r="O4712" s="1068">
        <f>N4712+K4712+H4712</f>
        <v>0</v>
      </c>
      <c r="P4712" s="877"/>
    </row>
  </sheetData>
  <mergeCells count="21">
    <mergeCell ref="L8:L9"/>
    <mergeCell ref="J8:J9"/>
    <mergeCell ref="I7:K7"/>
    <mergeCell ref="F8:F9"/>
    <mergeCell ref="I8:I9"/>
    <mergeCell ref="B7:B9"/>
    <mergeCell ref="E7:E9"/>
    <mergeCell ref="C7:D9"/>
    <mergeCell ref="M8:M9"/>
    <mergeCell ref="A1:O1"/>
    <mergeCell ref="A2:O2"/>
    <mergeCell ref="A3:O3"/>
    <mergeCell ref="A7:A9"/>
    <mergeCell ref="K8:K9"/>
    <mergeCell ref="L7:N7"/>
    <mergeCell ref="A4:O4"/>
    <mergeCell ref="G8:G9"/>
    <mergeCell ref="O7:O9"/>
    <mergeCell ref="N8:N9"/>
    <mergeCell ref="H8:H9"/>
    <mergeCell ref="F7:H7"/>
  </mergeCells>
  <printOptions horizontalCentered="1"/>
  <pageMargins left="0.51181102362204722" right="0" top="0.25" bottom="0.26" header="0.2" footer="0.2"/>
  <pageSetup paperSize="9" scale="47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0000"/>
  </sheetPr>
  <dimension ref="A1:EK1720"/>
  <sheetViews>
    <sheetView view="pageBreakPreview" topLeftCell="A4" zoomScale="90" zoomScaleNormal="85" zoomScaleSheetLayoutView="90" workbookViewId="0">
      <selection activeCell="C9" sqref="C9"/>
    </sheetView>
  </sheetViews>
  <sheetFormatPr defaultRowHeight="15" customHeight="1" x14ac:dyDescent="0.2"/>
  <cols>
    <col min="1" max="1" width="6.140625" style="205" customWidth="1"/>
    <col min="2" max="2" width="83.28515625" style="191" customWidth="1"/>
    <col min="3" max="3" width="11.28515625" style="206" customWidth="1"/>
    <col min="4" max="4" width="8.42578125" style="192" customWidth="1"/>
    <col min="5" max="5" width="14.28515625" style="183" customWidth="1"/>
    <col min="6" max="6" width="18.42578125" style="193" customWidth="1"/>
    <col min="7" max="7" width="11.5703125" style="61" hidden="1" customWidth="1"/>
    <col min="8" max="8" width="53.28515625" style="61" hidden="1" customWidth="1"/>
    <col min="9" max="10" width="0" style="61" hidden="1" customWidth="1"/>
    <col min="11" max="11" width="17.140625" style="61" hidden="1" customWidth="1"/>
    <col min="12" max="12" width="21.28515625" style="62" hidden="1" customWidth="1"/>
    <col min="13" max="13" width="14" style="62" hidden="1" customWidth="1"/>
    <col min="14" max="14" width="9.5703125" style="61" hidden="1" customWidth="1"/>
    <col min="15" max="141" width="9.140625" style="64"/>
    <col min="142" max="16384" width="9.140625" style="61"/>
  </cols>
  <sheetData>
    <row r="1" spans="1:141" ht="15" customHeight="1" x14ac:dyDescent="0.2">
      <c r="A1" s="2056" t="s">
        <v>2288</v>
      </c>
      <c r="B1" s="2056"/>
      <c r="C1" s="2056"/>
      <c r="D1" s="2056"/>
      <c r="E1" s="2056"/>
      <c r="F1" s="2056"/>
    </row>
    <row r="2" spans="1:141" ht="15" customHeight="1" x14ac:dyDescent="0.2">
      <c r="A2" s="2057" t="s">
        <v>154</v>
      </c>
      <c r="B2" s="2057"/>
      <c r="C2" s="2057"/>
      <c r="D2" s="2057"/>
      <c r="E2" s="2057"/>
      <c r="F2" s="2057"/>
      <c r="N2" s="65"/>
    </row>
    <row r="3" spans="1:141" ht="15" customHeight="1" x14ac:dyDescent="0.2">
      <c r="A3" s="66"/>
      <c r="B3" s="67"/>
      <c r="C3" s="67"/>
      <c r="D3" s="67"/>
      <c r="E3" s="68"/>
      <c r="F3" s="67"/>
      <c r="N3" s="65"/>
    </row>
    <row r="4" spans="1:141" ht="15" customHeight="1" thickBot="1" x14ac:dyDescent="0.25">
      <c r="A4" s="66"/>
      <c r="B4" s="67"/>
      <c r="C4" s="67"/>
      <c r="D4" s="67"/>
      <c r="E4" s="68"/>
      <c r="F4" s="67"/>
      <c r="N4" s="65"/>
    </row>
    <row r="5" spans="1:141" ht="15" customHeight="1" x14ac:dyDescent="0.2">
      <c r="A5" s="2058" t="s">
        <v>1</v>
      </c>
      <c r="B5" s="2060" t="s">
        <v>850</v>
      </c>
      <c r="C5" s="2062" t="s">
        <v>2</v>
      </c>
      <c r="D5" s="2062"/>
      <c r="E5" s="2064" t="s">
        <v>851</v>
      </c>
      <c r="F5" s="69" t="s">
        <v>852</v>
      </c>
      <c r="J5" s="70"/>
      <c r="L5" s="71"/>
      <c r="N5" s="65"/>
    </row>
    <row r="6" spans="1:141" ht="15" customHeight="1" thickBot="1" x14ac:dyDescent="0.25">
      <c r="A6" s="2059"/>
      <c r="B6" s="2061"/>
      <c r="C6" s="2063"/>
      <c r="D6" s="2063"/>
      <c r="E6" s="2065"/>
      <c r="F6" s="207" t="s">
        <v>853</v>
      </c>
      <c r="J6" s="70"/>
      <c r="L6" s="71"/>
      <c r="N6" s="65"/>
    </row>
    <row r="7" spans="1:141" ht="15" customHeight="1" x14ac:dyDescent="0.2">
      <c r="A7" s="1766"/>
      <c r="B7" s="1767"/>
      <c r="C7" s="1765"/>
      <c r="D7" s="1765"/>
      <c r="E7" s="1768"/>
      <c r="F7" s="208"/>
      <c r="J7" s="70"/>
      <c r="L7" s="71"/>
      <c r="N7" s="65"/>
    </row>
    <row r="8" spans="1:141" s="88" customFormat="1" ht="15" customHeight="1" x14ac:dyDescent="0.2">
      <c r="A8" s="613"/>
      <c r="B8" s="614" t="s">
        <v>1763</v>
      </c>
      <c r="C8" s="615">
        <f>C15+C10</f>
        <v>11</v>
      </c>
      <c r="D8" s="616" t="s">
        <v>16</v>
      </c>
      <c r="E8" s="617"/>
      <c r="F8" s="1875">
        <f>F15</f>
        <v>87243115</v>
      </c>
      <c r="J8" s="89"/>
      <c r="L8" s="90"/>
      <c r="M8" s="91"/>
      <c r="N8" s="92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</row>
    <row r="9" spans="1:141" ht="15" customHeight="1" x14ac:dyDescent="0.2">
      <c r="A9" s="618"/>
      <c r="B9" s="619"/>
      <c r="C9" s="620"/>
      <c r="D9" s="620"/>
      <c r="E9" s="621"/>
      <c r="F9" s="622"/>
      <c r="J9" s="70"/>
      <c r="L9" s="71"/>
      <c r="N9" s="65"/>
    </row>
    <row r="10" spans="1:141" s="88" customFormat="1" ht="15" customHeight="1" x14ac:dyDescent="0.2">
      <c r="A10" s="613" t="s">
        <v>1726</v>
      </c>
      <c r="B10" s="614" t="s">
        <v>2335</v>
      </c>
      <c r="C10" s="623">
        <f>C12</f>
        <v>1</v>
      </c>
      <c r="D10" s="616" t="s">
        <v>16</v>
      </c>
      <c r="E10" s="617"/>
      <c r="F10" s="1876">
        <f>F12</f>
        <v>2500000</v>
      </c>
      <c r="J10" s="89"/>
      <c r="L10" s="90"/>
      <c r="M10" s="91"/>
      <c r="N10" s="92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</row>
    <row r="11" spans="1:141" s="562" customFormat="1" ht="15" customHeight="1" x14ac:dyDescent="0.2">
      <c r="A11" s="635">
        <v>1</v>
      </c>
      <c r="B11" s="636" t="s">
        <v>2286</v>
      </c>
      <c r="C11" s="636"/>
      <c r="D11" s="636"/>
      <c r="E11" s="636"/>
      <c r="F11" s="643"/>
      <c r="G11" s="558"/>
      <c r="H11" s="558"/>
      <c r="J11" s="558"/>
      <c r="L11" s="1071"/>
      <c r="M11" s="560"/>
      <c r="N11" s="1072"/>
      <c r="O11" s="1073"/>
      <c r="P11" s="1073"/>
      <c r="Q11" s="1073"/>
      <c r="R11" s="1073"/>
      <c r="S11" s="1073"/>
      <c r="T11" s="1073"/>
      <c r="U11" s="1073"/>
      <c r="V11" s="1073"/>
      <c r="W11" s="1073"/>
      <c r="X11" s="1073"/>
      <c r="Y11" s="1073"/>
      <c r="Z11" s="1073"/>
      <c r="AA11" s="1073"/>
      <c r="AB11" s="1073"/>
      <c r="AC11" s="1073"/>
      <c r="AD11" s="1073"/>
      <c r="AE11" s="1073"/>
      <c r="AF11" s="1073"/>
      <c r="AG11" s="1073"/>
      <c r="AH11" s="1073"/>
      <c r="AI11" s="1073"/>
      <c r="AJ11" s="1073"/>
      <c r="AK11" s="1073"/>
      <c r="AL11" s="1073"/>
      <c r="AM11" s="1073"/>
      <c r="AN11" s="1073"/>
      <c r="AO11" s="1073"/>
      <c r="AP11" s="1073"/>
      <c r="AQ11" s="1073"/>
      <c r="AR11" s="1073"/>
      <c r="AS11" s="1073"/>
      <c r="AT11" s="1073"/>
      <c r="AU11" s="1073"/>
      <c r="AV11" s="1073"/>
      <c r="AW11" s="1073"/>
      <c r="AX11" s="1073"/>
      <c r="AY11" s="1073"/>
      <c r="AZ11" s="1073"/>
      <c r="BA11" s="1073"/>
      <c r="BB11" s="1073"/>
      <c r="BC11" s="1073"/>
      <c r="BD11" s="1073"/>
      <c r="BE11" s="1073"/>
      <c r="BF11" s="1073"/>
      <c r="BG11" s="1073"/>
      <c r="BH11" s="1073"/>
      <c r="BI11" s="1073"/>
      <c r="BJ11" s="1073"/>
      <c r="BK11" s="1073"/>
      <c r="BL11" s="1073"/>
      <c r="BM11" s="1073"/>
      <c r="BN11" s="1073"/>
      <c r="BO11" s="1073"/>
      <c r="BP11" s="1073"/>
      <c r="BQ11" s="1073"/>
      <c r="BR11" s="1073"/>
      <c r="BS11" s="1073"/>
      <c r="BT11" s="1073"/>
      <c r="BU11" s="1073"/>
      <c r="BV11" s="1073"/>
      <c r="BW11" s="1073"/>
      <c r="BX11" s="1073"/>
      <c r="BY11" s="1073"/>
      <c r="BZ11" s="1073"/>
      <c r="CA11" s="1073"/>
      <c r="CB11" s="1073"/>
      <c r="CC11" s="1073"/>
      <c r="CD11" s="1073"/>
      <c r="CE11" s="1073"/>
      <c r="CF11" s="1073"/>
      <c r="CG11" s="1073"/>
      <c r="CH11" s="1073"/>
      <c r="CI11" s="1073"/>
      <c r="CJ11" s="1073"/>
      <c r="CK11" s="1073"/>
      <c r="CL11" s="1073"/>
      <c r="CM11" s="1073"/>
      <c r="CN11" s="1073"/>
      <c r="CO11" s="1073"/>
      <c r="CP11" s="1073"/>
      <c r="CQ11" s="1073"/>
      <c r="CR11" s="1073"/>
      <c r="CS11" s="1073"/>
      <c r="CT11" s="1073"/>
      <c r="CU11" s="1073"/>
      <c r="CV11" s="1073"/>
      <c r="CW11" s="1073"/>
      <c r="CX11" s="1073"/>
      <c r="CY11" s="1073"/>
      <c r="CZ11" s="1073"/>
      <c r="DA11" s="1073"/>
      <c r="DB11" s="1073"/>
      <c r="DC11" s="1073"/>
      <c r="DD11" s="1073"/>
      <c r="DE11" s="1073"/>
      <c r="DF11" s="1073"/>
      <c r="DG11" s="1073"/>
      <c r="DH11" s="1073"/>
      <c r="DI11" s="1073"/>
      <c r="DJ11" s="1073"/>
      <c r="DK11" s="1073"/>
      <c r="DL11" s="1073"/>
      <c r="DM11" s="1073"/>
      <c r="DN11" s="1073"/>
      <c r="DO11" s="1073"/>
      <c r="DP11" s="1073"/>
      <c r="DQ11" s="1073"/>
      <c r="DR11" s="1073"/>
      <c r="DS11" s="1073"/>
      <c r="DT11" s="1073"/>
      <c r="DU11" s="1073"/>
      <c r="DV11" s="1073"/>
      <c r="DW11" s="1073"/>
      <c r="DX11" s="1073"/>
      <c r="DY11" s="1073"/>
      <c r="DZ11" s="1073"/>
      <c r="EA11" s="1073"/>
      <c r="EB11" s="1073"/>
      <c r="EC11" s="1073"/>
      <c r="ED11" s="1073"/>
      <c r="EE11" s="1073"/>
      <c r="EF11" s="1073"/>
      <c r="EG11" s="1073"/>
      <c r="EH11" s="1073"/>
      <c r="EI11" s="1073"/>
      <c r="EJ11" s="1073"/>
      <c r="EK11" s="1073"/>
    </row>
    <row r="12" spans="1:141" ht="15" customHeight="1" x14ac:dyDescent="0.2">
      <c r="A12" s="644"/>
      <c r="B12" s="645" t="str">
        <f>'DEFINITIF (APBNP)'!B124</f>
        <v>Terminal Tipe A Kota Padang Tahap 1</v>
      </c>
      <c r="C12" s="645">
        <v>1</v>
      </c>
      <c r="D12" s="645" t="str">
        <f>'DEFINITIF (APBNP)'!D124</f>
        <v>PKT</v>
      </c>
      <c r="E12" s="645">
        <f>'DEFINITIF (APBNP)'!E124</f>
        <v>2500000</v>
      </c>
      <c r="F12" s="637">
        <f>E12*C12</f>
        <v>2500000</v>
      </c>
      <c r="G12" s="185"/>
      <c r="H12" s="185"/>
      <c r="J12" s="185"/>
      <c r="L12" s="71"/>
      <c r="N12" s="65"/>
    </row>
    <row r="13" spans="1:141" ht="15" customHeight="1" x14ac:dyDescent="0.2">
      <c r="A13" s="618"/>
      <c r="B13" s="619"/>
      <c r="C13" s="620"/>
      <c r="D13" s="620"/>
      <c r="E13" s="621"/>
      <c r="F13" s="622"/>
      <c r="J13" s="70"/>
      <c r="L13" s="71"/>
      <c r="N13" s="65"/>
    </row>
    <row r="14" spans="1:141" ht="15" customHeight="1" x14ac:dyDescent="0.2">
      <c r="A14" s="618"/>
      <c r="B14" s="619"/>
      <c r="C14" s="620"/>
      <c r="D14" s="620"/>
      <c r="E14" s="621"/>
      <c r="F14" s="622"/>
      <c r="J14" s="70"/>
      <c r="L14" s="71"/>
      <c r="N14" s="65"/>
    </row>
    <row r="15" spans="1:141" s="88" customFormat="1" ht="15" customHeight="1" x14ac:dyDescent="0.2">
      <c r="A15" s="613" t="s">
        <v>1726</v>
      </c>
      <c r="B15" s="614" t="s">
        <v>1764</v>
      </c>
      <c r="C15" s="623">
        <f>C17+C23</f>
        <v>10</v>
      </c>
      <c r="D15" s="616" t="s">
        <v>16</v>
      </c>
      <c r="E15" s="617"/>
      <c r="F15" s="1877">
        <f>F17+F23</f>
        <v>87243115</v>
      </c>
      <c r="J15" s="89"/>
      <c r="L15" s="90"/>
      <c r="M15" s="91"/>
      <c r="N15" s="92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</row>
    <row r="16" spans="1:141" s="218" customFormat="1" ht="15" customHeight="1" x14ac:dyDescent="0.2">
      <c r="A16" s="624"/>
      <c r="B16" s="625"/>
      <c r="C16" s="626"/>
      <c r="D16" s="627"/>
      <c r="E16" s="628"/>
      <c r="F16" s="629"/>
      <c r="J16" s="219"/>
      <c r="L16" s="220"/>
      <c r="M16" s="221"/>
      <c r="N16" s="222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D16" s="224"/>
      <c r="DE16" s="224"/>
      <c r="DF16" s="224"/>
      <c r="DG16" s="224"/>
      <c r="DH16" s="224"/>
      <c r="DI16" s="224"/>
      <c r="DJ16" s="224"/>
      <c r="DK16" s="224"/>
      <c r="DL16" s="224"/>
      <c r="DM16" s="224"/>
      <c r="DN16" s="224"/>
      <c r="DO16" s="224"/>
      <c r="DP16" s="224"/>
      <c r="DQ16" s="224"/>
      <c r="DR16" s="224"/>
      <c r="DS16" s="224"/>
      <c r="DT16" s="224"/>
      <c r="DU16" s="224"/>
      <c r="DV16" s="224"/>
      <c r="DW16" s="224"/>
      <c r="DX16" s="224"/>
      <c r="DY16" s="224"/>
      <c r="DZ16" s="224"/>
      <c r="EA16" s="224"/>
      <c r="EB16" s="224"/>
      <c r="EC16" s="224"/>
      <c r="ED16" s="224"/>
      <c r="EE16" s="224"/>
      <c r="EF16" s="224"/>
      <c r="EG16" s="224"/>
      <c r="EH16" s="224"/>
      <c r="EI16" s="224"/>
      <c r="EJ16" s="224"/>
      <c r="EK16" s="224"/>
    </row>
    <row r="17" spans="1:141" s="218" customFormat="1" ht="15" customHeight="1" x14ac:dyDescent="0.2">
      <c r="A17" s="613"/>
      <c r="B17" s="630" t="s">
        <v>1749</v>
      </c>
      <c r="C17" s="631">
        <f>C20</f>
        <v>1</v>
      </c>
      <c r="D17" s="632" t="s">
        <v>16</v>
      </c>
      <c r="E17" s="633"/>
      <c r="F17" s="1878">
        <f>F20</f>
        <v>15000000</v>
      </c>
      <c r="J17" s="219"/>
      <c r="L17" s="220"/>
      <c r="M17" s="221"/>
      <c r="N17" s="222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  <c r="AH17" s="224"/>
      <c r="AI17" s="224"/>
      <c r="AJ17" s="224"/>
      <c r="AK17" s="224"/>
      <c r="AL17" s="224"/>
      <c r="AM17" s="224"/>
      <c r="AN17" s="224"/>
      <c r="AO17" s="224"/>
      <c r="AP17" s="224"/>
      <c r="AQ17" s="224"/>
      <c r="AR17" s="224"/>
      <c r="AS17" s="224"/>
      <c r="AT17" s="224"/>
      <c r="AU17" s="224"/>
      <c r="AV17" s="224"/>
      <c r="AW17" s="224"/>
      <c r="AX17" s="224"/>
      <c r="AY17" s="224"/>
      <c r="AZ17" s="224"/>
      <c r="BA17" s="224"/>
      <c r="BB17" s="224"/>
      <c r="BC17" s="224"/>
      <c r="BD17" s="224"/>
      <c r="BE17" s="224"/>
      <c r="BF17" s="224"/>
      <c r="BG17" s="224"/>
      <c r="BH17" s="224"/>
      <c r="BI17" s="224"/>
      <c r="BJ17" s="224"/>
      <c r="BK17" s="224"/>
      <c r="BL17" s="224"/>
      <c r="BM17" s="224"/>
      <c r="BN17" s="224"/>
      <c r="BO17" s="224"/>
      <c r="BP17" s="224"/>
      <c r="BQ17" s="224"/>
      <c r="BR17" s="224"/>
      <c r="BS17" s="224"/>
      <c r="BT17" s="224"/>
      <c r="BU17" s="224"/>
      <c r="BV17" s="224"/>
      <c r="BW17" s="224"/>
      <c r="BX17" s="224"/>
      <c r="BY17" s="224"/>
      <c r="BZ17" s="224"/>
      <c r="CA17" s="224"/>
      <c r="CB17" s="224"/>
      <c r="CC17" s="224"/>
      <c r="CD17" s="224"/>
      <c r="CE17" s="224"/>
      <c r="CF17" s="224"/>
      <c r="CG17" s="224"/>
      <c r="CH17" s="224"/>
      <c r="CI17" s="224"/>
      <c r="CJ17" s="224"/>
      <c r="CK17" s="224"/>
      <c r="CL17" s="224"/>
      <c r="CM17" s="224"/>
      <c r="CN17" s="224"/>
      <c r="CO17" s="224"/>
      <c r="CP17" s="224"/>
      <c r="CQ17" s="224"/>
      <c r="CR17" s="224"/>
      <c r="CS17" s="224"/>
      <c r="CT17" s="224"/>
      <c r="CU17" s="224"/>
      <c r="CV17" s="224"/>
      <c r="CW17" s="224"/>
      <c r="CX17" s="224"/>
      <c r="CY17" s="224"/>
      <c r="CZ17" s="224"/>
      <c r="DA17" s="224"/>
      <c r="DB17" s="224"/>
      <c r="DC17" s="224"/>
      <c r="DD17" s="224"/>
      <c r="DE17" s="224"/>
      <c r="DF17" s="224"/>
      <c r="DG17" s="224"/>
      <c r="DH17" s="224"/>
      <c r="DI17" s="224"/>
      <c r="DJ17" s="224"/>
      <c r="DK17" s="224"/>
      <c r="DL17" s="224"/>
      <c r="DM17" s="224"/>
      <c r="DN17" s="224"/>
      <c r="DO17" s="224"/>
      <c r="DP17" s="224"/>
      <c r="DQ17" s="224"/>
      <c r="DR17" s="224"/>
      <c r="DS17" s="224"/>
      <c r="DT17" s="224"/>
      <c r="DU17" s="224"/>
      <c r="DV17" s="224"/>
      <c r="DW17" s="224"/>
      <c r="DX17" s="224"/>
      <c r="DY17" s="224"/>
      <c r="DZ17" s="224"/>
      <c r="EA17" s="224"/>
      <c r="EB17" s="224"/>
      <c r="EC17" s="224"/>
      <c r="ED17" s="224"/>
      <c r="EE17" s="224"/>
      <c r="EF17" s="224"/>
      <c r="EG17" s="224"/>
      <c r="EH17" s="224"/>
      <c r="EI17" s="224"/>
      <c r="EJ17" s="224"/>
      <c r="EK17" s="224"/>
    </row>
    <row r="18" spans="1:141" s="218" customFormat="1" ht="15" customHeight="1" x14ac:dyDescent="0.2">
      <c r="A18" s="624"/>
      <c r="B18" s="625"/>
      <c r="C18" s="626"/>
      <c r="D18" s="627"/>
      <c r="E18" s="628"/>
      <c r="F18" s="629"/>
      <c r="J18" s="219"/>
      <c r="L18" s="220"/>
      <c r="M18" s="221"/>
      <c r="N18" s="222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  <c r="BJ18" s="224"/>
      <c r="BK18" s="224"/>
      <c r="BL18" s="224"/>
      <c r="BM18" s="224"/>
      <c r="BN18" s="224"/>
      <c r="BO18" s="224"/>
      <c r="BP18" s="224"/>
      <c r="BQ18" s="224"/>
      <c r="BR18" s="224"/>
      <c r="BS18" s="224"/>
      <c r="BT18" s="224"/>
      <c r="BU18" s="224"/>
      <c r="BV18" s="224"/>
      <c r="BW18" s="224"/>
      <c r="BX18" s="224"/>
      <c r="BY18" s="224"/>
      <c r="BZ18" s="224"/>
      <c r="CA18" s="224"/>
      <c r="CB18" s="224"/>
      <c r="CC18" s="224"/>
      <c r="CD18" s="224"/>
      <c r="CE18" s="224"/>
      <c r="CF18" s="224"/>
      <c r="CG18" s="224"/>
      <c r="CH18" s="224"/>
      <c r="CI18" s="224"/>
      <c r="CJ18" s="224"/>
      <c r="CK18" s="224"/>
      <c r="CL18" s="224"/>
      <c r="CM18" s="224"/>
      <c r="CN18" s="224"/>
      <c r="CO18" s="224"/>
      <c r="CP18" s="224"/>
      <c r="CQ18" s="224"/>
      <c r="CR18" s="224"/>
      <c r="CS18" s="224"/>
      <c r="CT18" s="224"/>
      <c r="CU18" s="224"/>
      <c r="CV18" s="224"/>
      <c r="CW18" s="224"/>
      <c r="CX18" s="224"/>
      <c r="CY18" s="224"/>
      <c r="CZ18" s="224"/>
      <c r="DA18" s="224"/>
      <c r="DB18" s="224"/>
      <c r="DC18" s="224"/>
      <c r="DD18" s="224"/>
      <c r="DE18" s="224"/>
      <c r="DF18" s="224"/>
      <c r="DG18" s="224"/>
      <c r="DH18" s="224"/>
      <c r="DI18" s="224"/>
      <c r="DJ18" s="224"/>
      <c r="DK18" s="224"/>
      <c r="DL18" s="224"/>
      <c r="DM18" s="224"/>
      <c r="DN18" s="224"/>
      <c r="DO18" s="224"/>
      <c r="DP18" s="224"/>
      <c r="DQ18" s="224"/>
      <c r="DR18" s="224"/>
      <c r="DS18" s="224"/>
      <c r="DT18" s="224"/>
      <c r="DU18" s="224"/>
      <c r="DV18" s="224"/>
      <c r="DW18" s="224"/>
      <c r="DX18" s="224"/>
      <c r="DY18" s="224"/>
      <c r="DZ18" s="224"/>
      <c r="EA18" s="224"/>
      <c r="EB18" s="224"/>
      <c r="EC18" s="224"/>
      <c r="ED18" s="224"/>
      <c r="EE18" s="224"/>
      <c r="EF18" s="224"/>
      <c r="EG18" s="224"/>
      <c r="EH18" s="224"/>
      <c r="EI18" s="224"/>
      <c r="EJ18" s="224"/>
      <c r="EK18" s="224"/>
    </row>
    <row r="19" spans="1:141" s="226" customFormat="1" ht="15" customHeight="1" x14ac:dyDescent="0.2">
      <c r="A19" s="1955">
        <v>1</v>
      </c>
      <c r="B19" s="1956" t="s">
        <v>864</v>
      </c>
      <c r="C19" s="1985"/>
      <c r="D19" s="1958"/>
      <c r="E19" s="1959"/>
      <c r="F19" s="1960"/>
      <c r="L19" s="227"/>
      <c r="M19" s="227"/>
    </row>
    <row r="20" spans="1:141" s="224" customFormat="1" ht="15" customHeight="1" x14ac:dyDescent="0.2">
      <c r="A20" s="1986"/>
      <c r="B20" s="1962" t="str">
        <f>'DEFINITIF (APBNP)'!B2816</f>
        <v>Pembangunan Terminal Depok Tahap V</v>
      </c>
      <c r="C20" s="1965">
        <f>'DEFINITIF (APBNP)'!C2816</f>
        <v>1</v>
      </c>
      <c r="D20" s="1964" t="str">
        <f>'DEFINITIF (APBNP)'!D2816</f>
        <v>PKT</v>
      </c>
      <c r="E20" s="1965">
        <f>'DEFINITIF (APBNP)'!E2816</f>
        <v>15000000</v>
      </c>
      <c r="F20" s="1966">
        <f>C20*E20</f>
        <v>15000000</v>
      </c>
      <c r="L20" s="229"/>
      <c r="M20" s="229"/>
    </row>
    <row r="21" spans="1:141" s="218" customFormat="1" ht="15" customHeight="1" x14ac:dyDescent="0.2">
      <c r="A21" s="624"/>
      <c r="B21" s="625"/>
      <c r="C21" s="626"/>
      <c r="D21" s="627"/>
      <c r="E21" s="628"/>
      <c r="F21" s="629"/>
      <c r="J21" s="219"/>
      <c r="L21" s="220"/>
      <c r="M21" s="221"/>
      <c r="N21" s="222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4"/>
      <c r="BN21" s="224"/>
      <c r="BO21" s="224"/>
      <c r="BP21" s="224"/>
      <c r="BQ21" s="224"/>
      <c r="BR21" s="224"/>
      <c r="BS21" s="224"/>
      <c r="BT21" s="224"/>
      <c r="BU21" s="224"/>
      <c r="BV21" s="224"/>
      <c r="BW21" s="224"/>
      <c r="BX21" s="224"/>
      <c r="BY21" s="224"/>
      <c r="BZ21" s="224"/>
      <c r="CA21" s="224"/>
      <c r="CB21" s="224"/>
      <c r="CC21" s="224"/>
      <c r="CD21" s="224"/>
      <c r="CE21" s="224"/>
      <c r="CF21" s="224"/>
      <c r="CG21" s="224"/>
      <c r="CH21" s="224"/>
      <c r="CI21" s="224"/>
      <c r="CJ21" s="224"/>
      <c r="CK21" s="224"/>
      <c r="CL21" s="224"/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4"/>
      <c r="DA21" s="224"/>
      <c r="DB21" s="224"/>
      <c r="DC21" s="224"/>
      <c r="DD21" s="224"/>
      <c r="DE21" s="224"/>
      <c r="DF21" s="224"/>
      <c r="DG21" s="224"/>
      <c r="DH21" s="224"/>
      <c r="DI21" s="224"/>
      <c r="DJ21" s="224"/>
      <c r="DK21" s="224"/>
      <c r="DL21" s="224"/>
      <c r="DM21" s="224"/>
      <c r="DN21" s="224"/>
      <c r="DO21" s="224"/>
      <c r="DP21" s="224"/>
      <c r="DQ21" s="224"/>
      <c r="DR21" s="224"/>
      <c r="DS21" s="224"/>
      <c r="DT21" s="224"/>
      <c r="DU21" s="224"/>
      <c r="DV21" s="224"/>
      <c r="DW21" s="224"/>
      <c r="DX21" s="224"/>
      <c r="DY21" s="224"/>
      <c r="DZ21" s="224"/>
      <c r="EA21" s="224"/>
      <c r="EB21" s="224"/>
      <c r="EC21" s="224"/>
      <c r="ED21" s="224"/>
      <c r="EE21" s="224"/>
      <c r="EF21" s="224"/>
      <c r="EG21" s="224"/>
      <c r="EH21" s="224"/>
      <c r="EI21" s="224"/>
      <c r="EJ21" s="224"/>
      <c r="EK21" s="224"/>
    </row>
    <row r="22" spans="1:141" s="218" customFormat="1" ht="15" customHeight="1" x14ac:dyDescent="0.2">
      <c r="A22" s="624"/>
      <c r="B22" s="625"/>
      <c r="C22" s="626"/>
      <c r="D22" s="627"/>
      <c r="E22" s="628"/>
      <c r="F22" s="629"/>
      <c r="J22" s="219"/>
      <c r="L22" s="220"/>
      <c r="M22" s="221"/>
      <c r="N22" s="222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4"/>
      <c r="BN22" s="224"/>
      <c r="BO22" s="224"/>
      <c r="BP22" s="224"/>
      <c r="BQ22" s="224"/>
      <c r="BR22" s="224"/>
      <c r="BS22" s="224"/>
      <c r="BT22" s="224"/>
      <c r="BU22" s="224"/>
      <c r="BV22" s="224"/>
      <c r="BW22" s="224"/>
      <c r="BX22" s="224"/>
      <c r="BY22" s="224"/>
      <c r="BZ22" s="224"/>
      <c r="CA22" s="224"/>
      <c r="CB22" s="224"/>
      <c r="CC22" s="224"/>
      <c r="CD22" s="224"/>
      <c r="CE22" s="224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  <c r="CR22" s="224"/>
      <c r="CS22" s="224"/>
      <c r="CT22" s="224"/>
      <c r="CU22" s="224"/>
      <c r="CV22" s="224"/>
      <c r="CW22" s="224"/>
      <c r="CX22" s="224"/>
      <c r="CY22" s="224"/>
      <c r="CZ22" s="224"/>
      <c r="DA22" s="224"/>
      <c r="DB22" s="224"/>
      <c r="DC22" s="224"/>
      <c r="DD22" s="224"/>
      <c r="DE22" s="224"/>
      <c r="DF22" s="224"/>
      <c r="DG22" s="224"/>
      <c r="DH22" s="224"/>
      <c r="DI22" s="224"/>
      <c r="DJ22" s="224"/>
      <c r="DK22" s="224"/>
      <c r="DL22" s="224"/>
      <c r="DM22" s="224"/>
      <c r="DN22" s="224"/>
      <c r="DO22" s="224"/>
      <c r="DP22" s="224"/>
      <c r="DQ22" s="224"/>
      <c r="DR22" s="224"/>
      <c r="DS22" s="224"/>
      <c r="DT22" s="224"/>
      <c r="DU22" s="224"/>
      <c r="DV22" s="224"/>
      <c r="DW22" s="224"/>
      <c r="DX22" s="224"/>
      <c r="DY22" s="224"/>
      <c r="DZ22" s="224"/>
      <c r="EA22" s="224"/>
      <c r="EB22" s="224"/>
      <c r="EC22" s="224"/>
      <c r="ED22" s="224"/>
      <c r="EE22" s="224"/>
      <c r="EF22" s="224"/>
      <c r="EG22" s="224"/>
      <c r="EH22" s="224"/>
      <c r="EI22" s="224"/>
      <c r="EJ22" s="224"/>
      <c r="EK22" s="224"/>
    </row>
    <row r="23" spans="1:141" s="218" customFormat="1" ht="15" customHeight="1" x14ac:dyDescent="0.2">
      <c r="A23" s="613"/>
      <c r="B23" s="630" t="s">
        <v>1750</v>
      </c>
      <c r="C23" s="631">
        <f>C26+C29+C32+C38+C44+C45+C48+C41+C35</f>
        <v>9</v>
      </c>
      <c r="D23" s="632" t="s">
        <v>16</v>
      </c>
      <c r="E23" s="633"/>
      <c r="F23" s="1878">
        <f>F26+F29+F32+F38+F44+F45+F48+F12+F41</f>
        <v>72243115</v>
      </c>
      <c r="J23" s="219"/>
      <c r="L23" s="220"/>
      <c r="M23" s="221"/>
      <c r="N23" s="222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4"/>
      <c r="BN23" s="224"/>
      <c r="BO23" s="224"/>
      <c r="BP23" s="224"/>
      <c r="BQ23" s="224"/>
      <c r="BR23" s="224"/>
      <c r="BS23" s="224"/>
      <c r="BT23" s="224"/>
      <c r="BU23" s="224"/>
      <c r="BV23" s="224"/>
      <c r="BW23" s="224"/>
      <c r="BX23" s="224"/>
      <c r="BY23" s="224"/>
      <c r="BZ23" s="224"/>
      <c r="CA23" s="224"/>
      <c r="CB23" s="224"/>
      <c r="CC23" s="224"/>
      <c r="CD23" s="224"/>
      <c r="CE23" s="22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  <c r="CR23" s="224"/>
      <c r="CS23" s="224"/>
      <c r="CT23" s="224"/>
      <c r="CU23" s="224"/>
      <c r="CV23" s="224"/>
      <c r="CW23" s="224"/>
      <c r="CX23" s="224"/>
      <c r="CY23" s="224"/>
      <c r="CZ23" s="224"/>
      <c r="DA23" s="224"/>
      <c r="DB23" s="224"/>
      <c r="DC23" s="224"/>
      <c r="DD23" s="224"/>
      <c r="DE23" s="224"/>
      <c r="DF23" s="224"/>
      <c r="DG23" s="224"/>
      <c r="DH23" s="224"/>
      <c r="DI23" s="224"/>
      <c r="DJ23" s="224"/>
      <c r="DK23" s="224"/>
      <c r="DL23" s="224"/>
      <c r="DM23" s="224"/>
      <c r="DN23" s="224"/>
      <c r="DO23" s="224"/>
      <c r="DP23" s="224"/>
      <c r="DQ23" s="224"/>
      <c r="DR23" s="224"/>
      <c r="DS23" s="224"/>
      <c r="DT23" s="224"/>
      <c r="DU23" s="224"/>
      <c r="DV23" s="224"/>
      <c r="DW23" s="224"/>
      <c r="DX23" s="224"/>
      <c r="DY23" s="224"/>
      <c r="DZ23" s="224"/>
      <c r="EA23" s="224"/>
      <c r="EB23" s="224"/>
      <c r="EC23" s="224"/>
      <c r="ED23" s="224"/>
      <c r="EE23" s="224"/>
      <c r="EF23" s="224"/>
      <c r="EG23" s="224"/>
      <c r="EH23" s="224"/>
      <c r="EI23" s="224"/>
      <c r="EJ23" s="224"/>
      <c r="EK23" s="224"/>
    </row>
    <row r="24" spans="1:141" s="218" customFormat="1" ht="15" customHeight="1" x14ac:dyDescent="0.2">
      <c r="A24" s="624"/>
      <c r="B24" s="625"/>
      <c r="C24" s="626"/>
      <c r="D24" s="627"/>
      <c r="E24" s="628"/>
      <c r="F24" s="629"/>
      <c r="J24" s="219"/>
      <c r="L24" s="220"/>
      <c r="M24" s="221"/>
      <c r="N24" s="222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4"/>
      <c r="BN24" s="224"/>
      <c r="BO24" s="224"/>
      <c r="BP24" s="224"/>
      <c r="BQ24" s="224"/>
      <c r="BR24" s="224"/>
      <c r="BS24" s="224"/>
      <c r="BT24" s="224"/>
      <c r="BU24" s="224"/>
      <c r="BV24" s="224"/>
      <c r="BW24" s="224"/>
      <c r="BX24" s="224"/>
      <c r="BY24" s="224"/>
      <c r="BZ24" s="224"/>
      <c r="CA24" s="224"/>
      <c r="CB24" s="224"/>
      <c r="CC24" s="224"/>
      <c r="CD24" s="224"/>
      <c r="CE24" s="224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  <c r="CR24" s="224"/>
      <c r="CS24" s="224"/>
      <c r="CT24" s="224"/>
      <c r="CU24" s="224"/>
      <c r="CV24" s="224"/>
      <c r="CW24" s="224"/>
      <c r="CX24" s="224"/>
      <c r="CY24" s="224"/>
      <c r="CZ24" s="224"/>
      <c r="DA24" s="224"/>
      <c r="DB24" s="224"/>
      <c r="DC24" s="224"/>
      <c r="DD24" s="224"/>
      <c r="DE24" s="224"/>
      <c r="DF24" s="224"/>
      <c r="DG24" s="224"/>
      <c r="DH24" s="224"/>
      <c r="DI24" s="224"/>
      <c r="DJ24" s="224"/>
      <c r="DK24" s="224"/>
      <c r="DL24" s="224"/>
      <c r="DM24" s="224"/>
      <c r="DN24" s="224"/>
      <c r="DO24" s="224"/>
      <c r="DP24" s="224"/>
      <c r="DQ24" s="224"/>
      <c r="DR24" s="224"/>
      <c r="DS24" s="224"/>
      <c r="DT24" s="224"/>
      <c r="DU24" s="224"/>
      <c r="DV24" s="224"/>
      <c r="DW24" s="224"/>
      <c r="DX24" s="224"/>
      <c r="DY24" s="224"/>
      <c r="DZ24" s="224"/>
      <c r="EA24" s="224"/>
      <c r="EB24" s="224"/>
      <c r="EC24" s="224"/>
      <c r="ED24" s="224"/>
      <c r="EE24" s="224"/>
      <c r="EF24" s="224"/>
      <c r="EG24" s="224"/>
      <c r="EH24" s="224"/>
      <c r="EI24" s="224"/>
      <c r="EJ24" s="224"/>
      <c r="EK24" s="224"/>
    </row>
    <row r="25" spans="1:141" ht="15" customHeight="1" x14ac:dyDescent="0.2">
      <c r="A25" s="1967">
        <v>1</v>
      </c>
      <c r="B25" s="1968" t="s">
        <v>769</v>
      </c>
      <c r="C25" s="1974"/>
      <c r="D25" s="1974"/>
      <c r="E25" s="1974"/>
      <c r="F25" s="1972"/>
      <c r="G25" s="185"/>
      <c r="H25" s="231"/>
      <c r="I25" s="231"/>
      <c r="J25" s="231"/>
      <c r="K25" s="231"/>
      <c r="L25" s="232"/>
      <c r="N25" s="233"/>
    </row>
    <row r="26" spans="1:141" s="241" customFormat="1" ht="15" customHeight="1" x14ac:dyDescent="0.2">
      <c r="A26" s="1982"/>
      <c r="B26" s="1983" t="str">
        <f>'DEFINITIF (APBNP)'!B291</f>
        <v>Terminal Tipe A Sarolangun Thp IV selesai</v>
      </c>
      <c r="C26" s="1983">
        <f>'DEFINITIF (APBNP)'!C291</f>
        <v>1</v>
      </c>
      <c r="D26" s="1983" t="str">
        <f>'DEFINITIF (APBNP)'!D291</f>
        <v>PKT</v>
      </c>
      <c r="E26" s="1983">
        <f>'DEFINITIF (APBNP)'!E291</f>
        <v>8000000</v>
      </c>
      <c r="F26" s="1984">
        <f>C26*E26</f>
        <v>8000000</v>
      </c>
      <c r="G26" s="235"/>
      <c r="H26" s="236"/>
      <c r="I26" s="236"/>
      <c r="J26" s="236"/>
      <c r="K26" s="236"/>
      <c r="L26" s="237"/>
      <c r="M26" s="238"/>
      <c r="N26" s="239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  <c r="CW26" s="240"/>
      <c r="CX26" s="240"/>
      <c r="CY26" s="240"/>
      <c r="CZ26" s="240"/>
      <c r="DA26" s="240"/>
      <c r="DB26" s="240"/>
      <c r="DC26" s="240"/>
      <c r="DD26" s="240"/>
      <c r="DE26" s="240"/>
      <c r="DF26" s="240"/>
      <c r="DG26" s="240"/>
      <c r="DH26" s="240"/>
      <c r="DI26" s="240"/>
      <c r="DJ26" s="240"/>
      <c r="DK26" s="240"/>
      <c r="DL26" s="240"/>
      <c r="DM26" s="240"/>
      <c r="DN26" s="240"/>
      <c r="DO26" s="240"/>
      <c r="DP26" s="240"/>
      <c r="DQ26" s="240"/>
      <c r="DR26" s="240"/>
      <c r="DS26" s="240"/>
      <c r="DT26" s="240"/>
      <c r="DU26" s="240"/>
      <c r="DV26" s="240"/>
      <c r="DW26" s="240"/>
      <c r="DX26" s="240"/>
      <c r="DY26" s="240"/>
      <c r="DZ26" s="240"/>
      <c r="EA26" s="240"/>
      <c r="EB26" s="240"/>
      <c r="EC26" s="240"/>
      <c r="ED26" s="240"/>
      <c r="EE26" s="240"/>
      <c r="EF26" s="240"/>
      <c r="EG26" s="240"/>
      <c r="EH26" s="240"/>
      <c r="EI26" s="240"/>
      <c r="EJ26" s="240"/>
      <c r="EK26" s="240"/>
    </row>
    <row r="27" spans="1:141" s="241" customFormat="1" ht="15" customHeight="1" x14ac:dyDescent="0.2">
      <c r="A27" s="638"/>
      <c r="B27" s="639"/>
      <c r="C27" s="639"/>
      <c r="D27" s="639"/>
      <c r="E27" s="639"/>
      <c r="F27" s="640"/>
      <c r="G27" s="240"/>
      <c r="H27" s="242"/>
      <c r="I27" s="242"/>
      <c r="J27" s="243"/>
      <c r="K27" s="242"/>
      <c r="L27" s="244"/>
      <c r="M27" s="238"/>
      <c r="N27" s="239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0"/>
      <c r="DA27" s="240"/>
      <c r="DB27" s="240"/>
      <c r="DC27" s="240"/>
      <c r="DD27" s="240"/>
      <c r="DE27" s="240"/>
      <c r="DF27" s="240"/>
      <c r="DG27" s="240"/>
      <c r="DH27" s="240"/>
      <c r="DI27" s="240"/>
      <c r="DJ27" s="240"/>
      <c r="DK27" s="240"/>
      <c r="DL27" s="240"/>
      <c r="DM27" s="240"/>
      <c r="DN27" s="240"/>
      <c r="DO27" s="240"/>
      <c r="DP27" s="240"/>
      <c r="DQ27" s="240"/>
      <c r="DR27" s="240"/>
      <c r="DS27" s="240"/>
      <c r="DT27" s="240"/>
      <c r="DU27" s="240"/>
      <c r="DV27" s="240"/>
      <c r="DW27" s="240"/>
      <c r="DX27" s="240"/>
      <c r="DY27" s="240"/>
      <c r="DZ27" s="240"/>
      <c r="EA27" s="240"/>
      <c r="EB27" s="240"/>
      <c r="EC27" s="240"/>
      <c r="ED27" s="240"/>
      <c r="EE27" s="240"/>
      <c r="EF27" s="240"/>
      <c r="EG27" s="240"/>
      <c r="EH27" s="240"/>
      <c r="EI27" s="240"/>
      <c r="EJ27" s="240"/>
      <c r="EK27" s="240"/>
    </row>
    <row r="28" spans="1:141" ht="15" customHeight="1" x14ac:dyDescent="0.2">
      <c r="A28" s="635">
        <v>2</v>
      </c>
      <c r="B28" s="636" t="s">
        <v>857</v>
      </c>
      <c r="C28" s="628"/>
      <c r="D28" s="628"/>
      <c r="E28" s="628"/>
      <c r="F28" s="637"/>
      <c r="G28" s="185"/>
      <c r="H28" s="231"/>
      <c r="I28" s="231"/>
      <c r="J28" s="231"/>
      <c r="K28" s="231"/>
      <c r="L28" s="232"/>
      <c r="N28" s="233"/>
    </row>
    <row r="29" spans="1:141" s="241" customFormat="1" ht="15" customHeight="1" x14ac:dyDescent="0.2">
      <c r="A29" s="638"/>
      <c r="B29" s="639" t="str">
        <f>'DEFINITIF (APBNP)'!B677</f>
        <v>Pembangunan Terminal Klaten Tahap 3 (selesai)</v>
      </c>
      <c r="C29" s="639">
        <f>'DEFINITIF (APBNP)'!C677</f>
        <v>1</v>
      </c>
      <c r="D29" s="639" t="str">
        <f>'DEFINITIF (APBNP)'!D677</f>
        <v>PKT</v>
      </c>
      <c r="E29" s="639">
        <f>'DEFINITIF (APBNP)'!E677</f>
        <v>7500000</v>
      </c>
      <c r="F29" s="640">
        <f>C29*E29</f>
        <v>7500000</v>
      </c>
      <c r="G29" s="235"/>
      <c r="H29" s="236"/>
      <c r="I29" s="236"/>
      <c r="J29" s="236"/>
      <c r="K29" s="236"/>
      <c r="L29" s="237"/>
      <c r="M29" s="238"/>
      <c r="N29" s="239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/>
      <c r="CL29" s="240"/>
      <c r="CM29" s="240"/>
      <c r="CN29" s="240"/>
      <c r="CO29" s="240"/>
      <c r="CP29" s="240"/>
      <c r="CQ29" s="240"/>
      <c r="CR29" s="240"/>
      <c r="CS29" s="240"/>
      <c r="CT29" s="240"/>
      <c r="CU29" s="240"/>
      <c r="CV29" s="240"/>
      <c r="CW29" s="240"/>
      <c r="CX29" s="240"/>
      <c r="CY29" s="240"/>
      <c r="CZ29" s="240"/>
      <c r="DA29" s="240"/>
      <c r="DB29" s="240"/>
      <c r="DC29" s="240"/>
      <c r="DD29" s="240"/>
      <c r="DE29" s="240"/>
      <c r="DF29" s="240"/>
      <c r="DG29" s="240"/>
      <c r="DH29" s="240"/>
      <c r="DI29" s="240"/>
      <c r="DJ29" s="240"/>
      <c r="DK29" s="240"/>
      <c r="DL29" s="240"/>
      <c r="DM29" s="240"/>
      <c r="DN29" s="240"/>
      <c r="DO29" s="240"/>
      <c r="DP29" s="240"/>
      <c r="DQ29" s="240"/>
      <c r="DR29" s="240"/>
      <c r="DS29" s="240"/>
      <c r="DT29" s="240"/>
      <c r="DU29" s="240"/>
      <c r="DV29" s="240"/>
      <c r="DW29" s="240"/>
      <c r="DX29" s="240"/>
      <c r="DY29" s="240"/>
      <c r="DZ29" s="240"/>
      <c r="EA29" s="240"/>
      <c r="EB29" s="240"/>
      <c r="EC29" s="240"/>
      <c r="ED29" s="240"/>
      <c r="EE29" s="240"/>
      <c r="EF29" s="240"/>
      <c r="EG29" s="240"/>
      <c r="EH29" s="240"/>
      <c r="EI29" s="240"/>
      <c r="EJ29" s="240"/>
      <c r="EK29" s="240"/>
    </row>
    <row r="30" spans="1:141" s="218" customFormat="1" ht="15" customHeight="1" thickBot="1" x14ac:dyDescent="0.25">
      <c r="A30" s="1879"/>
      <c r="B30" s="1917"/>
      <c r="C30" s="1918"/>
      <c r="D30" s="1918"/>
      <c r="E30" s="1919"/>
      <c r="F30" s="1920"/>
      <c r="J30" s="219"/>
      <c r="L30" s="220"/>
      <c r="M30" s="221"/>
      <c r="N30" s="222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224"/>
      <c r="BN30" s="224"/>
      <c r="BO30" s="224"/>
      <c r="BP30" s="224"/>
      <c r="BQ30" s="224"/>
      <c r="BR30" s="224"/>
      <c r="BS30" s="224"/>
      <c r="BT30" s="224"/>
      <c r="BU30" s="224"/>
      <c r="BV30" s="224"/>
      <c r="BW30" s="224"/>
      <c r="BX30" s="224"/>
      <c r="BY30" s="224"/>
      <c r="BZ30" s="224"/>
      <c r="CA30" s="224"/>
      <c r="CB30" s="224"/>
      <c r="CC30" s="224"/>
      <c r="CD30" s="224"/>
      <c r="CE30" s="224"/>
      <c r="CF30" s="224"/>
      <c r="CG30" s="224"/>
      <c r="CH30" s="224"/>
      <c r="CI30" s="224"/>
      <c r="CJ30" s="224"/>
      <c r="CK30" s="224"/>
      <c r="CL30" s="224"/>
      <c r="CM30" s="224"/>
      <c r="CN30" s="224"/>
      <c r="CO30" s="224"/>
      <c r="CP30" s="224"/>
      <c r="CQ30" s="224"/>
      <c r="CR30" s="224"/>
      <c r="CS30" s="224"/>
      <c r="CT30" s="224"/>
      <c r="CU30" s="224"/>
      <c r="CV30" s="224"/>
      <c r="CW30" s="224"/>
      <c r="CX30" s="224"/>
      <c r="CY30" s="224"/>
      <c r="CZ30" s="224"/>
      <c r="DA30" s="224"/>
      <c r="DB30" s="224"/>
      <c r="DC30" s="224"/>
      <c r="DD30" s="224"/>
      <c r="DE30" s="224"/>
      <c r="DF30" s="224"/>
      <c r="DG30" s="224"/>
      <c r="DH30" s="224"/>
      <c r="DI30" s="224"/>
      <c r="DJ30" s="224"/>
      <c r="DK30" s="224"/>
      <c r="DL30" s="224"/>
      <c r="DM30" s="224"/>
      <c r="DN30" s="224"/>
      <c r="DO30" s="224"/>
      <c r="DP30" s="224"/>
      <c r="DQ30" s="224"/>
      <c r="DR30" s="224"/>
      <c r="DS30" s="224"/>
      <c r="DT30" s="224"/>
      <c r="DU30" s="224"/>
      <c r="DV30" s="224"/>
      <c r="DW30" s="224"/>
      <c r="DX30" s="224"/>
      <c r="DY30" s="224"/>
      <c r="DZ30" s="224"/>
      <c r="EA30" s="224"/>
      <c r="EB30" s="224"/>
      <c r="EC30" s="224"/>
      <c r="ED30" s="224"/>
      <c r="EE30" s="224"/>
      <c r="EF30" s="224"/>
      <c r="EG30" s="224"/>
      <c r="EH30" s="224"/>
      <c r="EI30" s="224"/>
      <c r="EJ30" s="224"/>
      <c r="EK30" s="224"/>
    </row>
    <row r="31" spans="1:141" ht="15" customHeight="1" x14ac:dyDescent="0.2">
      <c r="A31" s="1975">
        <v>3</v>
      </c>
      <c r="B31" s="1976" t="s">
        <v>858</v>
      </c>
      <c r="C31" s="1977"/>
      <c r="D31" s="1977"/>
      <c r="E31" s="1977"/>
      <c r="F31" s="1978"/>
      <c r="G31" s="185"/>
      <c r="H31" s="231"/>
      <c r="I31" s="231"/>
      <c r="J31" s="231"/>
      <c r="K31" s="231"/>
      <c r="L31" s="232"/>
      <c r="N31" s="233"/>
    </row>
    <row r="32" spans="1:141" s="241" customFormat="1" ht="15" customHeight="1" thickBot="1" x14ac:dyDescent="0.25">
      <c r="A32" s="1979"/>
      <c r="B32" s="1980" t="str">
        <f>'DEFINITIF (APBNP)'!B788</f>
        <v>Pembangunan Terminal Tipe A Bangkalan Thp IV selesai</v>
      </c>
      <c r="C32" s="1980">
        <f>'DEFINITIF (APBNP)'!C788</f>
        <v>1</v>
      </c>
      <c r="D32" s="1980" t="str">
        <f>'DEFINITIF (APBNP)'!D788</f>
        <v>PKT</v>
      </c>
      <c r="E32" s="1980">
        <f>'DEFINITIF (APBNP)'!E788</f>
        <v>10000000</v>
      </c>
      <c r="F32" s="1981">
        <f>C32*E32</f>
        <v>10000000</v>
      </c>
      <c r="G32" s="235"/>
      <c r="H32" s="236"/>
      <c r="I32" s="236"/>
      <c r="J32" s="236"/>
      <c r="K32" s="236"/>
      <c r="L32" s="237"/>
      <c r="M32" s="238"/>
      <c r="N32" s="239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  <c r="BM32" s="240"/>
      <c r="BN32" s="240"/>
      <c r="BO32" s="240"/>
      <c r="BP32" s="240"/>
      <c r="BQ32" s="240"/>
      <c r="BR32" s="240"/>
      <c r="BS32" s="240"/>
      <c r="BT32" s="240"/>
      <c r="BU32" s="240"/>
      <c r="BV32" s="240"/>
      <c r="BW32" s="240"/>
      <c r="BX32" s="240"/>
      <c r="BY32" s="240"/>
      <c r="BZ32" s="240"/>
      <c r="CA32" s="240"/>
      <c r="CB32" s="240"/>
      <c r="CC32" s="240"/>
      <c r="CD32" s="240"/>
      <c r="CE32" s="240"/>
      <c r="CF32" s="240"/>
      <c r="CG32" s="240"/>
      <c r="CH32" s="240"/>
      <c r="CI32" s="240"/>
      <c r="CJ32" s="240"/>
      <c r="CK32" s="240"/>
      <c r="CL32" s="240"/>
      <c r="CM32" s="240"/>
      <c r="CN32" s="240"/>
      <c r="CO32" s="240"/>
      <c r="CP32" s="240"/>
      <c r="CQ32" s="240"/>
      <c r="CR32" s="240"/>
      <c r="CS32" s="240"/>
      <c r="CT32" s="240"/>
      <c r="CU32" s="240"/>
      <c r="CV32" s="240"/>
      <c r="CW32" s="240"/>
      <c r="CX32" s="240"/>
      <c r="CY32" s="240"/>
      <c r="CZ32" s="240"/>
      <c r="DA32" s="240"/>
      <c r="DB32" s="240"/>
      <c r="DC32" s="240"/>
      <c r="DD32" s="240"/>
      <c r="DE32" s="240"/>
      <c r="DF32" s="240"/>
      <c r="DG32" s="240"/>
      <c r="DH32" s="240"/>
      <c r="DI32" s="240"/>
      <c r="DJ32" s="240"/>
      <c r="DK32" s="240"/>
      <c r="DL32" s="240"/>
      <c r="DM32" s="240"/>
      <c r="DN32" s="240"/>
      <c r="DO32" s="240"/>
      <c r="DP32" s="240"/>
      <c r="DQ32" s="240"/>
      <c r="DR32" s="240"/>
      <c r="DS32" s="240"/>
      <c r="DT32" s="240"/>
      <c r="DU32" s="240"/>
      <c r="DV32" s="240"/>
      <c r="DW32" s="240"/>
      <c r="DX32" s="240"/>
      <c r="DY32" s="240"/>
      <c r="DZ32" s="240"/>
      <c r="EA32" s="240"/>
      <c r="EB32" s="240"/>
      <c r="EC32" s="240"/>
      <c r="ED32" s="240"/>
      <c r="EE32" s="240"/>
      <c r="EF32" s="240"/>
      <c r="EG32" s="240"/>
      <c r="EH32" s="240"/>
      <c r="EI32" s="240"/>
      <c r="EJ32" s="240"/>
      <c r="EK32" s="240"/>
    </row>
    <row r="33" spans="1:141" s="241" customFormat="1" ht="15" customHeight="1" x14ac:dyDescent="0.2">
      <c r="A33" s="1922"/>
      <c r="B33" s="1923"/>
      <c r="C33" s="1924"/>
      <c r="D33" s="1923"/>
      <c r="E33" s="1923"/>
      <c r="F33" s="1925">
        <f t="shared" ref="F33:F36" si="0">C33*E33</f>
        <v>0</v>
      </c>
      <c r="G33" s="235"/>
      <c r="H33" s="243"/>
      <c r="I33" s="242"/>
      <c r="J33" s="243"/>
      <c r="K33" s="242"/>
      <c r="L33" s="244"/>
      <c r="M33" s="238"/>
      <c r="N33" s="239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  <c r="CK33" s="240"/>
      <c r="CL33" s="240"/>
      <c r="CM33" s="240"/>
      <c r="CN33" s="240"/>
      <c r="CO33" s="240"/>
      <c r="CP33" s="240"/>
      <c r="CQ33" s="240"/>
      <c r="CR33" s="240"/>
      <c r="CS33" s="240"/>
      <c r="CT33" s="240"/>
      <c r="CU33" s="240"/>
      <c r="CV33" s="240"/>
      <c r="CW33" s="240"/>
      <c r="CX33" s="240"/>
      <c r="CY33" s="240"/>
      <c r="CZ33" s="240"/>
      <c r="DA33" s="240"/>
      <c r="DB33" s="240"/>
      <c r="DC33" s="240"/>
      <c r="DD33" s="240"/>
      <c r="DE33" s="240"/>
      <c r="DF33" s="240"/>
      <c r="DG33" s="240"/>
      <c r="DH33" s="240"/>
      <c r="DI33" s="240"/>
      <c r="DJ33" s="240"/>
      <c r="DK33" s="240"/>
      <c r="DL33" s="240"/>
      <c r="DM33" s="240"/>
      <c r="DN33" s="240"/>
      <c r="DO33" s="240"/>
      <c r="DP33" s="240"/>
      <c r="DQ33" s="240"/>
      <c r="DR33" s="240"/>
      <c r="DS33" s="240"/>
      <c r="DT33" s="240"/>
      <c r="DU33" s="240"/>
      <c r="DV33" s="240"/>
      <c r="DW33" s="240"/>
      <c r="DX33" s="240"/>
      <c r="DY33" s="240"/>
      <c r="DZ33" s="240"/>
      <c r="EA33" s="240"/>
      <c r="EB33" s="240"/>
      <c r="EC33" s="240"/>
      <c r="ED33" s="240"/>
      <c r="EE33" s="240"/>
      <c r="EF33" s="240"/>
      <c r="EG33" s="240"/>
      <c r="EH33" s="240"/>
      <c r="EI33" s="240"/>
      <c r="EJ33" s="240"/>
      <c r="EK33" s="240"/>
    </row>
    <row r="34" spans="1:141" s="241" customFormat="1" ht="15" customHeight="1" x14ac:dyDescent="0.2">
      <c r="A34" s="1967">
        <v>4</v>
      </c>
      <c r="B34" s="1968" t="s">
        <v>795</v>
      </c>
      <c r="C34" s="1987"/>
      <c r="D34" s="1983"/>
      <c r="E34" s="1983"/>
      <c r="F34" s="1984">
        <f t="shared" si="0"/>
        <v>0</v>
      </c>
      <c r="G34" s="235"/>
      <c r="H34" s="243"/>
      <c r="I34" s="242"/>
      <c r="J34" s="243"/>
      <c r="K34" s="242"/>
      <c r="L34" s="244"/>
      <c r="M34" s="238"/>
      <c r="N34" s="239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0"/>
      <c r="DA34" s="240"/>
      <c r="DB34" s="240"/>
      <c r="DC34" s="240"/>
      <c r="DD34" s="240"/>
      <c r="DE34" s="240"/>
      <c r="DF34" s="240"/>
      <c r="DG34" s="240"/>
      <c r="DH34" s="240"/>
      <c r="DI34" s="240"/>
      <c r="DJ34" s="240"/>
      <c r="DK34" s="240"/>
      <c r="DL34" s="240"/>
      <c r="DM34" s="240"/>
      <c r="DN34" s="240"/>
      <c r="DO34" s="240"/>
      <c r="DP34" s="240"/>
      <c r="DQ34" s="240"/>
      <c r="DR34" s="240"/>
      <c r="DS34" s="240"/>
      <c r="DT34" s="240"/>
      <c r="DU34" s="240"/>
      <c r="DV34" s="240"/>
      <c r="DW34" s="240"/>
      <c r="DX34" s="240"/>
      <c r="DY34" s="240"/>
      <c r="DZ34" s="240"/>
      <c r="EA34" s="240"/>
      <c r="EB34" s="240"/>
      <c r="EC34" s="240"/>
      <c r="ED34" s="240"/>
      <c r="EE34" s="240"/>
      <c r="EF34" s="240"/>
      <c r="EG34" s="240"/>
      <c r="EH34" s="240"/>
      <c r="EI34" s="240"/>
      <c r="EJ34" s="240"/>
      <c r="EK34" s="240"/>
    </row>
    <row r="35" spans="1:141" s="241" customFormat="1" ht="15" customHeight="1" x14ac:dyDescent="0.2">
      <c r="A35" s="1982"/>
      <c r="B35" s="1983" t="str">
        <f>'DEFINITIF (APBNP)'!B936</f>
        <v>Pembangunan Terminal ALBN Kefa Kab TTU (Lanjutan)</v>
      </c>
      <c r="C35" s="1983">
        <f>'DEFINITIF (APBNP)'!C936</f>
        <v>1</v>
      </c>
      <c r="D35" s="1983" t="str">
        <f>'DEFINITIF (APBNP)'!D936</f>
        <v>PKT</v>
      </c>
      <c r="E35" s="1983">
        <f>'DEFINITIF (APBNP)'!E936</f>
        <v>10000000</v>
      </c>
      <c r="F35" s="1984">
        <f t="shared" si="0"/>
        <v>10000000</v>
      </c>
      <c r="G35" s="235"/>
      <c r="H35" s="243"/>
      <c r="I35" s="242"/>
      <c r="J35" s="243"/>
      <c r="K35" s="242"/>
      <c r="L35" s="244"/>
      <c r="M35" s="238"/>
      <c r="N35" s="239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0"/>
    </row>
    <row r="36" spans="1:141" s="241" customFormat="1" ht="15" customHeight="1" x14ac:dyDescent="0.2">
      <c r="A36" s="638"/>
      <c r="B36" s="639"/>
      <c r="C36" s="641"/>
      <c r="D36" s="639"/>
      <c r="E36" s="639"/>
      <c r="F36" s="640">
        <f t="shared" si="0"/>
        <v>0</v>
      </c>
      <c r="G36" s="235"/>
      <c r="H36" s="243"/>
      <c r="I36" s="242"/>
      <c r="J36" s="243"/>
      <c r="K36" s="242"/>
      <c r="L36" s="244"/>
      <c r="M36" s="238"/>
      <c r="N36" s="239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0"/>
      <c r="DA36" s="240"/>
      <c r="DB36" s="240"/>
      <c r="DC36" s="240"/>
      <c r="DD36" s="240"/>
      <c r="DE36" s="240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0"/>
      <c r="DQ36" s="240"/>
      <c r="DR36" s="240"/>
      <c r="DS36" s="240"/>
      <c r="DT36" s="240"/>
      <c r="DU36" s="240"/>
      <c r="DV36" s="240"/>
      <c r="DW36" s="240"/>
      <c r="DX36" s="240"/>
      <c r="DY36" s="240"/>
      <c r="DZ36" s="240"/>
      <c r="EA36" s="240"/>
      <c r="EB36" s="240"/>
      <c r="EC36" s="240"/>
      <c r="ED36" s="240"/>
      <c r="EE36" s="240"/>
      <c r="EF36" s="240"/>
      <c r="EG36" s="240"/>
      <c r="EH36" s="240"/>
      <c r="EI36" s="240"/>
      <c r="EJ36" s="240"/>
      <c r="EK36" s="240"/>
    </row>
    <row r="37" spans="1:141" ht="15" customHeight="1" x14ac:dyDescent="0.2">
      <c r="A37" s="1967">
        <v>5</v>
      </c>
      <c r="B37" s="1968" t="s">
        <v>1735</v>
      </c>
      <c r="C37" s="1973"/>
      <c r="D37" s="1959"/>
      <c r="E37" s="1974"/>
      <c r="F37" s="1969"/>
      <c r="G37" s="185"/>
      <c r="H37" s="185"/>
      <c r="J37" s="185"/>
      <c r="L37" s="71"/>
      <c r="N37" s="65"/>
    </row>
    <row r="38" spans="1:141" ht="15" customHeight="1" x14ac:dyDescent="0.2">
      <c r="A38" s="1970"/>
      <c r="B38" s="1971" t="str">
        <f>'DEFINITIF (APBNP)'!B1092</f>
        <v>Pembangunan Terminal AKAP di Kota Palangkaraya Tahap IX (termasuk supervisi) (selesai)</v>
      </c>
      <c r="C38" s="1971">
        <f>'DEFINITIF (APBNP)'!C1092</f>
        <v>1</v>
      </c>
      <c r="D38" s="1971" t="str">
        <f>'DEFINITIF (APBNP)'!D1092</f>
        <v>PKT</v>
      </c>
      <c r="E38" s="1971">
        <f>'DEFINITIF (APBNP)'!E1092</f>
        <v>8250115</v>
      </c>
      <c r="F38" s="1972">
        <f>E38*C38</f>
        <v>8250115</v>
      </c>
      <c r="G38" s="185"/>
      <c r="H38" s="185"/>
      <c r="J38" s="185"/>
      <c r="L38" s="71"/>
      <c r="N38" s="65"/>
    </row>
    <row r="39" spans="1:141" ht="15" customHeight="1" x14ac:dyDescent="0.2">
      <c r="A39" s="644"/>
      <c r="B39" s="645"/>
      <c r="C39" s="645"/>
      <c r="D39" s="645"/>
      <c r="E39" s="645"/>
      <c r="F39" s="637"/>
      <c r="G39" s="185"/>
      <c r="H39" s="185"/>
      <c r="J39" s="185"/>
      <c r="L39" s="71"/>
      <c r="N39" s="65"/>
    </row>
    <row r="40" spans="1:141" s="562" customFormat="1" ht="15" customHeight="1" x14ac:dyDescent="0.2">
      <c r="A40" s="1967">
        <v>6</v>
      </c>
      <c r="B40" s="1968" t="s">
        <v>818</v>
      </c>
      <c r="C40" s="1968"/>
      <c r="D40" s="1968"/>
      <c r="E40" s="1968"/>
      <c r="F40" s="1969"/>
      <c r="G40" s="558"/>
      <c r="H40" s="558"/>
      <c r="J40" s="558"/>
      <c r="L40" s="1071"/>
      <c r="M40" s="560"/>
      <c r="N40" s="1072"/>
      <c r="O40" s="1073"/>
      <c r="P40" s="1073"/>
      <c r="Q40" s="1073"/>
      <c r="R40" s="1073"/>
      <c r="S40" s="1073"/>
      <c r="T40" s="1073"/>
      <c r="U40" s="1073"/>
      <c r="V40" s="1073"/>
      <c r="W40" s="1073"/>
      <c r="X40" s="1073"/>
      <c r="Y40" s="1073"/>
      <c r="Z40" s="1073"/>
      <c r="AA40" s="1073"/>
      <c r="AB40" s="1073"/>
      <c r="AC40" s="1073"/>
      <c r="AD40" s="1073"/>
      <c r="AE40" s="1073"/>
      <c r="AF40" s="1073"/>
      <c r="AG40" s="1073"/>
      <c r="AH40" s="1073"/>
      <c r="AI40" s="1073"/>
      <c r="AJ40" s="1073"/>
      <c r="AK40" s="1073"/>
      <c r="AL40" s="1073"/>
      <c r="AM40" s="1073"/>
      <c r="AN40" s="1073"/>
      <c r="AO40" s="1073"/>
      <c r="AP40" s="1073"/>
      <c r="AQ40" s="1073"/>
      <c r="AR40" s="1073"/>
      <c r="AS40" s="1073"/>
      <c r="AT40" s="1073"/>
      <c r="AU40" s="1073"/>
      <c r="AV40" s="1073"/>
      <c r="AW40" s="1073"/>
      <c r="AX40" s="1073"/>
      <c r="AY40" s="1073"/>
      <c r="AZ40" s="1073"/>
      <c r="BA40" s="1073"/>
      <c r="BB40" s="1073"/>
      <c r="BC40" s="1073"/>
      <c r="BD40" s="1073"/>
      <c r="BE40" s="1073"/>
      <c r="BF40" s="1073"/>
      <c r="BG40" s="1073"/>
      <c r="BH40" s="1073"/>
      <c r="BI40" s="1073"/>
      <c r="BJ40" s="1073"/>
      <c r="BK40" s="1073"/>
      <c r="BL40" s="1073"/>
      <c r="BM40" s="1073"/>
      <c r="BN40" s="1073"/>
      <c r="BO40" s="1073"/>
      <c r="BP40" s="1073"/>
      <c r="BQ40" s="1073"/>
      <c r="BR40" s="1073"/>
      <c r="BS40" s="1073"/>
      <c r="BT40" s="1073"/>
      <c r="BU40" s="1073"/>
      <c r="BV40" s="1073"/>
      <c r="BW40" s="1073"/>
      <c r="BX40" s="1073"/>
      <c r="BY40" s="1073"/>
      <c r="BZ40" s="1073"/>
      <c r="CA40" s="1073"/>
      <c r="CB40" s="1073"/>
      <c r="CC40" s="1073"/>
      <c r="CD40" s="1073"/>
      <c r="CE40" s="1073"/>
      <c r="CF40" s="1073"/>
      <c r="CG40" s="1073"/>
      <c r="CH40" s="1073"/>
      <c r="CI40" s="1073"/>
      <c r="CJ40" s="1073"/>
      <c r="CK40" s="1073"/>
      <c r="CL40" s="1073"/>
      <c r="CM40" s="1073"/>
      <c r="CN40" s="1073"/>
      <c r="CO40" s="1073"/>
      <c r="CP40" s="1073"/>
      <c r="CQ40" s="1073"/>
      <c r="CR40" s="1073"/>
      <c r="CS40" s="1073"/>
      <c r="CT40" s="1073"/>
      <c r="CU40" s="1073"/>
      <c r="CV40" s="1073"/>
      <c r="CW40" s="1073"/>
      <c r="CX40" s="1073"/>
      <c r="CY40" s="1073"/>
      <c r="CZ40" s="1073"/>
      <c r="DA40" s="1073"/>
      <c r="DB40" s="1073"/>
      <c r="DC40" s="1073"/>
      <c r="DD40" s="1073"/>
      <c r="DE40" s="1073"/>
      <c r="DF40" s="1073"/>
      <c r="DG40" s="1073"/>
      <c r="DH40" s="1073"/>
      <c r="DI40" s="1073"/>
      <c r="DJ40" s="1073"/>
      <c r="DK40" s="1073"/>
      <c r="DL40" s="1073"/>
      <c r="DM40" s="1073"/>
      <c r="DN40" s="1073"/>
      <c r="DO40" s="1073"/>
      <c r="DP40" s="1073"/>
      <c r="DQ40" s="1073"/>
      <c r="DR40" s="1073"/>
      <c r="DS40" s="1073"/>
      <c r="DT40" s="1073"/>
      <c r="DU40" s="1073"/>
      <c r="DV40" s="1073"/>
      <c r="DW40" s="1073"/>
      <c r="DX40" s="1073"/>
      <c r="DY40" s="1073"/>
      <c r="DZ40" s="1073"/>
      <c r="EA40" s="1073"/>
      <c r="EB40" s="1073"/>
      <c r="EC40" s="1073"/>
      <c r="ED40" s="1073"/>
      <c r="EE40" s="1073"/>
      <c r="EF40" s="1073"/>
      <c r="EG40" s="1073"/>
      <c r="EH40" s="1073"/>
      <c r="EI40" s="1073"/>
      <c r="EJ40" s="1073"/>
      <c r="EK40" s="1073"/>
    </row>
    <row r="41" spans="1:141" ht="15" customHeight="1" x14ac:dyDescent="0.2">
      <c r="A41" s="1970"/>
      <c r="B41" s="1971" t="str">
        <f>'DEFINITIF (APBNP)'!B1698</f>
        <v>Terminal Tipe A Passo Ambon (selesai)</v>
      </c>
      <c r="C41" s="1971">
        <f>'DEFINITIF (APBNP)'!C1698</f>
        <v>1</v>
      </c>
      <c r="D41" s="1971" t="str">
        <f>'DEFINITIF (APBNP)'!D1698</f>
        <v>PKT</v>
      </c>
      <c r="E41" s="1971">
        <f>'DEFINITIF (APBNP)'!E1698</f>
        <v>5000000</v>
      </c>
      <c r="F41" s="1972">
        <f>E41*C41</f>
        <v>5000000</v>
      </c>
      <c r="G41" s="185"/>
      <c r="H41" s="185"/>
      <c r="J41" s="185"/>
      <c r="L41" s="71"/>
      <c r="N41" s="65"/>
      <c r="P41" s="64">
        <v>1</v>
      </c>
    </row>
    <row r="42" spans="1:141" ht="15" customHeight="1" x14ac:dyDescent="0.2">
      <c r="A42" s="644"/>
      <c r="B42" s="645"/>
      <c r="C42" s="645"/>
      <c r="D42" s="645"/>
      <c r="E42" s="645"/>
      <c r="F42" s="637"/>
      <c r="G42" s="185"/>
      <c r="H42" s="185"/>
      <c r="J42" s="185"/>
      <c r="L42" s="71"/>
      <c r="N42" s="65"/>
    </row>
    <row r="43" spans="1:141" ht="15" customHeight="1" x14ac:dyDescent="0.2">
      <c r="A43" s="635">
        <v>7</v>
      </c>
      <c r="B43" s="636" t="s">
        <v>849</v>
      </c>
      <c r="C43" s="642"/>
      <c r="D43" s="634"/>
      <c r="E43" s="628"/>
      <c r="F43" s="643"/>
      <c r="G43" s="185"/>
      <c r="H43" s="185"/>
      <c r="J43" s="185"/>
      <c r="L43" s="71"/>
      <c r="N43" s="65"/>
    </row>
    <row r="44" spans="1:141" ht="15" customHeight="1" x14ac:dyDescent="0.2">
      <c r="A44" s="644"/>
      <c r="B44" s="645" t="str">
        <f>'DEFINITIF (APBNP)'!B1583</f>
        <v>Pembangunan Terminal AKAP Liwas Kota Manado Thp IV (Selesai)</v>
      </c>
      <c r="C44" s="645">
        <f>'DEFINITIF (APBNP)'!C1583</f>
        <v>1</v>
      </c>
      <c r="D44" s="645" t="str">
        <f>'DEFINITIF (APBNP)'!D1583</f>
        <v>PKT</v>
      </c>
      <c r="E44" s="645">
        <f>'DEFINITIF (APBNP)'!E1583</f>
        <v>8850000</v>
      </c>
      <c r="F44" s="637">
        <f>E44*C44</f>
        <v>8850000</v>
      </c>
      <c r="G44" s="185"/>
      <c r="H44" s="185"/>
      <c r="J44" s="185"/>
      <c r="L44" s="71"/>
      <c r="N44" s="65"/>
    </row>
    <row r="45" spans="1:141" ht="15" customHeight="1" x14ac:dyDescent="0.2">
      <c r="A45" s="644"/>
      <c r="B45" s="645" t="str">
        <f>'DEFINITIF (APBNP)'!B1584</f>
        <v>Pembangunan Terminal Buroko Tahap III (selesai)</v>
      </c>
      <c r="C45" s="645">
        <f>'DEFINITIF (APBNP)'!C1584</f>
        <v>1</v>
      </c>
      <c r="D45" s="645" t="str">
        <f>'DEFINITIF (APBNP)'!D1584</f>
        <v>PKT</v>
      </c>
      <c r="E45" s="645">
        <f>'DEFINITIF (APBNP)'!E1584</f>
        <v>7143000</v>
      </c>
      <c r="F45" s="637">
        <f>E45*C45</f>
        <v>7143000</v>
      </c>
      <c r="G45" s="185"/>
      <c r="H45" s="185"/>
      <c r="J45" s="185"/>
      <c r="L45" s="71"/>
      <c r="N45" s="65"/>
    </row>
    <row r="46" spans="1:141" ht="15" customHeight="1" x14ac:dyDescent="0.2">
      <c r="A46" s="644"/>
      <c r="B46" s="645"/>
      <c r="C46" s="645"/>
      <c r="D46" s="645"/>
      <c r="E46" s="645"/>
      <c r="F46" s="637"/>
      <c r="G46" s="185"/>
      <c r="H46" s="185"/>
      <c r="J46" s="185"/>
      <c r="L46" s="71"/>
      <c r="N46" s="65"/>
    </row>
    <row r="47" spans="1:141" s="226" customFormat="1" ht="15" customHeight="1" x14ac:dyDescent="0.2">
      <c r="A47" s="1955">
        <v>6</v>
      </c>
      <c r="B47" s="1956" t="s">
        <v>864</v>
      </c>
      <c r="C47" s="1957"/>
      <c r="D47" s="1958"/>
      <c r="E47" s="1959"/>
      <c r="F47" s="1960"/>
      <c r="L47" s="227"/>
      <c r="M47" s="227"/>
    </row>
    <row r="48" spans="1:141" s="224" customFormat="1" ht="15" customHeight="1" x14ac:dyDescent="0.2">
      <c r="A48" s="1961"/>
      <c r="B48" s="1962" t="str">
        <f>'DEFINITIF (APBNP)'!B2817</f>
        <v>Pembangunan Terminal Sukabumi Tahap III (selesai)</v>
      </c>
      <c r="C48" s="1963">
        <f>'DEFINITIF (APBNP)'!C2817</f>
        <v>1</v>
      </c>
      <c r="D48" s="1964" t="str">
        <f>'DEFINITIF (APBNP)'!D2817</f>
        <v>PKT</v>
      </c>
      <c r="E48" s="1965">
        <f>'DEFINITIF (APBNP)'!E2817</f>
        <v>15000000</v>
      </c>
      <c r="F48" s="1966">
        <f>C48*E48</f>
        <v>15000000</v>
      </c>
      <c r="L48" s="229"/>
      <c r="M48" s="229"/>
      <c r="P48" s="224">
        <v>1</v>
      </c>
    </row>
    <row r="49" spans="1:141" ht="15" customHeight="1" x14ac:dyDescent="0.2">
      <c r="A49" s="644"/>
      <c r="B49" s="645"/>
      <c r="C49" s="645"/>
      <c r="D49" s="645"/>
      <c r="E49" s="645"/>
      <c r="F49" s="637"/>
      <c r="G49" s="185"/>
      <c r="H49" s="185"/>
      <c r="J49" s="185"/>
      <c r="L49" s="71"/>
      <c r="N49" s="65"/>
    </row>
    <row r="50" spans="1:141" s="218" customFormat="1" ht="15" customHeight="1" x14ac:dyDescent="0.2">
      <c r="A50" s="644"/>
      <c r="B50" s="645"/>
      <c r="C50" s="646"/>
      <c r="D50" s="647"/>
      <c r="E50" s="647"/>
      <c r="F50" s="637"/>
      <c r="G50" s="219"/>
      <c r="H50" s="219"/>
      <c r="J50" s="219"/>
      <c r="L50" s="247"/>
      <c r="M50" s="221"/>
      <c r="N50" s="222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4"/>
      <c r="BN50" s="224"/>
      <c r="BO50" s="224"/>
      <c r="BP50" s="224"/>
      <c r="BQ50" s="224"/>
      <c r="BR50" s="224"/>
      <c r="BS50" s="224"/>
      <c r="BT50" s="224"/>
      <c r="BU50" s="224"/>
      <c r="BV50" s="224"/>
      <c r="BW50" s="224"/>
      <c r="BX50" s="224"/>
      <c r="BY50" s="224"/>
      <c r="BZ50" s="224"/>
      <c r="CA50" s="224"/>
      <c r="CB50" s="224"/>
      <c r="CC50" s="224"/>
      <c r="CD50" s="224"/>
      <c r="CE50" s="224"/>
      <c r="CF50" s="224"/>
      <c r="CG50" s="224"/>
      <c r="CH50" s="224"/>
      <c r="CI50" s="224"/>
      <c r="CJ50" s="224"/>
      <c r="CK50" s="224"/>
      <c r="CL50" s="224"/>
      <c r="CM50" s="224"/>
      <c r="CN50" s="224"/>
      <c r="CO50" s="224"/>
      <c r="CP50" s="224"/>
      <c r="CQ50" s="224"/>
      <c r="CR50" s="224"/>
      <c r="CS50" s="224"/>
      <c r="CT50" s="224"/>
      <c r="CU50" s="224"/>
      <c r="CV50" s="224"/>
      <c r="CW50" s="224"/>
      <c r="CX50" s="224"/>
      <c r="CY50" s="224"/>
      <c r="CZ50" s="224"/>
      <c r="DA50" s="224"/>
      <c r="DB50" s="224"/>
      <c r="DC50" s="224"/>
      <c r="DD50" s="224"/>
      <c r="DE50" s="224"/>
      <c r="DF50" s="224"/>
      <c r="DG50" s="224"/>
      <c r="DH50" s="224"/>
      <c r="DI50" s="224"/>
      <c r="DJ50" s="224"/>
      <c r="DK50" s="224"/>
      <c r="DL50" s="224"/>
      <c r="DM50" s="224"/>
      <c r="DN50" s="224"/>
      <c r="DO50" s="224"/>
      <c r="DP50" s="224"/>
      <c r="DQ50" s="224"/>
      <c r="DR50" s="224"/>
      <c r="DS50" s="224"/>
      <c r="DT50" s="224"/>
      <c r="DU50" s="224"/>
      <c r="DV50" s="224"/>
      <c r="DW50" s="224"/>
      <c r="DX50" s="224"/>
      <c r="DY50" s="224"/>
      <c r="DZ50" s="224"/>
      <c r="EA50" s="224"/>
      <c r="EB50" s="224"/>
      <c r="EC50" s="224"/>
      <c r="ED50" s="224"/>
      <c r="EE50" s="224"/>
      <c r="EF50" s="224"/>
      <c r="EG50" s="224"/>
      <c r="EH50" s="224"/>
      <c r="EI50" s="224"/>
      <c r="EJ50" s="224"/>
      <c r="EK50" s="224"/>
    </row>
    <row r="51" spans="1:141" s="226" customFormat="1" ht="15" customHeight="1" thickBot="1" x14ac:dyDescent="0.25">
      <c r="A51" s="648"/>
      <c r="B51" s="649"/>
      <c r="C51" s="650"/>
      <c r="D51" s="651"/>
      <c r="E51" s="652"/>
      <c r="F51" s="653"/>
      <c r="L51" s="227"/>
      <c r="M51" s="227"/>
    </row>
    <row r="52" spans="1:141" s="218" customFormat="1" ht="15" customHeight="1" x14ac:dyDescent="0.2">
      <c r="A52" s="1891"/>
      <c r="B52" s="1892"/>
      <c r="C52" s="1893"/>
      <c r="D52" s="1892"/>
      <c r="E52" s="1894"/>
      <c r="F52" s="1891"/>
      <c r="G52" s="224"/>
      <c r="H52" s="257"/>
      <c r="I52" s="258"/>
      <c r="J52" s="258"/>
      <c r="K52" s="258"/>
      <c r="L52" s="256"/>
      <c r="M52" s="221"/>
      <c r="N52" s="259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  <c r="AS52" s="224"/>
      <c r="AT52" s="224"/>
      <c r="AU52" s="224"/>
      <c r="AV52" s="224"/>
      <c r="AW52" s="224"/>
      <c r="AX52" s="224"/>
      <c r="AY52" s="224"/>
      <c r="AZ52" s="224"/>
      <c r="BA52" s="224"/>
      <c r="BB52" s="224"/>
      <c r="BC52" s="224"/>
      <c r="BD52" s="224"/>
      <c r="BE52" s="224"/>
      <c r="BF52" s="224"/>
      <c r="BG52" s="224"/>
      <c r="BH52" s="224"/>
      <c r="BI52" s="224"/>
      <c r="BJ52" s="224"/>
      <c r="BK52" s="224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224"/>
      <c r="BY52" s="224"/>
      <c r="BZ52" s="224"/>
      <c r="CA52" s="224"/>
      <c r="CB52" s="224"/>
      <c r="CC52" s="224"/>
      <c r="CD52" s="224"/>
      <c r="CE52" s="224"/>
      <c r="CF52" s="224"/>
      <c r="CG52" s="224"/>
      <c r="CH52" s="224"/>
      <c r="CI52" s="224"/>
      <c r="CJ52" s="224"/>
      <c r="CK52" s="224"/>
      <c r="CL52" s="224"/>
      <c r="CM52" s="224"/>
      <c r="CN52" s="224"/>
      <c r="CO52" s="224"/>
      <c r="CP52" s="224"/>
      <c r="CQ52" s="224"/>
      <c r="CR52" s="224"/>
      <c r="CS52" s="224"/>
      <c r="CT52" s="224"/>
      <c r="CU52" s="224"/>
      <c r="CV52" s="224"/>
      <c r="CW52" s="224"/>
      <c r="CX52" s="224"/>
      <c r="CY52" s="224"/>
      <c r="CZ52" s="224"/>
      <c r="DA52" s="224"/>
      <c r="DB52" s="224"/>
      <c r="DC52" s="224"/>
      <c r="DD52" s="224"/>
      <c r="DE52" s="224"/>
      <c r="DF52" s="224"/>
      <c r="DG52" s="224"/>
      <c r="DH52" s="224"/>
      <c r="DI52" s="224"/>
      <c r="DJ52" s="224"/>
      <c r="DK52" s="224"/>
      <c r="DL52" s="224"/>
      <c r="DM52" s="224"/>
      <c r="DN52" s="224"/>
      <c r="DO52" s="224"/>
      <c r="DP52" s="224"/>
      <c r="DQ52" s="224"/>
      <c r="DR52" s="224"/>
      <c r="DS52" s="224"/>
      <c r="DT52" s="224"/>
      <c r="DU52" s="224"/>
      <c r="DV52" s="224"/>
      <c r="DW52" s="224"/>
      <c r="DX52" s="224"/>
      <c r="DY52" s="224"/>
      <c r="DZ52" s="224"/>
      <c r="EA52" s="224"/>
      <c r="EB52" s="224"/>
      <c r="EC52" s="224"/>
      <c r="ED52" s="224"/>
      <c r="EE52" s="224"/>
      <c r="EF52" s="224"/>
      <c r="EG52" s="224"/>
      <c r="EH52" s="224"/>
      <c r="EI52" s="224"/>
      <c r="EJ52" s="224"/>
      <c r="EK52" s="224"/>
    </row>
    <row r="53" spans="1:141" s="218" customFormat="1" ht="15" customHeight="1" x14ac:dyDescent="0.2">
      <c r="A53" s="654"/>
      <c r="B53" s="655"/>
      <c r="C53" s="656"/>
      <c r="D53" s="655"/>
      <c r="E53" s="657"/>
      <c r="F53" s="654"/>
      <c r="G53" s="224"/>
      <c r="H53" s="257"/>
      <c r="I53" s="258"/>
      <c r="J53" s="258"/>
      <c r="K53" s="258"/>
      <c r="L53" s="256"/>
      <c r="M53" s="221"/>
      <c r="N53" s="259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  <c r="AS53" s="224"/>
      <c r="AT53" s="224"/>
      <c r="AU53" s="224"/>
      <c r="AV53" s="224"/>
      <c r="AW53" s="224"/>
      <c r="AX53" s="224"/>
      <c r="AY53" s="224"/>
      <c r="AZ53" s="224"/>
      <c r="BA53" s="224"/>
      <c r="BB53" s="224"/>
      <c r="BC53" s="224"/>
      <c r="BD53" s="224"/>
      <c r="BE53" s="224"/>
      <c r="BF53" s="224"/>
      <c r="BG53" s="224"/>
      <c r="BH53" s="224"/>
      <c r="BI53" s="224"/>
      <c r="BJ53" s="224"/>
      <c r="BK53" s="224"/>
      <c r="BL53" s="224"/>
      <c r="BM53" s="224"/>
      <c r="BN53" s="224"/>
      <c r="BO53" s="224"/>
      <c r="BP53" s="224"/>
      <c r="BQ53" s="224"/>
      <c r="BR53" s="224"/>
      <c r="BS53" s="224"/>
      <c r="BT53" s="224"/>
      <c r="BU53" s="224"/>
      <c r="BV53" s="224"/>
      <c r="BW53" s="224"/>
      <c r="BX53" s="224"/>
      <c r="BY53" s="224"/>
      <c r="BZ53" s="224"/>
      <c r="CA53" s="224"/>
      <c r="CB53" s="224"/>
      <c r="CC53" s="224"/>
      <c r="CD53" s="224"/>
      <c r="CE53" s="224"/>
      <c r="CF53" s="224"/>
      <c r="CG53" s="224"/>
      <c r="CH53" s="224"/>
      <c r="CI53" s="224"/>
      <c r="CJ53" s="224"/>
      <c r="CK53" s="224"/>
      <c r="CL53" s="224"/>
      <c r="CM53" s="224"/>
      <c r="CN53" s="224"/>
      <c r="CO53" s="224"/>
      <c r="CP53" s="224"/>
      <c r="CQ53" s="224"/>
      <c r="CR53" s="224"/>
      <c r="CS53" s="224"/>
      <c r="CT53" s="224"/>
      <c r="CU53" s="224"/>
      <c r="CV53" s="224"/>
      <c r="CW53" s="224"/>
      <c r="CX53" s="224"/>
      <c r="CY53" s="224"/>
      <c r="CZ53" s="224"/>
      <c r="DA53" s="224"/>
      <c r="DB53" s="224"/>
      <c r="DC53" s="224"/>
      <c r="DD53" s="224"/>
      <c r="DE53" s="224"/>
      <c r="DF53" s="224"/>
      <c r="DG53" s="224"/>
      <c r="DH53" s="224"/>
      <c r="DI53" s="224"/>
      <c r="DJ53" s="224"/>
      <c r="DK53" s="224"/>
      <c r="DL53" s="224"/>
      <c r="DM53" s="224"/>
      <c r="DN53" s="224"/>
      <c r="DO53" s="224"/>
      <c r="DP53" s="224"/>
      <c r="DQ53" s="224"/>
      <c r="DR53" s="224"/>
      <c r="DS53" s="224"/>
      <c r="DT53" s="224"/>
      <c r="DU53" s="224"/>
      <c r="DV53" s="224"/>
      <c r="DW53" s="224"/>
      <c r="DX53" s="224"/>
      <c r="DY53" s="224"/>
      <c r="DZ53" s="224"/>
      <c r="EA53" s="224"/>
      <c r="EB53" s="224"/>
      <c r="EC53" s="224"/>
      <c r="ED53" s="224"/>
      <c r="EE53" s="224"/>
      <c r="EF53" s="224"/>
      <c r="EG53" s="224"/>
      <c r="EH53" s="224"/>
      <c r="EI53" s="224"/>
      <c r="EJ53" s="224"/>
      <c r="EK53" s="224"/>
    </row>
    <row r="54" spans="1:141" s="64" customFormat="1" ht="15" customHeight="1" x14ac:dyDescent="0.2">
      <c r="A54" s="1872"/>
      <c r="B54" s="180"/>
      <c r="C54" s="181"/>
      <c r="D54" s="182"/>
      <c r="E54" s="183"/>
      <c r="F54" s="1857"/>
      <c r="L54" s="187"/>
      <c r="M54" s="187"/>
    </row>
    <row r="55" spans="1:141" s="64" customFormat="1" ht="15" customHeight="1" x14ac:dyDescent="0.2">
      <c r="A55" s="1872"/>
      <c r="B55" s="180"/>
      <c r="C55" s="181"/>
      <c r="D55" s="182"/>
      <c r="E55" s="183"/>
      <c r="F55" s="1857"/>
      <c r="L55" s="187"/>
      <c r="M55" s="187"/>
    </row>
    <row r="56" spans="1:141" s="64" customFormat="1" ht="15" customHeight="1" x14ac:dyDescent="0.2">
      <c r="A56" s="1872"/>
      <c r="B56" s="180"/>
      <c r="C56" s="181"/>
      <c r="D56" s="182"/>
      <c r="E56" s="183"/>
      <c r="F56" s="1857"/>
      <c r="L56" s="187"/>
      <c r="M56" s="187"/>
    </row>
    <row r="57" spans="1:141" s="64" customFormat="1" ht="15" customHeight="1" x14ac:dyDescent="0.2">
      <c r="A57" s="1872"/>
      <c r="B57" s="180"/>
      <c r="C57" s="181"/>
      <c r="D57" s="182"/>
      <c r="E57" s="183"/>
      <c r="F57" s="1857"/>
      <c r="L57" s="187"/>
      <c r="M57" s="187"/>
    </row>
    <row r="58" spans="1:141" s="64" customFormat="1" ht="15" customHeight="1" x14ac:dyDescent="0.2">
      <c r="A58" s="1872"/>
      <c r="B58" s="180"/>
      <c r="C58" s="181"/>
      <c r="D58" s="182"/>
      <c r="E58" s="183"/>
      <c r="F58" s="1857"/>
      <c r="L58" s="187"/>
      <c r="M58" s="187"/>
    </row>
    <row r="59" spans="1:141" s="64" customFormat="1" ht="15" customHeight="1" x14ac:dyDescent="0.2">
      <c r="A59" s="1872"/>
      <c r="B59" s="180"/>
      <c r="C59" s="181"/>
      <c r="D59" s="182"/>
      <c r="E59" s="183"/>
      <c r="F59" s="1857"/>
      <c r="L59" s="187"/>
      <c r="M59" s="187"/>
    </row>
    <row r="60" spans="1:141" s="64" customFormat="1" ht="15" customHeight="1" x14ac:dyDescent="0.2">
      <c r="A60" s="1872"/>
      <c r="B60" s="180"/>
      <c r="C60" s="181"/>
      <c r="D60" s="182"/>
      <c r="E60" s="183"/>
      <c r="F60" s="1857"/>
      <c r="L60" s="187"/>
      <c r="M60" s="187"/>
    </row>
    <row r="61" spans="1:141" s="64" customFormat="1" ht="15" customHeight="1" x14ac:dyDescent="0.2">
      <c r="A61" s="1872"/>
      <c r="B61" s="180"/>
      <c r="C61" s="181"/>
      <c r="D61" s="182"/>
      <c r="E61" s="183"/>
      <c r="F61" s="1857"/>
      <c r="L61" s="187"/>
      <c r="M61" s="187"/>
    </row>
    <row r="62" spans="1:141" s="64" customFormat="1" ht="15" customHeight="1" x14ac:dyDescent="0.2">
      <c r="A62" s="1872"/>
      <c r="B62" s="180"/>
      <c r="C62" s="181"/>
      <c r="D62" s="182"/>
      <c r="E62" s="183"/>
      <c r="F62" s="1857"/>
      <c r="L62" s="187"/>
      <c r="M62" s="187"/>
    </row>
    <row r="63" spans="1:141" s="64" customFormat="1" ht="15" customHeight="1" x14ac:dyDescent="0.2">
      <c r="A63" s="1872"/>
      <c r="B63" s="180"/>
      <c r="C63" s="181"/>
      <c r="D63" s="182"/>
      <c r="E63" s="183"/>
      <c r="F63" s="1857"/>
      <c r="L63" s="187"/>
      <c r="M63" s="187"/>
    </row>
    <row r="64" spans="1:141" s="64" customFormat="1" ht="15" customHeight="1" x14ac:dyDescent="0.2">
      <c r="A64" s="1872"/>
      <c r="B64" s="180"/>
      <c r="C64" s="181"/>
      <c r="D64" s="182"/>
      <c r="E64" s="183"/>
      <c r="F64" s="1857"/>
      <c r="L64" s="187"/>
      <c r="M64" s="187"/>
    </row>
    <row r="65" spans="1:13" s="64" customFormat="1" ht="15" customHeight="1" x14ac:dyDescent="0.2">
      <c r="A65" s="1872"/>
      <c r="B65" s="180"/>
      <c r="C65" s="181"/>
      <c r="D65" s="182"/>
      <c r="E65" s="183"/>
      <c r="F65" s="1857"/>
      <c r="L65" s="187"/>
      <c r="M65" s="187"/>
    </row>
    <row r="66" spans="1:13" s="64" customFormat="1" ht="15" customHeight="1" x14ac:dyDescent="0.2">
      <c r="A66" s="1872"/>
      <c r="B66" s="180"/>
      <c r="C66" s="181"/>
      <c r="D66" s="182"/>
      <c r="E66" s="183"/>
      <c r="F66" s="1857"/>
      <c r="L66" s="187"/>
      <c r="M66" s="187"/>
    </row>
    <row r="67" spans="1:13" s="64" customFormat="1" ht="15" customHeight="1" x14ac:dyDescent="0.2">
      <c r="A67" s="1872"/>
      <c r="B67" s="180"/>
      <c r="C67" s="181"/>
      <c r="D67" s="182"/>
      <c r="E67" s="183"/>
      <c r="F67" s="1857"/>
      <c r="L67" s="187"/>
      <c r="M67" s="187"/>
    </row>
    <row r="68" spans="1:13" s="64" customFormat="1" ht="15" customHeight="1" x14ac:dyDescent="0.2">
      <c r="A68" s="1872"/>
      <c r="B68" s="180"/>
      <c r="C68" s="181"/>
      <c r="D68" s="182"/>
      <c r="E68" s="183"/>
      <c r="F68" s="1857"/>
      <c r="L68" s="187"/>
      <c r="M68" s="187"/>
    </row>
    <row r="69" spans="1:13" s="64" customFormat="1" ht="15" customHeight="1" x14ac:dyDescent="0.2">
      <c r="A69" s="1872"/>
      <c r="B69" s="180"/>
      <c r="C69" s="181"/>
      <c r="D69" s="182"/>
      <c r="E69" s="183"/>
      <c r="F69" s="1857"/>
      <c r="L69" s="187"/>
      <c r="M69" s="187"/>
    </row>
    <row r="70" spans="1:13" s="64" customFormat="1" ht="15" customHeight="1" x14ac:dyDescent="0.2">
      <c r="A70" s="1872"/>
      <c r="B70" s="180"/>
      <c r="C70" s="181"/>
      <c r="D70" s="182"/>
      <c r="E70" s="183"/>
      <c r="F70" s="1857"/>
      <c r="L70" s="187"/>
      <c r="M70" s="187"/>
    </row>
    <row r="71" spans="1:13" s="64" customFormat="1" ht="15" customHeight="1" x14ac:dyDescent="0.2">
      <c r="A71" s="1872"/>
      <c r="B71" s="180"/>
      <c r="C71" s="181"/>
      <c r="D71" s="182"/>
      <c r="E71" s="183"/>
      <c r="F71" s="1857"/>
      <c r="L71" s="187"/>
      <c r="M71" s="187"/>
    </row>
    <row r="72" spans="1:13" s="64" customFormat="1" ht="15" customHeight="1" x14ac:dyDescent="0.2">
      <c r="A72" s="1872"/>
      <c r="B72" s="180"/>
      <c r="C72" s="181"/>
      <c r="D72" s="182"/>
      <c r="E72" s="183"/>
      <c r="F72" s="1857"/>
      <c r="L72" s="187"/>
      <c r="M72" s="187"/>
    </row>
    <row r="73" spans="1:13" s="64" customFormat="1" ht="15" customHeight="1" x14ac:dyDescent="0.2">
      <c r="A73" s="1872"/>
      <c r="B73" s="180"/>
      <c r="C73" s="181"/>
      <c r="D73" s="182"/>
      <c r="E73" s="183"/>
      <c r="F73" s="1857"/>
      <c r="L73" s="187"/>
      <c r="M73" s="187"/>
    </row>
    <row r="74" spans="1:13" s="64" customFormat="1" ht="15" customHeight="1" x14ac:dyDescent="0.2">
      <c r="A74" s="1872"/>
      <c r="B74" s="180"/>
      <c r="C74" s="181"/>
      <c r="D74" s="182"/>
      <c r="E74" s="183"/>
      <c r="F74" s="1857"/>
      <c r="L74" s="187"/>
      <c r="M74" s="187"/>
    </row>
    <row r="75" spans="1:13" s="64" customFormat="1" ht="15" customHeight="1" x14ac:dyDescent="0.2">
      <c r="A75" s="1872"/>
      <c r="B75" s="180"/>
      <c r="C75" s="181"/>
      <c r="D75" s="182"/>
      <c r="E75" s="183"/>
      <c r="F75" s="1857"/>
      <c r="L75" s="187"/>
      <c r="M75" s="187"/>
    </row>
    <row r="76" spans="1:13" s="64" customFormat="1" ht="15" customHeight="1" x14ac:dyDescent="0.2">
      <c r="A76" s="1872"/>
      <c r="B76" s="180"/>
      <c r="C76" s="181"/>
      <c r="D76" s="182"/>
      <c r="E76" s="183"/>
      <c r="F76" s="1857"/>
      <c r="L76" s="187"/>
      <c r="M76" s="187"/>
    </row>
    <row r="77" spans="1:13" s="64" customFormat="1" ht="15" customHeight="1" x14ac:dyDescent="0.2">
      <c r="A77" s="1872"/>
      <c r="B77" s="180"/>
      <c r="C77" s="181"/>
      <c r="D77" s="182"/>
      <c r="E77" s="183"/>
      <c r="F77" s="1857"/>
      <c r="L77" s="187"/>
      <c r="M77" s="187"/>
    </row>
    <row r="78" spans="1:13" s="64" customFormat="1" ht="15" customHeight="1" x14ac:dyDescent="0.2">
      <c r="A78" s="1872"/>
      <c r="B78" s="180"/>
      <c r="C78" s="181"/>
      <c r="D78" s="182"/>
      <c r="E78" s="183"/>
      <c r="F78" s="1857"/>
      <c r="L78" s="187"/>
      <c r="M78" s="187"/>
    </row>
    <row r="79" spans="1:13" s="64" customFormat="1" ht="15" customHeight="1" x14ac:dyDescent="0.2">
      <c r="A79" s="1872"/>
      <c r="B79" s="180"/>
      <c r="C79" s="181"/>
      <c r="D79" s="182"/>
      <c r="E79" s="183"/>
      <c r="F79" s="1857"/>
      <c r="L79" s="187"/>
      <c r="M79" s="187"/>
    </row>
    <row r="80" spans="1:13" s="64" customFormat="1" ht="15" customHeight="1" x14ac:dyDescent="0.2">
      <c r="A80" s="1872"/>
      <c r="B80" s="180"/>
      <c r="C80" s="181"/>
      <c r="D80" s="182"/>
      <c r="E80" s="183"/>
      <c r="F80" s="1857"/>
      <c r="L80" s="187"/>
      <c r="M80" s="187"/>
    </row>
    <row r="81" spans="1:14" s="64" customFormat="1" ht="15" customHeight="1" x14ac:dyDescent="0.2">
      <c r="A81" s="1872"/>
      <c r="B81" s="180"/>
      <c r="C81" s="181"/>
      <c r="D81" s="182"/>
      <c r="E81" s="183"/>
      <c r="F81" s="1857"/>
      <c r="L81" s="187"/>
      <c r="M81" s="187"/>
    </row>
    <row r="82" spans="1:14" s="64" customFormat="1" ht="15" customHeight="1" x14ac:dyDescent="0.2">
      <c r="A82" s="1872"/>
      <c r="B82" s="180"/>
      <c r="C82" s="181"/>
      <c r="D82" s="182"/>
      <c r="E82" s="183"/>
      <c r="F82" s="1857"/>
      <c r="L82" s="187"/>
      <c r="M82" s="187"/>
    </row>
    <row r="83" spans="1:14" s="64" customFormat="1" ht="15" customHeight="1" x14ac:dyDescent="0.2">
      <c r="A83" s="1872"/>
      <c r="B83" s="180"/>
      <c r="C83" s="181"/>
      <c r="D83" s="182"/>
      <c r="E83" s="183"/>
      <c r="F83" s="1857"/>
      <c r="L83" s="187"/>
      <c r="M83" s="187"/>
    </row>
    <row r="84" spans="1:14" s="64" customFormat="1" ht="15" customHeight="1" x14ac:dyDescent="0.2">
      <c r="A84" s="1872"/>
      <c r="B84" s="180"/>
      <c r="C84" s="181"/>
      <c r="D84" s="182"/>
      <c r="E84" s="183"/>
      <c r="F84" s="1857"/>
      <c r="L84" s="187"/>
      <c r="M84" s="187"/>
    </row>
    <row r="85" spans="1:14" s="64" customFormat="1" ht="15" customHeight="1" x14ac:dyDescent="0.2">
      <c r="A85" s="1872"/>
      <c r="B85" s="180"/>
      <c r="C85" s="181"/>
      <c r="D85" s="182"/>
      <c r="E85" s="183"/>
      <c r="F85" s="1857"/>
      <c r="L85" s="187"/>
      <c r="M85" s="187"/>
    </row>
    <row r="86" spans="1:14" s="64" customFormat="1" ht="15" customHeight="1" x14ac:dyDescent="0.2">
      <c r="A86" s="1872"/>
      <c r="B86" s="180"/>
      <c r="C86" s="181"/>
      <c r="D86" s="182"/>
      <c r="E86" s="183"/>
      <c r="F86" s="1857"/>
      <c r="L86" s="187"/>
      <c r="M86" s="187"/>
    </row>
    <row r="87" spans="1:14" s="64" customFormat="1" ht="15" customHeight="1" x14ac:dyDescent="0.2">
      <c r="A87" s="1872"/>
      <c r="B87" s="180"/>
      <c r="C87" s="181"/>
      <c r="D87" s="182"/>
      <c r="E87" s="183"/>
      <c r="F87" s="1857"/>
      <c r="L87" s="187"/>
      <c r="M87" s="187"/>
    </row>
    <row r="88" spans="1:14" s="64" customFormat="1" ht="15" customHeight="1" x14ac:dyDescent="0.2">
      <c r="A88" s="1872"/>
      <c r="B88" s="180"/>
      <c r="C88" s="181"/>
      <c r="D88" s="182"/>
      <c r="E88" s="183"/>
      <c r="F88" s="1857"/>
      <c r="L88" s="187"/>
      <c r="M88" s="187"/>
    </row>
    <row r="89" spans="1:14" s="64" customFormat="1" ht="15" customHeight="1" x14ac:dyDescent="0.2">
      <c r="A89" s="1872"/>
      <c r="B89" s="180"/>
      <c r="C89" s="181"/>
      <c r="D89" s="182"/>
      <c r="E89" s="183"/>
      <c r="F89" s="1857"/>
      <c r="L89" s="187"/>
      <c r="M89" s="187"/>
    </row>
    <row r="90" spans="1:14" s="64" customFormat="1" ht="15" customHeight="1" x14ac:dyDescent="0.2">
      <c r="A90" s="1872"/>
      <c r="B90" s="180"/>
      <c r="C90" s="181"/>
      <c r="D90" s="182"/>
      <c r="E90" s="183"/>
      <c r="F90" s="1857"/>
      <c r="L90" s="187"/>
      <c r="M90" s="187"/>
    </row>
    <row r="91" spans="1:14" s="64" customFormat="1" ht="15" customHeight="1" x14ac:dyDescent="0.2">
      <c r="A91" s="1872"/>
      <c r="B91" s="180"/>
      <c r="C91" s="181"/>
      <c r="D91" s="182"/>
      <c r="E91" s="183"/>
      <c r="F91" s="1857"/>
      <c r="L91" s="187"/>
      <c r="M91" s="187"/>
    </row>
    <row r="92" spans="1:14" ht="15" customHeight="1" x14ac:dyDescent="0.2">
      <c r="A92" s="1873"/>
      <c r="B92" s="180"/>
      <c r="C92" s="189"/>
      <c r="D92" s="182"/>
      <c r="E92" s="190"/>
      <c r="F92" s="1857"/>
      <c r="G92" s="70"/>
      <c r="H92" s="70"/>
      <c r="J92" s="70"/>
      <c r="L92" s="71"/>
      <c r="N92" s="65"/>
    </row>
    <row r="93" spans="1:14" ht="15" customHeight="1" x14ac:dyDescent="0.2">
      <c r="A93" s="1873"/>
      <c r="B93" s="180"/>
      <c r="C93" s="189"/>
      <c r="D93" s="182"/>
      <c r="E93" s="190"/>
      <c r="F93" s="1857"/>
      <c r="G93" s="70"/>
      <c r="H93" s="70"/>
      <c r="J93" s="70"/>
      <c r="L93" s="71"/>
      <c r="N93" s="65"/>
    </row>
    <row r="94" spans="1:14" ht="15" customHeight="1" x14ac:dyDescent="0.2">
      <c r="A94" s="1873"/>
      <c r="B94" s="180"/>
      <c r="C94" s="189"/>
      <c r="D94" s="182"/>
      <c r="E94" s="190"/>
      <c r="F94" s="1857"/>
      <c r="G94" s="70"/>
      <c r="H94" s="70"/>
      <c r="J94" s="70"/>
      <c r="L94" s="71"/>
      <c r="N94" s="65"/>
    </row>
    <row r="95" spans="1:14" ht="15" customHeight="1" x14ac:dyDescent="0.2">
      <c r="A95" s="1873"/>
      <c r="B95" s="180"/>
      <c r="C95" s="189"/>
      <c r="D95" s="182"/>
      <c r="E95" s="190"/>
      <c r="F95" s="1857"/>
      <c r="G95" s="70"/>
      <c r="H95" s="70"/>
      <c r="J95" s="70"/>
      <c r="L95" s="71"/>
      <c r="N95" s="65"/>
    </row>
    <row r="96" spans="1:14" ht="15" customHeight="1" x14ac:dyDescent="0.2">
      <c r="A96" s="1873"/>
      <c r="B96" s="180"/>
      <c r="C96" s="189"/>
      <c r="D96" s="182"/>
      <c r="E96" s="190"/>
      <c r="F96" s="1857"/>
      <c r="G96" s="70"/>
      <c r="H96" s="70"/>
      <c r="J96" s="70"/>
      <c r="L96" s="71"/>
      <c r="N96" s="65"/>
    </row>
    <row r="97" spans="1:14" ht="15" customHeight="1" x14ac:dyDescent="0.2">
      <c r="A97" s="1873"/>
      <c r="B97" s="180"/>
      <c r="C97" s="189"/>
      <c r="D97" s="182"/>
      <c r="E97" s="190"/>
      <c r="F97" s="1857"/>
      <c r="G97" s="70"/>
      <c r="H97" s="70"/>
      <c r="J97" s="70"/>
      <c r="L97" s="71"/>
      <c r="N97" s="65"/>
    </row>
    <row r="98" spans="1:14" ht="15" customHeight="1" x14ac:dyDescent="0.2">
      <c r="A98" s="1873"/>
      <c r="B98" s="180"/>
      <c r="C98" s="189"/>
      <c r="D98" s="182"/>
      <c r="E98" s="190"/>
      <c r="F98" s="1857"/>
      <c r="G98" s="70"/>
      <c r="H98" s="70"/>
      <c r="J98" s="70"/>
      <c r="L98" s="71"/>
      <c r="N98" s="65"/>
    </row>
    <row r="99" spans="1:14" ht="15" customHeight="1" x14ac:dyDescent="0.2">
      <c r="A99" s="1873"/>
      <c r="B99" s="180"/>
      <c r="C99" s="189"/>
      <c r="D99" s="182"/>
      <c r="E99" s="190"/>
      <c r="F99" s="1857"/>
      <c r="G99" s="70"/>
      <c r="H99" s="70"/>
      <c r="J99" s="70"/>
      <c r="L99" s="71"/>
      <c r="N99" s="65"/>
    </row>
    <row r="100" spans="1:14" ht="15" customHeight="1" x14ac:dyDescent="0.2">
      <c r="A100" s="1873"/>
      <c r="B100" s="180"/>
      <c r="C100" s="189"/>
      <c r="D100" s="182"/>
      <c r="E100" s="190"/>
      <c r="F100" s="1857"/>
      <c r="G100" s="70"/>
      <c r="H100" s="70"/>
      <c r="J100" s="70"/>
      <c r="L100" s="71"/>
      <c r="N100" s="65"/>
    </row>
    <row r="101" spans="1:14" ht="15" customHeight="1" x14ac:dyDescent="0.2">
      <c r="A101" s="1873"/>
      <c r="B101" s="180"/>
      <c r="C101" s="189"/>
      <c r="D101" s="182"/>
      <c r="E101" s="190"/>
      <c r="F101" s="1857"/>
      <c r="G101" s="70"/>
      <c r="H101" s="70"/>
      <c r="J101" s="70"/>
      <c r="L101" s="71"/>
      <c r="N101" s="65"/>
    </row>
    <row r="102" spans="1:14" ht="15" customHeight="1" x14ac:dyDescent="0.2">
      <c r="A102" s="1873"/>
      <c r="B102" s="180"/>
      <c r="C102" s="189"/>
      <c r="D102" s="182"/>
      <c r="E102" s="190"/>
      <c r="F102" s="1857"/>
      <c r="G102" s="70"/>
      <c r="H102" s="70"/>
      <c r="J102" s="70"/>
      <c r="L102" s="71"/>
      <c r="N102" s="65"/>
    </row>
    <row r="103" spans="1:14" ht="15" customHeight="1" x14ac:dyDescent="0.2">
      <c r="A103" s="1873"/>
      <c r="B103" s="180"/>
      <c r="C103" s="189"/>
      <c r="D103" s="182"/>
      <c r="E103" s="190"/>
      <c r="F103" s="1857"/>
      <c r="G103" s="70"/>
      <c r="H103" s="70"/>
      <c r="J103" s="70"/>
      <c r="L103" s="71"/>
      <c r="N103" s="65"/>
    </row>
    <row r="104" spans="1:14" ht="15" customHeight="1" x14ac:dyDescent="0.2">
      <c r="A104" s="1873"/>
      <c r="B104" s="180"/>
      <c r="C104" s="189"/>
      <c r="D104" s="182"/>
      <c r="E104" s="190"/>
      <c r="F104" s="1857"/>
      <c r="G104" s="70"/>
      <c r="H104" s="70"/>
      <c r="J104" s="70"/>
      <c r="L104" s="71"/>
      <c r="N104" s="65"/>
    </row>
    <row r="105" spans="1:14" ht="15" customHeight="1" x14ac:dyDescent="0.2">
      <c r="A105" s="1873"/>
      <c r="B105" s="180"/>
      <c r="C105" s="189"/>
      <c r="D105" s="182"/>
      <c r="E105" s="190"/>
      <c r="F105" s="1857"/>
      <c r="G105" s="70"/>
      <c r="H105" s="70"/>
      <c r="J105" s="70"/>
      <c r="L105" s="71"/>
      <c r="N105" s="65"/>
    </row>
    <row r="106" spans="1:14" ht="15" customHeight="1" x14ac:dyDescent="0.2">
      <c r="A106" s="1873"/>
      <c r="B106" s="180"/>
      <c r="C106" s="189"/>
      <c r="D106" s="182"/>
      <c r="E106" s="190"/>
      <c r="F106" s="1857"/>
      <c r="G106" s="70"/>
      <c r="H106" s="70"/>
      <c r="J106" s="70"/>
      <c r="L106" s="71"/>
      <c r="N106" s="65"/>
    </row>
    <row r="107" spans="1:14" ht="15" customHeight="1" x14ac:dyDescent="0.2">
      <c r="A107" s="1873"/>
      <c r="B107" s="180"/>
      <c r="C107" s="189"/>
      <c r="D107" s="182"/>
      <c r="E107" s="190"/>
      <c r="F107" s="1857"/>
      <c r="G107" s="70"/>
      <c r="H107" s="70"/>
      <c r="J107" s="70"/>
      <c r="L107" s="71"/>
      <c r="N107" s="65"/>
    </row>
    <row r="108" spans="1:14" ht="15" customHeight="1" x14ac:dyDescent="0.2">
      <c r="A108" s="1873"/>
      <c r="B108" s="180"/>
      <c r="C108" s="189"/>
      <c r="D108" s="182"/>
      <c r="E108" s="190"/>
      <c r="F108" s="1857"/>
      <c r="G108" s="70"/>
      <c r="H108" s="70"/>
      <c r="J108" s="70"/>
      <c r="L108" s="71"/>
      <c r="N108" s="65"/>
    </row>
    <row r="109" spans="1:14" ht="15" customHeight="1" x14ac:dyDescent="0.2">
      <c r="A109" s="1873"/>
      <c r="B109" s="180"/>
      <c r="C109" s="189"/>
      <c r="D109" s="182"/>
      <c r="E109" s="190"/>
      <c r="F109" s="1857"/>
      <c r="G109" s="70"/>
      <c r="H109" s="70"/>
      <c r="J109" s="70"/>
      <c r="L109" s="71"/>
      <c r="N109" s="65"/>
    </row>
    <row r="110" spans="1:14" ht="15" customHeight="1" x14ac:dyDescent="0.2">
      <c r="A110" s="1873"/>
      <c r="B110" s="180"/>
      <c r="C110" s="189"/>
      <c r="D110" s="182"/>
      <c r="E110" s="190"/>
      <c r="F110" s="1857"/>
      <c r="G110" s="70"/>
      <c r="H110" s="70"/>
      <c r="J110" s="70"/>
      <c r="L110" s="71"/>
      <c r="N110" s="65"/>
    </row>
    <row r="111" spans="1:14" ht="15" customHeight="1" x14ac:dyDescent="0.2">
      <c r="A111" s="1873"/>
      <c r="B111" s="180"/>
      <c r="C111" s="189"/>
      <c r="D111" s="182"/>
      <c r="E111" s="190"/>
      <c r="F111" s="1857"/>
      <c r="G111" s="70"/>
      <c r="H111" s="70"/>
      <c r="J111" s="70"/>
      <c r="L111" s="71"/>
      <c r="N111" s="65"/>
    </row>
    <row r="112" spans="1:14" ht="15" customHeight="1" x14ac:dyDescent="0.2">
      <c r="A112" s="1873"/>
      <c r="B112" s="180"/>
      <c r="C112" s="189"/>
      <c r="D112" s="182"/>
      <c r="E112" s="190"/>
      <c r="F112" s="1857"/>
      <c r="G112" s="70"/>
      <c r="H112" s="70"/>
      <c r="J112" s="70"/>
      <c r="L112" s="71"/>
      <c r="N112" s="65"/>
    </row>
    <row r="113" spans="1:14" ht="15" customHeight="1" x14ac:dyDescent="0.2">
      <c r="A113" s="1873"/>
      <c r="B113" s="180"/>
      <c r="C113" s="189"/>
      <c r="D113" s="182"/>
      <c r="E113" s="190"/>
      <c r="F113" s="1857"/>
      <c r="G113" s="70"/>
      <c r="H113" s="70"/>
      <c r="J113" s="70"/>
      <c r="L113" s="71"/>
      <c r="N113" s="65"/>
    </row>
    <row r="114" spans="1:14" ht="15" customHeight="1" x14ac:dyDescent="0.2">
      <c r="A114" s="1873"/>
      <c r="B114" s="180"/>
      <c r="C114" s="189"/>
      <c r="D114" s="182"/>
      <c r="E114" s="190"/>
      <c r="F114" s="1857"/>
      <c r="G114" s="70"/>
      <c r="H114" s="70"/>
      <c r="J114" s="70"/>
      <c r="L114" s="71"/>
      <c r="N114" s="65"/>
    </row>
    <row r="115" spans="1:14" ht="15" customHeight="1" x14ac:dyDescent="0.2">
      <c r="A115" s="1873"/>
      <c r="B115" s="180"/>
      <c r="C115" s="189"/>
      <c r="D115" s="182"/>
      <c r="E115" s="190"/>
      <c r="F115" s="1857"/>
      <c r="G115" s="70"/>
      <c r="H115" s="70"/>
      <c r="J115" s="70"/>
      <c r="L115" s="71"/>
      <c r="N115" s="65"/>
    </row>
    <row r="116" spans="1:14" ht="15" customHeight="1" x14ac:dyDescent="0.2">
      <c r="A116" s="1873"/>
      <c r="B116" s="180"/>
      <c r="C116" s="189"/>
      <c r="D116" s="182"/>
      <c r="E116" s="190"/>
      <c r="F116" s="1857"/>
      <c r="G116" s="70"/>
      <c r="H116" s="70"/>
      <c r="J116" s="70"/>
      <c r="L116" s="71"/>
      <c r="N116" s="65"/>
    </row>
    <row r="117" spans="1:14" ht="15" customHeight="1" x14ac:dyDescent="0.2">
      <c r="A117" s="1873"/>
      <c r="B117" s="180"/>
      <c r="C117" s="189"/>
      <c r="D117" s="182"/>
      <c r="E117" s="190"/>
      <c r="F117" s="1857"/>
      <c r="G117" s="70"/>
      <c r="H117" s="70"/>
      <c r="J117" s="70"/>
      <c r="L117" s="71"/>
      <c r="N117" s="65"/>
    </row>
    <row r="118" spans="1:14" ht="15" customHeight="1" x14ac:dyDescent="0.2">
      <c r="A118" s="1873"/>
      <c r="B118" s="180"/>
      <c r="C118" s="189"/>
      <c r="D118" s="182"/>
      <c r="E118" s="190"/>
      <c r="F118" s="1857"/>
      <c r="G118" s="70"/>
      <c r="H118" s="70"/>
      <c r="J118" s="70"/>
      <c r="L118" s="71"/>
      <c r="N118" s="65"/>
    </row>
    <row r="119" spans="1:14" ht="15" customHeight="1" x14ac:dyDescent="0.2">
      <c r="A119" s="1873"/>
      <c r="B119" s="180"/>
      <c r="C119" s="189"/>
      <c r="D119" s="182"/>
      <c r="E119" s="190"/>
      <c r="F119" s="1857"/>
      <c r="G119" s="70"/>
      <c r="H119" s="70"/>
      <c r="J119" s="70"/>
      <c r="L119" s="71"/>
      <c r="N119" s="65"/>
    </row>
    <row r="120" spans="1:14" ht="15" customHeight="1" x14ac:dyDescent="0.2">
      <c r="A120" s="1873"/>
      <c r="B120" s="180"/>
      <c r="C120" s="189"/>
      <c r="D120" s="182"/>
      <c r="E120" s="190"/>
      <c r="F120" s="1857"/>
      <c r="G120" s="70"/>
      <c r="H120" s="70"/>
      <c r="J120" s="70"/>
      <c r="L120" s="71"/>
      <c r="N120" s="65"/>
    </row>
    <row r="121" spans="1:14" ht="15" customHeight="1" x14ac:dyDescent="0.2">
      <c r="A121" s="1873"/>
      <c r="B121" s="180"/>
      <c r="C121" s="189"/>
      <c r="D121" s="182"/>
      <c r="E121" s="190"/>
      <c r="F121" s="1857"/>
      <c r="G121" s="70"/>
      <c r="H121" s="70"/>
      <c r="J121" s="70"/>
      <c r="L121" s="71"/>
      <c r="N121" s="65"/>
    </row>
    <row r="122" spans="1:14" ht="15" customHeight="1" x14ac:dyDescent="0.2">
      <c r="A122" s="1873"/>
      <c r="B122" s="180"/>
      <c r="C122" s="189"/>
      <c r="D122" s="182"/>
      <c r="E122" s="190"/>
      <c r="F122" s="1857"/>
      <c r="G122" s="70"/>
      <c r="H122" s="70"/>
      <c r="J122" s="70"/>
      <c r="L122" s="71"/>
      <c r="N122" s="65"/>
    </row>
    <row r="123" spans="1:14" ht="15" customHeight="1" x14ac:dyDescent="0.2">
      <c r="A123" s="1873"/>
      <c r="B123" s="180"/>
      <c r="C123" s="189"/>
      <c r="D123" s="182"/>
      <c r="E123" s="190"/>
      <c r="F123" s="1857"/>
      <c r="G123" s="70"/>
      <c r="H123" s="70"/>
      <c r="J123" s="70"/>
      <c r="L123" s="71"/>
      <c r="N123" s="65"/>
    </row>
    <row r="124" spans="1:14" ht="15" customHeight="1" x14ac:dyDescent="0.2">
      <c r="A124" s="1873"/>
      <c r="B124" s="180"/>
      <c r="C124" s="189"/>
      <c r="D124" s="182"/>
      <c r="E124" s="190"/>
      <c r="F124" s="1857"/>
      <c r="G124" s="70"/>
      <c r="H124" s="70"/>
      <c r="J124" s="70"/>
      <c r="L124" s="71"/>
      <c r="N124" s="65"/>
    </row>
    <row r="125" spans="1:14" ht="15" customHeight="1" x14ac:dyDescent="0.2">
      <c r="A125" s="1873"/>
      <c r="B125" s="180"/>
      <c r="C125" s="189"/>
      <c r="D125" s="182"/>
      <c r="E125" s="190"/>
      <c r="F125" s="1857"/>
      <c r="G125" s="70"/>
      <c r="H125" s="70"/>
      <c r="J125" s="70"/>
      <c r="L125" s="71"/>
      <c r="N125" s="65"/>
    </row>
    <row r="126" spans="1:14" ht="15" customHeight="1" x14ac:dyDescent="0.2">
      <c r="A126" s="1873"/>
      <c r="B126" s="180"/>
      <c r="C126" s="189"/>
      <c r="D126" s="182"/>
      <c r="E126" s="190"/>
      <c r="F126" s="1857"/>
      <c r="G126" s="70"/>
      <c r="H126" s="70"/>
      <c r="J126" s="70"/>
      <c r="L126" s="71"/>
      <c r="N126" s="65"/>
    </row>
    <row r="127" spans="1:14" ht="15" customHeight="1" x14ac:dyDescent="0.2">
      <c r="A127" s="1873"/>
      <c r="B127" s="180"/>
      <c r="C127" s="189"/>
      <c r="D127" s="182"/>
      <c r="E127" s="190"/>
      <c r="F127" s="1857"/>
      <c r="G127" s="70"/>
      <c r="H127" s="70"/>
      <c r="J127" s="70"/>
      <c r="L127" s="71"/>
      <c r="N127" s="65"/>
    </row>
    <row r="128" spans="1:14" ht="15" customHeight="1" x14ac:dyDescent="0.2">
      <c r="A128" s="1873"/>
      <c r="B128" s="180"/>
      <c r="C128" s="189"/>
      <c r="D128" s="182"/>
      <c r="E128" s="190"/>
      <c r="F128" s="1857"/>
      <c r="G128" s="70"/>
      <c r="H128" s="70"/>
      <c r="J128" s="70"/>
      <c r="L128" s="71"/>
      <c r="N128" s="65"/>
    </row>
    <row r="129" spans="1:14" ht="15" customHeight="1" x14ac:dyDescent="0.2">
      <c r="A129" s="1873"/>
      <c r="B129" s="180"/>
      <c r="C129" s="189"/>
      <c r="D129" s="182"/>
      <c r="E129" s="190"/>
      <c r="F129" s="1857"/>
      <c r="G129" s="70"/>
      <c r="H129" s="70"/>
      <c r="J129" s="70"/>
      <c r="L129" s="71"/>
      <c r="N129" s="65"/>
    </row>
    <row r="130" spans="1:14" ht="15" customHeight="1" x14ac:dyDescent="0.2">
      <c r="A130" s="1873"/>
      <c r="B130" s="180"/>
      <c r="C130" s="189"/>
      <c r="D130" s="182"/>
      <c r="E130" s="190"/>
      <c r="F130" s="1857"/>
      <c r="G130" s="70"/>
      <c r="H130" s="70"/>
      <c r="J130" s="70"/>
      <c r="L130" s="71"/>
      <c r="N130" s="65"/>
    </row>
    <row r="131" spans="1:14" ht="15" customHeight="1" x14ac:dyDescent="0.2">
      <c r="A131" s="1873"/>
      <c r="B131" s="180"/>
      <c r="C131" s="189"/>
      <c r="D131" s="182"/>
      <c r="E131" s="190"/>
      <c r="F131" s="1857"/>
      <c r="G131" s="70"/>
      <c r="H131" s="70"/>
      <c r="J131" s="70"/>
      <c r="L131" s="71"/>
      <c r="N131" s="65"/>
    </row>
    <row r="132" spans="1:14" ht="15" customHeight="1" x14ac:dyDescent="0.2">
      <c r="A132" s="1873"/>
      <c r="B132" s="180"/>
      <c r="C132" s="189"/>
      <c r="D132" s="182"/>
      <c r="E132" s="190"/>
      <c r="F132" s="1857"/>
      <c r="G132" s="70"/>
      <c r="H132" s="70"/>
      <c r="J132" s="70"/>
      <c r="L132" s="71"/>
      <c r="N132" s="65"/>
    </row>
    <row r="133" spans="1:14" ht="15" customHeight="1" x14ac:dyDescent="0.2">
      <c r="A133" s="1873"/>
      <c r="B133" s="180"/>
      <c r="C133" s="189"/>
      <c r="D133" s="182"/>
      <c r="E133" s="190"/>
      <c r="F133" s="1857"/>
      <c r="G133" s="70"/>
      <c r="H133" s="70"/>
      <c r="J133" s="70"/>
      <c r="L133" s="71"/>
      <c r="N133" s="65"/>
    </row>
    <row r="134" spans="1:14" ht="15" customHeight="1" x14ac:dyDescent="0.2">
      <c r="A134" s="1873"/>
      <c r="B134" s="180"/>
      <c r="C134" s="189"/>
      <c r="D134" s="182"/>
      <c r="E134" s="190"/>
      <c r="F134" s="1857"/>
      <c r="G134" s="70"/>
      <c r="H134" s="70"/>
      <c r="J134" s="70"/>
      <c r="L134" s="71"/>
      <c r="N134" s="65"/>
    </row>
    <row r="135" spans="1:14" ht="15" customHeight="1" x14ac:dyDescent="0.2">
      <c r="A135" s="1873"/>
      <c r="B135" s="180"/>
      <c r="C135" s="189"/>
      <c r="D135" s="182"/>
      <c r="E135" s="190"/>
      <c r="F135" s="1857"/>
      <c r="G135" s="70"/>
      <c r="H135" s="70"/>
      <c r="J135" s="70"/>
      <c r="L135" s="71"/>
      <c r="N135" s="65"/>
    </row>
    <row r="136" spans="1:14" ht="15" customHeight="1" x14ac:dyDescent="0.2">
      <c r="A136" s="1873"/>
      <c r="B136" s="180"/>
      <c r="C136" s="189"/>
      <c r="D136" s="182"/>
      <c r="E136" s="190"/>
      <c r="F136" s="1857"/>
      <c r="G136" s="70"/>
      <c r="H136" s="70"/>
      <c r="J136" s="70"/>
      <c r="L136" s="71"/>
      <c r="N136" s="65"/>
    </row>
    <row r="137" spans="1:14" ht="15" customHeight="1" x14ac:dyDescent="0.2">
      <c r="A137" s="1873"/>
      <c r="B137" s="180"/>
      <c r="C137" s="189"/>
      <c r="D137" s="182"/>
      <c r="E137" s="190"/>
      <c r="F137" s="1857"/>
      <c r="G137" s="70"/>
      <c r="H137" s="70"/>
      <c r="J137" s="70"/>
      <c r="L137" s="71"/>
      <c r="N137" s="65"/>
    </row>
    <row r="138" spans="1:14" ht="15" customHeight="1" x14ac:dyDescent="0.2">
      <c r="A138" s="1873"/>
      <c r="B138" s="180"/>
      <c r="C138" s="189"/>
      <c r="D138" s="182"/>
      <c r="E138" s="190"/>
      <c r="F138" s="1857"/>
      <c r="G138" s="70"/>
      <c r="H138" s="70"/>
      <c r="J138" s="70"/>
      <c r="L138" s="71"/>
      <c r="N138" s="65"/>
    </row>
    <row r="139" spans="1:14" ht="15" customHeight="1" x14ac:dyDescent="0.2">
      <c r="A139" s="1873"/>
      <c r="B139" s="180"/>
      <c r="C139" s="189"/>
      <c r="D139" s="182"/>
      <c r="E139" s="190"/>
      <c r="F139" s="1857"/>
      <c r="G139" s="70"/>
      <c r="H139" s="70"/>
      <c r="J139" s="70"/>
      <c r="L139" s="71"/>
      <c r="N139" s="65"/>
    </row>
    <row r="140" spans="1:14" ht="15" customHeight="1" x14ac:dyDescent="0.2">
      <c r="A140" s="1873"/>
      <c r="B140" s="180"/>
      <c r="C140" s="189"/>
      <c r="D140" s="182"/>
      <c r="E140" s="190"/>
      <c r="F140" s="1857"/>
      <c r="G140" s="70"/>
      <c r="H140" s="70"/>
      <c r="J140" s="70"/>
      <c r="L140" s="71"/>
      <c r="N140" s="65"/>
    </row>
    <row r="141" spans="1:14" ht="15" customHeight="1" x14ac:dyDescent="0.2">
      <c r="A141" s="1873"/>
      <c r="B141" s="180"/>
      <c r="C141" s="189"/>
      <c r="D141" s="182"/>
      <c r="E141" s="190"/>
      <c r="F141" s="1857"/>
      <c r="G141" s="70"/>
      <c r="H141" s="70"/>
      <c r="J141" s="70"/>
      <c r="L141" s="71"/>
      <c r="N141" s="65"/>
    </row>
    <row r="142" spans="1:14" ht="15" customHeight="1" x14ac:dyDescent="0.2">
      <c r="A142" s="1873"/>
      <c r="B142" s="180"/>
      <c r="C142" s="189"/>
      <c r="D142" s="182"/>
      <c r="E142" s="190"/>
      <c r="F142" s="1857"/>
      <c r="G142" s="70"/>
      <c r="H142" s="70"/>
      <c r="J142" s="70"/>
      <c r="L142" s="71"/>
      <c r="N142" s="65"/>
    </row>
    <row r="143" spans="1:14" ht="15" customHeight="1" x14ac:dyDescent="0.2">
      <c r="A143" s="1873"/>
      <c r="B143" s="180"/>
      <c r="C143" s="189"/>
      <c r="D143" s="182"/>
      <c r="E143" s="190"/>
      <c r="F143" s="1857"/>
      <c r="G143" s="70"/>
      <c r="H143" s="70"/>
      <c r="J143" s="70"/>
      <c r="L143" s="71"/>
      <c r="N143" s="65"/>
    </row>
    <row r="144" spans="1:14" ht="15" customHeight="1" x14ac:dyDescent="0.2">
      <c r="A144" s="1873"/>
      <c r="B144" s="180"/>
      <c r="C144" s="189"/>
      <c r="D144" s="182"/>
      <c r="E144" s="190"/>
      <c r="F144" s="1857"/>
      <c r="G144" s="70"/>
      <c r="H144" s="70"/>
      <c r="J144" s="70"/>
      <c r="L144" s="71"/>
      <c r="N144" s="65"/>
    </row>
    <row r="145" spans="1:14" ht="15" customHeight="1" x14ac:dyDescent="0.2">
      <c r="A145" s="1873"/>
      <c r="B145" s="180"/>
      <c r="C145" s="189"/>
      <c r="D145" s="182"/>
      <c r="E145" s="190"/>
      <c r="F145" s="1857"/>
      <c r="G145" s="70"/>
      <c r="H145" s="70"/>
      <c r="J145" s="70"/>
      <c r="L145" s="71"/>
      <c r="N145" s="65"/>
    </row>
    <row r="146" spans="1:14" ht="15" customHeight="1" x14ac:dyDescent="0.2">
      <c r="A146" s="1873"/>
      <c r="B146" s="180"/>
      <c r="C146" s="189"/>
      <c r="D146" s="182"/>
      <c r="E146" s="190"/>
      <c r="F146" s="1857"/>
      <c r="G146" s="70"/>
      <c r="H146" s="70"/>
      <c r="J146" s="70"/>
      <c r="L146" s="71"/>
      <c r="N146" s="65"/>
    </row>
    <row r="147" spans="1:14" ht="15" customHeight="1" x14ac:dyDescent="0.2">
      <c r="A147" s="1873"/>
      <c r="B147" s="180"/>
      <c r="C147" s="189"/>
      <c r="D147" s="182"/>
      <c r="E147" s="190"/>
      <c r="F147" s="1857"/>
      <c r="G147" s="70"/>
      <c r="H147" s="70"/>
      <c r="J147" s="70"/>
      <c r="L147" s="71"/>
      <c r="N147" s="65"/>
    </row>
    <row r="148" spans="1:14" ht="15" customHeight="1" x14ac:dyDescent="0.2">
      <c r="A148" s="1873"/>
      <c r="B148" s="180"/>
      <c r="C148" s="189"/>
      <c r="D148" s="182"/>
      <c r="E148" s="190"/>
      <c r="F148" s="1857"/>
      <c r="G148" s="70"/>
      <c r="H148" s="70"/>
      <c r="J148" s="70"/>
      <c r="L148" s="71"/>
      <c r="N148" s="65"/>
    </row>
    <row r="149" spans="1:14" ht="15" customHeight="1" x14ac:dyDescent="0.2">
      <c r="A149" s="1873"/>
      <c r="B149" s="180"/>
      <c r="C149" s="189"/>
      <c r="D149" s="182"/>
      <c r="E149" s="190"/>
      <c r="F149" s="1857"/>
      <c r="G149" s="70"/>
      <c r="H149" s="70"/>
      <c r="J149" s="70"/>
      <c r="L149" s="71"/>
      <c r="N149" s="65"/>
    </row>
    <row r="150" spans="1:14" ht="15" customHeight="1" x14ac:dyDescent="0.2">
      <c r="A150" s="1873"/>
      <c r="B150" s="180"/>
      <c r="C150" s="189"/>
      <c r="D150" s="182"/>
      <c r="E150" s="190"/>
      <c r="F150" s="1857"/>
      <c r="G150" s="70"/>
      <c r="H150" s="70"/>
      <c r="J150" s="70"/>
      <c r="L150" s="71"/>
      <c r="N150" s="65"/>
    </row>
    <row r="151" spans="1:14" ht="15" customHeight="1" x14ac:dyDescent="0.2">
      <c r="A151" s="1873"/>
      <c r="B151" s="180"/>
      <c r="C151" s="189"/>
      <c r="D151" s="182"/>
      <c r="E151" s="190"/>
      <c r="F151" s="1857"/>
      <c r="G151" s="70"/>
      <c r="H151" s="70"/>
      <c r="J151" s="70"/>
      <c r="L151" s="71"/>
      <c r="N151" s="65"/>
    </row>
    <row r="152" spans="1:14" ht="15" customHeight="1" x14ac:dyDescent="0.2">
      <c r="A152" s="1873"/>
      <c r="B152" s="180"/>
      <c r="C152" s="189"/>
      <c r="D152" s="182"/>
      <c r="E152" s="190"/>
      <c r="F152" s="1857"/>
      <c r="G152" s="70"/>
      <c r="H152" s="70"/>
      <c r="J152" s="70"/>
      <c r="L152" s="71"/>
      <c r="N152" s="65"/>
    </row>
    <row r="153" spans="1:14" ht="15" customHeight="1" x14ac:dyDescent="0.2">
      <c r="A153" s="1873"/>
      <c r="B153" s="180"/>
      <c r="C153" s="189"/>
      <c r="D153" s="182"/>
      <c r="E153" s="190"/>
      <c r="F153" s="1857"/>
      <c r="G153" s="70"/>
      <c r="H153" s="70"/>
      <c r="J153" s="70"/>
      <c r="L153" s="71"/>
      <c r="N153" s="65"/>
    </row>
    <row r="154" spans="1:14" ht="15" customHeight="1" x14ac:dyDescent="0.2">
      <c r="A154" s="1873"/>
      <c r="B154" s="180"/>
      <c r="C154" s="189"/>
      <c r="D154" s="182"/>
      <c r="E154" s="190"/>
      <c r="F154" s="1857"/>
      <c r="G154" s="70"/>
      <c r="H154" s="70"/>
      <c r="J154" s="70"/>
      <c r="L154" s="71"/>
      <c r="N154" s="65"/>
    </row>
    <row r="155" spans="1:14" ht="15" customHeight="1" x14ac:dyDescent="0.2">
      <c r="A155" s="1873"/>
      <c r="B155" s="180"/>
      <c r="C155" s="189"/>
      <c r="D155" s="182"/>
      <c r="E155" s="190"/>
      <c r="F155" s="1857"/>
      <c r="G155" s="70"/>
      <c r="H155" s="70"/>
      <c r="J155" s="70"/>
      <c r="L155" s="71"/>
      <c r="N155" s="65"/>
    </row>
    <row r="156" spans="1:14" ht="15" customHeight="1" x14ac:dyDescent="0.2">
      <c r="A156" s="1873"/>
      <c r="B156" s="180"/>
      <c r="C156" s="189"/>
      <c r="D156" s="182"/>
      <c r="E156" s="190"/>
      <c r="F156" s="1857"/>
      <c r="G156" s="70"/>
      <c r="H156" s="70"/>
      <c r="J156" s="70"/>
      <c r="L156" s="71"/>
      <c r="N156" s="65"/>
    </row>
    <row r="157" spans="1:14" ht="15" customHeight="1" x14ac:dyDescent="0.2">
      <c r="A157" s="1873"/>
      <c r="B157" s="180"/>
      <c r="C157" s="189"/>
      <c r="D157" s="182"/>
      <c r="E157" s="190"/>
      <c r="F157" s="1857"/>
      <c r="G157" s="70"/>
      <c r="H157" s="70"/>
      <c r="J157" s="70"/>
      <c r="L157" s="71"/>
      <c r="N157" s="65"/>
    </row>
    <row r="158" spans="1:14" ht="15" customHeight="1" x14ac:dyDescent="0.2">
      <c r="A158" s="1873"/>
      <c r="B158" s="180"/>
      <c r="C158" s="189"/>
      <c r="D158" s="182"/>
      <c r="E158" s="190"/>
      <c r="F158" s="1857"/>
      <c r="G158" s="70"/>
      <c r="H158" s="70"/>
      <c r="J158" s="70"/>
      <c r="L158" s="71"/>
      <c r="N158" s="65"/>
    </row>
    <row r="159" spans="1:14" ht="15" customHeight="1" x14ac:dyDescent="0.2">
      <c r="A159" s="1873"/>
      <c r="B159" s="180"/>
      <c r="C159" s="189"/>
      <c r="D159" s="182"/>
      <c r="E159" s="190"/>
      <c r="F159" s="1857"/>
      <c r="G159" s="70"/>
      <c r="H159" s="70"/>
      <c r="J159" s="70"/>
      <c r="L159" s="71"/>
      <c r="N159" s="65"/>
    </row>
    <row r="160" spans="1:14" ht="15" customHeight="1" x14ac:dyDescent="0.2">
      <c r="A160" s="1873"/>
      <c r="B160" s="180"/>
      <c r="C160" s="189"/>
      <c r="D160" s="182"/>
      <c r="E160" s="190"/>
      <c r="F160" s="1857"/>
      <c r="G160" s="70"/>
      <c r="H160" s="70"/>
      <c r="J160" s="70"/>
      <c r="L160" s="71"/>
      <c r="N160" s="65"/>
    </row>
    <row r="161" spans="1:14" ht="15" customHeight="1" x14ac:dyDescent="0.2">
      <c r="A161" s="1873"/>
      <c r="B161" s="180"/>
      <c r="C161" s="189"/>
      <c r="D161" s="182"/>
      <c r="E161" s="190"/>
      <c r="F161" s="1857"/>
      <c r="G161" s="70"/>
      <c r="H161" s="70"/>
      <c r="J161" s="70"/>
      <c r="L161" s="71"/>
      <c r="N161" s="65"/>
    </row>
    <row r="162" spans="1:14" ht="15" customHeight="1" x14ac:dyDescent="0.2">
      <c r="A162" s="1873"/>
      <c r="B162" s="180"/>
      <c r="C162" s="189"/>
      <c r="D162" s="182"/>
      <c r="E162" s="190"/>
      <c r="F162" s="1857"/>
      <c r="G162" s="70"/>
      <c r="H162" s="70"/>
      <c r="J162" s="70"/>
      <c r="L162" s="71"/>
      <c r="N162" s="65"/>
    </row>
    <row r="163" spans="1:14" ht="15" customHeight="1" x14ac:dyDescent="0.2">
      <c r="A163" s="1873"/>
      <c r="B163" s="180"/>
      <c r="C163" s="189"/>
      <c r="D163" s="182"/>
      <c r="E163" s="190"/>
      <c r="F163" s="1857"/>
      <c r="G163" s="70"/>
      <c r="H163" s="70"/>
      <c r="J163" s="70"/>
      <c r="L163" s="71"/>
      <c r="N163" s="65"/>
    </row>
    <row r="164" spans="1:14" ht="15" customHeight="1" x14ac:dyDescent="0.2">
      <c r="A164" s="1873"/>
      <c r="B164" s="180"/>
      <c r="C164" s="189"/>
      <c r="D164" s="182"/>
      <c r="E164" s="190"/>
      <c r="F164" s="1857"/>
      <c r="G164" s="70"/>
      <c r="H164" s="70"/>
      <c r="J164" s="70"/>
      <c r="L164" s="71"/>
      <c r="N164" s="65"/>
    </row>
    <row r="165" spans="1:14" ht="15" customHeight="1" x14ac:dyDescent="0.2">
      <c r="A165" s="1873"/>
      <c r="B165" s="180"/>
      <c r="C165" s="189"/>
      <c r="D165" s="182"/>
      <c r="E165" s="190"/>
      <c r="F165" s="1857"/>
      <c r="G165" s="70"/>
      <c r="H165" s="70"/>
      <c r="J165" s="70"/>
      <c r="L165" s="71"/>
      <c r="N165" s="65"/>
    </row>
    <row r="166" spans="1:14" ht="15" customHeight="1" x14ac:dyDescent="0.2">
      <c r="A166" s="1873"/>
      <c r="B166" s="180"/>
      <c r="C166" s="189"/>
      <c r="D166" s="182"/>
      <c r="E166" s="190"/>
      <c r="F166" s="1857"/>
      <c r="G166" s="70"/>
      <c r="H166" s="70"/>
      <c r="J166" s="70"/>
      <c r="L166" s="71"/>
      <c r="N166" s="65"/>
    </row>
    <row r="167" spans="1:14" ht="15" customHeight="1" x14ac:dyDescent="0.2">
      <c r="A167" s="1873"/>
      <c r="B167" s="180"/>
      <c r="C167" s="189"/>
      <c r="D167" s="182"/>
      <c r="E167" s="190"/>
      <c r="F167" s="1857"/>
      <c r="G167" s="70"/>
      <c r="H167" s="70"/>
      <c r="J167" s="70"/>
      <c r="L167" s="71"/>
      <c r="N167" s="65"/>
    </row>
    <row r="168" spans="1:14" ht="15" customHeight="1" x14ac:dyDescent="0.2">
      <c r="A168" s="1873"/>
      <c r="B168" s="180"/>
      <c r="C168" s="189"/>
      <c r="D168" s="182"/>
      <c r="E168" s="190"/>
      <c r="F168" s="1857"/>
      <c r="G168" s="70"/>
      <c r="H168" s="70"/>
      <c r="J168" s="70"/>
      <c r="L168" s="71"/>
      <c r="N168" s="65"/>
    </row>
    <row r="169" spans="1:14" ht="15" customHeight="1" x14ac:dyDescent="0.2">
      <c r="A169" s="1873"/>
      <c r="B169" s="180"/>
      <c r="C169" s="189"/>
      <c r="D169" s="182"/>
      <c r="E169" s="190"/>
      <c r="F169" s="1857"/>
      <c r="G169" s="70"/>
      <c r="H169" s="70"/>
      <c r="J169" s="70"/>
      <c r="L169" s="71"/>
      <c r="N169" s="65"/>
    </row>
    <row r="170" spans="1:14" ht="15" customHeight="1" x14ac:dyDescent="0.2">
      <c r="A170" s="1873"/>
      <c r="B170" s="180"/>
      <c r="C170" s="189"/>
      <c r="D170" s="182"/>
      <c r="E170" s="190"/>
      <c r="F170" s="1857"/>
      <c r="G170" s="70"/>
      <c r="H170" s="70"/>
      <c r="J170" s="70"/>
      <c r="L170" s="71"/>
      <c r="N170" s="65"/>
    </row>
    <row r="171" spans="1:14" ht="15" customHeight="1" x14ac:dyDescent="0.2">
      <c r="A171" s="1873"/>
      <c r="B171" s="180"/>
      <c r="C171" s="189"/>
      <c r="D171" s="182"/>
      <c r="E171" s="190"/>
      <c r="F171" s="1857"/>
      <c r="G171" s="70"/>
      <c r="H171" s="70"/>
      <c r="J171" s="70"/>
      <c r="L171" s="71"/>
      <c r="N171" s="65"/>
    </row>
    <row r="172" spans="1:14" ht="15" customHeight="1" x14ac:dyDescent="0.2">
      <c r="A172" s="1873"/>
      <c r="B172" s="180"/>
      <c r="C172" s="189"/>
      <c r="D172" s="182"/>
      <c r="E172" s="190"/>
      <c r="F172" s="1857"/>
      <c r="G172" s="70"/>
      <c r="H172" s="70"/>
      <c r="J172" s="70"/>
      <c r="L172" s="71"/>
      <c r="N172" s="65"/>
    </row>
    <row r="173" spans="1:14" ht="15" customHeight="1" x14ac:dyDescent="0.2">
      <c r="A173" s="1873"/>
      <c r="B173" s="180"/>
      <c r="C173" s="189"/>
      <c r="D173" s="182"/>
      <c r="E173" s="190"/>
      <c r="F173" s="1857"/>
      <c r="G173" s="70"/>
      <c r="H173" s="70"/>
      <c r="J173" s="70"/>
      <c r="L173" s="71"/>
      <c r="N173" s="65"/>
    </row>
    <row r="174" spans="1:14" ht="15" customHeight="1" x14ac:dyDescent="0.2">
      <c r="A174" s="1873"/>
      <c r="B174" s="180"/>
      <c r="C174" s="189"/>
      <c r="D174" s="182"/>
      <c r="E174" s="190"/>
      <c r="F174" s="1857"/>
      <c r="G174" s="70"/>
      <c r="H174" s="70"/>
      <c r="J174" s="70"/>
      <c r="L174" s="71"/>
      <c r="N174" s="65"/>
    </row>
    <row r="175" spans="1:14" ht="15" customHeight="1" x14ac:dyDescent="0.2">
      <c r="A175" s="1873"/>
      <c r="B175" s="180"/>
      <c r="C175" s="189"/>
      <c r="D175" s="182"/>
      <c r="E175" s="190"/>
      <c r="F175" s="1857"/>
      <c r="G175" s="70"/>
      <c r="H175" s="70"/>
      <c r="J175" s="70"/>
      <c r="L175" s="71"/>
      <c r="N175" s="65"/>
    </row>
    <row r="176" spans="1:14" ht="15" customHeight="1" x14ac:dyDescent="0.2">
      <c r="A176" s="1873"/>
      <c r="B176" s="180"/>
      <c r="C176" s="189"/>
      <c r="D176" s="182"/>
      <c r="E176" s="190"/>
      <c r="F176" s="1857"/>
      <c r="G176" s="70"/>
      <c r="H176" s="70"/>
      <c r="J176" s="70"/>
      <c r="L176" s="71"/>
      <c r="N176" s="65"/>
    </row>
    <row r="177" spans="1:14" ht="15" customHeight="1" x14ac:dyDescent="0.2">
      <c r="A177" s="1873"/>
      <c r="B177" s="180"/>
      <c r="C177" s="189"/>
      <c r="D177" s="182"/>
      <c r="E177" s="190"/>
      <c r="F177" s="1857"/>
      <c r="G177" s="70"/>
      <c r="H177" s="70"/>
      <c r="J177" s="70"/>
      <c r="L177" s="71"/>
      <c r="N177" s="65"/>
    </row>
    <row r="178" spans="1:14" ht="15" customHeight="1" x14ac:dyDescent="0.2">
      <c r="A178" s="1873"/>
      <c r="B178" s="180"/>
      <c r="C178" s="189"/>
      <c r="D178" s="182"/>
      <c r="E178" s="190"/>
      <c r="F178" s="1857"/>
      <c r="G178" s="70"/>
      <c r="H178" s="70"/>
      <c r="J178" s="70"/>
      <c r="L178" s="71"/>
      <c r="N178" s="65"/>
    </row>
    <row r="179" spans="1:14" ht="15" customHeight="1" x14ac:dyDescent="0.2">
      <c r="A179" s="1873"/>
      <c r="B179" s="180"/>
      <c r="C179" s="189"/>
      <c r="D179" s="182"/>
      <c r="E179" s="190"/>
      <c r="F179" s="1857"/>
      <c r="G179" s="70"/>
      <c r="H179" s="70"/>
      <c r="J179" s="70"/>
      <c r="L179" s="71"/>
      <c r="N179" s="65"/>
    </row>
    <row r="180" spans="1:14" ht="15" customHeight="1" x14ac:dyDescent="0.2">
      <c r="A180" s="1873"/>
      <c r="B180" s="180"/>
      <c r="C180" s="189"/>
      <c r="D180" s="182"/>
      <c r="E180" s="190"/>
      <c r="F180" s="1857"/>
      <c r="G180" s="70"/>
      <c r="H180" s="70"/>
      <c r="J180" s="70"/>
      <c r="L180" s="71"/>
      <c r="N180" s="65"/>
    </row>
    <row r="181" spans="1:14" ht="15" customHeight="1" x14ac:dyDescent="0.2">
      <c r="A181" s="1873"/>
      <c r="B181" s="180"/>
      <c r="C181" s="189"/>
      <c r="D181" s="182"/>
      <c r="E181" s="190"/>
      <c r="F181" s="1857"/>
      <c r="G181" s="70"/>
      <c r="H181" s="70"/>
      <c r="J181" s="70"/>
      <c r="L181" s="71"/>
      <c r="N181" s="65"/>
    </row>
    <row r="182" spans="1:14" ht="15" customHeight="1" x14ac:dyDescent="0.2">
      <c r="A182" s="1873"/>
      <c r="B182" s="180"/>
      <c r="C182" s="189"/>
      <c r="D182" s="182"/>
      <c r="E182" s="190"/>
      <c r="F182" s="1857"/>
      <c r="G182" s="70"/>
      <c r="H182" s="70"/>
      <c r="J182" s="70"/>
      <c r="L182" s="71"/>
      <c r="N182" s="65"/>
    </row>
    <row r="183" spans="1:14" ht="15" customHeight="1" x14ac:dyDescent="0.2">
      <c r="A183" s="1873"/>
      <c r="B183" s="180"/>
      <c r="C183" s="189"/>
      <c r="D183" s="182"/>
      <c r="E183" s="190"/>
      <c r="F183" s="1857"/>
      <c r="G183" s="70"/>
      <c r="H183" s="70"/>
      <c r="J183" s="70"/>
      <c r="L183" s="71"/>
      <c r="N183" s="65"/>
    </row>
    <row r="184" spans="1:14" ht="15" customHeight="1" x14ac:dyDescent="0.2">
      <c r="A184" s="1873"/>
      <c r="B184" s="180"/>
      <c r="C184" s="189"/>
      <c r="D184" s="182"/>
      <c r="E184" s="190"/>
      <c r="F184" s="1857"/>
      <c r="G184" s="70"/>
      <c r="H184" s="70"/>
      <c r="J184" s="70"/>
      <c r="L184" s="71"/>
      <c r="N184" s="65"/>
    </row>
    <row r="185" spans="1:14" ht="15" customHeight="1" x14ac:dyDescent="0.2">
      <c r="A185" s="1873"/>
      <c r="B185" s="180"/>
      <c r="C185" s="189"/>
      <c r="D185" s="182"/>
      <c r="E185" s="190"/>
      <c r="F185" s="1857"/>
      <c r="G185" s="70"/>
      <c r="H185" s="70"/>
      <c r="J185" s="70"/>
      <c r="L185" s="71"/>
      <c r="N185" s="65"/>
    </row>
    <row r="186" spans="1:14" ht="15" customHeight="1" x14ac:dyDescent="0.2">
      <c r="A186" s="1873"/>
      <c r="B186" s="180"/>
      <c r="C186" s="189"/>
      <c r="D186" s="182"/>
      <c r="E186" s="190"/>
      <c r="F186" s="1857"/>
      <c r="G186" s="70"/>
      <c r="H186" s="70"/>
      <c r="J186" s="70"/>
      <c r="L186" s="71"/>
      <c r="N186" s="65"/>
    </row>
    <row r="187" spans="1:14" ht="15" customHeight="1" x14ac:dyDescent="0.2">
      <c r="A187" s="1873"/>
      <c r="B187" s="180"/>
      <c r="C187" s="189"/>
      <c r="D187" s="182"/>
      <c r="E187" s="190"/>
      <c r="F187" s="1857"/>
      <c r="G187" s="70"/>
      <c r="H187" s="70"/>
      <c r="J187" s="70"/>
      <c r="L187" s="71"/>
      <c r="N187" s="65"/>
    </row>
    <row r="188" spans="1:14" ht="15" customHeight="1" x14ac:dyDescent="0.2">
      <c r="A188" s="1873"/>
      <c r="B188" s="180"/>
      <c r="C188" s="189"/>
      <c r="D188" s="182"/>
      <c r="E188" s="190"/>
      <c r="F188" s="1857"/>
      <c r="G188" s="70"/>
      <c r="H188" s="70"/>
      <c r="J188" s="70"/>
      <c r="L188" s="71"/>
      <c r="N188" s="65"/>
    </row>
    <row r="189" spans="1:14" ht="15" customHeight="1" x14ac:dyDescent="0.2">
      <c r="A189" s="1873"/>
      <c r="B189" s="180"/>
      <c r="C189" s="189"/>
      <c r="D189" s="182"/>
      <c r="E189" s="190"/>
      <c r="F189" s="1857"/>
      <c r="G189" s="70"/>
      <c r="H189" s="70"/>
      <c r="J189" s="70"/>
      <c r="L189" s="71"/>
      <c r="N189" s="65"/>
    </row>
    <row r="190" spans="1:14" ht="15" customHeight="1" x14ac:dyDescent="0.2">
      <c r="A190" s="1873"/>
      <c r="B190" s="180"/>
      <c r="C190" s="189"/>
      <c r="D190" s="182"/>
      <c r="E190" s="190"/>
      <c r="F190" s="1857"/>
      <c r="G190" s="70"/>
      <c r="H190" s="70"/>
      <c r="J190" s="70"/>
      <c r="L190" s="71"/>
      <c r="N190" s="65"/>
    </row>
    <row r="191" spans="1:14" ht="15" customHeight="1" x14ac:dyDescent="0.2">
      <c r="A191" s="1873"/>
      <c r="B191" s="180"/>
      <c r="C191" s="189"/>
      <c r="D191" s="182"/>
      <c r="E191" s="190"/>
      <c r="F191" s="1857"/>
      <c r="G191" s="70"/>
      <c r="H191" s="70"/>
      <c r="J191" s="70"/>
      <c r="L191" s="71"/>
      <c r="N191" s="65"/>
    </row>
    <row r="192" spans="1:14" ht="15" customHeight="1" x14ac:dyDescent="0.2">
      <c r="A192" s="1873"/>
      <c r="B192" s="180"/>
      <c r="C192" s="189"/>
      <c r="D192" s="182"/>
      <c r="E192" s="190"/>
      <c r="F192" s="1857"/>
      <c r="G192" s="70"/>
      <c r="H192" s="70"/>
      <c r="J192" s="70"/>
      <c r="L192" s="71"/>
      <c r="N192" s="65"/>
    </row>
    <row r="193" spans="1:14" ht="15" customHeight="1" x14ac:dyDescent="0.2">
      <c r="A193" s="1873"/>
      <c r="B193" s="180"/>
      <c r="C193" s="189"/>
      <c r="D193" s="182"/>
      <c r="E193" s="190"/>
      <c r="F193" s="1857"/>
      <c r="G193" s="70"/>
      <c r="H193" s="70"/>
      <c r="J193" s="70"/>
      <c r="L193" s="71"/>
      <c r="N193" s="65"/>
    </row>
    <row r="194" spans="1:14" ht="15" customHeight="1" x14ac:dyDescent="0.2">
      <c r="A194" s="1873"/>
      <c r="B194" s="180"/>
      <c r="C194" s="189"/>
      <c r="D194" s="182"/>
      <c r="E194" s="190"/>
      <c r="F194" s="1857"/>
      <c r="G194" s="70"/>
      <c r="H194" s="70"/>
      <c r="J194" s="70"/>
      <c r="L194" s="71"/>
      <c r="N194" s="65"/>
    </row>
    <row r="195" spans="1:14" ht="15" customHeight="1" x14ac:dyDescent="0.2">
      <c r="A195" s="1873"/>
      <c r="B195" s="180"/>
      <c r="C195" s="189"/>
      <c r="D195" s="182"/>
      <c r="E195" s="190"/>
      <c r="F195" s="1857"/>
      <c r="G195" s="70"/>
      <c r="H195" s="70"/>
      <c r="J195" s="70"/>
      <c r="L195" s="71"/>
      <c r="N195" s="65"/>
    </row>
    <row r="196" spans="1:14" ht="15" customHeight="1" x14ac:dyDescent="0.2">
      <c r="A196" s="1873"/>
      <c r="B196" s="180"/>
      <c r="C196" s="189"/>
      <c r="D196" s="182"/>
      <c r="E196" s="190"/>
      <c r="F196" s="1857"/>
      <c r="G196" s="70"/>
      <c r="H196" s="70"/>
      <c r="J196" s="70"/>
      <c r="L196" s="71"/>
      <c r="N196" s="65"/>
    </row>
    <row r="197" spans="1:14" ht="15" customHeight="1" x14ac:dyDescent="0.2">
      <c r="A197" s="1873"/>
      <c r="B197" s="180"/>
      <c r="C197" s="189"/>
      <c r="D197" s="182"/>
      <c r="E197" s="190"/>
      <c r="F197" s="1857"/>
      <c r="G197" s="70"/>
      <c r="H197" s="70"/>
      <c r="J197" s="70"/>
      <c r="L197" s="71"/>
      <c r="N197" s="65"/>
    </row>
    <row r="198" spans="1:14" ht="15" customHeight="1" x14ac:dyDescent="0.2">
      <c r="A198" s="1873"/>
      <c r="B198" s="180"/>
      <c r="C198" s="189"/>
      <c r="D198" s="182"/>
      <c r="E198" s="190"/>
      <c r="F198" s="1857"/>
      <c r="G198" s="70"/>
      <c r="H198" s="70"/>
      <c r="J198" s="70"/>
      <c r="L198" s="71"/>
      <c r="N198" s="65"/>
    </row>
    <row r="199" spans="1:14" ht="15" customHeight="1" x14ac:dyDescent="0.2">
      <c r="A199" s="1873"/>
      <c r="B199" s="180"/>
      <c r="C199" s="189"/>
      <c r="D199" s="182"/>
      <c r="E199" s="190"/>
      <c r="F199" s="1857"/>
      <c r="G199" s="70"/>
      <c r="H199" s="70"/>
      <c r="J199" s="70"/>
      <c r="L199" s="71"/>
      <c r="N199" s="65"/>
    </row>
    <row r="200" spans="1:14" ht="15" customHeight="1" x14ac:dyDescent="0.2">
      <c r="A200" s="1873"/>
      <c r="B200" s="180"/>
      <c r="C200" s="189"/>
      <c r="D200" s="182"/>
      <c r="E200" s="190"/>
      <c r="F200" s="1857"/>
      <c r="G200" s="70"/>
      <c r="H200" s="70"/>
      <c r="J200" s="70"/>
      <c r="L200" s="71"/>
      <c r="N200" s="65"/>
    </row>
    <row r="201" spans="1:14" ht="15" customHeight="1" x14ac:dyDescent="0.2">
      <c r="A201" s="1873"/>
      <c r="B201" s="180"/>
      <c r="C201" s="189"/>
      <c r="D201" s="182"/>
      <c r="E201" s="190"/>
      <c r="F201" s="1857"/>
      <c r="G201" s="70"/>
      <c r="H201" s="70"/>
      <c r="J201" s="70"/>
      <c r="L201" s="71"/>
      <c r="N201" s="65"/>
    </row>
    <row r="202" spans="1:14" ht="15" customHeight="1" x14ac:dyDescent="0.2">
      <c r="A202" s="1873"/>
      <c r="B202" s="180"/>
      <c r="C202" s="189"/>
      <c r="D202" s="182"/>
      <c r="E202" s="190"/>
      <c r="F202" s="1857"/>
      <c r="G202" s="70"/>
      <c r="H202" s="70"/>
      <c r="J202" s="70"/>
      <c r="L202" s="71"/>
      <c r="N202" s="65"/>
    </row>
    <row r="203" spans="1:14" ht="15" customHeight="1" x14ac:dyDescent="0.2">
      <c r="A203" s="1873"/>
      <c r="B203" s="180"/>
      <c r="C203" s="189"/>
      <c r="D203" s="182"/>
      <c r="E203" s="190"/>
      <c r="F203" s="1857"/>
      <c r="G203" s="70"/>
      <c r="H203" s="70"/>
      <c r="J203" s="70"/>
      <c r="L203" s="71"/>
      <c r="N203" s="65"/>
    </row>
    <row r="204" spans="1:14" ht="15" customHeight="1" x14ac:dyDescent="0.2">
      <c r="A204" s="1873"/>
      <c r="B204" s="180"/>
      <c r="C204" s="189"/>
      <c r="D204" s="182"/>
      <c r="E204" s="190"/>
      <c r="F204" s="1857"/>
      <c r="G204" s="70"/>
      <c r="H204" s="70"/>
      <c r="J204" s="70"/>
      <c r="L204" s="71"/>
      <c r="N204" s="65"/>
    </row>
    <row r="205" spans="1:14" ht="15" customHeight="1" x14ac:dyDescent="0.2">
      <c r="A205" s="1873"/>
      <c r="B205" s="180"/>
      <c r="C205" s="189"/>
      <c r="D205" s="182"/>
      <c r="E205" s="190"/>
      <c r="F205" s="1857"/>
      <c r="G205" s="70"/>
      <c r="H205" s="70"/>
      <c r="J205" s="70"/>
      <c r="L205" s="71"/>
      <c r="N205" s="65"/>
    </row>
    <row r="206" spans="1:14" ht="15" customHeight="1" x14ac:dyDescent="0.2">
      <c r="A206" s="1873"/>
      <c r="B206" s="180"/>
      <c r="C206" s="189"/>
      <c r="D206" s="182"/>
      <c r="E206" s="190"/>
      <c r="F206" s="1857"/>
      <c r="G206" s="70"/>
      <c r="H206" s="70"/>
      <c r="J206" s="70"/>
      <c r="L206" s="71"/>
      <c r="N206" s="65"/>
    </row>
    <row r="207" spans="1:14" ht="15" customHeight="1" x14ac:dyDescent="0.2">
      <c r="A207" s="1873"/>
      <c r="B207" s="180"/>
      <c r="C207" s="189"/>
      <c r="D207" s="182"/>
      <c r="E207" s="190"/>
      <c r="F207" s="1857"/>
      <c r="G207" s="70"/>
      <c r="H207" s="70"/>
      <c r="J207" s="70"/>
      <c r="L207" s="71"/>
      <c r="N207" s="65"/>
    </row>
    <row r="208" spans="1:14" ht="15" customHeight="1" x14ac:dyDescent="0.2">
      <c r="A208" s="1873"/>
      <c r="B208" s="180"/>
      <c r="C208" s="189"/>
      <c r="D208" s="182"/>
      <c r="E208" s="190"/>
      <c r="F208" s="1857"/>
      <c r="G208" s="70"/>
      <c r="H208" s="70"/>
      <c r="J208" s="70"/>
      <c r="L208" s="71"/>
      <c r="N208" s="65"/>
    </row>
    <row r="209" spans="1:14" ht="15" customHeight="1" x14ac:dyDescent="0.2">
      <c r="A209" s="1873"/>
      <c r="B209" s="180"/>
      <c r="C209" s="189"/>
      <c r="D209" s="182"/>
      <c r="E209" s="190"/>
      <c r="F209" s="1857"/>
      <c r="G209" s="70"/>
      <c r="H209" s="70"/>
      <c r="J209" s="70"/>
      <c r="L209" s="71"/>
      <c r="N209" s="65"/>
    </row>
    <row r="210" spans="1:14" ht="15" customHeight="1" x14ac:dyDescent="0.2">
      <c r="A210" s="1873"/>
      <c r="B210" s="180"/>
      <c r="C210" s="189"/>
      <c r="D210" s="182"/>
      <c r="E210" s="190"/>
      <c r="F210" s="1857"/>
      <c r="G210" s="70"/>
      <c r="H210" s="70"/>
      <c r="J210" s="70"/>
      <c r="L210" s="71"/>
      <c r="N210" s="65"/>
    </row>
    <row r="211" spans="1:14" ht="15" customHeight="1" x14ac:dyDescent="0.2">
      <c r="A211" s="1873"/>
      <c r="B211" s="180"/>
      <c r="C211" s="189"/>
      <c r="D211" s="182"/>
      <c r="E211" s="190"/>
      <c r="F211" s="1857"/>
      <c r="G211" s="70"/>
      <c r="H211" s="70"/>
      <c r="J211" s="70"/>
      <c r="L211" s="71"/>
      <c r="N211" s="65"/>
    </row>
    <row r="212" spans="1:14" ht="15" customHeight="1" x14ac:dyDescent="0.2">
      <c r="A212" s="1873"/>
      <c r="B212" s="180"/>
      <c r="C212" s="189"/>
      <c r="D212" s="182"/>
      <c r="E212" s="190"/>
      <c r="F212" s="1857"/>
      <c r="G212" s="70"/>
      <c r="H212" s="70"/>
      <c r="J212" s="70"/>
      <c r="L212" s="71"/>
      <c r="N212" s="65"/>
    </row>
    <row r="213" spans="1:14" ht="15" customHeight="1" x14ac:dyDescent="0.2">
      <c r="A213" s="1873"/>
      <c r="B213" s="180"/>
      <c r="C213" s="189"/>
      <c r="D213" s="182"/>
      <c r="E213" s="190"/>
      <c r="F213" s="1857"/>
      <c r="G213" s="70"/>
      <c r="H213" s="70"/>
      <c r="J213" s="70"/>
      <c r="L213" s="71"/>
      <c r="N213" s="65"/>
    </row>
    <row r="214" spans="1:14" ht="15" customHeight="1" x14ac:dyDescent="0.2">
      <c r="A214" s="1873"/>
      <c r="B214" s="180"/>
      <c r="C214" s="189"/>
      <c r="D214" s="182"/>
      <c r="E214" s="190"/>
      <c r="F214" s="1857"/>
      <c r="G214" s="70"/>
      <c r="H214" s="70"/>
      <c r="J214" s="70"/>
      <c r="L214" s="71"/>
      <c r="N214" s="65"/>
    </row>
    <row r="215" spans="1:14" ht="15" customHeight="1" x14ac:dyDescent="0.2">
      <c r="A215" s="1873"/>
      <c r="B215" s="180"/>
      <c r="C215" s="189"/>
      <c r="D215" s="182"/>
      <c r="E215" s="190"/>
      <c r="F215" s="1857"/>
      <c r="G215" s="70"/>
      <c r="H215" s="70"/>
      <c r="J215" s="70"/>
      <c r="L215" s="71"/>
      <c r="N215" s="65"/>
    </row>
    <row r="216" spans="1:14" ht="15" customHeight="1" x14ac:dyDescent="0.2">
      <c r="A216" s="1873"/>
      <c r="B216" s="180"/>
      <c r="C216" s="189"/>
      <c r="D216" s="182"/>
      <c r="E216" s="190"/>
      <c r="F216" s="1857"/>
      <c r="G216" s="70"/>
      <c r="H216" s="70"/>
      <c r="J216" s="70"/>
      <c r="L216" s="71"/>
      <c r="N216" s="65"/>
    </row>
    <row r="217" spans="1:14" ht="15" customHeight="1" x14ac:dyDescent="0.2">
      <c r="A217" s="1873"/>
      <c r="B217" s="180"/>
      <c r="C217" s="189"/>
      <c r="D217" s="182"/>
      <c r="E217" s="190"/>
      <c r="F217" s="1857"/>
      <c r="G217" s="70"/>
      <c r="H217" s="70"/>
      <c r="J217" s="70"/>
      <c r="L217" s="71"/>
      <c r="N217" s="65"/>
    </row>
    <row r="218" spans="1:14" ht="15" customHeight="1" x14ac:dyDescent="0.2">
      <c r="A218" s="1873"/>
      <c r="B218" s="180"/>
      <c r="C218" s="189"/>
      <c r="D218" s="182"/>
      <c r="E218" s="190"/>
      <c r="F218" s="1857"/>
      <c r="G218" s="70"/>
      <c r="H218" s="70"/>
      <c r="J218" s="70"/>
      <c r="L218" s="71"/>
      <c r="N218" s="65"/>
    </row>
    <row r="219" spans="1:14" ht="15" customHeight="1" x14ac:dyDescent="0.2">
      <c r="A219" s="1873"/>
      <c r="B219" s="180"/>
      <c r="C219" s="189"/>
      <c r="D219" s="182"/>
      <c r="E219" s="190"/>
      <c r="F219" s="1857"/>
      <c r="G219" s="70"/>
      <c r="H219" s="70"/>
      <c r="J219" s="70"/>
      <c r="L219" s="71"/>
      <c r="N219" s="65"/>
    </row>
    <row r="220" spans="1:14" ht="15" customHeight="1" x14ac:dyDescent="0.2">
      <c r="A220" s="1873"/>
      <c r="B220" s="180"/>
      <c r="C220" s="189"/>
      <c r="D220" s="182"/>
      <c r="E220" s="190"/>
      <c r="F220" s="1857"/>
      <c r="G220" s="70"/>
      <c r="H220" s="70"/>
      <c r="J220" s="70"/>
      <c r="L220" s="71"/>
      <c r="N220" s="65"/>
    </row>
    <row r="221" spans="1:14" ht="15" customHeight="1" x14ac:dyDescent="0.2">
      <c r="A221" s="1873"/>
      <c r="B221" s="180"/>
      <c r="C221" s="189"/>
      <c r="D221" s="182"/>
      <c r="E221" s="190"/>
      <c r="F221" s="1857"/>
      <c r="G221" s="70"/>
      <c r="H221" s="70"/>
      <c r="J221" s="70"/>
      <c r="L221" s="71"/>
      <c r="N221" s="65"/>
    </row>
    <row r="222" spans="1:14" ht="15" customHeight="1" x14ac:dyDescent="0.2">
      <c r="A222" s="1873"/>
      <c r="B222" s="180"/>
      <c r="C222" s="189"/>
      <c r="D222" s="182"/>
      <c r="E222" s="190"/>
      <c r="F222" s="1857"/>
      <c r="G222" s="70"/>
      <c r="H222" s="70"/>
      <c r="J222" s="70"/>
      <c r="L222" s="71"/>
      <c r="N222" s="65"/>
    </row>
    <row r="223" spans="1:14" ht="15" customHeight="1" x14ac:dyDescent="0.2">
      <c r="A223" s="1873"/>
      <c r="B223" s="180"/>
      <c r="C223" s="189"/>
      <c r="D223" s="182"/>
      <c r="E223" s="190"/>
      <c r="F223" s="1857"/>
      <c r="G223" s="70"/>
      <c r="H223" s="70"/>
      <c r="J223" s="70"/>
      <c r="L223" s="71"/>
      <c r="N223" s="65"/>
    </row>
    <row r="224" spans="1:14" ht="15" customHeight="1" x14ac:dyDescent="0.2">
      <c r="A224" s="1873"/>
      <c r="B224" s="180"/>
      <c r="C224" s="189"/>
      <c r="D224" s="182"/>
      <c r="E224" s="190"/>
      <c r="F224" s="1857"/>
      <c r="G224" s="70"/>
      <c r="H224" s="70"/>
      <c r="J224" s="70"/>
      <c r="L224" s="71"/>
      <c r="N224" s="65"/>
    </row>
    <row r="225" spans="1:14" ht="15" customHeight="1" x14ac:dyDescent="0.2">
      <c r="A225" s="1873"/>
      <c r="B225" s="180"/>
      <c r="C225" s="189"/>
      <c r="D225" s="182"/>
      <c r="E225" s="190"/>
      <c r="F225" s="1857"/>
      <c r="G225" s="70"/>
      <c r="H225" s="70"/>
      <c r="J225" s="70"/>
      <c r="L225" s="71"/>
      <c r="N225" s="65"/>
    </row>
    <row r="226" spans="1:14" ht="15" customHeight="1" x14ac:dyDescent="0.2">
      <c r="A226" s="1873"/>
      <c r="B226" s="180"/>
      <c r="C226" s="189"/>
      <c r="D226" s="182"/>
      <c r="E226" s="190"/>
      <c r="F226" s="1857"/>
      <c r="G226" s="70"/>
      <c r="H226" s="70"/>
      <c r="J226" s="70"/>
      <c r="L226" s="71"/>
      <c r="N226" s="65"/>
    </row>
    <row r="227" spans="1:14" ht="15" customHeight="1" x14ac:dyDescent="0.2">
      <c r="A227" s="1873"/>
      <c r="B227" s="180"/>
      <c r="C227" s="189"/>
      <c r="D227" s="182"/>
      <c r="E227" s="190"/>
      <c r="F227" s="1857"/>
      <c r="G227" s="70"/>
      <c r="H227" s="70"/>
      <c r="J227" s="70"/>
      <c r="L227" s="71"/>
      <c r="N227" s="65"/>
    </row>
    <row r="228" spans="1:14" ht="15" customHeight="1" x14ac:dyDescent="0.2">
      <c r="A228" s="1873"/>
      <c r="B228" s="180"/>
      <c r="C228" s="189"/>
      <c r="D228" s="182"/>
      <c r="E228" s="190"/>
      <c r="F228" s="1857"/>
      <c r="G228" s="70"/>
      <c r="H228" s="70"/>
      <c r="J228" s="70"/>
      <c r="L228" s="71"/>
      <c r="N228" s="65"/>
    </row>
    <row r="229" spans="1:14" ht="15" customHeight="1" x14ac:dyDescent="0.2">
      <c r="A229" s="1873"/>
      <c r="B229" s="180"/>
      <c r="C229" s="189"/>
      <c r="D229" s="182"/>
      <c r="E229" s="190"/>
      <c r="F229" s="1857"/>
      <c r="G229" s="70"/>
      <c r="H229" s="70"/>
      <c r="J229" s="70"/>
      <c r="L229" s="71"/>
      <c r="N229" s="65"/>
    </row>
    <row r="230" spans="1:14" ht="15" customHeight="1" x14ac:dyDescent="0.2">
      <c r="A230" s="1873"/>
      <c r="B230" s="180"/>
      <c r="C230" s="189"/>
      <c r="D230" s="182"/>
      <c r="E230" s="190"/>
      <c r="F230" s="1857"/>
      <c r="G230" s="70"/>
      <c r="H230" s="70"/>
      <c r="J230" s="70"/>
      <c r="L230" s="71"/>
      <c r="N230" s="65"/>
    </row>
    <row r="231" spans="1:14" ht="15" customHeight="1" x14ac:dyDescent="0.2">
      <c r="A231" s="1873"/>
      <c r="B231" s="180"/>
      <c r="C231" s="189"/>
      <c r="D231" s="182"/>
      <c r="E231" s="190"/>
      <c r="F231" s="1857"/>
      <c r="G231" s="70"/>
      <c r="H231" s="70"/>
      <c r="J231" s="70"/>
      <c r="L231" s="71"/>
      <c r="N231" s="65"/>
    </row>
    <row r="232" spans="1:14" ht="15" customHeight="1" x14ac:dyDescent="0.2">
      <c r="A232" s="1873"/>
      <c r="B232" s="180"/>
      <c r="C232" s="189"/>
      <c r="D232" s="182"/>
      <c r="E232" s="190"/>
      <c r="F232" s="1857"/>
      <c r="G232" s="70"/>
      <c r="H232" s="70"/>
      <c r="J232" s="70"/>
      <c r="L232" s="71"/>
      <c r="N232" s="65"/>
    </row>
    <row r="233" spans="1:14" ht="15" customHeight="1" x14ac:dyDescent="0.2">
      <c r="A233" s="1873"/>
      <c r="B233" s="180"/>
      <c r="C233" s="189"/>
      <c r="D233" s="182"/>
      <c r="E233" s="190"/>
      <c r="F233" s="1857"/>
      <c r="G233" s="70"/>
      <c r="H233" s="70"/>
      <c r="J233" s="70"/>
      <c r="L233" s="71"/>
      <c r="N233" s="65"/>
    </row>
    <row r="234" spans="1:14" ht="15" customHeight="1" x14ac:dyDescent="0.2">
      <c r="A234" s="1873"/>
      <c r="B234" s="180"/>
      <c r="C234" s="189"/>
      <c r="D234" s="182"/>
      <c r="E234" s="190"/>
      <c r="F234" s="1857"/>
      <c r="G234" s="70"/>
      <c r="H234" s="70"/>
      <c r="J234" s="70"/>
      <c r="L234" s="71"/>
      <c r="N234" s="65"/>
    </row>
    <row r="235" spans="1:14" ht="15" customHeight="1" x14ac:dyDescent="0.2">
      <c r="A235" s="1873"/>
      <c r="B235" s="180"/>
      <c r="C235" s="189"/>
      <c r="D235" s="182"/>
      <c r="E235" s="190"/>
      <c r="F235" s="1857"/>
      <c r="G235" s="70"/>
      <c r="H235" s="70"/>
      <c r="J235" s="70"/>
      <c r="L235" s="71"/>
      <c r="N235" s="65"/>
    </row>
    <row r="236" spans="1:14" ht="15" customHeight="1" x14ac:dyDescent="0.2">
      <c r="A236" s="1873"/>
      <c r="B236" s="180"/>
      <c r="C236" s="189"/>
      <c r="D236" s="182"/>
      <c r="E236" s="190"/>
      <c r="F236" s="1857"/>
      <c r="G236" s="70"/>
      <c r="H236" s="70"/>
      <c r="J236" s="70"/>
      <c r="L236" s="71"/>
      <c r="N236" s="65"/>
    </row>
    <row r="237" spans="1:14" ht="15" customHeight="1" x14ac:dyDescent="0.2">
      <c r="A237" s="1873"/>
      <c r="B237" s="180"/>
      <c r="C237" s="189"/>
      <c r="D237" s="182"/>
      <c r="E237" s="190"/>
      <c r="F237" s="1857"/>
      <c r="G237" s="70"/>
      <c r="H237" s="70"/>
      <c r="J237" s="70"/>
      <c r="L237" s="71"/>
      <c r="N237" s="65"/>
    </row>
    <row r="238" spans="1:14" ht="15" customHeight="1" x14ac:dyDescent="0.2">
      <c r="A238" s="1873"/>
      <c r="B238" s="180"/>
      <c r="C238" s="189"/>
      <c r="D238" s="182"/>
      <c r="E238" s="190"/>
      <c r="F238" s="1857"/>
      <c r="G238" s="70"/>
      <c r="H238" s="70"/>
      <c r="J238" s="70"/>
      <c r="L238" s="71"/>
      <c r="N238" s="65"/>
    </row>
    <row r="239" spans="1:14" ht="15" customHeight="1" x14ac:dyDescent="0.2">
      <c r="A239" s="1873"/>
      <c r="B239" s="180"/>
      <c r="C239" s="189"/>
      <c r="D239" s="182"/>
      <c r="E239" s="190"/>
      <c r="F239" s="1857"/>
      <c r="G239" s="70"/>
      <c r="H239" s="70"/>
      <c r="J239" s="70"/>
      <c r="L239" s="71"/>
      <c r="N239" s="65"/>
    </row>
    <row r="240" spans="1:14" ht="15" customHeight="1" x14ac:dyDescent="0.2">
      <c r="A240" s="1873"/>
      <c r="B240" s="180"/>
      <c r="C240" s="189"/>
      <c r="D240" s="182"/>
      <c r="E240" s="190"/>
      <c r="F240" s="1857"/>
      <c r="G240" s="70"/>
      <c r="H240" s="70"/>
      <c r="J240" s="70"/>
      <c r="L240" s="71"/>
      <c r="N240" s="65"/>
    </row>
    <row r="241" spans="1:14" ht="15" customHeight="1" x14ac:dyDescent="0.2">
      <c r="A241" s="1873"/>
      <c r="B241" s="180"/>
      <c r="C241" s="189"/>
      <c r="D241" s="182"/>
      <c r="E241" s="190"/>
      <c r="F241" s="1857"/>
      <c r="G241" s="70"/>
      <c r="H241" s="70"/>
      <c r="J241" s="70"/>
      <c r="L241" s="71"/>
      <c r="N241" s="65"/>
    </row>
    <row r="242" spans="1:14" ht="15" customHeight="1" x14ac:dyDescent="0.2">
      <c r="A242" s="1873"/>
      <c r="B242" s="180"/>
      <c r="C242" s="189"/>
      <c r="D242" s="182"/>
      <c r="E242" s="190"/>
      <c r="F242" s="1857"/>
      <c r="G242" s="70"/>
      <c r="H242" s="70"/>
      <c r="J242" s="70"/>
      <c r="L242" s="71"/>
      <c r="N242" s="65"/>
    </row>
    <row r="243" spans="1:14" ht="15" customHeight="1" x14ac:dyDescent="0.2">
      <c r="A243" s="1873"/>
      <c r="B243" s="180"/>
      <c r="C243" s="189"/>
      <c r="D243" s="182"/>
      <c r="E243" s="190"/>
      <c r="F243" s="1857"/>
      <c r="G243" s="70"/>
      <c r="H243" s="70"/>
      <c r="J243" s="70"/>
      <c r="L243" s="71"/>
      <c r="N243" s="65"/>
    </row>
    <row r="244" spans="1:14" ht="15" customHeight="1" x14ac:dyDescent="0.2">
      <c r="A244" s="1873"/>
      <c r="B244" s="180"/>
      <c r="C244" s="189"/>
      <c r="D244" s="182"/>
      <c r="E244" s="190"/>
      <c r="F244" s="1857"/>
      <c r="G244" s="70"/>
      <c r="H244" s="70"/>
      <c r="J244" s="70"/>
      <c r="L244" s="71"/>
      <c r="N244" s="65"/>
    </row>
    <row r="245" spans="1:14" ht="15" customHeight="1" x14ac:dyDescent="0.2">
      <c r="A245" s="1873"/>
      <c r="B245" s="180"/>
      <c r="C245" s="189"/>
      <c r="D245" s="182"/>
      <c r="E245" s="190"/>
      <c r="F245" s="1857"/>
      <c r="G245" s="70"/>
      <c r="H245" s="70"/>
      <c r="J245" s="70"/>
      <c r="L245" s="71"/>
      <c r="N245" s="65"/>
    </row>
    <row r="246" spans="1:14" ht="15" customHeight="1" x14ac:dyDescent="0.2">
      <c r="A246" s="1873"/>
      <c r="B246" s="180"/>
      <c r="C246" s="189"/>
      <c r="D246" s="182"/>
      <c r="E246" s="190"/>
      <c r="F246" s="1857"/>
      <c r="G246" s="70"/>
      <c r="H246" s="70"/>
      <c r="J246" s="70"/>
      <c r="L246" s="71"/>
      <c r="N246" s="65"/>
    </row>
    <row r="247" spans="1:14" ht="15" customHeight="1" x14ac:dyDescent="0.2">
      <c r="A247" s="1873"/>
      <c r="B247" s="180"/>
      <c r="C247" s="189"/>
      <c r="D247" s="182"/>
      <c r="E247" s="190"/>
      <c r="F247" s="1857"/>
      <c r="G247" s="70"/>
      <c r="H247" s="70"/>
      <c r="J247" s="70"/>
      <c r="L247" s="71"/>
      <c r="N247" s="65"/>
    </row>
    <row r="248" spans="1:14" ht="15" customHeight="1" x14ac:dyDescent="0.2">
      <c r="A248" s="1873"/>
      <c r="B248" s="180"/>
      <c r="C248" s="189"/>
      <c r="D248" s="182"/>
      <c r="E248" s="190"/>
      <c r="F248" s="1857"/>
      <c r="G248" s="70"/>
      <c r="H248" s="70"/>
      <c r="J248" s="70"/>
      <c r="L248" s="71"/>
      <c r="N248" s="65"/>
    </row>
    <row r="249" spans="1:14" ht="15" customHeight="1" x14ac:dyDescent="0.2">
      <c r="A249" s="1873"/>
      <c r="B249" s="180"/>
      <c r="C249" s="189"/>
      <c r="D249" s="182"/>
      <c r="E249" s="190"/>
      <c r="F249" s="1857"/>
      <c r="G249" s="70"/>
      <c r="H249" s="70"/>
      <c r="J249" s="70"/>
      <c r="L249" s="71"/>
      <c r="N249" s="65"/>
    </row>
    <row r="250" spans="1:14" ht="15" customHeight="1" x14ac:dyDescent="0.2">
      <c r="A250" s="1873"/>
      <c r="B250" s="180"/>
      <c r="C250" s="189"/>
      <c r="D250" s="182"/>
      <c r="E250" s="190"/>
      <c r="F250" s="1857"/>
      <c r="G250" s="70"/>
      <c r="H250" s="70"/>
      <c r="J250" s="70"/>
      <c r="L250" s="71"/>
      <c r="N250" s="65"/>
    </row>
    <row r="251" spans="1:14" ht="15" customHeight="1" x14ac:dyDescent="0.2">
      <c r="A251" s="1873"/>
      <c r="B251" s="180"/>
      <c r="C251" s="189"/>
      <c r="D251" s="182"/>
      <c r="E251" s="190"/>
      <c r="F251" s="1857"/>
      <c r="G251" s="70"/>
      <c r="H251" s="70"/>
      <c r="J251" s="70"/>
      <c r="L251" s="71"/>
      <c r="N251" s="65"/>
    </row>
    <row r="252" spans="1:14" ht="15" customHeight="1" x14ac:dyDescent="0.2">
      <c r="A252" s="1873"/>
      <c r="B252" s="180"/>
      <c r="C252" s="189"/>
      <c r="D252" s="182"/>
      <c r="E252" s="190"/>
      <c r="F252" s="1857"/>
      <c r="G252" s="70"/>
      <c r="H252" s="70"/>
      <c r="J252" s="70"/>
      <c r="L252" s="71"/>
      <c r="N252" s="65"/>
    </row>
    <row r="253" spans="1:14" ht="15" customHeight="1" x14ac:dyDescent="0.2">
      <c r="A253" s="1873"/>
      <c r="B253" s="180"/>
      <c r="C253" s="189"/>
      <c r="D253" s="182"/>
      <c r="E253" s="190"/>
      <c r="F253" s="1857"/>
      <c r="G253" s="70"/>
      <c r="H253" s="70"/>
      <c r="J253" s="70"/>
      <c r="L253" s="71"/>
      <c r="N253" s="65"/>
    </row>
    <row r="254" spans="1:14" ht="15" customHeight="1" x14ac:dyDescent="0.2">
      <c r="A254" s="1873"/>
      <c r="B254" s="180"/>
      <c r="C254" s="189"/>
      <c r="D254" s="182"/>
      <c r="E254" s="190"/>
      <c r="F254" s="1857"/>
      <c r="G254" s="70"/>
      <c r="H254" s="70"/>
      <c r="J254" s="70"/>
      <c r="L254" s="71"/>
      <c r="N254" s="65"/>
    </row>
    <row r="255" spans="1:14" ht="15" customHeight="1" x14ac:dyDescent="0.2">
      <c r="A255" s="1873"/>
      <c r="B255" s="180"/>
      <c r="C255" s="189"/>
      <c r="D255" s="182"/>
      <c r="E255" s="190"/>
      <c r="F255" s="1857"/>
      <c r="G255" s="70"/>
      <c r="H255" s="70"/>
      <c r="J255" s="70"/>
      <c r="L255" s="71"/>
      <c r="N255" s="65"/>
    </row>
    <row r="256" spans="1:14" ht="15" customHeight="1" x14ac:dyDescent="0.2">
      <c r="A256" s="1873"/>
      <c r="B256" s="180"/>
      <c r="C256" s="189"/>
      <c r="D256" s="182"/>
      <c r="E256" s="190"/>
      <c r="F256" s="1857"/>
      <c r="G256" s="70"/>
      <c r="H256" s="70"/>
      <c r="J256" s="70"/>
      <c r="L256" s="71"/>
      <c r="N256" s="65"/>
    </row>
    <row r="257" spans="1:14" ht="15" customHeight="1" x14ac:dyDescent="0.2">
      <c r="A257" s="1873"/>
      <c r="B257" s="180"/>
      <c r="C257" s="189"/>
      <c r="D257" s="182"/>
      <c r="E257" s="190"/>
      <c r="F257" s="1857"/>
      <c r="G257" s="70"/>
      <c r="H257" s="70"/>
      <c r="J257" s="70"/>
      <c r="L257" s="71"/>
      <c r="N257" s="65"/>
    </row>
    <row r="258" spans="1:14" ht="15" customHeight="1" x14ac:dyDescent="0.2">
      <c r="A258" s="1873"/>
      <c r="B258" s="180"/>
      <c r="C258" s="189"/>
      <c r="D258" s="182"/>
      <c r="E258" s="190"/>
      <c r="F258" s="1857"/>
      <c r="G258" s="70"/>
      <c r="H258" s="70"/>
      <c r="J258" s="70"/>
      <c r="L258" s="71"/>
      <c r="N258" s="65"/>
    </row>
    <row r="259" spans="1:14" ht="15" customHeight="1" x14ac:dyDescent="0.2">
      <c r="A259" s="1873"/>
      <c r="B259" s="180"/>
      <c r="C259" s="189"/>
      <c r="D259" s="182"/>
      <c r="E259" s="190"/>
      <c r="F259" s="1857"/>
      <c r="G259" s="70"/>
      <c r="H259" s="70"/>
      <c r="J259" s="70"/>
      <c r="L259" s="71"/>
      <c r="N259" s="65"/>
    </row>
    <row r="260" spans="1:14" ht="15" customHeight="1" x14ac:dyDescent="0.2">
      <c r="A260" s="1873"/>
      <c r="B260" s="180"/>
      <c r="C260" s="189"/>
      <c r="D260" s="182"/>
      <c r="E260" s="190"/>
      <c r="F260" s="1857"/>
      <c r="G260" s="70"/>
      <c r="H260" s="70"/>
      <c r="J260" s="70"/>
      <c r="L260" s="71"/>
      <c r="N260" s="65"/>
    </row>
    <row r="261" spans="1:14" ht="15" customHeight="1" x14ac:dyDescent="0.2">
      <c r="A261" s="1873"/>
      <c r="B261" s="180"/>
      <c r="C261" s="189"/>
      <c r="D261" s="182"/>
      <c r="E261" s="190"/>
      <c r="F261" s="1857"/>
      <c r="G261" s="70"/>
      <c r="H261" s="70"/>
      <c r="J261" s="70"/>
      <c r="L261" s="71"/>
      <c r="N261" s="65"/>
    </row>
    <row r="262" spans="1:14" ht="15" customHeight="1" x14ac:dyDescent="0.2">
      <c r="A262" s="1873"/>
      <c r="B262" s="180"/>
      <c r="C262" s="189"/>
      <c r="D262" s="182"/>
      <c r="E262" s="190"/>
      <c r="F262" s="1857"/>
      <c r="G262" s="70"/>
      <c r="H262" s="70"/>
      <c r="J262" s="70"/>
      <c r="L262" s="71"/>
      <c r="N262" s="65"/>
    </row>
    <row r="263" spans="1:14" ht="15" customHeight="1" x14ac:dyDescent="0.2">
      <c r="A263" s="1873"/>
      <c r="B263" s="180"/>
      <c r="C263" s="189"/>
      <c r="D263" s="182"/>
      <c r="E263" s="190"/>
      <c r="F263" s="1857"/>
      <c r="G263" s="70"/>
      <c r="H263" s="70"/>
      <c r="J263" s="70"/>
      <c r="L263" s="71"/>
      <c r="N263" s="65"/>
    </row>
    <row r="264" spans="1:14" ht="15" customHeight="1" x14ac:dyDescent="0.2">
      <c r="A264" s="1873"/>
      <c r="B264" s="180"/>
      <c r="C264" s="189"/>
      <c r="D264" s="182"/>
      <c r="E264" s="190"/>
      <c r="F264" s="1857"/>
      <c r="G264" s="70"/>
      <c r="H264" s="70"/>
      <c r="J264" s="70"/>
      <c r="L264" s="71"/>
      <c r="N264" s="65"/>
    </row>
    <row r="265" spans="1:14" ht="15" customHeight="1" x14ac:dyDescent="0.2">
      <c r="A265" s="1873"/>
      <c r="B265" s="180"/>
      <c r="C265" s="189"/>
      <c r="D265" s="182"/>
      <c r="E265" s="190"/>
      <c r="F265" s="1857"/>
      <c r="G265" s="70"/>
      <c r="H265" s="70"/>
      <c r="J265" s="70"/>
      <c r="L265" s="71"/>
      <c r="N265" s="65"/>
    </row>
    <row r="266" spans="1:14" ht="15" customHeight="1" x14ac:dyDescent="0.2">
      <c r="A266" s="1873"/>
      <c r="B266" s="180"/>
      <c r="C266" s="189"/>
      <c r="D266" s="182"/>
      <c r="E266" s="190"/>
      <c r="F266" s="1857"/>
      <c r="G266" s="70"/>
      <c r="H266" s="70"/>
      <c r="J266" s="70"/>
      <c r="L266" s="71"/>
      <c r="N266" s="65"/>
    </row>
    <row r="267" spans="1:14" ht="15" customHeight="1" x14ac:dyDescent="0.2">
      <c r="A267" s="1873"/>
      <c r="B267" s="180"/>
      <c r="C267" s="189"/>
      <c r="D267" s="182"/>
      <c r="E267" s="190"/>
      <c r="F267" s="1857"/>
      <c r="G267" s="70"/>
      <c r="H267" s="70"/>
      <c r="J267" s="70"/>
      <c r="L267" s="71"/>
      <c r="N267" s="65"/>
    </row>
    <row r="268" spans="1:14" ht="15" customHeight="1" x14ac:dyDescent="0.2">
      <c r="A268" s="1873"/>
      <c r="B268" s="180"/>
      <c r="C268" s="189"/>
      <c r="D268" s="182"/>
      <c r="E268" s="190"/>
      <c r="F268" s="1857"/>
      <c r="G268" s="70"/>
      <c r="H268" s="70"/>
      <c r="J268" s="70"/>
      <c r="L268" s="71"/>
      <c r="N268" s="65"/>
    </row>
    <row r="269" spans="1:14" ht="15" customHeight="1" x14ac:dyDescent="0.2">
      <c r="A269" s="1873"/>
      <c r="B269" s="180"/>
      <c r="C269" s="189"/>
      <c r="D269" s="182"/>
      <c r="E269" s="190"/>
      <c r="F269" s="1857"/>
      <c r="G269" s="70"/>
      <c r="H269" s="70"/>
      <c r="J269" s="70"/>
      <c r="L269" s="71"/>
      <c r="N269" s="65"/>
    </row>
    <row r="270" spans="1:14" ht="15" customHeight="1" x14ac:dyDescent="0.2">
      <c r="A270" s="1873"/>
      <c r="B270" s="180"/>
      <c r="C270" s="189"/>
      <c r="D270" s="182"/>
      <c r="E270" s="190"/>
      <c r="F270" s="1857"/>
      <c r="G270" s="70"/>
      <c r="H270" s="70"/>
      <c r="J270" s="70"/>
      <c r="L270" s="71"/>
      <c r="N270" s="65"/>
    </row>
    <row r="271" spans="1:14" ht="15" customHeight="1" x14ac:dyDescent="0.2">
      <c r="A271" s="1873"/>
      <c r="B271" s="180"/>
      <c r="C271" s="189"/>
      <c r="D271" s="182"/>
      <c r="E271" s="190"/>
      <c r="F271" s="1857"/>
      <c r="G271" s="70"/>
      <c r="H271" s="70"/>
      <c r="J271" s="70"/>
      <c r="L271" s="71"/>
      <c r="N271" s="65"/>
    </row>
    <row r="272" spans="1:14" ht="15" customHeight="1" x14ac:dyDescent="0.2">
      <c r="A272" s="1873"/>
      <c r="B272" s="180"/>
      <c r="C272" s="189"/>
      <c r="D272" s="182"/>
      <c r="E272" s="190"/>
      <c r="F272" s="1857"/>
      <c r="G272" s="70"/>
      <c r="H272" s="70"/>
      <c r="J272" s="70"/>
      <c r="L272" s="71"/>
      <c r="N272" s="65"/>
    </row>
    <row r="273" spans="1:14" ht="15" customHeight="1" x14ac:dyDescent="0.2">
      <c r="A273" s="1873"/>
      <c r="B273" s="180"/>
      <c r="C273" s="189"/>
      <c r="D273" s="182"/>
      <c r="E273" s="190"/>
      <c r="F273" s="1857"/>
      <c r="G273" s="70"/>
      <c r="H273" s="70"/>
      <c r="J273" s="70"/>
      <c r="L273" s="71"/>
      <c r="N273" s="65"/>
    </row>
    <row r="274" spans="1:14" ht="15" customHeight="1" x14ac:dyDescent="0.2">
      <c r="A274" s="1873"/>
      <c r="B274" s="180"/>
      <c r="C274" s="189"/>
      <c r="D274" s="182"/>
      <c r="E274" s="190"/>
      <c r="F274" s="1857"/>
      <c r="G274" s="70"/>
      <c r="H274" s="70"/>
      <c r="J274" s="70"/>
      <c r="L274" s="71"/>
      <c r="N274" s="65"/>
    </row>
    <row r="275" spans="1:14" ht="15" customHeight="1" x14ac:dyDescent="0.2">
      <c r="A275" s="1873"/>
      <c r="B275" s="180"/>
      <c r="C275" s="189"/>
      <c r="D275" s="182"/>
      <c r="E275" s="190"/>
      <c r="F275" s="1857"/>
      <c r="G275" s="70"/>
      <c r="H275" s="70"/>
      <c r="J275" s="70"/>
      <c r="L275" s="71"/>
      <c r="N275" s="65"/>
    </row>
    <row r="276" spans="1:14" ht="15" customHeight="1" x14ac:dyDescent="0.2">
      <c r="A276" s="1873"/>
      <c r="B276" s="180"/>
      <c r="C276" s="189"/>
      <c r="D276" s="182"/>
      <c r="E276" s="190"/>
      <c r="F276" s="1857"/>
      <c r="G276" s="70"/>
      <c r="H276" s="70"/>
      <c r="J276" s="70"/>
      <c r="L276" s="71"/>
      <c r="N276" s="65"/>
    </row>
    <row r="277" spans="1:14" ht="15" customHeight="1" x14ac:dyDescent="0.2">
      <c r="A277" s="1873"/>
      <c r="B277" s="180"/>
      <c r="C277" s="189"/>
      <c r="D277" s="182"/>
      <c r="E277" s="190"/>
      <c r="F277" s="1857"/>
      <c r="G277" s="70"/>
      <c r="H277" s="70"/>
      <c r="J277" s="70"/>
      <c r="L277" s="71"/>
      <c r="N277" s="65"/>
    </row>
    <row r="278" spans="1:14" ht="15" customHeight="1" x14ac:dyDescent="0.2">
      <c r="A278" s="1873"/>
      <c r="B278" s="180"/>
      <c r="C278" s="189"/>
      <c r="D278" s="182"/>
      <c r="E278" s="190"/>
      <c r="F278" s="1857"/>
      <c r="G278" s="70"/>
      <c r="H278" s="70"/>
      <c r="J278" s="70"/>
      <c r="L278" s="71"/>
      <c r="N278" s="65"/>
    </row>
    <row r="279" spans="1:14" ht="15" customHeight="1" x14ac:dyDescent="0.2">
      <c r="A279" s="1873"/>
      <c r="B279" s="180"/>
      <c r="C279" s="189"/>
      <c r="D279" s="182"/>
      <c r="E279" s="190"/>
      <c r="F279" s="1857"/>
      <c r="G279" s="70"/>
      <c r="H279" s="70"/>
      <c r="J279" s="70"/>
      <c r="L279" s="71"/>
      <c r="N279" s="65"/>
    </row>
    <row r="280" spans="1:14" ht="15" customHeight="1" x14ac:dyDescent="0.2">
      <c r="A280" s="1873"/>
      <c r="B280" s="180"/>
      <c r="C280" s="189"/>
      <c r="D280" s="182"/>
      <c r="E280" s="190"/>
      <c r="F280" s="1857"/>
      <c r="G280" s="70"/>
      <c r="H280" s="70"/>
      <c r="J280" s="70"/>
      <c r="L280" s="71"/>
      <c r="N280" s="65"/>
    </row>
    <row r="281" spans="1:14" ht="15" customHeight="1" x14ac:dyDescent="0.2">
      <c r="A281" s="1873"/>
      <c r="B281" s="180"/>
      <c r="C281" s="189"/>
      <c r="D281" s="182"/>
      <c r="E281" s="190"/>
      <c r="F281" s="1857"/>
      <c r="G281" s="70"/>
      <c r="H281" s="70"/>
      <c r="J281" s="70"/>
      <c r="L281" s="71"/>
      <c r="N281" s="65"/>
    </row>
    <row r="282" spans="1:14" ht="15" customHeight="1" x14ac:dyDescent="0.2">
      <c r="A282" s="1873"/>
      <c r="B282" s="180"/>
      <c r="C282" s="189"/>
      <c r="D282" s="182"/>
      <c r="E282" s="190"/>
      <c r="F282" s="1857"/>
      <c r="G282" s="70"/>
      <c r="H282" s="70"/>
      <c r="J282" s="70"/>
      <c r="L282" s="71"/>
      <c r="N282" s="65"/>
    </row>
    <row r="283" spans="1:14" ht="15" customHeight="1" x14ac:dyDescent="0.2">
      <c r="A283" s="1873"/>
      <c r="B283" s="180"/>
      <c r="C283" s="189"/>
      <c r="D283" s="182"/>
      <c r="E283" s="190"/>
      <c r="F283" s="1857"/>
      <c r="G283" s="70"/>
      <c r="H283" s="70"/>
      <c r="J283" s="70"/>
      <c r="L283" s="71"/>
      <c r="N283" s="65"/>
    </row>
    <row r="284" spans="1:14" ht="15" customHeight="1" x14ac:dyDescent="0.2">
      <c r="A284" s="1873"/>
      <c r="B284" s="180"/>
      <c r="C284" s="189"/>
      <c r="D284" s="182"/>
      <c r="E284" s="190"/>
      <c r="F284" s="1857"/>
      <c r="G284" s="70"/>
      <c r="H284" s="70"/>
      <c r="J284" s="70"/>
      <c r="L284" s="71"/>
      <c r="N284" s="65"/>
    </row>
    <row r="285" spans="1:14" ht="15" customHeight="1" x14ac:dyDescent="0.2">
      <c r="A285" s="1873"/>
      <c r="B285" s="180"/>
      <c r="C285" s="189"/>
      <c r="D285" s="182"/>
      <c r="E285" s="190"/>
      <c r="F285" s="1857"/>
      <c r="G285" s="70"/>
      <c r="H285" s="70"/>
      <c r="J285" s="70"/>
      <c r="L285" s="71"/>
      <c r="N285" s="65"/>
    </row>
    <row r="286" spans="1:14" ht="15" customHeight="1" x14ac:dyDescent="0.2">
      <c r="A286" s="1873"/>
      <c r="B286" s="180"/>
      <c r="C286" s="189"/>
      <c r="D286" s="182"/>
      <c r="E286" s="190"/>
      <c r="F286" s="1857"/>
      <c r="G286" s="70"/>
      <c r="H286" s="70"/>
      <c r="J286" s="70"/>
      <c r="L286" s="71"/>
      <c r="N286" s="65"/>
    </row>
    <row r="287" spans="1:14" ht="15" customHeight="1" x14ac:dyDescent="0.2">
      <c r="A287" s="1873"/>
      <c r="B287" s="180"/>
      <c r="C287" s="189"/>
      <c r="D287" s="182"/>
      <c r="E287" s="190"/>
      <c r="F287" s="1857"/>
      <c r="G287" s="70"/>
      <c r="H287" s="70"/>
      <c r="J287" s="70"/>
      <c r="L287" s="71"/>
      <c r="N287" s="65"/>
    </row>
    <row r="288" spans="1:14" ht="15" customHeight="1" x14ac:dyDescent="0.2">
      <c r="A288" s="1873"/>
      <c r="B288" s="180"/>
      <c r="C288" s="189"/>
      <c r="D288" s="182"/>
      <c r="E288" s="190"/>
      <c r="F288" s="1857"/>
      <c r="G288" s="70"/>
      <c r="H288" s="70"/>
      <c r="J288" s="70"/>
      <c r="L288" s="71"/>
      <c r="N288" s="65"/>
    </row>
    <row r="289" spans="1:14" ht="15" customHeight="1" x14ac:dyDescent="0.2">
      <c r="A289" s="1873"/>
      <c r="B289" s="180"/>
      <c r="C289" s="189"/>
      <c r="D289" s="182"/>
      <c r="E289" s="190"/>
      <c r="F289" s="1857"/>
      <c r="G289" s="70"/>
      <c r="H289" s="70"/>
      <c r="J289" s="70"/>
      <c r="L289" s="71"/>
      <c r="N289" s="65"/>
    </row>
    <row r="290" spans="1:14" ht="15" customHeight="1" x14ac:dyDescent="0.2">
      <c r="A290" s="1873"/>
      <c r="B290" s="180"/>
      <c r="C290" s="189"/>
      <c r="D290" s="182"/>
      <c r="E290" s="190"/>
      <c r="F290" s="1857"/>
      <c r="G290" s="70"/>
      <c r="H290" s="70"/>
      <c r="J290" s="70"/>
      <c r="L290" s="71"/>
      <c r="N290" s="65"/>
    </row>
    <row r="291" spans="1:14" ht="15" customHeight="1" x14ac:dyDescent="0.2">
      <c r="A291" s="1873"/>
      <c r="B291" s="180"/>
      <c r="C291" s="189"/>
      <c r="D291" s="182"/>
      <c r="E291" s="190"/>
      <c r="F291" s="1857"/>
      <c r="G291" s="70"/>
      <c r="H291" s="70"/>
      <c r="J291" s="70"/>
      <c r="L291" s="71"/>
      <c r="N291" s="65"/>
    </row>
    <row r="292" spans="1:14" ht="15" customHeight="1" x14ac:dyDescent="0.2">
      <c r="A292" s="1873"/>
      <c r="B292" s="180"/>
      <c r="C292" s="189"/>
      <c r="D292" s="182"/>
      <c r="E292" s="190"/>
      <c r="F292" s="1857"/>
      <c r="G292" s="70"/>
      <c r="H292" s="70"/>
      <c r="J292" s="70"/>
      <c r="L292" s="71"/>
      <c r="N292" s="65"/>
    </row>
    <row r="293" spans="1:14" ht="15" customHeight="1" x14ac:dyDescent="0.2">
      <c r="A293" s="1873"/>
      <c r="B293" s="180"/>
      <c r="C293" s="189"/>
      <c r="D293" s="182"/>
      <c r="E293" s="190"/>
      <c r="F293" s="1857"/>
      <c r="G293" s="70"/>
      <c r="H293" s="70"/>
      <c r="J293" s="70"/>
      <c r="L293" s="71"/>
      <c r="N293" s="65"/>
    </row>
    <row r="294" spans="1:14" ht="15" customHeight="1" x14ac:dyDescent="0.2">
      <c r="A294" s="1873"/>
      <c r="B294" s="180"/>
      <c r="C294" s="189"/>
      <c r="D294" s="182"/>
      <c r="E294" s="190"/>
      <c r="F294" s="1857"/>
      <c r="G294" s="70"/>
      <c r="H294" s="70"/>
      <c r="J294" s="70"/>
      <c r="L294" s="71"/>
      <c r="N294" s="65"/>
    </row>
    <row r="295" spans="1:14" ht="15" customHeight="1" x14ac:dyDescent="0.2">
      <c r="A295" s="1873"/>
      <c r="B295" s="180"/>
      <c r="C295" s="189"/>
      <c r="D295" s="182"/>
      <c r="E295" s="190"/>
      <c r="F295" s="1857"/>
      <c r="G295" s="70"/>
      <c r="H295" s="70"/>
      <c r="J295" s="70"/>
      <c r="L295" s="71"/>
      <c r="N295" s="65"/>
    </row>
    <row r="296" spans="1:14" ht="15" customHeight="1" x14ac:dyDescent="0.2">
      <c r="A296" s="1873"/>
      <c r="B296" s="180"/>
      <c r="C296" s="189"/>
      <c r="D296" s="182"/>
      <c r="E296" s="190"/>
      <c r="F296" s="1857"/>
      <c r="G296" s="70"/>
      <c r="H296" s="70"/>
      <c r="J296" s="70"/>
      <c r="L296" s="71"/>
      <c r="N296" s="65"/>
    </row>
    <row r="297" spans="1:14" ht="15" customHeight="1" x14ac:dyDescent="0.2">
      <c r="A297" s="1873"/>
      <c r="B297" s="180"/>
      <c r="C297" s="189"/>
      <c r="D297" s="182"/>
      <c r="E297" s="190"/>
      <c r="F297" s="1857"/>
      <c r="G297" s="70"/>
      <c r="H297" s="70"/>
      <c r="J297" s="70"/>
      <c r="L297" s="71"/>
      <c r="N297" s="65"/>
    </row>
    <row r="298" spans="1:14" ht="15" customHeight="1" x14ac:dyDescent="0.2">
      <c r="A298" s="1873"/>
      <c r="B298" s="180"/>
      <c r="C298" s="189"/>
      <c r="D298" s="182"/>
      <c r="E298" s="190"/>
      <c r="F298" s="1857"/>
      <c r="G298" s="70"/>
      <c r="H298" s="70"/>
      <c r="J298" s="70"/>
      <c r="L298" s="71"/>
      <c r="N298" s="65"/>
    </row>
    <row r="299" spans="1:14" ht="15" customHeight="1" x14ac:dyDescent="0.2">
      <c r="A299" s="1873"/>
      <c r="B299" s="180"/>
      <c r="C299" s="189"/>
      <c r="D299" s="182"/>
      <c r="E299" s="190"/>
      <c r="F299" s="1857"/>
      <c r="G299" s="70"/>
      <c r="H299" s="70"/>
      <c r="J299" s="70"/>
      <c r="L299" s="71"/>
      <c r="N299" s="65"/>
    </row>
    <row r="300" spans="1:14" ht="15" customHeight="1" x14ac:dyDescent="0.2">
      <c r="A300" s="1873"/>
      <c r="B300" s="180"/>
      <c r="C300" s="189"/>
      <c r="D300" s="182"/>
      <c r="E300" s="190"/>
      <c r="F300" s="1857"/>
      <c r="G300" s="70"/>
      <c r="H300" s="70"/>
      <c r="J300" s="70"/>
      <c r="L300" s="71"/>
      <c r="N300" s="65"/>
    </row>
    <row r="301" spans="1:14" ht="15" customHeight="1" x14ac:dyDescent="0.2">
      <c r="A301" s="1873"/>
      <c r="B301" s="180"/>
      <c r="C301" s="189"/>
      <c r="D301" s="182"/>
      <c r="E301" s="190"/>
      <c r="F301" s="1857"/>
      <c r="G301" s="70"/>
      <c r="H301" s="70"/>
      <c r="J301" s="70"/>
      <c r="L301" s="71"/>
      <c r="N301" s="65"/>
    </row>
    <row r="302" spans="1:14" ht="15" customHeight="1" x14ac:dyDescent="0.2">
      <c r="A302" s="1873"/>
      <c r="B302" s="180"/>
      <c r="C302" s="189"/>
      <c r="D302" s="182"/>
      <c r="E302" s="190"/>
      <c r="F302" s="1857"/>
      <c r="G302" s="70"/>
      <c r="H302" s="70"/>
      <c r="J302" s="70"/>
      <c r="L302" s="71"/>
      <c r="N302" s="65"/>
    </row>
    <row r="303" spans="1:14" ht="15" customHeight="1" x14ac:dyDescent="0.2">
      <c r="A303" s="1873"/>
      <c r="B303" s="180"/>
      <c r="C303" s="189"/>
      <c r="D303" s="182"/>
      <c r="E303" s="190"/>
      <c r="F303" s="1857"/>
      <c r="G303" s="70"/>
      <c r="H303" s="70"/>
      <c r="J303" s="70"/>
      <c r="L303" s="71"/>
      <c r="N303" s="65"/>
    </row>
    <row r="304" spans="1:14" ht="15" customHeight="1" x14ac:dyDescent="0.2">
      <c r="A304" s="1873"/>
      <c r="B304" s="180"/>
      <c r="C304" s="189"/>
      <c r="D304" s="182"/>
      <c r="E304" s="190"/>
      <c r="F304" s="1857"/>
      <c r="G304" s="70"/>
      <c r="H304" s="70"/>
      <c r="J304" s="70"/>
      <c r="L304" s="71"/>
      <c r="N304" s="65"/>
    </row>
    <row r="305" spans="1:14" ht="15" customHeight="1" x14ac:dyDescent="0.2">
      <c r="A305" s="1873"/>
      <c r="B305" s="180"/>
      <c r="C305" s="189"/>
      <c r="D305" s="182"/>
      <c r="E305" s="190"/>
      <c r="F305" s="1857"/>
      <c r="G305" s="70"/>
      <c r="H305" s="70"/>
      <c r="J305" s="70"/>
      <c r="L305" s="71"/>
      <c r="N305" s="65"/>
    </row>
    <row r="306" spans="1:14" ht="15" customHeight="1" x14ac:dyDescent="0.2">
      <c r="A306" s="1873"/>
      <c r="B306" s="180"/>
      <c r="C306" s="189"/>
      <c r="D306" s="182"/>
      <c r="E306" s="190"/>
      <c r="F306" s="1857"/>
      <c r="G306" s="70"/>
      <c r="H306" s="70"/>
      <c r="J306" s="70"/>
      <c r="L306" s="71"/>
      <c r="N306" s="65"/>
    </row>
    <row r="307" spans="1:14" ht="15" customHeight="1" x14ac:dyDescent="0.2">
      <c r="A307" s="1873"/>
      <c r="B307" s="180"/>
      <c r="C307" s="189"/>
      <c r="D307" s="182"/>
      <c r="E307" s="190"/>
      <c r="F307" s="1857"/>
      <c r="G307" s="70"/>
      <c r="H307" s="70"/>
      <c r="J307" s="70"/>
      <c r="L307" s="71"/>
      <c r="N307" s="65"/>
    </row>
    <row r="308" spans="1:14" ht="15" customHeight="1" x14ac:dyDescent="0.2">
      <c r="A308" s="1873"/>
      <c r="B308" s="180"/>
      <c r="C308" s="189"/>
      <c r="D308" s="182"/>
      <c r="E308" s="190"/>
      <c r="F308" s="1857"/>
      <c r="G308" s="70"/>
      <c r="H308" s="70"/>
      <c r="J308" s="70"/>
      <c r="L308" s="71"/>
      <c r="N308" s="65"/>
    </row>
    <row r="309" spans="1:14" ht="15" customHeight="1" x14ac:dyDescent="0.2">
      <c r="A309" s="1873"/>
      <c r="B309" s="180"/>
      <c r="C309" s="189"/>
      <c r="D309" s="182"/>
      <c r="E309" s="190"/>
      <c r="F309" s="1857"/>
      <c r="G309" s="70"/>
      <c r="H309" s="70"/>
      <c r="J309" s="70"/>
      <c r="L309" s="71"/>
      <c r="N309" s="65"/>
    </row>
    <row r="310" spans="1:14" ht="15" customHeight="1" x14ac:dyDescent="0.2">
      <c r="A310" s="1873"/>
      <c r="B310" s="180"/>
      <c r="C310" s="189"/>
      <c r="D310" s="182"/>
      <c r="E310" s="190"/>
      <c r="F310" s="1857"/>
      <c r="G310" s="70"/>
      <c r="H310" s="70"/>
      <c r="J310" s="70"/>
      <c r="L310" s="71"/>
      <c r="N310" s="65"/>
    </row>
    <row r="311" spans="1:14" ht="15" customHeight="1" x14ac:dyDescent="0.2">
      <c r="A311" s="1873"/>
      <c r="B311" s="180"/>
      <c r="C311" s="189"/>
      <c r="D311" s="182"/>
      <c r="E311" s="190"/>
      <c r="F311" s="1857"/>
      <c r="G311" s="70"/>
      <c r="H311" s="70"/>
      <c r="J311" s="70"/>
      <c r="L311" s="71"/>
      <c r="N311" s="65"/>
    </row>
    <row r="312" spans="1:14" ht="15" customHeight="1" x14ac:dyDescent="0.2">
      <c r="A312" s="1873"/>
      <c r="B312" s="180"/>
      <c r="C312" s="189"/>
      <c r="D312" s="182"/>
      <c r="E312" s="190"/>
      <c r="F312" s="1857"/>
      <c r="G312" s="70"/>
      <c r="H312" s="70"/>
      <c r="J312" s="70"/>
      <c r="L312" s="71"/>
      <c r="N312" s="65"/>
    </row>
    <row r="313" spans="1:14" ht="15" customHeight="1" x14ac:dyDescent="0.2">
      <c r="A313" s="1873"/>
      <c r="B313" s="180"/>
      <c r="C313" s="189"/>
      <c r="D313" s="182"/>
      <c r="E313" s="190"/>
      <c r="F313" s="1857"/>
      <c r="G313" s="70"/>
      <c r="H313" s="70"/>
      <c r="J313" s="70"/>
      <c r="L313" s="71"/>
      <c r="N313" s="65"/>
    </row>
    <row r="314" spans="1:14" ht="15" customHeight="1" x14ac:dyDescent="0.2">
      <c r="A314" s="1873"/>
      <c r="B314" s="180"/>
      <c r="C314" s="189"/>
      <c r="D314" s="182"/>
      <c r="E314" s="190"/>
      <c r="F314" s="1857"/>
      <c r="G314" s="70"/>
      <c r="H314" s="70"/>
      <c r="J314" s="70"/>
      <c r="L314" s="71"/>
      <c r="N314" s="65"/>
    </row>
    <row r="315" spans="1:14" ht="15" customHeight="1" x14ac:dyDescent="0.2">
      <c r="A315" s="1873"/>
      <c r="B315" s="180"/>
      <c r="C315" s="189"/>
      <c r="D315" s="182"/>
      <c r="E315" s="190"/>
      <c r="F315" s="1857"/>
      <c r="G315" s="70"/>
      <c r="H315" s="70"/>
      <c r="J315" s="70"/>
      <c r="L315" s="71"/>
      <c r="N315" s="65"/>
    </row>
    <row r="316" spans="1:14" ht="15" customHeight="1" x14ac:dyDescent="0.2">
      <c r="A316" s="1873"/>
      <c r="B316" s="180"/>
      <c r="C316" s="189"/>
      <c r="D316" s="182"/>
      <c r="E316" s="190"/>
      <c r="F316" s="1857"/>
      <c r="G316" s="70"/>
      <c r="H316" s="70"/>
      <c r="J316" s="70"/>
      <c r="L316" s="71"/>
      <c r="N316" s="65"/>
    </row>
    <row r="317" spans="1:14" ht="15" customHeight="1" x14ac:dyDescent="0.2">
      <c r="A317" s="1873"/>
      <c r="B317" s="180"/>
      <c r="C317" s="189"/>
      <c r="D317" s="182"/>
      <c r="E317" s="190"/>
      <c r="F317" s="1857"/>
      <c r="G317" s="70"/>
      <c r="H317" s="70"/>
      <c r="J317" s="70"/>
      <c r="L317" s="71"/>
      <c r="N317" s="65"/>
    </row>
    <row r="318" spans="1:14" ht="15" customHeight="1" x14ac:dyDescent="0.2">
      <c r="A318" s="1873"/>
      <c r="B318" s="180"/>
      <c r="C318" s="189"/>
      <c r="D318" s="182"/>
      <c r="E318" s="190"/>
      <c r="F318" s="1857"/>
      <c r="G318" s="70"/>
      <c r="H318" s="70"/>
      <c r="J318" s="70"/>
      <c r="L318" s="71"/>
      <c r="N318" s="65"/>
    </row>
    <row r="319" spans="1:14" ht="15" customHeight="1" x14ac:dyDescent="0.2">
      <c r="A319" s="1873"/>
      <c r="B319" s="180"/>
      <c r="C319" s="189"/>
      <c r="D319" s="182"/>
      <c r="E319" s="190"/>
      <c r="F319" s="1857"/>
      <c r="G319" s="70"/>
      <c r="H319" s="70"/>
      <c r="J319" s="70"/>
      <c r="L319" s="71"/>
      <c r="N319" s="65"/>
    </row>
    <row r="320" spans="1:14" ht="15" customHeight="1" x14ac:dyDescent="0.2">
      <c r="A320" s="1873"/>
      <c r="B320" s="180"/>
      <c r="C320" s="189"/>
      <c r="D320" s="182"/>
      <c r="E320" s="190"/>
      <c r="F320" s="1857"/>
      <c r="G320" s="70"/>
      <c r="H320" s="70"/>
      <c r="J320" s="70"/>
      <c r="L320" s="71"/>
      <c r="N320" s="65"/>
    </row>
    <row r="321" spans="1:14" ht="15" customHeight="1" x14ac:dyDescent="0.2">
      <c r="A321" s="1873"/>
      <c r="B321" s="180"/>
      <c r="C321" s="189"/>
      <c r="D321" s="182"/>
      <c r="E321" s="190"/>
      <c r="F321" s="1857"/>
      <c r="G321" s="70"/>
      <c r="H321" s="70"/>
      <c r="J321" s="70"/>
      <c r="L321" s="71"/>
      <c r="N321" s="65"/>
    </row>
    <row r="322" spans="1:14" ht="15" customHeight="1" x14ac:dyDescent="0.2">
      <c r="A322" s="1873"/>
      <c r="B322" s="180"/>
      <c r="C322" s="189"/>
      <c r="D322" s="182"/>
      <c r="E322" s="190"/>
      <c r="F322" s="1857"/>
      <c r="G322" s="70"/>
      <c r="H322" s="70"/>
      <c r="J322" s="70"/>
      <c r="L322" s="71"/>
      <c r="N322" s="65"/>
    </row>
    <row r="323" spans="1:14" ht="15" customHeight="1" x14ac:dyDescent="0.2">
      <c r="A323" s="1873"/>
      <c r="B323" s="180"/>
      <c r="C323" s="189"/>
      <c r="D323" s="182"/>
      <c r="E323" s="190"/>
      <c r="F323" s="1857"/>
      <c r="G323" s="70"/>
      <c r="H323" s="70"/>
      <c r="J323" s="70"/>
      <c r="L323" s="71"/>
      <c r="N323" s="65"/>
    </row>
    <row r="324" spans="1:14" ht="15" customHeight="1" x14ac:dyDescent="0.2">
      <c r="A324" s="1873"/>
      <c r="B324" s="180"/>
      <c r="C324" s="189"/>
      <c r="D324" s="182"/>
      <c r="E324" s="190"/>
      <c r="F324" s="1857"/>
      <c r="G324" s="70"/>
      <c r="H324" s="70"/>
      <c r="J324" s="70"/>
      <c r="L324" s="71"/>
      <c r="N324" s="65"/>
    </row>
    <row r="325" spans="1:14" ht="15" customHeight="1" x14ac:dyDescent="0.2">
      <c r="A325" s="1873"/>
      <c r="B325" s="180"/>
      <c r="C325" s="189"/>
      <c r="D325" s="182"/>
      <c r="E325" s="190"/>
      <c r="F325" s="1857"/>
      <c r="G325" s="70"/>
      <c r="H325" s="70"/>
      <c r="J325" s="70"/>
      <c r="L325" s="71"/>
      <c r="N325" s="65"/>
    </row>
    <row r="326" spans="1:14" ht="15" customHeight="1" x14ac:dyDescent="0.2">
      <c r="A326" s="1873"/>
      <c r="B326" s="180"/>
      <c r="C326" s="189"/>
      <c r="D326" s="182"/>
      <c r="E326" s="190"/>
      <c r="F326" s="1857"/>
      <c r="G326" s="70"/>
      <c r="H326" s="70"/>
      <c r="J326" s="70"/>
      <c r="L326" s="71"/>
      <c r="N326" s="65"/>
    </row>
    <row r="327" spans="1:14" ht="15" customHeight="1" x14ac:dyDescent="0.2">
      <c r="A327" s="1873"/>
      <c r="B327" s="180"/>
      <c r="C327" s="189"/>
      <c r="D327" s="182"/>
      <c r="E327" s="190"/>
      <c r="F327" s="1857"/>
      <c r="G327" s="70"/>
      <c r="H327" s="70"/>
      <c r="J327" s="70"/>
      <c r="L327" s="71"/>
      <c r="N327" s="65"/>
    </row>
    <row r="328" spans="1:14" ht="15" customHeight="1" x14ac:dyDescent="0.2">
      <c r="A328" s="1873"/>
      <c r="B328" s="180"/>
      <c r="C328" s="189"/>
      <c r="D328" s="182"/>
      <c r="E328" s="190"/>
      <c r="F328" s="1857"/>
      <c r="G328" s="70"/>
      <c r="H328" s="70"/>
      <c r="J328" s="70"/>
      <c r="L328" s="71"/>
      <c r="N328" s="65"/>
    </row>
    <row r="329" spans="1:14" ht="15" customHeight="1" x14ac:dyDescent="0.2">
      <c r="A329" s="1873"/>
      <c r="B329" s="180"/>
      <c r="C329" s="189"/>
      <c r="D329" s="182"/>
      <c r="E329" s="190"/>
      <c r="F329" s="1857"/>
      <c r="G329" s="70"/>
      <c r="H329" s="70"/>
      <c r="J329" s="70"/>
      <c r="L329" s="71"/>
      <c r="N329" s="65"/>
    </row>
    <row r="330" spans="1:14" ht="15" customHeight="1" x14ac:dyDescent="0.2">
      <c r="A330" s="1873"/>
      <c r="B330" s="180"/>
      <c r="C330" s="189"/>
      <c r="D330" s="182"/>
      <c r="E330" s="190"/>
      <c r="F330" s="1857"/>
      <c r="G330" s="70"/>
      <c r="H330" s="70"/>
      <c r="J330" s="70"/>
      <c r="L330" s="71"/>
      <c r="N330" s="65"/>
    </row>
    <row r="331" spans="1:14" ht="15" customHeight="1" x14ac:dyDescent="0.2">
      <c r="A331" s="1873"/>
      <c r="B331" s="180"/>
      <c r="C331" s="189"/>
      <c r="D331" s="182"/>
      <c r="E331" s="190"/>
      <c r="F331" s="1857"/>
      <c r="G331" s="70"/>
      <c r="H331" s="70"/>
      <c r="J331" s="70"/>
      <c r="L331" s="71"/>
      <c r="N331" s="65"/>
    </row>
    <row r="332" spans="1:14" ht="15" customHeight="1" x14ac:dyDescent="0.2">
      <c r="A332" s="1873"/>
      <c r="B332" s="180"/>
      <c r="C332" s="189"/>
      <c r="D332" s="182"/>
      <c r="E332" s="190"/>
      <c r="F332" s="1857"/>
      <c r="G332" s="70"/>
      <c r="H332" s="70"/>
      <c r="J332" s="70"/>
      <c r="L332" s="71"/>
      <c r="N332" s="65"/>
    </row>
    <row r="333" spans="1:14" ht="15" customHeight="1" x14ac:dyDescent="0.2">
      <c r="A333" s="1873"/>
      <c r="B333" s="180"/>
      <c r="C333" s="189"/>
      <c r="D333" s="182"/>
      <c r="E333" s="190"/>
      <c r="F333" s="1857"/>
      <c r="G333" s="70"/>
      <c r="H333" s="70"/>
      <c r="J333" s="70"/>
      <c r="L333" s="71"/>
      <c r="N333" s="65"/>
    </row>
    <row r="334" spans="1:14" ht="15" customHeight="1" x14ac:dyDescent="0.2">
      <c r="A334" s="1873"/>
      <c r="B334" s="180"/>
      <c r="C334" s="189"/>
      <c r="D334" s="182"/>
      <c r="E334" s="190"/>
      <c r="F334" s="1857"/>
      <c r="G334" s="70"/>
      <c r="H334" s="70"/>
      <c r="J334" s="70"/>
      <c r="L334" s="71"/>
      <c r="N334" s="65"/>
    </row>
    <row r="335" spans="1:14" ht="15" customHeight="1" x14ac:dyDescent="0.2">
      <c r="A335" s="1873"/>
      <c r="B335" s="180"/>
      <c r="C335" s="189"/>
      <c r="D335" s="182"/>
      <c r="E335" s="190"/>
      <c r="F335" s="1857"/>
      <c r="G335" s="70"/>
      <c r="H335" s="70"/>
      <c r="J335" s="70"/>
      <c r="L335" s="71"/>
      <c r="N335" s="65"/>
    </row>
    <row r="336" spans="1:14" ht="15" customHeight="1" x14ac:dyDescent="0.2">
      <c r="A336" s="1873"/>
      <c r="B336" s="180"/>
      <c r="C336" s="189"/>
      <c r="D336" s="182"/>
      <c r="E336" s="190"/>
      <c r="F336" s="1857"/>
      <c r="G336" s="70"/>
      <c r="H336" s="70"/>
      <c r="J336" s="70"/>
      <c r="L336" s="71"/>
      <c r="N336" s="65"/>
    </row>
    <row r="337" spans="1:14" ht="15" customHeight="1" x14ac:dyDescent="0.2">
      <c r="A337" s="1873"/>
      <c r="B337" s="180"/>
      <c r="C337" s="189"/>
      <c r="D337" s="182"/>
      <c r="E337" s="190"/>
      <c r="F337" s="1857"/>
      <c r="G337" s="70"/>
      <c r="H337" s="70"/>
      <c r="J337" s="70"/>
      <c r="L337" s="71"/>
      <c r="N337" s="65"/>
    </row>
    <row r="338" spans="1:14" ht="15" customHeight="1" x14ac:dyDescent="0.2">
      <c r="A338" s="1873"/>
      <c r="B338" s="180"/>
      <c r="C338" s="189"/>
      <c r="D338" s="182"/>
      <c r="E338" s="190"/>
      <c r="F338" s="1857"/>
      <c r="G338" s="70"/>
      <c r="H338" s="70"/>
      <c r="J338" s="70"/>
      <c r="L338" s="71"/>
      <c r="N338" s="65"/>
    </row>
    <row r="339" spans="1:14" ht="15" customHeight="1" x14ac:dyDescent="0.2">
      <c r="A339" s="1873"/>
      <c r="B339" s="180"/>
      <c r="C339" s="189"/>
      <c r="D339" s="182"/>
      <c r="E339" s="190"/>
      <c r="F339" s="1857"/>
      <c r="G339" s="70"/>
      <c r="H339" s="70"/>
      <c r="J339" s="70"/>
      <c r="L339" s="71"/>
      <c r="N339" s="65"/>
    </row>
    <row r="340" spans="1:14" ht="15" customHeight="1" x14ac:dyDescent="0.2">
      <c r="A340" s="1873"/>
      <c r="B340" s="180"/>
      <c r="C340" s="189"/>
      <c r="D340" s="182"/>
      <c r="E340" s="190"/>
      <c r="F340" s="1857"/>
      <c r="G340" s="70"/>
      <c r="H340" s="70"/>
      <c r="J340" s="70"/>
      <c r="L340" s="71"/>
      <c r="N340" s="65"/>
    </row>
    <row r="341" spans="1:14" ht="15" customHeight="1" x14ac:dyDescent="0.2">
      <c r="A341" s="1873"/>
      <c r="B341" s="180"/>
      <c r="C341" s="189"/>
      <c r="D341" s="182"/>
      <c r="E341" s="190"/>
      <c r="F341" s="1857"/>
      <c r="G341" s="70"/>
      <c r="H341" s="70"/>
      <c r="J341" s="70"/>
      <c r="L341" s="71"/>
      <c r="N341" s="65"/>
    </row>
    <row r="342" spans="1:14" ht="15" customHeight="1" x14ac:dyDescent="0.2">
      <c r="A342" s="1873"/>
      <c r="B342" s="180"/>
      <c r="C342" s="189"/>
      <c r="D342" s="182"/>
      <c r="E342" s="190"/>
      <c r="F342" s="1857"/>
      <c r="G342" s="70"/>
      <c r="H342" s="70"/>
      <c r="J342" s="70"/>
      <c r="L342" s="71"/>
      <c r="N342" s="65"/>
    </row>
    <row r="343" spans="1:14" ht="15" customHeight="1" x14ac:dyDescent="0.2">
      <c r="A343" s="1873"/>
      <c r="B343" s="180"/>
      <c r="C343" s="189"/>
      <c r="D343" s="182"/>
      <c r="E343" s="190"/>
      <c r="F343" s="1857"/>
      <c r="G343" s="70"/>
      <c r="H343" s="70"/>
      <c r="J343" s="70"/>
      <c r="L343" s="71"/>
      <c r="N343" s="65"/>
    </row>
    <row r="344" spans="1:14" ht="15" customHeight="1" x14ac:dyDescent="0.2">
      <c r="A344" s="1873"/>
      <c r="B344" s="180"/>
      <c r="C344" s="189"/>
      <c r="D344" s="182"/>
      <c r="E344" s="190"/>
      <c r="F344" s="1857"/>
      <c r="G344" s="70"/>
      <c r="H344" s="70"/>
      <c r="J344" s="70"/>
      <c r="L344" s="71"/>
      <c r="N344" s="65"/>
    </row>
    <row r="345" spans="1:14" ht="15" customHeight="1" thickBot="1" x14ac:dyDescent="0.25">
      <c r="A345" s="1874"/>
      <c r="B345" s="1861"/>
      <c r="C345" s="1862"/>
      <c r="D345" s="1863"/>
      <c r="E345" s="1864"/>
      <c r="F345" s="1865"/>
      <c r="G345" s="70"/>
      <c r="H345" s="70"/>
      <c r="J345" s="70"/>
      <c r="L345" s="71"/>
      <c r="N345" s="65"/>
    </row>
    <row r="346" spans="1:14" ht="15" customHeight="1" x14ac:dyDescent="0.2">
      <c r="A346" s="188"/>
      <c r="B346" s="180"/>
      <c r="C346" s="189"/>
      <c r="D346" s="182"/>
      <c r="E346" s="190"/>
      <c r="F346" s="184"/>
      <c r="G346" s="70"/>
      <c r="H346" s="70"/>
      <c r="J346" s="70"/>
      <c r="L346" s="71"/>
      <c r="N346" s="65"/>
    </row>
    <row r="347" spans="1:14" ht="15" customHeight="1" x14ac:dyDescent="0.2">
      <c r="A347" s="188"/>
      <c r="B347" s="180"/>
      <c r="C347" s="189"/>
      <c r="D347" s="182"/>
      <c r="E347" s="190"/>
      <c r="F347" s="184"/>
      <c r="G347" s="70"/>
      <c r="H347" s="70"/>
      <c r="J347" s="70"/>
      <c r="L347" s="71"/>
      <c r="N347" s="65"/>
    </row>
    <row r="348" spans="1:14" ht="15" customHeight="1" x14ac:dyDescent="0.2">
      <c r="A348" s="188"/>
      <c r="B348" s="180"/>
      <c r="C348" s="189"/>
      <c r="D348" s="182"/>
      <c r="E348" s="190"/>
      <c r="F348" s="184"/>
      <c r="G348" s="70"/>
      <c r="H348" s="70"/>
      <c r="J348" s="70"/>
      <c r="L348" s="71"/>
      <c r="N348" s="65"/>
    </row>
    <row r="349" spans="1:14" ht="15" customHeight="1" x14ac:dyDescent="0.2">
      <c r="A349" s="188"/>
      <c r="B349" s="180"/>
      <c r="C349" s="189"/>
      <c r="D349" s="182"/>
      <c r="E349" s="190"/>
      <c r="F349" s="184"/>
      <c r="G349" s="70"/>
      <c r="H349" s="70"/>
      <c r="J349" s="70"/>
      <c r="L349" s="71"/>
      <c r="N349" s="65"/>
    </row>
    <row r="350" spans="1:14" ht="15" customHeight="1" x14ac:dyDescent="0.2">
      <c r="A350" s="188"/>
      <c r="B350" s="180"/>
      <c r="C350" s="189"/>
      <c r="D350" s="182"/>
      <c r="E350" s="190"/>
      <c r="F350" s="184"/>
      <c r="G350" s="70"/>
      <c r="H350" s="70"/>
      <c r="J350" s="70"/>
      <c r="L350" s="71"/>
      <c r="N350" s="65"/>
    </row>
    <row r="351" spans="1:14" ht="15" customHeight="1" x14ac:dyDescent="0.2">
      <c r="A351" s="188"/>
      <c r="B351" s="180"/>
      <c r="C351" s="189"/>
      <c r="D351" s="182"/>
      <c r="E351" s="190"/>
      <c r="F351" s="184"/>
      <c r="G351" s="70"/>
      <c r="H351" s="70"/>
      <c r="J351" s="70"/>
      <c r="L351" s="71"/>
      <c r="N351" s="65"/>
    </row>
    <row r="352" spans="1:14" ht="15" customHeight="1" x14ac:dyDescent="0.2">
      <c r="A352" s="188"/>
      <c r="B352" s="180"/>
      <c r="C352" s="189"/>
      <c r="D352" s="182"/>
      <c r="E352" s="190"/>
      <c r="F352" s="184"/>
      <c r="G352" s="70"/>
      <c r="H352" s="70"/>
      <c r="J352" s="70"/>
      <c r="L352" s="71"/>
      <c r="N352" s="65"/>
    </row>
    <row r="353" spans="1:14" ht="15" customHeight="1" x14ac:dyDescent="0.2">
      <c r="A353" s="188"/>
      <c r="B353" s="180"/>
      <c r="C353" s="189"/>
      <c r="D353" s="182"/>
      <c r="E353" s="190"/>
      <c r="F353" s="184"/>
      <c r="G353" s="70"/>
      <c r="H353" s="70"/>
      <c r="J353" s="70"/>
      <c r="L353" s="71"/>
      <c r="N353" s="65"/>
    </row>
    <row r="354" spans="1:14" ht="15" customHeight="1" x14ac:dyDescent="0.2">
      <c r="A354" s="188"/>
      <c r="B354" s="180"/>
      <c r="C354" s="189"/>
      <c r="D354" s="182"/>
      <c r="E354" s="190"/>
      <c r="F354" s="184"/>
      <c r="G354" s="70"/>
      <c r="H354" s="70"/>
      <c r="J354" s="70"/>
      <c r="L354" s="71"/>
      <c r="N354" s="65"/>
    </row>
    <row r="355" spans="1:14" ht="15" customHeight="1" x14ac:dyDescent="0.2">
      <c r="A355" s="188"/>
      <c r="B355" s="180"/>
      <c r="C355" s="189"/>
      <c r="D355" s="182"/>
      <c r="E355" s="190"/>
      <c r="F355" s="184"/>
      <c r="G355" s="70"/>
      <c r="H355" s="70"/>
      <c r="J355" s="70"/>
      <c r="L355" s="71"/>
      <c r="N355" s="65"/>
    </row>
    <row r="356" spans="1:14" ht="15" customHeight="1" x14ac:dyDescent="0.2">
      <c r="A356" s="188"/>
      <c r="B356" s="180"/>
      <c r="C356" s="189"/>
      <c r="D356" s="182"/>
      <c r="E356" s="190"/>
      <c r="F356" s="184"/>
      <c r="G356" s="70"/>
      <c r="H356" s="70"/>
      <c r="J356" s="70"/>
      <c r="L356" s="71"/>
      <c r="N356" s="65"/>
    </row>
    <row r="357" spans="1:14" ht="15" customHeight="1" x14ac:dyDescent="0.2">
      <c r="A357" s="188"/>
      <c r="B357" s="180"/>
      <c r="C357" s="189"/>
      <c r="D357" s="182"/>
      <c r="E357" s="190"/>
      <c r="F357" s="184"/>
      <c r="G357" s="70"/>
      <c r="H357" s="70"/>
      <c r="J357" s="70"/>
      <c r="L357" s="71"/>
      <c r="N357" s="65"/>
    </row>
    <row r="358" spans="1:14" ht="15" customHeight="1" x14ac:dyDescent="0.2">
      <c r="A358" s="188"/>
      <c r="B358" s="180"/>
      <c r="C358" s="189"/>
      <c r="D358" s="182"/>
      <c r="E358" s="190"/>
      <c r="F358" s="184"/>
      <c r="G358" s="70"/>
      <c r="H358" s="70"/>
      <c r="J358" s="70"/>
      <c r="L358" s="71"/>
      <c r="N358" s="65"/>
    </row>
    <row r="359" spans="1:14" ht="15" customHeight="1" x14ac:dyDescent="0.2">
      <c r="A359" s="188"/>
      <c r="B359" s="180"/>
      <c r="C359" s="189"/>
      <c r="D359" s="182"/>
      <c r="E359" s="190"/>
      <c r="F359" s="184"/>
      <c r="G359" s="70"/>
      <c r="H359" s="70"/>
      <c r="J359" s="70"/>
      <c r="L359" s="71"/>
      <c r="N359" s="65"/>
    </row>
    <row r="360" spans="1:14" ht="15" customHeight="1" x14ac:dyDescent="0.2">
      <c r="A360" s="188"/>
      <c r="B360" s="180"/>
      <c r="C360" s="189"/>
      <c r="D360" s="182"/>
      <c r="E360" s="190"/>
      <c r="F360" s="184"/>
      <c r="G360" s="70"/>
      <c r="H360" s="70"/>
      <c r="J360" s="70"/>
      <c r="L360" s="71"/>
      <c r="N360" s="65"/>
    </row>
    <row r="361" spans="1:14" ht="15" customHeight="1" x14ac:dyDescent="0.2">
      <c r="A361" s="188"/>
      <c r="B361" s="180"/>
      <c r="C361" s="189"/>
      <c r="D361" s="182"/>
      <c r="E361" s="190"/>
      <c r="F361" s="184"/>
      <c r="G361" s="70"/>
      <c r="H361" s="70"/>
      <c r="J361" s="70"/>
      <c r="L361" s="71"/>
      <c r="N361" s="65"/>
    </row>
    <row r="362" spans="1:14" ht="15" customHeight="1" x14ac:dyDescent="0.2">
      <c r="A362" s="188"/>
      <c r="B362" s="180"/>
      <c r="C362" s="189"/>
      <c r="D362" s="182"/>
      <c r="E362" s="190"/>
      <c r="F362" s="184"/>
      <c r="G362" s="70"/>
      <c r="H362" s="70"/>
      <c r="J362" s="70"/>
      <c r="L362" s="71"/>
      <c r="N362" s="65"/>
    </row>
    <row r="363" spans="1:14" ht="15" customHeight="1" x14ac:dyDescent="0.2">
      <c r="A363" s="188"/>
      <c r="B363" s="180"/>
      <c r="C363" s="189"/>
      <c r="D363" s="182"/>
      <c r="E363" s="190"/>
      <c r="F363" s="184"/>
      <c r="G363" s="70"/>
      <c r="H363" s="70"/>
      <c r="J363" s="70"/>
      <c r="L363" s="71"/>
      <c r="N363" s="65"/>
    </row>
    <row r="364" spans="1:14" ht="15" customHeight="1" x14ac:dyDescent="0.2">
      <c r="A364" s="188"/>
      <c r="B364" s="180"/>
      <c r="C364" s="189"/>
      <c r="D364" s="182"/>
      <c r="E364" s="190"/>
      <c r="F364" s="184"/>
      <c r="G364" s="70"/>
      <c r="H364" s="70"/>
      <c r="J364" s="70"/>
      <c r="L364" s="71"/>
      <c r="N364" s="65"/>
    </row>
    <row r="365" spans="1:14" ht="15" customHeight="1" x14ac:dyDescent="0.2">
      <c r="A365" s="188"/>
      <c r="B365" s="180"/>
      <c r="C365" s="189"/>
      <c r="D365" s="182"/>
      <c r="E365" s="190"/>
      <c r="F365" s="184"/>
      <c r="G365" s="70"/>
      <c r="H365" s="70"/>
      <c r="J365" s="70"/>
      <c r="L365" s="71"/>
      <c r="N365" s="65"/>
    </row>
    <row r="366" spans="1:14" ht="15" customHeight="1" x14ac:dyDescent="0.2">
      <c r="A366" s="188"/>
      <c r="B366" s="180"/>
      <c r="C366" s="189"/>
      <c r="D366" s="182"/>
      <c r="E366" s="190"/>
      <c r="F366" s="184"/>
      <c r="G366" s="70"/>
      <c r="H366" s="70"/>
      <c r="J366" s="70"/>
      <c r="L366" s="71"/>
      <c r="N366" s="65"/>
    </row>
    <row r="367" spans="1:14" ht="15" customHeight="1" x14ac:dyDescent="0.2">
      <c r="A367" s="188"/>
      <c r="B367" s="180"/>
      <c r="C367" s="189"/>
      <c r="D367" s="182"/>
      <c r="E367" s="190"/>
      <c r="F367" s="184"/>
      <c r="G367" s="70"/>
      <c r="H367" s="70"/>
      <c r="J367" s="70"/>
      <c r="L367" s="71"/>
      <c r="N367" s="65"/>
    </row>
    <row r="368" spans="1:14" ht="15" customHeight="1" x14ac:dyDescent="0.2">
      <c r="A368" s="188"/>
      <c r="B368" s="180"/>
      <c r="C368" s="189"/>
      <c r="D368" s="182"/>
      <c r="E368" s="190"/>
      <c r="F368" s="184"/>
      <c r="G368" s="70"/>
      <c r="H368" s="70"/>
      <c r="J368" s="70"/>
      <c r="L368" s="71"/>
      <c r="N368" s="65"/>
    </row>
    <row r="369" spans="1:14" ht="15" customHeight="1" x14ac:dyDescent="0.2">
      <c r="A369" s="188"/>
      <c r="B369" s="180"/>
      <c r="C369" s="189"/>
      <c r="D369" s="182"/>
      <c r="E369" s="190"/>
      <c r="F369" s="184"/>
      <c r="G369" s="70"/>
      <c r="H369" s="70"/>
      <c r="J369" s="70"/>
      <c r="L369" s="71"/>
      <c r="N369" s="65"/>
    </row>
    <row r="370" spans="1:14" ht="15" customHeight="1" x14ac:dyDescent="0.2">
      <c r="A370" s="188"/>
      <c r="B370" s="180"/>
      <c r="C370" s="189"/>
      <c r="D370" s="182"/>
      <c r="E370" s="190"/>
      <c r="F370" s="184"/>
      <c r="G370" s="70"/>
      <c r="H370" s="70"/>
      <c r="J370" s="70"/>
      <c r="L370" s="71"/>
      <c r="N370" s="65"/>
    </row>
    <row r="371" spans="1:14" ht="15" customHeight="1" x14ac:dyDescent="0.2">
      <c r="A371" s="188"/>
      <c r="B371" s="180"/>
      <c r="C371" s="189"/>
      <c r="D371" s="182"/>
      <c r="E371" s="190"/>
      <c r="F371" s="184"/>
      <c r="G371" s="70"/>
      <c r="H371" s="70"/>
      <c r="J371" s="70"/>
      <c r="L371" s="71"/>
      <c r="N371" s="65"/>
    </row>
    <row r="372" spans="1:14" ht="15" customHeight="1" x14ac:dyDescent="0.2">
      <c r="A372" s="188"/>
      <c r="B372" s="180"/>
      <c r="C372" s="189"/>
      <c r="D372" s="182"/>
      <c r="E372" s="190"/>
      <c r="F372" s="184"/>
      <c r="G372" s="70"/>
      <c r="H372" s="70"/>
      <c r="J372" s="70"/>
      <c r="L372" s="71"/>
      <c r="N372" s="65"/>
    </row>
    <row r="373" spans="1:14" ht="15" customHeight="1" x14ac:dyDescent="0.2">
      <c r="A373" s="188"/>
      <c r="B373" s="180"/>
      <c r="C373" s="189"/>
      <c r="D373" s="182"/>
      <c r="E373" s="190"/>
      <c r="F373" s="184"/>
      <c r="G373" s="70"/>
      <c r="H373" s="70"/>
      <c r="J373" s="70"/>
      <c r="L373" s="71"/>
      <c r="N373" s="65"/>
    </row>
    <row r="374" spans="1:14" ht="15" customHeight="1" x14ac:dyDescent="0.2">
      <c r="A374" s="188"/>
      <c r="B374" s="180"/>
      <c r="C374" s="189"/>
      <c r="D374" s="182"/>
      <c r="E374" s="190"/>
      <c r="F374" s="184"/>
      <c r="G374" s="70"/>
      <c r="H374" s="70"/>
      <c r="J374" s="70"/>
      <c r="L374" s="71"/>
      <c r="N374" s="65"/>
    </row>
    <row r="375" spans="1:14" ht="15" customHeight="1" x14ac:dyDescent="0.2">
      <c r="A375" s="188"/>
      <c r="B375" s="180"/>
      <c r="C375" s="189"/>
      <c r="D375" s="182"/>
      <c r="E375" s="190"/>
      <c r="F375" s="184"/>
      <c r="G375" s="70"/>
      <c r="H375" s="70"/>
      <c r="J375" s="70"/>
      <c r="L375" s="71"/>
      <c r="N375" s="65"/>
    </row>
    <row r="376" spans="1:14" ht="15" customHeight="1" x14ac:dyDescent="0.2">
      <c r="A376" s="188"/>
      <c r="B376" s="180"/>
      <c r="C376" s="189"/>
      <c r="D376" s="182"/>
      <c r="E376" s="190"/>
      <c r="F376" s="184"/>
      <c r="G376" s="70"/>
      <c r="H376" s="70"/>
      <c r="J376" s="70"/>
      <c r="L376" s="71"/>
      <c r="N376" s="65"/>
    </row>
    <row r="377" spans="1:14" ht="15" customHeight="1" x14ac:dyDescent="0.2">
      <c r="A377" s="188"/>
      <c r="B377" s="180"/>
      <c r="C377" s="189"/>
      <c r="D377" s="182"/>
      <c r="E377" s="190"/>
      <c r="F377" s="184"/>
      <c r="G377" s="70"/>
      <c r="H377" s="70"/>
      <c r="J377" s="70"/>
      <c r="L377" s="71"/>
      <c r="N377" s="65"/>
    </row>
    <row r="378" spans="1:14" ht="15" customHeight="1" x14ac:dyDescent="0.2">
      <c r="A378" s="188"/>
      <c r="B378" s="180"/>
      <c r="C378" s="189"/>
      <c r="D378" s="182"/>
      <c r="E378" s="190"/>
      <c r="F378" s="184"/>
      <c r="G378" s="70"/>
      <c r="H378" s="70"/>
      <c r="J378" s="70"/>
      <c r="L378" s="71"/>
      <c r="N378" s="65"/>
    </row>
    <row r="379" spans="1:14" ht="15" customHeight="1" x14ac:dyDescent="0.2">
      <c r="A379" s="188"/>
      <c r="B379" s="180"/>
      <c r="C379" s="189"/>
      <c r="D379" s="182"/>
      <c r="E379" s="190"/>
      <c r="F379" s="184"/>
      <c r="G379" s="70"/>
      <c r="H379" s="70"/>
      <c r="J379" s="70"/>
      <c r="L379" s="71"/>
      <c r="N379" s="65"/>
    </row>
    <row r="380" spans="1:14" ht="15" customHeight="1" x14ac:dyDescent="0.2">
      <c r="A380" s="188"/>
      <c r="B380" s="180"/>
      <c r="C380" s="189"/>
      <c r="D380" s="182"/>
      <c r="E380" s="190"/>
      <c r="F380" s="184"/>
      <c r="G380" s="70"/>
      <c r="H380" s="70"/>
      <c r="J380" s="70"/>
      <c r="L380" s="71"/>
      <c r="N380" s="65"/>
    </row>
    <row r="381" spans="1:14" ht="15" customHeight="1" x14ac:dyDescent="0.2">
      <c r="A381" s="188"/>
      <c r="B381" s="180"/>
      <c r="C381" s="189"/>
      <c r="D381" s="182"/>
      <c r="E381" s="190"/>
      <c r="F381" s="184"/>
      <c r="G381" s="70"/>
      <c r="H381" s="70"/>
      <c r="J381" s="70"/>
      <c r="L381" s="71"/>
      <c r="N381" s="65"/>
    </row>
    <row r="382" spans="1:14" ht="15" customHeight="1" x14ac:dyDescent="0.2">
      <c r="A382" s="188"/>
      <c r="B382" s="180"/>
      <c r="C382" s="189"/>
      <c r="D382" s="182"/>
      <c r="E382" s="190"/>
      <c r="F382" s="184"/>
      <c r="G382" s="70"/>
      <c r="H382" s="70"/>
      <c r="J382" s="70"/>
      <c r="L382" s="71"/>
      <c r="N382" s="65"/>
    </row>
    <row r="383" spans="1:14" ht="15" customHeight="1" x14ac:dyDescent="0.2">
      <c r="A383" s="188"/>
      <c r="B383" s="180"/>
      <c r="C383" s="189"/>
      <c r="D383" s="182"/>
      <c r="E383" s="190"/>
      <c r="F383" s="184"/>
      <c r="G383" s="70"/>
      <c r="H383" s="70"/>
      <c r="J383" s="70"/>
      <c r="L383" s="71"/>
      <c r="N383" s="65"/>
    </row>
    <row r="384" spans="1:14" ht="15" customHeight="1" x14ac:dyDescent="0.2">
      <c r="A384" s="188"/>
      <c r="B384" s="180"/>
      <c r="C384" s="189"/>
      <c r="D384" s="182"/>
      <c r="E384" s="190"/>
      <c r="F384" s="184"/>
      <c r="G384" s="70"/>
      <c r="H384" s="70"/>
      <c r="J384" s="70"/>
      <c r="L384" s="71"/>
      <c r="N384" s="65"/>
    </row>
    <row r="385" spans="1:14" ht="15" customHeight="1" x14ac:dyDescent="0.2">
      <c r="A385" s="188"/>
      <c r="C385" s="189"/>
      <c r="E385" s="190"/>
      <c r="G385" s="70"/>
      <c r="H385" s="70"/>
      <c r="J385" s="70"/>
      <c r="L385" s="71"/>
      <c r="N385" s="65"/>
    </row>
    <row r="386" spans="1:14" ht="15" customHeight="1" x14ac:dyDescent="0.2">
      <c r="A386" s="188"/>
      <c r="C386" s="189"/>
      <c r="E386" s="190"/>
      <c r="G386" s="70"/>
      <c r="H386" s="70"/>
      <c r="J386" s="70"/>
      <c r="L386" s="71"/>
      <c r="N386" s="65"/>
    </row>
    <row r="387" spans="1:14" ht="15" customHeight="1" x14ac:dyDescent="0.2">
      <c r="A387" s="188"/>
      <c r="C387" s="189"/>
      <c r="E387" s="190"/>
      <c r="G387" s="70"/>
      <c r="H387" s="70"/>
      <c r="J387" s="70"/>
      <c r="L387" s="71"/>
      <c r="N387" s="65"/>
    </row>
    <row r="388" spans="1:14" ht="15" customHeight="1" x14ac:dyDescent="0.2">
      <c r="A388" s="188"/>
      <c r="C388" s="189"/>
      <c r="E388" s="190"/>
      <c r="G388" s="70"/>
      <c r="H388" s="70"/>
      <c r="J388" s="70"/>
      <c r="L388" s="71"/>
      <c r="N388" s="65"/>
    </row>
    <row r="389" spans="1:14" ht="15" customHeight="1" x14ac:dyDescent="0.2">
      <c r="A389" s="188"/>
      <c r="C389" s="189"/>
      <c r="E389" s="190"/>
      <c r="G389" s="70"/>
      <c r="H389" s="70"/>
      <c r="J389" s="70"/>
      <c r="L389" s="71"/>
      <c r="N389" s="65"/>
    </row>
    <row r="390" spans="1:14" ht="15" customHeight="1" x14ac:dyDescent="0.2">
      <c r="A390" s="188"/>
      <c r="C390" s="189"/>
      <c r="E390" s="190"/>
      <c r="G390" s="70"/>
      <c r="H390" s="70"/>
      <c r="J390" s="70"/>
      <c r="L390" s="71"/>
      <c r="N390" s="65"/>
    </row>
    <row r="391" spans="1:14" ht="15" customHeight="1" x14ac:dyDescent="0.2">
      <c r="A391" s="188"/>
      <c r="C391" s="189"/>
      <c r="E391" s="190"/>
      <c r="G391" s="70"/>
      <c r="H391" s="70"/>
      <c r="J391" s="70"/>
      <c r="L391" s="71"/>
      <c r="N391" s="65"/>
    </row>
    <row r="392" spans="1:14" ht="15" customHeight="1" x14ac:dyDescent="0.2">
      <c r="A392" s="188"/>
      <c r="C392" s="189"/>
      <c r="E392" s="190"/>
      <c r="G392" s="70"/>
      <c r="H392" s="70"/>
      <c r="J392" s="70"/>
      <c r="L392" s="71"/>
      <c r="N392" s="65"/>
    </row>
    <row r="393" spans="1:14" ht="15" customHeight="1" x14ac:dyDescent="0.2">
      <c r="A393" s="188"/>
      <c r="C393" s="189"/>
      <c r="E393" s="190"/>
      <c r="G393" s="70"/>
      <c r="H393" s="70"/>
      <c r="J393" s="70"/>
      <c r="L393" s="71"/>
      <c r="N393" s="65"/>
    </row>
    <row r="394" spans="1:14" ht="15" customHeight="1" x14ac:dyDescent="0.2">
      <c r="A394" s="188"/>
      <c r="C394" s="189"/>
      <c r="E394" s="190"/>
      <c r="G394" s="70"/>
      <c r="H394" s="70"/>
      <c r="J394" s="70"/>
      <c r="L394" s="71"/>
      <c r="N394" s="65"/>
    </row>
    <row r="395" spans="1:14" ht="15" customHeight="1" x14ac:dyDescent="0.2">
      <c r="A395" s="188"/>
      <c r="C395" s="189"/>
      <c r="E395" s="190"/>
      <c r="G395" s="70"/>
      <c r="H395" s="70"/>
      <c r="J395" s="70"/>
      <c r="L395" s="71"/>
      <c r="N395" s="65"/>
    </row>
    <row r="396" spans="1:14" ht="15" customHeight="1" x14ac:dyDescent="0.2">
      <c r="A396" s="188"/>
      <c r="C396" s="189"/>
      <c r="E396" s="190"/>
      <c r="G396" s="70"/>
      <c r="H396" s="70"/>
      <c r="J396" s="70"/>
      <c r="L396" s="71"/>
      <c r="N396" s="65"/>
    </row>
    <row r="397" spans="1:14" ht="15" customHeight="1" x14ac:dyDescent="0.2">
      <c r="A397" s="188"/>
      <c r="C397" s="189"/>
      <c r="E397" s="190"/>
      <c r="G397" s="70"/>
      <c r="H397" s="70"/>
      <c r="J397" s="70"/>
      <c r="L397" s="71"/>
      <c r="N397" s="65"/>
    </row>
    <row r="398" spans="1:14" ht="15" customHeight="1" x14ac:dyDescent="0.2">
      <c r="A398" s="188"/>
      <c r="C398" s="189"/>
      <c r="E398" s="190"/>
      <c r="G398" s="70"/>
      <c r="H398" s="70"/>
      <c r="J398" s="70"/>
      <c r="L398" s="71"/>
      <c r="N398" s="65"/>
    </row>
    <row r="399" spans="1:14" ht="15" customHeight="1" x14ac:dyDescent="0.2">
      <c r="A399" s="188"/>
      <c r="C399" s="189"/>
      <c r="E399" s="190"/>
      <c r="G399" s="70"/>
      <c r="H399" s="70"/>
      <c r="J399" s="70"/>
      <c r="L399" s="71"/>
      <c r="N399" s="65"/>
    </row>
    <row r="400" spans="1:14" ht="15" customHeight="1" x14ac:dyDescent="0.2">
      <c r="A400" s="188"/>
      <c r="C400" s="189"/>
      <c r="E400" s="190"/>
      <c r="G400" s="70"/>
      <c r="H400" s="70"/>
      <c r="J400" s="70"/>
      <c r="L400" s="71"/>
      <c r="N400" s="65"/>
    </row>
    <row r="401" spans="1:14" ht="15" customHeight="1" x14ac:dyDescent="0.2">
      <c r="A401" s="188"/>
      <c r="C401" s="189"/>
      <c r="E401" s="190"/>
      <c r="G401" s="70"/>
      <c r="H401" s="70"/>
      <c r="J401" s="70"/>
      <c r="L401" s="71"/>
      <c r="N401" s="65"/>
    </row>
    <row r="402" spans="1:14" ht="15" customHeight="1" x14ac:dyDescent="0.2">
      <c r="A402" s="188"/>
      <c r="C402" s="189"/>
      <c r="E402" s="190"/>
      <c r="G402" s="70"/>
      <c r="H402" s="70"/>
      <c r="J402" s="70"/>
      <c r="L402" s="71"/>
      <c r="N402" s="65"/>
    </row>
    <row r="403" spans="1:14" ht="15" customHeight="1" x14ac:dyDescent="0.2">
      <c r="A403" s="188"/>
      <c r="C403" s="189"/>
      <c r="E403" s="190"/>
      <c r="G403" s="70"/>
      <c r="H403" s="70"/>
      <c r="J403" s="70"/>
      <c r="L403" s="71"/>
      <c r="N403" s="65"/>
    </row>
    <row r="404" spans="1:14" ht="15" customHeight="1" x14ac:dyDescent="0.2">
      <c r="A404" s="188"/>
      <c r="C404" s="189"/>
      <c r="E404" s="190"/>
      <c r="G404" s="70"/>
      <c r="H404" s="70"/>
      <c r="J404" s="70"/>
      <c r="L404" s="71"/>
      <c r="N404" s="65"/>
    </row>
    <row r="405" spans="1:14" ht="15" customHeight="1" x14ac:dyDescent="0.2">
      <c r="A405" s="188"/>
      <c r="C405" s="189"/>
      <c r="E405" s="190"/>
      <c r="G405" s="70"/>
      <c r="H405" s="70"/>
      <c r="J405" s="70"/>
      <c r="L405" s="71"/>
      <c r="N405" s="65"/>
    </row>
    <row r="406" spans="1:14" ht="15" customHeight="1" x14ac:dyDescent="0.2">
      <c r="A406" s="188"/>
      <c r="C406" s="189"/>
      <c r="E406" s="190"/>
      <c r="G406" s="70"/>
      <c r="H406" s="70"/>
      <c r="J406" s="70"/>
      <c r="L406" s="71"/>
      <c r="N406" s="65"/>
    </row>
    <row r="407" spans="1:14" ht="15" customHeight="1" x14ac:dyDescent="0.2">
      <c r="A407" s="188"/>
      <c r="C407" s="189"/>
      <c r="E407" s="190"/>
      <c r="G407" s="70"/>
      <c r="H407" s="70"/>
      <c r="J407" s="70"/>
      <c r="L407" s="71"/>
      <c r="N407" s="65"/>
    </row>
    <row r="408" spans="1:14" ht="15" customHeight="1" x14ac:dyDescent="0.2">
      <c r="A408" s="188"/>
      <c r="C408" s="189"/>
      <c r="E408" s="190"/>
      <c r="G408" s="70"/>
      <c r="H408" s="70"/>
      <c r="J408" s="70"/>
      <c r="L408" s="71"/>
      <c r="N408" s="65"/>
    </row>
    <row r="409" spans="1:14" ht="15" customHeight="1" x14ac:dyDescent="0.2">
      <c r="A409" s="188"/>
      <c r="C409" s="189"/>
      <c r="E409" s="190"/>
      <c r="G409" s="70"/>
      <c r="H409" s="70"/>
      <c r="J409" s="70"/>
      <c r="L409" s="71"/>
      <c r="N409" s="65"/>
    </row>
    <row r="410" spans="1:14" ht="15" customHeight="1" x14ac:dyDescent="0.2">
      <c r="A410" s="188"/>
      <c r="C410" s="189"/>
      <c r="E410" s="190"/>
      <c r="G410" s="70"/>
      <c r="H410" s="70"/>
      <c r="J410" s="70"/>
      <c r="L410" s="71"/>
      <c r="N410" s="65"/>
    </row>
    <row r="411" spans="1:14" ht="15" customHeight="1" x14ac:dyDescent="0.2">
      <c r="A411" s="188"/>
      <c r="C411" s="189"/>
      <c r="E411" s="190"/>
      <c r="G411" s="70"/>
      <c r="H411" s="70"/>
      <c r="J411" s="70"/>
      <c r="L411" s="71"/>
      <c r="N411" s="65"/>
    </row>
    <row r="412" spans="1:14" ht="15" customHeight="1" x14ac:dyDescent="0.2">
      <c r="A412" s="188"/>
      <c r="C412" s="189"/>
      <c r="E412" s="190"/>
      <c r="G412" s="70"/>
      <c r="H412" s="70"/>
      <c r="J412" s="70"/>
      <c r="L412" s="71"/>
      <c r="N412" s="65"/>
    </row>
    <row r="413" spans="1:14" ht="15" customHeight="1" x14ac:dyDescent="0.2">
      <c r="A413" s="188"/>
      <c r="C413" s="189"/>
      <c r="E413" s="190"/>
      <c r="G413" s="70"/>
      <c r="H413" s="70"/>
      <c r="J413" s="70"/>
      <c r="L413" s="71"/>
      <c r="N413" s="65"/>
    </row>
    <row r="414" spans="1:14" ht="15" customHeight="1" x14ac:dyDescent="0.2">
      <c r="A414" s="188"/>
      <c r="C414" s="189"/>
      <c r="E414" s="190"/>
      <c r="G414" s="70"/>
      <c r="H414" s="70"/>
      <c r="J414" s="70"/>
      <c r="L414" s="71"/>
      <c r="N414" s="65"/>
    </row>
    <row r="415" spans="1:14" ht="15" customHeight="1" x14ac:dyDescent="0.2">
      <c r="A415" s="188"/>
      <c r="C415" s="189"/>
      <c r="E415" s="190"/>
      <c r="G415" s="70"/>
      <c r="H415" s="70"/>
      <c r="J415" s="70"/>
      <c r="L415" s="71"/>
      <c r="N415" s="65"/>
    </row>
    <row r="416" spans="1:14" ht="15" customHeight="1" x14ac:dyDescent="0.2">
      <c r="A416" s="188"/>
      <c r="C416" s="189"/>
      <c r="E416" s="190"/>
      <c r="G416" s="70"/>
      <c r="H416" s="70"/>
      <c r="J416" s="70"/>
      <c r="L416" s="71"/>
      <c r="N416" s="65"/>
    </row>
    <row r="417" spans="1:14" ht="15" customHeight="1" x14ac:dyDescent="0.2">
      <c r="A417" s="188"/>
      <c r="C417" s="189"/>
      <c r="E417" s="190"/>
      <c r="G417" s="70"/>
      <c r="H417" s="70"/>
      <c r="J417" s="70"/>
      <c r="L417" s="71"/>
      <c r="N417" s="65"/>
    </row>
    <row r="418" spans="1:14" ht="15" customHeight="1" x14ac:dyDescent="0.2">
      <c r="A418" s="188"/>
      <c r="C418" s="189"/>
      <c r="E418" s="190"/>
      <c r="G418" s="70"/>
      <c r="H418" s="70"/>
      <c r="J418" s="70"/>
      <c r="L418" s="71"/>
      <c r="N418" s="65"/>
    </row>
    <row r="419" spans="1:14" ht="15" customHeight="1" x14ac:dyDescent="0.2">
      <c r="A419" s="188"/>
      <c r="C419" s="189"/>
      <c r="E419" s="190"/>
      <c r="G419" s="70"/>
      <c r="H419" s="70"/>
      <c r="J419" s="70"/>
      <c r="L419" s="71"/>
      <c r="N419" s="65"/>
    </row>
    <row r="420" spans="1:14" ht="15" customHeight="1" x14ac:dyDescent="0.2">
      <c r="A420" s="188"/>
      <c r="C420" s="189"/>
      <c r="E420" s="190"/>
      <c r="G420" s="70"/>
      <c r="H420" s="70"/>
      <c r="J420" s="70"/>
      <c r="L420" s="71"/>
      <c r="N420" s="65"/>
    </row>
    <row r="421" spans="1:14" ht="15" customHeight="1" x14ac:dyDescent="0.2">
      <c r="A421" s="188"/>
      <c r="C421" s="189"/>
      <c r="E421" s="190"/>
      <c r="G421" s="70"/>
      <c r="H421" s="70"/>
      <c r="J421" s="70"/>
      <c r="L421" s="71"/>
      <c r="N421" s="65"/>
    </row>
    <row r="422" spans="1:14" ht="15" customHeight="1" x14ac:dyDescent="0.2">
      <c r="A422" s="188"/>
      <c r="C422" s="189"/>
      <c r="E422" s="190"/>
      <c r="G422" s="70"/>
      <c r="H422" s="70"/>
      <c r="J422" s="70"/>
      <c r="L422" s="71"/>
      <c r="N422" s="65"/>
    </row>
    <row r="423" spans="1:14" ht="15" customHeight="1" x14ac:dyDescent="0.2">
      <c r="A423" s="188"/>
      <c r="C423" s="189"/>
      <c r="E423" s="190"/>
      <c r="G423" s="70"/>
      <c r="H423" s="70"/>
      <c r="J423" s="70"/>
      <c r="L423" s="71"/>
      <c r="N423" s="65"/>
    </row>
    <row r="424" spans="1:14" ht="15" customHeight="1" x14ac:dyDescent="0.2">
      <c r="A424" s="188"/>
      <c r="C424" s="189"/>
      <c r="E424" s="190"/>
      <c r="G424" s="70"/>
      <c r="H424" s="70"/>
      <c r="J424" s="70"/>
      <c r="L424" s="71"/>
      <c r="N424" s="65"/>
    </row>
    <row r="425" spans="1:14" ht="15" customHeight="1" x14ac:dyDescent="0.2">
      <c r="A425" s="188"/>
      <c r="C425" s="189"/>
      <c r="E425" s="190"/>
      <c r="G425" s="70"/>
      <c r="H425" s="70"/>
      <c r="J425" s="70"/>
      <c r="L425" s="71"/>
      <c r="N425" s="65"/>
    </row>
    <row r="426" spans="1:14" ht="15" customHeight="1" x14ac:dyDescent="0.2">
      <c r="A426" s="188"/>
      <c r="C426" s="189"/>
      <c r="E426" s="190"/>
      <c r="G426" s="70"/>
      <c r="H426" s="70"/>
      <c r="J426" s="70"/>
      <c r="L426" s="71"/>
      <c r="N426" s="65"/>
    </row>
    <row r="427" spans="1:14" ht="15" customHeight="1" x14ac:dyDescent="0.2">
      <c r="A427" s="188"/>
      <c r="C427" s="189"/>
      <c r="E427" s="190"/>
      <c r="G427" s="70"/>
      <c r="H427" s="70"/>
      <c r="J427" s="70"/>
      <c r="L427" s="71"/>
      <c r="N427" s="65"/>
    </row>
    <row r="428" spans="1:14" ht="15" customHeight="1" x14ac:dyDescent="0.2">
      <c r="A428" s="188"/>
      <c r="C428" s="189"/>
      <c r="E428" s="190"/>
      <c r="G428" s="70"/>
      <c r="H428" s="70"/>
      <c r="J428" s="70"/>
      <c r="L428" s="71"/>
      <c r="N428" s="65"/>
    </row>
    <row r="429" spans="1:14" ht="15" customHeight="1" x14ac:dyDescent="0.2">
      <c r="A429" s="188"/>
      <c r="C429" s="189"/>
      <c r="E429" s="190"/>
      <c r="G429" s="70"/>
      <c r="H429" s="70"/>
      <c r="J429" s="70"/>
      <c r="L429" s="71"/>
      <c r="N429" s="65"/>
    </row>
    <row r="430" spans="1:14" ht="15" customHeight="1" x14ac:dyDescent="0.2">
      <c r="A430" s="188"/>
      <c r="C430" s="189"/>
      <c r="E430" s="190"/>
      <c r="G430" s="70"/>
      <c r="H430" s="70"/>
      <c r="J430" s="70"/>
      <c r="L430" s="71"/>
      <c r="N430" s="65"/>
    </row>
    <row r="431" spans="1:14" ht="15" customHeight="1" x14ac:dyDescent="0.2">
      <c r="A431" s="188"/>
      <c r="C431" s="189"/>
      <c r="E431" s="190"/>
      <c r="G431" s="70"/>
      <c r="H431" s="70"/>
      <c r="J431" s="70"/>
      <c r="L431" s="71"/>
      <c r="N431" s="65"/>
    </row>
    <row r="432" spans="1:14" ht="15" customHeight="1" x14ac:dyDescent="0.2">
      <c r="A432" s="188"/>
      <c r="C432" s="189"/>
      <c r="E432" s="190"/>
      <c r="G432" s="70"/>
      <c r="H432" s="70"/>
      <c r="J432" s="70"/>
      <c r="L432" s="71"/>
      <c r="N432" s="65"/>
    </row>
    <row r="433" spans="1:14" ht="15" customHeight="1" x14ac:dyDescent="0.2">
      <c r="A433" s="188"/>
      <c r="C433" s="189"/>
      <c r="E433" s="190"/>
      <c r="G433" s="70"/>
      <c r="H433" s="70"/>
      <c r="J433" s="70"/>
      <c r="L433" s="71"/>
      <c r="N433" s="65"/>
    </row>
    <row r="434" spans="1:14" ht="15" customHeight="1" x14ac:dyDescent="0.2">
      <c r="A434" s="188"/>
      <c r="C434" s="189"/>
      <c r="E434" s="190"/>
      <c r="G434" s="70"/>
      <c r="H434" s="70"/>
      <c r="J434" s="70"/>
      <c r="L434" s="71"/>
      <c r="N434" s="65"/>
    </row>
    <row r="435" spans="1:14" ht="15" customHeight="1" x14ac:dyDescent="0.2">
      <c r="A435" s="188"/>
      <c r="C435" s="189"/>
      <c r="E435" s="190"/>
      <c r="G435" s="70"/>
      <c r="H435" s="70"/>
      <c r="J435" s="70"/>
      <c r="L435" s="71"/>
      <c r="N435" s="65"/>
    </row>
    <row r="436" spans="1:14" ht="15" customHeight="1" x14ac:dyDescent="0.2">
      <c r="A436" s="188"/>
      <c r="C436" s="189"/>
      <c r="E436" s="190"/>
      <c r="G436" s="70"/>
      <c r="H436" s="70"/>
      <c r="J436" s="70"/>
      <c r="L436" s="71"/>
      <c r="N436" s="65"/>
    </row>
    <row r="437" spans="1:14" ht="15" customHeight="1" x14ac:dyDescent="0.2">
      <c r="A437" s="188"/>
      <c r="C437" s="189"/>
      <c r="E437" s="190"/>
      <c r="G437" s="70"/>
      <c r="H437" s="70"/>
      <c r="J437" s="70"/>
      <c r="L437" s="71"/>
      <c r="N437" s="65"/>
    </row>
    <row r="438" spans="1:14" ht="15" customHeight="1" x14ac:dyDescent="0.2">
      <c r="A438" s="188"/>
      <c r="C438" s="189"/>
      <c r="E438" s="190"/>
      <c r="G438" s="70"/>
      <c r="H438" s="70"/>
      <c r="J438" s="70"/>
      <c r="L438" s="71"/>
      <c r="N438" s="65"/>
    </row>
    <row r="439" spans="1:14" ht="15" customHeight="1" x14ac:dyDescent="0.2">
      <c r="A439" s="188"/>
      <c r="C439" s="189"/>
      <c r="E439" s="190"/>
      <c r="G439" s="70"/>
      <c r="H439" s="70"/>
      <c r="J439" s="70"/>
      <c r="L439" s="71"/>
      <c r="N439" s="65"/>
    </row>
    <row r="440" spans="1:14" ht="15" customHeight="1" x14ac:dyDescent="0.2">
      <c r="A440" s="188"/>
      <c r="C440" s="189"/>
      <c r="E440" s="190"/>
      <c r="G440" s="70"/>
      <c r="H440" s="70"/>
      <c r="J440" s="70"/>
      <c r="L440" s="71"/>
      <c r="N440" s="65"/>
    </row>
    <row r="441" spans="1:14" ht="15" customHeight="1" x14ac:dyDescent="0.2">
      <c r="A441" s="188"/>
      <c r="C441" s="189"/>
      <c r="E441" s="190"/>
      <c r="G441" s="70"/>
      <c r="H441" s="70"/>
      <c r="J441" s="70"/>
      <c r="L441" s="71"/>
      <c r="N441" s="65"/>
    </row>
    <row r="442" spans="1:14" ht="15" customHeight="1" x14ac:dyDescent="0.2">
      <c r="A442" s="188"/>
      <c r="C442" s="189"/>
      <c r="E442" s="190"/>
      <c r="G442" s="70"/>
      <c r="H442" s="70"/>
      <c r="J442" s="70"/>
      <c r="L442" s="71"/>
      <c r="N442" s="65"/>
    </row>
    <row r="443" spans="1:14" ht="15" customHeight="1" x14ac:dyDescent="0.2">
      <c r="A443" s="188"/>
      <c r="C443" s="189"/>
      <c r="E443" s="190"/>
      <c r="G443" s="70"/>
      <c r="H443" s="70"/>
      <c r="J443" s="70"/>
      <c r="L443" s="71"/>
      <c r="N443" s="65"/>
    </row>
    <row r="444" spans="1:14" ht="15" customHeight="1" x14ac:dyDescent="0.2">
      <c r="A444" s="188"/>
      <c r="C444" s="189"/>
      <c r="E444" s="190"/>
      <c r="G444" s="70"/>
      <c r="H444" s="70"/>
      <c r="J444" s="70"/>
      <c r="L444" s="71"/>
      <c r="N444" s="65"/>
    </row>
    <row r="445" spans="1:14" ht="15" customHeight="1" x14ac:dyDescent="0.2">
      <c r="A445" s="188"/>
      <c r="C445" s="189"/>
      <c r="E445" s="190"/>
      <c r="G445" s="70"/>
      <c r="H445" s="70"/>
      <c r="J445" s="70"/>
      <c r="L445" s="71"/>
      <c r="N445" s="65"/>
    </row>
    <row r="446" spans="1:14" ht="15" customHeight="1" x14ac:dyDescent="0.2">
      <c r="A446" s="188"/>
      <c r="C446" s="189"/>
      <c r="E446" s="190"/>
      <c r="G446" s="70"/>
      <c r="H446" s="70"/>
      <c r="J446" s="70"/>
      <c r="L446" s="71"/>
      <c r="N446" s="65"/>
    </row>
    <row r="447" spans="1:14" ht="15" customHeight="1" x14ac:dyDescent="0.2">
      <c r="A447" s="188"/>
      <c r="C447" s="189"/>
      <c r="E447" s="190"/>
      <c r="G447" s="70"/>
      <c r="H447" s="70"/>
      <c r="J447" s="70"/>
      <c r="L447" s="71"/>
      <c r="N447" s="65"/>
    </row>
    <row r="448" spans="1:14" ht="15" customHeight="1" x14ac:dyDescent="0.2">
      <c r="A448" s="188"/>
      <c r="C448" s="189"/>
      <c r="E448" s="190"/>
      <c r="G448" s="70"/>
      <c r="H448" s="70"/>
      <c r="J448" s="70"/>
      <c r="L448" s="71"/>
      <c r="N448" s="65"/>
    </row>
    <row r="449" spans="1:14" ht="15" customHeight="1" x14ac:dyDescent="0.2">
      <c r="A449" s="188"/>
      <c r="C449" s="189"/>
      <c r="E449" s="190"/>
      <c r="G449" s="70"/>
      <c r="H449" s="70"/>
      <c r="J449" s="70"/>
      <c r="L449" s="71"/>
      <c r="N449" s="65"/>
    </row>
    <row r="450" spans="1:14" ht="15" customHeight="1" x14ac:dyDescent="0.2">
      <c r="A450" s="188"/>
      <c r="C450" s="189"/>
      <c r="E450" s="190"/>
      <c r="G450" s="70"/>
      <c r="H450" s="70"/>
      <c r="J450" s="70"/>
      <c r="L450" s="71"/>
      <c r="N450" s="65"/>
    </row>
    <row r="451" spans="1:14" ht="15" customHeight="1" x14ac:dyDescent="0.2">
      <c r="A451" s="188"/>
      <c r="C451" s="189"/>
      <c r="E451" s="190"/>
      <c r="G451" s="70"/>
      <c r="H451" s="70"/>
      <c r="J451" s="70"/>
      <c r="L451" s="71"/>
      <c r="N451" s="65"/>
    </row>
    <row r="452" spans="1:14" ht="15" customHeight="1" x14ac:dyDescent="0.2">
      <c r="A452" s="188"/>
      <c r="C452" s="189"/>
      <c r="E452" s="190"/>
      <c r="G452" s="70"/>
      <c r="H452" s="70"/>
      <c r="J452" s="70"/>
      <c r="L452" s="71"/>
      <c r="N452" s="65"/>
    </row>
    <row r="453" spans="1:14" ht="15" customHeight="1" x14ac:dyDescent="0.2">
      <c r="A453" s="188"/>
      <c r="C453" s="189"/>
      <c r="E453" s="190"/>
      <c r="G453" s="70"/>
      <c r="H453" s="70"/>
      <c r="J453" s="70"/>
      <c r="L453" s="71"/>
      <c r="N453" s="65"/>
    </row>
    <row r="454" spans="1:14" ht="15" customHeight="1" x14ac:dyDescent="0.2">
      <c r="A454" s="188"/>
      <c r="C454" s="189"/>
      <c r="E454" s="190"/>
      <c r="G454" s="70"/>
      <c r="H454" s="70"/>
      <c r="J454" s="70"/>
      <c r="L454" s="71"/>
      <c r="N454" s="65"/>
    </row>
    <row r="455" spans="1:14" ht="15" customHeight="1" x14ac:dyDescent="0.2">
      <c r="A455" s="188"/>
      <c r="C455" s="189"/>
      <c r="E455" s="190"/>
      <c r="G455" s="70"/>
      <c r="H455" s="70"/>
      <c r="J455" s="70"/>
      <c r="L455" s="71"/>
      <c r="N455" s="65"/>
    </row>
    <row r="456" spans="1:14" ht="15" customHeight="1" x14ac:dyDescent="0.2">
      <c r="A456" s="188"/>
      <c r="C456" s="189"/>
      <c r="E456" s="190"/>
      <c r="G456" s="70"/>
      <c r="H456" s="70"/>
      <c r="J456" s="70"/>
      <c r="L456" s="71"/>
      <c r="N456" s="65"/>
    </row>
    <row r="457" spans="1:14" ht="15" customHeight="1" x14ac:dyDescent="0.2">
      <c r="A457" s="188"/>
      <c r="C457" s="189"/>
      <c r="E457" s="190"/>
      <c r="G457" s="70"/>
      <c r="H457" s="70"/>
      <c r="J457" s="70"/>
      <c r="L457" s="71"/>
      <c r="N457" s="65"/>
    </row>
    <row r="458" spans="1:14" ht="15" customHeight="1" x14ac:dyDescent="0.2">
      <c r="A458" s="188"/>
      <c r="C458" s="189"/>
      <c r="E458" s="190"/>
      <c r="G458" s="70"/>
      <c r="H458" s="70"/>
      <c r="J458" s="70"/>
      <c r="L458" s="71"/>
      <c r="N458" s="65"/>
    </row>
    <row r="459" spans="1:14" ht="15" customHeight="1" x14ac:dyDescent="0.2">
      <c r="A459" s="188"/>
      <c r="C459" s="189"/>
      <c r="E459" s="190"/>
      <c r="G459" s="70"/>
      <c r="H459" s="70"/>
      <c r="J459" s="70"/>
      <c r="L459" s="71"/>
      <c r="N459" s="65"/>
    </row>
    <row r="460" spans="1:14" ht="15" customHeight="1" x14ac:dyDescent="0.2">
      <c r="A460" s="188"/>
      <c r="C460" s="189"/>
      <c r="E460" s="190"/>
      <c r="G460" s="70"/>
      <c r="H460" s="70"/>
      <c r="J460" s="70"/>
      <c r="L460" s="71"/>
      <c r="N460" s="65"/>
    </row>
    <row r="461" spans="1:14" ht="15" customHeight="1" x14ac:dyDescent="0.2">
      <c r="A461" s="188"/>
      <c r="C461" s="189"/>
      <c r="E461" s="190"/>
      <c r="G461" s="70"/>
      <c r="H461" s="70"/>
      <c r="J461" s="70"/>
      <c r="L461" s="71"/>
      <c r="N461" s="65"/>
    </row>
    <row r="462" spans="1:14" ht="15" customHeight="1" x14ac:dyDescent="0.2">
      <c r="A462" s="188"/>
      <c r="C462" s="189"/>
      <c r="E462" s="190"/>
      <c r="G462" s="70"/>
      <c r="H462" s="70"/>
      <c r="J462" s="70"/>
      <c r="L462" s="71"/>
      <c r="N462" s="65"/>
    </row>
    <row r="463" spans="1:14" ht="15" customHeight="1" x14ac:dyDescent="0.2">
      <c r="A463" s="188"/>
      <c r="C463" s="189"/>
      <c r="E463" s="190"/>
      <c r="G463" s="70"/>
      <c r="H463" s="70"/>
      <c r="J463" s="70"/>
      <c r="L463" s="71"/>
      <c r="N463" s="65"/>
    </row>
    <row r="464" spans="1:14" ht="15" customHeight="1" x14ac:dyDescent="0.2">
      <c r="A464" s="188"/>
      <c r="C464" s="189"/>
      <c r="E464" s="190"/>
      <c r="G464" s="70"/>
      <c r="H464" s="70"/>
      <c r="J464" s="70"/>
      <c r="L464" s="71"/>
      <c r="N464" s="65"/>
    </row>
    <row r="465" spans="1:14" ht="15" customHeight="1" x14ac:dyDescent="0.2">
      <c r="A465" s="188"/>
      <c r="C465" s="189"/>
      <c r="E465" s="190"/>
      <c r="G465" s="70"/>
      <c r="H465" s="70"/>
      <c r="J465" s="70"/>
      <c r="L465" s="71"/>
      <c r="N465" s="65"/>
    </row>
    <row r="466" spans="1:14" ht="15" customHeight="1" x14ac:dyDescent="0.2">
      <c r="A466" s="188"/>
      <c r="C466" s="189"/>
      <c r="E466" s="190"/>
      <c r="G466" s="70"/>
      <c r="H466" s="70"/>
      <c r="J466" s="70"/>
      <c r="L466" s="71"/>
      <c r="N466" s="65"/>
    </row>
    <row r="467" spans="1:14" ht="15" customHeight="1" x14ac:dyDescent="0.2">
      <c r="A467" s="188"/>
      <c r="C467" s="189"/>
      <c r="E467" s="190"/>
      <c r="G467" s="70"/>
      <c r="H467" s="70"/>
      <c r="J467" s="70"/>
      <c r="L467" s="71"/>
      <c r="N467" s="65"/>
    </row>
    <row r="468" spans="1:14" ht="15" customHeight="1" x14ac:dyDescent="0.2">
      <c r="A468" s="188"/>
      <c r="C468" s="189"/>
      <c r="E468" s="190"/>
      <c r="G468" s="70"/>
      <c r="H468" s="70"/>
      <c r="J468" s="70"/>
      <c r="L468" s="71"/>
      <c r="N468" s="65"/>
    </row>
    <row r="469" spans="1:14" ht="15" customHeight="1" x14ac:dyDescent="0.2">
      <c r="A469" s="188"/>
      <c r="C469" s="189"/>
      <c r="E469" s="190"/>
      <c r="G469" s="70"/>
      <c r="H469" s="70"/>
      <c r="J469" s="70"/>
      <c r="L469" s="71"/>
      <c r="N469" s="65"/>
    </row>
    <row r="470" spans="1:14" ht="15" customHeight="1" x14ac:dyDescent="0.2">
      <c r="A470" s="188"/>
      <c r="C470" s="189"/>
      <c r="E470" s="190"/>
      <c r="G470" s="70"/>
      <c r="H470" s="70"/>
      <c r="J470" s="70"/>
      <c r="L470" s="71"/>
      <c r="N470" s="65"/>
    </row>
    <row r="471" spans="1:14" ht="15" customHeight="1" x14ac:dyDescent="0.2">
      <c r="A471" s="188"/>
      <c r="C471" s="189"/>
      <c r="E471" s="190"/>
      <c r="G471" s="70"/>
      <c r="H471" s="70"/>
      <c r="J471" s="70"/>
      <c r="L471" s="71"/>
      <c r="N471" s="65"/>
    </row>
    <row r="472" spans="1:14" ht="15" customHeight="1" x14ac:dyDescent="0.2">
      <c r="A472" s="188"/>
      <c r="C472" s="189"/>
      <c r="E472" s="190"/>
      <c r="G472" s="70"/>
      <c r="H472" s="70"/>
      <c r="J472" s="70"/>
      <c r="L472" s="71"/>
      <c r="N472" s="65"/>
    </row>
    <row r="473" spans="1:14" ht="15" customHeight="1" x14ac:dyDescent="0.2">
      <c r="A473" s="188"/>
      <c r="C473" s="189"/>
      <c r="E473" s="190"/>
      <c r="G473" s="70"/>
      <c r="H473" s="70"/>
      <c r="J473" s="70"/>
      <c r="L473" s="71"/>
      <c r="N473" s="65"/>
    </row>
    <row r="474" spans="1:14" ht="15" customHeight="1" x14ac:dyDescent="0.2">
      <c r="A474" s="188"/>
      <c r="C474" s="189"/>
      <c r="E474" s="190"/>
      <c r="G474" s="70"/>
      <c r="H474" s="70"/>
      <c r="J474" s="70"/>
      <c r="L474" s="71"/>
      <c r="N474" s="65"/>
    </row>
    <row r="475" spans="1:14" ht="15" customHeight="1" x14ac:dyDescent="0.2">
      <c r="A475" s="188"/>
      <c r="C475" s="189"/>
      <c r="E475" s="190"/>
      <c r="G475" s="70"/>
      <c r="H475" s="70"/>
      <c r="J475" s="70"/>
      <c r="L475" s="71"/>
      <c r="N475" s="65"/>
    </row>
    <row r="476" spans="1:14" ht="15" customHeight="1" x14ac:dyDescent="0.2">
      <c r="A476" s="188"/>
      <c r="C476" s="189"/>
      <c r="E476" s="190"/>
      <c r="G476" s="70"/>
      <c r="H476" s="70"/>
      <c r="J476" s="70"/>
      <c r="L476" s="71"/>
      <c r="N476" s="65"/>
    </row>
    <row r="477" spans="1:14" ht="15" customHeight="1" x14ac:dyDescent="0.2">
      <c r="A477" s="188"/>
      <c r="C477" s="189"/>
      <c r="E477" s="190"/>
      <c r="G477" s="70"/>
      <c r="H477" s="70"/>
      <c r="J477" s="70"/>
      <c r="L477" s="71"/>
      <c r="N477" s="65"/>
    </row>
    <row r="478" spans="1:14" ht="15" customHeight="1" x14ac:dyDescent="0.2">
      <c r="A478" s="188"/>
      <c r="C478" s="189"/>
      <c r="E478" s="190"/>
      <c r="G478" s="70"/>
      <c r="H478" s="70"/>
      <c r="J478" s="70"/>
      <c r="L478" s="71"/>
      <c r="N478" s="65"/>
    </row>
    <row r="479" spans="1:14" ht="15" customHeight="1" x14ac:dyDescent="0.2">
      <c r="A479" s="188"/>
      <c r="C479" s="189"/>
      <c r="E479" s="190"/>
      <c r="G479" s="70"/>
      <c r="H479" s="70"/>
      <c r="J479" s="70"/>
      <c r="L479" s="71"/>
      <c r="N479" s="65"/>
    </row>
    <row r="480" spans="1:14" ht="15" customHeight="1" x14ac:dyDescent="0.2">
      <c r="A480" s="188"/>
      <c r="C480" s="189"/>
      <c r="E480" s="190"/>
      <c r="G480" s="70"/>
      <c r="H480" s="70"/>
      <c r="J480" s="70"/>
      <c r="L480" s="71"/>
      <c r="N480" s="65"/>
    </row>
    <row r="481" spans="1:14" ht="15" customHeight="1" x14ac:dyDescent="0.2">
      <c r="A481" s="188"/>
      <c r="C481" s="189"/>
      <c r="E481" s="190"/>
      <c r="G481" s="70"/>
      <c r="H481" s="70"/>
      <c r="J481" s="70"/>
      <c r="L481" s="71"/>
      <c r="N481" s="65"/>
    </row>
    <row r="482" spans="1:14" ht="15" customHeight="1" x14ac:dyDescent="0.2">
      <c r="A482" s="188"/>
      <c r="C482" s="189"/>
      <c r="E482" s="190"/>
      <c r="G482" s="70"/>
      <c r="H482" s="70"/>
      <c r="J482" s="70"/>
      <c r="L482" s="71"/>
      <c r="N482" s="65"/>
    </row>
    <row r="483" spans="1:14" ht="15" customHeight="1" x14ac:dyDescent="0.2">
      <c r="A483" s="188"/>
      <c r="C483" s="189"/>
      <c r="E483" s="190"/>
      <c r="G483" s="70"/>
      <c r="H483" s="70"/>
      <c r="J483" s="70"/>
      <c r="L483" s="71"/>
      <c r="N483" s="65"/>
    </row>
    <row r="484" spans="1:14" ht="15" customHeight="1" x14ac:dyDescent="0.2">
      <c r="A484" s="188"/>
      <c r="C484" s="189"/>
      <c r="E484" s="190"/>
      <c r="G484" s="70"/>
      <c r="H484" s="70"/>
      <c r="J484" s="70"/>
      <c r="L484" s="71"/>
      <c r="N484" s="65"/>
    </row>
    <row r="485" spans="1:14" ht="15" customHeight="1" x14ac:dyDescent="0.2">
      <c r="A485" s="188"/>
      <c r="C485" s="189"/>
      <c r="E485" s="190"/>
      <c r="G485" s="70"/>
      <c r="H485" s="70"/>
      <c r="J485" s="70"/>
      <c r="L485" s="71"/>
      <c r="N485" s="65"/>
    </row>
    <row r="486" spans="1:14" ht="15" customHeight="1" x14ac:dyDescent="0.2">
      <c r="A486" s="188"/>
      <c r="C486" s="189"/>
      <c r="E486" s="190"/>
      <c r="G486" s="70"/>
      <c r="H486" s="70"/>
      <c r="J486" s="70"/>
      <c r="L486" s="71"/>
      <c r="N486" s="65"/>
    </row>
    <row r="487" spans="1:14" ht="15" customHeight="1" x14ac:dyDescent="0.2">
      <c r="A487" s="188"/>
      <c r="C487" s="189"/>
      <c r="E487" s="190"/>
      <c r="G487" s="70"/>
      <c r="H487" s="70"/>
      <c r="J487" s="70"/>
      <c r="L487" s="71"/>
      <c r="N487" s="65"/>
    </row>
    <row r="488" spans="1:14" ht="15" customHeight="1" x14ac:dyDescent="0.2">
      <c r="A488" s="188"/>
      <c r="C488" s="189"/>
      <c r="E488" s="190"/>
      <c r="G488" s="70"/>
      <c r="H488" s="70"/>
      <c r="J488" s="70"/>
      <c r="L488" s="71"/>
      <c r="N488" s="65"/>
    </row>
    <row r="489" spans="1:14" ht="15" customHeight="1" x14ac:dyDescent="0.2">
      <c r="A489" s="188"/>
      <c r="C489" s="189"/>
      <c r="E489" s="190"/>
      <c r="G489" s="70"/>
      <c r="H489" s="70"/>
      <c r="J489" s="70"/>
      <c r="L489" s="71"/>
      <c r="N489" s="65"/>
    </row>
    <row r="490" spans="1:14" ht="15" customHeight="1" x14ac:dyDescent="0.2">
      <c r="A490" s="188"/>
      <c r="C490" s="189"/>
      <c r="E490" s="190"/>
      <c r="G490" s="70"/>
      <c r="H490" s="70"/>
      <c r="J490" s="70"/>
      <c r="L490" s="71"/>
      <c r="N490" s="65"/>
    </row>
    <row r="491" spans="1:14" ht="15" customHeight="1" x14ac:dyDescent="0.2">
      <c r="A491" s="188"/>
      <c r="C491" s="189"/>
      <c r="E491" s="190"/>
      <c r="G491" s="70"/>
      <c r="H491" s="70"/>
      <c r="J491" s="70"/>
      <c r="L491" s="71"/>
      <c r="N491" s="65"/>
    </row>
    <row r="492" spans="1:14" ht="15" customHeight="1" x14ac:dyDescent="0.2">
      <c r="A492" s="188"/>
      <c r="C492" s="189"/>
      <c r="E492" s="190"/>
      <c r="G492" s="70"/>
      <c r="H492" s="70"/>
      <c r="J492" s="70"/>
      <c r="L492" s="71"/>
      <c r="N492" s="65"/>
    </row>
    <row r="493" spans="1:14" ht="15" customHeight="1" x14ac:dyDescent="0.2">
      <c r="A493" s="188"/>
      <c r="C493" s="189"/>
      <c r="E493" s="190"/>
      <c r="G493" s="70"/>
      <c r="H493" s="70"/>
      <c r="J493" s="70"/>
      <c r="L493" s="71"/>
      <c r="N493" s="65"/>
    </row>
    <row r="494" spans="1:14" ht="15" customHeight="1" x14ac:dyDescent="0.2">
      <c r="A494" s="188"/>
      <c r="C494" s="189"/>
      <c r="E494" s="190"/>
      <c r="G494" s="70"/>
      <c r="H494" s="70"/>
      <c r="J494" s="70"/>
      <c r="L494" s="71"/>
      <c r="N494" s="65"/>
    </row>
    <row r="495" spans="1:14" ht="15" customHeight="1" x14ac:dyDescent="0.2">
      <c r="A495" s="188"/>
      <c r="C495" s="189"/>
      <c r="E495" s="190"/>
      <c r="G495" s="70"/>
      <c r="H495" s="70"/>
      <c r="J495" s="70"/>
      <c r="L495" s="71"/>
      <c r="N495" s="65"/>
    </row>
    <row r="496" spans="1:14" ht="15" customHeight="1" x14ac:dyDescent="0.2">
      <c r="A496" s="188"/>
      <c r="C496" s="189"/>
      <c r="E496" s="190"/>
      <c r="G496" s="70"/>
      <c r="H496" s="70"/>
      <c r="J496" s="70"/>
      <c r="L496" s="71"/>
      <c r="N496" s="65"/>
    </row>
    <row r="497" spans="1:14" ht="15" customHeight="1" x14ac:dyDescent="0.2">
      <c r="A497" s="188"/>
      <c r="C497" s="189"/>
      <c r="E497" s="190"/>
      <c r="G497" s="70"/>
      <c r="H497" s="70"/>
      <c r="J497" s="70"/>
      <c r="L497" s="71"/>
      <c r="N497" s="65"/>
    </row>
    <row r="498" spans="1:14" ht="15" customHeight="1" x14ac:dyDescent="0.2">
      <c r="A498" s="188"/>
      <c r="C498" s="189"/>
      <c r="E498" s="190"/>
      <c r="G498" s="70"/>
      <c r="H498" s="70"/>
      <c r="J498" s="70"/>
      <c r="L498" s="71"/>
      <c r="N498" s="65"/>
    </row>
    <row r="499" spans="1:14" ht="15" customHeight="1" x14ac:dyDescent="0.2">
      <c r="A499" s="188"/>
      <c r="C499" s="189"/>
      <c r="E499" s="190"/>
      <c r="G499" s="70"/>
      <c r="H499" s="70"/>
      <c r="J499" s="70"/>
      <c r="L499" s="71"/>
      <c r="N499" s="65"/>
    </row>
    <row r="500" spans="1:14" ht="15" customHeight="1" x14ac:dyDescent="0.2">
      <c r="A500" s="188"/>
      <c r="C500" s="189"/>
      <c r="E500" s="190"/>
      <c r="G500" s="70"/>
      <c r="H500" s="70"/>
      <c r="J500" s="70"/>
      <c r="L500" s="71"/>
      <c r="N500" s="65"/>
    </row>
    <row r="501" spans="1:14" ht="15" customHeight="1" x14ac:dyDescent="0.2">
      <c r="A501" s="188"/>
      <c r="C501" s="189"/>
      <c r="E501" s="190"/>
      <c r="G501" s="70"/>
      <c r="H501" s="70"/>
      <c r="J501" s="70"/>
      <c r="L501" s="71"/>
      <c r="N501" s="65"/>
    </row>
    <row r="502" spans="1:14" ht="15" customHeight="1" x14ac:dyDescent="0.2">
      <c r="A502" s="188"/>
      <c r="C502" s="189"/>
      <c r="E502" s="190"/>
      <c r="G502" s="70"/>
      <c r="H502" s="70"/>
      <c r="J502" s="70"/>
      <c r="L502" s="71"/>
      <c r="N502" s="65"/>
    </row>
    <row r="503" spans="1:14" ht="15" customHeight="1" x14ac:dyDescent="0.2">
      <c r="A503" s="188"/>
      <c r="C503" s="189"/>
      <c r="E503" s="190"/>
      <c r="G503" s="70"/>
      <c r="H503" s="70"/>
      <c r="J503" s="70"/>
      <c r="L503" s="71"/>
      <c r="N503" s="65"/>
    </row>
    <row r="504" spans="1:14" ht="15" customHeight="1" x14ac:dyDescent="0.2">
      <c r="A504" s="188"/>
      <c r="C504" s="189"/>
      <c r="E504" s="190"/>
      <c r="G504" s="70"/>
      <c r="H504" s="70"/>
      <c r="J504" s="70"/>
      <c r="L504" s="71"/>
      <c r="N504" s="65"/>
    </row>
    <row r="505" spans="1:14" ht="15" customHeight="1" x14ac:dyDescent="0.2">
      <c r="A505" s="188"/>
      <c r="C505" s="189"/>
      <c r="E505" s="190"/>
      <c r="G505" s="70"/>
      <c r="H505" s="70"/>
      <c r="J505" s="70"/>
      <c r="L505" s="71"/>
      <c r="N505" s="65"/>
    </row>
    <row r="506" spans="1:14" ht="15" customHeight="1" x14ac:dyDescent="0.2">
      <c r="A506" s="188"/>
      <c r="C506" s="189"/>
      <c r="E506" s="190"/>
      <c r="G506" s="70"/>
      <c r="H506" s="70"/>
      <c r="J506" s="70"/>
      <c r="L506" s="71"/>
      <c r="N506" s="65"/>
    </row>
    <row r="507" spans="1:14" ht="15" customHeight="1" x14ac:dyDescent="0.2">
      <c r="A507" s="188"/>
      <c r="C507" s="189"/>
      <c r="E507" s="190"/>
      <c r="G507" s="70"/>
      <c r="H507" s="70"/>
      <c r="J507" s="70"/>
      <c r="L507" s="71"/>
      <c r="N507" s="65"/>
    </row>
    <row r="508" spans="1:14" ht="15" customHeight="1" x14ac:dyDescent="0.2">
      <c r="A508" s="188"/>
      <c r="C508" s="189"/>
      <c r="E508" s="190"/>
      <c r="G508" s="70"/>
      <c r="H508" s="70"/>
      <c r="J508" s="70"/>
      <c r="L508" s="71"/>
      <c r="N508" s="65"/>
    </row>
    <row r="509" spans="1:14" ht="15" customHeight="1" x14ac:dyDescent="0.2">
      <c r="A509" s="188"/>
      <c r="C509" s="189"/>
      <c r="E509" s="190"/>
      <c r="G509" s="70"/>
      <c r="H509" s="70"/>
      <c r="J509" s="70"/>
      <c r="L509" s="71"/>
      <c r="N509" s="65"/>
    </row>
    <row r="510" spans="1:14" ht="15" customHeight="1" x14ac:dyDescent="0.2">
      <c r="A510" s="188"/>
      <c r="C510" s="189"/>
      <c r="E510" s="190"/>
      <c r="G510" s="70"/>
      <c r="H510" s="70"/>
      <c r="J510" s="70"/>
      <c r="L510" s="71"/>
      <c r="N510" s="65"/>
    </row>
    <row r="511" spans="1:14" ht="15" customHeight="1" x14ac:dyDescent="0.2">
      <c r="A511" s="188"/>
      <c r="C511" s="189"/>
      <c r="E511" s="190"/>
      <c r="G511" s="70"/>
      <c r="H511" s="70"/>
      <c r="J511" s="70"/>
      <c r="L511" s="71"/>
      <c r="N511" s="65"/>
    </row>
    <row r="512" spans="1:14" ht="15" customHeight="1" x14ac:dyDescent="0.2">
      <c r="A512" s="188"/>
      <c r="C512" s="189"/>
      <c r="E512" s="190"/>
      <c r="G512" s="70"/>
      <c r="H512" s="70"/>
      <c r="J512" s="70"/>
      <c r="L512" s="71"/>
      <c r="N512" s="65"/>
    </row>
    <row r="513" spans="1:14" ht="15" customHeight="1" x14ac:dyDescent="0.2">
      <c r="A513" s="188"/>
      <c r="C513" s="189"/>
      <c r="E513" s="190"/>
      <c r="G513" s="70"/>
      <c r="H513" s="70"/>
      <c r="J513" s="70"/>
      <c r="L513" s="71"/>
      <c r="N513" s="65"/>
    </row>
    <row r="514" spans="1:14" ht="15" customHeight="1" x14ac:dyDescent="0.2">
      <c r="A514" s="188"/>
      <c r="C514" s="189"/>
      <c r="E514" s="190"/>
      <c r="G514" s="70"/>
      <c r="H514" s="70"/>
      <c r="J514" s="70"/>
      <c r="L514" s="71"/>
      <c r="N514" s="65"/>
    </row>
    <row r="515" spans="1:14" ht="15" customHeight="1" x14ac:dyDescent="0.2">
      <c r="A515" s="188"/>
      <c r="C515" s="189"/>
      <c r="E515" s="190"/>
      <c r="G515" s="70"/>
      <c r="H515" s="70"/>
      <c r="J515" s="70"/>
      <c r="L515" s="71"/>
      <c r="N515" s="65"/>
    </row>
    <row r="516" spans="1:14" ht="15" customHeight="1" x14ac:dyDescent="0.2">
      <c r="A516" s="188"/>
      <c r="C516" s="189"/>
      <c r="E516" s="190"/>
      <c r="G516" s="70"/>
      <c r="H516" s="70"/>
      <c r="J516" s="70"/>
      <c r="L516" s="71"/>
      <c r="N516" s="65"/>
    </row>
    <row r="517" spans="1:14" ht="15" customHeight="1" x14ac:dyDescent="0.2">
      <c r="A517" s="188"/>
      <c r="C517" s="189"/>
      <c r="E517" s="190"/>
      <c r="G517" s="70"/>
      <c r="H517" s="70"/>
      <c r="J517" s="70"/>
      <c r="L517" s="71"/>
      <c r="N517" s="65"/>
    </row>
    <row r="518" spans="1:14" ht="15" customHeight="1" x14ac:dyDescent="0.2">
      <c r="A518" s="188"/>
      <c r="C518" s="189"/>
      <c r="E518" s="190"/>
      <c r="G518" s="70"/>
      <c r="H518" s="70"/>
      <c r="J518" s="70"/>
      <c r="L518" s="71"/>
      <c r="N518" s="65"/>
    </row>
    <row r="519" spans="1:14" ht="15" customHeight="1" x14ac:dyDescent="0.2">
      <c r="A519" s="188"/>
      <c r="C519" s="189"/>
      <c r="E519" s="190"/>
      <c r="G519" s="70"/>
      <c r="H519" s="70"/>
      <c r="J519" s="70"/>
      <c r="L519" s="71"/>
      <c r="N519" s="65"/>
    </row>
    <row r="520" spans="1:14" ht="15" customHeight="1" x14ac:dyDescent="0.2">
      <c r="A520" s="188"/>
      <c r="C520" s="189"/>
      <c r="E520" s="190"/>
      <c r="G520" s="70"/>
      <c r="H520" s="70"/>
      <c r="J520" s="70"/>
      <c r="L520" s="71"/>
      <c r="N520" s="65"/>
    </row>
    <row r="521" spans="1:14" ht="15" customHeight="1" x14ac:dyDescent="0.2">
      <c r="A521" s="188"/>
      <c r="C521" s="189"/>
      <c r="E521" s="190"/>
      <c r="G521" s="70"/>
      <c r="H521" s="70"/>
      <c r="J521" s="70"/>
      <c r="L521" s="71"/>
      <c r="N521" s="65"/>
    </row>
    <row r="522" spans="1:14" ht="15" customHeight="1" x14ac:dyDescent="0.2">
      <c r="A522" s="188"/>
      <c r="C522" s="189"/>
      <c r="E522" s="190"/>
      <c r="G522" s="70"/>
      <c r="H522" s="70"/>
      <c r="J522" s="70"/>
      <c r="L522" s="71"/>
      <c r="N522" s="65"/>
    </row>
    <row r="523" spans="1:14" ht="15" customHeight="1" x14ac:dyDescent="0.2">
      <c r="A523" s="188"/>
      <c r="C523" s="189"/>
      <c r="E523" s="190"/>
      <c r="G523" s="70"/>
      <c r="H523" s="70"/>
      <c r="J523" s="70"/>
      <c r="L523" s="71"/>
      <c r="N523" s="65"/>
    </row>
    <row r="524" spans="1:14" ht="15" customHeight="1" x14ac:dyDescent="0.2">
      <c r="A524" s="188"/>
      <c r="C524" s="189"/>
      <c r="E524" s="190"/>
      <c r="G524" s="70"/>
      <c r="H524" s="70"/>
      <c r="J524" s="70"/>
      <c r="L524" s="71"/>
      <c r="N524" s="65"/>
    </row>
    <row r="525" spans="1:14" ht="15" customHeight="1" x14ac:dyDescent="0.2">
      <c r="A525" s="188"/>
      <c r="C525" s="189"/>
      <c r="E525" s="190"/>
      <c r="G525" s="70"/>
      <c r="H525" s="70"/>
      <c r="J525" s="70"/>
      <c r="L525" s="71"/>
      <c r="N525" s="65"/>
    </row>
    <row r="526" spans="1:14" ht="15" customHeight="1" x14ac:dyDescent="0.2">
      <c r="A526" s="188"/>
      <c r="C526" s="189"/>
      <c r="E526" s="190"/>
      <c r="G526" s="70"/>
      <c r="H526" s="70"/>
      <c r="J526" s="70"/>
      <c r="L526" s="71"/>
      <c r="N526" s="65"/>
    </row>
    <row r="527" spans="1:14" ht="15" customHeight="1" x14ac:dyDescent="0.2">
      <c r="A527" s="188"/>
      <c r="C527" s="189"/>
      <c r="E527" s="190"/>
      <c r="G527" s="70"/>
      <c r="H527" s="70"/>
      <c r="J527" s="70"/>
      <c r="L527" s="71"/>
      <c r="N527" s="65"/>
    </row>
    <row r="528" spans="1:14" ht="15" customHeight="1" x14ac:dyDescent="0.2">
      <c r="A528" s="188"/>
      <c r="C528" s="189"/>
      <c r="E528" s="190"/>
      <c r="G528" s="70"/>
      <c r="H528" s="70"/>
      <c r="J528" s="70"/>
      <c r="L528" s="71"/>
      <c r="N528" s="65"/>
    </row>
    <row r="529" spans="1:14" ht="15" customHeight="1" x14ac:dyDescent="0.2">
      <c r="A529" s="188"/>
      <c r="C529" s="189"/>
      <c r="E529" s="190"/>
      <c r="G529" s="70"/>
      <c r="H529" s="70"/>
      <c r="J529" s="70"/>
      <c r="L529" s="71"/>
      <c r="N529" s="65"/>
    </row>
    <row r="530" spans="1:14" ht="15" customHeight="1" x14ac:dyDescent="0.2">
      <c r="A530" s="188"/>
      <c r="C530" s="189"/>
      <c r="E530" s="190"/>
      <c r="G530" s="70"/>
      <c r="H530" s="70"/>
      <c r="J530" s="70"/>
      <c r="L530" s="71"/>
      <c r="N530" s="65"/>
    </row>
    <row r="531" spans="1:14" ht="15" customHeight="1" x14ac:dyDescent="0.2">
      <c r="A531" s="188"/>
      <c r="C531" s="189"/>
      <c r="E531" s="190"/>
      <c r="G531" s="70"/>
      <c r="H531" s="70"/>
      <c r="J531" s="70"/>
      <c r="L531" s="71"/>
      <c r="N531" s="65"/>
    </row>
    <row r="532" spans="1:14" ht="15" customHeight="1" x14ac:dyDescent="0.2">
      <c r="A532" s="188"/>
      <c r="C532" s="189"/>
      <c r="E532" s="190"/>
      <c r="G532" s="70"/>
      <c r="H532" s="70"/>
      <c r="J532" s="70"/>
      <c r="L532" s="71"/>
      <c r="N532" s="65"/>
    </row>
    <row r="533" spans="1:14" ht="15" customHeight="1" x14ac:dyDescent="0.2">
      <c r="A533" s="188"/>
      <c r="C533" s="189"/>
      <c r="E533" s="190"/>
      <c r="G533" s="70"/>
      <c r="H533" s="70"/>
      <c r="J533" s="70"/>
      <c r="L533" s="71"/>
      <c r="N533" s="65"/>
    </row>
    <row r="534" spans="1:14" ht="15" customHeight="1" x14ac:dyDescent="0.2">
      <c r="A534" s="188"/>
      <c r="C534" s="189"/>
      <c r="E534" s="190"/>
      <c r="G534" s="70"/>
      <c r="H534" s="70"/>
      <c r="J534" s="70"/>
      <c r="L534" s="71"/>
      <c r="N534" s="65"/>
    </row>
    <row r="535" spans="1:14" ht="15" customHeight="1" x14ac:dyDescent="0.2">
      <c r="A535" s="188"/>
      <c r="C535" s="189"/>
      <c r="E535" s="190"/>
      <c r="G535" s="70"/>
      <c r="H535" s="70"/>
      <c r="J535" s="70"/>
      <c r="L535" s="71"/>
      <c r="N535" s="65"/>
    </row>
    <row r="536" spans="1:14" ht="15" customHeight="1" x14ac:dyDescent="0.2">
      <c r="A536" s="188"/>
      <c r="C536" s="189"/>
      <c r="E536" s="190"/>
      <c r="G536" s="70"/>
      <c r="H536" s="70"/>
      <c r="J536" s="70"/>
      <c r="L536" s="71"/>
      <c r="N536" s="65"/>
    </row>
    <row r="537" spans="1:14" ht="15" customHeight="1" x14ac:dyDescent="0.2">
      <c r="A537" s="188"/>
      <c r="C537" s="189"/>
      <c r="E537" s="190"/>
      <c r="G537" s="70"/>
      <c r="H537" s="70"/>
      <c r="J537" s="70"/>
      <c r="L537" s="71"/>
      <c r="N537" s="65"/>
    </row>
    <row r="538" spans="1:14" ht="15" customHeight="1" x14ac:dyDescent="0.2">
      <c r="A538" s="188"/>
      <c r="C538" s="189"/>
      <c r="E538" s="190"/>
      <c r="G538" s="70"/>
      <c r="H538" s="70"/>
      <c r="J538" s="70"/>
      <c r="L538" s="71"/>
      <c r="N538" s="65"/>
    </row>
    <row r="539" spans="1:14" ht="15" customHeight="1" x14ac:dyDescent="0.2">
      <c r="A539" s="188"/>
      <c r="C539" s="189"/>
      <c r="E539" s="190"/>
      <c r="G539" s="70"/>
      <c r="H539" s="70"/>
      <c r="J539" s="70"/>
      <c r="L539" s="71"/>
      <c r="N539" s="65"/>
    </row>
    <row r="540" spans="1:14" ht="15" customHeight="1" x14ac:dyDescent="0.2">
      <c r="A540" s="188"/>
      <c r="C540" s="189"/>
      <c r="E540" s="190"/>
      <c r="G540" s="70"/>
      <c r="H540" s="70"/>
      <c r="J540" s="70"/>
      <c r="L540" s="71"/>
      <c r="N540" s="65"/>
    </row>
    <row r="541" spans="1:14" ht="15" customHeight="1" x14ac:dyDescent="0.2">
      <c r="A541" s="188"/>
      <c r="C541" s="189"/>
      <c r="E541" s="190"/>
      <c r="G541" s="70"/>
      <c r="H541" s="70"/>
      <c r="J541" s="70"/>
      <c r="L541" s="71"/>
      <c r="N541" s="65"/>
    </row>
    <row r="542" spans="1:14" ht="15" customHeight="1" x14ac:dyDescent="0.2">
      <c r="A542" s="188"/>
      <c r="C542" s="189"/>
      <c r="E542" s="190"/>
      <c r="G542" s="70"/>
      <c r="H542" s="70"/>
      <c r="J542" s="70"/>
      <c r="L542" s="71"/>
      <c r="N542" s="65"/>
    </row>
    <row r="543" spans="1:14" ht="15" customHeight="1" x14ac:dyDescent="0.2">
      <c r="A543" s="188"/>
      <c r="C543" s="189"/>
      <c r="E543" s="190"/>
      <c r="G543" s="70"/>
      <c r="H543" s="70"/>
      <c r="J543" s="70"/>
      <c r="L543" s="71"/>
      <c r="N543" s="65"/>
    </row>
    <row r="544" spans="1:14" ht="15" customHeight="1" x14ac:dyDescent="0.2">
      <c r="A544" s="188"/>
      <c r="C544" s="189"/>
      <c r="E544" s="190"/>
      <c r="G544" s="70"/>
      <c r="H544" s="70"/>
      <c r="J544" s="70"/>
      <c r="L544" s="71"/>
      <c r="N544" s="65"/>
    </row>
    <row r="545" spans="1:14" ht="15" customHeight="1" x14ac:dyDescent="0.2">
      <c r="A545" s="188"/>
      <c r="C545" s="189"/>
      <c r="E545" s="190"/>
      <c r="G545" s="70"/>
      <c r="H545" s="70"/>
      <c r="J545" s="70"/>
      <c r="L545" s="71"/>
      <c r="N545" s="65"/>
    </row>
    <row r="546" spans="1:14" ht="15" customHeight="1" x14ac:dyDescent="0.2">
      <c r="A546" s="188"/>
      <c r="C546" s="189"/>
      <c r="E546" s="190"/>
      <c r="G546" s="70"/>
      <c r="H546" s="70"/>
      <c r="J546" s="70"/>
      <c r="L546" s="71"/>
      <c r="N546" s="65"/>
    </row>
    <row r="547" spans="1:14" ht="15" customHeight="1" x14ac:dyDescent="0.2">
      <c r="A547" s="188"/>
      <c r="C547" s="189"/>
      <c r="E547" s="190"/>
      <c r="G547" s="70"/>
      <c r="H547" s="70"/>
      <c r="J547" s="70"/>
      <c r="L547" s="71"/>
      <c r="N547" s="65"/>
    </row>
    <row r="548" spans="1:14" ht="15" customHeight="1" x14ac:dyDescent="0.2">
      <c r="A548" s="188"/>
      <c r="C548" s="189"/>
      <c r="E548" s="190"/>
      <c r="G548" s="70"/>
      <c r="H548" s="70"/>
      <c r="J548" s="70"/>
      <c r="L548" s="71"/>
      <c r="N548" s="65"/>
    </row>
    <row r="549" spans="1:14" ht="15" customHeight="1" x14ac:dyDescent="0.2">
      <c r="A549" s="188"/>
      <c r="C549" s="189"/>
      <c r="E549" s="190"/>
      <c r="G549" s="70"/>
      <c r="H549" s="70"/>
      <c r="J549" s="70"/>
      <c r="L549" s="71"/>
      <c r="N549" s="65"/>
    </row>
    <row r="550" spans="1:14" ht="15" customHeight="1" x14ac:dyDescent="0.2">
      <c r="A550" s="188"/>
      <c r="C550" s="189"/>
      <c r="E550" s="190"/>
      <c r="G550" s="70"/>
      <c r="H550" s="70"/>
      <c r="J550" s="70"/>
      <c r="L550" s="71"/>
      <c r="N550" s="65"/>
    </row>
    <row r="551" spans="1:14" ht="15" customHeight="1" x14ac:dyDescent="0.2">
      <c r="A551" s="188"/>
      <c r="C551" s="189"/>
      <c r="E551" s="190"/>
      <c r="G551" s="70"/>
      <c r="H551" s="70"/>
      <c r="J551" s="70"/>
      <c r="L551" s="71"/>
      <c r="N551" s="65"/>
    </row>
    <row r="552" spans="1:14" ht="15" customHeight="1" x14ac:dyDescent="0.2">
      <c r="A552" s="188"/>
      <c r="C552" s="189"/>
      <c r="E552" s="190"/>
      <c r="G552" s="70"/>
      <c r="H552" s="70"/>
      <c r="J552" s="70"/>
      <c r="L552" s="71"/>
      <c r="N552" s="65"/>
    </row>
    <row r="553" spans="1:14" ht="15" customHeight="1" x14ac:dyDescent="0.2">
      <c r="A553" s="188"/>
      <c r="C553" s="189"/>
      <c r="E553" s="190"/>
      <c r="G553" s="70"/>
      <c r="H553" s="70"/>
      <c r="J553" s="70"/>
      <c r="L553" s="71"/>
      <c r="N553" s="65"/>
    </row>
    <row r="554" spans="1:14" ht="15" customHeight="1" x14ac:dyDescent="0.2">
      <c r="A554" s="188"/>
      <c r="C554" s="189"/>
      <c r="E554" s="190"/>
      <c r="G554" s="70"/>
      <c r="H554" s="70"/>
      <c r="J554" s="70"/>
      <c r="L554" s="71"/>
      <c r="N554" s="65"/>
    </row>
    <row r="555" spans="1:14" ht="15" customHeight="1" x14ac:dyDescent="0.2">
      <c r="A555" s="188"/>
      <c r="C555" s="189"/>
      <c r="E555" s="190"/>
      <c r="G555" s="70"/>
      <c r="H555" s="70"/>
      <c r="J555" s="70"/>
      <c r="L555" s="71"/>
      <c r="N555" s="65"/>
    </row>
    <row r="556" spans="1:14" ht="15" customHeight="1" x14ac:dyDescent="0.2">
      <c r="A556" s="188"/>
      <c r="C556" s="189"/>
      <c r="E556" s="190"/>
      <c r="G556" s="70"/>
      <c r="H556" s="70"/>
      <c r="J556" s="70"/>
      <c r="L556" s="71"/>
      <c r="N556" s="65"/>
    </row>
    <row r="557" spans="1:14" ht="15" customHeight="1" x14ac:dyDescent="0.2">
      <c r="A557" s="188"/>
      <c r="C557" s="189"/>
      <c r="E557" s="190"/>
      <c r="G557" s="70"/>
      <c r="H557" s="70"/>
      <c r="J557" s="70"/>
      <c r="L557" s="71"/>
      <c r="N557" s="65"/>
    </row>
    <row r="558" spans="1:14" ht="15" customHeight="1" x14ac:dyDescent="0.2">
      <c r="A558" s="188"/>
      <c r="C558" s="189"/>
      <c r="E558" s="190"/>
      <c r="G558" s="70"/>
      <c r="H558" s="70"/>
      <c r="J558" s="70"/>
      <c r="L558" s="71"/>
      <c r="N558" s="65"/>
    </row>
    <row r="559" spans="1:14" ht="15" customHeight="1" x14ac:dyDescent="0.2">
      <c r="A559" s="188"/>
      <c r="C559" s="189"/>
      <c r="E559" s="190"/>
      <c r="G559" s="70"/>
      <c r="H559" s="70"/>
      <c r="J559" s="70"/>
      <c r="L559" s="71"/>
      <c r="N559" s="65"/>
    </row>
    <row r="560" spans="1:14" ht="15" customHeight="1" x14ac:dyDescent="0.2">
      <c r="A560" s="188"/>
      <c r="C560" s="189"/>
      <c r="E560" s="190"/>
      <c r="G560" s="70"/>
      <c r="H560" s="70"/>
      <c r="J560" s="70"/>
      <c r="L560" s="71"/>
      <c r="N560" s="65"/>
    </row>
    <row r="561" spans="1:14" ht="15" customHeight="1" x14ac:dyDescent="0.2">
      <c r="A561" s="188"/>
      <c r="C561" s="189"/>
      <c r="E561" s="190"/>
      <c r="G561" s="70"/>
      <c r="H561" s="70"/>
      <c r="J561" s="70"/>
      <c r="L561" s="71"/>
      <c r="N561" s="65"/>
    </row>
    <row r="562" spans="1:14" ht="15" customHeight="1" x14ac:dyDescent="0.2">
      <c r="A562" s="188"/>
      <c r="C562" s="189"/>
      <c r="E562" s="190"/>
      <c r="G562" s="70"/>
      <c r="H562" s="70"/>
      <c r="J562" s="70"/>
      <c r="L562" s="71"/>
      <c r="N562" s="65"/>
    </row>
    <row r="563" spans="1:14" ht="15" customHeight="1" x14ac:dyDescent="0.2">
      <c r="A563" s="188"/>
      <c r="C563" s="189"/>
      <c r="E563" s="190"/>
      <c r="G563" s="70"/>
      <c r="H563" s="70"/>
      <c r="J563" s="70"/>
      <c r="L563" s="71"/>
      <c r="N563" s="65"/>
    </row>
    <row r="564" spans="1:14" ht="15" customHeight="1" x14ac:dyDescent="0.2">
      <c r="A564" s="188"/>
      <c r="C564" s="189"/>
      <c r="E564" s="190"/>
      <c r="G564" s="70"/>
      <c r="H564" s="70"/>
      <c r="J564" s="70"/>
      <c r="L564" s="71"/>
      <c r="N564" s="65"/>
    </row>
    <row r="565" spans="1:14" ht="15" customHeight="1" x14ac:dyDescent="0.2">
      <c r="A565" s="188"/>
      <c r="C565" s="189"/>
      <c r="E565" s="190"/>
      <c r="G565" s="70"/>
      <c r="H565" s="70"/>
      <c r="J565" s="70"/>
      <c r="L565" s="71"/>
      <c r="N565" s="65"/>
    </row>
    <row r="566" spans="1:14" ht="15" customHeight="1" x14ac:dyDescent="0.2">
      <c r="A566" s="188"/>
      <c r="C566" s="189"/>
      <c r="E566" s="190"/>
      <c r="G566" s="70"/>
      <c r="H566" s="70"/>
      <c r="J566" s="70"/>
      <c r="L566" s="71"/>
      <c r="N566" s="65"/>
    </row>
    <row r="567" spans="1:14" ht="15" customHeight="1" x14ac:dyDescent="0.2">
      <c r="A567" s="188"/>
      <c r="C567" s="189"/>
      <c r="E567" s="190"/>
      <c r="G567" s="70"/>
      <c r="H567" s="70"/>
      <c r="J567" s="70"/>
      <c r="L567" s="71"/>
      <c r="N567" s="65"/>
    </row>
    <row r="568" spans="1:14" ht="15" customHeight="1" x14ac:dyDescent="0.2">
      <c r="A568" s="188"/>
      <c r="C568" s="189"/>
      <c r="E568" s="190"/>
      <c r="G568" s="70"/>
      <c r="H568" s="70"/>
      <c r="J568" s="70"/>
      <c r="L568" s="71"/>
      <c r="N568" s="65"/>
    </row>
    <row r="569" spans="1:14" ht="15" customHeight="1" x14ac:dyDescent="0.2">
      <c r="A569" s="188"/>
      <c r="C569" s="189"/>
      <c r="E569" s="190"/>
      <c r="G569" s="70"/>
      <c r="H569" s="70"/>
      <c r="J569" s="70"/>
      <c r="L569" s="71"/>
      <c r="N569" s="65"/>
    </row>
    <row r="570" spans="1:14" ht="15" customHeight="1" x14ac:dyDescent="0.2">
      <c r="A570" s="188"/>
      <c r="C570" s="189"/>
      <c r="E570" s="190"/>
      <c r="G570" s="70"/>
      <c r="H570" s="70"/>
      <c r="J570" s="70"/>
      <c r="L570" s="71"/>
      <c r="N570" s="65"/>
    </row>
    <row r="571" spans="1:14" ht="15" customHeight="1" x14ac:dyDescent="0.2">
      <c r="A571" s="188"/>
      <c r="C571" s="189"/>
      <c r="E571" s="190"/>
      <c r="G571" s="70"/>
      <c r="H571" s="70"/>
      <c r="J571" s="70"/>
      <c r="L571" s="71"/>
      <c r="N571" s="65"/>
    </row>
    <row r="572" spans="1:14" ht="15" customHeight="1" x14ac:dyDescent="0.2">
      <c r="A572" s="188"/>
      <c r="C572" s="189"/>
      <c r="E572" s="190"/>
      <c r="G572" s="70"/>
      <c r="H572" s="70"/>
      <c r="J572" s="70"/>
      <c r="L572" s="71"/>
      <c r="N572" s="65"/>
    </row>
    <row r="573" spans="1:14" ht="15" customHeight="1" x14ac:dyDescent="0.2">
      <c r="A573" s="188"/>
      <c r="C573" s="189"/>
      <c r="E573" s="190"/>
      <c r="G573" s="70"/>
      <c r="H573" s="70"/>
      <c r="J573" s="70"/>
      <c r="L573" s="71"/>
      <c r="N573" s="65"/>
    </row>
    <row r="574" spans="1:14" ht="15" customHeight="1" x14ac:dyDescent="0.2">
      <c r="A574" s="188"/>
      <c r="C574" s="189"/>
      <c r="E574" s="190"/>
      <c r="G574" s="70"/>
      <c r="H574" s="70"/>
      <c r="J574" s="70"/>
      <c r="L574" s="71"/>
      <c r="N574" s="65"/>
    </row>
    <row r="575" spans="1:14" ht="15" customHeight="1" x14ac:dyDescent="0.2">
      <c r="A575" s="188"/>
      <c r="C575" s="189"/>
      <c r="E575" s="190"/>
      <c r="G575" s="70"/>
      <c r="H575" s="70"/>
      <c r="J575" s="70"/>
      <c r="L575" s="71"/>
      <c r="N575" s="65"/>
    </row>
    <row r="576" spans="1:14" ht="15" customHeight="1" x14ac:dyDescent="0.2">
      <c r="A576" s="188"/>
      <c r="C576" s="189"/>
      <c r="E576" s="190"/>
      <c r="G576" s="70"/>
      <c r="H576" s="70"/>
      <c r="J576" s="70"/>
      <c r="L576" s="71"/>
      <c r="N576" s="65"/>
    </row>
    <row r="577" spans="1:14" ht="15" customHeight="1" x14ac:dyDescent="0.2">
      <c r="A577" s="188"/>
      <c r="C577" s="189"/>
      <c r="E577" s="190"/>
      <c r="G577" s="70"/>
      <c r="H577" s="70"/>
      <c r="J577" s="70"/>
      <c r="L577" s="71"/>
      <c r="N577" s="65"/>
    </row>
    <row r="578" spans="1:14" ht="15" customHeight="1" x14ac:dyDescent="0.2">
      <c r="A578" s="188"/>
      <c r="C578" s="189"/>
      <c r="E578" s="190"/>
      <c r="G578" s="70"/>
      <c r="H578" s="70"/>
      <c r="J578" s="70"/>
      <c r="L578" s="71"/>
      <c r="N578" s="65"/>
    </row>
    <row r="579" spans="1:14" ht="15" customHeight="1" x14ac:dyDescent="0.2">
      <c r="A579" s="188"/>
      <c r="C579" s="189"/>
      <c r="E579" s="190"/>
      <c r="G579" s="70"/>
      <c r="H579" s="70"/>
      <c r="J579" s="70"/>
      <c r="L579" s="71"/>
      <c r="N579" s="65"/>
    </row>
    <row r="580" spans="1:14" ht="15" customHeight="1" x14ac:dyDescent="0.2">
      <c r="A580" s="188"/>
      <c r="C580" s="189"/>
      <c r="E580" s="190"/>
      <c r="G580" s="70"/>
      <c r="H580" s="70"/>
      <c r="J580" s="70"/>
      <c r="L580" s="71"/>
      <c r="N580" s="65"/>
    </row>
    <row r="581" spans="1:14" ht="15" customHeight="1" x14ac:dyDescent="0.2">
      <c r="A581" s="188"/>
      <c r="C581" s="189"/>
      <c r="E581" s="190"/>
      <c r="G581" s="70"/>
      <c r="H581" s="70"/>
      <c r="J581" s="70"/>
      <c r="L581" s="71"/>
      <c r="N581" s="65"/>
    </row>
    <row r="582" spans="1:14" ht="15" customHeight="1" x14ac:dyDescent="0.2">
      <c r="A582" s="188"/>
      <c r="C582" s="189"/>
      <c r="E582" s="190"/>
      <c r="G582" s="70"/>
      <c r="H582" s="70"/>
      <c r="J582" s="70"/>
      <c r="L582" s="71"/>
      <c r="N582" s="65"/>
    </row>
    <row r="583" spans="1:14" ht="15" customHeight="1" x14ac:dyDescent="0.2">
      <c r="A583" s="188"/>
      <c r="C583" s="189"/>
      <c r="E583" s="190"/>
      <c r="G583" s="70"/>
      <c r="H583" s="70"/>
      <c r="J583" s="70"/>
      <c r="L583" s="71"/>
      <c r="N583" s="65"/>
    </row>
    <row r="584" spans="1:14" ht="15" customHeight="1" x14ac:dyDescent="0.2">
      <c r="A584" s="188"/>
      <c r="C584" s="189"/>
      <c r="E584" s="190"/>
      <c r="G584" s="70"/>
      <c r="H584" s="70"/>
      <c r="J584" s="70"/>
      <c r="L584" s="71"/>
      <c r="N584" s="65"/>
    </row>
    <row r="585" spans="1:14" ht="15" customHeight="1" x14ac:dyDescent="0.2">
      <c r="A585" s="188"/>
      <c r="C585" s="189"/>
      <c r="E585" s="190"/>
      <c r="G585" s="70"/>
      <c r="H585" s="70"/>
      <c r="J585" s="70"/>
      <c r="L585" s="71"/>
      <c r="N585" s="65"/>
    </row>
    <row r="586" spans="1:14" ht="15" customHeight="1" x14ac:dyDescent="0.2">
      <c r="A586" s="188"/>
      <c r="C586" s="189"/>
      <c r="E586" s="190"/>
      <c r="G586" s="70"/>
      <c r="H586" s="70"/>
      <c r="J586" s="70"/>
      <c r="L586" s="71"/>
      <c r="N586" s="65"/>
    </row>
    <row r="587" spans="1:14" ht="15" customHeight="1" x14ac:dyDescent="0.2">
      <c r="A587" s="188"/>
      <c r="C587" s="189"/>
      <c r="E587" s="190"/>
      <c r="G587" s="70"/>
      <c r="H587" s="70"/>
      <c r="J587" s="70"/>
      <c r="L587" s="71"/>
      <c r="N587" s="65"/>
    </row>
    <row r="588" spans="1:14" ht="15" customHeight="1" x14ac:dyDescent="0.2">
      <c r="A588" s="188"/>
      <c r="C588" s="189"/>
      <c r="E588" s="190"/>
      <c r="G588" s="70"/>
      <c r="H588" s="70"/>
      <c r="J588" s="70"/>
      <c r="L588" s="71"/>
      <c r="N588" s="65"/>
    </row>
    <row r="589" spans="1:14" ht="15" customHeight="1" x14ac:dyDescent="0.2">
      <c r="A589" s="188"/>
      <c r="C589" s="189"/>
      <c r="E589" s="190"/>
      <c r="G589" s="70"/>
      <c r="H589" s="70"/>
      <c r="J589" s="70"/>
      <c r="L589" s="71"/>
      <c r="N589" s="65"/>
    </row>
    <row r="590" spans="1:14" ht="15" customHeight="1" x14ac:dyDescent="0.2">
      <c r="A590" s="188"/>
      <c r="C590" s="189"/>
      <c r="E590" s="190"/>
      <c r="G590" s="70"/>
      <c r="H590" s="70"/>
      <c r="J590" s="70"/>
      <c r="L590" s="71"/>
      <c r="N590" s="65"/>
    </row>
    <row r="591" spans="1:14" ht="15" customHeight="1" x14ac:dyDescent="0.2">
      <c r="A591" s="188"/>
      <c r="C591" s="189"/>
      <c r="E591" s="190"/>
      <c r="G591" s="70"/>
      <c r="H591" s="70"/>
      <c r="J591" s="70"/>
      <c r="L591" s="71"/>
      <c r="N591" s="65"/>
    </row>
    <row r="592" spans="1:14" ht="15" customHeight="1" x14ac:dyDescent="0.2">
      <c r="A592" s="188"/>
      <c r="C592" s="189"/>
      <c r="E592" s="190"/>
      <c r="G592" s="70"/>
      <c r="H592" s="70"/>
      <c r="J592" s="70"/>
      <c r="L592" s="71"/>
      <c r="N592" s="65"/>
    </row>
    <row r="593" spans="1:14" ht="15" customHeight="1" x14ac:dyDescent="0.2">
      <c r="A593" s="188"/>
      <c r="C593" s="189"/>
      <c r="E593" s="190"/>
      <c r="G593" s="70"/>
      <c r="H593" s="70"/>
      <c r="J593" s="70"/>
      <c r="L593" s="71"/>
      <c r="N593" s="65"/>
    </row>
    <row r="594" spans="1:14" ht="15" customHeight="1" x14ac:dyDescent="0.2">
      <c r="A594" s="188"/>
      <c r="C594" s="189"/>
      <c r="E594" s="190"/>
      <c r="G594" s="70"/>
      <c r="H594" s="70"/>
      <c r="J594" s="70"/>
      <c r="L594" s="71"/>
      <c r="N594" s="65"/>
    </row>
    <row r="595" spans="1:14" ht="15" customHeight="1" x14ac:dyDescent="0.2">
      <c r="A595" s="188"/>
      <c r="C595" s="189"/>
      <c r="E595" s="190"/>
      <c r="G595" s="70"/>
      <c r="H595" s="70"/>
      <c r="J595" s="70"/>
      <c r="L595" s="71"/>
      <c r="N595" s="65"/>
    </row>
    <row r="596" spans="1:14" ht="15" customHeight="1" x14ac:dyDescent="0.2">
      <c r="A596" s="188"/>
      <c r="C596" s="189"/>
      <c r="E596" s="190"/>
      <c r="G596" s="70"/>
      <c r="H596" s="70"/>
      <c r="J596" s="70"/>
      <c r="L596" s="71"/>
      <c r="N596" s="65"/>
    </row>
    <row r="597" spans="1:14" ht="15" customHeight="1" x14ac:dyDescent="0.2">
      <c r="A597" s="188"/>
      <c r="C597" s="189"/>
      <c r="E597" s="190"/>
      <c r="G597" s="70"/>
      <c r="H597" s="70"/>
      <c r="J597" s="70"/>
      <c r="L597" s="71"/>
      <c r="N597" s="65"/>
    </row>
    <row r="598" spans="1:14" ht="15" customHeight="1" x14ac:dyDescent="0.2">
      <c r="A598" s="188"/>
      <c r="C598" s="189"/>
      <c r="E598" s="190"/>
      <c r="G598" s="70"/>
      <c r="H598" s="70"/>
      <c r="J598" s="70"/>
      <c r="L598" s="71"/>
      <c r="N598" s="65"/>
    </row>
    <row r="599" spans="1:14" ht="15" customHeight="1" x14ac:dyDescent="0.2">
      <c r="A599" s="188"/>
      <c r="C599" s="189"/>
      <c r="E599" s="190"/>
      <c r="G599" s="70"/>
      <c r="H599" s="70"/>
      <c r="J599" s="70"/>
      <c r="L599" s="71"/>
      <c r="N599" s="65"/>
    </row>
    <row r="600" spans="1:14" ht="15" customHeight="1" x14ac:dyDescent="0.2">
      <c r="A600" s="188"/>
      <c r="C600" s="189"/>
      <c r="E600" s="190"/>
      <c r="G600" s="70"/>
      <c r="H600" s="70"/>
      <c r="J600" s="70"/>
      <c r="L600" s="71"/>
      <c r="N600" s="65"/>
    </row>
    <row r="601" spans="1:14" ht="15" customHeight="1" x14ac:dyDescent="0.2">
      <c r="A601" s="188"/>
      <c r="C601" s="189"/>
      <c r="E601" s="190"/>
      <c r="G601" s="70"/>
      <c r="H601" s="70"/>
      <c r="J601" s="70"/>
      <c r="L601" s="71"/>
      <c r="N601" s="65"/>
    </row>
    <row r="602" spans="1:14" ht="15" customHeight="1" x14ac:dyDescent="0.2">
      <c r="A602" s="188"/>
      <c r="C602" s="189"/>
      <c r="E602" s="190"/>
      <c r="G602" s="70"/>
      <c r="H602" s="70"/>
      <c r="J602" s="70"/>
      <c r="L602" s="71"/>
      <c r="N602" s="65"/>
    </row>
    <row r="603" spans="1:14" ht="15" customHeight="1" x14ac:dyDescent="0.2">
      <c r="A603" s="188"/>
      <c r="C603" s="189"/>
      <c r="E603" s="190"/>
      <c r="G603" s="70"/>
      <c r="H603" s="70"/>
      <c r="J603" s="70"/>
      <c r="L603" s="71"/>
      <c r="N603" s="65"/>
    </row>
    <row r="604" spans="1:14" ht="15" customHeight="1" x14ac:dyDescent="0.2">
      <c r="A604" s="188"/>
      <c r="C604" s="189"/>
      <c r="E604" s="190"/>
      <c r="G604" s="70"/>
      <c r="H604" s="70"/>
      <c r="J604" s="70"/>
      <c r="L604" s="71"/>
      <c r="N604" s="65"/>
    </row>
    <row r="605" spans="1:14" ht="15" customHeight="1" x14ac:dyDescent="0.2">
      <c r="A605" s="188"/>
      <c r="C605" s="189"/>
      <c r="E605" s="190"/>
      <c r="G605" s="70"/>
      <c r="H605" s="70"/>
      <c r="J605" s="70"/>
      <c r="L605" s="71"/>
      <c r="N605" s="65"/>
    </row>
    <row r="606" spans="1:14" ht="15" customHeight="1" x14ac:dyDescent="0.2">
      <c r="A606" s="188"/>
      <c r="C606" s="189"/>
      <c r="E606" s="190"/>
      <c r="G606" s="70"/>
      <c r="H606" s="70"/>
      <c r="J606" s="70"/>
      <c r="L606" s="71"/>
      <c r="N606" s="65"/>
    </row>
    <row r="607" spans="1:14" ht="15" customHeight="1" x14ac:dyDescent="0.2">
      <c r="A607" s="188"/>
      <c r="C607" s="189"/>
      <c r="E607" s="190"/>
      <c r="G607" s="70"/>
      <c r="H607" s="70"/>
      <c r="J607" s="70"/>
      <c r="L607" s="71"/>
      <c r="N607" s="65"/>
    </row>
    <row r="608" spans="1:14" ht="15" customHeight="1" x14ac:dyDescent="0.2">
      <c r="A608" s="188"/>
      <c r="C608" s="189"/>
      <c r="E608" s="190"/>
      <c r="G608" s="70"/>
      <c r="H608" s="70"/>
      <c r="J608" s="70"/>
      <c r="L608" s="71"/>
      <c r="N608" s="65"/>
    </row>
    <row r="609" spans="1:14" ht="15" customHeight="1" x14ac:dyDescent="0.2">
      <c r="A609" s="188"/>
      <c r="C609" s="189"/>
      <c r="E609" s="190"/>
      <c r="G609" s="70"/>
      <c r="H609" s="70"/>
      <c r="J609" s="70"/>
      <c r="L609" s="71"/>
      <c r="N609" s="65"/>
    </row>
    <row r="610" spans="1:14" ht="15" customHeight="1" x14ac:dyDescent="0.2">
      <c r="A610" s="188"/>
      <c r="C610" s="189"/>
      <c r="E610" s="190"/>
      <c r="G610" s="70"/>
      <c r="H610" s="70"/>
      <c r="J610" s="70"/>
      <c r="L610" s="71"/>
      <c r="N610" s="65"/>
    </row>
    <row r="611" spans="1:14" ht="15" customHeight="1" x14ac:dyDescent="0.2">
      <c r="A611" s="188"/>
      <c r="C611" s="189"/>
      <c r="E611" s="190"/>
      <c r="G611" s="70"/>
      <c r="H611" s="70"/>
      <c r="J611" s="70"/>
      <c r="L611" s="71"/>
      <c r="N611" s="65"/>
    </row>
    <row r="612" spans="1:14" ht="15" customHeight="1" x14ac:dyDescent="0.2">
      <c r="A612" s="188"/>
      <c r="C612" s="189"/>
      <c r="E612" s="190"/>
      <c r="G612" s="70"/>
      <c r="H612" s="70"/>
      <c r="J612" s="70"/>
      <c r="L612" s="71"/>
      <c r="N612" s="65"/>
    </row>
    <row r="613" spans="1:14" ht="15" customHeight="1" x14ac:dyDescent="0.2">
      <c r="A613" s="188"/>
      <c r="C613" s="189"/>
      <c r="E613" s="190"/>
      <c r="G613" s="70"/>
      <c r="H613" s="70"/>
      <c r="J613" s="70"/>
      <c r="L613" s="71"/>
      <c r="N613" s="65"/>
    </row>
    <row r="614" spans="1:14" ht="15" customHeight="1" x14ac:dyDescent="0.2">
      <c r="A614" s="188"/>
      <c r="C614" s="189"/>
      <c r="E614" s="190"/>
      <c r="G614" s="70"/>
      <c r="H614" s="70"/>
      <c r="J614" s="70"/>
      <c r="L614" s="71"/>
      <c r="N614" s="65"/>
    </row>
    <row r="615" spans="1:14" ht="15" customHeight="1" x14ac:dyDescent="0.2">
      <c r="A615" s="188"/>
      <c r="C615" s="189"/>
      <c r="E615" s="190"/>
      <c r="G615" s="70"/>
      <c r="H615" s="70"/>
      <c r="J615" s="70"/>
      <c r="L615" s="71"/>
      <c r="N615" s="65"/>
    </row>
    <row r="616" spans="1:14" ht="15" customHeight="1" x14ac:dyDescent="0.2">
      <c r="A616" s="188"/>
      <c r="C616" s="189"/>
      <c r="E616" s="190"/>
      <c r="G616" s="70"/>
      <c r="H616" s="70"/>
      <c r="J616" s="70"/>
      <c r="L616" s="71"/>
      <c r="N616" s="65"/>
    </row>
    <row r="617" spans="1:14" ht="15" customHeight="1" x14ac:dyDescent="0.2">
      <c r="A617" s="188"/>
      <c r="C617" s="189"/>
      <c r="E617" s="190"/>
      <c r="G617" s="70"/>
      <c r="H617" s="70"/>
      <c r="J617" s="70"/>
      <c r="L617" s="71"/>
      <c r="N617" s="65"/>
    </row>
    <row r="618" spans="1:14" ht="15" customHeight="1" x14ac:dyDescent="0.2">
      <c r="A618" s="188"/>
      <c r="C618" s="189"/>
      <c r="E618" s="190"/>
      <c r="G618" s="70"/>
      <c r="H618" s="70"/>
      <c r="J618" s="70"/>
      <c r="L618" s="71"/>
      <c r="N618" s="65"/>
    </row>
    <row r="619" spans="1:14" ht="15" customHeight="1" x14ac:dyDescent="0.2">
      <c r="A619" s="188"/>
      <c r="C619" s="189"/>
      <c r="E619" s="190"/>
      <c r="G619" s="70"/>
      <c r="H619" s="70"/>
      <c r="J619" s="70"/>
      <c r="L619" s="71"/>
      <c r="N619" s="65"/>
    </row>
    <row r="620" spans="1:14" ht="15" customHeight="1" x14ac:dyDescent="0.2">
      <c r="A620" s="188"/>
      <c r="C620" s="189"/>
      <c r="E620" s="190"/>
      <c r="G620" s="70"/>
      <c r="H620" s="70"/>
      <c r="J620" s="70"/>
      <c r="L620" s="71"/>
      <c r="N620" s="65"/>
    </row>
    <row r="621" spans="1:14" ht="15" customHeight="1" x14ac:dyDescent="0.2">
      <c r="A621" s="188"/>
      <c r="C621" s="189"/>
      <c r="E621" s="190"/>
      <c r="G621" s="70"/>
      <c r="H621" s="70"/>
      <c r="J621" s="70"/>
      <c r="L621" s="71"/>
      <c r="N621" s="65"/>
    </row>
    <row r="622" spans="1:14" ht="15" customHeight="1" x14ac:dyDescent="0.2">
      <c r="A622" s="188"/>
      <c r="C622" s="189"/>
      <c r="E622" s="190"/>
      <c r="G622" s="70"/>
      <c r="H622" s="70"/>
      <c r="J622" s="70"/>
      <c r="L622" s="71"/>
      <c r="N622" s="65"/>
    </row>
    <row r="623" spans="1:14" ht="15" customHeight="1" x14ac:dyDescent="0.2">
      <c r="A623" s="188"/>
      <c r="C623" s="189"/>
      <c r="E623" s="190"/>
      <c r="G623" s="70"/>
      <c r="H623" s="70"/>
      <c r="J623" s="70"/>
      <c r="L623" s="71"/>
      <c r="N623" s="65"/>
    </row>
    <row r="624" spans="1:14" ht="15" customHeight="1" x14ac:dyDescent="0.2">
      <c r="A624" s="188"/>
      <c r="C624" s="189"/>
      <c r="E624" s="190"/>
      <c r="G624" s="70"/>
      <c r="H624" s="70"/>
      <c r="J624" s="70"/>
      <c r="L624" s="71"/>
      <c r="N624" s="65"/>
    </row>
    <row r="625" spans="1:14" ht="15" customHeight="1" x14ac:dyDescent="0.2">
      <c r="A625" s="188"/>
      <c r="C625" s="189"/>
      <c r="E625" s="190"/>
      <c r="G625" s="70"/>
      <c r="H625" s="70"/>
      <c r="J625" s="70"/>
      <c r="L625" s="71"/>
      <c r="N625" s="65"/>
    </row>
    <row r="626" spans="1:14" ht="15" customHeight="1" x14ac:dyDescent="0.2">
      <c r="A626" s="188"/>
      <c r="C626" s="189"/>
      <c r="E626" s="190"/>
      <c r="G626" s="70"/>
      <c r="H626" s="70"/>
      <c r="J626" s="70"/>
      <c r="L626" s="71"/>
      <c r="N626" s="65"/>
    </row>
    <row r="627" spans="1:14" ht="15" customHeight="1" x14ac:dyDescent="0.2">
      <c r="A627" s="188"/>
      <c r="C627" s="189"/>
      <c r="E627" s="190"/>
      <c r="G627" s="70"/>
      <c r="H627" s="70"/>
      <c r="J627" s="70"/>
      <c r="L627" s="71"/>
      <c r="N627" s="65"/>
    </row>
    <row r="628" spans="1:14" ht="15" customHeight="1" x14ac:dyDescent="0.2">
      <c r="A628" s="188"/>
      <c r="C628" s="189"/>
      <c r="E628" s="190"/>
      <c r="G628" s="70"/>
      <c r="H628" s="70"/>
      <c r="J628" s="70"/>
      <c r="L628" s="71"/>
      <c r="N628" s="65"/>
    </row>
    <row r="629" spans="1:14" ht="15" customHeight="1" x14ac:dyDescent="0.2">
      <c r="A629" s="188"/>
      <c r="C629" s="189"/>
      <c r="E629" s="190"/>
      <c r="G629" s="70"/>
      <c r="H629" s="70"/>
      <c r="J629" s="70"/>
      <c r="L629" s="71"/>
      <c r="N629" s="65"/>
    </row>
    <row r="630" spans="1:14" ht="15" customHeight="1" x14ac:dyDescent="0.2">
      <c r="A630" s="188"/>
      <c r="C630" s="189"/>
      <c r="E630" s="190"/>
      <c r="G630" s="70"/>
      <c r="H630" s="70"/>
      <c r="J630" s="70"/>
      <c r="L630" s="71"/>
      <c r="N630" s="65"/>
    </row>
    <row r="631" spans="1:14" ht="15" customHeight="1" x14ac:dyDescent="0.2">
      <c r="A631" s="188"/>
      <c r="C631" s="189"/>
      <c r="E631" s="190"/>
      <c r="G631" s="70"/>
      <c r="H631" s="70"/>
      <c r="J631" s="70"/>
      <c r="L631" s="71"/>
      <c r="N631" s="65"/>
    </row>
    <row r="632" spans="1:14" ht="15" customHeight="1" x14ac:dyDescent="0.2">
      <c r="A632" s="188"/>
      <c r="C632" s="189"/>
      <c r="E632" s="190"/>
      <c r="G632" s="70"/>
      <c r="H632" s="70"/>
      <c r="J632" s="70"/>
      <c r="L632" s="71"/>
      <c r="N632" s="65"/>
    </row>
    <row r="633" spans="1:14" ht="15" customHeight="1" x14ac:dyDescent="0.2">
      <c r="A633" s="188"/>
      <c r="C633" s="189"/>
      <c r="E633" s="190"/>
      <c r="G633" s="70"/>
      <c r="H633" s="70"/>
      <c r="J633" s="70"/>
      <c r="L633" s="71"/>
      <c r="N633" s="65"/>
    </row>
    <row r="634" spans="1:14" ht="15" customHeight="1" x14ac:dyDescent="0.2">
      <c r="A634" s="188"/>
      <c r="C634" s="189"/>
      <c r="E634" s="190"/>
      <c r="G634" s="70"/>
      <c r="H634" s="70"/>
      <c r="J634" s="70"/>
      <c r="L634" s="71"/>
      <c r="N634" s="65"/>
    </row>
    <row r="635" spans="1:14" ht="15" customHeight="1" x14ac:dyDescent="0.2">
      <c r="A635" s="188"/>
      <c r="C635" s="189"/>
      <c r="E635" s="190"/>
      <c r="G635" s="70"/>
      <c r="H635" s="70"/>
      <c r="J635" s="70"/>
      <c r="L635" s="71"/>
      <c r="N635" s="65"/>
    </row>
    <row r="636" spans="1:14" ht="15" customHeight="1" x14ac:dyDescent="0.2">
      <c r="A636" s="188"/>
      <c r="C636" s="189"/>
      <c r="E636" s="190"/>
      <c r="G636" s="70"/>
      <c r="H636" s="70"/>
      <c r="J636" s="70"/>
      <c r="L636" s="71"/>
      <c r="N636" s="65"/>
    </row>
    <row r="637" spans="1:14" ht="15" customHeight="1" x14ac:dyDescent="0.2">
      <c r="A637" s="188"/>
      <c r="C637" s="189"/>
      <c r="E637" s="190"/>
      <c r="G637" s="70"/>
      <c r="H637" s="70"/>
      <c r="J637" s="70"/>
      <c r="L637" s="71"/>
      <c r="N637" s="65"/>
    </row>
    <row r="638" spans="1:14" ht="15" customHeight="1" x14ac:dyDescent="0.2">
      <c r="A638" s="188"/>
      <c r="C638" s="189"/>
      <c r="E638" s="190"/>
      <c r="G638" s="70"/>
      <c r="H638" s="70"/>
      <c r="J638" s="70"/>
      <c r="L638" s="71"/>
      <c r="N638" s="65"/>
    </row>
    <row r="639" spans="1:14" ht="15" customHeight="1" x14ac:dyDescent="0.2">
      <c r="A639" s="188"/>
      <c r="C639" s="189"/>
      <c r="E639" s="190"/>
      <c r="G639" s="70"/>
      <c r="H639" s="70"/>
      <c r="J639" s="70"/>
      <c r="L639" s="71"/>
      <c r="N639" s="65"/>
    </row>
    <row r="640" spans="1:14" ht="15" customHeight="1" x14ac:dyDescent="0.2">
      <c r="A640" s="188"/>
      <c r="C640" s="189"/>
      <c r="E640" s="190"/>
      <c r="G640" s="70"/>
      <c r="H640" s="70"/>
      <c r="J640" s="70"/>
      <c r="L640" s="71"/>
      <c r="N640" s="65"/>
    </row>
    <row r="641" spans="1:14" ht="15" customHeight="1" x14ac:dyDescent="0.2">
      <c r="A641" s="188"/>
      <c r="C641" s="189"/>
      <c r="E641" s="190"/>
      <c r="G641" s="70"/>
      <c r="H641" s="70"/>
      <c r="J641" s="70"/>
      <c r="L641" s="71"/>
      <c r="N641" s="65"/>
    </row>
    <row r="642" spans="1:14" ht="15" customHeight="1" x14ac:dyDescent="0.2">
      <c r="A642" s="188"/>
      <c r="C642" s="189"/>
      <c r="E642" s="190"/>
      <c r="G642" s="70"/>
      <c r="H642" s="70"/>
      <c r="J642" s="70"/>
      <c r="L642" s="71"/>
      <c r="N642" s="65"/>
    </row>
    <row r="643" spans="1:14" ht="15" customHeight="1" x14ac:dyDescent="0.2">
      <c r="A643" s="188"/>
      <c r="C643" s="189"/>
      <c r="E643" s="190"/>
      <c r="G643" s="70"/>
      <c r="H643" s="70"/>
      <c r="J643" s="70"/>
      <c r="L643" s="71"/>
      <c r="N643" s="65"/>
    </row>
    <row r="644" spans="1:14" ht="15" customHeight="1" x14ac:dyDescent="0.2">
      <c r="A644" s="188"/>
      <c r="C644" s="189"/>
      <c r="E644" s="190"/>
      <c r="G644" s="70"/>
      <c r="H644" s="70"/>
      <c r="J644" s="70"/>
      <c r="L644" s="71"/>
      <c r="N644" s="65"/>
    </row>
    <row r="645" spans="1:14" ht="15" customHeight="1" x14ac:dyDescent="0.2">
      <c r="A645" s="188"/>
      <c r="C645" s="189"/>
      <c r="E645" s="190"/>
      <c r="G645" s="70"/>
      <c r="H645" s="70"/>
      <c r="J645" s="70"/>
      <c r="L645" s="71"/>
      <c r="N645" s="65"/>
    </row>
    <row r="646" spans="1:14" ht="15" customHeight="1" x14ac:dyDescent="0.2">
      <c r="A646" s="188"/>
      <c r="C646" s="189"/>
      <c r="E646" s="190"/>
      <c r="G646" s="70"/>
      <c r="H646" s="70"/>
      <c r="J646" s="70"/>
      <c r="L646" s="71"/>
      <c r="N646" s="65"/>
    </row>
    <row r="647" spans="1:14" ht="15" customHeight="1" x14ac:dyDescent="0.2">
      <c r="A647" s="188"/>
      <c r="C647" s="189"/>
      <c r="E647" s="190"/>
      <c r="G647" s="70"/>
      <c r="H647" s="70"/>
      <c r="J647" s="70"/>
      <c r="L647" s="71"/>
      <c r="N647" s="65"/>
    </row>
    <row r="648" spans="1:14" ht="15" customHeight="1" x14ac:dyDescent="0.2">
      <c r="A648" s="188"/>
      <c r="C648" s="189"/>
      <c r="E648" s="190"/>
      <c r="G648" s="70"/>
      <c r="H648" s="70"/>
      <c r="J648" s="70"/>
      <c r="L648" s="71"/>
      <c r="N648" s="65"/>
    </row>
    <row r="649" spans="1:14" ht="15" customHeight="1" x14ac:dyDescent="0.2">
      <c r="A649" s="188"/>
      <c r="C649" s="189"/>
      <c r="E649" s="190"/>
      <c r="G649" s="70"/>
      <c r="H649" s="70"/>
      <c r="J649" s="70"/>
      <c r="L649" s="71"/>
      <c r="N649" s="65"/>
    </row>
    <row r="650" spans="1:14" ht="15" customHeight="1" x14ac:dyDescent="0.2">
      <c r="A650" s="188"/>
      <c r="C650" s="189"/>
      <c r="E650" s="190"/>
      <c r="G650" s="70"/>
      <c r="H650" s="70"/>
      <c r="J650" s="70"/>
      <c r="L650" s="71"/>
      <c r="N650" s="65"/>
    </row>
    <row r="651" spans="1:14" ht="15" customHeight="1" x14ac:dyDescent="0.2">
      <c r="A651" s="188"/>
      <c r="C651" s="189"/>
      <c r="E651" s="190"/>
      <c r="G651" s="70"/>
      <c r="H651" s="70"/>
      <c r="J651" s="70"/>
      <c r="L651" s="71"/>
      <c r="N651" s="65"/>
    </row>
    <row r="652" spans="1:14" ht="15" customHeight="1" x14ac:dyDescent="0.2">
      <c r="A652" s="188"/>
      <c r="C652" s="189"/>
      <c r="E652" s="190"/>
      <c r="G652" s="70"/>
      <c r="H652" s="70"/>
      <c r="J652" s="70"/>
      <c r="L652" s="71"/>
      <c r="N652" s="65"/>
    </row>
    <row r="653" spans="1:14" ht="15" customHeight="1" x14ac:dyDescent="0.2">
      <c r="A653" s="188"/>
      <c r="C653" s="189"/>
      <c r="E653" s="190"/>
      <c r="G653" s="70"/>
      <c r="H653" s="70"/>
      <c r="J653" s="70"/>
      <c r="L653" s="71"/>
      <c r="N653" s="65"/>
    </row>
    <row r="654" spans="1:14" ht="15" customHeight="1" x14ac:dyDescent="0.2">
      <c r="A654" s="188"/>
      <c r="C654" s="189"/>
      <c r="E654" s="190"/>
      <c r="G654" s="70"/>
      <c r="H654" s="70"/>
      <c r="J654" s="70"/>
      <c r="L654" s="71"/>
      <c r="N654" s="65"/>
    </row>
    <row r="655" spans="1:14" ht="15" customHeight="1" x14ac:dyDescent="0.2">
      <c r="A655" s="188"/>
      <c r="C655" s="189"/>
      <c r="E655" s="190"/>
      <c r="G655" s="70"/>
      <c r="H655" s="70"/>
      <c r="J655" s="70"/>
      <c r="L655" s="71"/>
      <c r="N655" s="65"/>
    </row>
    <row r="656" spans="1:14" ht="15" customHeight="1" x14ac:dyDescent="0.2">
      <c r="A656" s="188"/>
      <c r="C656" s="189"/>
      <c r="E656" s="190"/>
      <c r="G656" s="70"/>
      <c r="H656" s="70"/>
      <c r="J656" s="70"/>
      <c r="L656" s="71"/>
      <c r="N656" s="65"/>
    </row>
    <row r="657" spans="1:14" ht="15" customHeight="1" x14ac:dyDescent="0.2">
      <c r="A657" s="188"/>
      <c r="C657" s="189"/>
      <c r="E657" s="190"/>
      <c r="G657" s="70"/>
      <c r="H657" s="70"/>
      <c r="J657" s="70"/>
      <c r="L657" s="71"/>
      <c r="N657" s="65"/>
    </row>
    <row r="658" spans="1:14" ht="15" customHeight="1" x14ac:dyDescent="0.2">
      <c r="A658" s="188"/>
      <c r="C658" s="189"/>
      <c r="E658" s="190"/>
      <c r="G658" s="70"/>
      <c r="H658" s="70"/>
      <c r="J658" s="70"/>
      <c r="L658" s="71"/>
      <c r="N658" s="65"/>
    </row>
    <row r="659" spans="1:14" ht="15" customHeight="1" x14ac:dyDescent="0.2">
      <c r="A659" s="188"/>
      <c r="C659" s="189"/>
      <c r="E659" s="190"/>
      <c r="G659" s="70"/>
      <c r="H659" s="70"/>
      <c r="J659" s="70"/>
      <c r="L659" s="71"/>
      <c r="N659" s="65"/>
    </row>
    <row r="660" spans="1:14" ht="15" customHeight="1" x14ac:dyDescent="0.2">
      <c r="A660" s="188"/>
      <c r="C660" s="189"/>
      <c r="E660" s="190"/>
      <c r="G660" s="70"/>
      <c r="H660" s="70"/>
      <c r="J660" s="70"/>
      <c r="L660" s="71"/>
      <c r="N660" s="65"/>
    </row>
    <row r="661" spans="1:14" ht="15" customHeight="1" x14ac:dyDescent="0.2">
      <c r="A661" s="188"/>
      <c r="C661" s="189"/>
      <c r="E661" s="190"/>
      <c r="G661" s="70"/>
      <c r="H661" s="70"/>
      <c r="J661" s="70"/>
      <c r="L661" s="71"/>
      <c r="N661" s="65"/>
    </row>
    <row r="662" spans="1:14" ht="15" customHeight="1" x14ac:dyDescent="0.2">
      <c r="A662" s="188"/>
      <c r="C662" s="189"/>
      <c r="E662" s="190"/>
      <c r="G662" s="70"/>
      <c r="H662" s="70"/>
      <c r="J662" s="70"/>
      <c r="L662" s="71"/>
      <c r="N662" s="65"/>
    </row>
    <row r="663" spans="1:14" ht="15" customHeight="1" x14ac:dyDescent="0.2">
      <c r="A663" s="188"/>
      <c r="C663" s="189"/>
      <c r="E663" s="190"/>
      <c r="G663" s="70"/>
      <c r="H663" s="70"/>
      <c r="J663" s="70"/>
      <c r="L663" s="71"/>
      <c r="N663" s="65"/>
    </row>
    <row r="664" spans="1:14" ht="15" customHeight="1" x14ac:dyDescent="0.2">
      <c r="A664" s="188"/>
      <c r="C664" s="189"/>
      <c r="E664" s="190"/>
      <c r="G664" s="70"/>
      <c r="H664" s="70"/>
      <c r="J664" s="70"/>
      <c r="L664" s="71"/>
      <c r="N664" s="65"/>
    </row>
    <row r="665" spans="1:14" ht="15" customHeight="1" x14ac:dyDescent="0.2">
      <c r="A665" s="188"/>
      <c r="C665" s="189"/>
      <c r="E665" s="190"/>
      <c r="G665" s="70"/>
      <c r="H665" s="70"/>
      <c r="J665" s="70"/>
      <c r="L665" s="71"/>
      <c r="N665" s="65"/>
    </row>
    <row r="666" spans="1:14" ht="15" customHeight="1" x14ac:dyDescent="0.2">
      <c r="A666" s="188"/>
      <c r="C666" s="189"/>
      <c r="E666" s="190"/>
      <c r="G666" s="70"/>
      <c r="H666" s="70"/>
      <c r="J666" s="70"/>
      <c r="L666" s="71"/>
      <c r="N666" s="65"/>
    </row>
    <row r="667" spans="1:14" ht="15" customHeight="1" x14ac:dyDescent="0.2">
      <c r="A667" s="188"/>
      <c r="C667" s="189"/>
      <c r="E667" s="190"/>
      <c r="G667" s="70"/>
      <c r="H667" s="70"/>
      <c r="J667" s="70"/>
      <c r="L667" s="71"/>
      <c r="N667" s="65"/>
    </row>
    <row r="668" spans="1:14" ht="15" customHeight="1" x14ac:dyDescent="0.2">
      <c r="A668" s="188"/>
      <c r="C668" s="189"/>
      <c r="E668" s="190"/>
      <c r="G668" s="70"/>
      <c r="H668" s="70"/>
      <c r="J668" s="70"/>
      <c r="L668" s="71"/>
      <c r="N668" s="65"/>
    </row>
    <row r="669" spans="1:14" ht="15" customHeight="1" x14ac:dyDescent="0.2">
      <c r="A669" s="188"/>
      <c r="C669" s="189"/>
      <c r="E669" s="190"/>
      <c r="G669" s="70"/>
      <c r="H669" s="70"/>
      <c r="J669" s="70"/>
      <c r="L669" s="71"/>
      <c r="N669" s="65"/>
    </row>
    <row r="670" spans="1:14" ht="15" customHeight="1" x14ac:dyDescent="0.2">
      <c r="A670" s="188"/>
      <c r="C670" s="189"/>
      <c r="E670" s="190"/>
      <c r="G670" s="70"/>
      <c r="H670" s="70"/>
      <c r="J670" s="70"/>
      <c r="L670" s="71"/>
      <c r="N670" s="65"/>
    </row>
    <row r="671" spans="1:14" ht="15" customHeight="1" x14ac:dyDescent="0.2">
      <c r="A671" s="188"/>
      <c r="C671" s="189"/>
      <c r="E671" s="190"/>
      <c r="G671" s="70"/>
      <c r="H671" s="70"/>
      <c r="J671" s="70"/>
      <c r="L671" s="71"/>
      <c r="N671" s="65"/>
    </row>
    <row r="672" spans="1:14" ht="15" customHeight="1" x14ac:dyDescent="0.2">
      <c r="A672" s="188"/>
      <c r="C672" s="189"/>
      <c r="E672" s="190"/>
      <c r="G672" s="70"/>
      <c r="H672" s="70"/>
      <c r="J672" s="70"/>
      <c r="L672" s="71"/>
      <c r="N672" s="65"/>
    </row>
    <row r="673" spans="1:14" ht="15" customHeight="1" x14ac:dyDescent="0.2">
      <c r="A673" s="188"/>
      <c r="C673" s="189"/>
      <c r="E673" s="190"/>
      <c r="G673" s="70"/>
      <c r="H673" s="70"/>
      <c r="J673" s="70"/>
      <c r="L673" s="71"/>
      <c r="N673" s="65"/>
    </row>
    <row r="674" spans="1:14" ht="15" customHeight="1" x14ac:dyDescent="0.2">
      <c r="A674" s="188"/>
      <c r="C674" s="189"/>
      <c r="E674" s="190"/>
      <c r="G674" s="70"/>
      <c r="H674" s="70"/>
      <c r="J674" s="70"/>
      <c r="L674" s="71"/>
      <c r="N674" s="65"/>
    </row>
    <row r="675" spans="1:14" ht="15" customHeight="1" x14ac:dyDescent="0.2">
      <c r="A675" s="188"/>
      <c r="C675" s="189"/>
      <c r="E675" s="190"/>
      <c r="G675" s="70"/>
      <c r="H675" s="70"/>
      <c r="J675" s="70"/>
      <c r="L675" s="71"/>
      <c r="N675" s="65"/>
    </row>
    <row r="676" spans="1:14" ht="15" customHeight="1" x14ac:dyDescent="0.2">
      <c r="A676" s="188"/>
      <c r="C676" s="189"/>
      <c r="E676" s="190"/>
      <c r="G676" s="70"/>
      <c r="H676" s="70"/>
      <c r="J676" s="70"/>
      <c r="L676" s="71"/>
      <c r="N676" s="65"/>
    </row>
    <row r="677" spans="1:14" ht="15" customHeight="1" x14ac:dyDescent="0.2">
      <c r="A677" s="188"/>
      <c r="C677" s="189"/>
      <c r="E677" s="190"/>
      <c r="G677" s="70"/>
      <c r="H677" s="70"/>
      <c r="J677" s="70"/>
      <c r="L677" s="71"/>
      <c r="N677" s="65"/>
    </row>
    <row r="678" spans="1:14" ht="15" customHeight="1" x14ac:dyDescent="0.2">
      <c r="A678" s="188"/>
      <c r="C678" s="189"/>
      <c r="E678" s="190"/>
      <c r="G678" s="70"/>
      <c r="H678" s="70"/>
      <c r="J678" s="70"/>
      <c r="L678" s="71"/>
      <c r="N678" s="65"/>
    </row>
    <row r="679" spans="1:14" ht="15" customHeight="1" x14ac:dyDescent="0.2">
      <c r="A679" s="188"/>
      <c r="C679" s="189"/>
      <c r="E679" s="190"/>
      <c r="G679" s="70"/>
      <c r="H679" s="70"/>
      <c r="J679" s="70"/>
      <c r="L679" s="71"/>
      <c r="N679" s="65"/>
    </row>
    <row r="680" spans="1:14" ht="15" customHeight="1" x14ac:dyDescent="0.2">
      <c r="A680" s="188"/>
      <c r="C680" s="189"/>
      <c r="E680" s="190"/>
      <c r="G680" s="70"/>
      <c r="H680" s="70"/>
      <c r="J680" s="70"/>
      <c r="L680" s="71"/>
      <c r="N680" s="65"/>
    </row>
    <row r="681" spans="1:14" ht="15" customHeight="1" x14ac:dyDescent="0.2">
      <c r="A681" s="188"/>
      <c r="C681" s="189"/>
      <c r="E681" s="190"/>
      <c r="G681" s="70"/>
      <c r="H681" s="70"/>
      <c r="J681" s="70"/>
      <c r="L681" s="71"/>
      <c r="N681" s="65"/>
    </row>
    <row r="682" spans="1:14" ht="15" customHeight="1" x14ac:dyDescent="0.2">
      <c r="A682" s="188"/>
      <c r="C682" s="189"/>
      <c r="E682" s="190"/>
      <c r="G682" s="70"/>
      <c r="H682" s="70"/>
      <c r="J682" s="70"/>
      <c r="L682" s="71"/>
      <c r="N682" s="65"/>
    </row>
    <row r="683" spans="1:14" ht="15" customHeight="1" x14ac:dyDescent="0.2">
      <c r="A683" s="188"/>
      <c r="C683" s="189"/>
      <c r="E683" s="190"/>
      <c r="G683" s="70"/>
      <c r="H683" s="70"/>
      <c r="J683" s="70"/>
      <c r="L683" s="71"/>
      <c r="N683" s="65"/>
    </row>
    <row r="684" spans="1:14" ht="15" customHeight="1" x14ac:dyDescent="0.2">
      <c r="A684" s="188"/>
      <c r="C684" s="189"/>
      <c r="E684" s="190"/>
      <c r="G684" s="70"/>
      <c r="H684" s="70"/>
      <c r="J684" s="70"/>
      <c r="L684" s="71"/>
      <c r="N684" s="65"/>
    </row>
    <row r="685" spans="1:14" ht="15" customHeight="1" x14ac:dyDescent="0.2">
      <c r="A685" s="188"/>
      <c r="C685" s="189"/>
      <c r="E685" s="190"/>
      <c r="G685" s="70"/>
      <c r="H685" s="70"/>
      <c r="J685" s="70"/>
      <c r="L685" s="71"/>
      <c r="N685" s="65"/>
    </row>
    <row r="686" spans="1:14" ht="15" customHeight="1" x14ac:dyDescent="0.2">
      <c r="A686" s="188"/>
      <c r="C686" s="189"/>
      <c r="E686" s="190"/>
      <c r="G686" s="70"/>
      <c r="H686" s="70"/>
      <c r="J686" s="70"/>
      <c r="L686" s="71"/>
      <c r="N686" s="65"/>
    </row>
    <row r="687" spans="1:14" ht="15" customHeight="1" x14ac:dyDescent="0.2">
      <c r="A687" s="188"/>
      <c r="C687" s="189"/>
      <c r="E687" s="190"/>
      <c r="G687" s="70"/>
      <c r="H687" s="70"/>
      <c r="J687" s="70"/>
      <c r="L687" s="71"/>
      <c r="N687" s="65"/>
    </row>
    <row r="688" spans="1:14" ht="15" customHeight="1" x14ac:dyDescent="0.2">
      <c r="A688" s="188"/>
      <c r="C688" s="189"/>
      <c r="E688" s="190"/>
      <c r="G688" s="70"/>
      <c r="H688" s="70"/>
      <c r="J688" s="70"/>
      <c r="L688" s="71"/>
      <c r="N688" s="65"/>
    </row>
    <row r="689" spans="1:14" ht="15" customHeight="1" x14ac:dyDescent="0.2">
      <c r="A689" s="188"/>
      <c r="C689" s="189"/>
      <c r="E689" s="190"/>
      <c r="G689" s="70"/>
      <c r="H689" s="70"/>
      <c r="J689" s="70"/>
      <c r="L689" s="71"/>
      <c r="N689" s="65"/>
    </row>
    <row r="690" spans="1:14" ht="15" customHeight="1" x14ac:dyDescent="0.2">
      <c r="A690" s="188"/>
      <c r="C690" s="189"/>
      <c r="E690" s="190"/>
      <c r="G690" s="70"/>
      <c r="H690" s="70"/>
      <c r="J690" s="70"/>
      <c r="L690" s="71"/>
      <c r="N690" s="65"/>
    </row>
    <row r="691" spans="1:14" ht="15" customHeight="1" x14ac:dyDescent="0.2">
      <c r="A691" s="188"/>
      <c r="C691" s="189"/>
      <c r="E691" s="190"/>
      <c r="G691" s="70"/>
      <c r="H691" s="70"/>
      <c r="J691" s="70"/>
      <c r="L691" s="71"/>
      <c r="N691" s="65"/>
    </row>
    <row r="692" spans="1:14" ht="15" customHeight="1" x14ac:dyDescent="0.2">
      <c r="A692" s="188"/>
      <c r="C692" s="189"/>
      <c r="E692" s="190"/>
      <c r="G692" s="70"/>
      <c r="H692" s="70"/>
      <c r="J692" s="70"/>
      <c r="L692" s="71"/>
      <c r="N692" s="65"/>
    </row>
    <row r="693" spans="1:14" ht="15" customHeight="1" x14ac:dyDescent="0.2">
      <c r="A693" s="188"/>
      <c r="C693" s="189"/>
      <c r="E693" s="190"/>
      <c r="G693" s="70"/>
      <c r="H693" s="70"/>
      <c r="J693" s="70"/>
      <c r="L693" s="71"/>
      <c r="N693" s="65"/>
    </row>
    <row r="694" spans="1:14" ht="15" customHeight="1" x14ac:dyDescent="0.2">
      <c r="A694" s="188"/>
      <c r="C694" s="189"/>
      <c r="E694" s="190"/>
      <c r="G694" s="70"/>
      <c r="H694" s="70"/>
      <c r="J694" s="70"/>
      <c r="L694" s="71"/>
      <c r="N694" s="65"/>
    </row>
    <row r="695" spans="1:14" ht="15" customHeight="1" x14ac:dyDescent="0.2">
      <c r="A695" s="188"/>
      <c r="C695" s="189"/>
      <c r="E695" s="190"/>
      <c r="G695" s="70"/>
      <c r="H695" s="70"/>
      <c r="J695" s="70"/>
      <c r="L695" s="71"/>
      <c r="N695" s="65"/>
    </row>
    <row r="696" spans="1:14" ht="15" customHeight="1" x14ac:dyDescent="0.2">
      <c r="A696" s="188"/>
      <c r="C696" s="189"/>
      <c r="E696" s="190"/>
      <c r="G696" s="70"/>
      <c r="H696" s="70"/>
      <c r="J696" s="70"/>
      <c r="L696" s="71"/>
      <c r="N696" s="65"/>
    </row>
    <row r="697" spans="1:14" ht="15" customHeight="1" x14ac:dyDescent="0.2">
      <c r="A697" s="188"/>
      <c r="C697" s="189"/>
      <c r="E697" s="190"/>
      <c r="G697" s="70"/>
      <c r="H697" s="70"/>
      <c r="J697" s="70"/>
      <c r="L697" s="71"/>
      <c r="N697" s="65"/>
    </row>
    <row r="698" spans="1:14" ht="15" customHeight="1" x14ac:dyDescent="0.2">
      <c r="A698" s="188"/>
      <c r="C698" s="189"/>
      <c r="E698" s="190"/>
      <c r="G698" s="70"/>
      <c r="H698" s="70"/>
      <c r="J698" s="70"/>
      <c r="L698" s="71"/>
      <c r="N698" s="65"/>
    </row>
    <row r="699" spans="1:14" ht="15" customHeight="1" x14ac:dyDescent="0.2">
      <c r="A699" s="188"/>
      <c r="C699" s="189"/>
      <c r="E699" s="190"/>
      <c r="G699" s="70"/>
      <c r="H699" s="70"/>
      <c r="J699" s="70"/>
      <c r="L699" s="71"/>
      <c r="N699" s="65"/>
    </row>
    <row r="700" spans="1:14" ht="15" customHeight="1" x14ac:dyDescent="0.2">
      <c r="A700" s="188"/>
      <c r="C700" s="189"/>
      <c r="E700" s="190"/>
      <c r="G700" s="70"/>
      <c r="H700" s="70"/>
      <c r="J700" s="70"/>
      <c r="L700" s="71"/>
      <c r="N700" s="65"/>
    </row>
    <row r="701" spans="1:14" ht="15" customHeight="1" x14ac:dyDescent="0.2">
      <c r="A701" s="188"/>
      <c r="C701" s="189"/>
      <c r="E701" s="190"/>
      <c r="G701" s="70"/>
      <c r="H701" s="70"/>
      <c r="J701" s="70"/>
      <c r="L701" s="71"/>
      <c r="N701" s="65"/>
    </row>
    <row r="702" spans="1:14" ht="15" customHeight="1" x14ac:dyDescent="0.2">
      <c r="A702" s="188"/>
      <c r="C702" s="189"/>
      <c r="E702" s="190"/>
      <c r="G702" s="70"/>
      <c r="H702" s="70"/>
      <c r="J702" s="70"/>
      <c r="L702" s="71"/>
      <c r="N702" s="65"/>
    </row>
    <row r="703" spans="1:14" ht="15" customHeight="1" x14ac:dyDescent="0.2">
      <c r="A703" s="188"/>
      <c r="C703" s="189"/>
      <c r="E703" s="190"/>
      <c r="G703" s="70"/>
      <c r="H703" s="70"/>
      <c r="J703" s="70"/>
      <c r="L703" s="71"/>
      <c r="N703" s="65"/>
    </row>
    <row r="704" spans="1:14" ht="15" customHeight="1" x14ac:dyDescent="0.2">
      <c r="A704" s="188"/>
      <c r="C704" s="189"/>
      <c r="E704" s="190"/>
      <c r="G704" s="70"/>
      <c r="H704" s="70"/>
      <c r="J704" s="70"/>
      <c r="L704" s="71"/>
      <c r="N704" s="65"/>
    </row>
    <row r="705" spans="1:14" ht="15" customHeight="1" x14ac:dyDescent="0.2">
      <c r="A705" s="188"/>
      <c r="C705" s="189"/>
      <c r="E705" s="190"/>
      <c r="G705" s="70"/>
      <c r="H705" s="70"/>
      <c r="J705" s="70"/>
      <c r="L705" s="71"/>
      <c r="N705" s="65"/>
    </row>
    <row r="706" spans="1:14" ht="15" customHeight="1" x14ac:dyDescent="0.2">
      <c r="A706" s="188"/>
      <c r="C706" s="189"/>
      <c r="E706" s="190"/>
      <c r="G706" s="70"/>
      <c r="H706" s="70"/>
      <c r="J706" s="70"/>
      <c r="L706" s="71"/>
      <c r="N706" s="65"/>
    </row>
    <row r="707" spans="1:14" ht="15" customHeight="1" x14ac:dyDescent="0.2">
      <c r="A707" s="188"/>
      <c r="C707" s="189"/>
      <c r="E707" s="190"/>
      <c r="G707" s="70"/>
      <c r="H707" s="70"/>
      <c r="J707" s="70"/>
      <c r="L707" s="71"/>
      <c r="N707" s="65"/>
    </row>
    <row r="708" spans="1:14" ht="15" customHeight="1" x14ac:dyDescent="0.2">
      <c r="A708" s="188"/>
      <c r="C708" s="189"/>
      <c r="E708" s="190"/>
      <c r="G708" s="70"/>
      <c r="H708" s="70"/>
      <c r="J708" s="70"/>
      <c r="L708" s="71"/>
      <c r="N708" s="65"/>
    </row>
    <row r="709" spans="1:14" ht="15" customHeight="1" x14ac:dyDescent="0.2">
      <c r="A709" s="188"/>
      <c r="C709" s="189"/>
      <c r="E709" s="190"/>
      <c r="G709" s="70"/>
      <c r="H709" s="70"/>
      <c r="J709" s="70"/>
      <c r="L709" s="71"/>
      <c r="N709" s="65"/>
    </row>
    <row r="710" spans="1:14" ht="15" customHeight="1" x14ac:dyDescent="0.2">
      <c r="A710" s="188"/>
      <c r="C710" s="189"/>
      <c r="E710" s="190"/>
      <c r="G710" s="70"/>
      <c r="H710" s="70"/>
      <c r="J710" s="70"/>
      <c r="L710" s="71"/>
      <c r="N710" s="65"/>
    </row>
    <row r="711" spans="1:14" ht="15" customHeight="1" x14ac:dyDescent="0.2">
      <c r="A711" s="188"/>
      <c r="C711" s="189"/>
      <c r="E711" s="190"/>
      <c r="G711" s="70"/>
      <c r="H711" s="70"/>
      <c r="J711" s="70"/>
      <c r="L711" s="71"/>
      <c r="N711" s="65"/>
    </row>
    <row r="712" spans="1:14" ht="15" customHeight="1" x14ac:dyDescent="0.2">
      <c r="A712" s="188"/>
      <c r="C712" s="189"/>
      <c r="E712" s="190"/>
      <c r="G712" s="70"/>
      <c r="H712" s="70"/>
      <c r="J712" s="70"/>
      <c r="L712" s="71"/>
      <c r="N712" s="65"/>
    </row>
    <row r="713" spans="1:14" ht="15" customHeight="1" x14ac:dyDescent="0.2">
      <c r="A713" s="188"/>
      <c r="C713" s="189"/>
      <c r="E713" s="190"/>
      <c r="G713" s="70"/>
      <c r="H713" s="70"/>
      <c r="J713" s="70"/>
      <c r="L713" s="71"/>
      <c r="N713" s="65"/>
    </row>
    <row r="714" spans="1:14" ht="15" customHeight="1" x14ac:dyDescent="0.2">
      <c r="A714" s="188"/>
      <c r="C714" s="189"/>
      <c r="E714" s="190"/>
      <c r="G714" s="70"/>
      <c r="H714" s="70"/>
      <c r="J714" s="70"/>
      <c r="L714" s="71"/>
      <c r="N714" s="65"/>
    </row>
    <row r="715" spans="1:14" ht="15" customHeight="1" x14ac:dyDescent="0.2">
      <c r="A715" s="188"/>
      <c r="C715" s="189"/>
      <c r="E715" s="190"/>
      <c r="G715" s="70"/>
      <c r="H715" s="70"/>
      <c r="J715" s="70"/>
      <c r="L715" s="71"/>
      <c r="N715" s="65"/>
    </row>
    <row r="716" spans="1:14" ht="15" customHeight="1" x14ac:dyDescent="0.2">
      <c r="A716" s="188"/>
      <c r="C716" s="189"/>
      <c r="E716" s="190"/>
      <c r="G716" s="70"/>
      <c r="H716" s="70"/>
      <c r="J716" s="70"/>
      <c r="L716" s="71"/>
      <c r="N716" s="65"/>
    </row>
    <row r="717" spans="1:14" ht="15" customHeight="1" x14ac:dyDescent="0.2">
      <c r="A717" s="188"/>
      <c r="C717" s="189"/>
      <c r="E717" s="190"/>
      <c r="G717" s="70"/>
      <c r="H717" s="70"/>
      <c r="J717" s="70"/>
      <c r="L717" s="71"/>
      <c r="N717" s="65"/>
    </row>
    <row r="718" spans="1:14" ht="15" customHeight="1" x14ac:dyDescent="0.2">
      <c r="A718" s="188"/>
      <c r="C718" s="189"/>
      <c r="E718" s="190"/>
      <c r="G718" s="70"/>
      <c r="H718" s="70"/>
      <c r="J718" s="70"/>
      <c r="L718" s="71"/>
      <c r="N718" s="65"/>
    </row>
    <row r="719" spans="1:14" ht="15" customHeight="1" x14ac:dyDescent="0.2">
      <c r="A719" s="188"/>
      <c r="C719" s="189"/>
      <c r="E719" s="190"/>
      <c r="G719" s="70"/>
      <c r="H719" s="70"/>
      <c r="J719" s="70"/>
      <c r="L719" s="71"/>
      <c r="N719" s="65"/>
    </row>
    <row r="720" spans="1:14" ht="15" customHeight="1" x14ac:dyDescent="0.2">
      <c r="A720" s="188"/>
      <c r="C720" s="189"/>
      <c r="E720" s="190"/>
      <c r="G720" s="70"/>
      <c r="H720" s="70"/>
      <c r="J720" s="70"/>
      <c r="L720" s="71"/>
      <c r="N720" s="65"/>
    </row>
    <row r="721" spans="1:14" ht="15" customHeight="1" x14ac:dyDescent="0.2">
      <c r="A721" s="188"/>
      <c r="C721" s="189"/>
      <c r="E721" s="190"/>
      <c r="G721" s="70"/>
      <c r="H721" s="70"/>
      <c r="J721" s="70"/>
      <c r="L721" s="71"/>
      <c r="N721" s="65"/>
    </row>
    <row r="722" spans="1:14" ht="15" customHeight="1" x14ac:dyDescent="0.2">
      <c r="A722" s="188"/>
      <c r="C722" s="189"/>
      <c r="E722" s="190"/>
      <c r="G722" s="70"/>
      <c r="H722" s="70"/>
      <c r="J722" s="70"/>
      <c r="L722" s="71"/>
      <c r="N722" s="65"/>
    </row>
    <row r="723" spans="1:14" ht="15" customHeight="1" x14ac:dyDescent="0.2">
      <c r="A723" s="188"/>
      <c r="C723" s="189"/>
      <c r="E723" s="190"/>
      <c r="G723" s="70"/>
      <c r="H723" s="70"/>
      <c r="J723" s="70"/>
      <c r="L723" s="71"/>
      <c r="N723" s="65"/>
    </row>
    <row r="724" spans="1:14" ht="15" customHeight="1" x14ac:dyDescent="0.2">
      <c r="A724" s="188"/>
      <c r="C724" s="189"/>
      <c r="E724" s="190"/>
      <c r="G724" s="70"/>
      <c r="H724" s="70"/>
      <c r="J724" s="70"/>
      <c r="L724" s="71"/>
      <c r="N724" s="65"/>
    </row>
    <row r="725" spans="1:14" ht="15" customHeight="1" x14ac:dyDescent="0.2">
      <c r="A725" s="188"/>
      <c r="C725" s="189"/>
      <c r="E725" s="190"/>
      <c r="G725" s="70"/>
      <c r="H725" s="70"/>
      <c r="J725" s="70"/>
      <c r="L725" s="71"/>
      <c r="N725" s="65"/>
    </row>
    <row r="726" spans="1:14" ht="15" customHeight="1" x14ac:dyDescent="0.2">
      <c r="A726" s="188"/>
      <c r="C726" s="189"/>
      <c r="E726" s="190"/>
      <c r="G726" s="70"/>
      <c r="H726" s="70"/>
      <c r="J726" s="70"/>
      <c r="L726" s="71"/>
      <c r="N726" s="65"/>
    </row>
    <row r="727" spans="1:14" ht="15" customHeight="1" x14ac:dyDescent="0.2">
      <c r="A727" s="188"/>
      <c r="C727" s="189"/>
      <c r="E727" s="190"/>
      <c r="G727" s="70"/>
      <c r="H727" s="70"/>
      <c r="J727" s="70"/>
      <c r="L727" s="71"/>
      <c r="N727" s="65"/>
    </row>
    <row r="728" spans="1:14" ht="15" customHeight="1" x14ac:dyDescent="0.2">
      <c r="A728" s="188"/>
      <c r="C728" s="189"/>
      <c r="E728" s="190"/>
      <c r="G728" s="70"/>
      <c r="H728" s="70"/>
      <c r="J728" s="70"/>
      <c r="L728" s="71"/>
      <c r="N728" s="65"/>
    </row>
    <row r="729" spans="1:14" ht="15" customHeight="1" x14ac:dyDescent="0.2">
      <c r="A729" s="188"/>
      <c r="C729" s="189"/>
      <c r="E729" s="190"/>
      <c r="G729" s="70"/>
      <c r="H729" s="70"/>
      <c r="J729" s="70"/>
      <c r="L729" s="71"/>
      <c r="N729" s="65"/>
    </row>
    <row r="730" spans="1:14" ht="15" customHeight="1" x14ac:dyDescent="0.2">
      <c r="A730" s="188"/>
      <c r="C730" s="189"/>
      <c r="E730" s="190"/>
      <c r="G730" s="70"/>
      <c r="H730" s="70"/>
      <c r="J730" s="70"/>
      <c r="L730" s="71"/>
      <c r="N730" s="65"/>
    </row>
    <row r="731" spans="1:14" ht="15" customHeight="1" x14ac:dyDescent="0.2">
      <c r="A731" s="188"/>
      <c r="C731" s="189"/>
      <c r="E731" s="190"/>
      <c r="G731" s="70"/>
      <c r="H731" s="70"/>
      <c r="J731" s="70"/>
      <c r="L731" s="71"/>
      <c r="N731" s="65"/>
    </row>
    <row r="732" spans="1:14" ht="15" customHeight="1" x14ac:dyDescent="0.2">
      <c r="A732" s="188"/>
      <c r="C732" s="189"/>
      <c r="E732" s="190"/>
      <c r="G732" s="70"/>
      <c r="H732" s="70"/>
      <c r="J732" s="70"/>
      <c r="L732" s="71"/>
      <c r="N732" s="65"/>
    </row>
    <row r="733" spans="1:14" ht="15" customHeight="1" x14ac:dyDescent="0.2">
      <c r="A733" s="188"/>
      <c r="C733" s="189"/>
      <c r="E733" s="190"/>
      <c r="G733" s="70"/>
      <c r="H733" s="70"/>
      <c r="J733" s="70"/>
      <c r="L733" s="71"/>
      <c r="N733" s="65"/>
    </row>
    <row r="734" spans="1:14" ht="15" customHeight="1" x14ac:dyDescent="0.2">
      <c r="A734" s="188"/>
      <c r="C734" s="189"/>
      <c r="E734" s="190"/>
      <c r="G734" s="70"/>
      <c r="H734" s="70"/>
      <c r="J734" s="70"/>
      <c r="L734" s="71"/>
      <c r="N734" s="65"/>
    </row>
    <row r="735" spans="1:14" ht="15" customHeight="1" x14ac:dyDescent="0.2">
      <c r="A735" s="188"/>
      <c r="C735" s="189"/>
      <c r="E735" s="190"/>
      <c r="G735" s="70"/>
      <c r="H735" s="70"/>
      <c r="J735" s="70"/>
      <c r="L735" s="71"/>
      <c r="N735" s="65"/>
    </row>
    <row r="736" spans="1:14" ht="15" customHeight="1" x14ac:dyDescent="0.2">
      <c r="A736" s="188"/>
      <c r="C736" s="189"/>
      <c r="E736" s="190"/>
      <c r="G736" s="70"/>
      <c r="H736" s="70"/>
      <c r="J736" s="70"/>
      <c r="L736" s="71"/>
      <c r="N736" s="65"/>
    </row>
    <row r="737" spans="1:14" ht="15" customHeight="1" x14ac:dyDescent="0.2">
      <c r="A737" s="188"/>
      <c r="C737" s="189"/>
      <c r="E737" s="190"/>
      <c r="G737" s="70"/>
      <c r="H737" s="70"/>
      <c r="J737" s="70"/>
      <c r="L737" s="71"/>
      <c r="N737" s="65"/>
    </row>
    <row r="738" spans="1:14" ht="15" customHeight="1" x14ac:dyDescent="0.2">
      <c r="A738" s="188"/>
      <c r="C738" s="189"/>
      <c r="E738" s="190"/>
      <c r="G738" s="70"/>
      <c r="H738" s="70"/>
      <c r="J738" s="70"/>
      <c r="L738" s="71"/>
      <c r="N738" s="65"/>
    </row>
    <row r="739" spans="1:14" ht="15" customHeight="1" x14ac:dyDescent="0.2">
      <c r="A739" s="188"/>
      <c r="C739" s="189"/>
      <c r="E739" s="190"/>
      <c r="G739" s="70"/>
      <c r="H739" s="70"/>
      <c r="J739" s="70"/>
      <c r="L739" s="71"/>
      <c r="N739" s="65"/>
    </row>
    <row r="740" spans="1:14" ht="15" customHeight="1" x14ac:dyDescent="0.2">
      <c r="A740" s="188"/>
      <c r="C740" s="189"/>
      <c r="E740" s="190"/>
      <c r="G740" s="70"/>
      <c r="H740" s="70"/>
      <c r="J740" s="70"/>
      <c r="L740" s="71"/>
      <c r="N740" s="65"/>
    </row>
    <row r="741" spans="1:14" ht="15" customHeight="1" x14ac:dyDescent="0.2">
      <c r="A741" s="188"/>
      <c r="C741" s="189"/>
      <c r="E741" s="190"/>
      <c r="G741" s="70"/>
      <c r="H741" s="70"/>
      <c r="J741" s="70"/>
      <c r="L741" s="71"/>
      <c r="N741" s="65"/>
    </row>
    <row r="742" spans="1:14" ht="15" customHeight="1" x14ac:dyDescent="0.2">
      <c r="A742" s="188"/>
      <c r="C742" s="189"/>
      <c r="E742" s="190"/>
      <c r="G742" s="70"/>
      <c r="H742" s="70"/>
      <c r="J742" s="70"/>
      <c r="L742" s="71"/>
      <c r="N742" s="65"/>
    </row>
    <row r="743" spans="1:14" ht="15" customHeight="1" x14ac:dyDescent="0.2">
      <c r="A743" s="188"/>
      <c r="C743" s="189"/>
      <c r="E743" s="190"/>
      <c r="G743" s="70"/>
      <c r="H743" s="70"/>
      <c r="J743" s="70"/>
      <c r="L743" s="71"/>
      <c r="N743" s="65"/>
    </row>
    <row r="744" spans="1:14" ht="15" customHeight="1" x14ac:dyDescent="0.2">
      <c r="A744" s="188"/>
      <c r="C744" s="189"/>
      <c r="E744" s="190"/>
      <c r="G744" s="70"/>
      <c r="H744" s="70"/>
      <c r="J744" s="70"/>
      <c r="L744" s="71"/>
      <c r="N744" s="65"/>
    </row>
    <row r="745" spans="1:14" ht="15" customHeight="1" x14ac:dyDescent="0.2">
      <c r="A745" s="188"/>
      <c r="C745" s="189"/>
      <c r="E745" s="190"/>
      <c r="G745" s="70"/>
      <c r="H745" s="70"/>
      <c r="J745" s="70"/>
      <c r="L745" s="71"/>
      <c r="N745" s="65"/>
    </row>
    <row r="746" spans="1:14" ht="15" customHeight="1" x14ac:dyDescent="0.2">
      <c r="A746" s="188"/>
      <c r="C746" s="189"/>
      <c r="E746" s="190"/>
      <c r="G746" s="70"/>
      <c r="H746" s="70"/>
      <c r="J746" s="70"/>
      <c r="L746" s="71"/>
      <c r="N746" s="65"/>
    </row>
    <row r="747" spans="1:14" ht="15" customHeight="1" x14ac:dyDescent="0.2">
      <c r="A747" s="188"/>
      <c r="C747" s="189"/>
      <c r="E747" s="190"/>
      <c r="G747" s="70"/>
      <c r="H747" s="70"/>
      <c r="J747" s="70"/>
      <c r="L747" s="71"/>
      <c r="N747" s="65"/>
    </row>
    <row r="748" spans="1:14" ht="15" customHeight="1" x14ac:dyDescent="0.2">
      <c r="A748" s="188"/>
      <c r="C748" s="189"/>
      <c r="E748" s="190"/>
      <c r="G748" s="70"/>
      <c r="H748" s="70"/>
      <c r="J748" s="70"/>
      <c r="L748" s="71"/>
      <c r="N748" s="65"/>
    </row>
    <row r="749" spans="1:14" ht="15" customHeight="1" x14ac:dyDescent="0.2">
      <c r="A749" s="188"/>
      <c r="C749" s="189"/>
      <c r="E749" s="190"/>
      <c r="G749" s="70"/>
      <c r="H749" s="70"/>
      <c r="J749" s="70"/>
      <c r="L749" s="71"/>
      <c r="N749" s="65"/>
    </row>
    <row r="750" spans="1:14" ht="15" customHeight="1" x14ac:dyDescent="0.2">
      <c r="A750" s="188"/>
      <c r="C750" s="189"/>
      <c r="E750" s="190"/>
      <c r="G750" s="70"/>
      <c r="H750" s="70"/>
      <c r="J750" s="70"/>
      <c r="L750" s="71"/>
      <c r="N750" s="65"/>
    </row>
    <row r="751" spans="1:14" ht="15" customHeight="1" x14ac:dyDescent="0.2">
      <c r="A751" s="188"/>
      <c r="C751" s="189"/>
      <c r="E751" s="190"/>
      <c r="G751" s="70"/>
      <c r="H751" s="70"/>
      <c r="J751" s="70"/>
      <c r="L751" s="71"/>
      <c r="N751" s="65"/>
    </row>
    <row r="752" spans="1:14" ht="15" customHeight="1" x14ac:dyDescent="0.2">
      <c r="A752" s="188"/>
      <c r="C752" s="189"/>
      <c r="E752" s="190"/>
      <c r="G752" s="70"/>
      <c r="H752" s="70"/>
      <c r="J752" s="70"/>
      <c r="L752" s="71"/>
      <c r="N752" s="65"/>
    </row>
    <row r="753" spans="1:14" ht="15" customHeight="1" x14ac:dyDescent="0.2">
      <c r="A753" s="188"/>
      <c r="C753" s="189"/>
      <c r="E753" s="190"/>
      <c r="G753" s="70"/>
      <c r="H753" s="70"/>
      <c r="J753" s="70"/>
      <c r="L753" s="71"/>
      <c r="N753" s="65"/>
    </row>
    <row r="754" spans="1:14" ht="15" customHeight="1" x14ac:dyDescent="0.2">
      <c r="A754" s="188"/>
      <c r="C754" s="189"/>
      <c r="E754" s="190"/>
      <c r="G754" s="70"/>
      <c r="H754" s="70"/>
      <c r="J754" s="70"/>
      <c r="L754" s="71"/>
      <c r="N754" s="65"/>
    </row>
    <row r="755" spans="1:14" ht="15" customHeight="1" x14ac:dyDescent="0.2">
      <c r="A755" s="188"/>
      <c r="C755" s="189"/>
      <c r="E755" s="190"/>
      <c r="G755" s="70"/>
      <c r="H755" s="70"/>
      <c r="J755" s="70"/>
      <c r="L755" s="71"/>
      <c r="N755" s="65"/>
    </row>
    <row r="756" spans="1:14" ht="15" customHeight="1" x14ac:dyDescent="0.2">
      <c r="A756" s="188"/>
      <c r="C756" s="189"/>
      <c r="E756" s="190"/>
      <c r="G756" s="70"/>
      <c r="H756" s="70"/>
      <c r="J756" s="70"/>
      <c r="L756" s="71"/>
      <c r="N756" s="65"/>
    </row>
    <row r="757" spans="1:14" ht="15" customHeight="1" x14ac:dyDescent="0.2">
      <c r="A757" s="188"/>
      <c r="C757" s="189"/>
      <c r="E757" s="190"/>
      <c r="G757" s="70"/>
      <c r="H757" s="70"/>
      <c r="J757" s="70"/>
      <c r="L757" s="71"/>
      <c r="N757" s="65"/>
    </row>
    <row r="758" spans="1:14" ht="15" customHeight="1" x14ac:dyDescent="0.2">
      <c r="A758" s="188"/>
      <c r="C758" s="189"/>
      <c r="E758" s="190"/>
      <c r="G758" s="70"/>
      <c r="H758" s="70"/>
      <c r="J758" s="70"/>
      <c r="L758" s="71"/>
      <c r="N758" s="65"/>
    </row>
    <row r="759" spans="1:14" ht="15" customHeight="1" x14ac:dyDescent="0.2">
      <c r="A759" s="188"/>
      <c r="C759" s="189"/>
      <c r="E759" s="190"/>
      <c r="G759" s="70"/>
      <c r="H759" s="70"/>
      <c r="J759" s="70"/>
      <c r="L759" s="71"/>
      <c r="N759" s="65"/>
    </row>
    <row r="760" spans="1:14" ht="15" customHeight="1" x14ac:dyDescent="0.2">
      <c r="A760" s="188"/>
      <c r="C760" s="189"/>
      <c r="E760" s="190"/>
      <c r="G760" s="70"/>
      <c r="H760" s="70"/>
      <c r="J760" s="70"/>
      <c r="L760" s="71"/>
      <c r="N760" s="65"/>
    </row>
    <row r="761" spans="1:14" ht="15" customHeight="1" x14ac:dyDescent="0.2">
      <c r="A761" s="188"/>
      <c r="C761" s="189"/>
      <c r="E761" s="190"/>
      <c r="G761" s="70"/>
      <c r="H761" s="70"/>
      <c r="J761" s="70"/>
      <c r="L761" s="71"/>
      <c r="N761" s="65"/>
    </row>
    <row r="762" spans="1:14" ht="15" customHeight="1" x14ac:dyDescent="0.2">
      <c r="A762" s="188"/>
      <c r="C762" s="189"/>
      <c r="E762" s="190"/>
      <c r="G762" s="70"/>
      <c r="H762" s="70"/>
      <c r="J762" s="70"/>
      <c r="L762" s="71"/>
      <c r="N762" s="65"/>
    </row>
    <row r="763" spans="1:14" ht="15" customHeight="1" x14ac:dyDescent="0.2">
      <c r="A763" s="188"/>
      <c r="C763" s="189"/>
      <c r="E763" s="190"/>
      <c r="G763" s="70"/>
      <c r="H763" s="70"/>
      <c r="J763" s="70"/>
      <c r="L763" s="71"/>
      <c r="N763" s="65"/>
    </row>
    <row r="764" spans="1:14" ht="15" customHeight="1" x14ac:dyDescent="0.2">
      <c r="A764" s="188"/>
      <c r="C764" s="189"/>
      <c r="E764" s="190"/>
      <c r="G764" s="70"/>
      <c r="H764" s="70"/>
      <c r="J764" s="70"/>
      <c r="L764" s="71"/>
      <c r="N764" s="65"/>
    </row>
    <row r="765" spans="1:14" ht="15" customHeight="1" x14ac:dyDescent="0.2">
      <c r="A765" s="188"/>
      <c r="C765" s="189"/>
      <c r="E765" s="190"/>
      <c r="G765" s="70"/>
      <c r="H765" s="70"/>
      <c r="J765" s="70"/>
      <c r="L765" s="71"/>
      <c r="N765" s="65"/>
    </row>
    <row r="766" spans="1:14" ht="15" customHeight="1" x14ac:dyDescent="0.2">
      <c r="A766" s="188"/>
      <c r="C766" s="189"/>
      <c r="E766" s="190"/>
      <c r="G766" s="70"/>
      <c r="H766" s="70"/>
      <c r="J766" s="70"/>
      <c r="L766" s="71"/>
      <c r="N766" s="65"/>
    </row>
    <row r="767" spans="1:14" ht="15" customHeight="1" x14ac:dyDescent="0.2">
      <c r="A767" s="188"/>
      <c r="C767" s="189"/>
      <c r="E767" s="190"/>
      <c r="G767" s="70"/>
      <c r="H767" s="70"/>
      <c r="J767" s="70"/>
      <c r="L767" s="71"/>
      <c r="N767" s="65"/>
    </row>
    <row r="768" spans="1:14" ht="15" customHeight="1" x14ac:dyDescent="0.2">
      <c r="A768" s="188"/>
      <c r="C768" s="189"/>
      <c r="E768" s="190"/>
      <c r="G768" s="70"/>
      <c r="H768" s="70"/>
      <c r="J768" s="70"/>
      <c r="L768" s="71"/>
      <c r="N768" s="65"/>
    </row>
    <row r="769" spans="1:14" ht="15" customHeight="1" x14ac:dyDescent="0.2">
      <c r="A769" s="188"/>
      <c r="C769" s="189"/>
      <c r="E769" s="190"/>
      <c r="G769" s="70"/>
      <c r="H769" s="70"/>
      <c r="J769" s="70"/>
      <c r="L769" s="71"/>
      <c r="N769" s="65"/>
    </row>
    <row r="770" spans="1:14" ht="15" customHeight="1" x14ac:dyDescent="0.2">
      <c r="A770" s="188"/>
      <c r="C770" s="189"/>
      <c r="E770" s="190"/>
      <c r="G770" s="70"/>
      <c r="H770" s="70"/>
      <c r="J770" s="70"/>
      <c r="L770" s="71"/>
      <c r="N770" s="65"/>
    </row>
    <row r="771" spans="1:14" ht="15" customHeight="1" x14ac:dyDescent="0.2">
      <c r="A771" s="188"/>
      <c r="C771" s="189"/>
      <c r="E771" s="190"/>
      <c r="G771" s="70"/>
      <c r="H771" s="70"/>
      <c r="J771" s="70"/>
      <c r="L771" s="71"/>
      <c r="N771" s="65"/>
    </row>
    <row r="772" spans="1:14" ht="15" customHeight="1" x14ac:dyDescent="0.2">
      <c r="A772" s="188"/>
      <c r="C772" s="189"/>
      <c r="E772" s="190"/>
      <c r="G772" s="70"/>
      <c r="H772" s="70"/>
      <c r="J772" s="70"/>
      <c r="L772" s="71"/>
      <c r="N772" s="65"/>
    </row>
    <row r="773" spans="1:14" ht="15" customHeight="1" x14ac:dyDescent="0.2">
      <c r="A773" s="188"/>
      <c r="C773" s="189"/>
      <c r="E773" s="190"/>
      <c r="G773" s="70"/>
      <c r="H773" s="70"/>
      <c r="J773" s="70"/>
      <c r="L773" s="71"/>
      <c r="N773" s="65"/>
    </row>
    <row r="774" spans="1:14" ht="15" customHeight="1" x14ac:dyDescent="0.2">
      <c r="A774" s="188"/>
      <c r="C774" s="189"/>
      <c r="E774" s="190"/>
      <c r="G774" s="70"/>
      <c r="H774" s="70"/>
      <c r="J774" s="70"/>
      <c r="L774" s="71"/>
      <c r="N774" s="65"/>
    </row>
    <row r="775" spans="1:14" ht="15" customHeight="1" x14ac:dyDescent="0.2">
      <c r="A775" s="188"/>
      <c r="C775" s="189"/>
      <c r="E775" s="190"/>
      <c r="G775" s="70"/>
      <c r="H775" s="70"/>
      <c r="J775" s="70"/>
      <c r="L775" s="71"/>
      <c r="N775" s="65"/>
    </row>
    <row r="776" spans="1:14" ht="15" customHeight="1" x14ac:dyDescent="0.2">
      <c r="A776" s="188"/>
      <c r="C776" s="189"/>
      <c r="E776" s="190"/>
      <c r="G776" s="70"/>
      <c r="H776" s="70"/>
      <c r="J776" s="70"/>
      <c r="L776" s="71"/>
      <c r="N776" s="65"/>
    </row>
    <row r="777" spans="1:14" ht="15" customHeight="1" x14ac:dyDescent="0.2">
      <c r="A777" s="188"/>
      <c r="C777" s="189"/>
      <c r="E777" s="190"/>
      <c r="G777" s="70"/>
      <c r="H777" s="70"/>
      <c r="J777" s="70"/>
      <c r="L777" s="71"/>
      <c r="N777" s="65"/>
    </row>
    <row r="778" spans="1:14" ht="15" customHeight="1" x14ac:dyDescent="0.2">
      <c r="A778" s="188"/>
      <c r="C778" s="189"/>
      <c r="E778" s="190"/>
      <c r="G778" s="70"/>
      <c r="H778" s="70"/>
      <c r="J778" s="70"/>
      <c r="L778" s="71"/>
      <c r="N778" s="65"/>
    </row>
    <row r="779" spans="1:14" ht="15" customHeight="1" x14ac:dyDescent="0.2">
      <c r="A779" s="188"/>
      <c r="C779" s="189"/>
      <c r="E779" s="190"/>
      <c r="G779" s="70"/>
      <c r="H779" s="70"/>
      <c r="J779" s="70"/>
      <c r="L779" s="71"/>
      <c r="N779" s="65"/>
    </row>
    <row r="780" spans="1:14" ht="15" customHeight="1" x14ac:dyDescent="0.2">
      <c r="A780" s="188"/>
      <c r="C780" s="189"/>
      <c r="E780" s="190"/>
      <c r="G780" s="70"/>
      <c r="H780" s="70"/>
      <c r="J780" s="70"/>
      <c r="L780" s="71"/>
      <c r="N780" s="65"/>
    </row>
    <row r="781" spans="1:14" ht="15" customHeight="1" x14ac:dyDescent="0.2">
      <c r="A781" s="188"/>
      <c r="C781" s="189"/>
      <c r="E781" s="190"/>
      <c r="G781" s="70"/>
      <c r="H781" s="70"/>
      <c r="J781" s="70"/>
      <c r="L781" s="71"/>
      <c r="N781" s="65"/>
    </row>
    <row r="782" spans="1:14" ht="15" customHeight="1" x14ac:dyDescent="0.2">
      <c r="A782" s="188"/>
      <c r="C782" s="189"/>
      <c r="E782" s="190"/>
      <c r="G782" s="70"/>
      <c r="H782" s="70"/>
      <c r="J782" s="70"/>
      <c r="L782" s="71"/>
      <c r="N782" s="65"/>
    </row>
    <row r="783" spans="1:14" ht="15" customHeight="1" x14ac:dyDescent="0.2">
      <c r="A783" s="188"/>
      <c r="C783" s="189"/>
      <c r="E783" s="190"/>
      <c r="G783" s="70"/>
      <c r="H783" s="70"/>
      <c r="J783" s="70"/>
      <c r="L783" s="71"/>
      <c r="N783" s="65"/>
    </row>
    <row r="784" spans="1:14" ht="15" customHeight="1" x14ac:dyDescent="0.2">
      <c r="A784" s="188"/>
      <c r="C784" s="189"/>
      <c r="E784" s="190"/>
      <c r="G784" s="70"/>
      <c r="H784" s="70"/>
      <c r="J784" s="70"/>
      <c r="L784" s="71"/>
      <c r="N784" s="65"/>
    </row>
    <row r="785" spans="1:14" ht="15" customHeight="1" x14ac:dyDescent="0.2">
      <c r="A785" s="188"/>
      <c r="C785" s="189"/>
      <c r="E785" s="190"/>
      <c r="G785" s="70"/>
      <c r="H785" s="70"/>
      <c r="J785" s="70"/>
      <c r="L785" s="71"/>
      <c r="N785" s="65"/>
    </row>
    <row r="786" spans="1:14" ht="15" customHeight="1" x14ac:dyDescent="0.2">
      <c r="A786" s="188"/>
      <c r="C786" s="189"/>
      <c r="E786" s="190"/>
      <c r="G786" s="70"/>
      <c r="H786" s="70"/>
      <c r="J786" s="70"/>
      <c r="L786" s="71"/>
      <c r="N786" s="65"/>
    </row>
    <row r="787" spans="1:14" ht="15" customHeight="1" x14ac:dyDescent="0.2">
      <c r="A787" s="188"/>
      <c r="C787" s="189"/>
      <c r="E787" s="190"/>
      <c r="G787" s="70"/>
      <c r="H787" s="70"/>
      <c r="J787" s="70"/>
      <c r="L787" s="71"/>
      <c r="N787" s="65"/>
    </row>
    <row r="788" spans="1:14" ht="15" customHeight="1" x14ac:dyDescent="0.2">
      <c r="A788" s="188"/>
      <c r="C788" s="189"/>
      <c r="E788" s="190"/>
      <c r="G788" s="70"/>
      <c r="H788" s="70"/>
      <c r="J788" s="70"/>
      <c r="L788" s="71"/>
      <c r="N788" s="65"/>
    </row>
    <row r="789" spans="1:14" ht="15" customHeight="1" x14ac:dyDescent="0.2">
      <c r="A789" s="188"/>
      <c r="C789" s="189"/>
      <c r="E789" s="190"/>
      <c r="G789" s="70"/>
      <c r="H789" s="70"/>
      <c r="J789" s="70"/>
      <c r="L789" s="71"/>
      <c r="N789" s="65"/>
    </row>
    <row r="790" spans="1:14" ht="15" customHeight="1" x14ac:dyDescent="0.2">
      <c r="A790" s="188"/>
      <c r="C790" s="189"/>
      <c r="E790" s="190"/>
      <c r="G790" s="70"/>
      <c r="H790" s="70"/>
      <c r="J790" s="70"/>
      <c r="L790" s="71"/>
      <c r="N790" s="65"/>
    </row>
    <row r="791" spans="1:14" ht="15" customHeight="1" x14ac:dyDescent="0.2">
      <c r="A791" s="188"/>
      <c r="C791" s="189"/>
      <c r="E791" s="190"/>
      <c r="G791" s="70"/>
      <c r="H791" s="70"/>
      <c r="J791" s="70"/>
      <c r="L791" s="71"/>
      <c r="N791" s="65"/>
    </row>
    <row r="792" spans="1:14" ht="15" customHeight="1" x14ac:dyDescent="0.2">
      <c r="A792" s="188"/>
      <c r="C792" s="189"/>
      <c r="E792" s="190"/>
      <c r="G792" s="70"/>
      <c r="H792" s="70"/>
      <c r="J792" s="70"/>
      <c r="L792" s="71"/>
      <c r="N792" s="65"/>
    </row>
    <row r="793" spans="1:14" ht="15" customHeight="1" x14ac:dyDescent="0.2">
      <c r="A793" s="188"/>
      <c r="C793" s="189"/>
      <c r="E793" s="190"/>
      <c r="G793" s="70"/>
      <c r="H793" s="70"/>
      <c r="J793" s="70"/>
      <c r="L793" s="71"/>
      <c r="N793" s="65"/>
    </row>
    <row r="794" spans="1:14" ht="15" customHeight="1" x14ac:dyDescent="0.2">
      <c r="A794" s="188"/>
      <c r="C794" s="189"/>
      <c r="E794" s="190"/>
      <c r="G794" s="70"/>
      <c r="H794" s="70"/>
      <c r="J794" s="70"/>
      <c r="L794" s="71"/>
      <c r="N794" s="65"/>
    </row>
    <row r="795" spans="1:14" ht="15" customHeight="1" x14ac:dyDescent="0.2">
      <c r="A795" s="188"/>
      <c r="C795" s="189"/>
      <c r="E795" s="190"/>
      <c r="G795" s="70"/>
      <c r="H795" s="70"/>
      <c r="J795" s="70"/>
      <c r="L795" s="71"/>
      <c r="N795" s="65"/>
    </row>
    <row r="796" spans="1:14" ht="15" customHeight="1" x14ac:dyDescent="0.2">
      <c r="A796" s="188"/>
      <c r="C796" s="189"/>
      <c r="E796" s="190"/>
      <c r="G796" s="70"/>
      <c r="H796" s="70"/>
      <c r="J796" s="70"/>
      <c r="L796" s="71"/>
      <c r="N796" s="65"/>
    </row>
    <row r="797" spans="1:14" ht="15" customHeight="1" x14ac:dyDescent="0.2">
      <c r="A797" s="188"/>
      <c r="C797" s="189"/>
      <c r="E797" s="190"/>
      <c r="G797" s="70"/>
      <c r="H797" s="70"/>
      <c r="J797" s="70"/>
      <c r="L797" s="71"/>
      <c r="N797" s="65"/>
    </row>
    <row r="798" spans="1:14" ht="15" customHeight="1" x14ac:dyDescent="0.2">
      <c r="A798" s="188"/>
      <c r="C798" s="189"/>
      <c r="E798" s="190"/>
      <c r="G798" s="70"/>
      <c r="H798" s="70"/>
      <c r="J798" s="70"/>
      <c r="L798" s="71"/>
      <c r="N798" s="65"/>
    </row>
    <row r="799" spans="1:14" ht="15" customHeight="1" x14ac:dyDescent="0.2">
      <c r="A799" s="188"/>
      <c r="C799" s="189"/>
      <c r="E799" s="190"/>
      <c r="G799" s="70"/>
      <c r="H799" s="70"/>
      <c r="J799" s="70"/>
      <c r="L799" s="71"/>
      <c r="N799" s="65"/>
    </row>
    <row r="800" spans="1:14" ht="15" customHeight="1" x14ac:dyDescent="0.2">
      <c r="A800" s="188"/>
      <c r="C800" s="189"/>
      <c r="E800" s="190"/>
      <c r="G800" s="70"/>
      <c r="H800" s="70"/>
      <c r="J800" s="70"/>
      <c r="L800" s="71"/>
      <c r="N800" s="65"/>
    </row>
    <row r="801" spans="1:14" ht="15" customHeight="1" x14ac:dyDescent="0.2">
      <c r="A801" s="188"/>
      <c r="C801" s="189"/>
      <c r="E801" s="190"/>
      <c r="G801" s="70"/>
      <c r="H801" s="70"/>
      <c r="J801" s="70"/>
      <c r="L801" s="71"/>
      <c r="N801" s="65"/>
    </row>
    <row r="802" spans="1:14" ht="15" customHeight="1" x14ac:dyDescent="0.2">
      <c r="A802" s="188"/>
      <c r="C802" s="189"/>
      <c r="E802" s="190"/>
      <c r="G802" s="70"/>
      <c r="H802" s="70"/>
      <c r="J802" s="70"/>
      <c r="L802" s="71"/>
      <c r="N802" s="65"/>
    </row>
    <row r="803" spans="1:14" ht="15" customHeight="1" x14ac:dyDescent="0.2">
      <c r="A803" s="188"/>
      <c r="C803" s="189"/>
      <c r="E803" s="190"/>
      <c r="G803" s="70"/>
      <c r="H803" s="70"/>
      <c r="J803" s="70"/>
      <c r="L803" s="71"/>
      <c r="N803" s="65"/>
    </row>
    <row r="804" spans="1:14" ht="15" customHeight="1" x14ac:dyDescent="0.2">
      <c r="A804" s="188"/>
      <c r="C804" s="189"/>
      <c r="E804" s="190"/>
      <c r="G804" s="70"/>
      <c r="H804" s="70"/>
      <c r="J804" s="70"/>
      <c r="L804" s="71"/>
      <c r="N804" s="65"/>
    </row>
    <row r="805" spans="1:14" ht="15" customHeight="1" x14ac:dyDescent="0.2">
      <c r="A805" s="188"/>
      <c r="C805" s="189"/>
      <c r="E805" s="190"/>
      <c r="G805" s="70"/>
      <c r="H805" s="70"/>
      <c r="J805" s="70"/>
      <c r="L805" s="71"/>
      <c r="N805" s="65"/>
    </row>
    <row r="806" spans="1:14" ht="15" customHeight="1" x14ac:dyDescent="0.2">
      <c r="A806" s="188"/>
      <c r="C806" s="189"/>
      <c r="E806" s="190"/>
      <c r="G806" s="70"/>
      <c r="H806" s="70"/>
      <c r="J806" s="70"/>
      <c r="L806" s="71"/>
      <c r="N806" s="65"/>
    </row>
    <row r="807" spans="1:14" ht="15" customHeight="1" x14ac:dyDescent="0.2">
      <c r="A807" s="188"/>
      <c r="C807" s="189"/>
      <c r="E807" s="190"/>
      <c r="G807" s="70"/>
      <c r="H807" s="70"/>
      <c r="J807" s="70"/>
      <c r="L807" s="71"/>
      <c r="N807" s="65"/>
    </row>
    <row r="808" spans="1:14" ht="15" customHeight="1" x14ac:dyDescent="0.2">
      <c r="A808" s="188"/>
      <c r="C808" s="189"/>
      <c r="E808" s="190"/>
      <c r="G808" s="70"/>
      <c r="H808" s="70"/>
      <c r="J808" s="70"/>
      <c r="L808" s="71"/>
      <c r="N808" s="65"/>
    </row>
    <row r="809" spans="1:14" ht="15" customHeight="1" x14ac:dyDescent="0.2">
      <c r="A809" s="188"/>
      <c r="C809" s="189"/>
      <c r="E809" s="190"/>
      <c r="G809" s="70"/>
      <c r="H809" s="70"/>
      <c r="J809" s="70"/>
      <c r="L809" s="71"/>
      <c r="N809" s="65"/>
    </row>
    <row r="810" spans="1:14" ht="15" customHeight="1" x14ac:dyDescent="0.2">
      <c r="A810" s="188"/>
      <c r="C810" s="189"/>
      <c r="E810" s="190"/>
      <c r="G810" s="70"/>
      <c r="H810" s="70"/>
      <c r="J810" s="70"/>
      <c r="L810" s="71"/>
      <c r="N810" s="65"/>
    </row>
    <row r="811" spans="1:14" ht="15" customHeight="1" x14ac:dyDescent="0.2">
      <c r="A811" s="188"/>
      <c r="C811" s="189"/>
      <c r="E811" s="190"/>
      <c r="G811" s="70"/>
      <c r="H811" s="70"/>
      <c r="J811" s="70"/>
      <c r="L811" s="71"/>
      <c r="N811" s="65"/>
    </row>
    <row r="812" spans="1:14" ht="15" customHeight="1" x14ac:dyDescent="0.2">
      <c r="A812" s="188"/>
      <c r="C812" s="189"/>
      <c r="E812" s="190"/>
      <c r="G812" s="70"/>
      <c r="H812" s="70"/>
      <c r="J812" s="70"/>
      <c r="L812" s="71"/>
      <c r="N812" s="65"/>
    </row>
    <row r="813" spans="1:14" ht="15" customHeight="1" x14ac:dyDescent="0.2">
      <c r="A813" s="188"/>
      <c r="C813" s="189"/>
      <c r="E813" s="190"/>
      <c r="G813" s="70"/>
      <c r="H813" s="70"/>
      <c r="J813" s="70"/>
      <c r="L813" s="71"/>
      <c r="N813" s="65"/>
    </row>
    <row r="814" spans="1:14" ht="15" customHeight="1" x14ac:dyDescent="0.2">
      <c r="A814" s="188"/>
      <c r="C814" s="189"/>
      <c r="E814" s="190"/>
      <c r="G814" s="70"/>
      <c r="H814" s="70"/>
      <c r="J814" s="70"/>
      <c r="L814" s="71"/>
      <c r="N814" s="65"/>
    </row>
    <row r="815" spans="1:14" ht="15" customHeight="1" x14ac:dyDescent="0.2">
      <c r="A815" s="188"/>
      <c r="C815" s="189"/>
      <c r="E815" s="190"/>
      <c r="G815" s="70"/>
      <c r="H815" s="70"/>
      <c r="J815" s="70"/>
      <c r="L815" s="71"/>
      <c r="N815" s="65"/>
    </row>
    <row r="816" spans="1:14" ht="15" customHeight="1" x14ac:dyDescent="0.2">
      <c r="A816" s="188"/>
      <c r="C816" s="189"/>
      <c r="E816" s="190"/>
      <c r="G816" s="70"/>
      <c r="H816" s="70"/>
      <c r="J816" s="70"/>
      <c r="L816" s="71"/>
      <c r="N816" s="65"/>
    </row>
    <row r="817" spans="1:14" ht="15" customHeight="1" x14ac:dyDescent="0.2">
      <c r="A817" s="188"/>
      <c r="C817" s="189"/>
      <c r="E817" s="190"/>
      <c r="G817" s="70"/>
      <c r="H817" s="70"/>
      <c r="J817" s="70"/>
      <c r="L817" s="71"/>
      <c r="N817" s="65"/>
    </row>
    <row r="818" spans="1:14" ht="15" customHeight="1" x14ac:dyDescent="0.2">
      <c r="A818" s="188"/>
      <c r="C818" s="189"/>
      <c r="E818" s="190"/>
      <c r="G818" s="70"/>
      <c r="H818" s="70"/>
      <c r="J818" s="70"/>
      <c r="L818" s="71"/>
      <c r="N818" s="65"/>
    </row>
    <row r="819" spans="1:14" ht="15" customHeight="1" x14ac:dyDescent="0.2">
      <c r="A819" s="188"/>
      <c r="C819" s="189"/>
      <c r="E819" s="190"/>
      <c r="G819" s="70"/>
      <c r="H819" s="70"/>
      <c r="J819" s="70"/>
      <c r="L819" s="71"/>
      <c r="N819" s="65"/>
    </row>
    <row r="820" spans="1:14" ht="15" customHeight="1" x14ac:dyDescent="0.2">
      <c r="A820" s="188"/>
      <c r="C820" s="189"/>
      <c r="E820" s="190"/>
      <c r="G820" s="70"/>
      <c r="H820" s="70"/>
      <c r="J820" s="70"/>
      <c r="L820" s="71"/>
      <c r="N820" s="65"/>
    </row>
    <row r="821" spans="1:14" ht="15" customHeight="1" x14ac:dyDescent="0.2">
      <c r="A821" s="188"/>
      <c r="C821" s="189"/>
      <c r="E821" s="190"/>
      <c r="G821" s="70"/>
      <c r="H821" s="70"/>
      <c r="J821" s="70"/>
      <c r="L821" s="71"/>
      <c r="N821" s="65"/>
    </row>
    <row r="822" spans="1:14" ht="15" customHeight="1" x14ac:dyDescent="0.2">
      <c r="A822" s="188"/>
      <c r="C822" s="189"/>
      <c r="E822" s="190"/>
      <c r="G822" s="70"/>
      <c r="H822" s="70"/>
      <c r="J822" s="70"/>
      <c r="L822" s="71"/>
      <c r="N822" s="65"/>
    </row>
    <row r="823" spans="1:14" ht="15" customHeight="1" x14ac:dyDescent="0.2">
      <c r="A823" s="188"/>
      <c r="C823" s="189"/>
      <c r="E823" s="190"/>
      <c r="G823" s="70"/>
      <c r="H823" s="70"/>
      <c r="J823" s="70"/>
      <c r="L823" s="71"/>
      <c r="N823" s="65"/>
    </row>
    <row r="824" spans="1:14" ht="15" customHeight="1" x14ac:dyDescent="0.2">
      <c r="A824" s="188"/>
      <c r="C824" s="189"/>
      <c r="E824" s="190"/>
      <c r="G824" s="70"/>
      <c r="H824" s="70"/>
      <c r="J824" s="70"/>
      <c r="L824" s="71"/>
      <c r="N824" s="65"/>
    </row>
    <row r="825" spans="1:14" ht="15" customHeight="1" x14ac:dyDescent="0.2">
      <c r="A825" s="188"/>
      <c r="C825" s="189"/>
      <c r="E825" s="190"/>
      <c r="G825" s="70"/>
      <c r="H825" s="70"/>
      <c r="J825" s="70"/>
      <c r="L825" s="71"/>
      <c r="N825" s="65"/>
    </row>
    <row r="826" spans="1:14" ht="15" customHeight="1" x14ac:dyDescent="0.2">
      <c r="A826" s="188"/>
      <c r="C826" s="189"/>
      <c r="E826" s="190"/>
      <c r="G826" s="70"/>
      <c r="H826" s="70"/>
      <c r="J826" s="70"/>
      <c r="L826" s="71"/>
      <c r="N826" s="65"/>
    </row>
    <row r="827" spans="1:14" ht="15" customHeight="1" x14ac:dyDescent="0.2">
      <c r="A827" s="188"/>
      <c r="C827" s="189"/>
      <c r="E827" s="190"/>
      <c r="G827" s="70"/>
      <c r="H827" s="70"/>
      <c r="J827" s="70"/>
      <c r="L827" s="71"/>
      <c r="N827" s="65"/>
    </row>
    <row r="828" spans="1:14" ht="15" customHeight="1" x14ac:dyDescent="0.2">
      <c r="A828" s="188"/>
      <c r="C828" s="189"/>
      <c r="E828" s="190"/>
      <c r="G828" s="70"/>
      <c r="H828" s="70"/>
      <c r="J828" s="70"/>
      <c r="L828" s="71"/>
      <c r="N828" s="65"/>
    </row>
    <row r="829" spans="1:14" ht="15" customHeight="1" x14ac:dyDescent="0.2">
      <c r="A829" s="188"/>
      <c r="C829" s="189"/>
      <c r="E829" s="190"/>
      <c r="G829" s="70"/>
      <c r="H829" s="70"/>
      <c r="J829" s="70"/>
      <c r="L829" s="71"/>
      <c r="N829" s="65"/>
    </row>
    <row r="830" spans="1:14" ht="15" customHeight="1" x14ac:dyDescent="0.2">
      <c r="A830" s="188"/>
      <c r="C830" s="189"/>
      <c r="E830" s="190"/>
      <c r="G830" s="70"/>
      <c r="H830" s="70"/>
      <c r="J830" s="70"/>
      <c r="L830" s="71"/>
      <c r="N830" s="65"/>
    </row>
    <row r="831" spans="1:14" ht="15" customHeight="1" x14ac:dyDescent="0.2">
      <c r="A831" s="188"/>
      <c r="C831" s="189"/>
      <c r="E831" s="190"/>
      <c r="G831" s="70"/>
      <c r="H831" s="70"/>
      <c r="J831" s="70"/>
      <c r="L831" s="71"/>
      <c r="N831" s="65"/>
    </row>
    <row r="832" spans="1:14" ht="15" customHeight="1" x14ac:dyDescent="0.2">
      <c r="A832" s="188"/>
      <c r="C832" s="189"/>
      <c r="E832" s="190"/>
      <c r="G832" s="70"/>
      <c r="H832" s="70"/>
      <c r="J832" s="70"/>
      <c r="L832" s="71"/>
      <c r="N832" s="65"/>
    </row>
    <row r="833" spans="1:14" ht="15" customHeight="1" x14ac:dyDescent="0.2">
      <c r="A833" s="188"/>
      <c r="C833" s="189"/>
      <c r="E833" s="190"/>
      <c r="G833" s="70"/>
      <c r="H833" s="70"/>
      <c r="J833" s="70"/>
      <c r="L833" s="71"/>
      <c r="N833" s="65"/>
    </row>
    <row r="834" spans="1:14" ht="15" customHeight="1" x14ac:dyDescent="0.2">
      <c r="A834" s="188"/>
      <c r="C834" s="189"/>
      <c r="E834" s="190"/>
      <c r="G834" s="70"/>
      <c r="H834" s="70"/>
      <c r="J834" s="70"/>
      <c r="L834" s="71"/>
      <c r="N834" s="65"/>
    </row>
    <row r="835" spans="1:14" ht="15" customHeight="1" x14ac:dyDescent="0.2">
      <c r="A835" s="188"/>
      <c r="C835" s="189"/>
      <c r="E835" s="190"/>
      <c r="G835" s="70"/>
      <c r="H835" s="70"/>
      <c r="J835" s="70"/>
      <c r="L835" s="71"/>
      <c r="N835" s="65"/>
    </row>
    <row r="836" spans="1:14" ht="15" customHeight="1" x14ac:dyDescent="0.2">
      <c r="A836" s="188"/>
      <c r="C836" s="189"/>
      <c r="E836" s="190"/>
      <c r="G836" s="70"/>
      <c r="H836" s="70"/>
      <c r="J836" s="70"/>
      <c r="L836" s="71"/>
      <c r="N836" s="65"/>
    </row>
    <row r="837" spans="1:14" ht="15" customHeight="1" x14ac:dyDescent="0.2">
      <c r="A837" s="188"/>
      <c r="C837" s="189"/>
      <c r="E837" s="190"/>
      <c r="G837" s="70"/>
      <c r="H837" s="70"/>
      <c r="J837" s="70"/>
      <c r="L837" s="71"/>
      <c r="N837" s="65"/>
    </row>
    <row r="838" spans="1:14" ht="15" customHeight="1" x14ac:dyDescent="0.2">
      <c r="A838" s="188"/>
      <c r="C838" s="189"/>
      <c r="E838" s="190"/>
      <c r="G838" s="70"/>
      <c r="H838" s="70"/>
      <c r="J838" s="70"/>
      <c r="L838" s="71"/>
      <c r="N838" s="65"/>
    </row>
    <row r="839" spans="1:14" ht="15" customHeight="1" x14ac:dyDescent="0.2">
      <c r="A839" s="188"/>
      <c r="C839" s="189"/>
      <c r="E839" s="190"/>
      <c r="G839" s="70"/>
      <c r="H839" s="70"/>
      <c r="J839" s="70"/>
      <c r="L839" s="71"/>
      <c r="N839" s="65"/>
    </row>
    <row r="840" spans="1:14" ht="15" customHeight="1" x14ac:dyDescent="0.2">
      <c r="A840" s="188"/>
      <c r="C840" s="189"/>
      <c r="E840" s="190"/>
      <c r="G840" s="70"/>
      <c r="H840" s="70"/>
      <c r="J840" s="70"/>
      <c r="L840" s="71"/>
      <c r="N840" s="65"/>
    </row>
    <row r="841" spans="1:14" ht="15" customHeight="1" x14ac:dyDescent="0.2">
      <c r="A841" s="188"/>
      <c r="C841" s="189"/>
      <c r="E841" s="190"/>
      <c r="G841" s="70"/>
      <c r="H841" s="70"/>
      <c r="J841" s="70"/>
      <c r="L841" s="71"/>
      <c r="N841" s="65"/>
    </row>
    <row r="842" spans="1:14" ht="15" customHeight="1" x14ac:dyDescent="0.2">
      <c r="A842" s="188"/>
      <c r="C842" s="189"/>
      <c r="E842" s="190"/>
      <c r="G842" s="70"/>
      <c r="H842" s="70"/>
      <c r="J842" s="70"/>
      <c r="L842" s="71"/>
      <c r="N842" s="65"/>
    </row>
    <row r="843" spans="1:14" ht="15" customHeight="1" x14ac:dyDescent="0.2">
      <c r="A843" s="188"/>
      <c r="C843" s="189"/>
      <c r="E843" s="190"/>
      <c r="G843" s="70"/>
      <c r="H843" s="70"/>
      <c r="J843" s="70"/>
      <c r="L843" s="71"/>
      <c r="N843" s="65"/>
    </row>
    <row r="844" spans="1:14" ht="15" customHeight="1" x14ac:dyDescent="0.2">
      <c r="A844" s="188"/>
      <c r="C844" s="189"/>
      <c r="E844" s="190"/>
      <c r="G844" s="70"/>
      <c r="H844" s="70"/>
      <c r="J844" s="70"/>
      <c r="L844" s="71"/>
      <c r="N844" s="65"/>
    </row>
    <row r="845" spans="1:14" ht="15" customHeight="1" x14ac:dyDescent="0.2">
      <c r="A845" s="188"/>
      <c r="C845" s="189"/>
      <c r="E845" s="190"/>
      <c r="G845" s="70"/>
      <c r="H845" s="70"/>
      <c r="J845" s="70"/>
      <c r="L845" s="71"/>
      <c r="N845" s="65"/>
    </row>
    <row r="846" spans="1:14" ht="15" customHeight="1" x14ac:dyDescent="0.2">
      <c r="A846" s="188"/>
      <c r="C846" s="189"/>
      <c r="E846" s="190"/>
      <c r="G846" s="70"/>
      <c r="H846" s="70"/>
      <c r="J846" s="70"/>
      <c r="L846" s="71"/>
      <c r="N846" s="65"/>
    </row>
    <row r="847" spans="1:14" ht="15" customHeight="1" x14ac:dyDescent="0.2">
      <c r="A847" s="188"/>
      <c r="C847" s="189"/>
      <c r="E847" s="190"/>
      <c r="G847" s="70"/>
      <c r="H847" s="70"/>
      <c r="J847" s="70"/>
      <c r="L847" s="71"/>
      <c r="N847" s="65"/>
    </row>
    <row r="848" spans="1:14" ht="15" customHeight="1" x14ac:dyDescent="0.2">
      <c r="A848" s="188"/>
      <c r="C848" s="189"/>
      <c r="E848" s="190"/>
      <c r="G848" s="70"/>
      <c r="H848" s="70"/>
      <c r="J848" s="70"/>
      <c r="L848" s="71"/>
      <c r="N848" s="65"/>
    </row>
    <row r="849" spans="1:14" ht="15" customHeight="1" x14ac:dyDescent="0.2">
      <c r="A849" s="188"/>
      <c r="C849" s="189"/>
      <c r="E849" s="190"/>
      <c r="G849" s="70"/>
      <c r="H849" s="70"/>
      <c r="J849" s="70"/>
      <c r="L849" s="71"/>
      <c r="N849" s="65"/>
    </row>
    <row r="850" spans="1:14" ht="15" customHeight="1" x14ac:dyDescent="0.2">
      <c r="A850" s="188"/>
      <c r="C850" s="189"/>
      <c r="E850" s="190"/>
      <c r="G850" s="70"/>
      <c r="H850" s="70"/>
      <c r="J850" s="70"/>
      <c r="L850" s="71"/>
      <c r="N850" s="65"/>
    </row>
    <row r="851" spans="1:14" ht="15" customHeight="1" x14ac:dyDescent="0.2">
      <c r="A851" s="188"/>
      <c r="C851" s="189"/>
      <c r="E851" s="190"/>
      <c r="G851" s="70"/>
      <c r="H851" s="70"/>
      <c r="J851" s="70"/>
      <c r="L851" s="71"/>
      <c r="N851" s="65"/>
    </row>
    <row r="852" spans="1:14" ht="15" customHeight="1" x14ac:dyDescent="0.2">
      <c r="A852" s="188"/>
      <c r="C852" s="189"/>
      <c r="E852" s="190"/>
      <c r="G852" s="70"/>
      <c r="H852" s="70"/>
      <c r="J852" s="70"/>
      <c r="L852" s="71"/>
      <c r="N852" s="65"/>
    </row>
    <row r="853" spans="1:14" ht="15" customHeight="1" x14ac:dyDescent="0.2">
      <c r="A853" s="188"/>
      <c r="C853" s="189"/>
      <c r="E853" s="190"/>
      <c r="G853" s="70"/>
      <c r="H853" s="70"/>
      <c r="J853" s="70"/>
      <c r="L853" s="71"/>
      <c r="N853" s="65"/>
    </row>
    <row r="854" spans="1:14" ht="15" customHeight="1" x14ac:dyDescent="0.2">
      <c r="A854" s="188"/>
      <c r="C854" s="189"/>
      <c r="E854" s="190"/>
      <c r="G854" s="70"/>
      <c r="H854" s="70"/>
      <c r="J854" s="70"/>
      <c r="L854" s="71"/>
      <c r="N854" s="65"/>
    </row>
    <row r="855" spans="1:14" ht="15" customHeight="1" x14ac:dyDescent="0.2">
      <c r="A855" s="188"/>
      <c r="C855" s="189"/>
      <c r="E855" s="190"/>
      <c r="G855" s="70"/>
      <c r="H855" s="70"/>
      <c r="J855" s="70"/>
      <c r="L855" s="71"/>
      <c r="N855" s="65"/>
    </row>
    <row r="856" spans="1:14" ht="15" customHeight="1" x14ac:dyDescent="0.2">
      <c r="A856" s="188"/>
      <c r="C856" s="189"/>
      <c r="E856" s="190"/>
      <c r="G856" s="70"/>
      <c r="H856" s="70"/>
      <c r="J856" s="70"/>
      <c r="L856" s="71"/>
      <c r="N856" s="65"/>
    </row>
    <row r="857" spans="1:14" ht="15" customHeight="1" x14ac:dyDescent="0.2">
      <c r="A857" s="188"/>
      <c r="C857" s="189"/>
      <c r="E857" s="190"/>
      <c r="G857" s="70"/>
      <c r="H857" s="70"/>
      <c r="J857" s="70"/>
      <c r="L857" s="71"/>
      <c r="N857" s="65"/>
    </row>
    <row r="858" spans="1:14" ht="15" customHeight="1" x14ac:dyDescent="0.2">
      <c r="A858" s="188"/>
      <c r="C858" s="189"/>
      <c r="E858" s="190"/>
      <c r="G858" s="70"/>
      <c r="H858" s="70"/>
      <c r="J858" s="70"/>
      <c r="L858" s="71"/>
      <c r="N858" s="65"/>
    </row>
    <row r="859" spans="1:14" ht="15" customHeight="1" x14ac:dyDescent="0.2">
      <c r="A859" s="188"/>
      <c r="C859" s="189"/>
      <c r="E859" s="190"/>
      <c r="G859" s="70"/>
      <c r="H859" s="70"/>
      <c r="J859" s="70"/>
      <c r="L859" s="71"/>
      <c r="N859" s="65"/>
    </row>
    <row r="860" spans="1:14" ht="15" customHeight="1" x14ac:dyDescent="0.2">
      <c r="A860" s="188"/>
      <c r="C860" s="189"/>
      <c r="E860" s="190"/>
      <c r="G860" s="70"/>
      <c r="H860" s="70"/>
      <c r="J860" s="70"/>
      <c r="L860" s="71"/>
      <c r="N860" s="65"/>
    </row>
    <row r="861" spans="1:14" ht="15" customHeight="1" x14ac:dyDescent="0.2">
      <c r="A861" s="188"/>
      <c r="C861" s="189"/>
      <c r="E861" s="190"/>
      <c r="G861" s="70"/>
      <c r="H861" s="70"/>
      <c r="J861" s="70"/>
      <c r="L861" s="71"/>
      <c r="N861" s="65"/>
    </row>
    <row r="862" spans="1:14" ht="15" customHeight="1" x14ac:dyDescent="0.2">
      <c r="A862" s="188"/>
      <c r="C862" s="189"/>
      <c r="E862" s="190"/>
      <c r="G862" s="70"/>
      <c r="H862" s="70"/>
      <c r="J862" s="70"/>
      <c r="L862" s="71"/>
      <c r="N862" s="65"/>
    </row>
    <row r="863" spans="1:14" ht="15" customHeight="1" x14ac:dyDescent="0.2">
      <c r="A863" s="188"/>
      <c r="C863" s="189"/>
      <c r="E863" s="190"/>
      <c r="G863" s="70"/>
      <c r="H863" s="70"/>
      <c r="J863" s="70"/>
      <c r="L863" s="71"/>
      <c r="N863" s="65"/>
    </row>
    <row r="864" spans="1:14" ht="15" customHeight="1" x14ac:dyDescent="0.2">
      <c r="A864" s="188"/>
      <c r="C864" s="189"/>
      <c r="E864" s="190"/>
      <c r="G864" s="70"/>
      <c r="H864" s="70"/>
      <c r="J864" s="70"/>
      <c r="L864" s="71"/>
      <c r="N864" s="65"/>
    </row>
    <row r="865" spans="1:14" ht="15" customHeight="1" x14ac:dyDescent="0.2">
      <c r="A865" s="188"/>
      <c r="C865" s="189"/>
      <c r="E865" s="190"/>
      <c r="G865" s="70"/>
      <c r="H865" s="70"/>
      <c r="J865" s="70"/>
      <c r="L865" s="71"/>
      <c r="N865" s="65"/>
    </row>
    <row r="866" spans="1:14" ht="15" customHeight="1" x14ac:dyDescent="0.2">
      <c r="A866" s="188"/>
      <c r="C866" s="189"/>
      <c r="E866" s="190"/>
      <c r="G866" s="70"/>
      <c r="H866" s="70"/>
      <c r="J866" s="70"/>
      <c r="L866" s="71"/>
      <c r="N866" s="65"/>
    </row>
    <row r="867" spans="1:14" ht="15" customHeight="1" x14ac:dyDescent="0.2">
      <c r="A867" s="188"/>
      <c r="C867" s="189"/>
      <c r="E867" s="190"/>
      <c r="G867" s="70"/>
      <c r="H867" s="70"/>
      <c r="J867" s="70"/>
      <c r="L867" s="71"/>
      <c r="N867" s="65"/>
    </row>
    <row r="868" spans="1:14" ht="15" customHeight="1" x14ac:dyDescent="0.2">
      <c r="A868" s="188"/>
      <c r="C868" s="189"/>
      <c r="E868" s="190"/>
      <c r="G868" s="70"/>
      <c r="H868" s="70"/>
      <c r="J868" s="70"/>
      <c r="L868" s="71"/>
      <c r="N868" s="65"/>
    </row>
    <row r="869" spans="1:14" ht="15" customHeight="1" x14ac:dyDescent="0.2">
      <c r="A869" s="188"/>
      <c r="C869" s="189"/>
      <c r="E869" s="190"/>
      <c r="G869" s="70"/>
      <c r="H869" s="70"/>
      <c r="J869" s="70"/>
      <c r="L869" s="71"/>
      <c r="N869" s="65"/>
    </row>
    <row r="870" spans="1:14" ht="15" customHeight="1" x14ac:dyDescent="0.2">
      <c r="A870" s="188"/>
      <c r="C870" s="189"/>
      <c r="E870" s="190"/>
      <c r="G870" s="70"/>
      <c r="H870" s="70"/>
      <c r="J870" s="70"/>
      <c r="L870" s="71"/>
      <c r="N870" s="65"/>
    </row>
    <row r="871" spans="1:14" ht="15" customHeight="1" x14ac:dyDescent="0.2">
      <c r="A871" s="188"/>
      <c r="C871" s="189"/>
      <c r="E871" s="190"/>
      <c r="G871" s="70"/>
      <c r="H871" s="70"/>
      <c r="J871" s="70"/>
      <c r="L871" s="71"/>
      <c r="N871" s="65"/>
    </row>
    <row r="872" spans="1:14" ht="15" customHeight="1" x14ac:dyDescent="0.2">
      <c r="A872" s="188"/>
      <c r="C872" s="189"/>
      <c r="E872" s="190"/>
      <c r="G872" s="70"/>
      <c r="H872" s="70"/>
      <c r="J872" s="70"/>
      <c r="L872" s="71"/>
      <c r="N872" s="65"/>
    </row>
    <row r="873" spans="1:14" ht="15" customHeight="1" x14ac:dyDescent="0.2">
      <c r="A873" s="188"/>
      <c r="C873" s="189"/>
      <c r="E873" s="190"/>
      <c r="G873" s="70"/>
      <c r="H873" s="70"/>
      <c r="J873" s="70"/>
      <c r="L873" s="71"/>
      <c r="N873" s="65"/>
    </row>
    <row r="874" spans="1:14" ht="15" customHeight="1" x14ac:dyDescent="0.2">
      <c r="A874" s="188"/>
      <c r="C874" s="189"/>
      <c r="E874" s="190"/>
      <c r="G874" s="70"/>
      <c r="H874" s="70"/>
      <c r="J874" s="70"/>
      <c r="L874" s="71"/>
      <c r="N874" s="65"/>
    </row>
    <row r="875" spans="1:14" ht="15" customHeight="1" x14ac:dyDescent="0.2">
      <c r="A875" s="188"/>
      <c r="C875" s="189"/>
      <c r="E875" s="190"/>
      <c r="G875" s="70"/>
      <c r="H875" s="70"/>
      <c r="J875" s="70"/>
      <c r="L875" s="71"/>
      <c r="N875" s="65"/>
    </row>
    <row r="876" spans="1:14" ht="15" customHeight="1" x14ac:dyDescent="0.2">
      <c r="A876" s="188"/>
      <c r="C876" s="189"/>
      <c r="E876" s="190"/>
      <c r="G876" s="70"/>
      <c r="H876" s="70"/>
      <c r="J876" s="70"/>
      <c r="L876" s="71"/>
      <c r="N876" s="65"/>
    </row>
    <row r="877" spans="1:14" ht="15" customHeight="1" x14ac:dyDescent="0.2">
      <c r="A877" s="188"/>
      <c r="C877" s="189"/>
      <c r="E877" s="190"/>
      <c r="G877" s="70"/>
      <c r="H877" s="70"/>
      <c r="J877" s="70"/>
      <c r="L877" s="71"/>
      <c r="N877" s="65"/>
    </row>
    <row r="878" spans="1:14" ht="15" customHeight="1" x14ac:dyDescent="0.2">
      <c r="A878" s="188"/>
      <c r="C878" s="189"/>
      <c r="E878" s="190"/>
      <c r="G878" s="70"/>
      <c r="H878" s="70"/>
      <c r="J878" s="70"/>
      <c r="L878" s="71"/>
      <c r="N878" s="65"/>
    </row>
    <row r="879" spans="1:14" ht="15" customHeight="1" x14ac:dyDescent="0.2">
      <c r="A879" s="188"/>
      <c r="C879" s="189"/>
      <c r="E879" s="190"/>
      <c r="G879" s="70"/>
      <c r="H879" s="70"/>
      <c r="J879" s="70"/>
      <c r="L879" s="71"/>
      <c r="N879" s="65"/>
    </row>
    <row r="880" spans="1:14" ht="15" customHeight="1" x14ac:dyDescent="0.2">
      <c r="A880" s="188"/>
      <c r="C880" s="189"/>
      <c r="E880" s="190"/>
      <c r="G880" s="70"/>
      <c r="H880" s="70"/>
      <c r="J880" s="70"/>
      <c r="L880" s="71"/>
      <c r="N880" s="65"/>
    </row>
    <row r="881" spans="1:14" ht="15" customHeight="1" x14ac:dyDescent="0.2">
      <c r="A881" s="188"/>
      <c r="C881" s="189"/>
      <c r="E881" s="190"/>
      <c r="G881" s="70"/>
      <c r="H881" s="70"/>
      <c r="J881" s="70"/>
      <c r="L881" s="71"/>
      <c r="N881" s="65"/>
    </row>
    <row r="882" spans="1:14" ht="15" customHeight="1" x14ac:dyDescent="0.2">
      <c r="A882" s="188"/>
      <c r="C882" s="189"/>
      <c r="E882" s="190"/>
      <c r="G882" s="70"/>
      <c r="H882" s="70"/>
      <c r="J882" s="70"/>
      <c r="L882" s="71"/>
      <c r="N882" s="65"/>
    </row>
    <row r="883" spans="1:14" ht="15" customHeight="1" x14ac:dyDescent="0.2">
      <c r="A883" s="188"/>
      <c r="C883" s="189"/>
      <c r="E883" s="190"/>
      <c r="G883" s="70"/>
      <c r="H883" s="70"/>
      <c r="J883" s="70"/>
      <c r="L883" s="71"/>
      <c r="N883" s="65"/>
    </row>
    <row r="884" spans="1:14" ht="15" customHeight="1" x14ac:dyDescent="0.2">
      <c r="A884" s="188"/>
      <c r="C884" s="189"/>
      <c r="E884" s="190"/>
      <c r="G884" s="70"/>
      <c r="H884" s="70"/>
      <c r="J884" s="70"/>
      <c r="L884" s="71"/>
      <c r="N884" s="65"/>
    </row>
    <row r="885" spans="1:14" ht="15" customHeight="1" x14ac:dyDescent="0.2">
      <c r="A885" s="188"/>
      <c r="C885" s="189"/>
      <c r="E885" s="190"/>
      <c r="G885" s="70"/>
      <c r="H885" s="70"/>
      <c r="J885" s="70"/>
      <c r="L885" s="71"/>
      <c r="N885" s="65"/>
    </row>
    <row r="886" spans="1:14" ht="15" customHeight="1" x14ac:dyDescent="0.2">
      <c r="A886" s="188"/>
      <c r="C886" s="189"/>
      <c r="E886" s="190"/>
      <c r="G886" s="70"/>
      <c r="H886" s="70"/>
      <c r="J886" s="70"/>
      <c r="L886" s="71"/>
      <c r="N886" s="65"/>
    </row>
    <row r="887" spans="1:14" ht="15" customHeight="1" x14ac:dyDescent="0.2">
      <c r="A887" s="188"/>
      <c r="C887" s="189"/>
      <c r="E887" s="190"/>
      <c r="G887" s="70"/>
      <c r="H887" s="70"/>
      <c r="J887" s="70"/>
      <c r="L887" s="71"/>
      <c r="N887" s="65"/>
    </row>
    <row r="888" spans="1:14" ht="15" customHeight="1" x14ac:dyDescent="0.2">
      <c r="A888" s="188"/>
      <c r="C888" s="189"/>
      <c r="E888" s="190"/>
      <c r="G888" s="70"/>
      <c r="H888" s="70"/>
      <c r="J888" s="70"/>
      <c r="L888" s="71"/>
      <c r="N888" s="65"/>
    </row>
    <row r="889" spans="1:14" ht="15" customHeight="1" x14ac:dyDescent="0.2">
      <c r="A889" s="188"/>
      <c r="C889" s="189"/>
      <c r="E889" s="190"/>
      <c r="G889" s="70"/>
      <c r="H889" s="70"/>
      <c r="J889" s="70"/>
      <c r="L889" s="71"/>
      <c r="N889" s="65"/>
    </row>
    <row r="890" spans="1:14" ht="15" customHeight="1" x14ac:dyDescent="0.2">
      <c r="A890" s="188"/>
      <c r="C890" s="189"/>
      <c r="E890" s="190"/>
      <c r="G890" s="70"/>
      <c r="H890" s="70"/>
      <c r="J890" s="70"/>
      <c r="L890" s="71"/>
      <c r="N890" s="65"/>
    </row>
    <row r="891" spans="1:14" ht="15" customHeight="1" x14ac:dyDescent="0.2">
      <c r="A891" s="188"/>
      <c r="C891" s="189"/>
      <c r="E891" s="190"/>
      <c r="G891" s="70"/>
      <c r="H891" s="70"/>
      <c r="J891" s="70"/>
      <c r="L891" s="71"/>
      <c r="N891" s="65"/>
    </row>
    <row r="892" spans="1:14" ht="15" customHeight="1" x14ac:dyDescent="0.2">
      <c r="A892" s="188"/>
      <c r="C892" s="189"/>
      <c r="E892" s="190"/>
      <c r="G892" s="70"/>
      <c r="H892" s="70"/>
      <c r="J892" s="70"/>
      <c r="L892" s="71"/>
      <c r="N892" s="65"/>
    </row>
    <row r="893" spans="1:14" ht="15" customHeight="1" x14ac:dyDescent="0.2">
      <c r="A893" s="188"/>
      <c r="C893" s="189"/>
      <c r="E893" s="190"/>
      <c r="G893" s="70"/>
      <c r="H893" s="70"/>
      <c r="J893" s="70"/>
      <c r="L893" s="71"/>
      <c r="N893" s="65"/>
    </row>
    <row r="894" spans="1:14" ht="15" customHeight="1" x14ac:dyDescent="0.2">
      <c r="A894" s="188"/>
      <c r="C894" s="189"/>
      <c r="E894" s="190"/>
      <c r="G894" s="70"/>
      <c r="H894" s="70"/>
      <c r="J894" s="70"/>
      <c r="L894" s="71"/>
      <c r="N894" s="65"/>
    </row>
    <row r="895" spans="1:14" ht="15" customHeight="1" x14ac:dyDescent="0.2">
      <c r="A895" s="188"/>
      <c r="C895" s="189"/>
      <c r="E895" s="190"/>
      <c r="G895" s="70"/>
      <c r="H895" s="70"/>
      <c r="J895" s="70"/>
      <c r="L895" s="71"/>
      <c r="N895" s="65"/>
    </row>
    <row r="896" spans="1:14" ht="15" customHeight="1" x14ac:dyDescent="0.2">
      <c r="A896" s="188"/>
      <c r="C896" s="189"/>
      <c r="E896" s="190"/>
      <c r="G896" s="70"/>
      <c r="H896" s="70"/>
      <c r="J896" s="70"/>
      <c r="L896" s="71"/>
      <c r="N896" s="65"/>
    </row>
    <row r="897" spans="1:14" ht="15" customHeight="1" x14ac:dyDescent="0.2">
      <c r="A897" s="188"/>
      <c r="C897" s="189"/>
      <c r="E897" s="190"/>
      <c r="G897" s="70"/>
      <c r="H897" s="70"/>
      <c r="J897" s="70"/>
      <c r="L897" s="71"/>
      <c r="N897" s="65"/>
    </row>
    <row r="898" spans="1:14" ht="15" customHeight="1" x14ac:dyDescent="0.2">
      <c r="A898" s="188"/>
      <c r="C898" s="189"/>
      <c r="E898" s="190"/>
      <c r="G898" s="70"/>
      <c r="H898" s="70"/>
      <c r="J898" s="70"/>
      <c r="L898" s="71"/>
      <c r="N898" s="65"/>
    </row>
    <row r="899" spans="1:14" ht="15" customHeight="1" x14ac:dyDescent="0.2">
      <c r="A899" s="188"/>
      <c r="C899" s="189"/>
      <c r="E899" s="190"/>
      <c r="G899" s="70"/>
      <c r="H899" s="70"/>
      <c r="J899" s="70"/>
      <c r="L899" s="71"/>
      <c r="N899" s="65"/>
    </row>
    <row r="900" spans="1:14" ht="15" customHeight="1" x14ac:dyDescent="0.2">
      <c r="A900" s="188"/>
      <c r="C900" s="189"/>
      <c r="E900" s="190"/>
      <c r="G900" s="70"/>
      <c r="H900" s="70"/>
      <c r="J900" s="70"/>
      <c r="L900" s="71"/>
      <c r="N900" s="65"/>
    </row>
    <row r="901" spans="1:14" ht="15" customHeight="1" x14ac:dyDescent="0.2">
      <c r="A901" s="188"/>
      <c r="C901" s="189"/>
      <c r="E901" s="190"/>
      <c r="G901" s="70"/>
      <c r="H901" s="70"/>
      <c r="J901" s="70"/>
      <c r="L901" s="71"/>
      <c r="N901" s="65"/>
    </row>
    <row r="902" spans="1:14" ht="15" customHeight="1" x14ac:dyDescent="0.2">
      <c r="A902" s="188"/>
      <c r="C902" s="189"/>
      <c r="E902" s="190"/>
      <c r="G902" s="70"/>
      <c r="H902" s="70"/>
      <c r="J902" s="70"/>
      <c r="L902" s="71"/>
      <c r="N902" s="65"/>
    </row>
    <row r="903" spans="1:14" ht="15" customHeight="1" x14ac:dyDescent="0.2">
      <c r="A903" s="188"/>
      <c r="C903" s="189"/>
      <c r="E903" s="190"/>
      <c r="G903" s="70"/>
      <c r="H903" s="70"/>
      <c r="J903" s="70"/>
      <c r="L903" s="71"/>
      <c r="N903" s="65"/>
    </row>
    <row r="904" spans="1:14" ht="15" customHeight="1" x14ac:dyDescent="0.2">
      <c r="A904" s="188"/>
      <c r="C904" s="189"/>
      <c r="E904" s="190"/>
      <c r="G904" s="70"/>
      <c r="H904" s="70"/>
      <c r="J904" s="70"/>
      <c r="L904" s="71"/>
      <c r="N904" s="65"/>
    </row>
    <row r="905" spans="1:14" ht="15" customHeight="1" x14ac:dyDescent="0.2">
      <c r="A905" s="188"/>
      <c r="C905" s="189"/>
      <c r="E905" s="190"/>
      <c r="G905" s="70"/>
      <c r="H905" s="70"/>
      <c r="J905" s="70"/>
      <c r="L905" s="71"/>
      <c r="N905" s="65"/>
    </row>
    <row r="906" spans="1:14" ht="15" customHeight="1" x14ac:dyDescent="0.2">
      <c r="A906" s="188"/>
      <c r="C906" s="189"/>
      <c r="E906" s="190"/>
      <c r="G906" s="70"/>
      <c r="H906" s="70"/>
      <c r="J906" s="70"/>
      <c r="L906" s="71"/>
      <c r="N906" s="65"/>
    </row>
    <row r="907" spans="1:14" ht="15" customHeight="1" x14ac:dyDescent="0.2">
      <c r="A907" s="188"/>
      <c r="C907" s="189"/>
      <c r="E907" s="190"/>
      <c r="G907" s="70"/>
      <c r="H907" s="70"/>
      <c r="J907" s="70"/>
      <c r="L907" s="71"/>
      <c r="N907" s="65"/>
    </row>
    <row r="908" spans="1:14" ht="15" customHeight="1" x14ac:dyDescent="0.2">
      <c r="A908" s="188"/>
      <c r="C908" s="189"/>
      <c r="E908" s="190"/>
      <c r="G908" s="70"/>
      <c r="H908" s="70"/>
      <c r="J908" s="70"/>
      <c r="L908" s="71"/>
      <c r="N908" s="65"/>
    </row>
    <row r="909" spans="1:14" ht="15" customHeight="1" x14ac:dyDescent="0.2">
      <c r="A909" s="188"/>
      <c r="C909" s="189"/>
      <c r="E909" s="190"/>
      <c r="G909" s="70"/>
      <c r="H909" s="70"/>
      <c r="J909" s="70"/>
      <c r="L909" s="71"/>
      <c r="N909" s="65"/>
    </row>
    <row r="910" spans="1:14" ht="15" customHeight="1" x14ac:dyDescent="0.2">
      <c r="A910" s="188"/>
      <c r="C910" s="189"/>
      <c r="E910" s="190"/>
      <c r="G910" s="70"/>
      <c r="H910" s="70"/>
      <c r="J910" s="70"/>
      <c r="L910" s="71"/>
      <c r="N910" s="65"/>
    </row>
    <row r="911" spans="1:14" ht="15" customHeight="1" x14ac:dyDescent="0.2">
      <c r="A911" s="188"/>
      <c r="C911" s="189"/>
      <c r="E911" s="190"/>
      <c r="G911" s="70"/>
      <c r="H911" s="70"/>
      <c r="J911" s="70"/>
      <c r="L911" s="71"/>
      <c r="N911" s="65"/>
    </row>
    <row r="912" spans="1:14" ht="15" customHeight="1" x14ac:dyDescent="0.2">
      <c r="A912" s="188"/>
      <c r="C912" s="189"/>
      <c r="E912" s="190"/>
      <c r="G912" s="70"/>
      <c r="H912" s="70"/>
      <c r="J912" s="70"/>
      <c r="L912" s="71"/>
      <c r="N912" s="65"/>
    </row>
    <row r="913" spans="1:14" ht="15" customHeight="1" x14ac:dyDescent="0.2">
      <c r="A913" s="188"/>
      <c r="C913" s="189"/>
      <c r="E913" s="190"/>
      <c r="G913" s="70"/>
      <c r="H913" s="70"/>
      <c r="J913" s="70"/>
      <c r="L913" s="71"/>
      <c r="N913" s="65"/>
    </row>
    <row r="914" spans="1:14" ht="15" customHeight="1" x14ac:dyDescent="0.2">
      <c r="A914" s="188"/>
      <c r="C914" s="189"/>
      <c r="E914" s="190"/>
      <c r="G914" s="70"/>
      <c r="H914" s="70"/>
      <c r="J914" s="70"/>
      <c r="L914" s="71"/>
      <c r="N914" s="65"/>
    </row>
    <row r="915" spans="1:14" ht="15" customHeight="1" x14ac:dyDescent="0.2">
      <c r="A915" s="188"/>
      <c r="C915" s="189"/>
      <c r="E915" s="190"/>
      <c r="G915" s="70"/>
      <c r="H915" s="70"/>
      <c r="J915" s="70"/>
      <c r="L915" s="71"/>
      <c r="N915" s="65"/>
    </row>
    <row r="916" spans="1:14" ht="15" customHeight="1" x14ac:dyDescent="0.2">
      <c r="A916" s="188"/>
      <c r="C916" s="189"/>
      <c r="E916" s="190"/>
      <c r="G916" s="70"/>
      <c r="H916" s="70"/>
      <c r="J916" s="70"/>
      <c r="L916" s="71"/>
      <c r="N916" s="65"/>
    </row>
    <row r="917" spans="1:14" ht="15" customHeight="1" x14ac:dyDescent="0.2">
      <c r="A917" s="188"/>
      <c r="C917" s="189"/>
      <c r="E917" s="190"/>
      <c r="G917" s="70"/>
      <c r="H917" s="70"/>
      <c r="J917" s="70"/>
      <c r="L917" s="71"/>
      <c r="N917" s="65"/>
    </row>
    <row r="918" spans="1:14" ht="15" customHeight="1" x14ac:dyDescent="0.2">
      <c r="A918" s="188"/>
      <c r="C918" s="189"/>
      <c r="E918" s="190"/>
      <c r="G918" s="70"/>
      <c r="H918" s="70"/>
      <c r="J918" s="70"/>
      <c r="L918" s="71"/>
      <c r="N918" s="65"/>
    </row>
    <row r="919" spans="1:14" ht="15" customHeight="1" x14ac:dyDescent="0.2">
      <c r="A919" s="188"/>
      <c r="C919" s="189"/>
      <c r="E919" s="190"/>
      <c r="G919" s="70"/>
      <c r="H919" s="70"/>
      <c r="J919" s="70"/>
      <c r="L919" s="71"/>
      <c r="N919" s="65"/>
    </row>
    <row r="920" spans="1:14" ht="15" customHeight="1" x14ac:dyDescent="0.2">
      <c r="A920" s="188"/>
      <c r="C920" s="189"/>
      <c r="E920" s="190"/>
      <c r="G920" s="70"/>
      <c r="H920" s="70"/>
      <c r="J920" s="70"/>
      <c r="L920" s="71"/>
      <c r="N920" s="65"/>
    </row>
    <row r="921" spans="1:14" ht="15" customHeight="1" x14ac:dyDescent="0.2">
      <c r="A921" s="188"/>
      <c r="C921" s="189"/>
      <c r="E921" s="190"/>
      <c r="G921" s="70"/>
      <c r="H921" s="70"/>
      <c r="J921" s="70"/>
      <c r="L921" s="71"/>
      <c r="N921" s="65"/>
    </row>
    <row r="922" spans="1:14" ht="15" customHeight="1" x14ac:dyDescent="0.2">
      <c r="A922" s="188"/>
      <c r="C922" s="189"/>
      <c r="E922" s="190"/>
      <c r="G922" s="70"/>
      <c r="H922" s="70"/>
      <c r="J922" s="70"/>
      <c r="L922" s="71"/>
      <c r="N922" s="65"/>
    </row>
    <row r="923" spans="1:14" ht="15" customHeight="1" x14ac:dyDescent="0.2">
      <c r="A923" s="188"/>
      <c r="C923" s="189"/>
      <c r="E923" s="190"/>
      <c r="G923" s="70"/>
      <c r="H923" s="70"/>
      <c r="J923" s="70"/>
      <c r="L923" s="71"/>
      <c r="N923" s="65"/>
    </row>
    <row r="924" spans="1:14" ht="15" customHeight="1" x14ac:dyDescent="0.2">
      <c r="A924" s="188"/>
      <c r="C924" s="189"/>
      <c r="E924" s="190"/>
      <c r="G924" s="70"/>
      <c r="H924" s="70"/>
      <c r="J924" s="70"/>
      <c r="L924" s="71"/>
      <c r="N924" s="65"/>
    </row>
    <row r="925" spans="1:14" ht="15" customHeight="1" x14ac:dyDescent="0.2">
      <c r="A925" s="188"/>
      <c r="C925" s="189"/>
      <c r="E925" s="190"/>
      <c r="G925" s="70"/>
      <c r="H925" s="70"/>
      <c r="J925" s="70"/>
      <c r="L925" s="71"/>
      <c r="N925" s="65"/>
    </row>
    <row r="926" spans="1:14" ht="15" customHeight="1" x14ac:dyDescent="0.2">
      <c r="A926" s="188"/>
      <c r="C926" s="189"/>
      <c r="E926" s="190"/>
      <c r="G926" s="70"/>
      <c r="H926" s="70"/>
      <c r="J926" s="70"/>
      <c r="L926" s="71"/>
      <c r="N926" s="65"/>
    </row>
    <row r="927" spans="1:14" ht="15" customHeight="1" x14ac:dyDescent="0.2">
      <c r="A927" s="188"/>
      <c r="C927" s="189"/>
      <c r="E927" s="190"/>
      <c r="G927" s="70"/>
      <c r="H927" s="70"/>
      <c r="J927" s="70"/>
      <c r="L927" s="71"/>
      <c r="N927" s="65"/>
    </row>
    <row r="928" spans="1:14" ht="15" customHeight="1" x14ac:dyDescent="0.2">
      <c r="A928" s="188"/>
      <c r="C928" s="189"/>
      <c r="E928" s="190"/>
      <c r="G928" s="70"/>
      <c r="H928" s="70"/>
      <c r="J928" s="70"/>
      <c r="L928" s="71"/>
      <c r="N928" s="65"/>
    </row>
    <row r="929" spans="1:14" ht="15" customHeight="1" x14ac:dyDescent="0.2">
      <c r="A929" s="188"/>
      <c r="C929" s="189"/>
      <c r="E929" s="190"/>
      <c r="G929" s="70"/>
      <c r="H929" s="70"/>
      <c r="J929" s="70"/>
      <c r="L929" s="71"/>
      <c r="N929" s="65"/>
    </row>
    <row r="930" spans="1:14" ht="15" customHeight="1" x14ac:dyDescent="0.2">
      <c r="A930" s="188"/>
      <c r="C930" s="189"/>
      <c r="E930" s="190"/>
      <c r="G930" s="70"/>
      <c r="H930" s="70"/>
      <c r="J930" s="70"/>
      <c r="L930" s="71"/>
      <c r="N930" s="65"/>
    </row>
    <row r="931" spans="1:14" ht="15" customHeight="1" x14ac:dyDescent="0.2">
      <c r="A931" s="188"/>
      <c r="C931" s="189"/>
      <c r="E931" s="190"/>
      <c r="G931" s="70"/>
      <c r="H931" s="70"/>
      <c r="J931" s="70"/>
      <c r="L931" s="71"/>
      <c r="N931" s="65"/>
    </row>
    <row r="932" spans="1:14" ht="15" customHeight="1" x14ac:dyDescent="0.2">
      <c r="A932" s="188"/>
      <c r="C932" s="189"/>
      <c r="E932" s="190"/>
      <c r="G932" s="70"/>
      <c r="H932" s="70"/>
      <c r="J932" s="70"/>
      <c r="L932" s="71"/>
      <c r="N932" s="65"/>
    </row>
    <row r="933" spans="1:14" ht="15" customHeight="1" x14ac:dyDescent="0.2">
      <c r="A933" s="188"/>
      <c r="C933" s="189"/>
      <c r="E933" s="190"/>
      <c r="G933" s="70"/>
      <c r="H933" s="70"/>
      <c r="J933" s="70"/>
      <c r="L933" s="71"/>
      <c r="N933" s="65"/>
    </row>
    <row r="934" spans="1:14" ht="15" customHeight="1" x14ac:dyDescent="0.2">
      <c r="A934" s="188"/>
      <c r="C934" s="189"/>
      <c r="E934" s="190"/>
      <c r="G934" s="70"/>
      <c r="H934" s="70"/>
      <c r="J934" s="70"/>
      <c r="L934" s="71"/>
      <c r="N934" s="65"/>
    </row>
    <row r="935" spans="1:14" ht="15" customHeight="1" x14ac:dyDescent="0.2">
      <c r="A935" s="188"/>
      <c r="C935" s="189"/>
      <c r="E935" s="190"/>
      <c r="G935" s="70"/>
      <c r="H935" s="70"/>
      <c r="J935" s="70"/>
      <c r="L935" s="71"/>
      <c r="N935" s="65"/>
    </row>
    <row r="936" spans="1:14" ht="15" customHeight="1" x14ac:dyDescent="0.2">
      <c r="A936" s="188"/>
      <c r="C936" s="189"/>
      <c r="E936" s="190"/>
      <c r="G936" s="70"/>
      <c r="H936" s="70"/>
      <c r="J936" s="70"/>
      <c r="L936" s="71"/>
      <c r="N936" s="65"/>
    </row>
    <row r="937" spans="1:14" ht="15" customHeight="1" x14ac:dyDescent="0.2">
      <c r="A937" s="188"/>
      <c r="C937" s="189"/>
      <c r="E937" s="190"/>
      <c r="G937" s="70"/>
      <c r="H937" s="70"/>
      <c r="J937" s="70"/>
      <c r="L937" s="71"/>
      <c r="N937" s="65"/>
    </row>
    <row r="938" spans="1:14" ht="15" customHeight="1" x14ac:dyDescent="0.2">
      <c r="A938" s="188"/>
      <c r="C938" s="189"/>
      <c r="E938" s="190"/>
      <c r="G938" s="70"/>
      <c r="H938" s="70"/>
      <c r="J938" s="70"/>
      <c r="L938" s="71"/>
      <c r="N938" s="65"/>
    </row>
    <row r="939" spans="1:14" ht="15" customHeight="1" x14ac:dyDescent="0.2">
      <c r="A939" s="188"/>
      <c r="C939" s="189"/>
      <c r="E939" s="190"/>
      <c r="G939" s="70"/>
      <c r="H939" s="70"/>
      <c r="J939" s="70"/>
      <c r="L939" s="71"/>
      <c r="N939" s="65"/>
    </row>
    <row r="940" spans="1:14" ht="15" customHeight="1" x14ac:dyDescent="0.2">
      <c r="A940" s="188"/>
      <c r="C940" s="189"/>
      <c r="E940" s="190"/>
      <c r="G940" s="70"/>
      <c r="H940" s="70"/>
      <c r="J940" s="70"/>
      <c r="L940" s="71"/>
      <c r="N940" s="65"/>
    </row>
    <row r="941" spans="1:14" ht="15" customHeight="1" x14ac:dyDescent="0.2">
      <c r="A941" s="188"/>
      <c r="C941" s="189"/>
      <c r="E941" s="190"/>
      <c r="G941" s="70"/>
      <c r="H941" s="70"/>
      <c r="J941" s="70"/>
      <c r="L941" s="71"/>
      <c r="N941" s="65"/>
    </row>
    <row r="942" spans="1:14" ht="15" customHeight="1" x14ac:dyDescent="0.2">
      <c r="A942" s="188"/>
      <c r="C942" s="189"/>
      <c r="E942" s="190"/>
      <c r="G942" s="70"/>
      <c r="H942" s="70"/>
      <c r="J942" s="70"/>
      <c r="L942" s="71"/>
      <c r="N942" s="65"/>
    </row>
    <row r="943" spans="1:14" ht="15" customHeight="1" x14ac:dyDescent="0.2">
      <c r="A943" s="188"/>
      <c r="C943" s="189"/>
      <c r="E943" s="190"/>
      <c r="G943" s="70"/>
      <c r="H943" s="70"/>
      <c r="J943" s="70"/>
      <c r="L943" s="71"/>
      <c r="N943" s="65"/>
    </row>
    <row r="944" spans="1:14" ht="15" customHeight="1" x14ac:dyDescent="0.2">
      <c r="A944" s="188"/>
      <c r="C944" s="189"/>
      <c r="E944" s="190"/>
      <c r="G944" s="70"/>
      <c r="H944" s="70"/>
      <c r="J944" s="70"/>
      <c r="L944" s="71"/>
      <c r="N944" s="65"/>
    </row>
    <row r="945" spans="1:14" ht="15" customHeight="1" x14ac:dyDescent="0.2">
      <c r="A945" s="188"/>
      <c r="C945" s="189"/>
      <c r="E945" s="190"/>
      <c r="G945" s="70"/>
      <c r="H945" s="70"/>
      <c r="J945" s="70"/>
      <c r="L945" s="71"/>
      <c r="N945" s="65"/>
    </row>
    <row r="946" spans="1:14" ht="15" customHeight="1" x14ac:dyDescent="0.2">
      <c r="A946" s="188"/>
      <c r="C946" s="189"/>
      <c r="E946" s="190"/>
      <c r="G946" s="70"/>
      <c r="H946" s="70"/>
      <c r="J946" s="70"/>
      <c r="L946" s="71"/>
      <c r="N946" s="65"/>
    </row>
    <row r="947" spans="1:14" ht="15" customHeight="1" x14ac:dyDescent="0.2">
      <c r="A947" s="188"/>
      <c r="C947" s="189"/>
      <c r="E947" s="190"/>
      <c r="G947" s="70"/>
      <c r="H947" s="70"/>
      <c r="J947" s="70"/>
      <c r="L947" s="71"/>
      <c r="N947" s="65"/>
    </row>
    <row r="948" spans="1:14" ht="15" customHeight="1" x14ac:dyDescent="0.2">
      <c r="A948" s="188"/>
      <c r="C948" s="189"/>
      <c r="E948" s="190"/>
      <c r="G948" s="70"/>
      <c r="H948" s="70"/>
      <c r="J948" s="70"/>
      <c r="L948" s="71"/>
      <c r="N948" s="65"/>
    </row>
    <row r="949" spans="1:14" ht="15" customHeight="1" x14ac:dyDescent="0.2">
      <c r="A949" s="188"/>
      <c r="C949" s="189"/>
      <c r="E949" s="190"/>
      <c r="G949" s="70"/>
      <c r="H949" s="70"/>
      <c r="J949" s="70"/>
      <c r="L949" s="71"/>
      <c r="N949" s="65"/>
    </row>
    <row r="950" spans="1:14" ht="15" customHeight="1" x14ac:dyDescent="0.2">
      <c r="A950" s="188"/>
      <c r="C950" s="189"/>
      <c r="E950" s="190"/>
      <c r="G950" s="70"/>
      <c r="H950" s="70"/>
      <c r="J950" s="70"/>
      <c r="L950" s="71"/>
      <c r="N950" s="65"/>
    </row>
    <row r="951" spans="1:14" ht="15" customHeight="1" x14ac:dyDescent="0.2">
      <c r="A951" s="188"/>
      <c r="C951" s="189"/>
      <c r="E951" s="190"/>
      <c r="G951" s="70"/>
      <c r="H951" s="70"/>
      <c r="J951" s="70"/>
      <c r="L951" s="71"/>
      <c r="N951" s="65"/>
    </row>
    <row r="952" spans="1:14" ht="15" customHeight="1" x14ac:dyDescent="0.2">
      <c r="A952" s="188"/>
      <c r="C952" s="189"/>
      <c r="E952" s="190"/>
      <c r="G952" s="70"/>
      <c r="H952" s="70"/>
      <c r="J952" s="70"/>
      <c r="L952" s="71"/>
      <c r="N952" s="65"/>
    </row>
    <row r="953" spans="1:14" ht="15" customHeight="1" x14ac:dyDescent="0.2">
      <c r="A953" s="188"/>
      <c r="C953" s="189"/>
      <c r="E953" s="190"/>
      <c r="G953" s="70"/>
      <c r="H953" s="70"/>
      <c r="J953" s="70"/>
      <c r="L953" s="71"/>
      <c r="N953" s="65"/>
    </row>
    <row r="954" spans="1:14" ht="15" customHeight="1" x14ac:dyDescent="0.2">
      <c r="A954" s="188"/>
      <c r="C954" s="189"/>
      <c r="E954" s="190"/>
      <c r="G954" s="70"/>
      <c r="H954" s="70"/>
      <c r="J954" s="70"/>
      <c r="L954" s="71"/>
      <c r="N954" s="65"/>
    </row>
    <row r="955" spans="1:14" ht="15" customHeight="1" x14ac:dyDescent="0.2">
      <c r="A955" s="188"/>
      <c r="C955" s="189"/>
      <c r="E955" s="190"/>
      <c r="G955" s="70"/>
      <c r="H955" s="70"/>
      <c r="J955" s="70"/>
      <c r="L955" s="71"/>
      <c r="N955" s="65"/>
    </row>
    <row r="956" spans="1:14" ht="15" customHeight="1" x14ac:dyDescent="0.2">
      <c r="A956" s="188"/>
      <c r="C956" s="189"/>
      <c r="E956" s="190"/>
      <c r="G956" s="70"/>
      <c r="H956" s="70"/>
      <c r="J956" s="70"/>
      <c r="L956" s="71"/>
      <c r="N956" s="65"/>
    </row>
    <row r="957" spans="1:14" ht="15" customHeight="1" x14ac:dyDescent="0.2">
      <c r="A957" s="188"/>
      <c r="C957" s="189"/>
      <c r="E957" s="190"/>
      <c r="G957" s="70"/>
      <c r="H957" s="70"/>
      <c r="J957" s="70"/>
      <c r="L957" s="71"/>
      <c r="N957" s="65"/>
    </row>
    <row r="958" spans="1:14" ht="15" customHeight="1" x14ac:dyDescent="0.2">
      <c r="A958" s="188"/>
      <c r="C958" s="189"/>
      <c r="E958" s="190"/>
      <c r="G958" s="70"/>
      <c r="H958" s="70"/>
      <c r="J958" s="70"/>
      <c r="L958" s="71"/>
      <c r="N958" s="65"/>
    </row>
    <row r="959" spans="1:14" ht="15" customHeight="1" x14ac:dyDescent="0.2">
      <c r="A959" s="188"/>
      <c r="C959" s="189"/>
      <c r="E959" s="190"/>
      <c r="G959" s="70"/>
      <c r="H959" s="70"/>
      <c r="J959" s="70"/>
      <c r="L959" s="71"/>
      <c r="N959" s="65"/>
    </row>
    <row r="960" spans="1:14" ht="15" customHeight="1" x14ac:dyDescent="0.2">
      <c r="A960" s="188"/>
      <c r="C960" s="189"/>
      <c r="E960" s="190"/>
      <c r="G960" s="70"/>
      <c r="H960" s="70"/>
      <c r="J960" s="70"/>
      <c r="L960" s="71"/>
      <c r="N960" s="65"/>
    </row>
    <row r="961" spans="1:14" ht="15" customHeight="1" x14ac:dyDescent="0.2">
      <c r="A961" s="188"/>
      <c r="C961" s="189"/>
      <c r="E961" s="190"/>
      <c r="G961" s="70"/>
      <c r="H961" s="70"/>
      <c r="J961" s="70"/>
      <c r="L961" s="71"/>
      <c r="N961" s="65"/>
    </row>
    <row r="962" spans="1:14" ht="15" customHeight="1" x14ac:dyDescent="0.2">
      <c r="A962" s="188"/>
      <c r="C962" s="189"/>
      <c r="E962" s="190"/>
      <c r="G962" s="70"/>
      <c r="H962" s="70"/>
      <c r="J962" s="70"/>
      <c r="L962" s="71"/>
      <c r="N962" s="65"/>
    </row>
    <row r="963" spans="1:14" ht="15" customHeight="1" x14ac:dyDescent="0.2">
      <c r="A963" s="188"/>
      <c r="C963" s="189"/>
      <c r="E963" s="190"/>
      <c r="G963" s="70"/>
      <c r="H963" s="70"/>
      <c r="J963" s="70"/>
      <c r="L963" s="71"/>
      <c r="N963" s="65"/>
    </row>
    <row r="964" spans="1:14" ht="15" customHeight="1" x14ac:dyDescent="0.2">
      <c r="A964" s="188"/>
      <c r="C964" s="189"/>
      <c r="E964" s="190"/>
      <c r="G964" s="70"/>
      <c r="H964" s="70"/>
      <c r="J964" s="70"/>
      <c r="L964" s="71"/>
      <c r="N964" s="65"/>
    </row>
    <row r="965" spans="1:14" ht="15" customHeight="1" x14ac:dyDescent="0.2">
      <c r="A965" s="188"/>
      <c r="C965" s="189"/>
      <c r="E965" s="190"/>
      <c r="G965" s="70"/>
      <c r="H965" s="70"/>
      <c r="J965" s="70"/>
      <c r="L965" s="71"/>
      <c r="N965" s="65"/>
    </row>
    <row r="966" spans="1:14" ht="15" customHeight="1" x14ac:dyDescent="0.2">
      <c r="A966" s="188"/>
      <c r="C966" s="189"/>
      <c r="E966" s="190"/>
      <c r="G966" s="70"/>
      <c r="H966" s="70"/>
      <c r="J966" s="70"/>
      <c r="L966" s="71"/>
      <c r="N966" s="65"/>
    </row>
    <row r="967" spans="1:14" ht="15" customHeight="1" x14ac:dyDescent="0.2">
      <c r="A967" s="188"/>
      <c r="C967" s="189"/>
      <c r="E967" s="190"/>
      <c r="G967" s="70"/>
      <c r="H967" s="70"/>
      <c r="J967" s="70"/>
      <c r="L967" s="71"/>
      <c r="N967" s="65"/>
    </row>
    <row r="968" spans="1:14" ht="15" customHeight="1" x14ac:dyDescent="0.2">
      <c r="A968" s="188"/>
      <c r="C968" s="189"/>
      <c r="E968" s="190"/>
      <c r="G968" s="70"/>
      <c r="H968" s="70"/>
      <c r="J968" s="70"/>
      <c r="L968" s="71"/>
      <c r="N968" s="65"/>
    </row>
    <row r="969" spans="1:14" ht="15" customHeight="1" x14ac:dyDescent="0.2">
      <c r="A969" s="188"/>
      <c r="C969" s="189"/>
      <c r="E969" s="190"/>
      <c r="G969" s="70"/>
      <c r="H969" s="70"/>
      <c r="J969" s="70"/>
      <c r="L969" s="71"/>
      <c r="N969" s="65"/>
    </row>
    <row r="970" spans="1:14" ht="15" customHeight="1" x14ac:dyDescent="0.2">
      <c r="A970" s="188"/>
      <c r="C970" s="189"/>
      <c r="E970" s="190"/>
      <c r="G970" s="70"/>
      <c r="H970" s="70"/>
      <c r="J970" s="70"/>
      <c r="L970" s="71"/>
      <c r="N970" s="65"/>
    </row>
    <row r="971" spans="1:14" ht="15" customHeight="1" x14ac:dyDescent="0.2">
      <c r="A971" s="188"/>
      <c r="C971" s="189"/>
      <c r="E971" s="190"/>
      <c r="G971" s="70"/>
      <c r="H971" s="70"/>
      <c r="J971" s="70"/>
      <c r="L971" s="71"/>
      <c r="N971" s="65"/>
    </row>
    <row r="972" spans="1:14" ht="15" customHeight="1" x14ac:dyDescent="0.2">
      <c r="A972" s="188"/>
      <c r="C972" s="189"/>
      <c r="E972" s="190"/>
      <c r="G972" s="70"/>
      <c r="H972" s="70"/>
      <c r="J972" s="70"/>
      <c r="L972" s="71"/>
      <c r="N972" s="65"/>
    </row>
    <row r="973" spans="1:14" ht="15" customHeight="1" x14ac:dyDescent="0.2">
      <c r="A973" s="188"/>
      <c r="C973" s="189"/>
      <c r="E973" s="190"/>
      <c r="G973" s="70"/>
      <c r="H973" s="70"/>
      <c r="J973" s="70"/>
      <c r="L973" s="71"/>
      <c r="N973" s="65"/>
    </row>
    <row r="974" spans="1:14" ht="15" customHeight="1" x14ac:dyDescent="0.2">
      <c r="A974" s="188"/>
      <c r="C974" s="189"/>
      <c r="E974" s="190"/>
      <c r="G974" s="70"/>
      <c r="H974" s="70"/>
      <c r="J974" s="70"/>
      <c r="L974" s="71"/>
      <c r="N974" s="65"/>
    </row>
    <row r="975" spans="1:14" ht="15" customHeight="1" x14ac:dyDescent="0.2">
      <c r="A975" s="188"/>
      <c r="C975" s="189"/>
      <c r="E975" s="190"/>
      <c r="G975" s="70"/>
      <c r="H975" s="70"/>
      <c r="J975" s="70"/>
      <c r="L975" s="71"/>
      <c r="N975" s="65"/>
    </row>
    <row r="976" spans="1:14" ht="15" customHeight="1" x14ac:dyDescent="0.2">
      <c r="A976" s="188"/>
      <c r="C976" s="189"/>
      <c r="E976" s="190"/>
      <c r="G976" s="70"/>
      <c r="H976" s="70"/>
      <c r="J976" s="70"/>
      <c r="L976" s="71"/>
      <c r="N976" s="65"/>
    </row>
    <row r="977" spans="1:14" ht="15" customHeight="1" x14ac:dyDescent="0.2">
      <c r="A977" s="188"/>
      <c r="C977" s="189"/>
      <c r="E977" s="190"/>
      <c r="G977" s="70"/>
      <c r="H977" s="70"/>
      <c r="J977" s="70"/>
      <c r="L977" s="71"/>
      <c r="N977" s="65"/>
    </row>
    <row r="978" spans="1:14" ht="15" customHeight="1" x14ac:dyDescent="0.2">
      <c r="A978" s="188"/>
      <c r="C978" s="189"/>
      <c r="E978" s="190"/>
      <c r="G978" s="70"/>
      <c r="H978" s="70"/>
      <c r="J978" s="70"/>
      <c r="L978" s="71"/>
      <c r="N978" s="65"/>
    </row>
    <row r="979" spans="1:14" ht="15" customHeight="1" x14ac:dyDescent="0.2">
      <c r="A979" s="188"/>
      <c r="C979" s="189"/>
      <c r="E979" s="190"/>
      <c r="G979" s="70"/>
      <c r="H979" s="70"/>
      <c r="J979" s="70"/>
      <c r="L979" s="71"/>
      <c r="N979" s="65"/>
    </row>
    <row r="980" spans="1:14" ht="15" customHeight="1" x14ac:dyDescent="0.2">
      <c r="A980" s="188"/>
      <c r="C980" s="189"/>
      <c r="E980" s="190"/>
      <c r="G980" s="70"/>
      <c r="H980" s="70"/>
      <c r="J980" s="70"/>
      <c r="L980" s="71"/>
      <c r="N980" s="65"/>
    </row>
    <row r="981" spans="1:14" ht="15" customHeight="1" x14ac:dyDescent="0.2">
      <c r="A981" s="188"/>
      <c r="C981" s="189"/>
      <c r="E981" s="190"/>
      <c r="G981" s="70"/>
      <c r="H981" s="70"/>
      <c r="J981" s="70"/>
      <c r="L981" s="71"/>
      <c r="N981" s="65"/>
    </row>
    <row r="982" spans="1:14" ht="15" customHeight="1" x14ac:dyDescent="0.2">
      <c r="A982" s="188"/>
      <c r="C982" s="189"/>
      <c r="E982" s="190"/>
      <c r="G982" s="70"/>
      <c r="H982" s="70"/>
      <c r="J982" s="70"/>
      <c r="L982" s="71"/>
      <c r="N982" s="65"/>
    </row>
    <row r="983" spans="1:14" ht="15" customHeight="1" x14ac:dyDescent="0.2">
      <c r="A983" s="188"/>
      <c r="C983" s="189"/>
      <c r="E983" s="190"/>
      <c r="G983" s="70"/>
      <c r="H983" s="70"/>
      <c r="J983" s="70"/>
      <c r="L983" s="71"/>
      <c r="N983" s="65"/>
    </row>
    <row r="984" spans="1:14" ht="15" customHeight="1" x14ac:dyDescent="0.2">
      <c r="A984" s="188"/>
      <c r="C984" s="189"/>
      <c r="E984" s="190"/>
      <c r="G984" s="70"/>
      <c r="H984" s="70"/>
      <c r="J984" s="70"/>
      <c r="L984" s="71"/>
      <c r="N984" s="65"/>
    </row>
    <row r="985" spans="1:14" ht="15" customHeight="1" x14ac:dyDescent="0.2">
      <c r="A985" s="188"/>
      <c r="C985" s="189"/>
      <c r="E985" s="190"/>
      <c r="G985" s="70"/>
      <c r="H985" s="70"/>
      <c r="J985" s="70"/>
      <c r="L985" s="71"/>
      <c r="N985" s="65"/>
    </row>
    <row r="986" spans="1:14" ht="15" customHeight="1" x14ac:dyDescent="0.2">
      <c r="A986" s="188"/>
      <c r="C986" s="189"/>
      <c r="E986" s="190"/>
      <c r="G986" s="70"/>
      <c r="H986" s="70"/>
      <c r="J986" s="70"/>
      <c r="L986" s="71"/>
      <c r="N986" s="65"/>
    </row>
    <row r="987" spans="1:14" ht="15" customHeight="1" x14ac:dyDescent="0.2">
      <c r="A987" s="188"/>
      <c r="C987" s="189"/>
      <c r="E987" s="190"/>
      <c r="G987" s="70"/>
      <c r="H987" s="70"/>
      <c r="J987" s="70"/>
      <c r="L987" s="71"/>
      <c r="N987" s="65"/>
    </row>
    <row r="988" spans="1:14" ht="15" customHeight="1" x14ac:dyDescent="0.2">
      <c r="A988" s="188"/>
      <c r="C988" s="189"/>
      <c r="E988" s="190"/>
      <c r="G988" s="70"/>
      <c r="H988" s="70"/>
      <c r="J988" s="70"/>
      <c r="L988" s="71"/>
      <c r="N988" s="65"/>
    </row>
    <row r="989" spans="1:14" ht="15" customHeight="1" x14ac:dyDescent="0.2">
      <c r="A989" s="188"/>
      <c r="C989" s="189"/>
      <c r="E989" s="190"/>
      <c r="G989" s="70"/>
      <c r="H989" s="70"/>
      <c r="J989" s="70"/>
      <c r="L989" s="71"/>
      <c r="N989" s="65"/>
    </row>
    <row r="990" spans="1:14" ht="15" customHeight="1" x14ac:dyDescent="0.2">
      <c r="A990" s="188"/>
      <c r="C990" s="189"/>
      <c r="E990" s="190"/>
      <c r="G990" s="70"/>
      <c r="H990" s="70"/>
      <c r="J990" s="70"/>
      <c r="L990" s="71"/>
      <c r="N990" s="65"/>
    </row>
    <row r="991" spans="1:14" ht="15" customHeight="1" x14ac:dyDescent="0.2">
      <c r="A991" s="188"/>
      <c r="C991" s="189"/>
      <c r="E991" s="190"/>
      <c r="G991" s="70"/>
      <c r="H991" s="70"/>
      <c r="J991" s="70"/>
      <c r="L991" s="71"/>
      <c r="N991" s="65"/>
    </row>
    <row r="992" spans="1:14" ht="15" customHeight="1" x14ac:dyDescent="0.2">
      <c r="A992" s="188"/>
      <c r="C992" s="189"/>
      <c r="E992" s="190"/>
      <c r="G992" s="70"/>
      <c r="H992" s="70"/>
      <c r="J992" s="70"/>
      <c r="L992" s="71"/>
      <c r="N992" s="65"/>
    </row>
    <row r="993" spans="1:14" ht="15" customHeight="1" x14ac:dyDescent="0.2">
      <c r="A993" s="188"/>
      <c r="C993" s="189"/>
      <c r="E993" s="190"/>
      <c r="G993" s="70"/>
      <c r="H993" s="70"/>
      <c r="J993" s="70"/>
      <c r="L993" s="71"/>
      <c r="N993" s="65"/>
    </row>
    <row r="994" spans="1:14" ht="15" customHeight="1" x14ac:dyDescent="0.2">
      <c r="A994" s="188"/>
      <c r="C994" s="189"/>
      <c r="E994" s="190"/>
      <c r="G994" s="70"/>
      <c r="H994" s="70"/>
      <c r="J994" s="70"/>
      <c r="L994" s="71"/>
      <c r="N994" s="65"/>
    </row>
    <row r="995" spans="1:14" ht="15" customHeight="1" x14ac:dyDescent="0.2">
      <c r="A995" s="188"/>
      <c r="C995" s="189"/>
      <c r="E995" s="190"/>
      <c r="G995" s="70"/>
      <c r="H995" s="70"/>
      <c r="J995" s="70"/>
      <c r="L995" s="71"/>
      <c r="N995" s="65"/>
    </row>
    <row r="996" spans="1:14" ht="15" customHeight="1" x14ac:dyDescent="0.2">
      <c r="A996" s="188"/>
      <c r="C996" s="189"/>
      <c r="E996" s="190"/>
      <c r="G996" s="70"/>
      <c r="H996" s="70"/>
      <c r="J996" s="70"/>
      <c r="L996" s="71"/>
      <c r="N996" s="65"/>
    </row>
    <row r="997" spans="1:14" ht="15" customHeight="1" x14ac:dyDescent="0.2">
      <c r="A997" s="188"/>
      <c r="C997" s="189"/>
      <c r="E997" s="190"/>
      <c r="G997" s="70"/>
      <c r="H997" s="70"/>
      <c r="J997" s="70"/>
      <c r="L997" s="71"/>
      <c r="N997" s="65"/>
    </row>
    <row r="998" spans="1:14" ht="15" customHeight="1" x14ac:dyDescent="0.2">
      <c r="A998" s="188"/>
      <c r="C998" s="189"/>
      <c r="E998" s="190"/>
      <c r="G998" s="70"/>
      <c r="H998" s="70"/>
      <c r="J998" s="70"/>
      <c r="L998" s="71"/>
      <c r="N998" s="65"/>
    </row>
    <row r="999" spans="1:14" ht="15" customHeight="1" x14ac:dyDescent="0.2">
      <c r="A999" s="188"/>
      <c r="C999" s="189"/>
      <c r="E999" s="190"/>
      <c r="G999" s="70"/>
      <c r="H999" s="70"/>
      <c r="J999" s="70"/>
      <c r="L999" s="71"/>
      <c r="N999" s="65"/>
    </row>
    <row r="1000" spans="1:14" ht="15" customHeight="1" x14ac:dyDescent="0.2">
      <c r="A1000" s="188"/>
      <c r="C1000" s="189"/>
      <c r="E1000" s="190"/>
      <c r="G1000" s="70"/>
      <c r="H1000" s="70"/>
      <c r="J1000" s="70"/>
      <c r="L1000" s="71"/>
      <c r="N1000" s="65"/>
    </row>
    <row r="1001" spans="1:14" ht="15" customHeight="1" x14ac:dyDescent="0.2">
      <c r="A1001" s="188"/>
      <c r="C1001" s="189"/>
      <c r="E1001" s="190"/>
      <c r="G1001" s="70"/>
      <c r="H1001" s="70"/>
      <c r="J1001" s="70"/>
      <c r="L1001" s="71"/>
      <c r="N1001" s="65"/>
    </row>
    <row r="1002" spans="1:14" ht="15" customHeight="1" x14ac:dyDescent="0.2">
      <c r="A1002" s="188"/>
      <c r="C1002" s="189"/>
      <c r="E1002" s="190"/>
      <c r="G1002" s="70"/>
      <c r="H1002" s="70"/>
      <c r="J1002" s="70"/>
      <c r="L1002" s="71"/>
      <c r="N1002" s="65"/>
    </row>
    <row r="1003" spans="1:14" ht="15" customHeight="1" x14ac:dyDescent="0.2">
      <c r="A1003" s="188"/>
      <c r="C1003" s="189"/>
      <c r="E1003" s="190"/>
      <c r="G1003" s="70"/>
      <c r="H1003" s="70"/>
      <c r="J1003" s="70"/>
      <c r="L1003" s="71"/>
      <c r="N1003" s="65"/>
    </row>
    <row r="1004" spans="1:14" ht="15" customHeight="1" x14ac:dyDescent="0.2">
      <c r="A1004" s="188"/>
      <c r="C1004" s="189"/>
      <c r="E1004" s="190"/>
      <c r="G1004" s="70"/>
      <c r="H1004" s="70"/>
      <c r="J1004" s="70"/>
      <c r="L1004" s="71"/>
      <c r="N1004" s="65"/>
    </row>
    <row r="1005" spans="1:14" ht="15" customHeight="1" x14ac:dyDescent="0.2">
      <c r="A1005" s="188"/>
      <c r="C1005" s="189"/>
      <c r="E1005" s="190"/>
      <c r="G1005" s="70"/>
      <c r="H1005" s="70"/>
      <c r="J1005" s="70"/>
      <c r="L1005" s="71"/>
      <c r="N1005" s="65"/>
    </row>
    <row r="1006" spans="1:14" ht="15" customHeight="1" x14ac:dyDescent="0.2">
      <c r="A1006" s="188"/>
      <c r="C1006" s="189"/>
      <c r="E1006" s="190"/>
      <c r="G1006" s="70"/>
      <c r="H1006" s="70"/>
      <c r="J1006" s="70"/>
      <c r="L1006" s="71"/>
      <c r="N1006" s="65"/>
    </row>
    <row r="1007" spans="1:14" ht="15" customHeight="1" x14ac:dyDescent="0.2">
      <c r="A1007" s="188"/>
      <c r="C1007" s="189"/>
      <c r="E1007" s="190"/>
      <c r="G1007" s="70"/>
      <c r="H1007" s="70"/>
      <c r="J1007" s="70"/>
      <c r="L1007" s="71"/>
      <c r="N1007" s="65"/>
    </row>
    <row r="1008" spans="1:14" ht="15" customHeight="1" x14ac:dyDescent="0.2">
      <c r="A1008" s="188"/>
      <c r="C1008" s="189"/>
      <c r="E1008" s="190"/>
      <c r="G1008" s="70"/>
      <c r="H1008" s="70"/>
      <c r="J1008" s="70"/>
      <c r="L1008" s="71"/>
      <c r="N1008" s="65"/>
    </row>
    <row r="1009" spans="1:14" ht="15" customHeight="1" x14ac:dyDescent="0.2">
      <c r="A1009" s="188"/>
      <c r="C1009" s="189"/>
      <c r="E1009" s="190"/>
      <c r="G1009" s="70"/>
      <c r="H1009" s="70"/>
      <c r="J1009" s="70"/>
      <c r="L1009" s="71"/>
      <c r="N1009" s="65"/>
    </row>
    <row r="1010" spans="1:14" ht="15" customHeight="1" x14ac:dyDescent="0.2">
      <c r="A1010" s="188"/>
      <c r="C1010" s="189"/>
      <c r="E1010" s="190"/>
      <c r="G1010" s="70"/>
      <c r="H1010" s="70"/>
      <c r="J1010" s="70"/>
      <c r="L1010" s="71"/>
      <c r="N1010" s="65"/>
    </row>
    <row r="1011" spans="1:14" ht="15" customHeight="1" x14ac:dyDescent="0.2">
      <c r="A1011" s="188"/>
      <c r="C1011" s="189"/>
      <c r="E1011" s="190"/>
      <c r="G1011" s="70"/>
      <c r="H1011" s="70"/>
      <c r="J1011" s="70"/>
      <c r="L1011" s="71"/>
      <c r="N1011" s="65"/>
    </row>
    <row r="1012" spans="1:14" ht="15" customHeight="1" x14ac:dyDescent="0.2">
      <c r="A1012" s="188"/>
      <c r="C1012" s="189"/>
      <c r="E1012" s="190"/>
      <c r="G1012" s="70"/>
      <c r="H1012" s="70"/>
      <c r="J1012" s="70"/>
      <c r="L1012" s="71"/>
      <c r="N1012" s="65"/>
    </row>
    <row r="1013" spans="1:14" ht="15" customHeight="1" x14ac:dyDescent="0.2">
      <c r="A1013" s="188"/>
      <c r="C1013" s="189"/>
      <c r="E1013" s="190"/>
      <c r="G1013" s="70"/>
      <c r="H1013" s="70"/>
      <c r="J1013" s="70"/>
      <c r="L1013" s="71"/>
      <c r="N1013" s="65"/>
    </row>
    <row r="1014" spans="1:14" ht="15" customHeight="1" x14ac:dyDescent="0.2">
      <c r="A1014" s="188"/>
      <c r="C1014" s="189"/>
      <c r="E1014" s="190"/>
      <c r="G1014" s="70"/>
      <c r="H1014" s="70"/>
      <c r="J1014" s="70"/>
      <c r="L1014" s="71"/>
      <c r="N1014" s="65"/>
    </row>
    <row r="1015" spans="1:14" ht="15" customHeight="1" x14ac:dyDescent="0.2">
      <c r="A1015" s="188"/>
      <c r="C1015" s="189"/>
      <c r="E1015" s="190"/>
      <c r="G1015" s="70"/>
      <c r="H1015" s="70"/>
      <c r="J1015" s="70"/>
      <c r="L1015" s="71"/>
      <c r="N1015" s="65"/>
    </row>
    <row r="1016" spans="1:14" ht="15" customHeight="1" x14ac:dyDescent="0.2">
      <c r="A1016" s="188"/>
      <c r="C1016" s="189"/>
      <c r="E1016" s="190"/>
      <c r="G1016" s="70"/>
      <c r="H1016" s="70"/>
      <c r="J1016" s="70"/>
      <c r="L1016" s="71"/>
      <c r="N1016" s="65"/>
    </row>
    <row r="1017" spans="1:14" ht="15" customHeight="1" x14ac:dyDescent="0.2">
      <c r="A1017" s="188"/>
      <c r="C1017" s="189"/>
      <c r="E1017" s="190"/>
      <c r="G1017" s="70"/>
      <c r="H1017" s="70"/>
      <c r="J1017" s="70"/>
      <c r="L1017" s="71"/>
      <c r="N1017" s="65"/>
    </row>
    <row r="1018" spans="1:14" ht="15" customHeight="1" x14ac:dyDescent="0.2">
      <c r="A1018" s="188"/>
      <c r="C1018" s="189"/>
      <c r="E1018" s="190"/>
      <c r="G1018" s="70"/>
      <c r="H1018" s="70"/>
      <c r="J1018" s="70"/>
      <c r="L1018" s="71"/>
      <c r="N1018" s="65"/>
    </row>
    <row r="1019" spans="1:14" ht="15" customHeight="1" x14ac:dyDescent="0.2">
      <c r="A1019" s="188"/>
      <c r="C1019" s="189"/>
      <c r="E1019" s="190"/>
      <c r="G1019" s="70"/>
      <c r="H1019" s="70"/>
      <c r="J1019" s="70"/>
      <c r="L1019" s="71"/>
      <c r="N1019" s="65"/>
    </row>
    <row r="1020" spans="1:14" ht="15" customHeight="1" x14ac:dyDescent="0.2">
      <c r="A1020" s="188"/>
      <c r="C1020" s="189"/>
      <c r="E1020" s="190"/>
      <c r="G1020" s="70"/>
      <c r="H1020" s="70"/>
      <c r="J1020" s="70"/>
      <c r="L1020" s="71"/>
      <c r="N1020" s="65"/>
    </row>
    <row r="1021" spans="1:14" ht="15" customHeight="1" x14ac:dyDescent="0.2">
      <c r="A1021" s="188"/>
      <c r="C1021" s="189"/>
      <c r="E1021" s="190"/>
      <c r="G1021" s="70"/>
      <c r="H1021" s="70"/>
      <c r="J1021" s="70"/>
      <c r="L1021" s="71"/>
      <c r="N1021" s="65"/>
    </row>
    <row r="1022" spans="1:14" ht="15" customHeight="1" x14ac:dyDescent="0.2">
      <c r="A1022" s="188"/>
      <c r="C1022" s="189"/>
      <c r="E1022" s="190"/>
      <c r="G1022" s="70"/>
      <c r="H1022" s="70"/>
      <c r="J1022" s="70"/>
      <c r="L1022" s="71"/>
      <c r="N1022" s="65"/>
    </row>
    <row r="1023" spans="1:14" ht="15" customHeight="1" x14ac:dyDescent="0.2">
      <c r="A1023" s="188"/>
      <c r="C1023" s="189"/>
      <c r="E1023" s="190"/>
      <c r="G1023" s="70"/>
      <c r="H1023" s="70"/>
      <c r="J1023" s="70"/>
      <c r="L1023" s="71"/>
      <c r="N1023" s="65"/>
    </row>
    <row r="1024" spans="1:14" ht="15" customHeight="1" x14ac:dyDescent="0.2">
      <c r="A1024" s="188"/>
      <c r="C1024" s="189"/>
      <c r="E1024" s="190"/>
      <c r="G1024" s="70"/>
      <c r="H1024" s="70"/>
      <c r="J1024" s="70"/>
      <c r="L1024" s="71"/>
      <c r="N1024" s="65"/>
    </row>
    <row r="1025" spans="1:14" ht="15" customHeight="1" x14ac:dyDescent="0.2">
      <c r="A1025" s="188"/>
      <c r="C1025" s="189"/>
      <c r="E1025" s="190"/>
      <c r="G1025" s="70"/>
      <c r="H1025" s="70"/>
      <c r="J1025" s="70"/>
      <c r="L1025" s="71"/>
      <c r="N1025" s="65"/>
    </row>
    <row r="1026" spans="1:14" ht="15" customHeight="1" x14ac:dyDescent="0.2">
      <c r="A1026" s="188"/>
      <c r="C1026" s="189"/>
      <c r="E1026" s="190"/>
      <c r="G1026" s="70"/>
      <c r="H1026" s="70"/>
      <c r="J1026" s="70"/>
      <c r="L1026" s="71"/>
      <c r="N1026" s="65"/>
    </row>
    <row r="1027" spans="1:14" ht="15" customHeight="1" x14ac:dyDescent="0.2">
      <c r="A1027" s="188"/>
      <c r="C1027" s="189"/>
      <c r="E1027" s="190"/>
      <c r="G1027" s="70"/>
      <c r="H1027" s="70"/>
      <c r="J1027" s="70"/>
      <c r="L1027" s="71"/>
      <c r="N1027" s="65"/>
    </row>
    <row r="1028" spans="1:14" ht="15" customHeight="1" x14ac:dyDescent="0.2">
      <c r="A1028" s="188"/>
      <c r="C1028" s="189"/>
      <c r="E1028" s="190"/>
      <c r="G1028" s="70"/>
      <c r="H1028" s="70"/>
      <c r="J1028" s="70"/>
      <c r="L1028" s="71"/>
      <c r="N1028" s="65"/>
    </row>
    <row r="1029" spans="1:14" ht="15" customHeight="1" x14ac:dyDescent="0.2">
      <c r="A1029" s="188"/>
      <c r="C1029" s="189"/>
      <c r="E1029" s="190"/>
      <c r="G1029" s="70"/>
      <c r="H1029" s="70"/>
      <c r="J1029" s="70"/>
      <c r="L1029" s="71"/>
      <c r="N1029" s="65"/>
    </row>
    <row r="1030" spans="1:14" ht="15" customHeight="1" x14ac:dyDescent="0.2">
      <c r="A1030" s="188"/>
      <c r="C1030" s="189"/>
      <c r="E1030" s="190"/>
      <c r="G1030" s="70"/>
      <c r="H1030" s="70"/>
      <c r="J1030" s="70"/>
      <c r="L1030" s="71"/>
      <c r="N1030" s="65"/>
    </row>
    <row r="1031" spans="1:14" ht="15" customHeight="1" x14ac:dyDescent="0.2">
      <c r="A1031" s="188"/>
      <c r="C1031" s="189"/>
      <c r="E1031" s="190"/>
      <c r="G1031" s="70"/>
      <c r="H1031" s="70"/>
      <c r="J1031" s="70"/>
      <c r="L1031" s="71"/>
      <c r="N1031" s="65"/>
    </row>
    <row r="1032" spans="1:14" ht="15" customHeight="1" x14ac:dyDescent="0.2">
      <c r="A1032" s="188"/>
      <c r="C1032" s="189"/>
      <c r="E1032" s="190"/>
      <c r="G1032" s="70"/>
      <c r="H1032" s="70"/>
      <c r="J1032" s="70"/>
      <c r="L1032" s="71"/>
      <c r="N1032" s="65"/>
    </row>
    <row r="1033" spans="1:14" ht="15" customHeight="1" x14ac:dyDescent="0.2">
      <c r="A1033" s="188"/>
      <c r="C1033" s="189"/>
      <c r="E1033" s="190"/>
      <c r="G1033" s="70"/>
      <c r="H1033" s="70"/>
      <c r="J1033" s="70"/>
      <c r="L1033" s="71"/>
      <c r="N1033" s="65"/>
    </row>
    <row r="1034" spans="1:14" ht="15" customHeight="1" x14ac:dyDescent="0.2">
      <c r="A1034" s="188"/>
      <c r="C1034" s="189"/>
      <c r="E1034" s="190"/>
      <c r="G1034" s="70"/>
      <c r="H1034" s="70"/>
      <c r="J1034" s="70"/>
      <c r="L1034" s="71"/>
      <c r="N1034" s="65"/>
    </row>
    <row r="1035" spans="1:14" ht="15" customHeight="1" x14ac:dyDescent="0.2">
      <c r="A1035" s="188"/>
      <c r="C1035" s="189"/>
      <c r="E1035" s="190"/>
      <c r="G1035" s="70"/>
      <c r="H1035" s="70"/>
      <c r="J1035" s="70"/>
      <c r="L1035" s="71"/>
      <c r="N1035" s="65"/>
    </row>
    <row r="1036" spans="1:14" ht="15" customHeight="1" x14ac:dyDescent="0.2">
      <c r="A1036" s="188"/>
      <c r="C1036" s="189"/>
      <c r="E1036" s="190"/>
      <c r="G1036" s="70"/>
      <c r="H1036" s="70"/>
      <c r="J1036" s="70"/>
      <c r="L1036" s="71"/>
      <c r="N1036" s="65"/>
    </row>
    <row r="1037" spans="1:14" ht="15" customHeight="1" x14ac:dyDescent="0.2">
      <c r="A1037" s="188"/>
      <c r="C1037" s="189"/>
      <c r="E1037" s="190"/>
      <c r="G1037" s="70"/>
      <c r="H1037" s="70"/>
      <c r="J1037" s="70"/>
      <c r="L1037" s="71"/>
      <c r="N1037" s="65"/>
    </row>
    <row r="1038" spans="1:14" ht="15" customHeight="1" x14ac:dyDescent="0.2">
      <c r="A1038" s="188"/>
      <c r="C1038" s="189"/>
      <c r="E1038" s="190"/>
      <c r="G1038" s="70"/>
      <c r="H1038" s="70"/>
      <c r="J1038" s="70"/>
      <c r="L1038" s="71"/>
      <c r="N1038" s="65"/>
    </row>
    <row r="1039" spans="1:14" ht="15" customHeight="1" x14ac:dyDescent="0.2">
      <c r="A1039" s="188"/>
      <c r="C1039" s="189"/>
      <c r="E1039" s="190"/>
      <c r="G1039" s="70"/>
      <c r="H1039" s="70"/>
      <c r="J1039" s="70"/>
      <c r="L1039" s="71"/>
      <c r="N1039" s="65"/>
    </row>
    <row r="1040" spans="1:14" ht="15" customHeight="1" x14ac:dyDescent="0.2">
      <c r="A1040" s="188"/>
      <c r="C1040" s="189"/>
      <c r="E1040" s="190"/>
      <c r="G1040" s="70"/>
      <c r="H1040" s="70"/>
      <c r="J1040" s="70"/>
      <c r="L1040" s="71"/>
      <c r="N1040" s="65"/>
    </row>
    <row r="1041" spans="1:14" ht="15" customHeight="1" x14ac:dyDescent="0.2">
      <c r="A1041" s="188"/>
      <c r="C1041" s="189"/>
      <c r="E1041" s="190"/>
      <c r="G1041" s="70"/>
      <c r="H1041" s="70"/>
      <c r="J1041" s="70"/>
      <c r="L1041" s="71"/>
      <c r="N1041" s="65"/>
    </row>
    <row r="1042" spans="1:14" ht="15" customHeight="1" x14ac:dyDescent="0.2">
      <c r="A1042" s="188"/>
      <c r="C1042" s="189"/>
      <c r="E1042" s="190"/>
      <c r="G1042" s="70"/>
      <c r="H1042" s="70"/>
      <c r="J1042" s="70"/>
      <c r="L1042" s="71"/>
      <c r="N1042" s="65"/>
    </row>
    <row r="1043" spans="1:14" ht="15" customHeight="1" x14ac:dyDescent="0.2">
      <c r="A1043" s="188"/>
      <c r="C1043" s="189"/>
      <c r="E1043" s="190"/>
      <c r="G1043" s="70"/>
      <c r="H1043" s="70"/>
      <c r="J1043" s="70"/>
      <c r="L1043" s="71"/>
      <c r="N1043" s="65"/>
    </row>
    <row r="1044" spans="1:14" ht="15" customHeight="1" x14ac:dyDescent="0.2">
      <c r="A1044" s="188"/>
      <c r="C1044" s="189"/>
      <c r="E1044" s="190"/>
      <c r="G1044" s="70"/>
      <c r="H1044" s="70"/>
      <c r="J1044" s="70"/>
      <c r="L1044" s="71"/>
      <c r="N1044" s="65"/>
    </row>
    <row r="1045" spans="1:14" ht="15" customHeight="1" x14ac:dyDescent="0.2">
      <c r="A1045" s="188"/>
      <c r="C1045" s="189"/>
      <c r="E1045" s="190"/>
      <c r="G1045" s="70"/>
      <c r="H1045" s="70"/>
      <c r="J1045" s="70"/>
      <c r="L1045" s="71"/>
      <c r="N1045" s="65"/>
    </row>
    <row r="1046" spans="1:14" ht="15" customHeight="1" x14ac:dyDescent="0.2">
      <c r="A1046" s="188"/>
      <c r="C1046" s="189"/>
      <c r="E1046" s="190"/>
      <c r="G1046" s="70"/>
      <c r="H1046" s="70"/>
      <c r="J1046" s="70"/>
      <c r="L1046" s="71"/>
      <c r="N1046" s="65"/>
    </row>
    <row r="1047" spans="1:14" ht="15" customHeight="1" x14ac:dyDescent="0.2">
      <c r="A1047" s="188"/>
      <c r="C1047" s="189"/>
      <c r="E1047" s="190"/>
      <c r="G1047" s="70"/>
      <c r="H1047" s="70"/>
      <c r="J1047" s="70"/>
      <c r="L1047" s="71"/>
      <c r="N1047" s="65"/>
    </row>
    <row r="1048" spans="1:14" ht="15" customHeight="1" x14ac:dyDescent="0.2">
      <c r="A1048" s="188"/>
      <c r="C1048" s="189"/>
      <c r="E1048" s="190"/>
      <c r="G1048" s="70"/>
      <c r="H1048" s="70"/>
      <c r="J1048" s="70"/>
      <c r="L1048" s="71"/>
      <c r="N1048" s="65"/>
    </row>
    <row r="1049" spans="1:14" ht="15" customHeight="1" x14ac:dyDescent="0.2">
      <c r="A1049" s="188"/>
      <c r="C1049" s="189"/>
      <c r="E1049" s="190"/>
      <c r="G1049" s="70"/>
      <c r="H1049" s="70"/>
      <c r="J1049" s="70"/>
      <c r="L1049" s="71"/>
      <c r="N1049" s="65"/>
    </row>
    <row r="1050" spans="1:14" ht="15" customHeight="1" x14ac:dyDescent="0.2">
      <c r="A1050" s="188"/>
      <c r="C1050" s="189"/>
      <c r="E1050" s="190"/>
      <c r="G1050" s="70"/>
      <c r="H1050" s="70"/>
      <c r="J1050" s="70"/>
      <c r="L1050" s="71"/>
      <c r="N1050" s="65"/>
    </row>
    <row r="1051" spans="1:14" ht="15" customHeight="1" x14ac:dyDescent="0.2">
      <c r="A1051" s="188"/>
      <c r="C1051" s="189"/>
      <c r="E1051" s="190"/>
      <c r="G1051" s="70"/>
      <c r="H1051" s="70"/>
      <c r="J1051" s="70"/>
      <c r="L1051" s="71"/>
      <c r="N1051" s="65"/>
    </row>
    <row r="1052" spans="1:14" ht="15" customHeight="1" x14ac:dyDescent="0.2">
      <c r="A1052" s="188"/>
      <c r="C1052" s="189"/>
      <c r="E1052" s="190"/>
      <c r="G1052" s="70"/>
      <c r="H1052" s="70"/>
      <c r="J1052" s="70"/>
      <c r="L1052" s="71"/>
      <c r="N1052" s="65"/>
    </row>
    <row r="1053" spans="1:14" ht="15" customHeight="1" x14ac:dyDescent="0.2">
      <c r="A1053" s="188"/>
      <c r="C1053" s="189"/>
      <c r="E1053" s="190"/>
      <c r="G1053" s="70"/>
      <c r="H1053" s="70"/>
      <c r="J1053" s="70"/>
      <c r="L1053" s="71"/>
      <c r="N1053" s="65"/>
    </row>
    <row r="1054" spans="1:14" ht="15" customHeight="1" x14ac:dyDescent="0.2">
      <c r="A1054" s="188"/>
      <c r="C1054" s="189"/>
      <c r="E1054" s="190"/>
      <c r="G1054" s="70"/>
      <c r="H1054" s="70"/>
      <c r="J1054" s="70"/>
      <c r="L1054" s="71"/>
      <c r="N1054" s="65"/>
    </row>
    <row r="1055" spans="1:14" ht="15" customHeight="1" x14ac:dyDescent="0.2">
      <c r="A1055" s="188"/>
      <c r="C1055" s="189"/>
      <c r="E1055" s="190"/>
      <c r="G1055" s="70"/>
      <c r="H1055" s="70"/>
      <c r="J1055" s="70"/>
      <c r="L1055" s="71"/>
      <c r="N1055" s="65"/>
    </row>
    <row r="1056" spans="1:14" ht="15" customHeight="1" x14ac:dyDescent="0.2">
      <c r="A1056" s="188"/>
      <c r="C1056" s="189"/>
      <c r="E1056" s="190"/>
      <c r="G1056" s="70"/>
      <c r="H1056" s="70"/>
      <c r="J1056" s="70"/>
      <c r="L1056" s="71"/>
      <c r="N1056" s="65"/>
    </row>
    <row r="1057" spans="1:14" ht="15" customHeight="1" x14ac:dyDescent="0.2">
      <c r="A1057" s="188"/>
      <c r="C1057" s="189"/>
      <c r="E1057" s="190"/>
      <c r="G1057" s="70"/>
      <c r="H1057" s="70"/>
      <c r="J1057" s="70"/>
      <c r="L1057" s="71"/>
      <c r="N1057" s="65"/>
    </row>
    <row r="1058" spans="1:14" ht="15" customHeight="1" x14ac:dyDescent="0.2">
      <c r="A1058" s="188"/>
      <c r="C1058" s="189"/>
      <c r="E1058" s="190"/>
      <c r="G1058" s="70"/>
      <c r="H1058" s="70"/>
      <c r="J1058" s="70"/>
      <c r="L1058" s="71"/>
      <c r="N1058" s="65"/>
    </row>
    <row r="1059" spans="1:14" ht="15" customHeight="1" x14ac:dyDescent="0.2">
      <c r="A1059" s="188"/>
      <c r="C1059" s="189"/>
      <c r="E1059" s="190"/>
      <c r="G1059" s="70"/>
      <c r="H1059" s="70"/>
      <c r="J1059" s="70"/>
      <c r="L1059" s="71"/>
      <c r="N1059" s="65"/>
    </row>
    <row r="1060" spans="1:14" ht="15" customHeight="1" x14ac:dyDescent="0.2">
      <c r="A1060" s="188"/>
      <c r="C1060" s="189"/>
      <c r="E1060" s="190"/>
      <c r="G1060" s="70"/>
      <c r="H1060" s="70"/>
      <c r="J1060" s="70"/>
      <c r="L1060" s="71"/>
      <c r="N1060" s="65"/>
    </row>
    <row r="1061" spans="1:14" ht="15" customHeight="1" x14ac:dyDescent="0.2">
      <c r="A1061" s="188"/>
      <c r="C1061" s="189"/>
      <c r="E1061" s="190"/>
      <c r="G1061" s="70"/>
      <c r="H1061" s="70"/>
      <c r="J1061" s="70"/>
      <c r="L1061" s="71"/>
      <c r="N1061" s="65"/>
    </row>
    <row r="1062" spans="1:14" ht="15" customHeight="1" x14ac:dyDescent="0.2">
      <c r="A1062" s="188"/>
      <c r="C1062" s="189"/>
      <c r="E1062" s="190"/>
      <c r="G1062" s="70"/>
      <c r="H1062" s="70"/>
      <c r="J1062" s="70"/>
      <c r="L1062" s="71"/>
      <c r="N1062" s="65"/>
    </row>
    <row r="1063" spans="1:14" ht="15" customHeight="1" x14ac:dyDescent="0.2">
      <c r="A1063" s="188"/>
      <c r="C1063" s="189"/>
      <c r="E1063" s="190"/>
      <c r="G1063" s="70"/>
      <c r="H1063" s="70"/>
      <c r="J1063" s="70"/>
      <c r="L1063" s="71"/>
      <c r="N1063" s="65"/>
    </row>
    <row r="1064" spans="1:14" ht="15" customHeight="1" x14ac:dyDescent="0.2">
      <c r="A1064" s="188"/>
      <c r="C1064" s="189"/>
      <c r="E1064" s="190"/>
      <c r="G1064" s="70"/>
      <c r="H1064" s="70"/>
      <c r="J1064" s="70"/>
      <c r="L1064" s="71"/>
      <c r="N1064" s="65"/>
    </row>
    <row r="1065" spans="1:14" ht="15" customHeight="1" x14ac:dyDescent="0.2">
      <c r="A1065" s="188"/>
      <c r="C1065" s="189"/>
      <c r="E1065" s="190"/>
      <c r="G1065" s="70"/>
      <c r="H1065" s="70"/>
      <c r="J1065" s="70"/>
      <c r="L1065" s="71"/>
      <c r="N1065" s="65"/>
    </row>
    <row r="1066" spans="1:14" ht="15" customHeight="1" x14ac:dyDescent="0.2">
      <c r="A1066" s="188"/>
      <c r="C1066" s="189"/>
      <c r="E1066" s="190"/>
      <c r="G1066" s="70"/>
      <c r="H1066" s="70"/>
      <c r="J1066" s="70"/>
      <c r="L1066" s="71"/>
      <c r="N1066" s="65"/>
    </row>
    <row r="1067" spans="1:14" ht="15" customHeight="1" x14ac:dyDescent="0.2">
      <c r="A1067" s="188"/>
      <c r="C1067" s="189"/>
      <c r="E1067" s="190"/>
      <c r="G1067" s="70"/>
      <c r="H1067" s="70"/>
      <c r="J1067" s="70"/>
      <c r="L1067" s="71"/>
      <c r="N1067" s="65"/>
    </row>
    <row r="1068" spans="1:14" ht="15" customHeight="1" x14ac:dyDescent="0.2">
      <c r="A1068" s="188"/>
      <c r="C1068" s="189"/>
      <c r="E1068" s="190"/>
      <c r="G1068" s="70"/>
      <c r="H1068" s="70"/>
      <c r="J1068" s="70"/>
      <c r="L1068" s="71"/>
      <c r="N1068" s="65"/>
    </row>
    <row r="1069" spans="1:14" ht="15" customHeight="1" x14ac:dyDescent="0.2">
      <c r="A1069" s="188"/>
      <c r="C1069" s="189"/>
      <c r="E1069" s="190"/>
      <c r="G1069" s="70"/>
      <c r="H1069" s="70"/>
      <c r="J1069" s="70"/>
      <c r="L1069" s="71"/>
      <c r="N1069" s="65"/>
    </row>
    <row r="1070" spans="1:14" ht="15" customHeight="1" x14ac:dyDescent="0.2">
      <c r="A1070" s="188"/>
      <c r="C1070" s="189"/>
      <c r="E1070" s="190"/>
      <c r="G1070" s="70"/>
      <c r="H1070" s="70"/>
      <c r="J1070" s="70"/>
      <c r="L1070" s="71"/>
      <c r="N1070" s="65"/>
    </row>
    <row r="1071" spans="1:14" ht="15" customHeight="1" x14ac:dyDescent="0.2">
      <c r="A1071" s="188"/>
      <c r="C1071" s="189"/>
      <c r="E1071" s="190"/>
      <c r="G1071" s="70"/>
      <c r="H1071" s="70"/>
      <c r="J1071" s="70"/>
      <c r="L1071" s="71"/>
      <c r="N1071" s="65"/>
    </row>
    <row r="1072" spans="1:14" ht="15" customHeight="1" x14ac:dyDescent="0.2">
      <c r="A1072" s="188"/>
      <c r="C1072" s="189"/>
      <c r="E1072" s="190"/>
      <c r="G1072" s="70"/>
      <c r="H1072" s="70"/>
      <c r="J1072" s="70"/>
      <c r="L1072" s="71"/>
      <c r="N1072" s="65"/>
    </row>
    <row r="1073" spans="1:14" ht="15" customHeight="1" x14ac:dyDescent="0.2">
      <c r="A1073" s="188"/>
      <c r="C1073" s="189"/>
      <c r="E1073" s="190"/>
      <c r="G1073" s="70"/>
      <c r="H1073" s="70"/>
      <c r="J1073" s="70"/>
      <c r="L1073" s="71"/>
      <c r="N1073" s="65"/>
    </row>
    <row r="1074" spans="1:14" ht="15" customHeight="1" x14ac:dyDescent="0.2">
      <c r="A1074" s="188"/>
      <c r="C1074" s="189"/>
      <c r="E1074" s="190"/>
      <c r="G1074" s="70"/>
      <c r="H1074" s="70"/>
      <c r="J1074" s="70"/>
      <c r="L1074" s="71"/>
      <c r="N1074" s="65"/>
    </row>
    <row r="1075" spans="1:14" ht="15" customHeight="1" x14ac:dyDescent="0.2">
      <c r="A1075" s="188"/>
      <c r="C1075" s="189"/>
      <c r="E1075" s="190"/>
      <c r="G1075" s="70"/>
      <c r="H1075" s="70"/>
      <c r="J1075" s="70"/>
      <c r="L1075" s="71"/>
      <c r="N1075" s="65"/>
    </row>
    <row r="1076" spans="1:14" ht="15" customHeight="1" x14ac:dyDescent="0.2">
      <c r="A1076" s="188"/>
      <c r="C1076" s="189"/>
      <c r="E1076" s="190"/>
      <c r="G1076" s="70"/>
      <c r="H1076" s="70"/>
      <c r="J1076" s="70"/>
      <c r="L1076" s="71"/>
      <c r="N1076" s="65"/>
    </row>
    <row r="1077" spans="1:14" ht="15" customHeight="1" x14ac:dyDescent="0.2">
      <c r="A1077" s="188"/>
      <c r="C1077" s="189"/>
      <c r="E1077" s="190"/>
      <c r="G1077" s="70"/>
      <c r="H1077" s="70"/>
      <c r="J1077" s="70"/>
      <c r="L1077" s="71"/>
      <c r="N1077" s="65"/>
    </row>
    <row r="1078" spans="1:14" ht="15" customHeight="1" x14ac:dyDescent="0.2">
      <c r="A1078" s="188"/>
      <c r="C1078" s="189"/>
      <c r="E1078" s="190"/>
      <c r="G1078" s="70"/>
      <c r="H1078" s="70"/>
      <c r="J1078" s="70"/>
      <c r="L1078" s="71"/>
      <c r="N1078" s="65"/>
    </row>
    <row r="1079" spans="1:14" ht="15" customHeight="1" x14ac:dyDescent="0.2">
      <c r="A1079" s="188"/>
      <c r="C1079" s="189"/>
      <c r="E1079" s="190"/>
      <c r="G1079" s="70"/>
      <c r="H1079" s="70"/>
      <c r="J1079" s="70"/>
      <c r="L1079" s="71"/>
      <c r="N1079" s="65"/>
    </row>
    <row r="1080" spans="1:14" ht="15" customHeight="1" x14ac:dyDescent="0.2">
      <c r="A1080" s="188"/>
      <c r="C1080" s="189"/>
      <c r="E1080" s="190"/>
      <c r="G1080" s="70"/>
      <c r="H1080" s="70"/>
      <c r="J1080" s="70"/>
      <c r="L1080" s="71"/>
      <c r="N1080" s="65"/>
    </row>
    <row r="1081" spans="1:14" ht="15" customHeight="1" x14ac:dyDescent="0.2">
      <c r="A1081" s="188"/>
      <c r="C1081" s="189"/>
      <c r="E1081" s="190"/>
      <c r="G1081" s="70"/>
      <c r="H1081" s="70"/>
      <c r="J1081" s="70"/>
      <c r="L1081" s="71"/>
      <c r="N1081" s="65"/>
    </row>
    <row r="1082" spans="1:14" ht="15" customHeight="1" x14ac:dyDescent="0.2">
      <c r="A1082" s="188"/>
      <c r="C1082" s="189"/>
      <c r="E1082" s="190"/>
      <c r="G1082" s="70"/>
      <c r="H1082" s="70"/>
      <c r="J1082" s="70"/>
      <c r="L1082" s="71"/>
      <c r="N1082" s="65"/>
    </row>
    <row r="1083" spans="1:14" ht="15" customHeight="1" x14ac:dyDescent="0.2">
      <c r="A1083" s="188"/>
      <c r="C1083" s="189"/>
      <c r="E1083" s="190"/>
      <c r="G1083" s="70"/>
      <c r="H1083" s="70"/>
      <c r="J1083" s="70"/>
      <c r="L1083" s="71"/>
      <c r="N1083" s="65"/>
    </row>
    <row r="1084" spans="1:14" ht="15" customHeight="1" x14ac:dyDescent="0.2">
      <c r="A1084" s="188"/>
      <c r="C1084" s="189"/>
      <c r="E1084" s="190"/>
      <c r="G1084" s="70"/>
      <c r="H1084" s="70"/>
      <c r="J1084" s="70"/>
      <c r="L1084" s="71"/>
      <c r="N1084" s="65"/>
    </row>
    <row r="1085" spans="1:14" ht="15" customHeight="1" x14ac:dyDescent="0.2">
      <c r="A1085" s="188"/>
      <c r="C1085" s="189"/>
      <c r="E1085" s="190"/>
      <c r="G1085" s="70"/>
      <c r="H1085" s="70"/>
      <c r="J1085" s="70"/>
      <c r="L1085" s="71"/>
      <c r="N1085" s="65"/>
    </row>
    <row r="1086" spans="1:14" ht="15" customHeight="1" x14ac:dyDescent="0.2">
      <c r="A1086" s="188"/>
      <c r="C1086" s="189"/>
      <c r="E1086" s="190"/>
      <c r="G1086" s="70"/>
      <c r="H1086" s="70"/>
      <c r="J1086" s="70"/>
      <c r="L1086" s="71"/>
      <c r="N1086" s="65"/>
    </row>
    <row r="1087" spans="1:14" ht="15" customHeight="1" x14ac:dyDescent="0.2">
      <c r="A1087" s="188"/>
      <c r="C1087" s="189"/>
      <c r="E1087" s="190"/>
      <c r="G1087" s="70"/>
      <c r="H1087" s="70"/>
      <c r="J1087" s="70"/>
      <c r="L1087" s="71"/>
      <c r="N1087" s="65"/>
    </row>
    <row r="1088" spans="1:14" ht="15" customHeight="1" x14ac:dyDescent="0.2">
      <c r="A1088" s="188"/>
      <c r="C1088" s="189"/>
      <c r="E1088" s="190"/>
      <c r="G1088" s="70"/>
      <c r="H1088" s="70"/>
      <c r="J1088" s="70"/>
      <c r="L1088" s="71"/>
      <c r="N1088" s="65"/>
    </row>
    <row r="1089" spans="1:14" ht="15" customHeight="1" x14ac:dyDescent="0.2">
      <c r="A1089" s="188"/>
      <c r="C1089" s="189"/>
      <c r="E1089" s="190"/>
      <c r="G1089" s="70"/>
      <c r="H1089" s="70"/>
      <c r="J1089" s="70"/>
      <c r="L1089" s="71"/>
      <c r="N1089" s="65"/>
    </row>
    <row r="1090" spans="1:14" ht="15" customHeight="1" x14ac:dyDescent="0.2">
      <c r="A1090" s="188"/>
      <c r="C1090" s="189"/>
      <c r="E1090" s="190"/>
      <c r="G1090" s="70"/>
      <c r="H1090" s="70"/>
      <c r="J1090" s="70"/>
      <c r="L1090" s="71"/>
      <c r="N1090" s="65"/>
    </row>
    <row r="1091" spans="1:14" ht="15" customHeight="1" x14ac:dyDescent="0.2">
      <c r="A1091" s="188"/>
      <c r="C1091" s="189"/>
      <c r="E1091" s="190"/>
      <c r="G1091" s="70"/>
      <c r="H1091" s="70"/>
      <c r="J1091" s="70"/>
      <c r="L1091" s="71"/>
      <c r="N1091" s="65"/>
    </row>
    <row r="1092" spans="1:14" ht="15" customHeight="1" x14ac:dyDescent="0.2">
      <c r="A1092" s="188"/>
      <c r="C1092" s="189"/>
      <c r="E1092" s="190"/>
      <c r="G1092" s="70"/>
      <c r="H1092" s="70"/>
      <c r="J1092" s="70"/>
      <c r="L1092" s="71"/>
      <c r="N1092" s="65"/>
    </row>
    <row r="1093" spans="1:14" ht="15" customHeight="1" x14ac:dyDescent="0.2">
      <c r="A1093" s="188"/>
      <c r="C1093" s="189"/>
      <c r="E1093" s="190"/>
      <c r="G1093" s="70"/>
      <c r="H1093" s="70"/>
      <c r="J1093" s="70"/>
      <c r="L1093" s="71"/>
      <c r="N1093" s="65"/>
    </row>
    <row r="1094" spans="1:14" ht="15" customHeight="1" x14ac:dyDescent="0.2">
      <c r="A1094" s="188"/>
      <c r="C1094" s="189"/>
      <c r="E1094" s="190"/>
      <c r="G1094" s="70"/>
      <c r="H1094" s="70"/>
      <c r="J1094" s="70"/>
      <c r="L1094" s="71"/>
      <c r="N1094" s="65"/>
    </row>
    <row r="1095" spans="1:14" ht="15" customHeight="1" x14ac:dyDescent="0.2">
      <c r="A1095" s="188"/>
      <c r="C1095" s="189"/>
      <c r="E1095" s="190"/>
      <c r="G1095" s="70"/>
      <c r="H1095" s="70"/>
      <c r="J1095" s="70"/>
      <c r="L1095" s="71"/>
      <c r="N1095" s="65"/>
    </row>
    <row r="1096" spans="1:14" ht="15" customHeight="1" x14ac:dyDescent="0.2">
      <c r="A1096" s="188"/>
      <c r="C1096" s="189"/>
      <c r="E1096" s="190"/>
      <c r="G1096" s="70"/>
      <c r="H1096" s="70"/>
      <c r="J1096" s="70"/>
      <c r="L1096" s="71"/>
      <c r="N1096" s="65"/>
    </row>
    <row r="1097" spans="1:14" ht="15" customHeight="1" x14ac:dyDescent="0.2">
      <c r="A1097" s="188"/>
      <c r="C1097" s="189"/>
      <c r="E1097" s="190"/>
      <c r="G1097" s="70"/>
      <c r="H1097" s="70"/>
      <c r="J1097" s="70"/>
      <c r="L1097" s="71"/>
      <c r="N1097" s="65"/>
    </row>
    <row r="1098" spans="1:14" ht="15" customHeight="1" x14ac:dyDescent="0.2">
      <c r="A1098" s="188"/>
      <c r="C1098" s="189"/>
      <c r="E1098" s="190"/>
      <c r="G1098" s="70"/>
      <c r="H1098" s="70"/>
      <c r="J1098" s="70"/>
      <c r="L1098" s="71"/>
      <c r="N1098" s="65"/>
    </row>
    <row r="1099" spans="1:14" ht="15" customHeight="1" x14ac:dyDescent="0.2">
      <c r="A1099" s="188"/>
      <c r="C1099" s="189"/>
      <c r="E1099" s="190"/>
      <c r="G1099" s="70"/>
      <c r="H1099" s="70"/>
      <c r="J1099" s="70"/>
      <c r="L1099" s="71"/>
      <c r="N1099" s="65"/>
    </row>
    <row r="1100" spans="1:14" ht="15" customHeight="1" x14ac:dyDescent="0.2">
      <c r="A1100" s="188"/>
      <c r="C1100" s="189"/>
      <c r="E1100" s="190"/>
      <c r="G1100" s="70"/>
      <c r="H1100" s="70"/>
      <c r="J1100" s="70"/>
      <c r="L1100" s="71"/>
      <c r="N1100" s="65"/>
    </row>
    <row r="1101" spans="1:14" ht="15" customHeight="1" x14ac:dyDescent="0.2">
      <c r="A1101" s="188"/>
      <c r="C1101" s="189"/>
      <c r="E1101" s="190"/>
      <c r="G1101" s="70"/>
      <c r="H1101" s="70"/>
      <c r="J1101" s="70"/>
      <c r="L1101" s="71"/>
      <c r="N1101" s="65"/>
    </row>
    <row r="1102" spans="1:14" ht="15" customHeight="1" x14ac:dyDescent="0.2">
      <c r="A1102" s="188"/>
      <c r="C1102" s="189"/>
      <c r="E1102" s="190"/>
      <c r="G1102" s="70"/>
      <c r="H1102" s="70"/>
      <c r="J1102" s="70"/>
      <c r="L1102" s="71"/>
      <c r="N1102" s="65"/>
    </row>
    <row r="1103" spans="1:14" ht="15" customHeight="1" x14ac:dyDescent="0.2">
      <c r="A1103" s="188"/>
      <c r="C1103" s="189"/>
      <c r="E1103" s="190"/>
      <c r="G1103" s="70"/>
      <c r="H1103" s="70"/>
      <c r="J1103" s="70"/>
      <c r="L1103" s="71"/>
      <c r="N1103" s="65"/>
    </row>
    <row r="1104" spans="1:14" ht="15" customHeight="1" x14ac:dyDescent="0.2">
      <c r="A1104" s="188"/>
      <c r="C1104" s="189"/>
      <c r="E1104" s="190"/>
      <c r="G1104" s="70"/>
      <c r="H1104" s="70"/>
      <c r="J1104" s="70"/>
      <c r="L1104" s="71"/>
      <c r="N1104" s="65"/>
    </row>
    <row r="1105" spans="1:14" ht="15" customHeight="1" x14ac:dyDescent="0.2">
      <c r="A1105" s="188"/>
      <c r="C1105" s="189"/>
      <c r="E1105" s="190"/>
      <c r="G1105" s="70"/>
      <c r="H1105" s="70"/>
      <c r="J1105" s="70"/>
      <c r="L1105" s="71"/>
      <c r="N1105" s="65"/>
    </row>
    <row r="1106" spans="1:14" ht="15" customHeight="1" x14ac:dyDescent="0.2">
      <c r="A1106" s="188"/>
      <c r="C1106" s="189"/>
      <c r="E1106" s="190"/>
      <c r="G1106" s="70"/>
      <c r="H1106" s="70"/>
      <c r="J1106" s="70"/>
      <c r="L1106" s="71"/>
      <c r="N1106" s="65"/>
    </row>
    <row r="1107" spans="1:14" ht="15" customHeight="1" x14ac:dyDescent="0.2">
      <c r="A1107" s="188"/>
      <c r="C1107" s="189"/>
      <c r="E1107" s="190"/>
      <c r="G1107" s="70"/>
      <c r="H1107" s="70"/>
      <c r="J1107" s="70"/>
      <c r="L1107" s="71"/>
      <c r="N1107" s="65"/>
    </row>
    <row r="1108" spans="1:14" ht="15" customHeight="1" x14ac:dyDescent="0.2">
      <c r="A1108" s="188"/>
      <c r="C1108" s="189"/>
      <c r="E1108" s="190"/>
      <c r="G1108" s="70"/>
      <c r="H1108" s="70"/>
      <c r="J1108" s="70"/>
      <c r="L1108" s="71"/>
      <c r="N1108" s="65"/>
    </row>
    <row r="1109" spans="1:14" ht="15" customHeight="1" x14ac:dyDescent="0.2">
      <c r="A1109" s="188"/>
      <c r="C1109" s="189"/>
      <c r="E1109" s="190"/>
      <c r="G1109" s="70"/>
      <c r="H1109" s="70"/>
      <c r="J1109" s="70"/>
      <c r="L1109" s="71"/>
      <c r="N1109" s="65"/>
    </row>
    <row r="1110" spans="1:14" ht="15" customHeight="1" x14ac:dyDescent="0.2">
      <c r="A1110" s="188"/>
      <c r="C1110" s="189"/>
      <c r="E1110" s="190"/>
      <c r="G1110" s="70"/>
      <c r="H1110" s="70"/>
      <c r="J1110" s="70"/>
      <c r="L1110" s="71"/>
      <c r="N1110" s="65"/>
    </row>
    <row r="1111" spans="1:14" ht="15" customHeight="1" x14ac:dyDescent="0.2">
      <c r="A1111" s="188"/>
      <c r="C1111" s="189"/>
      <c r="E1111" s="190"/>
      <c r="G1111" s="70"/>
      <c r="H1111" s="70"/>
      <c r="J1111" s="70"/>
      <c r="L1111" s="71"/>
      <c r="N1111" s="65"/>
    </row>
    <row r="1112" spans="1:14" ht="15" customHeight="1" x14ac:dyDescent="0.2">
      <c r="A1112" s="188"/>
      <c r="C1112" s="189"/>
      <c r="E1112" s="190"/>
      <c r="G1112" s="70"/>
      <c r="H1112" s="70"/>
      <c r="J1112" s="70"/>
      <c r="L1112" s="71"/>
      <c r="N1112" s="65"/>
    </row>
    <row r="1113" spans="1:14" ht="15" customHeight="1" x14ac:dyDescent="0.2">
      <c r="A1113" s="188"/>
      <c r="C1113" s="189"/>
      <c r="E1113" s="190"/>
      <c r="G1113" s="70"/>
      <c r="H1113" s="70"/>
      <c r="J1113" s="70"/>
      <c r="L1113" s="71"/>
      <c r="N1113" s="65"/>
    </row>
    <row r="1114" spans="1:14" ht="15" customHeight="1" x14ac:dyDescent="0.2">
      <c r="A1114" s="188"/>
      <c r="C1114" s="189"/>
      <c r="E1114" s="190"/>
      <c r="G1114" s="70"/>
      <c r="H1114" s="70"/>
      <c r="J1114" s="70"/>
      <c r="L1114" s="71"/>
      <c r="N1114" s="65"/>
    </row>
    <row r="1115" spans="1:14" ht="15" customHeight="1" x14ac:dyDescent="0.2">
      <c r="A1115" s="188"/>
      <c r="C1115" s="189"/>
      <c r="E1115" s="190"/>
      <c r="G1115" s="70"/>
      <c r="H1115" s="70"/>
      <c r="J1115" s="70"/>
      <c r="L1115" s="71"/>
      <c r="N1115" s="65"/>
    </row>
    <row r="1116" spans="1:14" ht="15" customHeight="1" x14ac:dyDescent="0.2">
      <c r="A1116" s="188"/>
      <c r="C1116" s="189"/>
      <c r="E1116" s="190"/>
      <c r="G1116" s="70"/>
      <c r="H1116" s="70"/>
      <c r="J1116" s="70"/>
      <c r="L1116" s="71"/>
      <c r="N1116" s="65"/>
    </row>
    <row r="1117" spans="1:14" ht="15" customHeight="1" x14ac:dyDescent="0.2">
      <c r="A1117" s="188"/>
      <c r="C1117" s="189"/>
      <c r="E1117" s="190"/>
      <c r="G1117" s="70"/>
      <c r="H1117" s="70"/>
      <c r="J1117" s="70"/>
      <c r="L1117" s="71"/>
      <c r="N1117" s="65"/>
    </row>
    <row r="1118" spans="1:14" ht="15" customHeight="1" x14ac:dyDescent="0.2">
      <c r="A1118" s="188"/>
      <c r="C1118" s="189"/>
      <c r="E1118" s="190"/>
      <c r="G1118" s="70"/>
      <c r="H1118" s="70"/>
      <c r="J1118" s="70"/>
      <c r="L1118" s="71"/>
      <c r="N1118" s="65"/>
    </row>
    <row r="1119" spans="1:14" ht="15" customHeight="1" x14ac:dyDescent="0.2">
      <c r="A1119" s="188"/>
      <c r="C1119" s="189"/>
      <c r="E1119" s="190"/>
      <c r="G1119" s="70"/>
      <c r="H1119" s="70"/>
      <c r="J1119" s="70"/>
      <c r="L1119" s="71"/>
      <c r="N1119" s="65"/>
    </row>
    <row r="1120" spans="1:14" ht="15" customHeight="1" x14ac:dyDescent="0.2">
      <c r="A1120" s="188"/>
      <c r="C1120" s="189"/>
      <c r="E1120" s="190"/>
      <c r="G1120" s="70"/>
      <c r="H1120" s="70"/>
      <c r="J1120" s="70"/>
      <c r="L1120" s="71"/>
      <c r="N1120" s="65"/>
    </row>
    <row r="1121" spans="1:14" ht="15" customHeight="1" x14ac:dyDescent="0.2">
      <c r="A1121" s="188"/>
      <c r="C1121" s="189"/>
      <c r="E1121" s="190"/>
      <c r="G1121" s="70"/>
      <c r="H1121" s="70"/>
      <c r="J1121" s="70"/>
      <c r="L1121" s="71"/>
      <c r="N1121" s="65"/>
    </row>
    <row r="1122" spans="1:14" ht="15" customHeight="1" x14ac:dyDescent="0.2">
      <c r="A1122" s="188"/>
      <c r="C1122" s="189"/>
      <c r="E1122" s="190"/>
      <c r="G1122" s="70"/>
      <c r="H1122" s="70"/>
      <c r="J1122" s="70"/>
      <c r="L1122" s="71"/>
      <c r="N1122" s="65"/>
    </row>
    <row r="1123" spans="1:14" ht="15" customHeight="1" x14ac:dyDescent="0.2">
      <c r="A1123" s="188"/>
      <c r="C1123" s="189"/>
      <c r="E1123" s="190"/>
      <c r="G1123" s="70"/>
      <c r="H1123" s="70"/>
      <c r="J1123" s="70"/>
      <c r="L1123" s="71"/>
      <c r="N1123" s="65"/>
    </row>
    <row r="1124" spans="1:14" ht="15" customHeight="1" x14ac:dyDescent="0.2">
      <c r="A1124" s="188"/>
      <c r="C1124" s="189"/>
      <c r="E1124" s="190"/>
      <c r="G1124" s="70"/>
      <c r="H1124" s="70"/>
      <c r="J1124" s="70"/>
      <c r="L1124" s="71"/>
      <c r="N1124" s="65"/>
    </row>
    <row r="1125" spans="1:14" ht="15" customHeight="1" x14ac:dyDescent="0.2">
      <c r="A1125" s="188"/>
      <c r="C1125" s="189"/>
      <c r="E1125" s="190"/>
      <c r="G1125" s="70"/>
      <c r="H1125" s="70"/>
      <c r="J1125" s="70"/>
      <c r="L1125" s="71"/>
      <c r="N1125" s="65"/>
    </row>
    <row r="1126" spans="1:14" ht="15" customHeight="1" x14ac:dyDescent="0.2">
      <c r="A1126" s="188"/>
      <c r="C1126" s="189"/>
      <c r="E1126" s="190"/>
      <c r="G1126" s="70"/>
      <c r="H1126" s="70"/>
      <c r="J1126" s="70"/>
      <c r="L1126" s="71"/>
      <c r="N1126" s="65"/>
    </row>
    <row r="1127" spans="1:14" ht="15" customHeight="1" x14ac:dyDescent="0.2">
      <c r="A1127" s="188"/>
      <c r="C1127" s="189"/>
      <c r="E1127" s="190"/>
      <c r="G1127" s="70"/>
      <c r="H1127" s="70"/>
      <c r="J1127" s="70"/>
      <c r="L1127" s="71"/>
      <c r="N1127" s="65"/>
    </row>
    <row r="1128" spans="1:14" ht="15" customHeight="1" x14ac:dyDescent="0.2">
      <c r="A1128" s="188"/>
      <c r="C1128" s="189"/>
      <c r="E1128" s="190"/>
      <c r="G1128" s="70"/>
      <c r="H1128" s="70"/>
      <c r="J1128" s="70"/>
      <c r="L1128" s="71"/>
      <c r="N1128" s="65"/>
    </row>
    <row r="1129" spans="1:14" ht="15" customHeight="1" x14ac:dyDescent="0.2">
      <c r="A1129" s="188"/>
      <c r="C1129" s="189"/>
      <c r="E1129" s="190"/>
      <c r="G1129" s="70"/>
      <c r="H1129" s="70"/>
      <c r="J1129" s="70"/>
      <c r="L1129" s="71"/>
      <c r="N1129" s="65"/>
    </row>
    <row r="1130" spans="1:14" ht="15" customHeight="1" x14ac:dyDescent="0.2">
      <c r="A1130" s="188"/>
      <c r="C1130" s="189"/>
      <c r="E1130" s="190"/>
      <c r="G1130" s="70"/>
      <c r="H1130" s="70"/>
      <c r="J1130" s="70"/>
      <c r="L1130" s="71"/>
      <c r="N1130" s="65"/>
    </row>
    <row r="1131" spans="1:14" ht="15" customHeight="1" x14ac:dyDescent="0.2">
      <c r="A1131" s="188"/>
      <c r="C1131" s="189"/>
      <c r="E1131" s="190"/>
      <c r="G1131" s="70"/>
      <c r="H1131" s="70"/>
      <c r="J1131" s="70"/>
      <c r="L1131" s="71"/>
      <c r="N1131" s="65"/>
    </row>
    <row r="1132" spans="1:14" ht="15" customHeight="1" x14ac:dyDescent="0.2">
      <c r="A1132" s="188"/>
      <c r="C1132" s="189"/>
      <c r="E1132" s="190"/>
      <c r="G1132" s="70"/>
      <c r="H1132" s="70"/>
      <c r="J1132" s="70"/>
      <c r="L1132" s="71"/>
      <c r="N1132" s="65"/>
    </row>
    <row r="1133" spans="1:14" ht="15" customHeight="1" x14ac:dyDescent="0.2">
      <c r="A1133" s="188"/>
      <c r="C1133" s="189"/>
      <c r="E1133" s="190"/>
      <c r="G1133" s="70"/>
      <c r="H1133" s="70"/>
      <c r="J1133" s="70"/>
      <c r="L1133" s="71"/>
      <c r="N1133" s="65"/>
    </row>
    <row r="1134" spans="1:14" ht="15" customHeight="1" x14ac:dyDescent="0.2">
      <c r="A1134" s="188"/>
      <c r="C1134" s="189"/>
      <c r="E1134" s="190"/>
      <c r="G1134" s="70"/>
      <c r="H1134" s="70"/>
      <c r="J1134" s="70"/>
      <c r="L1134" s="71"/>
      <c r="N1134" s="65"/>
    </row>
    <row r="1135" spans="1:14" ht="15" customHeight="1" x14ac:dyDescent="0.2">
      <c r="A1135" s="188"/>
      <c r="C1135" s="189"/>
      <c r="E1135" s="190"/>
      <c r="G1135" s="70"/>
      <c r="H1135" s="70"/>
      <c r="J1135" s="70"/>
      <c r="L1135" s="71"/>
      <c r="N1135" s="65"/>
    </row>
    <row r="1136" spans="1:14" ht="15" customHeight="1" x14ac:dyDescent="0.2">
      <c r="A1136" s="188"/>
      <c r="C1136" s="189"/>
      <c r="E1136" s="190"/>
      <c r="G1136" s="70"/>
      <c r="H1136" s="70"/>
      <c r="J1136" s="70"/>
      <c r="L1136" s="71"/>
      <c r="N1136" s="65"/>
    </row>
    <row r="1137" spans="1:14" ht="15" customHeight="1" x14ac:dyDescent="0.2">
      <c r="A1137" s="188"/>
      <c r="C1137" s="189"/>
      <c r="E1137" s="190"/>
      <c r="G1137" s="70"/>
      <c r="H1137" s="70"/>
      <c r="J1137" s="70"/>
      <c r="L1137" s="71"/>
      <c r="N1137" s="65"/>
    </row>
    <row r="1138" spans="1:14" ht="15" customHeight="1" x14ac:dyDescent="0.2">
      <c r="A1138" s="188"/>
      <c r="C1138" s="189"/>
      <c r="E1138" s="190"/>
      <c r="G1138" s="70"/>
      <c r="H1138" s="70"/>
      <c r="J1138" s="70"/>
      <c r="L1138" s="71"/>
      <c r="N1138" s="65"/>
    </row>
    <row r="1139" spans="1:14" ht="15" customHeight="1" x14ac:dyDescent="0.2">
      <c r="A1139" s="188"/>
      <c r="C1139" s="189"/>
      <c r="E1139" s="190"/>
      <c r="G1139" s="70"/>
      <c r="H1139" s="70"/>
      <c r="J1139" s="70"/>
      <c r="L1139" s="71"/>
      <c r="N1139" s="65"/>
    </row>
    <row r="1140" spans="1:14" ht="15" customHeight="1" x14ac:dyDescent="0.2">
      <c r="A1140" s="188"/>
      <c r="C1140" s="189"/>
      <c r="E1140" s="190"/>
      <c r="G1140" s="70"/>
      <c r="H1140" s="70"/>
      <c r="J1140" s="70"/>
      <c r="L1140" s="71"/>
      <c r="N1140" s="65"/>
    </row>
    <row r="1141" spans="1:14" ht="15" customHeight="1" x14ac:dyDescent="0.2">
      <c r="A1141" s="188"/>
      <c r="C1141" s="189"/>
      <c r="E1141" s="190"/>
      <c r="G1141" s="70"/>
      <c r="H1141" s="70"/>
      <c r="J1141" s="70"/>
      <c r="L1141" s="71"/>
      <c r="N1141" s="65"/>
    </row>
    <row r="1142" spans="1:14" ht="15" customHeight="1" x14ac:dyDescent="0.2">
      <c r="A1142" s="188"/>
      <c r="C1142" s="189"/>
      <c r="E1142" s="190"/>
      <c r="G1142" s="70"/>
      <c r="H1142" s="70"/>
      <c r="J1142" s="70"/>
      <c r="L1142" s="71"/>
      <c r="N1142" s="65"/>
    </row>
    <row r="1143" spans="1:14" ht="15" customHeight="1" x14ac:dyDescent="0.2">
      <c r="A1143" s="188"/>
      <c r="C1143" s="189"/>
      <c r="E1143" s="190"/>
      <c r="G1143" s="70"/>
      <c r="H1143" s="70"/>
      <c r="J1143" s="70"/>
      <c r="L1143" s="71"/>
      <c r="N1143" s="65"/>
    </row>
    <row r="1144" spans="1:14" ht="15" customHeight="1" x14ac:dyDescent="0.2">
      <c r="A1144" s="188"/>
      <c r="C1144" s="189"/>
      <c r="E1144" s="190"/>
      <c r="G1144" s="70"/>
      <c r="H1144" s="70"/>
      <c r="J1144" s="70"/>
      <c r="L1144" s="71"/>
      <c r="N1144" s="65"/>
    </row>
    <row r="1145" spans="1:14" ht="15" customHeight="1" x14ac:dyDescent="0.2">
      <c r="A1145" s="188"/>
      <c r="C1145" s="189"/>
      <c r="E1145" s="190"/>
      <c r="G1145" s="70"/>
      <c r="H1145" s="70"/>
      <c r="J1145" s="70"/>
      <c r="L1145" s="71"/>
      <c r="N1145" s="65"/>
    </row>
    <row r="1146" spans="1:14" ht="15" customHeight="1" x14ac:dyDescent="0.2">
      <c r="A1146" s="188"/>
      <c r="C1146" s="189"/>
      <c r="E1146" s="190"/>
      <c r="G1146" s="70"/>
      <c r="H1146" s="70"/>
      <c r="J1146" s="70"/>
      <c r="L1146" s="71"/>
      <c r="N1146" s="65"/>
    </row>
    <row r="1147" spans="1:14" ht="15" customHeight="1" x14ac:dyDescent="0.2">
      <c r="A1147" s="188"/>
      <c r="C1147" s="189"/>
      <c r="E1147" s="190"/>
      <c r="G1147" s="70"/>
      <c r="H1147" s="70"/>
      <c r="J1147" s="70"/>
      <c r="L1147" s="71"/>
      <c r="N1147" s="65"/>
    </row>
    <row r="1148" spans="1:14" ht="15" customHeight="1" x14ac:dyDescent="0.2">
      <c r="A1148" s="188"/>
      <c r="C1148" s="189"/>
      <c r="E1148" s="190"/>
      <c r="G1148" s="70"/>
      <c r="H1148" s="70"/>
      <c r="J1148" s="70"/>
      <c r="L1148" s="71"/>
      <c r="N1148" s="65"/>
    </row>
    <row r="1149" spans="1:14" ht="15" customHeight="1" x14ac:dyDescent="0.2">
      <c r="A1149" s="188"/>
      <c r="C1149" s="189"/>
      <c r="E1149" s="190"/>
      <c r="G1149" s="70"/>
      <c r="H1149" s="70"/>
      <c r="J1149" s="70"/>
      <c r="L1149" s="71"/>
      <c r="N1149" s="65"/>
    </row>
    <row r="1150" spans="1:14" ht="15" customHeight="1" x14ac:dyDescent="0.2">
      <c r="A1150" s="188"/>
      <c r="C1150" s="189"/>
      <c r="E1150" s="190"/>
      <c r="G1150" s="70"/>
      <c r="H1150" s="70"/>
      <c r="J1150" s="70"/>
      <c r="L1150" s="71"/>
      <c r="N1150" s="65"/>
    </row>
    <row r="1151" spans="1:14" ht="15" customHeight="1" x14ac:dyDescent="0.2">
      <c r="A1151" s="188"/>
      <c r="C1151" s="189"/>
      <c r="E1151" s="190"/>
      <c r="G1151" s="70"/>
      <c r="H1151" s="70"/>
      <c r="J1151" s="70"/>
      <c r="L1151" s="71"/>
      <c r="N1151" s="65"/>
    </row>
    <row r="1152" spans="1:14" ht="15" customHeight="1" x14ac:dyDescent="0.2">
      <c r="A1152" s="188"/>
      <c r="C1152" s="189"/>
      <c r="E1152" s="190"/>
      <c r="G1152" s="70"/>
      <c r="H1152" s="70"/>
      <c r="J1152" s="70"/>
      <c r="L1152" s="71"/>
      <c r="N1152" s="65"/>
    </row>
    <row r="1153" spans="1:14" ht="15" customHeight="1" x14ac:dyDescent="0.2">
      <c r="A1153" s="188"/>
      <c r="C1153" s="189"/>
      <c r="E1153" s="190"/>
      <c r="G1153" s="70"/>
      <c r="H1153" s="70"/>
      <c r="J1153" s="70"/>
      <c r="L1153" s="71"/>
      <c r="N1153" s="65"/>
    </row>
    <row r="1154" spans="1:14" ht="15" customHeight="1" x14ac:dyDescent="0.2">
      <c r="A1154" s="188"/>
      <c r="C1154" s="189"/>
      <c r="E1154" s="190"/>
      <c r="G1154" s="70"/>
      <c r="H1154" s="70"/>
      <c r="J1154" s="70"/>
      <c r="L1154" s="71"/>
      <c r="N1154" s="65"/>
    </row>
    <row r="1155" spans="1:14" ht="15" customHeight="1" x14ac:dyDescent="0.2">
      <c r="A1155" s="188"/>
      <c r="C1155" s="189"/>
      <c r="E1155" s="190"/>
      <c r="G1155" s="70"/>
      <c r="H1155" s="70"/>
      <c r="J1155" s="70"/>
      <c r="L1155" s="71"/>
      <c r="N1155" s="65"/>
    </row>
    <row r="1156" spans="1:14" ht="15" customHeight="1" x14ac:dyDescent="0.2">
      <c r="A1156" s="188"/>
      <c r="C1156" s="189"/>
      <c r="E1156" s="190"/>
      <c r="G1156" s="70"/>
      <c r="H1156" s="70"/>
      <c r="J1156" s="70"/>
      <c r="L1156" s="71"/>
      <c r="N1156" s="65"/>
    </row>
    <row r="1157" spans="1:14" ht="15" customHeight="1" x14ac:dyDescent="0.2">
      <c r="A1157" s="188"/>
      <c r="C1157" s="189"/>
      <c r="E1157" s="190"/>
      <c r="G1157" s="70"/>
      <c r="H1157" s="70"/>
      <c r="J1157" s="70"/>
      <c r="L1157" s="71"/>
      <c r="N1157" s="65"/>
    </row>
    <row r="1158" spans="1:14" ht="15" customHeight="1" x14ac:dyDescent="0.2">
      <c r="A1158" s="188"/>
      <c r="C1158" s="189"/>
      <c r="E1158" s="190"/>
      <c r="G1158" s="70"/>
      <c r="H1158" s="70"/>
      <c r="J1158" s="70"/>
      <c r="L1158" s="71"/>
      <c r="N1158" s="65"/>
    </row>
    <row r="1159" spans="1:14" ht="15" customHeight="1" x14ac:dyDescent="0.2">
      <c r="A1159" s="188"/>
      <c r="C1159" s="189"/>
      <c r="E1159" s="190"/>
      <c r="G1159" s="70"/>
      <c r="H1159" s="70"/>
      <c r="J1159" s="70"/>
      <c r="L1159" s="71"/>
      <c r="N1159" s="65"/>
    </row>
    <row r="1160" spans="1:14" ht="15" customHeight="1" x14ac:dyDescent="0.2">
      <c r="A1160" s="188"/>
      <c r="C1160" s="189"/>
      <c r="E1160" s="190"/>
      <c r="G1160" s="70"/>
      <c r="H1160" s="70"/>
      <c r="J1160" s="70"/>
      <c r="L1160" s="71"/>
      <c r="N1160" s="65"/>
    </row>
    <row r="1161" spans="1:14" ht="15" customHeight="1" x14ac:dyDescent="0.2">
      <c r="A1161" s="188"/>
      <c r="C1161" s="189"/>
      <c r="E1161" s="190"/>
      <c r="G1161" s="70"/>
      <c r="H1161" s="70"/>
      <c r="J1161" s="70"/>
      <c r="L1161" s="71"/>
      <c r="N1161" s="65"/>
    </row>
    <row r="1162" spans="1:14" ht="15" customHeight="1" x14ac:dyDescent="0.2">
      <c r="A1162" s="188"/>
      <c r="C1162" s="189"/>
      <c r="E1162" s="190"/>
      <c r="G1162" s="70"/>
      <c r="H1162" s="70"/>
      <c r="J1162" s="70"/>
      <c r="L1162" s="71"/>
      <c r="N1162" s="65"/>
    </row>
    <row r="1163" spans="1:14" ht="15" customHeight="1" x14ac:dyDescent="0.2">
      <c r="A1163" s="188"/>
      <c r="C1163" s="189"/>
      <c r="E1163" s="190"/>
      <c r="G1163" s="70"/>
      <c r="H1163" s="70"/>
      <c r="J1163" s="70"/>
      <c r="L1163" s="71"/>
      <c r="N1163" s="65"/>
    </row>
    <row r="1164" spans="1:14" ht="15" customHeight="1" x14ac:dyDescent="0.2">
      <c r="A1164" s="188"/>
      <c r="C1164" s="189"/>
      <c r="E1164" s="190"/>
      <c r="G1164" s="70"/>
      <c r="H1164" s="70"/>
      <c r="J1164" s="70"/>
      <c r="L1164" s="71"/>
      <c r="N1164" s="65"/>
    </row>
    <row r="1165" spans="1:14" ht="15" customHeight="1" x14ac:dyDescent="0.2">
      <c r="A1165" s="188"/>
      <c r="C1165" s="189"/>
      <c r="E1165" s="190"/>
      <c r="G1165" s="70"/>
      <c r="H1165" s="70"/>
      <c r="J1165" s="70"/>
      <c r="L1165" s="71"/>
      <c r="N1165" s="65"/>
    </row>
    <row r="1166" spans="1:14" ht="15" customHeight="1" x14ac:dyDescent="0.2">
      <c r="A1166" s="188"/>
      <c r="C1166" s="189"/>
      <c r="E1166" s="190"/>
      <c r="G1166" s="70"/>
      <c r="H1166" s="70"/>
      <c r="J1166" s="70"/>
      <c r="L1166" s="71"/>
      <c r="N1166" s="65"/>
    </row>
    <row r="1167" spans="1:14" ht="15" customHeight="1" x14ac:dyDescent="0.2">
      <c r="A1167" s="188"/>
      <c r="C1167" s="189"/>
      <c r="E1167" s="190"/>
      <c r="G1167" s="70"/>
      <c r="H1167" s="70"/>
      <c r="J1167" s="70"/>
      <c r="L1167" s="71"/>
      <c r="N1167" s="65"/>
    </row>
    <row r="1168" spans="1:14" ht="15" customHeight="1" x14ac:dyDescent="0.2">
      <c r="A1168" s="188"/>
      <c r="C1168" s="189"/>
      <c r="E1168" s="190"/>
      <c r="G1168" s="70"/>
      <c r="H1168" s="70"/>
      <c r="J1168" s="70"/>
      <c r="L1168" s="71"/>
      <c r="N1168" s="65"/>
    </row>
    <row r="1169" spans="1:14" ht="15" customHeight="1" x14ac:dyDescent="0.2">
      <c r="A1169" s="188"/>
      <c r="C1169" s="189"/>
      <c r="E1169" s="190"/>
      <c r="G1169" s="70"/>
      <c r="H1169" s="70"/>
      <c r="J1169" s="70"/>
      <c r="L1169" s="71"/>
      <c r="N1169" s="65"/>
    </row>
    <row r="1170" spans="1:14" ht="15" customHeight="1" x14ac:dyDescent="0.2">
      <c r="A1170" s="188"/>
      <c r="C1170" s="189"/>
      <c r="E1170" s="190"/>
      <c r="G1170" s="70"/>
      <c r="H1170" s="70"/>
      <c r="J1170" s="70"/>
      <c r="L1170" s="71"/>
      <c r="N1170" s="65"/>
    </row>
    <row r="1171" spans="1:14" ht="15" customHeight="1" x14ac:dyDescent="0.2">
      <c r="A1171" s="188"/>
      <c r="C1171" s="189"/>
      <c r="E1171" s="190"/>
      <c r="G1171" s="70"/>
      <c r="H1171" s="70"/>
      <c r="J1171" s="70"/>
      <c r="L1171" s="71"/>
      <c r="N1171" s="65"/>
    </row>
    <row r="1172" spans="1:14" ht="15" customHeight="1" x14ac:dyDescent="0.2">
      <c r="A1172" s="188"/>
      <c r="C1172" s="189"/>
      <c r="E1172" s="190"/>
      <c r="G1172" s="70"/>
      <c r="H1172" s="70"/>
      <c r="J1172" s="70"/>
      <c r="L1172" s="71"/>
      <c r="N1172" s="65"/>
    </row>
    <row r="1173" spans="1:14" ht="15" customHeight="1" x14ac:dyDescent="0.2">
      <c r="A1173" s="188"/>
      <c r="C1173" s="189"/>
      <c r="E1173" s="190"/>
      <c r="G1173" s="70"/>
      <c r="H1173" s="70"/>
      <c r="J1173" s="70"/>
      <c r="L1173" s="71"/>
      <c r="N1173" s="65"/>
    </row>
    <row r="1174" spans="1:14" ht="15" customHeight="1" x14ac:dyDescent="0.2">
      <c r="A1174" s="188"/>
      <c r="C1174" s="189"/>
      <c r="E1174" s="190"/>
      <c r="G1174" s="70"/>
      <c r="H1174" s="70"/>
      <c r="J1174" s="70"/>
      <c r="L1174" s="71"/>
      <c r="N1174" s="65"/>
    </row>
    <row r="1175" spans="1:14" ht="15" customHeight="1" x14ac:dyDescent="0.2">
      <c r="A1175" s="188"/>
      <c r="C1175" s="189"/>
      <c r="E1175" s="190"/>
      <c r="G1175" s="70"/>
      <c r="H1175" s="70"/>
      <c r="J1175" s="70"/>
      <c r="L1175" s="71"/>
      <c r="N1175" s="65"/>
    </row>
    <row r="1176" spans="1:14" ht="15" customHeight="1" x14ac:dyDescent="0.2">
      <c r="A1176" s="188"/>
      <c r="C1176" s="189"/>
      <c r="E1176" s="190"/>
      <c r="G1176" s="70"/>
      <c r="H1176" s="70"/>
      <c r="J1176" s="70"/>
      <c r="L1176" s="71"/>
      <c r="N1176" s="65"/>
    </row>
    <row r="1177" spans="1:14" ht="15" customHeight="1" x14ac:dyDescent="0.2">
      <c r="A1177" s="188"/>
      <c r="C1177" s="189"/>
      <c r="E1177" s="190"/>
      <c r="G1177" s="70"/>
      <c r="H1177" s="70"/>
      <c r="J1177" s="70"/>
      <c r="L1177" s="71"/>
      <c r="N1177" s="65"/>
    </row>
    <row r="1178" spans="1:14" ht="15" customHeight="1" x14ac:dyDescent="0.2">
      <c r="A1178" s="188"/>
      <c r="C1178" s="189"/>
      <c r="E1178" s="190"/>
      <c r="G1178" s="70"/>
      <c r="H1178" s="70"/>
      <c r="J1178" s="70"/>
      <c r="L1178" s="71"/>
      <c r="N1178" s="65"/>
    </row>
    <row r="1179" spans="1:14" ht="15" customHeight="1" x14ac:dyDescent="0.2">
      <c r="A1179" s="188"/>
      <c r="C1179" s="189"/>
      <c r="E1179" s="190"/>
      <c r="G1179" s="70"/>
      <c r="H1179" s="70"/>
      <c r="J1179" s="70"/>
      <c r="L1179" s="71"/>
      <c r="N1179" s="65"/>
    </row>
    <row r="1180" spans="1:14" ht="15" customHeight="1" x14ac:dyDescent="0.2">
      <c r="A1180" s="188"/>
      <c r="C1180" s="189"/>
      <c r="E1180" s="190"/>
      <c r="G1180" s="70"/>
      <c r="H1180" s="70"/>
      <c r="J1180" s="70"/>
      <c r="L1180" s="71"/>
      <c r="N1180" s="65"/>
    </row>
    <row r="1181" spans="1:14" ht="15" customHeight="1" x14ac:dyDescent="0.2">
      <c r="A1181" s="188"/>
      <c r="C1181" s="189"/>
      <c r="E1181" s="190"/>
      <c r="G1181" s="70"/>
      <c r="H1181" s="70"/>
      <c r="J1181" s="70"/>
      <c r="L1181" s="71"/>
      <c r="N1181" s="65"/>
    </row>
    <row r="1182" spans="1:14" ht="15" customHeight="1" x14ac:dyDescent="0.2">
      <c r="A1182" s="188"/>
      <c r="C1182" s="189"/>
      <c r="E1182" s="190"/>
      <c r="G1182" s="70"/>
      <c r="H1182" s="70"/>
      <c r="J1182" s="70"/>
      <c r="L1182" s="71"/>
      <c r="N1182" s="65"/>
    </row>
    <row r="1183" spans="1:14" ht="15" customHeight="1" x14ac:dyDescent="0.2">
      <c r="A1183" s="188"/>
      <c r="C1183" s="189"/>
      <c r="E1183" s="190"/>
      <c r="G1183" s="70"/>
      <c r="H1183" s="70"/>
      <c r="J1183" s="70"/>
      <c r="L1183" s="71"/>
      <c r="N1183" s="65"/>
    </row>
    <row r="1184" spans="1:14" ht="15" customHeight="1" x14ac:dyDescent="0.2">
      <c r="A1184" s="188"/>
      <c r="C1184" s="189"/>
      <c r="E1184" s="190"/>
      <c r="G1184" s="70"/>
      <c r="H1184" s="70"/>
      <c r="J1184" s="70"/>
      <c r="L1184" s="71"/>
      <c r="N1184" s="65"/>
    </row>
    <row r="1185" spans="1:14" ht="15" customHeight="1" x14ac:dyDescent="0.2">
      <c r="A1185" s="188"/>
      <c r="C1185" s="189"/>
      <c r="E1185" s="190"/>
      <c r="G1185" s="70"/>
      <c r="H1185" s="70"/>
      <c r="J1185" s="70"/>
      <c r="L1185" s="71"/>
      <c r="N1185" s="65"/>
    </row>
    <row r="1186" spans="1:14" ht="15" customHeight="1" x14ac:dyDescent="0.2">
      <c r="A1186" s="188"/>
      <c r="C1186" s="189"/>
      <c r="E1186" s="190"/>
      <c r="G1186" s="70"/>
      <c r="H1186" s="70"/>
      <c r="J1186" s="70"/>
      <c r="L1186" s="71"/>
      <c r="N1186" s="65"/>
    </row>
    <row r="1187" spans="1:14" ht="15" customHeight="1" x14ac:dyDescent="0.2">
      <c r="A1187" s="188"/>
      <c r="C1187" s="189"/>
      <c r="E1187" s="190"/>
      <c r="G1187" s="70"/>
      <c r="H1187" s="70"/>
      <c r="J1187" s="70"/>
      <c r="L1187" s="71"/>
      <c r="N1187" s="65"/>
    </row>
    <row r="1188" spans="1:14" ht="15" customHeight="1" x14ac:dyDescent="0.2">
      <c r="A1188" s="188"/>
      <c r="C1188" s="189"/>
      <c r="E1188" s="190"/>
      <c r="G1188" s="70"/>
      <c r="H1188" s="70"/>
      <c r="J1188" s="70"/>
      <c r="L1188" s="71"/>
      <c r="N1188" s="65"/>
    </row>
    <row r="1189" spans="1:14" ht="15" customHeight="1" x14ac:dyDescent="0.2">
      <c r="A1189" s="188"/>
      <c r="C1189" s="189"/>
      <c r="E1189" s="190"/>
      <c r="G1189" s="70"/>
      <c r="H1189" s="70"/>
      <c r="J1189" s="70"/>
      <c r="L1189" s="71"/>
      <c r="N1189" s="65"/>
    </row>
    <row r="1190" spans="1:14" ht="15" customHeight="1" x14ac:dyDescent="0.2">
      <c r="A1190" s="188"/>
      <c r="C1190" s="189"/>
      <c r="E1190" s="190"/>
      <c r="G1190" s="70"/>
      <c r="H1190" s="70"/>
      <c r="J1190" s="70"/>
      <c r="L1190" s="71"/>
      <c r="N1190" s="65"/>
    </row>
    <row r="1191" spans="1:14" ht="15" customHeight="1" x14ac:dyDescent="0.2">
      <c r="A1191" s="188"/>
      <c r="C1191" s="189"/>
      <c r="E1191" s="190"/>
      <c r="G1191" s="70"/>
      <c r="H1191" s="70"/>
      <c r="J1191" s="70"/>
      <c r="L1191" s="71"/>
      <c r="N1191" s="65"/>
    </row>
    <row r="1192" spans="1:14" ht="15" customHeight="1" x14ac:dyDescent="0.2">
      <c r="A1192" s="188"/>
      <c r="C1192" s="189"/>
      <c r="E1192" s="190"/>
      <c r="G1192" s="70"/>
      <c r="H1192" s="70"/>
      <c r="J1192" s="70"/>
      <c r="L1192" s="71"/>
      <c r="N1192" s="65"/>
    </row>
    <row r="1193" spans="1:14" ht="15" customHeight="1" x14ac:dyDescent="0.2">
      <c r="A1193" s="188"/>
      <c r="C1193" s="189"/>
      <c r="E1193" s="190"/>
      <c r="G1193" s="70"/>
      <c r="H1193" s="70"/>
      <c r="J1193" s="70"/>
      <c r="L1193" s="71"/>
      <c r="N1193" s="65"/>
    </row>
    <row r="1194" spans="1:14" ht="15" customHeight="1" x14ac:dyDescent="0.2">
      <c r="A1194" s="188"/>
      <c r="C1194" s="189"/>
      <c r="E1194" s="190"/>
      <c r="G1194" s="70"/>
      <c r="H1194" s="70"/>
      <c r="J1194" s="70"/>
      <c r="L1194" s="71"/>
      <c r="N1194" s="65"/>
    </row>
    <row r="1195" spans="1:14" ht="15" customHeight="1" x14ac:dyDescent="0.2">
      <c r="A1195" s="188"/>
      <c r="C1195" s="189"/>
      <c r="E1195" s="190"/>
      <c r="G1195" s="70"/>
      <c r="H1195" s="70"/>
      <c r="J1195" s="70"/>
      <c r="L1195" s="71"/>
      <c r="N1195" s="65"/>
    </row>
    <row r="1196" spans="1:14" ht="15" customHeight="1" x14ac:dyDescent="0.2">
      <c r="A1196" s="188"/>
      <c r="C1196" s="189"/>
      <c r="E1196" s="190"/>
      <c r="G1196" s="70"/>
      <c r="H1196" s="70"/>
      <c r="J1196" s="70"/>
      <c r="L1196" s="71"/>
      <c r="N1196" s="65"/>
    </row>
    <row r="1197" spans="1:14" ht="15" customHeight="1" x14ac:dyDescent="0.2">
      <c r="A1197" s="188"/>
      <c r="C1197" s="189"/>
      <c r="E1197" s="190"/>
      <c r="G1197" s="70"/>
      <c r="H1197" s="70"/>
      <c r="J1197" s="70"/>
      <c r="L1197" s="71"/>
      <c r="N1197" s="65"/>
    </row>
    <row r="1198" spans="1:14" ht="15" customHeight="1" x14ac:dyDescent="0.2">
      <c r="A1198" s="188"/>
      <c r="C1198" s="189"/>
      <c r="E1198" s="190"/>
      <c r="G1198" s="70"/>
      <c r="H1198" s="70"/>
      <c r="J1198" s="70"/>
      <c r="L1198" s="71"/>
      <c r="N1198" s="65"/>
    </row>
    <row r="1199" spans="1:14" ht="15" customHeight="1" x14ac:dyDescent="0.2">
      <c r="A1199" s="188"/>
      <c r="C1199" s="189"/>
      <c r="E1199" s="190"/>
      <c r="G1199" s="70"/>
      <c r="H1199" s="70"/>
      <c r="J1199" s="70"/>
      <c r="L1199" s="71"/>
      <c r="N1199" s="65"/>
    </row>
    <row r="1200" spans="1:14" ht="15" customHeight="1" x14ac:dyDescent="0.2">
      <c r="A1200" s="188"/>
      <c r="C1200" s="189"/>
      <c r="E1200" s="190"/>
      <c r="G1200" s="70"/>
      <c r="H1200" s="70"/>
      <c r="J1200" s="70"/>
      <c r="L1200" s="71"/>
      <c r="N1200" s="65"/>
    </row>
    <row r="1201" spans="1:14" ht="15" customHeight="1" x14ac:dyDescent="0.2">
      <c r="A1201" s="188"/>
      <c r="C1201" s="189"/>
      <c r="E1201" s="190"/>
      <c r="G1201" s="70"/>
      <c r="H1201" s="70"/>
      <c r="J1201" s="70"/>
      <c r="L1201" s="71"/>
      <c r="N1201" s="65"/>
    </row>
    <row r="1202" spans="1:14" ht="15" customHeight="1" x14ac:dyDescent="0.2">
      <c r="A1202" s="188"/>
      <c r="C1202" s="189"/>
      <c r="E1202" s="190"/>
      <c r="G1202" s="70"/>
      <c r="H1202" s="70"/>
      <c r="J1202" s="70"/>
      <c r="L1202" s="71"/>
      <c r="N1202" s="65"/>
    </row>
    <row r="1203" spans="1:14" ht="15" customHeight="1" x14ac:dyDescent="0.2">
      <c r="A1203" s="188"/>
      <c r="C1203" s="189"/>
      <c r="E1203" s="190"/>
      <c r="G1203" s="70"/>
      <c r="H1203" s="70"/>
      <c r="J1203" s="70"/>
      <c r="L1203" s="71"/>
      <c r="N1203" s="65"/>
    </row>
    <row r="1204" spans="1:14" ht="15" customHeight="1" x14ac:dyDescent="0.2">
      <c r="A1204" s="188"/>
      <c r="C1204" s="189"/>
      <c r="E1204" s="190"/>
      <c r="G1204" s="70"/>
      <c r="H1204" s="70"/>
      <c r="J1204" s="70"/>
      <c r="L1204" s="71"/>
      <c r="N1204" s="65"/>
    </row>
    <row r="1205" spans="1:14" ht="15" customHeight="1" x14ac:dyDescent="0.2">
      <c r="A1205" s="188"/>
      <c r="C1205" s="189"/>
      <c r="E1205" s="190"/>
      <c r="G1205" s="70"/>
      <c r="H1205" s="70"/>
      <c r="J1205" s="70"/>
      <c r="L1205" s="71"/>
      <c r="N1205" s="65"/>
    </row>
    <row r="1206" spans="1:14" ht="15" customHeight="1" x14ac:dyDescent="0.2">
      <c r="A1206" s="188"/>
      <c r="C1206" s="189"/>
      <c r="E1206" s="190"/>
      <c r="G1206" s="70"/>
      <c r="H1206" s="70"/>
      <c r="J1206" s="70"/>
      <c r="L1206" s="71"/>
      <c r="N1206" s="65"/>
    </row>
    <row r="1207" spans="1:14" ht="15" customHeight="1" x14ac:dyDescent="0.2">
      <c r="A1207" s="188"/>
      <c r="C1207" s="189"/>
      <c r="E1207" s="190"/>
      <c r="G1207" s="70"/>
      <c r="H1207" s="70"/>
      <c r="J1207" s="70"/>
      <c r="L1207" s="71"/>
      <c r="N1207" s="65"/>
    </row>
    <row r="1208" spans="1:14" ht="15" customHeight="1" x14ac:dyDescent="0.2">
      <c r="A1208" s="188"/>
      <c r="C1208" s="189"/>
      <c r="E1208" s="190"/>
      <c r="G1208" s="70"/>
      <c r="H1208" s="70"/>
      <c r="J1208" s="70"/>
      <c r="L1208" s="71"/>
      <c r="N1208" s="65"/>
    </row>
    <row r="1209" spans="1:14" ht="15" customHeight="1" x14ac:dyDescent="0.2">
      <c r="A1209" s="188"/>
      <c r="C1209" s="189"/>
      <c r="E1209" s="190"/>
      <c r="G1209" s="70"/>
      <c r="H1209" s="70"/>
      <c r="J1209" s="70"/>
      <c r="L1209" s="71"/>
      <c r="N1209" s="65"/>
    </row>
    <row r="1210" spans="1:14" ht="15" customHeight="1" x14ac:dyDescent="0.2">
      <c r="A1210" s="188"/>
      <c r="C1210" s="189"/>
      <c r="E1210" s="190"/>
      <c r="G1210" s="70"/>
      <c r="H1210" s="70"/>
      <c r="J1210" s="70"/>
      <c r="L1210" s="71"/>
      <c r="N1210" s="65"/>
    </row>
    <row r="1211" spans="1:14" ht="15" customHeight="1" x14ac:dyDescent="0.2">
      <c r="A1211" s="188"/>
      <c r="C1211" s="189"/>
      <c r="E1211" s="190"/>
      <c r="G1211" s="70"/>
      <c r="H1211" s="70"/>
      <c r="J1211" s="70"/>
      <c r="L1211" s="71"/>
      <c r="N1211" s="65"/>
    </row>
    <row r="1212" spans="1:14" ht="15" customHeight="1" x14ac:dyDescent="0.2">
      <c r="A1212" s="188"/>
      <c r="C1212" s="189"/>
      <c r="E1212" s="190"/>
      <c r="G1212" s="70"/>
      <c r="H1212" s="70"/>
      <c r="J1212" s="70"/>
      <c r="L1212" s="71"/>
      <c r="N1212" s="65"/>
    </row>
    <row r="1213" spans="1:14" ht="15" customHeight="1" x14ac:dyDescent="0.2">
      <c r="A1213" s="188"/>
      <c r="C1213" s="189"/>
      <c r="E1213" s="190"/>
      <c r="G1213" s="70"/>
      <c r="H1213" s="70"/>
      <c r="J1213" s="70"/>
      <c r="L1213" s="71"/>
      <c r="N1213" s="65"/>
    </row>
    <row r="1214" spans="1:14" ht="15" customHeight="1" x14ac:dyDescent="0.2">
      <c r="A1214" s="188"/>
      <c r="C1214" s="189"/>
      <c r="E1214" s="190"/>
      <c r="G1214" s="70"/>
      <c r="H1214" s="70"/>
      <c r="J1214" s="70"/>
      <c r="L1214" s="71"/>
      <c r="N1214" s="65"/>
    </row>
    <row r="1215" spans="1:14" ht="15" customHeight="1" x14ac:dyDescent="0.2">
      <c r="A1215" s="188"/>
      <c r="C1215" s="189"/>
      <c r="E1215" s="190"/>
      <c r="G1215" s="70"/>
      <c r="H1215" s="70"/>
      <c r="J1215" s="70"/>
      <c r="L1215" s="71"/>
      <c r="N1215" s="65"/>
    </row>
    <row r="1216" spans="1:14" ht="15" customHeight="1" x14ac:dyDescent="0.2">
      <c r="A1216" s="188"/>
      <c r="C1216" s="189"/>
      <c r="E1216" s="190"/>
      <c r="G1216" s="70"/>
      <c r="H1216" s="70"/>
      <c r="J1216" s="70"/>
      <c r="L1216" s="71"/>
      <c r="N1216" s="65"/>
    </row>
    <row r="1217" spans="1:14" ht="15" customHeight="1" x14ac:dyDescent="0.2">
      <c r="A1217" s="188"/>
      <c r="C1217" s="189"/>
      <c r="E1217" s="190"/>
      <c r="G1217" s="70"/>
      <c r="H1217" s="70"/>
      <c r="J1217" s="70"/>
      <c r="L1217" s="71"/>
      <c r="N1217" s="65"/>
    </row>
    <row r="1218" spans="1:14" ht="15" customHeight="1" x14ac:dyDescent="0.2">
      <c r="A1218" s="188"/>
      <c r="C1218" s="189"/>
      <c r="E1218" s="190"/>
      <c r="G1218" s="70"/>
      <c r="H1218" s="70"/>
      <c r="J1218" s="70"/>
      <c r="L1218" s="71"/>
      <c r="N1218" s="65"/>
    </row>
    <row r="1219" spans="1:14" ht="15" customHeight="1" x14ac:dyDescent="0.2">
      <c r="A1219" s="188"/>
      <c r="C1219" s="189"/>
      <c r="E1219" s="190"/>
      <c r="G1219" s="70"/>
      <c r="H1219" s="70"/>
      <c r="J1219" s="70"/>
      <c r="L1219" s="71"/>
      <c r="N1219" s="65"/>
    </row>
    <row r="1220" spans="1:14" ht="15" customHeight="1" x14ac:dyDescent="0.2">
      <c r="A1220" s="188"/>
      <c r="C1220" s="189"/>
      <c r="E1220" s="190"/>
      <c r="G1220" s="70"/>
      <c r="H1220" s="70"/>
      <c r="J1220" s="70"/>
      <c r="L1220" s="71"/>
      <c r="N1220" s="65"/>
    </row>
    <row r="1221" spans="1:14" ht="15" customHeight="1" x14ac:dyDescent="0.2">
      <c r="A1221" s="188"/>
      <c r="C1221" s="189"/>
      <c r="E1221" s="190"/>
      <c r="G1221" s="70"/>
      <c r="H1221" s="70"/>
      <c r="J1221" s="70"/>
      <c r="L1221" s="71"/>
      <c r="N1221" s="65"/>
    </row>
    <row r="1222" spans="1:14" ht="15" customHeight="1" x14ac:dyDescent="0.2">
      <c r="A1222" s="188"/>
      <c r="C1222" s="189"/>
      <c r="E1222" s="190"/>
      <c r="G1222" s="70"/>
      <c r="H1222" s="70"/>
      <c r="J1222" s="70"/>
      <c r="L1222" s="71"/>
      <c r="N1222" s="65"/>
    </row>
    <row r="1223" spans="1:14" ht="15" customHeight="1" x14ac:dyDescent="0.2">
      <c r="A1223" s="188"/>
      <c r="C1223" s="189"/>
      <c r="E1223" s="190"/>
      <c r="G1223" s="70"/>
      <c r="H1223" s="70"/>
      <c r="J1223" s="70"/>
      <c r="L1223" s="71"/>
      <c r="N1223" s="65"/>
    </row>
    <row r="1224" spans="1:14" ht="15" customHeight="1" x14ac:dyDescent="0.2">
      <c r="A1224" s="188"/>
      <c r="C1224" s="189"/>
      <c r="E1224" s="190"/>
      <c r="G1224" s="70"/>
      <c r="H1224" s="70"/>
      <c r="J1224" s="70"/>
      <c r="L1224" s="71"/>
      <c r="N1224" s="65"/>
    </row>
    <row r="1225" spans="1:14" ht="15" customHeight="1" x14ac:dyDescent="0.2">
      <c r="A1225" s="188"/>
      <c r="C1225" s="189"/>
      <c r="E1225" s="190"/>
      <c r="G1225" s="70"/>
      <c r="H1225" s="70"/>
      <c r="J1225" s="70"/>
      <c r="L1225" s="71"/>
      <c r="N1225" s="65"/>
    </row>
    <row r="1226" spans="1:14" ht="15" customHeight="1" x14ac:dyDescent="0.2">
      <c r="A1226" s="188"/>
      <c r="C1226" s="189"/>
      <c r="E1226" s="190"/>
      <c r="G1226" s="70"/>
      <c r="H1226" s="70"/>
      <c r="J1226" s="70"/>
      <c r="L1226" s="71"/>
      <c r="N1226" s="65"/>
    </row>
    <row r="1227" spans="1:14" ht="15" customHeight="1" x14ac:dyDescent="0.2">
      <c r="A1227" s="188"/>
      <c r="C1227" s="189"/>
      <c r="E1227" s="190"/>
      <c r="G1227" s="70"/>
      <c r="H1227" s="70"/>
      <c r="J1227" s="70"/>
      <c r="L1227" s="71"/>
      <c r="N1227" s="65"/>
    </row>
    <row r="1228" spans="1:14" ht="15" customHeight="1" x14ac:dyDescent="0.2">
      <c r="A1228" s="188"/>
      <c r="C1228" s="189"/>
      <c r="E1228" s="190"/>
      <c r="G1228" s="70"/>
      <c r="H1228" s="70"/>
      <c r="J1228" s="70"/>
      <c r="L1228" s="71"/>
      <c r="N1228" s="65"/>
    </row>
    <row r="1229" spans="1:14" ht="15" customHeight="1" x14ac:dyDescent="0.2">
      <c r="A1229" s="188"/>
      <c r="C1229" s="189"/>
      <c r="E1229" s="190"/>
      <c r="G1229" s="70"/>
      <c r="H1229" s="70"/>
      <c r="J1229" s="70"/>
      <c r="L1229" s="71"/>
      <c r="N1229" s="65"/>
    </row>
    <row r="1230" spans="1:14" ht="15" customHeight="1" x14ac:dyDescent="0.2">
      <c r="A1230" s="188"/>
      <c r="C1230" s="189"/>
      <c r="E1230" s="190"/>
      <c r="G1230" s="70"/>
      <c r="H1230" s="70"/>
      <c r="J1230" s="70"/>
      <c r="L1230" s="71"/>
      <c r="N1230" s="65"/>
    </row>
    <row r="1231" spans="1:14" ht="15" customHeight="1" x14ac:dyDescent="0.2">
      <c r="A1231" s="188"/>
      <c r="C1231" s="189"/>
      <c r="E1231" s="190"/>
      <c r="G1231" s="70"/>
      <c r="H1231" s="70"/>
      <c r="J1231" s="70"/>
      <c r="L1231" s="71"/>
      <c r="N1231" s="65"/>
    </row>
    <row r="1232" spans="1:14" ht="15" customHeight="1" x14ac:dyDescent="0.2">
      <c r="A1232" s="188"/>
      <c r="C1232" s="189"/>
      <c r="E1232" s="190"/>
      <c r="G1232" s="70"/>
      <c r="H1232" s="70"/>
      <c r="J1232" s="70"/>
      <c r="L1232" s="71"/>
      <c r="N1232" s="65"/>
    </row>
    <row r="1233" spans="1:14" ht="15" customHeight="1" x14ac:dyDescent="0.2">
      <c r="A1233" s="188"/>
      <c r="C1233" s="189"/>
      <c r="E1233" s="190"/>
      <c r="G1233" s="70"/>
      <c r="H1233" s="70"/>
      <c r="J1233" s="70"/>
      <c r="L1233" s="71"/>
      <c r="N1233" s="65"/>
    </row>
    <row r="1234" spans="1:14" ht="15" customHeight="1" x14ac:dyDescent="0.2">
      <c r="A1234" s="188"/>
      <c r="C1234" s="189"/>
      <c r="E1234" s="190"/>
      <c r="G1234" s="70"/>
      <c r="H1234" s="70"/>
      <c r="J1234" s="70"/>
      <c r="L1234" s="71"/>
      <c r="N1234" s="65"/>
    </row>
    <row r="1235" spans="1:14" ht="15" customHeight="1" x14ac:dyDescent="0.2">
      <c r="A1235" s="188"/>
      <c r="C1235" s="189"/>
      <c r="E1235" s="190"/>
      <c r="G1235" s="70"/>
      <c r="H1235" s="70"/>
      <c r="J1235" s="70"/>
      <c r="L1235" s="71"/>
      <c r="N1235" s="65"/>
    </row>
    <row r="1236" spans="1:14" ht="15" customHeight="1" x14ac:dyDescent="0.2">
      <c r="A1236" s="188"/>
      <c r="C1236" s="189"/>
      <c r="E1236" s="190"/>
      <c r="G1236" s="70"/>
      <c r="H1236" s="70"/>
      <c r="J1236" s="70"/>
      <c r="L1236" s="71"/>
      <c r="N1236" s="65"/>
    </row>
    <row r="1237" spans="1:14" ht="15" customHeight="1" x14ac:dyDescent="0.2">
      <c r="A1237" s="188"/>
      <c r="C1237" s="189"/>
      <c r="E1237" s="190"/>
      <c r="G1237" s="70"/>
      <c r="H1237" s="70"/>
      <c r="J1237" s="70"/>
      <c r="L1237" s="71"/>
      <c r="N1237" s="65"/>
    </row>
    <row r="1238" spans="1:14" ht="15" customHeight="1" x14ac:dyDescent="0.2">
      <c r="A1238" s="188"/>
      <c r="C1238" s="189"/>
      <c r="E1238" s="190"/>
      <c r="G1238" s="70"/>
      <c r="H1238" s="70"/>
      <c r="J1238" s="70"/>
      <c r="L1238" s="71"/>
      <c r="N1238" s="65"/>
    </row>
    <row r="1239" spans="1:14" ht="15" customHeight="1" x14ac:dyDescent="0.2">
      <c r="A1239" s="188"/>
      <c r="C1239" s="189"/>
      <c r="E1239" s="190"/>
      <c r="G1239" s="70"/>
      <c r="H1239" s="70"/>
      <c r="J1239" s="70"/>
      <c r="L1239" s="71"/>
      <c r="N1239" s="65"/>
    </row>
    <row r="1240" spans="1:14" ht="15" customHeight="1" x14ac:dyDescent="0.2">
      <c r="A1240" s="188"/>
      <c r="C1240" s="189"/>
      <c r="E1240" s="190"/>
      <c r="G1240" s="70"/>
      <c r="H1240" s="70"/>
      <c r="J1240" s="70"/>
      <c r="L1240" s="71"/>
      <c r="N1240" s="65"/>
    </row>
    <row r="1241" spans="1:14" ht="15" customHeight="1" x14ac:dyDescent="0.2">
      <c r="A1241" s="188"/>
      <c r="C1241" s="189"/>
      <c r="E1241" s="190"/>
      <c r="G1241" s="70"/>
      <c r="H1241" s="70"/>
      <c r="J1241" s="70"/>
      <c r="L1241" s="71"/>
      <c r="N1241" s="65"/>
    </row>
    <row r="1242" spans="1:14" ht="15" customHeight="1" x14ac:dyDescent="0.2">
      <c r="A1242" s="188"/>
      <c r="C1242" s="189"/>
      <c r="E1242" s="190"/>
      <c r="G1242" s="70"/>
      <c r="H1242" s="70"/>
      <c r="J1242" s="70"/>
      <c r="L1242" s="71"/>
      <c r="N1242" s="65"/>
    </row>
    <row r="1243" spans="1:14" ht="15" customHeight="1" x14ac:dyDescent="0.2">
      <c r="A1243" s="188"/>
      <c r="C1243" s="189"/>
      <c r="E1243" s="190"/>
      <c r="G1243" s="70"/>
      <c r="H1243" s="70"/>
      <c r="J1243" s="70"/>
      <c r="L1243" s="71"/>
      <c r="N1243" s="65"/>
    </row>
    <row r="1244" spans="1:14" ht="15" customHeight="1" x14ac:dyDescent="0.2">
      <c r="A1244" s="188"/>
      <c r="C1244" s="189"/>
      <c r="E1244" s="190"/>
      <c r="G1244" s="70"/>
      <c r="H1244" s="70"/>
      <c r="J1244" s="70"/>
      <c r="L1244" s="71"/>
      <c r="N1244" s="65"/>
    </row>
    <row r="1245" spans="1:14" ht="15" customHeight="1" x14ac:dyDescent="0.2">
      <c r="A1245" s="188"/>
      <c r="C1245" s="189"/>
      <c r="E1245" s="190"/>
      <c r="G1245" s="70"/>
      <c r="H1245" s="70"/>
      <c r="J1245" s="70"/>
      <c r="L1245" s="71"/>
      <c r="N1245" s="65"/>
    </row>
    <row r="1246" spans="1:14" ht="15" customHeight="1" x14ac:dyDescent="0.2">
      <c r="A1246" s="188"/>
      <c r="C1246" s="189"/>
      <c r="E1246" s="190"/>
      <c r="G1246" s="70"/>
      <c r="H1246" s="70"/>
      <c r="J1246" s="70"/>
      <c r="L1246" s="71"/>
      <c r="N1246" s="65"/>
    </row>
    <row r="1247" spans="1:14" ht="15" customHeight="1" x14ac:dyDescent="0.2">
      <c r="A1247" s="188"/>
      <c r="C1247" s="189"/>
      <c r="E1247" s="190"/>
      <c r="G1247" s="70"/>
      <c r="H1247" s="70"/>
      <c r="J1247" s="70"/>
      <c r="L1247" s="71"/>
      <c r="N1247" s="65"/>
    </row>
    <row r="1248" spans="1:14" ht="15" customHeight="1" x14ac:dyDescent="0.2">
      <c r="A1248" s="188"/>
      <c r="C1248" s="189"/>
      <c r="E1248" s="190"/>
      <c r="G1248" s="70"/>
      <c r="H1248" s="70"/>
      <c r="J1248" s="70"/>
      <c r="L1248" s="71"/>
      <c r="N1248" s="65"/>
    </row>
    <row r="1249" spans="1:14" ht="15" customHeight="1" x14ac:dyDescent="0.2">
      <c r="A1249" s="188"/>
      <c r="C1249" s="189"/>
      <c r="E1249" s="190"/>
      <c r="G1249" s="70"/>
      <c r="H1249" s="70"/>
      <c r="J1249" s="70"/>
      <c r="L1249" s="71"/>
      <c r="N1249" s="65"/>
    </row>
    <row r="1250" spans="1:14" ht="15" customHeight="1" x14ac:dyDescent="0.2">
      <c r="A1250" s="188"/>
      <c r="C1250" s="189"/>
      <c r="E1250" s="190"/>
      <c r="G1250" s="70"/>
      <c r="H1250" s="70"/>
      <c r="J1250" s="70"/>
      <c r="L1250" s="71"/>
      <c r="N1250" s="65"/>
    </row>
    <row r="1251" spans="1:14" ht="15" customHeight="1" x14ac:dyDescent="0.2">
      <c r="A1251" s="188"/>
      <c r="C1251" s="189"/>
      <c r="E1251" s="190"/>
      <c r="G1251" s="70"/>
      <c r="H1251" s="70"/>
      <c r="J1251" s="70"/>
      <c r="L1251" s="71"/>
      <c r="N1251" s="65"/>
    </row>
    <row r="1252" spans="1:14" ht="15" customHeight="1" x14ac:dyDescent="0.2">
      <c r="A1252" s="188"/>
      <c r="C1252" s="189"/>
      <c r="E1252" s="190"/>
      <c r="G1252" s="70"/>
      <c r="H1252" s="70"/>
      <c r="J1252" s="70"/>
      <c r="L1252" s="71"/>
      <c r="N1252" s="65"/>
    </row>
    <row r="1253" spans="1:14" ht="15" customHeight="1" x14ac:dyDescent="0.2">
      <c r="A1253" s="188"/>
      <c r="C1253" s="189"/>
      <c r="E1253" s="190"/>
      <c r="G1253" s="70"/>
      <c r="H1253" s="70"/>
      <c r="J1253" s="70"/>
      <c r="L1253" s="71"/>
      <c r="N1253" s="65"/>
    </row>
    <row r="1254" spans="1:14" ht="15" customHeight="1" x14ac:dyDescent="0.2">
      <c r="A1254" s="188"/>
      <c r="C1254" s="189"/>
      <c r="E1254" s="190"/>
      <c r="G1254" s="70"/>
      <c r="H1254" s="70"/>
      <c r="J1254" s="70"/>
      <c r="L1254" s="71"/>
      <c r="N1254" s="65"/>
    </row>
    <row r="1255" spans="1:14" ht="15" customHeight="1" x14ac:dyDescent="0.2">
      <c r="A1255" s="188"/>
      <c r="C1255" s="189"/>
      <c r="E1255" s="190"/>
      <c r="G1255" s="70"/>
      <c r="H1255" s="70"/>
      <c r="J1255" s="70"/>
      <c r="L1255" s="71"/>
      <c r="N1255" s="65"/>
    </row>
    <row r="1256" spans="1:14" ht="15" customHeight="1" x14ac:dyDescent="0.2">
      <c r="A1256" s="188"/>
      <c r="C1256" s="189"/>
      <c r="E1256" s="190"/>
      <c r="G1256" s="70"/>
      <c r="H1256" s="70"/>
      <c r="J1256" s="70"/>
      <c r="L1256" s="71"/>
      <c r="N1256" s="65"/>
    </row>
    <row r="1257" spans="1:14" ht="15" customHeight="1" x14ac:dyDescent="0.2">
      <c r="A1257" s="188"/>
      <c r="C1257" s="189"/>
      <c r="E1257" s="190"/>
      <c r="G1257" s="70"/>
      <c r="H1257" s="70"/>
      <c r="J1257" s="70"/>
      <c r="L1257" s="71"/>
      <c r="N1257" s="65"/>
    </row>
    <row r="1258" spans="1:14" ht="15" customHeight="1" x14ac:dyDescent="0.2">
      <c r="A1258" s="188"/>
      <c r="C1258" s="189"/>
      <c r="E1258" s="190"/>
      <c r="G1258" s="70"/>
      <c r="H1258" s="70"/>
      <c r="J1258" s="70"/>
      <c r="L1258" s="71"/>
      <c r="N1258" s="65"/>
    </row>
    <row r="1259" spans="1:14" ht="15" customHeight="1" x14ac:dyDescent="0.2">
      <c r="A1259" s="188"/>
      <c r="C1259" s="189"/>
      <c r="E1259" s="190"/>
      <c r="G1259" s="70"/>
      <c r="H1259" s="70"/>
      <c r="J1259" s="70"/>
      <c r="L1259" s="71"/>
      <c r="N1259" s="65"/>
    </row>
    <row r="1260" spans="1:14" ht="15" customHeight="1" x14ac:dyDescent="0.2">
      <c r="A1260" s="188"/>
      <c r="C1260" s="189"/>
      <c r="E1260" s="190"/>
      <c r="G1260" s="70"/>
      <c r="H1260" s="70"/>
      <c r="J1260" s="70"/>
      <c r="L1260" s="71"/>
      <c r="N1260" s="65"/>
    </row>
    <row r="1261" spans="1:14" ht="15" customHeight="1" x14ac:dyDescent="0.2">
      <c r="A1261" s="188"/>
      <c r="C1261" s="189"/>
      <c r="E1261" s="190"/>
      <c r="G1261" s="70"/>
      <c r="H1261" s="70"/>
      <c r="J1261" s="70"/>
      <c r="L1261" s="71"/>
      <c r="N1261" s="65"/>
    </row>
    <row r="1262" spans="1:14" ht="15" customHeight="1" x14ac:dyDescent="0.2">
      <c r="A1262" s="188"/>
      <c r="C1262" s="189"/>
      <c r="E1262" s="190"/>
      <c r="G1262" s="70"/>
      <c r="H1262" s="70"/>
      <c r="J1262" s="70"/>
      <c r="L1262" s="71"/>
      <c r="N1262" s="65"/>
    </row>
    <row r="1263" spans="1:14" ht="15" customHeight="1" x14ac:dyDescent="0.2">
      <c r="A1263" s="188"/>
      <c r="C1263" s="189"/>
      <c r="E1263" s="190"/>
      <c r="G1263" s="70"/>
      <c r="H1263" s="70"/>
      <c r="J1263" s="70"/>
      <c r="L1263" s="71"/>
      <c r="N1263" s="65"/>
    </row>
    <row r="1264" spans="1:14" ht="15" customHeight="1" x14ac:dyDescent="0.2">
      <c r="A1264" s="188"/>
      <c r="C1264" s="189"/>
      <c r="E1264" s="190"/>
      <c r="G1264" s="70"/>
      <c r="H1264" s="70"/>
      <c r="J1264" s="70"/>
      <c r="L1264" s="71"/>
      <c r="N1264" s="65"/>
    </row>
    <row r="1265" spans="1:14" ht="15" customHeight="1" x14ac:dyDescent="0.2">
      <c r="A1265" s="188"/>
      <c r="C1265" s="189"/>
      <c r="E1265" s="190"/>
      <c r="G1265" s="70"/>
      <c r="H1265" s="70"/>
      <c r="J1265" s="70"/>
      <c r="L1265" s="71"/>
      <c r="N1265" s="65"/>
    </row>
    <row r="1266" spans="1:14" ht="15" customHeight="1" x14ac:dyDescent="0.2">
      <c r="A1266" s="188"/>
      <c r="C1266" s="189"/>
      <c r="E1266" s="190"/>
      <c r="G1266" s="70"/>
      <c r="H1266" s="70"/>
      <c r="J1266" s="70"/>
      <c r="L1266" s="71"/>
      <c r="N1266" s="65"/>
    </row>
    <row r="1267" spans="1:14" ht="15" customHeight="1" x14ac:dyDescent="0.2">
      <c r="A1267" s="188"/>
      <c r="C1267" s="189"/>
      <c r="E1267" s="190"/>
      <c r="G1267" s="70"/>
      <c r="H1267" s="70"/>
      <c r="J1267" s="70"/>
      <c r="L1267" s="71"/>
      <c r="N1267" s="65"/>
    </row>
    <row r="1268" spans="1:14" ht="15" customHeight="1" x14ac:dyDescent="0.2">
      <c r="A1268" s="188"/>
      <c r="C1268" s="189"/>
      <c r="E1268" s="190"/>
      <c r="G1268" s="70"/>
      <c r="H1268" s="70"/>
      <c r="J1268" s="70"/>
      <c r="L1268" s="71"/>
      <c r="N1268" s="65"/>
    </row>
    <row r="1269" spans="1:14" ht="15" customHeight="1" x14ac:dyDescent="0.2">
      <c r="A1269" s="188"/>
      <c r="C1269" s="189"/>
      <c r="E1269" s="190"/>
      <c r="G1269" s="70"/>
      <c r="H1269" s="70"/>
      <c r="J1269" s="70"/>
      <c r="L1269" s="71"/>
      <c r="N1269" s="65"/>
    </row>
    <row r="1270" spans="1:14" ht="15" customHeight="1" x14ac:dyDescent="0.2">
      <c r="A1270" s="188"/>
      <c r="C1270" s="189"/>
      <c r="E1270" s="190"/>
      <c r="G1270" s="70"/>
      <c r="H1270" s="70"/>
      <c r="J1270" s="70"/>
      <c r="L1270" s="71"/>
      <c r="N1270" s="65"/>
    </row>
    <row r="1271" spans="1:14" ht="15" customHeight="1" x14ac:dyDescent="0.2">
      <c r="A1271" s="188"/>
      <c r="C1271" s="189"/>
      <c r="E1271" s="190"/>
      <c r="G1271" s="70"/>
      <c r="H1271" s="70"/>
      <c r="J1271" s="70"/>
      <c r="L1271" s="71"/>
      <c r="N1271" s="65"/>
    </row>
    <row r="1272" spans="1:14" ht="15" customHeight="1" x14ac:dyDescent="0.2">
      <c r="A1272" s="188"/>
      <c r="C1272" s="189"/>
      <c r="E1272" s="190"/>
      <c r="G1272" s="70"/>
      <c r="H1272" s="70"/>
      <c r="J1272" s="70"/>
      <c r="L1272" s="71"/>
      <c r="N1272" s="65"/>
    </row>
    <row r="1273" spans="1:14" ht="15" customHeight="1" x14ac:dyDescent="0.2">
      <c r="A1273" s="188"/>
      <c r="C1273" s="189"/>
      <c r="E1273" s="190"/>
      <c r="G1273" s="70"/>
      <c r="H1273" s="70"/>
      <c r="J1273" s="70"/>
      <c r="L1273" s="71"/>
      <c r="N1273" s="65"/>
    </row>
    <row r="1274" spans="1:14" ht="15" customHeight="1" x14ac:dyDescent="0.2">
      <c r="A1274" s="188"/>
      <c r="C1274" s="189"/>
      <c r="E1274" s="190"/>
      <c r="G1274" s="70"/>
      <c r="H1274" s="70"/>
      <c r="J1274" s="70"/>
      <c r="L1274" s="71"/>
      <c r="N1274" s="65"/>
    </row>
    <row r="1275" spans="1:14" ht="15" customHeight="1" x14ac:dyDescent="0.2">
      <c r="A1275" s="188"/>
      <c r="C1275" s="189"/>
      <c r="E1275" s="190"/>
      <c r="G1275" s="70"/>
      <c r="H1275" s="70"/>
      <c r="J1275" s="70"/>
      <c r="L1275" s="71"/>
      <c r="N1275" s="65"/>
    </row>
    <row r="1276" spans="1:14" ht="15" customHeight="1" x14ac:dyDescent="0.2">
      <c r="A1276" s="188"/>
      <c r="C1276" s="189"/>
      <c r="E1276" s="190"/>
      <c r="G1276" s="70"/>
      <c r="H1276" s="70"/>
      <c r="J1276" s="70"/>
      <c r="L1276" s="71"/>
      <c r="N1276" s="65"/>
    </row>
    <row r="1277" spans="1:14" ht="15" customHeight="1" x14ac:dyDescent="0.2">
      <c r="A1277" s="188"/>
      <c r="C1277" s="189"/>
      <c r="E1277" s="190"/>
      <c r="G1277" s="70"/>
      <c r="H1277" s="70"/>
      <c r="J1277" s="70"/>
      <c r="L1277" s="71"/>
      <c r="N1277" s="65"/>
    </row>
    <row r="1278" spans="1:14" ht="15" customHeight="1" x14ac:dyDescent="0.2">
      <c r="A1278" s="188"/>
      <c r="C1278" s="189"/>
      <c r="E1278" s="190"/>
      <c r="G1278" s="70"/>
      <c r="H1278" s="70"/>
      <c r="J1278" s="70"/>
      <c r="L1278" s="71"/>
      <c r="N1278" s="65"/>
    </row>
    <row r="1279" spans="1:14" ht="15" customHeight="1" x14ac:dyDescent="0.2">
      <c r="A1279" s="188"/>
      <c r="C1279" s="189"/>
      <c r="E1279" s="190"/>
      <c r="G1279" s="70"/>
      <c r="H1279" s="70"/>
      <c r="J1279" s="70"/>
      <c r="L1279" s="71"/>
      <c r="N1279" s="65"/>
    </row>
    <row r="1280" spans="1:14" ht="15" customHeight="1" x14ac:dyDescent="0.2">
      <c r="A1280" s="188"/>
      <c r="C1280" s="189"/>
      <c r="E1280" s="190"/>
      <c r="G1280" s="70"/>
      <c r="H1280" s="70"/>
      <c r="J1280" s="70"/>
      <c r="L1280" s="71"/>
      <c r="N1280" s="65"/>
    </row>
    <row r="1281" spans="1:14" ht="15" customHeight="1" x14ac:dyDescent="0.2">
      <c r="A1281" s="188"/>
      <c r="C1281" s="189"/>
      <c r="E1281" s="190"/>
      <c r="G1281" s="70"/>
      <c r="H1281" s="70"/>
      <c r="J1281" s="70"/>
      <c r="L1281" s="71"/>
      <c r="N1281" s="65"/>
    </row>
    <row r="1282" spans="1:14" ht="15" customHeight="1" x14ac:dyDescent="0.2">
      <c r="A1282" s="188"/>
      <c r="C1282" s="189"/>
      <c r="E1282" s="190"/>
      <c r="G1282" s="70"/>
      <c r="H1282" s="70"/>
      <c r="J1282" s="70"/>
      <c r="L1282" s="71"/>
      <c r="N1282" s="65"/>
    </row>
    <row r="1283" spans="1:14" ht="15" customHeight="1" x14ac:dyDescent="0.2">
      <c r="A1283" s="188"/>
      <c r="C1283" s="189"/>
      <c r="E1283" s="190"/>
      <c r="G1283" s="70"/>
      <c r="H1283" s="70"/>
      <c r="J1283" s="70"/>
      <c r="L1283" s="71"/>
      <c r="N1283" s="65"/>
    </row>
    <row r="1284" spans="1:14" ht="15" customHeight="1" x14ac:dyDescent="0.2">
      <c r="A1284" s="188"/>
      <c r="C1284" s="189"/>
      <c r="E1284" s="190"/>
      <c r="G1284" s="70"/>
      <c r="H1284" s="70"/>
      <c r="J1284" s="70"/>
      <c r="L1284" s="71"/>
      <c r="N1284" s="65"/>
    </row>
    <row r="1285" spans="1:14" ht="15" customHeight="1" x14ac:dyDescent="0.2">
      <c r="A1285" s="188"/>
      <c r="C1285" s="189"/>
      <c r="E1285" s="190"/>
      <c r="G1285" s="70"/>
      <c r="H1285" s="70"/>
      <c r="J1285" s="70"/>
      <c r="L1285" s="71"/>
      <c r="N1285" s="65"/>
    </row>
    <row r="1286" spans="1:14" ht="15" customHeight="1" x14ac:dyDescent="0.2">
      <c r="A1286" s="188"/>
      <c r="C1286" s="189"/>
      <c r="E1286" s="190"/>
      <c r="G1286" s="70"/>
      <c r="H1286" s="70"/>
      <c r="J1286" s="70"/>
      <c r="L1286" s="71"/>
      <c r="N1286" s="65"/>
    </row>
    <row r="1287" spans="1:14" ht="15" customHeight="1" x14ac:dyDescent="0.2">
      <c r="A1287" s="188"/>
      <c r="C1287" s="189"/>
      <c r="E1287" s="190"/>
      <c r="G1287" s="70"/>
      <c r="H1287" s="70"/>
      <c r="J1287" s="70"/>
      <c r="L1287" s="71"/>
      <c r="N1287" s="65"/>
    </row>
    <row r="1288" spans="1:14" ht="15" customHeight="1" x14ac:dyDescent="0.2">
      <c r="A1288" s="188"/>
      <c r="C1288" s="189"/>
      <c r="E1288" s="190"/>
      <c r="G1288" s="70"/>
      <c r="H1288" s="70"/>
      <c r="J1288" s="70"/>
      <c r="L1288" s="71"/>
      <c r="N1288" s="65"/>
    </row>
    <row r="1289" spans="1:14" ht="15" customHeight="1" x14ac:dyDescent="0.2">
      <c r="A1289" s="188"/>
      <c r="C1289" s="189"/>
      <c r="E1289" s="190"/>
      <c r="G1289" s="70"/>
      <c r="H1289" s="70"/>
      <c r="J1289" s="70"/>
      <c r="L1289" s="71"/>
      <c r="N1289" s="65"/>
    </row>
    <row r="1290" spans="1:14" ht="15" customHeight="1" x14ac:dyDescent="0.2">
      <c r="A1290" s="188"/>
      <c r="C1290" s="189"/>
      <c r="E1290" s="190"/>
      <c r="G1290" s="70"/>
      <c r="H1290" s="70"/>
      <c r="J1290" s="70"/>
      <c r="L1290" s="71"/>
      <c r="N1290" s="65"/>
    </row>
    <row r="1291" spans="1:14" ht="15" customHeight="1" x14ac:dyDescent="0.2">
      <c r="A1291" s="188"/>
      <c r="C1291" s="189"/>
      <c r="E1291" s="190"/>
      <c r="G1291" s="70"/>
      <c r="H1291" s="70"/>
      <c r="J1291" s="70"/>
      <c r="L1291" s="71"/>
      <c r="N1291" s="65"/>
    </row>
    <row r="1292" spans="1:14" ht="15" customHeight="1" x14ac:dyDescent="0.2">
      <c r="A1292" s="188"/>
      <c r="C1292" s="189"/>
      <c r="E1292" s="190"/>
      <c r="G1292" s="70"/>
      <c r="H1292" s="70"/>
      <c r="J1292" s="70"/>
      <c r="L1292" s="71"/>
      <c r="N1292" s="65"/>
    </row>
    <row r="1293" spans="1:14" ht="15" customHeight="1" x14ac:dyDescent="0.2">
      <c r="A1293" s="188"/>
      <c r="C1293" s="189"/>
      <c r="E1293" s="190"/>
      <c r="G1293" s="70"/>
      <c r="H1293" s="70"/>
      <c r="J1293" s="70"/>
      <c r="L1293" s="71"/>
      <c r="N1293" s="65"/>
    </row>
    <row r="1294" spans="1:14" ht="15" customHeight="1" x14ac:dyDescent="0.2">
      <c r="A1294" s="188"/>
      <c r="C1294" s="189"/>
      <c r="E1294" s="190"/>
      <c r="G1294" s="70"/>
      <c r="H1294" s="70"/>
      <c r="J1294" s="70"/>
      <c r="L1294" s="71"/>
      <c r="N1294" s="65"/>
    </row>
    <row r="1295" spans="1:14" ht="15" customHeight="1" x14ac:dyDescent="0.2">
      <c r="A1295" s="188"/>
      <c r="C1295" s="189"/>
      <c r="E1295" s="190"/>
      <c r="G1295" s="70"/>
      <c r="H1295" s="70"/>
      <c r="J1295" s="70"/>
      <c r="L1295" s="71"/>
      <c r="N1295" s="65"/>
    </row>
    <row r="1296" spans="1:14" ht="15" customHeight="1" x14ac:dyDescent="0.2">
      <c r="A1296" s="188"/>
      <c r="C1296" s="189"/>
      <c r="E1296" s="190"/>
      <c r="G1296" s="70"/>
      <c r="H1296" s="70"/>
      <c r="J1296" s="70"/>
      <c r="L1296" s="71"/>
      <c r="N1296" s="65"/>
    </row>
    <row r="1297" spans="1:14" ht="15" customHeight="1" x14ac:dyDescent="0.2">
      <c r="A1297" s="188"/>
      <c r="C1297" s="189"/>
      <c r="E1297" s="190"/>
      <c r="G1297" s="70"/>
      <c r="H1297" s="70"/>
      <c r="J1297" s="70"/>
      <c r="L1297" s="71"/>
      <c r="N1297" s="65"/>
    </row>
    <row r="1298" spans="1:14" ht="15" customHeight="1" x14ac:dyDescent="0.2">
      <c r="A1298" s="188"/>
      <c r="C1298" s="189"/>
      <c r="E1298" s="190"/>
      <c r="G1298" s="70"/>
      <c r="H1298" s="70"/>
      <c r="J1298" s="70"/>
      <c r="L1298" s="71"/>
      <c r="N1298" s="65"/>
    </row>
    <row r="1299" spans="1:14" ht="15" customHeight="1" x14ac:dyDescent="0.2">
      <c r="A1299" s="188"/>
      <c r="C1299" s="189"/>
      <c r="E1299" s="190"/>
      <c r="G1299" s="70"/>
      <c r="H1299" s="70"/>
      <c r="J1299" s="70"/>
      <c r="L1299" s="71"/>
      <c r="N1299" s="65"/>
    </row>
    <row r="1300" spans="1:14" ht="15" customHeight="1" x14ac:dyDescent="0.2">
      <c r="A1300" s="188"/>
      <c r="C1300" s="189"/>
      <c r="E1300" s="190"/>
      <c r="G1300" s="70"/>
      <c r="H1300" s="70"/>
      <c r="J1300" s="70"/>
      <c r="L1300" s="71"/>
      <c r="N1300" s="65"/>
    </row>
    <row r="1301" spans="1:14" ht="15" customHeight="1" x14ac:dyDescent="0.2">
      <c r="A1301" s="188"/>
      <c r="C1301" s="189"/>
      <c r="E1301" s="190"/>
      <c r="G1301" s="70"/>
      <c r="H1301" s="70"/>
      <c r="J1301" s="70"/>
      <c r="L1301" s="71"/>
      <c r="N1301" s="65"/>
    </row>
    <row r="1302" spans="1:14" ht="15" customHeight="1" x14ac:dyDescent="0.2">
      <c r="A1302" s="188"/>
      <c r="C1302" s="189"/>
      <c r="E1302" s="190"/>
      <c r="G1302" s="70"/>
      <c r="H1302" s="70"/>
      <c r="J1302" s="70"/>
      <c r="L1302" s="71"/>
      <c r="N1302" s="65"/>
    </row>
    <row r="1303" spans="1:14" ht="15" customHeight="1" x14ac:dyDescent="0.2">
      <c r="A1303" s="188"/>
      <c r="C1303" s="189"/>
      <c r="E1303" s="190"/>
      <c r="G1303" s="70"/>
      <c r="H1303" s="70"/>
      <c r="J1303" s="70"/>
      <c r="L1303" s="71"/>
      <c r="N1303" s="65"/>
    </row>
    <row r="1304" spans="1:14" ht="15" customHeight="1" x14ac:dyDescent="0.2">
      <c r="A1304" s="188"/>
      <c r="C1304" s="189"/>
      <c r="E1304" s="190"/>
      <c r="G1304" s="70"/>
      <c r="H1304" s="70"/>
      <c r="J1304" s="70"/>
      <c r="L1304" s="71"/>
      <c r="N1304" s="65"/>
    </row>
    <row r="1305" spans="1:14" ht="15" customHeight="1" x14ac:dyDescent="0.2">
      <c r="A1305" s="188"/>
      <c r="C1305" s="189"/>
      <c r="E1305" s="190"/>
      <c r="G1305" s="70"/>
      <c r="H1305" s="70"/>
      <c r="J1305" s="70"/>
      <c r="L1305" s="71"/>
      <c r="N1305" s="65"/>
    </row>
    <row r="1306" spans="1:14" ht="15" customHeight="1" x14ac:dyDescent="0.2">
      <c r="A1306" s="188"/>
      <c r="C1306" s="189"/>
      <c r="E1306" s="190"/>
      <c r="G1306" s="70"/>
      <c r="H1306" s="70"/>
      <c r="J1306" s="70"/>
      <c r="L1306" s="71"/>
      <c r="N1306" s="65"/>
    </row>
    <row r="1307" spans="1:14" ht="15" customHeight="1" x14ac:dyDescent="0.2">
      <c r="A1307" s="188"/>
      <c r="C1307" s="189"/>
      <c r="E1307" s="190"/>
      <c r="G1307" s="70"/>
      <c r="H1307" s="70"/>
      <c r="J1307" s="70"/>
      <c r="L1307" s="71"/>
      <c r="N1307" s="65"/>
    </row>
    <row r="1308" spans="1:14" ht="15" customHeight="1" x14ac:dyDescent="0.2">
      <c r="A1308" s="188"/>
      <c r="C1308" s="189"/>
      <c r="E1308" s="190"/>
      <c r="G1308" s="70"/>
      <c r="H1308" s="70"/>
      <c r="J1308" s="70"/>
      <c r="L1308" s="71"/>
      <c r="N1308" s="65"/>
    </row>
    <row r="1309" spans="1:14" ht="15" customHeight="1" x14ac:dyDescent="0.2">
      <c r="A1309" s="188"/>
      <c r="C1309" s="189"/>
      <c r="E1309" s="190"/>
      <c r="G1309" s="70"/>
      <c r="H1309" s="70"/>
      <c r="J1309" s="70"/>
      <c r="L1309" s="71"/>
      <c r="N1309" s="65"/>
    </row>
    <row r="1310" spans="1:14" ht="15" customHeight="1" x14ac:dyDescent="0.2">
      <c r="A1310" s="188"/>
      <c r="C1310" s="189"/>
      <c r="E1310" s="190"/>
      <c r="G1310" s="70"/>
      <c r="H1310" s="70"/>
      <c r="J1310" s="70"/>
      <c r="L1310" s="71"/>
      <c r="N1310" s="65"/>
    </row>
    <row r="1311" spans="1:14" ht="15" customHeight="1" x14ac:dyDescent="0.2">
      <c r="A1311" s="188"/>
      <c r="C1311" s="189"/>
      <c r="E1311" s="190"/>
      <c r="G1311" s="70"/>
      <c r="H1311" s="70"/>
      <c r="J1311" s="70"/>
      <c r="L1311" s="71"/>
      <c r="N1311" s="65"/>
    </row>
    <row r="1312" spans="1:14" ht="15" customHeight="1" x14ac:dyDescent="0.2">
      <c r="A1312" s="188"/>
      <c r="C1312" s="189"/>
      <c r="E1312" s="190"/>
      <c r="G1312" s="70"/>
      <c r="H1312" s="70"/>
      <c r="J1312" s="70"/>
      <c r="L1312" s="71"/>
      <c r="N1312" s="65"/>
    </row>
    <row r="1313" spans="1:14" ht="15" customHeight="1" x14ac:dyDescent="0.2">
      <c r="A1313" s="188"/>
      <c r="C1313" s="189"/>
      <c r="E1313" s="190"/>
      <c r="G1313" s="70"/>
      <c r="H1313" s="70"/>
      <c r="J1313" s="70"/>
      <c r="L1313" s="71"/>
      <c r="N1313" s="65"/>
    </row>
    <row r="1314" spans="1:14" ht="15" customHeight="1" x14ac:dyDescent="0.2">
      <c r="A1314" s="188"/>
      <c r="C1314" s="189"/>
      <c r="E1314" s="190"/>
      <c r="G1314" s="70"/>
      <c r="H1314" s="70"/>
      <c r="J1314" s="70"/>
      <c r="L1314" s="71"/>
      <c r="N1314" s="65"/>
    </row>
    <row r="1315" spans="1:14" ht="15" customHeight="1" x14ac:dyDescent="0.2">
      <c r="A1315" s="188"/>
      <c r="C1315" s="189"/>
      <c r="E1315" s="190"/>
      <c r="G1315" s="70"/>
      <c r="H1315" s="70"/>
      <c r="J1315" s="70"/>
      <c r="L1315" s="71"/>
      <c r="N1315" s="65"/>
    </row>
    <row r="1316" spans="1:14" ht="15" customHeight="1" x14ac:dyDescent="0.2">
      <c r="A1316" s="188"/>
      <c r="C1316" s="189"/>
      <c r="E1316" s="190"/>
      <c r="G1316" s="70"/>
      <c r="H1316" s="70"/>
      <c r="J1316" s="70"/>
      <c r="L1316" s="71"/>
      <c r="N1316" s="65"/>
    </row>
    <row r="1317" spans="1:14" ht="15" customHeight="1" x14ac:dyDescent="0.2">
      <c r="A1317" s="188"/>
      <c r="C1317" s="189"/>
      <c r="E1317" s="190"/>
      <c r="G1317" s="70"/>
      <c r="H1317" s="70"/>
      <c r="J1317" s="70"/>
      <c r="L1317" s="71"/>
      <c r="N1317" s="65"/>
    </row>
    <row r="1318" spans="1:14" ht="15" customHeight="1" x14ac:dyDescent="0.2">
      <c r="A1318" s="188"/>
      <c r="C1318" s="189"/>
      <c r="E1318" s="190"/>
      <c r="G1318" s="70"/>
      <c r="H1318" s="70"/>
      <c r="J1318" s="70"/>
      <c r="L1318" s="71"/>
      <c r="N1318" s="65"/>
    </row>
    <row r="1319" spans="1:14" ht="15" customHeight="1" x14ac:dyDescent="0.2">
      <c r="A1319" s="188"/>
      <c r="C1319" s="189"/>
      <c r="E1319" s="190"/>
      <c r="G1319" s="70"/>
      <c r="H1319" s="70"/>
      <c r="J1319" s="70"/>
      <c r="L1319" s="71"/>
      <c r="N1319" s="65"/>
    </row>
    <row r="1320" spans="1:14" ht="15" customHeight="1" x14ac:dyDescent="0.2">
      <c r="A1320" s="188"/>
      <c r="C1320" s="189"/>
      <c r="E1320" s="190"/>
      <c r="G1320" s="70"/>
      <c r="H1320" s="70"/>
      <c r="J1320" s="70"/>
      <c r="L1320" s="71"/>
      <c r="N1320" s="65"/>
    </row>
    <row r="1321" spans="1:14" ht="15" customHeight="1" x14ac:dyDescent="0.2">
      <c r="A1321" s="188"/>
      <c r="C1321" s="189"/>
      <c r="E1321" s="190"/>
      <c r="G1321" s="70"/>
      <c r="H1321" s="70"/>
      <c r="J1321" s="70"/>
      <c r="L1321" s="71"/>
      <c r="N1321" s="65"/>
    </row>
    <row r="1322" spans="1:14" ht="15" customHeight="1" x14ac:dyDescent="0.2">
      <c r="A1322" s="188"/>
      <c r="C1322" s="189"/>
      <c r="E1322" s="190"/>
      <c r="G1322" s="70"/>
      <c r="H1322" s="70"/>
      <c r="J1322" s="70"/>
      <c r="L1322" s="71"/>
      <c r="N1322" s="65"/>
    </row>
    <row r="1323" spans="1:14" ht="15" customHeight="1" x14ac:dyDescent="0.2">
      <c r="A1323" s="188"/>
      <c r="C1323" s="189"/>
      <c r="E1323" s="190"/>
      <c r="G1323" s="70"/>
      <c r="H1323" s="70"/>
      <c r="J1323" s="70"/>
      <c r="L1323" s="71"/>
      <c r="N1323" s="65"/>
    </row>
    <row r="1324" spans="1:14" ht="15" customHeight="1" x14ac:dyDescent="0.2">
      <c r="A1324" s="188"/>
      <c r="C1324" s="189"/>
      <c r="E1324" s="190"/>
      <c r="G1324" s="70"/>
      <c r="H1324" s="70"/>
      <c r="J1324" s="70"/>
      <c r="L1324" s="71"/>
      <c r="N1324" s="65"/>
    </row>
    <row r="1325" spans="1:14" ht="15" customHeight="1" x14ac:dyDescent="0.2">
      <c r="A1325" s="188"/>
      <c r="C1325" s="189"/>
      <c r="E1325" s="190"/>
      <c r="G1325" s="70"/>
      <c r="H1325" s="70"/>
      <c r="J1325" s="70"/>
      <c r="L1325" s="71"/>
      <c r="N1325" s="65"/>
    </row>
    <row r="1326" spans="1:14" ht="15" customHeight="1" x14ac:dyDescent="0.2">
      <c r="A1326" s="188"/>
      <c r="C1326" s="189"/>
      <c r="E1326" s="190"/>
      <c r="G1326" s="70"/>
      <c r="H1326" s="70"/>
      <c r="J1326" s="70"/>
      <c r="L1326" s="71"/>
      <c r="N1326" s="65"/>
    </row>
    <row r="1327" spans="1:14" ht="15" customHeight="1" x14ac:dyDescent="0.2">
      <c r="A1327" s="188"/>
      <c r="C1327" s="189"/>
      <c r="E1327" s="190"/>
      <c r="G1327" s="70"/>
      <c r="H1327" s="70"/>
      <c r="J1327" s="70"/>
      <c r="L1327" s="71"/>
      <c r="N1327" s="65"/>
    </row>
    <row r="1328" spans="1:14" ht="15" customHeight="1" x14ac:dyDescent="0.2">
      <c r="A1328" s="188"/>
      <c r="C1328" s="189"/>
      <c r="E1328" s="190"/>
      <c r="G1328" s="70"/>
      <c r="H1328" s="70"/>
      <c r="J1328" s="70"/>
      <c r="L1328" s="71"/>
      <c r="N1328" s="65"/>
    </row>
    <row r="1329" spans="1:14" ht="15" customHeight="1" x14ac:dyDescent="0.2">
      <c r="A1329" s="188"/>
      <c r="C1329" s="189"/>
      <c r="E1329" s="190"/>
      <c r="G1329" s="70"/>
      <c r="H1329" s="70"/>
      <c r="J1329" s="70"/>
      <c r="L1329" s="71"/>
      <c r="N1329" s="65"/>
    </row>
    <row r="1330" spans="1:14" ht="15" customHeight="1" x14ac:dyDescent="0.2">
      <c r="A1330" s="188"/>
      <c r="C1330" s="189"/>
      <c r="E1330" s="190"/>
      <c r="G1330" s="70"/>
      <c r="H1330" s="70"/>
      <c r="J1330" s="70"/>
      <c r="L1330" s="71"/>
      <c r="N1330" s="65"/>
    </row>
    <row r="1331" spans="1:14" ht="15" customHeight="1" x14ac:dyDescent="0.2">
      <c r="A1331" s="188"/>
      <c r="C1331" s="189"/>
      <c r="E1331" s="190"/>
      <c r="G1331" s="70"/>
      <c r="H1331" s="70"/>
      <c r="J1331" s="70"/>
      <c r="L1331" s="71"/>
      <c r="N1331" s="65"/>
    </row>
    <row r="1332" spans="1:14" ht="15" customHeight="1" x14ac:dyDescent="0.2">
      <c r="A1332" s="188"/>
      <c r="C1332" s="189"/>
      <c r="E1332" s="190"/>
      <c r="G1332" s="70"/>
      <c r="H1332" s="70"/>
      <c r="J1332" s="70"/>
      <c r="L1332" s="71"/>
      <c r="N1332" s="65"/>
    </row>
    <row r="1333" spans="1:14" ht="15" customHeight="1" x14ac:dyDescent="0.2">
      <c r="A1333" s="188"/>
      <c r="C1333" s="189"/>
      <c r="E1333" s="190"/>
      <c r="G1333" s="70"/>
      <c r="H1333" s="70"/>
      <c r="J1333" s="70"/>
      <c r="L1333" s="71"/>
      <c r="N1333" s="65"/>
    </row>
    <row r="1334" spans="1:14" ht="15" customHeight="1" x14ac:dyDescent="0.2">
      <c r="A1334" s="188"/>
      <c r="C1334" s="189"/>
      <c r="E1334" s="190"/>
      <c r="G1334" s="70"/>
      <c r="H1334" s="70"/>
      <c r="J1334" s="70"/>
      <c r="L1334" s="71"/>
      <c r="N1334" s="65"/>
    </row>
    <row r="1335" spans="1:14" ht="15" customHeight="1" x14ac:dyDescent="0.2">
      <c r="A1335" s="188"/>
      <c r="C1335" s="189"/>
      <c r="E1335" s="190"/>
      <c r="G1335" s="70"/>
      <c r="H1335" s="70"/>
      <c r="J1335" s="70"/>
      <c r="L1335" s="71"/>
      <c r="N1335" s="65"/>
    </row>
    <row r="1336" spans="1:14" ht="15" customHeight="1" x14ac:dyDescent="0.2">
      <c r="A1336" s="188"/>
      <c r="C1336" s="189"/>
      <c r="E1336" s="190"/>
      <c r="G1336" s="70"/>
      <c r="H1336" s="70"/>
      <c r="J1336" s="70"/>
      <c r="L1336" s="71"/>
      <c r="N1336" s="65"/>
    </row>
    <row r="1337" spans="1:14" ht="15" customHeight="1" x14ac:dyDescent="0.2">
      <c r="A1337" s="188"/>
      <c r="C1337" s="189"/>
      <c r="E1337" s="190"/>
      <c r="G1337" s="70"/>
      <c r="H1337" s="70"/>
      <c r="J1337" s="70"/>
      <c r="L1337" s="71"/>
      <c r="N1337" s="65"/>
    </row>
    <row r="1338" spans="1:14" ht="15" customHeight="1" x14ac:dyDescent="0.2">
      <c r="A1338" s="188"/>
      <c r="C1338" s="189"/>
      <c r="E1338" s="190"/>
      <c r="G1338" s="70"/>
      <c r="H1338" s="70"/>
      <c r="J1338" s="70"/>
      <c r="L1338" s="71"/>
      <c r="N1338" s="65"/>
    </row>
    <row r="1339" spans="1:14" ht="15" customHeight="1" x14ac:dyDescent="0.2">
      <c r="A1339" s="188"/>
      <c r="C1339" s="189"/>
      <c r="E1339" s="190"/>
      <c r="G1339" s="70"/>
      <c r="H1339" s="70"/>
      <c r="J1339" s="70"/>
      <c r="L1339" s="71"/>
      <c r="N1339" s="65"/>
    </row>
    <row r="1340" spans="1:14" ht="15" customHeight="1" x14ac:dyDescent="0.2">
      <c r="A1340" s="188"/>
      <c r="C1340" s="189"/>
      <c r="E1340" s="190"/>
      <c r="G1340" s="70"/>
      <c r="H1340" s="70"/>
      <c r="J1340" s="70"/>
      <c r="L1340" s="71"/>
      <c r="N1340" s="65"/>
    </row>
    <row r="1341" spans="1:14" ht="15" customHeight="1" x14ac:dyDescent="0.2">
      <c r="A1341" s="188"/>
      <c r="C1341" s="189"/>
      <c r="E1341" s="190"/>
      <c r="G1341" s="70"/>
      <c r="H1341" s="70"/>
      <c r="J1341" s="70"/>
      <c r="L1341" s="71"/>
      <c r="N1341" s="65"/>
    </row>
    <row r="1342" spans="1:14" ht="15" customHeight="1" x14ac:dyDescent="0.2">
      <c r="A1342" s="188"/>
      <c r="C1342" s="189"/>
      <c r="E1342" s="190"/>
      <c r="G1342" s="70"/>
      <c r="H1342" s="70"/>
      <c r="J1342" s="70"/>
      <c r="L1342" s="71"/>
      <c r="N1342" s="65"/>
    </row>
    <row r="1343" spans="1:14" ht="15" customHeight="1" x14ac:dyDescent="0.2">
      <c r="A1343" s="188"/>
      <c r="C1343" s="189"/>
      <c r="E1343" s="190"/>
      <c r="G1343" s="70"/>
      <c r="H1343" s="70"/>
      <c r="J1343" s="70"/>
      <c r="L1343" s="71"/>
      <c r="N1343" s="65"/>
    </row>
    <row r="1344" spans="1:14" ht="15" customHeight="1" x14ac:dyDescent="0.2">
      <c r="A1344" s="188"/>
      <c r="C1344" s="189"/>
      <c r="E1344" s="190"/>
      <c r="G1344" s="70"/>
      <c r="H1344" s="70"/>
      <c r="J1344" s="70"/>
      <c r="L1344" s="71"/>
      <c r="N1344" s="65"/>
    </row>
    <row r="1345" spans="1:14" ht="15" customHeight="1" x14ac:dyDescent="0.2">
      <c r="A1345" s="188"/>
      <c r="C1345" s="189"/>
      <c r="E1345" s="190"/>
      <c r="G1345" s="70"/>
      <c r="H1345" s="70"/>
      <c r="J1345" s="70"/>
      <c r="L1345" s="71"/>
      <c r="N1345" s="65"/>
    </row>
    <row r="1346" spans="1:14" ht="15" customHeight="1" x14ac:dyDescent="0.2">
      <c r="A1346" s="188"/>
      <c r="C1346" s="189"/>
      <c r="E1346" s="190"/>
      <c r="G1346" s="70"/>
      <c r="H1346" s="70"/>
      <c r="J1346" s="70"/>
      <c r="L1346" s="71"/>
      <c r="N1346" s="65"/>
    </row>
    <row r="1347" spans="1:14" ht="15" customHeight="1" x14ac:dyDescent="0.2">
      <c r="A1347" s="188"/>
      <c r="C1347" s="189"/>
      <c r="E1347" s="190"/>
      <c r="G1347" s="70"/>
      <c r="H1347" s="70"/>
      <c r="J1347" s="70"/>
      <c r="L1347" s="71"/>
      <c r="N1347" s="65"/>
    </row>
    <row r="1348" spans="1:14" ht="15" customHeight="1" x14ac:dyDescent="0.2">
      <c r="A1348" s="188"/>
      <c r="C1348" s="189"/>
      <c r="E1348" s="190"/>
      <c r="G1348" s="70"/>
      <c r="H1348" s="70"/>
      <c r="J1348" s="70"/>
      <c r="L1348" s="71"/>
      <c r="N1348" s="65"/>
    </row>
    <row r="1349" spans="1:14" ht="15" customHeight="1" x14ac:dyDescent="0.2">
      <c r="A1349" s="188"/>
      <c r="C1349" s="189"/>
      <c r="E1349" s="190"/>
      <c r="G1349" s="70"/>
      <c r="H1349" s="70"/>
      <c r="J1349" s="70"/>
      <c r="L1349" s="71"/>
      <c r="N1349" s="65"/>
    </row>
    <row r="1350" spans="1:14" ht="15" customHeight="1" x14ac:dyDescent="0.2">
      <c r="A1350" s="188"/>
      <c r="C1350" s="189"/>
      <c r="E1350" s="190"/>
      <c r="G1350" s="70"/>
      <c r="H1350" s="70"/>
      <c r="J1350" s="70"/>
      <c r="L1350" s="71"/>
      <c r="N1350" s="65"/>
    </row>
    <row r="1351" spans="1:14" ht="15" customHeight="1" x14ac:dyDescent="0.2">
      <c r="A1351" s="188"/>
      <c r="C1351" s="189"/>
      <c r="E1351" s="190"/>
      <c r="G1351" s="70"/>
      <c r="H1351" s="70"/>
      <c r="J1351" s="70"/>
      <c r="L1351" s="71"/>
      <c r="N1351" s="65"/>
    </row>
    <row r="1352" spans="1:14" ht="15" customHeight="1" x14ac:dyDescent="0.2">
      <c r="A1352" s="188"/>
      <c r="C1352" s="189"/>
      <c r="E1352" s="190"/>
      <c r="G1352" s="70"/>
      <c r="H1352" s="70"/>
      <c r="J1352" s="70"/>
      <c r="L1352" s="71"/>
      <c r="N1352" s="65"/>
    </row>
    <row r="1353" spans="1:14" ht="15" customHeight="1" x14ac:dyDescent="0.2">
      <c r="A1353" s="188"/>
      <c r="C1353" s="189"/>
      <c r="E1353" s="190"/>
      <c r="G1353" s="70"/>
      <c r="H1353" s="70"/>
      <c r="J1353" s="70"/>
      <c r="L1353" s="71"/>
      <c r="N1353" s="65"/>
    </row>
    <row r="1354" spans="1:14" ht="15" customHeight="1" x14ac:dyDescent="0.2">
      <c r="A1354" s="188"/>
      <c r="C1354" s="189"/>
      <c r="E1354" s="190"/>
      <c r="G1354" s="70"/>
      <c r="H1354" s="70"/>
      <c r="J1354" s="70"/>
      <c r="L1354" s="71"/>
      <c r="N1354" s="65"/>
    </row>
    <row r="1355" spans="1:14" ht="15" customHeight="1" x14ac:dyDescent="0.2">
      <c r="A1355" s="188"/>
      <c r="C1355" s="189"/>
      <c r="E1355" s="190"/>
      <c r="G1355" s="70"/>
      <c r="H1355" s="70"/>
      <c r="J1355" s="70"/>
      <c r="L1355" s="71"/>
      <c r="N1355" s="65"/>
    </row>
    <row r="1356" spans="1:14" ht="15" customHeight="1" x14ac:dyDescent="0.2">
      <c r="A1356" s="188"/>
      <c r="C1356" s="189"/>
      <c r="E1356" s="190"/>
      <c r="G1356" s="70"/>
      <c r="H1356" s="70"/>
      <c r="J1356" s="70"/>
      <c r="L1356" s="71"/>
      <c r="N1356" s="65"/>
    </row>
    <row r="1357" spans="1:14" ht="15" customHeight="1" x14ac:dyDescent="0.2">
      <c r="A1357" s="188"/>
      <c r="C1357" s="189"/>
      <c r="E1357" s="190"/>
      <c r="G1357" s="70"/>
      <c r="H1357" s="70"/>
      <c r="J1357" s="70"/>
      <c r="L1357" s="71"/>
      <c r="N1357" s="65"/>
    </row>
    <row r="1358" spans="1:14" ht="15" customHeight="1" x14ac:dyDescent="0.2">
      <c r="A1358" s="188"/>
      <c r="C1358" s="189"/>
      <c r="E1358" s="190"/>
      <c r="G1358" s="70"/>
      <c r="H1358" s="70"/>
      <c r="J1358" s="70"/>
      <c r="L1358" s="71"/>
      <c r="N1358" s="65"/>
    </row>
    <row r="1359" spans="1:14" ht="15" customHeight="1" x14ac:dyDescent="0.2">
      <c r="A1359" s="188"/>
      <c r="C1359" s="189"/>
      <c r="E1359" s="190"/>
      <c r="G1359" s="70"/>
      <c r="H1359" s="70"/>
      <c r="J1359" s="70"/>
      <c r="L1359" s="71"/>
      <c r="N1359" s="65"/>
    </row>
    <row r="1360" spans="1:14" ht="15" customHeight="1" x14ac:dyDescent="0.2">
      <c r="A1360" s="188"/>
      <c r="C1360" s="189"/>
      <c r="E1360" s="190"/>
      <c r="G1360" s="70"/>
      <c r="H1360" s="70"/>
      <c r="J1360" s="70"/>
      <c r="L1360" s="71"/>
      <c r="N1360" s="65"/>
    </row>
    <row r="1361" spans="1:14" ht="15" customHeight="1" x14ac:dyDescent="0.2">
      <c r="A1361" s="188"/>
      <c r="C1361" s="189"/>
      <c r="E1361" s="190"/>
      <c r="G1361" s="70"/>
      <c r="H1361" s="70"/>
      <c r="J1361" s="70"/>
      <c r="L1361" s="71"/>
      <c r="N1361" s="65"/>
    </row>
    <row r="1362" spans="1:14" ht="15" customHeight="1" x14ac:dyDescent="0.2">
      <c r="A1362" s="188"/>
      <c r="C1362" s="189"/>
      <c r="E1362" s="190"/>
      <c r="G1362" s="70"/>
      <c r="H1362" s="70"/>
      <c r="J1362" s="70"/>
      <c r="L1362" s="71"/>
      <c r="N1362" s="65"/>
    </row>
    <row r="1363" spans="1:14" ht="15" customHeight="1" x14ac:dyDescent="0.2">
      <c r="A1363" s="188"/>
      <c r="C1363" s="189"/>
      <c r="E1363" s="190"/>
      <c r="G1363" s="70"/>
      <c r="H1363" s="70"/>
      <c r="J1363" s="70"/>
      <c r="L1363" s="71"/>
      <c r="N1363" s="65"/>
    </row>
    <row r="1364" spans="1:14" ht="15" customHeight="1" x14ac:dyDescent="0.2">
      <c r="A1364" s="188"/>
      <c r="C1364" s="189"/>
      <c r="E1364" s="190"/>
      <c r="G1364" s="70"/>
      <c r="H1364" s="70"/>
      <c r="J1364" s="70"/>
      <c r="L1364" s="71"/>
      <c r="N1364" s="65"/>
    </row>
    <row r="1365" spans="1:14" ht="15" customHeight="1" x14ac:dyDescent="0.2">
      <c r="A1365" s="188"/>
      <c r="C1365" s="189"/>
      <c r="E1365" s="190"/>
      <c r="G1365" s="70"/>
      <c r="H1365" s="70"/>
      <c r="J1365" s="70"/>
      <c r="L1365" s="71"/>
      <c r="N1365" s="65"/>
    </row>
    <row r="1366" spans="1:14" ht="15" customHeight="1" x14ac:dyDescent="0.2">
      <c r="A1366" s="188"/>
      <c r="C1366" s="189"/>
      <c r="E1366" s="190"/>
      <c r="G1366" s="70"/>
      <c r="H1366" s="70"/>
      <c r="J1366" s="70"/>
      <c r="L1366" s="71"/>
      <c r="N1366" s="65"/>
    </row>
    <row r="1367" spans="1:14" ht="15" customHeight="1" x14ac:dyDescent="0.2">
      <c r="A1367" s="188"/>
      <c r="C1367" s="189"/>
      <c r="E1367" s="190"/>
      <c r="G1367" s="70"/>
      <c r="H1367" s="70"/>
      <c r="J1367" s="70"/>
      <c r="L1367" s="71"/>
      <c r="N1367" s="65"/>
    </row>
    <row r="1368" spans="1:14" ht="15" customHeight="1" x14ac:dyDescent="0.2">
      <c r="A1368" s="188"/>
      <c r="C1368" s="189"/>
      <c r="E1368" s="190"/>
      <c r="G1368" s="70"/>
      <c r="H1368" s="70"/>
      <c r="J1368" s="70"/>
      <c r="L1368" s="71"/>
      <c r="N1368" s="65"/>
    </row>
    <row r="1369" spans="1:14" ht="15" customHeight="1" x14ac:dyDescent="0.2">
      <c r="A1369" s="188"/>
      <c r="C1369" s="189"/>
      <c r="E1369" s="190"/>
      <c r="G1369" s="70"/>
      <c r="H1369" s="70"/>
      <c r="J1369" s="70"/>
      <c r="L1369" s="71"/>
      <c r="N1369" s="65"/>
    </row>
    <row r="1370" spans="1:14" ht="15" customHeight="1" x14ac:dyDescent="0.2">
      <c r="A1370" s="188"/>
      <c r="C1370" s="189"/>
      <c r="E1370" s="190"/>
      <c r="G1370" s="70"/>
      <c r="H1370" s="70"/>
      <c r="J1370" s="70"/>
      <c r="L1370" s="71"/>
      <c r="N1370" s="65"/>
    </row>
    <row r="1371" spans="1:14" ht="15" customHeight="1" x14ac:dyDescent="0.2">
      <c r="A1371" s="188"/>
      <c r="C1371" s="189"/>
      <c r="E1371" s="190"/>
      <c r="G1371" s="70"/>
      <c r="H1371" s="70"/>
      <c r="J1371" s="70"/>
      <c r="L1371" s="71"/>
      <c r="N1371" s="65"/>
    </row>
    <row r="1372" spans="1:14" ht="15" customHeight="1" x14ac:dyDescent="0.2">
      <c r="A1372" s="188"/>
      <c r="C1372" s="189"/>
      <c r="E1372" s="190"/>
      <c r="G1372" s="70"/>
      <c r="H1372" s="70"/>
      <c r="J1372" s="70"/>
      <c r="L1372" s="71"/>
      <c r="N1372" s="65"/>
    </row>
    <row r="1373" spans="1:14" ht="15" customHeight="1" x14ac:dyDescent="0.2">
      <c r="A1373" s="188"/>
      <c r="C1373" s="189"/>
      <c r="E1373" s="190"/>
      <c r="G1373" s="70"/>
      <c r="H1373" s="70"/>
      <c r="J1373" s="70"/>
      <c r="L1373" s="71"/>
      <c r="N1373" s="65"/>
    </row>
    <row r="1374" spans="1:14" ht="15" customHeight="1" x14ac:dyDescent="0.2">
      <c r="A1374" s="188"/>
      <c r="C1374" s="189"/>
      <c r="E1374" s="190"/>
      <c r="G1374" s="70"/>
      <c r="H1374" s="70"/>
      <c r="J1374" s="70"/>
      <c r="L1374" s="71"/>
      <c r="N1374" s="65"/>
    </row>
    <row r="1375" spans="1:14" ht="15" customHeight="1" x14ac:dyDescent="0.2">
      <c r="A1375" s="188"/>
      <c r="C1375" s="189"/>
      <c r="E1375" s="190"/>
      <c r="G1375" s="70"/>
      <c r="H1375" s="70"/>
      <c r="J1375" s="70"/>
      <c r="L1375" s="71"/>
      <c r="N1375" s="65"/>
    </row>
    <row r="1376" spans="1:14" ht="15" customHeight="1" x14ac:dyDescent="0.2">
      <c r="A1376" s="188"/>
      <c r="C1376" s="189"/>
      <c r="E1376" s="190"/>
      <c r="G1376" s="70"/>
      <c r="H1376" s="70"/>
      <c r="J1376" s="70"/>
      <c r="L1376" s="71"/>
      <c r="N1376" s="65"/>
    </row>
    <row r="1377" spans="1:14" ht="15" customHeight="1" x14ac:dyDescent="0.2">
      <c r="A1377" s="188"/>
      <c r="C1377" s="189"/>
      <c r="E1377" s="190"/>
      <c r="G1377" s="70"/>
      <c r="H1377" s="70"/>
      <c r="J1377" s="70"/>
      <c r="L1377" s="71"/>
      <c r="N1377" s="65"/>
    </row>
    <row r="1378" spans="1:14" ht="15" customHeight="1" x14ac:dyDescent="0.2">
      <c r="A1378" s="188"/>
      <c r="C1378" s="189"/>
      <c r="E1378" s="190"/>
      <c r="G1378" s="70"/>
      <c r="H1378" s="70"/>
      <c r="J1378" s="70"/>
      <c r="L1378" s="71"/>
      <c r="N1378" s="65"/>
    </row>
    <row r="1379" spans="1:14" ht="15" customHeight="1" x14ac:dyDescent="0.2">
      <c r="A1379" s="188"/>
      <c r="C1379" s="189"/>
      <c r="E1379" s="190"/>
      <c r="G1379" s="70"/>
      <c r="H1379" s="70"/>
      <c r="J1379" s="70"/>
      <c r="L1379" s="71"/>
      <c r="N1379" s="65"/>
    </row>
    <row r="1380" spans="1:14" ht="15" customHeight="1" x14ac:dyDescent="0.2">
      <c r="A1380" s="188"/>
      <c r="C1380" s="189"/>
      <c r="E1380" s="190"/>
      <c r="G1380" s="70"/>
      <c r="H1380" s="70"/>
      <c r="J1380" s="70"/>
      <c r="L1380" s="71"/>
      <c r="N1380" s="65"/>
    </row>
    <row r="1381" spans="1:14" ht="15" customHeight="1" x14ac:dyDescent="0.2">
      <c r="A1381" s="188"/>
      <c r="C1381" s="189"/>
      <c r="E1381" s="190"/>
      <c r="G1381" s="70"/>
      <c r="H1381" s="70"/>
      <c r="J1381" s="70"/>
      <c r="L1381" s="71"/>
      <c r="N1381" s="65"/>
    </row>
    <row r="1382" spans="1:14" ht="15" customHeight="1" x14ac:dyDescent="0.2">
      <c r="A1382" s="188"/>
      <c r="C1382" s="189"/>
      <c r="E1382" s="190"/>
      <c r="G1382" s="70"/>
      <c r="H1382" s="70"/>
      <c r="J1382" s="70"/>
      <c r="L1382" s="71"/>
      <c r="N1382" s="65"/>
    </row>
    <row r="1383" spans="1:14" ht="15" customHeight="1" x14ac:dyDescent="0.2">
      <c r="A1383" s="188"/>
      <c r="C1383" s="189"/>
      <c r="E1383" s="190"/>
      <c r="G1383" s="70"/>
      <c r="H1383" s="70"/>
      <c r="J1383" s="70"/>
      <c r="L1383" s="71"/>
      <c r="N1383" s="65"/>
    </row>
    <row r="1384" spans="1:14" ht="15" customHeight="1" x14ac:dyDescent="0.2">
      <c r="A1384" s="188"/>
      <c r="C1384" s="189"/>
      <c r="E1384" s="190"/>
      <c r="G1384" s="70"/>
      <c r="H1384" s="70"/>
      <c r="J1384" s="70"/>
      <c r="L1384" s="71"/>
      <c r="N1384" s="65"/>
    </row>
    <row r="1385" spans="1:14" ht="15" customHeight="1" x14ac:dyDescent="0.2">
      <c r="A1385" s="188"/>
      <c r="C1385" s="189"/>
      <c r="E1385" s="190"/>
      <c r="G1385" s="70"/>
      <c r="H1385" s="70"/>
      <c r="J1385" s="70"/>
      <c r="L1385" s="71"/>
      <c r="N1385" s="65"/>
    </row>
    <row r="1386" spans="1:14" ht="15" customHeight="1" x14ac:dyDescent="0.2">
      <c r="A1386" s="188"/>
      <c r="C1386" s="189"/>
      <c r="E1386" s="190"/>
      <c r="G1386" s="70"/>
      <c r="H1386" s="70"/>
      <c r="J1386" s="70"/>
      <c r="L1386" s="71"/>
      <c r="N1386" s="65"/>
    </row>
    <row r="1387" spans="1:14" ht="15" customHeight="1" x14ac:dyDescent="0.2">
      <c r="A1387" s="188"/>
      <c r="C1387" s="189"/>
      <c r="E1387" s="190"/>
      <c r="G1387" s="70"/>
      <c r="H1387" s="70"/>
      <c r="J1387" s="70"/>
      <c r="L1387" s="71"/>
      <c r="N1387" s="65"/>
    </row>
    <row r="1388" spans="1:14" ht="15" customHeight="1" x14ac:dyDescent="0.2">
      <c r="A1388" s="188"/>
      <c r="C1388" s="189"/>
      <c r="E1388" s="190"/>
      <c r="G1388" s="70"/>
      <c r="H1388" s="70"/>
      <c r="J1388" s="70"/>
      <c r="L1388" s="71"/>
      <c r="N1388" s="65"/>
    </row>
    <row r="1389" spans="1:14" ht="15" customHeight="1" x14ac:dyDescent="0.2">
      <c r="A1389" s="188"/>
      <c r="C1389" s="189"/>
      <c r="E1389" s="190"/>
      <c r="G1389" s="70"/>
      <c r="H1389" s="70"/>
      <c r="J1389" s="70"/>
      <c r="L1389" s="71"/>
      <c r="N1389" s="65"/>
    </row>
    <row r="1390" spans="1:14" ht="15" customHeight="1" x14ac:dyDescent="0.2">
      <c r="A1390" s="188"/>
      <c r="C1390" s="189"/>
      <c r="E1390" s="190"/>
      <c r="G1390" s="70"/>
      <c r="H1390" s="70"/>
      <c r="J1390" s="70"/>
      <c r="L1390" s="71"/>
      <c r="N1390" s="65"/>
    </row>
    <row r="1391" spans="1:14" ht="15" customHeight="1" x14ac:dyDescent="0.2">
      <c r="A1391" s="188"/>
      <c r="C1391" s="189"/>
      <c r="E1391" s="190"/>
      <c r="G1391" s="70"/>
      <c r="H1391" s="70"/>
      <c r="J1391" s="70"/>
      <c r="L1391" s="71"/>
      <c r="N1391" s="65"/>
    </row>
    <row r="1392" spans="1:14" ht="15" customHeight="1" x14ac:dyDescent="0.2">
      <c r="A1392" s="188"/>
      <c r="C1392" s="189"/>
      <c r="E1392" s="190"/>
      <c r="G1392" s="70"/>
      <c r="H1392" s="70"/>
      <c r="J1392" s="70"/>
      <c r="L1392" s="71"/>
      <c r="N1392" s="65"/>
    </row>
    <row r="1393" spans="1:14" ht="15" customHeight="1" x14ac:dyDescent="0.2">
      <c r="A1393" s="188"/>
      <c r="C1393" s="189"/>
      <c r="E1393" s="190"/>
      <c r="G1393" s="70"/>
      <c r="H1393" s="70"/>
      <c r="J1393" s="70"/>
      <c r="L1393" s="71"/>
      <c r="N1393" s="65"/>
    </row>
    <row r="1394" spans="1:14" ht="15" customHeight="1" x14ac:dyDescent="0.2">
      <c r="A1394" s="188"/>
      <c r="C1394" s="189"/>
      <c r="E1394" s="190"/>
      <c r="G1394" s="70"/>
      <c r="H1394" s="70"/>
      <c r="J1394" s="70"/>
      <c r="L1394" s="71"/>
      <c r="N1394" s="65"/>
    </row>
    <row r="1395" spans="1:14" ht="15" customHeight="1" x14ac:dyDescent="0.2">
      <c r="A1395" s="188"/>
      <c r="C1395" s="189"/>
      <c r="E1395" s="190"/>
      <c r="G1395" s="70"/>
      <c r="H1395" s="70"/>
      <c r="J1395" s="70"/>
      <c r="L1395" s="71"/>
      <c r="N1395" s="65"/>
    </row>
    <row r="1396" spans="1:14" ht="15" customHeight="1" x14ac:dyDescent="0.2">
      <c r="A1396" s="188"/>
      <c r="C1396" s="189"/>
      <c r="E1396" s="190"/>
      <c r="G1396" s="70"/>
      <c r="H1396" s="70"/>
      <c r="J1396" s="70"/>
      <c r="L1396" s="71"/>
      <c r="N1396" s="65"/>
    </row>
    <row r="1397" spans="1:14" ht="15" customHeight="1" x14ac:dyDescent="0.2">
      <c r="A1397" s="188"/>
      <c r="C1397" s="189"/>
      <c r="E1397" s="190"/>
      <c r="G1397" s="70"/>
      <c r="H1397" s="70"/>
      <c r="J1397" s="70"/>
      <c r="L1397" s="71"/>
      <c r="N1397" s="65"/>
    </row>
    <row r="1398" spans="1:14" ht="15" customHeight="1" x14ac:dyDescent="0.2">
      <c r="A1398" s="188"/>
      <c r="C1398" s="189"/>
      <c r="E1398" s="190"/>
      <c r="G1398" s="70"/>
      <c r="H1398" s="70"/>
      <c r="J1398" s="70"/>
      <c r="L1398" s="71"/>
      <c r="N1398" s="65"/>
    </row>
    <row r="1399" spans="1:14" ht="15" customHeight="1" x14ac:dyDescent="0.2">
      <c r="A1399" s="188"/>
      <c r="C1399" s="189"/>
      <c r="E1399" s="190"/>
      <c r="G1399" s="70"/>
      <c r="H1399" s="70"/>
      <c r="J1399" s="70"/>
      <c r="L1399" s="71"/>
      <c r="N1399" s="65"/>
    </row>
    <row r="1400" spans="1:14" ht="15" customHeight="1" x14ac:dyDescent="0.2">
      <c r="A1400" s="188"/>
      <c r="C1400" s="189"/>
      <c r="E1400" s="190"/>
      <c r="G1400" s="70"/>
      <c r="H1400" s="70"/>
      <c r="J1400" s="70"/>
      <c r="L1400" s="71"/>
      <c r="N1400" s="65"/>
    </row>
    <row r="1401" spans="1:14" ht="15" customHeight="1" x14ac:dyDescent="0.2">
      <c r="A1401" s="188"/>
      <c r="C1401" s="189"/>
      <c r="E1401" s="190"/>
      <c r="G1401" s="70"/>
      <c r="H1401" s="70"/>
      <c r="J1401" s="70"/>
      <c r="L1401" s="71"/>
      <c r="N1401" s="65"/>
    </row>
    <row r="1402" spans="1:14" ht="15" customHeight="1" x14ac:dyDescent="0.2">
      <c r="A1402" s="188"/>
      <c r="C1402" s="189"/>
      <c r="E1402" s="190"/>
      <c r="G1402" s="70"/>
      <c r="H1402" s="70"/>
      <c r="J1402" s="70"/>
      <c r="L1402" s="71"/>
      <c r="N1402" s="65"/>
    </row>
    <row r="1403" spans="1:14" ht="15" customHeight="1" x14ac:dyDescent="0.2">
      <c r="A1403" s="188"/>
      <c r="C1403" s="189"/>
      <c r="E1403" s="190"/>
      <c r="G1403" s="70"/>
      <c r="H1403" s="70"/>
      <c r="J1403" s="70"/>
      <c r="L1403" s="71"/>
      <c r="N1403" s="65"/>
    </row>
    <row r="1404" spans="1:14" ht="15" customHeight="1" x14ac:dyDescent="0.2">
      <c r="A1404" s="188"/>
      <c r="C1404" s="189"/>
      <c r="E1404" s="190"/>
      <c r="G1404" s="70"/>
      <c r="H1404" s="70"/>
      <c r="J1404" s="70"/>
      <c r="L1404" s="71"/>
      <c r="N1404" s="65"/>
    </row>
    <row r="1405" spans="1:14" ht="15" customHeight="1" x14ac:dyDescent="0.2">
      <c r="A1405" s="188"/>
      <c r="C1405" s="189"/>
      <c r="E1405" s="190"/>
      <c r="G1405" s="70"/>
      <c r="H1405" s="70"/>
      <c r="J1405" s="70"/>
      <c r="L1405" s="71"/>
      <c r="N1405" s="65"/>
    </row>
    <row r="1406" spans="1:14" ht="15" customHeight="1" x14ac:dyDescent="0.2">
      <c r="A1406" s="188"/>
      <c r="C1406" s="189"/>
      <c r="E1406" s="190"/>
      <c r="G1406" s="70"/>
      <c r="H1406" s="70"/>
      <c r="J1406" s="70"/>
      <c r="L1406" s="71"/>
      <c r="N1406" s="65"/>
    </row>
    <row r="1407" spans="1:14" ht="15" customHeight="1" x14ac:dyDescent="0.2">
      <c r="A1407" s="188"/>
      <c r="C1407" s="189"/>
      <c r="E1407" s="190"/>
      <c r="G1407" s="70"/>
      <c r="H1407" s="70"/>
      <c r="J1407" s="70"/>
      <c r="L1407" s="71"/>
      <c r="N1407" s="65"/>
    </row>
    <row r="1408" spans="1:14" ht="15" customHeight="1" x14ac:dyDescent="0.2">
      <c r="A1408" s="188"/>
      <c r="C1408" s="189"/>
      <c r="E1408" s="190"/>
      <c r="G1408" s="70"/>
      <c r="H1408" s="70"/>
      <c r="J1408" s="70"/>
      <c r="L1408" s="71"/>
      <c r="N1408" s="65"/>
    </row>
    <row r="1409" spans="1:14" ht="15" customHeight="1" x14ac:dyDescent="0.2">
      <c r="A1409" s="188"/>
      <c r="C1409" s="189"/>
      <c r="E1409" s="190"/>
      <c r="G1409" s="70"/>
      <c r="H1409" s="70"/>
      <c r="J1409" s="70"/>
      <c r="L1409" s="71"/>
      <c r="N1409" s="65"/>
    </row>
    <row r="1410" spans="1:14" ht="15" customHeight="1" x14ac:dyDescent="0.2">
      <c r="A1410" s="188"/>
      <c r="C1410" s="189"/>
      <c r="E1410" s="190"/>
      <c r="G1410" s="70"/>
      <c r="H1410" s="70"/>
      <c r="J1410" s="70"/>
      <c r="L1410" s="71"/>
      <c r="N1410" s="65"/>
    </row>
    <row r="1411" spans="1:14" ht="15" customHeight="1" x14ac:dyDescent="0.2">
      <c r="A1411" s="188"/>
      <c r="C1411" s="189"/>
      <c r="E1411" s="190"/>
      <c r="G1411" s="70"/>
      <c r="H1411" s="70"/>
      <c r="J1411" s="70"/>
      <c r="L1411" s="71"/>
      <c r="N1411" s="65"/>
    </row>
    <row r="1412" spans="1:14" ht="15" customHeight="1" x14ac:dyDescent="0.2">
      <c r="A1412" s="188"/>
      <c r="C1412" s="189"/>
      <c r="E1412" s="190"/>
      <c r="G1412" s="70"/>
      <c r="H1412" s="70"/>
      <c r="J1412" s="70"/>
      <c r="L1412" s="71"/>
      <c r="N1412" s="65"/>
    </row>
    <row r="1413" spans="1:14" ht="15" customHeight="1" x14ac:dyDescent="0.2">
      <c r="A1413" s="188"/>
      <c r="C1413" s="189"/>
      <c r="E1413" s="190"/>
      <c r="G1413" s="70"/>
      <c r="H1413" s="70"/>
      <c r="J1413" s="70"/>
      <c r="L1413" s="71"/>
      <c r="N1413" s="65"/>
    </row>
    <row r="1414" spans="1:14" ht="15" customHeight="1" x14ac:dyDescent="0.2">
      <c r="A1414" s="188"/>
      <c r="C1414" s="189"/>
      <c r="E1414" s="190"/>
      <c r="G1414" s="70"/>
      <c r="H1414" s="70"/>
      <c r="J1414" s="70"/>
      <c r="L1414" s="71"/>
      <c r="N1414" s="65"/>
    </row>
    <row r="1415" spans="1:14" ht="15" customHeight="1" x14ac:dyDescent="0.2">
      <c r="A1415" s="188"/>
      <c r="C1415" s="189"/>
      <c r="E1415" s="190"/>
      <c r="G1415" s="70"/>
      <c r="H1415" s="70"/>
      <c r="J1415" s="70"/>
      <c r="L1415" s="71"/>
      <c r="N1415" s="65"/>
    </row>
    <row r="1416" spans="1:14" ht="15" customHeight="1" x14ac:dyDescent="0.2">
      <c r="A1416" s="188"/>
      <c r="C1416" s="189"/>
      <c r="E1416" s="190"/>
      <c r="G1416" s="70"/>
      <c r="H1416" s="70"/>
      <c r="J1416" s="70"/>
      <c r="L1416" s="71"/>
      <c r="N1416" s="65"/>
    </row>
    <row r="1417" spans="1:14" ht="15" customHeight="1" x14ac:dyDescent="0.2">
      <c r="A1417" s="188"/>
      <c r="C1417" s="189"/>
      <c r="E1417" s="190"/>
      <c r="G1417" s="70"/>
      <c r="H1417" s="70"/>
      <c r="J1417" s="70"/>
      <c r="L1417" s="71"/>
      <c r="N1417" s="65"/>
    </row>
    <row r="1418" spans="1:14" ht="15" customHeight="1" x14ac:dyDescent="0.2">
      <c r="A1418" s="188"/>
      <c r="C1418" s="189"/>
      <c r="E1418" s="190"/>
      <c r="G1418" s="70"/>
      <c r="H1418" s="70"/>
      <c r="J1418" s="70"/>
      <c r="L1418" s="71"/>
      <c r="N1418" s="65"/>
    </row>
    <row r="1419" spans="1:14" ht="15" customHeight="1" x14ac:dyDescent="0.2">
      <c r="A1419" s="188"/>
      <c r="C1419" s="189"/>
      <c r="E1419" s="190"/>
      <c r="G1419" s="70"/>
      <c r="H1419" s="70"/>
      <c r="J1419" s="70"/>
      <c r="L1419" s="71"/>
      <c r="N1419" s="65"/>
    </row>
    <row r="1420" spans="1:14" ht="15" customHeight="1" x14ac:dyDescent="0.2">
      <c r="A1420" s="188"/>
      <c r="C1420" s="189"/>
      <c r="E1420" s="190"/>
      <c r="G1420" s="70"/>
      <c r="H1420" s="70"/>
      <c r="J1420" s="70"/>
      <c r="L1420" s="71"/>
      <c r="N1420" s="65"/>
    </row>
    <row r="1421" spans="1:14" ht="15" customHeight="1" x14ac:dyDescent="0.2">
      <c r="A1421" s="188"/>
      <c r="C1421" s="189"/>
      <c r="E1421" s="190"/>
      <c r="G1421" s="70"/>
      <c r="H1421" s="70"/>
      <c r="J1421" s="70"/>
      <c r="L1421" s="71"/>
      <c r="N1421" s="65"/>
    </row>
    <row r="1422" spans="1:14" ht="15" customHeight="1" x14ac:dyDescent="0.2">
      <c r="A1422" s="188"/>
      <c r="C1422" s="189"/>
      <c r="E1422" s="190"/>
      <c r="G1422" s="70"/>
      <c r="H1422" s="70"/>
      <c r="J1422" s="70"/>
      <c r="L1422" s="71"/>
      <c r="N1422" s="65"/>
    </row>
    <row r="1423" spans="1:14" ht="15" customHeight="1" x14ac:dyDescent="0.2">
      <c r="A1423" s="188"/>
      <c r="C1423" s="189"/>
      <c r="E1423" s="190"/>
      <c r="G1423" s="70"/>
      <c r="H1423" s="70"/>
      <c r="J1423" s="70"/>
      <c r="L1423" s="71"/>
      <c r="N1423" s="65"/>
    </row>
    <row r="1424" spans="1:14" ht="15" customHeight="1" x14ac:dyDescent="0.2">
      <c r="A1424" s="188"/>
      <c r="C1424" s="189"/>
      <c r="E1424" s="190"/>
      <c r="G1424" s="70"/>
      <c r="H1424" s="70"/>
      <c r="J1424" s="70"/>
      <c r="L1424" s="71"/>
      <c r="N1424" s="65"/>
    </row>
    <row r="1425" spans="1:14" ht="15" customHeight="1" x14ac:dyDescent="0.2">
      <c r="A1425" s="188"/>
      <c r="C1425" s="189"/>
      <c r="E1425" s="190"/>
      <c r="G1425" s="70"/>
      <c r="H1425" s="70"/>
      <c r="J1425" s="70"/>
      <c r="L1425" s="71"/>
      <c r="N1425" s="65"/>
    </row>
    <row r="1426" spans="1:14" ht="15" customHeight="1" x14ac:dyDescent="0.2">
      <c r="A1426" s="188"/>
      <c r="C1426" s="189"/>
      <c r="E1426" s="190"/>
      <c r="G1426" s="70"/>
      <c r="H1426" s="70"/>
      <c r="J1426" s="70"/>
      <c r="L1426" s="71"/>
      <c r="N1426" s="65"/>
    </row>
    <row r="1427" spans="1:14" ht="15" customHeight="1" x14ac:dyDescent="0.2">
      <c r="A1427" s="188"/>
      <c r="C1427" s="189"/>
      <c r="E1427" s="190"/>
      <c r="G1427" s="70"/>
      <c r="H1427" s="70"/>
      <c r="J1427" s="70"/>
      <c r="L1427" s="71"/>
      <c r="N1427" s="65"/>
    </row>
    <row r="1428" spans="1:14" ht="15" customHeight="1" x14ac:dyDescent="0.2">
      <c r="A1428" s="188"/>
      <c r="C1428" s="189"/>
      <c r="E1428" s="190"/>
      <c r="G1428" s="70"/>
      <c r="H1428" s="70"/>
      <c r="J1428" s="70"/>
      <c r="L1428" s="71"/>
      <c r="N1428" s="65"/>
    </row>
    <row r="1429" spans="1:14" ht="15" customHeight="1" x14ac:dyDescent="0.2">
      <c r="A1429" s="188"/>
      <c r="C1429" s="189"/>
      <c r="E1429" s="190"/>
      <c r="G1429" s="70"/>
      <c r="H1429" s="70"/>
      <c r="J1429" s="70"/>
      <c r="L1429" s="71"/>
      <c r="N1429" s="65"/>
    </row>
    <row r="1430" spans="1:14" ht="15" customHeight="1" x14ac:dyDescent="0.2">
      <c r="A1430" s="188"/>
      <c r="C1430" s="189"/>
      <c r="E1430" s="190"/>
      <c r="G1430" s="70"/>
      <c r="H1430" s="70"/>
      <c r="J1430" s="70"/>
      <c r="L1430" s="71"/>
      <c r="N1430" s="65"/>
    </row>
    <row r="1431" spans="1:14" ht="15" customHeight="1" x14ac:dyDescent="0.2">
      <c r="A1431" s="188"/>
      <c r="C1431" s="189"/>
      <c r="E1431" s="190"/>
      <c r="G1431" s="70"/>
      <c r="H1431" s="70"/>
      <c r="J1431" s="70"/>
      <c r="L1431" s="71"/>
      <c r="N1431" s="65"/>
    </row>
    <row r="1432" spans="1:14" ht="15" customHeight="1" x14ac:dyDescent="0.2">
      <c r="A1432" s="188"/>
      <c r="C1432" s="189"/>
      <c r="E1432" s="190"/>
      <c r="G1432" s="70"/>
      <c r="H1432" s="70"/>
      <c r="J1432" s="70"/>
      <c r="L1432" s="71"/>
      <c r="N1432" s="65"/>
    </row>
    <row r="1433" spans="1:14" ht="15" customHeight="1" x14ac:dyDescent="0.2">
      <c r="A1433" s="188"/>
      <c r="C1433" s="189"/>
      <c r="E1433" s="190"/>
      <c r="G1433" s="70"/>
      <c r="H1433" s="70"/>
      <c r="J1433" s="70"/>
      <c r="L1433" s="71"/>
      <c r="N1433" s="65"/>
    </row>
    <row r="1434" spans="1:14" ht="15" customHeight="1" x14ac:dyDescent="0.2">
      <c r="A1434" s="188"/>
      <c r="C1434" s="189"/>
      <c r="E1434" s="190"/>
      <c r="G1434" s="70"/>
      <c r="H1434" s="70"/>
      <c r="J1434" s="70"/>
      <c r="L1434" s="71"/>
      <c r="N1434" s="65"/>
    </row>
    <row r="1435" spans="1:14" ht="15" customHeight="1" x14ac:dyDescent="0.2">
      <c r="A1435" s="188"/>
      <c r="C1435" s="189"/>
      <c r="E1435" s="190"/>
      <c r="G1435" s="70"/>
      <c r="H1435" s="70"/>
      <c r="J1435" s="70"/>
      <c r="L1435" s="71"/>
      <c r="N1435" s="65"/>
    </row>
    <row r="1436" spans="1:14" ht="15" customHeight="1" x14ac:dyDescent="0.2">
      <c r="A1436" s="188"/>
      <c r="C1436" s="189"/>
      <c r="E1436" s="190"/>
      <c r="G1436" s="70"/>
      <c r="H1436" s="70"/>
      <c r="J1436" s="70"/>
      <c r="L1436" s="71"/>
      <c r="N1436" s="65"/>
    </row>
    <row r="1437" spans="1:14" ht="15" customHeight="1" x14ac:dyDescent="0.2">
      <c r="A1437" s="188"/>
      <c r="C1437" s="189"/>
      <c r="E1437" s="190"/>
      <c r="G1437" s="70"/>
      <c r="H1437" s="70"/>
      <c r="J1437" s="70"/>
      <c r="L1437" s="71"/>
      <c r="N1437" s="65"/>
    </row>
    <row r="1438" spans="1:14" ht="15" customHeight="1" x14ac:dyDescent="0.2">
      <c r="A1438" s="188"/>
      <c r="C1438" s="189"/>
      <c r="E1438" s="190"/>
      <c r="G1438" s="70"/>
      <c r="H1438" s="70"/>
      <c r="J1438" s="70"/>
      <c r="L1438" s="71"/>
      <c r="N1438" s="65"/>
    </row>
    <row r="1439" spans="1:14" ht="15" customHeight="1" x14ac:dyDescent="0.2">
      <c r="A1439" s="188"/>
      <c r="C1439" s="189"/>
      <c r="E1439" s="190"/>
      <c r="G1439" s="70"/>
      <c r="H1439" s="70"/>
      <c r="J1439" s="70"/>
      <c r="L1439" s="71"/>
      <c r="N1439" s="65"/>
    </row>
    <row r="1440" spans="1:14" ht="15" customHeight="1" x14ac:dyDescent="0.2">
      <c r="A1440" s="188"/>
      <c r="C1440" s="189"/>
      <c r="E1440" s="190"/>
      <c r="G1440" s="70"/>
      <c r="H1440" s="70"/>
      <c r="J1440" s="70"/>
      <c r="L1440" s="71"/>
      <c r="N1440" s="65"/>
    </row>
    <row r="1441" spans="1:14" ht="15" customHeight="1" x14ac:dyDescent="0.2">
      <c r="A1441" s="188"/>
      <c r="C1441" s="189"/>
      <c r="E1441" s="190"/>
      <c r="G1441" s="70"/>
      <c r="H1441" s="70"/>
      <c r="J1441" s="70"/>
      <c r="L1441" s="71"/>
      <c r="N1441" s="65"/>
    </row>
    <row r="1442" spans="1:14" ht="15" customHeight="1" x14ac:dyDescent="0.2">
      <c r="A1442" s="188"/>
      <c r="C1442" s="189"/>
      <c r="E1442" s="190"/>
      <c r="G1442" s="70"/>
      <c r="H1442" s="70"/>
      <c r="J1442" s="70"/>
      <c r="L1442" s="71"/>
      <c r="N1442" s="65"/>
    </row>
    <row r="1443" spans="1:14" ht="15" customHeight="1" x14ac:dyDescent="0.2">
      <c r="A1443" s="188"/>
      <c r="C1443" s="189"/>
      <c r="E1443" s="190"/>
      <c r="G1443" s="70"/>
      <c r="H1443" s="70"/>
      <c r="J1443" s="70"/>
      <c r="L1443" s="71"/>
      <c r="N1443" s="65"/>
    </row>
    <row r="1444" spans="1:14" ht="15" customHeight="1" x14ac:dyDescent="0.2">
      <c r="A1444" s="188"/>
      <c r="C1444" s="189"/>
      <c r="E1444" s="190"/>
      <c r="G1444" s="70"/>
      <c r="H1444" s="70"/>
      <c r="J1444" s="70"/>
      <c r="L1444" s="71"/>
      <c r="N1444" s="65"/>
    </row>
    <row r="1445" spans="1:14" ht="15" customHeight="1" x14ac:dyDescent="0.2">
      <c r="A1445" s="188"/>
      <c r="C1445" s="189"/>
      <c r="E1445" s="190"/>
      <c r="G1445" s="70"/>
      <c r="H1445" s="70"/>
      <c r="J1445" s="70"/>
      <c r="L1445" s="71"/>
      <c r="N1445" s="65"/>
    </row>
    <row r="1446" spans="1:14" ht="15" customHeight="1" x14ac:dyDescent="0.2">
      <c r="A1446" s="188"/>
      <c r="C1446" s="189"/>
      <c r="E1446" s="190"/>
      <c r="G1446" s="70"/>
      <c r="H1446" s="70"/>
      <c r="J1446" s="70"/>
      <c r="L1446" s="71"/>
      <c r="N1446" s="65"/>
    </row>
    <row r="1447" spans="1:14" ht="15" customHeight="1" x14ac:dyDescent="0.2">
      <c r="A1447" s="188"/>
      <c r="C1447" s="189"/>
      <c r="E1447" s="190"/>
      <c r="G1447" s="70"/>
      <c r="H1447" s="70"/>
      <c r="J1447" s="70"/>
      <c r="L1447" s="71"/>
      <c r="N1447" s="65"/>
    </row>
    <row r="1448" spans="1:14" ht="15" customHeight="1" x14ac:dyDescent="0.2">
      <c r="A1448" s="188"/>
      <c r="C1448" s="189"/>
      <c r="E1448" s="190"/>
      <c r="G1448" s="70"/>
      <c r="H1448" s="70"/>
      <c r="J1448" s="70"/>
      <c r="L1448" s="71"/>
      <c r="N1448" s="65"/>
    </row>
    <row r="1449" spans="1:14" ht="15" customHeight="1" x14ac:dyDescent="0.2">
      <c r="A1449" s="188"/>
      <c r="C1449" s="189"/>
      <c r="E1449" s="190"/>
      <c r="G1449" s="70"/>
      <c r="H1449" s="70"/>
      <c r="J1449" s="70"/>
      <c r="L1449" s="71"/>
      <c r="N1449" s="65"/>
    </row>
    <row r="1450" spans="1:14" ht="15" customHeight="1" x14ac:dyDescent="0.2">
      <c r="A1450" s="188"/>
      <c r="C1450" s="189"/>
      <c r="E1450" s="190"/>
      <c r="G1450" s="70"/>
      <c r="H1450" s="70"/>
      <c r="J1450" s="70"/>
      <c r="L1450" s="71"/>
      <c r="N1450" s="65"/>
    </row>
    <row r="1451" spans="1:14" ht="15" customHeight="1" x14ac:dyDescent="0.2">
      <c r="A1451" s="188"/>
      <c r="C1451" s="189"/>
      <c r="E1451" s="190"/>
      <c r="G1451" s="70"/>
      <c r="H1451" s="70"/>
      <c r="J1451" s="70"/>
      <c r="L1451" s="71"/>
      <c r="N1451" s="65"/>
    </row>
    <row r="1452" spans="1:14" ht="15" customHeight="1" x14ac:dyDescent="0.2">
      <c r="A1452" s="188"/>
      <c r="C1452" s="189"/>
      <c r="E1452" s="190"/>
      <c r="G1452" s="70"/>
      <c r="H1452" s="70"/>
      <c r="J1452" s="70"/>
      <c r="L1452" s="71"/>
      <c r="N1452" s="65"/>
    </row>
    <row r="1453" spans="1:14" ht="15" customHeight="1" x14ac:dyDescent="0.2">
      <c r="A1453" s="188"/>
      <c r="C1453" s="189"/>
      <c r="E1453" s="190"/>
      <c r="G1453" s="70"/>
      <c r="H1453" s="70"/>
      <c r="J1453" s="70"/>
      <c r="L1453" s="71"/>
      <c r="N1453" s="65"/>
    </row>
    <row r="1454" spans="1:14" ht="15" customHeight="1" x14ac:dyDescent="0.2">
      <c r="A1454" s="188"/>
      <c r="C1454" s="189"/>
      <c r="E1454" s="190"/>
      <c r="G1454" s="70"/>
      <c r="H1454" s="70"/>
      <c r="J1454" s="70"/>
      <c r="L1454" s="71"/>
      <c r="N1454" s="65"/>
    </row>
    <row r="1455" spans="1:14" ht="15" customHeight="1" x14ac:dyDescent="0.2">
      <c r="A1455" s="188"/>
      <c r="C1455" s="189"/>
      <c r="E1455" s="190"/>
      <c r="G1455" s="70"/>
      <c r="H1455" s="70"/>
      <c r="J1455" s="70"/>
      <c r="L1455" s="71"/>
      <c r="N1455" s="65"/>
    </row>
    <row r="1456" spans="1:14" ht="15" customHeight="1" x14ac:dyDescent="0.2">
      <c r="A1456" s="188"/>
      <c r="C1456" s="189"/>
      <c r="E1456" s="190"/>
      <c r="G1456" s="70"/>
      <c r="H1456" s="70"/>
      <c r="J1456" s="70"/>
      <c r="L1456" s="71"/>
      <c r="N1456" s="65"/>
    </row>
    <row r="1457" spans="1:14" ht="15" customHeight="1" x14ac:dyDescent="0.2">
      <c r="A1457" s="188"/>
      <c r="C1457" s="189"/>
      <c r="E1457" s="190"/>
      <c r="G1457" s="70"/>
      <c r="H1457" s="70"/>
      <c r="J1457" s="70"/>
      <c r="L1457" s="71"/>
      <c r="N1457" s="65"/>
    </row>
    <row r="1458" spans="1:14" ht="15" customHeight="1" x14ac:dyDescent="0.2">
      <c r="A1458" s="188"/>
      <c r="C1458" s="189"/>
      <c r="E1458" s="190"/>
      <c r="G1458" s="70"/>
      <c r="H1458" s="70"/>
      <c r="J1458" s="70"/>
      <c r="L1458" s="71"/>
      <c r="N1458" s="65"/>
    </row>
    <row r="1459" spans="1:14" ht="15" customHeight="1" x14ac:dyDescent="0.2">
      <c r="A1459" s="188"/>
      <c r="C1459" s="189"/>
      <c r="E1459" s="190"/>
      <c r="G1459" s="70"/>
      <c r="H1459" s="70"/>
      <c r="J1459" s="70"/>
      <c r="L1459" s="71"/>
      <c r="N1459" s="65"/>
    </row>
    <row r="1460" spans="1:14" ht="15" customHeight="1" x14ac:dyDescent="0.2">
      <c r="A1460" s="188"/>
      <c r="C1460" s="189"/>
      <c r="E1460" s="190"/>
      <c r="G1460" s="70"/>
      <c r="H1460" s="70"/>
      <c r="J1460" s="70"/>
      <c r="L1460" s="71"/>
      <c r="N1460" s="65"/>
    </row>
    <row r="1461" spans="1:14" ht="15" customHeight="1" x14ac:dyDescent="0.2">
      <c r="A1461" s="188"/>
      <c r="C1461" s="189"/>
      <c r="E1461" s="190"/>
      <c r="G1461" s="70"/>
      <c r="H1461" s="70"/>
      <c r="J1461" s="70"/>
      <c r="L1461" s="71"/>
      <c r="N1461" s="65"/>
    </row>
    <row r="1462" spans="1:14" ht="15" customHeight="1" x14ac:dyDescent="0.2">
      <c r="A1462" s="188"/>
      <c r="C1462" s="189"/>
      <c r="E1462" s="190"/>
      <c r="G1462" s="70"/>
      <c r="H1462" s="70"/>
      <c r="J1462" s="70"/>
      <c r="L1462" s="71"/>
      <c r="N1462" s="65"/>
    </row>
    <row r="1463" spans="1:14" ht="15" customHeight="1" x14ac:dyDescent="0.2">
      <c r="A1463" s="188"/>
      <c r="C1463" s="189"/>
      <c r="E1463" s="190"/>
      <c r="G1463" s="70"/>
      <c r="H1463" s="70"/>
      <c r="J1463" s="70"/>
      <c r="L1463" s="71"/>
      <c r="N1463" s="65"/>
    </row>
    <row r="1464" spans="1:14" ht="15" customHeight="1" x14ac:dyDescent="0.2">
      <c r="A1464" s="188"/>
      <c r="C1464" s="189"/>
      <c r="E1464" s="190"/>
      <c r="G1464" s="70"/>
      <c r="H1464" s="70"/>
      <c r="J1464" s="70"/>
      <c r="L1464" s="71"/>
      <c r="N1464" s="65"/>
    </row>
    <row r="1465" spans="1:14" ht="15" customHeight="1" x14ac:dyDescent="0.2">
      <c r="A1465" s="188"/>
      <c r="C1465" s="189"/>
      <c r="E1465" s="190"/>
      <c r="G1465" s="70"/>
      <c r="H1465" s="70"/>
      <c r="J1465" s="70"/>
      <c r="L1465" s="71"/>
      <c r="N1465" s="65"/>
    </row>
    <row r="1466" spans="1:14" ht="15" customHeight="1" x14ac:dyDescent="0.2">
      <c r="A1466" s="188"/>
      <c r="C1466" s="189"/>
      <c r="E1466" s="190"/>
      <c r="G1466" s="70"/>
      <c r="H1466" s="70"/>
      <c r="J1466" s="70"/>
      <c r="L1466" s="71"/>
      <c r="N1466" s="65"/>
    </row>
    <row r="1467" spans="1:14" ht="15" customHeight="1" x14ac:dyDescent="0.2">
      <c r="A1467" s="188"/>
      <c r="C1467" s="189"/>
      <c r="E1467" s="190"/>
      <c r="G1467" s="70"/>
      <c r="H1467" s="70"/>
      <c r="J1467" s="70"/>
      <c r="L1467" s="71"/>
      <c r="N1467" s="65"/>
    </row>
    <row r="1468" spans="1:14" ht="15" customHeight="1" x14ac:dyDescent="0.2">
      <c r="A1468" s="188"/>
      <c r="C1468" s="189"/>
      <c r="E1468" s="190"/>
      <c r="G1468" s="70"/>
      <c r="H1468" s="70"/>
      <c r="J1468" s="70"/>
      <c r="L1468" s="71"/>
      <c r="N1468" s="65"/>
    </row>
    <row r="1469" spans="1:14" ht="15" customHeight="1" x14ac:dyDescent="0.2">
      <c r="A1469" s="188"/>
      <c r="C1469" s="189"/>
      <c r="E1469" s="190"/>
      <c r="G1469" s="70"/>
      <c r="H1469" s="70"/>
      <c r="J1469" s="70"/>
      <c r="L1469" s="71"/>
      <c r="N1469" s="65"/>
    </row>
    <row r="1470" spans="1:14" ht="15" customHeight="1" x14ac:dyDescent="0.2">
      <c r="A1470" s="188"/>
      <c r="C1470" s="189"/>
      <c r="E1470" s="190"/>
      <c r="G1470" s="70"/>
      <c r="H1470" s="70"/>
      <c r="J1470" s="70"/>
      <c r="L1470" s="71"/>
      <c r="N1470" s="65"/>
    </row>
    <row r="1471" spans="1:14" ht="15" customHeight="1" x14ac:dyDescent="0.2">
      <c r="A1471" s="188"/>
      <c r="C1471" s="189"/>
      <c r="E1471" s="190"/>
      <c r="G1471" s="70"/>
      <c r="H1471" s="70"/>
      <c r="J1471" s="70"/>
      <c r="L1471" s="71"/>
      <c r="N1471" s="65"/>
    </row>
    <row r="1472" spans="1:14" ht="15" customHeight="1" x14ac:dyDescent="0.2">
      <c r="A1472" s="188"/>
      <c r="C1472" s="189"/>
      <c r="E1472" s="190"/>
      <c r="G1472" s="70"/>
      <c r="H1472" s="70"/>
      <c r="J1472" s="70"/>
      <c r="L1472" s="71"/>
      <c r="N1472" s="65"/>
    </row>
    <row r="1473" spans="1:14" ht="15" customHeight="1" x14ac:dyDescent="0.2">
      <c r="A1473" s="188"/>
      <c r="C1473" s="189"/>
      <c r="E1473" s="190"/>
      <c r="G1473" s="70"/>
      <c r="H1473" s="70"/>
      <c r="J1473" s="70"/>
      <c r="L1473" s="71"/>
      <c r="N1473" s="65"/>
    </row>
    <row r="1474" spans="1:14" ht="15" customHeight="1" x14ac:dyDescent="0.2">
      <c r="A1474" s="188"/>
      <c r="C1474" s="189"/>
      <c r="E1474" s="190"/>
      <c r="G1474" s="70"/>
      <c r="H1474" s="70"/>
      <c r="J1474" s="70"/>
      <c r="L1474" s="71"/>
      <c r="N1474" s="65"/>
    </row>
    <row r="1475" spans="1:14" ht="15" customHeight="1" x14ac:dyDescent="0.2">
      <c r="A1475" s="188"/>
      <c r="C1475" s="189"/>
      <c r="E1475" s="190"/>
      <c r="G1475" s="70"/>
      <c r="H1475" s="70"/>
      <c r="J1475" s="70"/>
      <c r="L1475" s="71"/>
      <c r="N1475" s="65"/>
    </row>
    <row r="1476" spans="1:14" ht="15" customHeight="1" x14ac:dyDescent="0.2">
      <c r="A1476" s="188"/>
      <c r="C1476" s="189"/>
      <c r="E1476" s="190"/>
      <c r="G1476" s="70"/>
      <c r="H1476" s="70"/>
      <c r="J1476" s="70"/>
      <c r="L1476" s="71"/>
      <c r="N1476" s="65"/>
    </row>
    <row r="1477" spans="1:14" ht="15" customHeight="1" x14ac:dyDescent="0.2">
      <c r="A1477" s="188"/>
      <c r="C1477" s="189"/>
      <c r="E1477" s="190"/>
      <c r="G1477" s="70"/>
      <c r="H1477" s="70"/>
      <c r="J1477" s="70"/>
      <c r="L1477" s="71"/>
      <c r="N1477" s="65"/>
    </row>
    <row r="1478" spans="1:14" ht="15" customHeight="1" x14ac:dyDescent="0.2">
      <c r="A1478" s="188"/>
      <c r="C1478" s="189"/>
      <c r="E1478" s="190"/>
      <c r="G1478" s="70"/>
      <c r="H1478" s="70"/>
      <c r="J1478" s="70"/>
      <c r="L1478" s="71"/>
      <c r="N1478" s="65"/>
    </row>
    <row r="1479" spans="1:14" ht="15" customHeight="1" x14ac:dyDescent="0.2">
      <c r="A1479" s="188"/>
      <c r="C1479" s="189"/>
      <c r="E1479" s="190"/>
      <c r="G1479" s="70"/>
      <c r="H1479" s="70"/>
      <c r="J1479" s="70"/>
      <c r="L1479" s="71"/>
      <c r="N1479" s="65"/>
    </row>
    <row r="1480" spans="1:14" ht="15" customHeight="1" x14ac:dyDescent="0.2">
      <c r="A1480" s="188"/>
      <c r="C1480" s="189"/>
      <c r="E1480" s="190"/>
      <c r="G1480" s="70"/>
      <c r="H1480" s="70"/>
      <c r="J1480" s="70"/>
      <c r="L1480" s="71"/>
      <c r="N1480" s="65"/>
    </row>
    <row r="1481" spans="1:14" ht="15" customHeight="1" x14ac:dyDescent="0.2">
      <c r="A1481" s="188"/>
      <c r="C1481" s="189"/>
      <c r="E1481" s="190"/>
      <c r="G1481" s="70"/>
      <c r="H1481" s="70"/>
      <c r="J1481" s="70"/>
      <c r="L1481" s="71"/>
      <c r="N1481" s="65"/>
    </row>
    <row r="1482" spans="1:14" ht="15" customHeight="1" x14ac:dyDescent="0.2">
      <c r="A1482" s="188"/>
      <c r="C1482" s="189"/>
      <c r="E1482" s="190"/>
      <c r="G1482" s="70"/>
      <c r="H1482" s="70"/>
      <c r="J1482" s="70"/>
      <c r="L1482" s="71"/>
      <c r="N1482" s="65"/>
    </row>
    <row r="1483" spans="1:14" ht="15" customHeight="1" x14ac:dyDescent="0.2">
      <c r="A1483" s="188"/>
      <c r="C1483" s="189"/>
      <c r="E1483" s="190"/>
      <c r="G1483" s="70"/>
      <c r="H1483" s="70"/>
      <c r="J1483" s="70"/>
      <c r="L1483" s="71"/>
      <c r="N1483" s="65"/>
    </row>
    <row r="1484" spans="1:14" ht="15" customHeight="1" x14ac:dyDescent="0.2">
      <c r="A1484" s="188"/>
      <c r="C1484" s="189"/>
      <c r="E1484" s="190"/>
      <c r="G1484" s="70"/>
      <c r="H1484" s="70"/>
      <c r="J1484" s="70"/>
      <c r="L1484" s="71"/>
      <c r="N1484" s="65"/>
    </row>
    <row r="1485" spans="1:14" ht="15" customHeight="1" x14ac:dyDescent="0.2">
      <c r="A1485" s="188"/>
      <c r="C1485" s="189"/>
      <c r="E1485" s="190"/>
      <c r="G1485" s="70"/>
      <c r="H1485" s="70"/>
      <c r="J1485" s="70"/>
      <c r="L1485" s="71"/>
      <c r="N1485" s="65"/>
    </row>
    <row r="1486" spans="1:14" ht="15" customHeight="1" x14ac:dyDescent="0.2">
      <c r="A1486" s="188"/>
      <c r="C1486" s="189"/>
      <c r="E1486" s="190"/>
      <c r="G1486" s="70"/>
      <c r="H1486" s="70"/>
      <c r="J1486" s="70"/>
      <c r="L1486" s="71"/>
      <c r="N1486" s="65"/>
    </row>
    <row r="1487" spans="1:14" ht="15" customHeight="1" x14ac:dyDescent="0.2">
      <c r="A1487" s="188"/>
      <c r="C1487" s="189"/>
      <c r="E1487" s="190"/>
      <c r="G1487" s="70"/>
      <c r="H1487" s="70"/>
      <c r="J1487" s="70"/>
      <c r="L1487" s="71"/>
      <c r="N1487" s="65"/>
    </row>
    <row r="1488" spans="1:14" ht="15" customHeight="1" x14ac:dyDescent="0.2">
      <c r="A1488" s="188"/>
      <c r="C1488" s="189"/>
      <c r="E1488" s="190"/>
      <c r="G1488" s="70"/>
      <c r="H1488" s="70"/>
      <c r="J1488" s="70"/>
      <c r="L1488" s="71"/>
      <c r="N1488" s="65"/>
    </row>
    <row r="1489" spans="1:14" ht="15" customHeight="1" x14ac:dyDescent="0.2">
      <c r="A1489" s="188"/>
      <c r="C1489" s="189"/>
      <c r="E1489" s="190"/>
      <c r="G1489" s="70"/>
      <c r="H1489" s="70"/>
      <c r="J1489" s="70"/>
      <c r="L1489" s="71"/>
      <c r="N1489" s="65"/>
    </row>
    <row r="1490" spans="1:14" ht="15" customHeight="1" x14ac:dyDescent="0.2">
      <c r="A1490" s="188"/>
      <c r="C1490" s="189"/>
      <c r="E1490" s="190"/>
      <c r="G1490" s="70"/>
      <c r="H1490" s="70"/>
      <c r="J1490" s="70"/>
      <c r="L1490" s="71"/>
      <c r="N1490" s="65"/>
    </row>
    <row r="1491" spans="1:14" ht="15" customHeight="1" x14ac:dyDescent="0.2">
      <c r="A1491" s="188"/>
      <c r="C1491" s="189"/>
      <c r="E1491" s="190"/>
      <c r="G1491" s="70"/>
      <c r="H1491" s="70"/>
      <c r="J1491" s="70"/>
      <c r="L1491" s="71"/>
      <c r="N1491" s="65"/>
    </row>
    <row r="1492" spans="1:14" ht="15" customHeight="1" x14ac:dyDescent="0.2">
      <c r="A1492" s="188"/>
      <c r="C1492" s="189"/>
      <c r="E1492" s="190"/>
      <c r="G1492" s="70"/>
      <c r="H1492" s="70"/>
      <c r="J1492" s="70"/>
      <c r="L1492" s="71"/>
      <c r="N1492" s="65"/>
    </row>
    <row r="1493" spans="1:14" ht="15" customHeight="1" x14ac:dyDescent="0.2">
      <c r="A1493" s="188"/>
      <c r="C1493" s="189"/>
      <c r="E1493" s="190"/>
      <c r="G1493" s="70"/>
      <c r="H1493" s="70"/>
      <c r="J1493" s="70"/>
      <c r="L1493" s="71"/>
      <c r="N1493" s="65"/>
    </row>
    <row r="1494" spans="1:14" ht="15" customHeight="1" x14ac:dyDescent="0.2">
      <c r="A1494" s="188"/>
      <c r="C1494" s="189"/>
      <c r="E1494" s="190"/>
      <c r="G1494" s="70"/>
      <c r="H1494" s="70"/>
      <c r="J1494" s="70"/>
      <c r="L1494" s="71"/>
      <c r="N1494" s="65"/>
    </row>
    <row r="1495" spans="1:14" ht="15" customHeight="1" x14ac:dyDescent="0.2">
      <c r="A1495" s="188"/>
      <c r="C1495" s="189"/>
      <c r="E1495" s="190"/>
      <c r="G1495" s="70"/>
      <c r="H1495" s="70"/>
      <c r="J1495" s="70"/>
      <c r="L1495" s="71"/>
      <c r="N1495" s="65"/>
    </row>
    <row r="1496" spans="1:14" ht="15" customHeight="1" x14ac:dyDescent="0.2">
      <c r="A1496" s="188"/>
      <c r="C1496" s="189"/>
      <c r="E1496" s="190"/>
      <c r="G1496" s="70"/>
      <c r="H1496" s="70"/>
      <c r="J1496" s="70"/>
      <c r="L1496" s="71"/>
      <c r="N1496" s="65"/>
    </row>
    <row r="1497" spans="1:14" ht="15" customHeight="1" x14ac:dyDescent="0.2">
      <c r="A1497" s="188"/>
      <c r="C1497" s="189"/>
      <c r="E1497" s="190"/>
      <c r="G1497" s="70"/>
      <c r="H1497" s="70"/>
      <c r="J1497" s="70"/>
      <c r="L1497" s="71"/>
      <c r="N1497" s="65"/>
    </row>
    <row r="1498" spans="1:14" ht="15" customHeight="1" x14ac:dyDescent="0.2">
      <c r="A1498" s="188"/>
      <c r="C1498" s="189"/>
      <c r="E1498" s="190"/>
      <c r="G1498" s="70"/>
      <c r="H1498" s="70"/>
      <c r="J1498" s="70"/>
      <c r="L1498" s="71"/>
      <c r="N1498" s="65"/>
    </row>
    <row r="1499" spans="1:14" ht="15" customHeight="1" x14ac:dyDescent="0.2">
      <c r="A1499" s="188"/>
      <c r="C1499" s="189"/>
      <c r="E1499" s="190"/>
      <c r="G1499" s="70"/>
      <c r="H1499" s="70"/>
      <c r="J1499" s="70"/>
      <c r="L1499" s="71"/>
      <c r="N1499" s="65"/>
    </row>
    <row r="1500" spans="1:14" ht="15" customHeight="1" x14ac:dyDescent="0.2">
      <c r="A1500" s="188"/>
      <c r="C1500" s="189"/>
      <c r="E1500" s="190"/>
      <c r="G1500" s="70"/>
      <c r="H1500" s="70"/>
      <c r="J1500" s="70"/>
      <c r="L1500" s="71"/>
      <c r="N1500" s="65"/>
    </row>
    <row r="1501" spans="1:14" ht="15" customHeight="1" x14ac:dyDescent="0.2">
      <c r="A1501" s="188"/>
      <c r="C1501" s="189"/>
      <c r="E1501" s="190"/>
      <c r="G1501" s="70"/>
      <c r="H1501" s="70"/>
      <c r="J1501" s="70"/>
      <c r="L1501" s="71"/>
      <c r="N1501" s="65"/>
    </row>
    <row r="1502" spans="1:14" ht="15" customHeight="1" x14ac:dyDescent="0.2">
      <c r="A1502" s="188"/>
      <c r="C1502" s="189"/>
      <c r="E1502" s="190"/>
      <c r="G1502" s="70"/>
      <c r="H1502" s="70"/>
      <c r="J1502" s="70"/>
      <c r="L1502" s="71"/>
      <c r="N1502" s="65"/>
    </row>
    <row r="1503" spans="1:14" ht="15" customHeight="1" x14ac:dyDescent="0.2">
      <c r="A1503" s="188"/>
      <c r="C1503" s="189"/>
      <c r="E1503" s="190"/>
      <c r="G1503" s="70"/>
      <c r="H1503" s="70"/>
      <c r="J1503" s="70"/>
      <c r="L1503" s="71"/>
      <c r="N1503" s="65"/>
    </row>
    <row r="1504" spans="1:14" ht="15" customHeight="1" x14ac:dyDescent="0.2">
      <c r="A1504" s="188"/>
      <c r="C1504" s="189"/>
      <c r="E1504" s="190"/>
      <c r="G1504" s="70"/>
      <c r="H1504" s="70"/>
      <c r="J1504" s="70"/>
      <c r="L1504" s="71"/>
      <c r="N1504" s="65"/>
    </row>
    <row r="1505" spans="1:14" ht="15" customHeight="1" x14ac:dyDescent="0.2">
      <c r="A1505" s="188"/>
      <c r="C1505" s="189"/>
      <c r="E1505" s="190"/>
      <c r="G1505" s="70"/>
      <c r="H1505" s="70"/>
      <c r="J1505" s="70"/>
      <c r="L1505" s="71"/>
      <c r="N1505" s="65"/>
    </row>
    <row r="1506" spans="1:14" ht="15" customHeight="1" x14ac:dyDescent="0.2">
      <c r="A1506" s="188"/>
      <c r="C1506" s="189"/>
      <c r="E1506" s="190"/>
      <c r="G1506" s="70"/>
      <c r="H1506" s="70"/>
      <c r="J1506" s="70"/>
      <c r="L1506" s="71"/>
      <c r="N1506" s="65"/>
    </row>
    <row r="1507" spans="1:14" ht="15" customHeight="1" x14ac:dyDescent="0.2">
      <c r="A1507" s="188"/>
      <c r="C1507" s="189"/>
      <c r="E1507" s="190"/>
      <c r="G1507" s="70"/>
      <c r="H1507" s="70"/>
      <c r="J1507" s="70"/>
      <c r="L1507" s="71"/>
      <c r="N1507" s="65"/>
    </row>
    <row r="1508" spans="1:14" ht="15" customHeight="1" x14ac:dyDescent="0.2">
      <c r="A1508" s="188"/>
      <c r="C1508" s="189"/>
      <c r="E1508" s="190"/>
      <c r="G1508" s="70"/>
      <c r="H1508" s="70"/>
      <c r="J1508" s="70"/>
      <c r="L1508" s="71"/>
      <c r="N1508" s="65"/>
    </row>
    <row r="1509" spans="1:14" ht="15" customHeight="1" x14ac:dyDescent="0.2">
      <c r="A1509" s="188"/>
      <c r="C1509" s="189"/>
      <c r="E1509" s="190"/>
      <c r="G1509" s="70"/>
      <c r="H1509" s="70"/>
      <c r="J1509" s="70"/>
      <c r="L1509" s="71"/>
      <c r="N1509" s="65"/>
    </row>
    <row r="1510" spans="1:14" ht="15" customHeight="1" x14ac:dyDescent="0.2">
      <c r="A1510" s="188"/>
      <c r="C1510" s="189"/>
      <c r="E1510" s="190"/>
      <c r="G1510" s="70"/>
      <c r="H1510" s="70"/>
      <c r="J1510" s="70"/>
      <c r="L1510" s="71"/>
      <c r="N1510" s="65"/>
    </row>
    <row r="1511" spans="1:14" ht="15" customHeight="1" x14ac:dyDescent="0.2">
      <c r="A1511" s="188"/>
      <c r="C1511" s="189"/>
      <c r="E1511" s="190"/>
      <c r="G1511" s="70"/>
      <c r="H1511" s="70"/>
      <c r="J1511" s="70"/>
      <c r="L1511" s="71"/>
      <c r="N1511" s="65"/>
    </row>
    <row r="1512" spans="1:14" ht="15" customHeight="1" x14ac:dyDescent="0.2">
      <c r="A1512" s="188"/>
      <c r="C1512" s="189"/>
      <c r="E1512" s="190"/>
      <c r="G1512" s="70"/>
      <c r="H1512" s="70"/>
      <c r="J1512" s="70"/>
      <c r="L1512" s="71"/>
      <c r="N1512" s="65"/>
    </row>
    <row r="1513" spans="1:14" ht="15" customHeight="1" x14ac:dyDescent="0.2">
      <c r="A1513" s="188"/>
      <c r="C1513" s="189"/>
      <c r="E1513" s="190"/>
      <c r="G1513" s="70"/>
      <c r="H1513" s="70"/>
      <c r="J1513" s="70"/>
      <c r="L1513" s="71"/>
      <c r="N1513" s="65"/>
    </row>
    <row r="1514" spans="1:14" ht="15" customHeight="1" x14ac:dyDescent="0.2">
      <c r="A1514" s="188"/>
      <c r="C1514" s="189"/>
      <c r="E1514" s="190"/>
      <c r="G1514" s="70"/>
      <c r="H1514" s="70"/>
      <c r="J1514" s="70"/>
      <c r="L1514" s="71"/>
      <c r="N1514" s="65"/>
    </row>
    <row r="1515" spans="1:14" ht="15" customHeight="1" x14ac:dyDescent="0.2">
      <c r="A1515" s="188"/>
      <c r="C1515" s="189"/>
      <c r="E1515" s="190"/>
      <c r="G1515" s="70"/>
      <c r="H1515" s="70"/>
      <c r="J1515" s="70"/>
      <c r="L1515" s="71"/>
      <c r="N1515" s="65"/>
    </row>
    <row r="1516" spans="1:14" ht="15" customHeight="1" x14ac:dyDescent="0.2">
      <c r="A1516" s="188"/>
      <c r="C1516" s="189"/>
      <c r="E1516" s="190"/>
      <c r="G1516" s="70"/>
      <c r="H1516" s="70"/>
      <c r="J1516" s="70"/>
      <c r="L1516" s="71"/>
      <c r="N1516" s="65"/>
    </row>
    <row r="1517" spans="1:14" ht="15" customHeight="1" x14ac:dyDescent="0.2">
      <c r="A1517" s="188"/>
      <c r="C1517" s="189"/>
      <c r="E1517" s="190"/>
      <c r="G1517" s="70"/>
      <c r="H1517" s="70"/>
      <c r="J1517" s="70"/>
      <c r="L1517" s="71"/>
      <c r="N1517" s="65"/>
    </row>
    <row r="1518" spans="1:14" ht="15" customHeight="1" x14ac:dyDescent="0.2">
      <c r="A1518" s="188"/>
      <c r="C1518" s="189"/>
      <c r="E1518" s="190"/>
      <c r="G1518" s="70"/>
      <c r="H1518" s="70"/>
      <c r="J1518" s="70"/>
      <c r="L1518" s="71"/>
      <c r="N1518" s="65"/>
    </row>
    <row r="1519" spans="1:14" ht="15" customHeight="1" x14ac:dyDescent="0.2">
      <c r="A1519" s="188"/>
      <c r="C1519" s="189"/>
      <c r="E1519" s="190"/>
      <c r="G1519" s="70"/>
      <c r="H1519" s="70"/>
      <c r="J1519" s="70"/>
      <c r="L1519" s="71"/>
      <c r="N1519" s="65"/>
    </row>
    <row r="1520" spans="1:14" ht="15" customHeight="1" x14ac:dyDescent="0.2">
      <c r="A1520" s="188"/>
      <c r="C1520" s="189"/>
      <c r="E1520" s="190"/>
      <c r="G1520" s="70"/>
      <c r="H1520" s="70"/>
      <c r="J1520" s="70"/>
      <c r="L1520" s="71"/>
      <c r="N1520" s="65"/>
    </row>
    <row r="1521" spans="1:14" ht="15" customHeight="1" x14ac:dyDescent="0.2">
      <c r="A1521" s="188"/>
      <c r="C1521" s="189"/>
      <c r="E1521" s="190"/>
      <c r="G1521" s="70"/>
      <c r="H1521" s="70"/>
      <c r="J1521" s="70"/>
      <c r="L1521" s="71"/>
      <c r="N1521" s="65"/>
    </row>
    <row r="1522" spans="1:14" ht="15" customHeight="1" x14ac:dyDescent="0.2">
      <c r="A1522" s="188"/>
      <c r="C1522" s="189"/>
      <c r="E1522" s="190"/>
      <c r="G1522" s="70"/>
      <c r="H1522" s="70"/>
      <c r="J1522" s="70"/>
      <c r="L1522" s="71"/>
      <c r="N1522" s="65"/>
    </row>
    <row r="1523" spans="1:14" ht="15" customHeight="1" x14ac:dyDescent="0.2">
      <c r="A1523" s="188"/>
      <c r="C1523" s="189"/>
      <c r="E1523" s="190"/>
      <c r="G1523" s="70"/>
      <c r="H1523" s="70"/>
      <c r="J1523" s="70"/>
      <c r="L1523" s="71"/>
      <c r="N1523" s="65"/>
    </row>
    <row r="1524" spans="1:14" ht="15" customHeight="1" x14ac:dyDescent="0.2">
      <c r="A1524" s="188"/>
      <c r="C1524" s="189"/>
      <c r="E1524" s="190"/>
      <c r="G1524" s="70"/>
      <c r="H1524" s="70"/>
      <c r="J1524" s="70"/>
      <c r="L1524" s="71"/>
      <c r="N1524" s="65"/>
    </row>
    <row r="1525" spans="1:14" ht="15" customHeight="1" x14ac:dyDescent="0.2">
      <c r="A1525" s="188"/>
      <c r="C1525" s="189"/>
      <c r="E1525" s="190"/>
      <c r="G1525" s="70"/>
      <c r="H1525" s="70"/>
      <c r="J1525" s="70"/>
      <c r="L1525" s="71"/>
      <c r="N1525" s="65"/>
    </row>
    <row r="1526" spans="1:14" ht="15" customHeight="1" x14ac:dyDescent="0.2">
      <c r="A1526" s="188"/>
      <c r="C1526" s="189"/>
      <c r="E1526" s="190"/>
      <c r="G1526" s="70"/>
      <c r="H1526" s="70"/>
      <c r="J1526" s="70"/>
      <c r="L1526" s="71"/>
      <c r="N1526" s="65"/>
    </row>
    <row r="1527" spans="1:14" ht="15" customHeight="1" x14ac:dyDescent="0.2">
      <c r="A1527" s="188"/>
      <c r="C1527" s="189"/>
      <c r="E1527" s="190"/>
      <c r="G1527" s="70"/>
      <c r="H1527" s="70"/>
      <c r="J1527" s="70"/>
      <c r="L1527" s="71"/>
      <c r="N1527" s="65"/>
    </row>
    <row r="1528" spans="1:14" ht="15" customHeight="1" x14ac:dyDescent="0.2">
      <c r="A1528" s="188"/>
      <c r="C1528" s="189"/>
      <c r="E1528" s="190"/>
      <c r="G1528" s="70"/>
      <c r="H1528" s="70"/>
      <c r="J1528" s="70"/>
      <c r="L1528" s="71"/>
      <c r="N1528" s="65"/>
    </row>
    <row r="1529" spans="1:14" ht="15" customHeight="1" x14ac:dyDescent="0.2">
      <c r="A1529" s="188"/>
      <c r="C1529" s="189"/>
      <c r="E1529" s="190"/>
      <c r="G1529" s="70"/>
      <c r="H1529" s="70"/>
      <c r="J1529" s="70"/>
      <c r="L1529" s="71"/>
      <c r="N1529" s="65"/>
    </row>
    <row r="1530" spans="1:14" ht="15" customHeight="1" x14ac:dyDescent="0.2">
      <c r="A1530" s="188"/>
      <c r="C1530" s="189"/>
      <c r="E1530" s="190"/>
      <c r="G1530" s="70"/>
      <c r="H1530" s="70"/>
      <c r="J1530" s="70"/>
      <c r="L1530" s="71"/>
      <c r="N1530" s="65"/>
    </row>
    <row r="1531" spans="1:14" ht="15" customHeight="1" x14ac:dyDescent="0.2">
      <c r="A1531" s="188"/>
      <c r="C1531" s="189"/>
      <c r="E1531" s="190"/>
      <c r="G1531" s="70"/>
      <c r="H1531" s="70"/>
      <c r="J1531" s="70"/>
      <c r="L1531" s="71"/>
      <c r="N1531" s="65"/>
    </row>
    <row r="1532" spans="1:14" ht="15" customHeight="1" x14ac:dyDescent="0.2">
      <c r="A1532" s="188"/>
      <c r="C1532" s="189"/>
      <c r="E1532" s="190"/>
      <c r="G1532" s="70"/>
      <c r="H1532" s="70"/>
      <c r="J1532" s="70"/>
      <c r="L1532" s="71"/>
      <c r="N1532" s="65"/>
    </row>
    <row r="1533" spans="1:14" ht="15" customHeight="1" x14ac:dyDescent="0.2">
      <c r="A1533" s="188"/>
      <c r="C1533" s="189"/>
      <c r="E1533" s="190"/>
      <c r="G1533" s="70"/>
      <c r="H1533" s="70"/>
      <c r="J1533" s="70"/>
      <c r="L1533" s="71"/>
      <c r="N1533" s="65"/>
    </row>
    <row r="1534" spans="1:14" ht="15" customHeight="1" x14ac:dyDescent="0.2">
      <c r="A1534" s="188"/>
      <c r="C1534" s="189"/>
      <c r="E1534" s="190"/>
      <c r="G1534" s="70"/>
      <c r="H1534" s="70"/>
      <c r="J1534" s="70"/>
      <c r="L1534" s="71"/>
      <c r="N1534" s="65"/>
    </row>
    <row r="1535" spans="1:14" ht="15" customHeight="1" x14ac:dyDescent="0.2">
      <c r="A1535" s="188"/>
      <c r="C1535" s="189"/>
      <c r="E1535" s="190"/>
      <c r="G1535" s="70"/>
      <c r="H1535" s="70"/>
      <c r="J1535" s="70"/>
      <c r="L1535" s="71"/>
      <c r="N1535" s="65"/>
    </row>
    <row r="1536" spans="1:14" ht="15" customHeight="1" x14ac:dyDescent="0.2">
      <c r="A1536" s="188"/>
      <c r="C1536" s="189"/>
      <c r="E1536" s="190"/>
      <c r="G1536" s="70"/>
      <c r="H1536" s="70"/>
      <c r="J1536" s="70"/>
      <c r="L1536" s="71"/>
      <c r="N1536" s="65"/>
    </row>
    <row r="1537" spans="1:14" ht="15" customHeight="1" x14ac:dyDescent="0.2">
      <c r="A1537" s="188"/>
      <c r="C1537" s="189"/>
      <c r="E1537" s="190"/>
      <c r="G1537" s="70"/>
      <c r="H1537" s="70"/>
      <c r="J1537" s="70"/>
      <c r="L1537" s="71"/>
      <c r="N1537" s="65"/>
    </row>
    <row r="1538" spans="1:14" ht="15" customHeight="1" x14ac:dyDescent="0.2">
      <c r="A1538" s="188"/>
      <c r="C1538" s="189"/>
      <c r="E1538" s="190"/>
      <c r="G1538" s="70"/>
      <c r="H1538" s="70"/>
      <c r="J1538" s="70"/>
      <c r="L1538" s="71"/>
      <c r="N1538" s="65"/>
    </row>
    <row r="1539" spans="1:14" ht="15" customHeight="1" x14ac:dyDescent="0.2">
      <c r="A1539" s="188"/>
      <c r="C1539" s="189"/>
      <c r="E1539" s="190"/>
      <c r="G1539" s="70"/>
      <c r="H1539" s="70"/>
      <c r="J1539" s="70"/>
      <c r="L1539" s="71"/>
      <c r="N1539" s="65"/>
    </row>
    <row r="1540" spans="1:14" ht="15" customHeight="1" x14ac:dyDescent="0.2">
      <c r="A1540" s="188"/>
      <c r="C1540" s="189"/>
      <c r="E1540" s="190"/>
      <c r="G1540" s="70"/>
      <c r="H1540" s="70"/>
      <c r="J1540" s="70"/>
      <c r="L1540" s="71"/>
      <c r="N1540" s="65"/>
    </row>
    <row r="1541" spans="1:14" ht="15" customHeight="1" x14ac:dyDescent="0.2">
      <c r="A1541" s="188"/>
      <c r="C1541" s="189"/>
      <c r="E1541" s="190"/>
      <c r="G1541" s="70"/>
      <c r="H1541" s="70"/>
      <c r="J1541" s="70"/>
      <c r="L1541" s="71"/>
      <c r="N1541" s="65"/>
    </row>
    <row r="1542" spans="1:14" ht="15" customHeight="1" x14ac:dyDescent="0.2">
      <c r="A1542" s="188"/>
      <c r="C1542" s="189"/>
      <c r="E1542" s="190"/>
      <c r="G1542" s="70"/>
      <c r="H1542" s="70"/>
      <c r="J1542" s="70"/>
      <c r="L1542" s="71"/>
      <c r="N1542" s="65"/>
    </row>
    <row r="1543" spans="1:14" ht="15" customHeight="1" x14ac:dyDescent="0.2">
      <c r="A1543" s="188"/>
      <c r="C1543" s="189"/>
      <c r="E1543" s="190"/>
      <c r="G1543" s="70"/>
      <c r="H1543" s="70"/>
      <c r="J1543" s="70"/>
      <c r="L1543" s="71"/>
      <c r="N1543" s="65"/>
    </row>
    <row r="1544" spans="1:14" ht="15" customHeight="1" x14ac:dyDescent="0.2">
      <c r="A1544" s="188"/>
      <c r="C1544" s="189"/>
      <c r="E1544" s="190"/>
      <c r="G1544" s="70"/>
      <c r="H1544" s="70"/>
      <c r="J1544" s="70"/>
      <c r="L1544" s="71"/>
      <c r="N1544" s="65"/>
    </row>
    <row r="1545" spans="1:14" ht="15" customHeight="1" x14ac:dyDescent="0.2">
      <c r="A1545" s="188"/>
      <c r="C1545" s="189"/>
      <c r="E1545" s="190"/>
      <c r="G1545" s="70"/>
      <c r="H1545" s="70"/>
      <c r="J1545" s="70"/>
      <c r="L1545" s="71"/>
      <c r="N1545" s="65"/>
    </row>
    <row r="1546" spans="1:14" ht="15" customHeight="1" x14ac:dyDescent="0.2">
      <c r="A1546" s="188"/>
      <c r="C1546" s="189"/>
      <c r="E1546" s="190"/>
      <c r="G1546" s="70"/>
      <c r="H1546" s="70"/>
      <c r="J1546" s="70"/>
      <c r="L1546" s="71"/>
      <c r="N1546" s="65"/>
    </row>
    <row r="1547" spans="1:14" ht="15" customHeight="1" x14ac:dyDescent="0.2">
      <c r="A1547" s="188"/>
      <c r="C1547" s="189"/>
      <c r="E1547" s="190"/>
      <c r="G1547" s="70"/>
      <c r="H1547" s="70"/>
      <c r="J1547" s="70"/>
      <c r="L1547" s="71"/>
      <c r="N1547" s="65"/>
    </row>
    <row r="1548" spans="1:14" ht="15" customHeight="1" x14ac:dyDescent="0.2">
      <c r="A1548" s="188"/>
      <c r="C1548" s="189"/>
      <c r="E1548" s="190"/>
      <c r="G1548" s="70"/>
      <c r="H1548" s="70"/>
      <c r="J1548" s="70"/>
      <c r="L1548" s="71"/>
      <c r="N1548" s="65"/>
    </row>
    <row r="1549" spans="1:14" ht="15" customHeight="1" x14ac:dyDescent="0.2">
      <c r="A1549" s="188"/>
      <c r="C1549" s="189"/>
      <c r="E1549" s="190"/>
      <c r="G1549" s="70"/>
      <c r="H1549" s="70"/>
      <c r="J1549" s="70"/>
      <c r="L1549" s="71"/>
      <c r="N1549" s="65"/>
    </row>
    <row r="1550" spans="1:14" ht="15" customHeight="1" x14ac:dyDescent="0.2">
      <c r="A1550" s="188"/>
      <c r="C1550" s="189"/>
      <c r="E1550" s="190"/>
      <c r="G1550" s="70"/>
      <c r="H1550" s="70"/>
      <c r="J1550" s="70"/>
      <c r="L1550" s="71"/>
      <c r="N1550" s="65"/>
    </row>
    <row r="1551" spans="1:14" ht="15" customHeight="1" x14ac:dyDescent="0.2">
      <c r="A1551" s="188"/>
      <c r="C1551" s="189"/>
      <c r="E1551" s="190"/>
      <c r="G1551" s="70"/>
      <c r="H1551" s="70"/>
      <c r="J1551" s="70"/>
      <c r="L1551" s="71"/>
      <c r="N1551" s="65"/>
    </row>
    <row r="1552" spans="1:14" ht="15" customHeight="1" x14ac:dyDescent="0.2">
      <c r="A1552" s="188"/>
      <c r="C1552" s="189"/>
      <c r="E1552" s="190"/>
      <c r="G1552" s="70"/>
      <c r="H1552" s="70"/>
      <c r="J1552" s="70"/>
      <c r="L1552" s="71"/>
      <c r="N1552" s="65"/>
    </row>
    <row r="1553" spans="1:14" ht="15" customHeight="1" x14ac:dyDescent="0.2">
      <c r="A1553" s="188"/>
      <c r="C1553" s="189"/>
      <c r="E1553" s="190"/>
      <c r="G1553" s="70"/>
      <c r="H1553" s="70"/>
      <c r="J1553" s="70"/>
      <c r="L1553" s="71"/>
      <c r="N1553" s="65"/>
    </row>
    <row r="1554" spans="1:14" ht="15" customHeight="1" x14ac:dyDescent="0.2">
      <c r="A1554" s="188"/>
      <c r="C1554" s="189"/>
      <c r="E1554" s="190"/>
      <c r="G1554" s="70"/>
      <c r="H1554" s="70"/>
      <c r="J1554" s="70"/>
      <c r="L1554" s="71"/>
      <c r="N1554" s="65"/>
    </row>
    <row r="1555" spans="1:14" ht="15" customHeight="1" x14ac:dyDescent="0.2">
      <c r="A1555" s="188"/>
      <c r="C1555" s="189"/>
      <c r="E1555" s="190"/>
      <c r="G1555" s="70"/>
      <c r="H1555" s="70"/>
      <c r="J1555" s="70"/>
      <c r="L1555" s="71"/>
      <c r="N1555" s="65"/>
    </row>
    <row r="1556" spans="1:14" ht="15" customHeight="1" x14ac:dyDescent="0.2">
      <c r="A1556" s="188"/>
      <c r="C1556" s="189"/>
      <c r="E1556" s="190"/>
      <c r="G1556" s="70"/>
      <c r="H1556" s="70"/>
      <c r="J1556" s="70"/>
      <c r="L1556" s="71"/>
      <c r="N1556" s="65"/>
    </row>
    <row r="1557" spans="1:14" ht="15" customHeight="1" x14ac:dyDescent="0.2">
      <c r="A1557" s="188"/>
      <c r="C1557" s="189"/>
      <c r="E1557" s="190"/>
      <c r="G1557" s="70"/>
      <c r="H1557" s="70"/>
      <c r="J1557" s="70"/>
      <c r="L1557" s="71"/>
      <c r="N1557" s="65"/>
    </row>
    <row r="1558" spans="1:14" ht="15" customHeight="1" x14ac:dyDescent="0.2">
      <c r="A1558" s="188"/>
      <c r="C1558" s="189"/>
      <c r="E1558" s="190"/>
      <c r="G1558" s="70"/>
      <c r="H1558" s="70"/>
      <c r="J1558" s="70"/>
      <c r="L1558" s="71"/>
      <c r="N1558" s="65"/>
    </row>
    <row r="1559" spans="1:14" ht="15" customHeight="1" x14ac:dyDescent="0.2">
      <c r="A1559" s="188"/>
      <c r="C1559" s="189"/>
      <c r="E1559" s="190"/>
      <c r="G1559" s="70"/>
      <c r="H1559" s="70"/>
      <c r="J1559" s="70"/>
      <c r="L1559" s="71"/>
      <c r="N1559" s="65"/>
    </row>
    <row r="1560" spans="1:14" ht="15" customHeight="1" x14ac:dyDescent="0.2">
      <c r="A1560" s="188"/>
      <c r="C1560" s="189"/>
      <c r="E1560" s="190"/>
      <c r="G1560" s="70"/>
      <c r="H1560" s="70"/>
      <c r="J1560" s="70"/>
      <c r="L1560" s="71"/>
      <c r="N1560" s="65"/>
    </row>
    <row r="1561" spans="1:14" ht="15" customHeight="1" x14ac:dyDescent="0.2">
      <c r="A1561" s="188"/>
      <c r="C1561" s="189"/>
      <c r="E1561" s="190"/>
      <c r="F1561" s="193">
        <f>SUM(F1562:F1575)</f>
        <v>0</v>
      </c>
      <c r="G1561" s="70"/>
      <c r="H1561" s="70"/>
      <c r="J1561" s="70"/>
      <c r="L1561" s="71"/>
      <c r="N1561" s="65"/>
    </row>
    <row r="1562" spans="1:14" ht="15" customHeight="1" x14ac:dyDescent="0.2">
      <c r="A1562" s="188"/>
      <c r="C1562" s="189"/>
      <c r="E1562" s="190"/>
      <c r="G1562" s="70"/>
      <c r="H1562" s="70"/>
      <c r="J1562" s="70"/>
      <c r="L1562" s="71"/>
      <c r="N1562" s="65"/>
    </row>
    <row r="1563" spans="1:14" ht="15" customHeight="1" x14ac:dyDescent="0.2">
      <c r="A1563" s="188"/>
      <c r="C1563" s="189"/>
      <c r="E1563" s="190"/>
      <c r="G1563" s="70"/>
      <c r="H1563" s="70"/>
      <c r="J1563" s="70"/>
      <c r="L1563" s="71"/>
      <c r="N1563" s="65"/>
    </row>
    <row r="1564" spans="1:14" ht="15" customHeight="1" x14ac:dyDescent="0.2">
      <c r="A1564" s="188"/>
      <c r="C1564" s="189"/>
      <c r="E1564" s="190"/>
      <c r="G1564" s="70"/>
      <c r="H1564" s="70"/>
      <c r="J1564" s="70"/>
      <c r="L1564" s="71"/>
      <c r="N1564" s="65"/>
    </row>
    <row r="1565" spans="1:14" ht="15" customHeight="1" x14ac:dyDescent="0.2">
      <c r="A1565" s="188"/>
      <c r="C1565" s="189"/>
      <c r="E1565" s="190"/>
      <c r="G1565" s="70"/>
      <c r="H1565" s="70"/>
      <c r="J1565" s="70"/>
      <c r="L1565" s="71"/>
      <c r="N1565" s="65"/>
    </row>
    <row r="1566" spans="1:14" ht="15" customHeight="1" x14ac:dyDescent="0.2">
      <c r="A1566" s="188"/>
      <c r="C1566" s="189"/>
      <c r="E1566" s="190"/>
      <c r="G1566" s="70"/>
      <c r="H1566" s="70"/>
      <c r="J1566" s="70"/>
      <c r="L1566" s="71"/>
      <c r="N1566" s="65"/>
    </row>
    <row r="1567" spans="1:14" ht="15" customHeight="1" x14ac:dyDescent="0.2">
      <c r="A1567" s="188"/>
      <c r="C1567" s="189"/>
      <c r="E1567" s="190"/>
      <c r="G1567" s="70"/>
      <c r="H1567" s="70"/>
      <c r="J1567" s="70"/>
      <c r="L1567" s="71"/>
      <c r="N1567" s="65"/>
    </row>
    <row r="1568" spans="1:14" ht="15" customHeight="1" x14ac:dyDescent="0.2">
      <c r="A1568" s="188"/>
      <c r="C1568" s="189"/>
      <c r="E1568" s="190"/>
      <c r="G1568" s="70"/>
      <c r="H1568" s="70"/>
      <c r="J1568" s="70"/>
      <c r="L1568" s="71"/>
      <c r="N1568" s="65"/>
    </row>
    <row r="1569" spans="1:14" ht="15" customHeight="1" x14ac:dyDescent="0.2">
      <c r="A1569" s="188"/>
      <c r="C1569" s="189"/>
      <c r="E1569" s="190"/>
      <c r="G1569" s="70"/>
      <c r="H1569" s="70"/>
      <c r="J1569" s="70"/>
      <c r="L1569" s="71"/>
      <c r="N1569" s="65"/>
    </row>
    <row r="1570" spans="1:14" ht="15" customHeight="1" x14ac:dyDescent="0.2">
      <c r="A1570" s="188"/>
      <c r="C1570" s="189"/>
      <c r="E1570" s="190"/>
      <c r="G1570" s="70"/>
      <c r="H1570" s="70"/>
      <c r="J1570" s="70"/>
      <c r="L1570" s="71"/>
      <c r="N1570" s="65"/>
    </row>
    <row r="1571" spans="1:14" ht="15" customHeight="1" x14ac:dyDescent="0.2">
      <c r="A1571" s="188"/>
      <c r="C1571" s="189"/>
      <c r="E1571" s="190"/>
      <c r="G1571" s="70"/>
      <c r="H1571" s="70"/>
      <c r="J1571" s="70"/>
      <c r="L1571" s="71"/>
      <c r="N1571" s="65"/>
    </row>
    <row r="1572" spans="1:14" ht="15" customHeight="1" x14ac:dyDescent="0.2">
      <c r="A1572" s="188"/>
      <c r="C1572" s="189"/>
      <c r="E1572" s="190"/>
      <c r="G1572" s="70"/>
      <c r="H1572" s="70"/>
      <c r="J1572" s="70"/>
      <c r="L1572" s="71"/>
      <c r="N1572" s="65"/>
    </row>
    <row r="1573" spans="1:14" ht="15" customHeight="1" x14ac:dyDescent="0.2">
      <c r="A1573" s="188"/>
      <c r="C1573" s="189"/>
      <c r="E1573" s="190"/>
      <c r="G1573" s="70"/>
      <c r="H1573" s="70"/>
      <c r="J1573" s="70"/>
      <c r="L1573" s="71"/>
      <c r="N1573" s="65"/>
    </row>
    <row r="1574" spans="1:14" ht="15" customHeight="1" x14ac:dyDescent="0.2">
      <c r="A1574" s="188"/>
      <c r="C1574" s="189"/>
      <c r="E1574" s="190"/>
      <c r="G1574" s="70"/>
      <c r="H1574" s="70"/>
      <c r="J1574" s="70"/>
      <c r="L1574" s="71"/>
      <c r="N1574" s="65"/>
    </row>
    <row r="1575" spans="1:14" ht="15" customHeight="1" x14ac:dyDescent="0.2">
      <c r="A1575" s="188"/>
      <c r="C1575" s="189"/>
      <c r="E1575" s="190"/>
      <c r="G1575" s="70"/>
      <c r="H1575" s="70"/>
      <c r="J1575" s="70"/>
      <c r="L1575" s="71"/>
      <c r="N1575" s="65"/>
    </row>
    <row r="1576" spans="1:14" ht="15" customHeight="1" x14ac:dyDescent="0.2">
      <c r="A1576" s="188"/>
      <c r="C1576" s="189"/>
      <c r="E1576" s="190"/>
      <c r="G1576" s="70"/>
      <c r="H1576" s="70"/>
      <c r="J1576" s="70"/>
      <c r="L1576" s="71"/>
      <c r="N1576" s="65"/>
    </row>
    <row r="1577" spans="1:14" ht="15" customHeight="1" x14ac:dyDescent="0.2">
      <c r="A1577" s="188"/>
      <c r="C1577" s="189"/>
      <c r="E1577" s="190"/>
      <c r="G1577" s="70"/>
      <c r="H1577" s="70"/>
      <c r="J1577" s="70"/>
      <c r="L1577" s="71"/>
      <c r="N1577" s="65"/>
    </row>
    <row r="1578" spans="1:14" ht="15" customHeight="1" x14ac:dyDescent="0.2">
      <c r="A1578" s="188"/>
      <c r="C1578" s="189"/>
      <c r="E1578" s="190"/>
      <c r="G1578" s="70"/>
      <c r="H1578" s="70"/>
      <c r="J1578" s="70"/>
      <c r="L1578" s="71"/>
      <c r="N1578" s="65"/>
    </row>
    <row r="1579" spans="1:14" ht="15" customHeight="1" x14ac:dyDescent="0.2">
      <c r="A1579" s="188"/>
      <c r="C1579" s="189"/>
      <c r="E1579" s="190"/>
      <c r="G1579" s="70"/>
      <c r="H1579" s="70"/>
      <c r="J1579" s="70"/>
      <c r="L1579" s="71"/>
      <c r="N1579" s="65"/>
    </row>
    <row r="1580" spans="1:14" ht="15" customHeight="1" x14ac:dyDescent="0.2">
      <c r="A1580" s="188"/>
      <c r="C1580" s="189"/>
      <c r="E1580" s="190"/>
      <c r="G1580" s="70"/>
      <c r="H1580" s="70"/>
      <c r="J1580" s="70"/>
      <c r="L1580" s="71"/>
      <c r="N1580" s="65"/>
    </row>
    <row r="1581" spans="1:14" ht="15" customHeight="1" x14ac:dyDescent="0.2">
      <c r="A1581" s="188"/>
      <c r="C1581" s="189"/>
      <c r="E1581" s="190"/>
      <c r="G1581" s="70"/>
      <c r="H1581" s="70"/>
      <c r="J1581" s="70"/>
      <c r="L1581" s="71"/>
      <c r="N1581" s="65"/>
    </row>
    <row r="1582" spans="1:14" ht="15" customHeight="1" x14ac:dyDescent="0.2">
      <c r="A1582" s="188"/>
      <c r="C1582" s="189"/>
      <c r="E1582" s="190"/>
      <c r="G1582" s="70"/>
      <c r="H1582" s="70"/>
      <c r="J1582" s="70"/>
      <c r="L1582" s="71"/>
      <c r="N1582" s="65"/>
    </row>
    <row r="1583" spans="1:14" ht="15" customHeight="1" x14ac:dyDescent="0.2">
      <c r="A1583" s="188"/>
      <c r="C1583" s="189"/>
      <c r="E1583" s="190"/>
      <c r="G1583" s="70"/>
      <c r="H1583" s="70"/>
      <c r="J1583" s="70"/>
      <c r="L1583" s="71"/>
      <c r="N1583" s="65"/>
    </row>
    <row r="1584" spans="1:14" ht="15" customHeight="1" x14ac:dyDescent="0.2">
      <c r="A1584" s="188"/>
      <c r="C1584" s="189"/>
      <c r="E1584" s="190"/>
      <c r="G1584" s="70"/>
      <c r="H1584" s="70"/>
      <c r="J1584" s="70"/>
      <c r="L1584" s="71"/>
      <c r="N1584" s="65"/>
    </row>
    <row r="1585" spans="1:14" ht="15" customHeight="1" x14ac:dyDescent="0.2">
      <c r="A1585" s="188"/>
      <c r="C1585" s="189"/>
      <c r="E1585" s="190"/>
      <c r="G1585" s="70"/>
      <c r="H1585" s="70"/>
      <c r="J1585" s="70"/>
      <c r="L1585" s="71"/>
      <c r="N1585" s="65"/>
    </row>
    <row r="1586" spans="1:14" ht="15" customHeight="1" x14ac:dyDescent="0.2">
      <c r="A1586" s="188"/>
      <c r="C1586" s="189"/>
      <c r="E1586" s="190"/>
      <c r="G1586" s="70"/>
      <c r="H1586" s="70"/>
      <c r="J1586" s="70"/>
      <c r="L1586" s="71"/>
      <c r="N1586" s="65"/>
    </row>
    <row r="1587" spans="1:14" ht="15" customHeight="1" x14ac:dyDescent="0.2">
      <c r="A1587" s="188"/>
      <c r="C1587" s="189"/>
      <c r="E1587" s="190"/>
      <c r="G1587" s="70"/>
      <c r="H1587" s="70"/>
      <c r="J1587" s="70"/>
      <c r="L1587" s="71"/>
      <c r="N1587" s="65"/>
    </row>
    <row r="1588" spans="1:14" ht="15" customHeight="1" x14ac:dyDescent="0.2">
      <c r="A1588" s="188"/>
      <c r="C1588" s="189"/>
      <c r="E1588" s="190"/>
      <c r="G1588" s="70"/>
      <c r="H1588" s="70"/>
      <c r="J1588" s="70"/>
      <c r="L1588" s="71"/>
      <c r="N1588" s="65"/>
    </row>
    <row r="1589" spans="1:14" ht="15" customHeight="1" x14ac:dyDescent="0.2">
      <c r="A1589" s="188"/>
      <c r="C1589" s="189"/>
      <c r="E1589" s="190"/>
      <c r="G1589" s="70"/>
      <c r="H1589" s="70"/>
      <c r="J1589" s="70"/>
      <c r="L1589" s="71"/>
      <c r="N1589" s="65"/>
    </row>
    <row r="1590" spans="1:14" ht="15" customHeight="1" x14ac:dyDescent="0.2">
      <c r="A1590" s="188"/>
      <c r="C1590" s="189"/>
      <c r="E1590" s="190"/>
      <c r="G1590" s="70"/>
      <c r="H1590" s="70"/>
      <c r="J1590" s="70"/>
      <c r="L1590" s="71"/>
      <c r="N1590" s="65"/>
    </row>
    <row r="1591" spans="1:14" ht="15" customHeight="1" x14ac:dyDescent="0.2">
      <c r="A1591" s="188"/>
      <c r="C1591" s="189"/>
      <c r="E1591" s="190"/>
      <c r="G1591" s="70"/>
      <c r="H1591" s="70"/>
      <c r="J1591" s="70"/>
      <c r="L1591" s="71"/>
      <c r="N1591" s="65"/>
    </row>
    <row r="1592" spans="1:14" ht="15" customHeight="1" x14ac:dyDescent="0.2">
      <c r="A1592" s="188"/>
      <c r="C1592" s="189"/>
      <c r="E1592" s="190"/>
      <c r="G1592" s="70"/>
      <c r="H1592" s="70"/>
      <c r="J1592" s="70"/>
      <c r="L1592" s="71"/>
      <c r="N1592" s="65"/>
    </row>
    <row r="1593" spans="1:14" ht="15" customHeight="1" x14ac:dyDescent="0.2">
      <c r="A1593" s="188"/>
      <c r="C1593" s="189"/>
      <c r="E1593" s="190"/>
      <c r="G1593" s="70"/>
      <c r="H1593" s="70"/>
      <c r="J1593" s="70"/>
      <c r="L1593" s="71"/>
      <c r="N1593" s="65"/>
    </row>
    <row r="1594" spans="1:14" ht="15" customHeight="1" x14ac:dyDescent="0.2">
      <c r="A1594" s="188"/>
      <c r="C1594" s="189"/>
      <c r="E1594" s="190"/>
      <c r="G1594" s="70"/>
      <c r="H1594" s="70"/>
      <c r="J1594" s="70"/>
      <c r="L1594" s="71"/>
      <c r="N1594" s="65"/>
    </row>
    <row r="1595" spans="1:14" ht="15" customHeight="1" x14ac:dyDescent="0.2">
      <c r="A1595" s="188"/>
      <c r="C1595" s="189"/>
      <c r="E1595" s="190"/>
      <c r="G1595" s="70"/>
      <c r="H1595" s="70"/>
      <c r="J1595" s="70"/>
      <c r="L1595" s="71"/>
      <c r="N1595" s="65"/>
    </row>
    <row r="1596" spans="1:14" ht="15" customHeight="1" x14ac:dyDescent="0.2">
      <c r="A1596" s="188"/>
      <c r="C1596" s="189"/>
      <c r="E1596" s="190"/>
      <c r="G1596" s="70"/>
      <c r="H1596" s="70"/>
      <c r="J1596" s="70"/>
      <c r="L1596" s="71"/>
      <c r="N1596" s="65"/>
    </row>
    <row r="1597" spans="1:14" ht="15" customHeight="1" x14ac:dyDescent="0.2">
      <c r="A1597" s="188"/>
      <c r="C1597" s="189"/>
      <c r="E1597" s="190"/>
      <c r="G1597" s="70"/>
      <c r="H1597" s="70"/>
      <c r="J1597" s="70"/>
      <c r="L1597" s="71"/>
      <c r="N1597" s="65"/>
    </row>
    <row r="1598" spans="1:14" ht="15" customHeight="1" x14ac:dyDescent="0.2">
      <c r="A1598" s="188"/>
      <c r="C1598" s="189"/>
      <c r="E1598" s="190"/>
      <c r="G1598" s="70"/>
      <c r="H1598" s="70"/>
      <c r="J1598" s="70"/>
      <c r="L1598" s="71"/>
      <c r="N1598" s="65"/>
    </row>
    <row r="1599" spans="1:14" ht="15" customHeight="1" x14ac:dyDescent="0.2">
      <c r="A1599" s="188"/>
      <c r="C1599" s="189"/>
      <c r="E1599" s="190"/>
      <c r="G1599" s="70"/>
      <c r="H1599" s="70"/>
      <c r="J1599" s="70"/>
      <c r="L1599" s="71"/>
      <c r="N1599" s="65"/>
    </row>
    <row r="1600" spans="1:14" ht="15" customHeight="1" x14ac:dyDescent="0.2">
      <c r="A1600" s="188"/>
      <c r="C1600" s="189"/>
      <c r="E1600" s="190"/>
      <c r="G1600" s="70"/>
      <c r="H1600" s="70"/>
      <c r="J1600" s="70"/>
      <c r="L1600" s="71"/>
      <c r="N1600" s="65"/>
    </row>
    <row r="1601" spans="1:14" ht="15" customHeight="1" x14ac:dyDescent="0.2">
      <c r="A1601" s="188"/>
      <c r="C1601" s="189"/>
      <c r="E1601" s="190"/>
      <c r="G1601" s="70"/>
      <c r="H1601" s="70"/>
      <c r="J1601" s="70"/>
      <c r="L1601" s="71"/>
      <c r="N1601" s="65"/>
    </row>
    <row r="1602" spans="1:14" ht="15" customHeight="1" x14ac:dyDescent="0.2">
      <c r="A1602" s="188"/>
      <c r="C1602" s="189"/>
      <c r="E1602" s="190"/>
      <c r="G1602" s="70"/>
      <c r="H1602" s="70"/>
      <c r="J1602" s="70"/>
      <c r="L1602" s="71"/>
      <c r="N1602" s="65"/>
    </row>
    <row r="1603" spans="1:14" ht="15" customHeight="1" x14ac:dyDescent="0.2">
      <c r="A1603" s="188"/>
      <c r="C1603" s="189"/>
      <c r="E1603" s="190"/>
      <c r="G1603" s="70"/>
      <c r="H1603" s="70"/>
      <c r="J1603" s="70"/>
      <c r="L1603" s="71"/>
      <c r="N1603" s="65"/>
    </row>
    <row r="1604" spans="1:14" ht="15" customHeight="1" x14ac:dyDescent="0.2">
      <c r="A1604" s="188"/>
      <c r="C1604" s="189"/>
      <c r="E1604" s="190"/>
      <c r="G1604" s="70"/>
      <c r="H1604" s="70"/>
      <c r="J1604" s="70"/>
      <c r="L1604" s="71"/>
      <c r="N1604" s="65"/>
    </row>
    <row r="1605" spans="1:14" ht="15" customHeight="1" x14ac:dyDescent="0.2">
      <c r="A1605" s="188"/>
      <c r="C1605" s="189"/>
      <c r="E1605" s="190"/>
      <c r="G1605" s="70"/>
      <c r="H1605" s="70"/>
      <c r="J1605" s="70"/>
      <c r="L1605" s="71"/>
      <c r="N1605" s="65"/>
    </row>
    <row r="1606" spans="1:14" ht="15" customHeight="1" x14ac:dyDescent="0.2">
      <c r="A1606" s="188"/>
      <c r="C1606" s="189"/>
      <c r="E1606" s="190"/>
      <c r="G1606" s="70"/>
      <c r="H1606" s="70"/>
      <c r="J1606" s="70"/>
      <c r="L1606" s="71"/>
      <c r="N1606" s="65"/>
    </row>
    <row r="1607" spans="1:14" ht="15" customHeight="1" x14ac:dyDescent="0.2">
      <c r="A1607" s="188"/>
      <c r="C1607" s="189"/>
      <c r="E1607" s="190"/>
      <c r="G1607" s="70"/>
      <c r="H1607" s="70"/>
      <c r="J1607" s="70"/>
      <c r="L1607" s="71"/>
      <c r="N1607" s="65"/>
    </row>
    <row r="1608" spans="1:14" ht="15" customHeight="1" x14ac:dyDescent="0.2">
      <c r="A1608" s="188"/>
      <c r="C1608" s="189"/>
      <c r="E1608" s="190"/>
      <c r="G1608" s="70"/>
      <c r="H1608" s="70"/>
      <c r="J1608" s="70"/>
      <c r="L1608" s="71"/>
      <c r="N1608" s="65"/>
    </row>
    <row r="1609" spans="1:14" ht="15" customHeight="1" x14ac:dyDescent="0.2">
      <c r="A1609" s="188"/>
      <c r="C1609" s="189"/>
      <c r="E1609" s="190"/>
      <c r="G1609" s="70"/>
      <c r="H1609" s="70"/>
      <c r="J1609" s="70"/>
      <c r="L1609" s="71"/>
      <c r="N1609" s="65"/>
    </row>
    <row r="1610" spans="1:14" ht="15" customHeight="1" x14ac:dyDescent="0.2">
      <c r="A1610" s="188"/>
      <c r="C1610" s="189"/>
      <c r="E1610" s="190"/>
      <c r="G1610" s="70"/>
      <c r="H1610" s="70"/>
      <c r="J1610" s="70"/>
      <c r="L1610" s="71"/>
      <c r="N1610" s="65"/>
    </row>
    <row r="1611" spans="1:14" ht="15" customHeight="1" x14ac:dyDescent="0.2">
      <c r="A1611" s="188"/>
      <c r="C1611" s="189"/>
      <c r="E1611" s="190"/>
      <c r="G1611" s="70"/>
      <c r="H1611" s="70"/>
      <c r="J1611" s="70"/>
      <c r="L1611" s="71"/>
      <c r="N1611" s="65"/>
    </row>
    <row r="1612" spans="1:14" ht="15" customHeight="1" x14ac:dyDescent="0.2">
      <c r="A1612" s="188"/>
      <c r="C1612" s="189"/>
      <c r="E1612" s="190"/>
      <c r="G1612" s="70"/>
      <c r="H1612" s="70"/>
      <c r="J1612" s="70"/>
      <c r="L1612" s="71"/>
      <c r="N1612" s="65"/>
    </row>
    <row r="1613" spans="1:14" ht="15" customHeight="1" x14ac:dyDescent="0.2">
      <c r="A1613" s="188"/>
      <c r="C1613" s="189"/>
      <c r="E1613" s="190"/>
      <c r="G1613" s="70"/>
      <c r="H1613" s="70"/>
      <c r="J1613" s="70"/>
      <c r="L1613" s="71"/>
      <c r="N1613" s="65"/>
    </row>
    <row r="1614" spans="1:14" ht="15" customHeight="1" x14ac:dyDescent="0.2">
      <c r="A1614" s="188"/>
      <c r="C1614" s="189"/>
      <c r="E1614" s="190"/>
      <c r="G1614" s="70"/>
      <c r="H1614" s="70"/>
      <c r="J1614" s="70"/>
      <c r="L1614" s="71"/>
      <c r="N1614" s="65"/>
    </row>
    <row r="1615" spans="1:14" ht="15" customHeight="1" x14ac:dyDescent="0.2">
      <c r="A1615" s="188"/>
      <c r="C1615" s="189"/>
      <c r="E1615" s="190"/>
      <c r="G1615" s="70"/>
      <c r="H1615" s="70"/>
      <c r="J1615" s="70"/>
      <c r="L1615" s="71"/>
      <c r="N1615" s="65"/>
    </row>
    <row r="1616" spans="1:14" ht="15" customHeight="1" x14ac:dyDescent="0.2">
      <c r="A1616" s="188"/>
      <c r="C1616" s="189"/>
      <c r="E1616" s="190"/>
      <c r="G1616" s="70"/>
      <c r="H1616" s="70"/>
      <c r="J1616" s="70"/>
      <c r="L1616" s="71"/>
      <c r="N1616" s="65"/>
    </row>
    <row r="1617" spans="1:14" ht="15" customHeight="1" x14ac:dyDescent="0.2">
      <c r="A1617" s="188"/>
      <c r="C1617" s="189"/>
      <c r="E1617" s="190"/>
      <c r="G1617" s="70"/>
      <c r="H1617" s="70"/>
      <c r="J1617" s="70"/>
      <c r="L1617" s="71"/>
      <c r="N1617" s="65"/>
    </row>
    <row r="1618" spans="1:14" ht="15" customHeight="1" x14ac:dyDescent="0.2">
      <c r="A1618" s="188"/>
      <c r="C1618" s="189"/>
      <c r="E1618" s="190"/>
      <c r="G1618" s="70"/>
      <c r="H1618" s="70"/>
      <c r="J1618" s="70"/>
      <c r="L1618" s="71"/>
      <c r="N1618" s="65"/>
    </row>
    <row r="1619" spans="1:14" ht="15" customHeight="1" x14ac:dyDescent="0.2">
      <c r="A1619" s="188"/>
      <c r="C1619" s="189"/>
      <c r="E1619" s="190"/>
      <c r="G1619" s="70"/>
      <c r="H1619" s="70"/>
      <c r="J1619" s="70"/>
      <c r="L1619" s="71"/>
      <c r="N1619" s="65"/>
    </row>
    <row r="1620" spans="1:14" ht="15" customHeight="1" x14ac:dyDescent="0.2">
      <c r="A1620" s="188"/>
      <c r="C1620" s="189"/>
      <c r="E1620" s="190"/>
      <c r="G1620" s="70"/>
      <c r="H1620" s="70"/>
      <c r="J1620" s="70"/>
      <c r="L1620" s="71"/>
      <c r="N1620" s="65"/>
    </row>
    <row r="1621" spans="1:14" ht="15" customHeight="1" x14ac:dyDescent="0.2">
      <c r="A1621" s="188"/>
      <c r="C1621" s="189"/>
      <c r="E1621" s="190"/>
      <c r="G1621" s="70"/>
      <c r="H1621" s="70"/>
      <c r="J1621" s="70"/>
      <c r="L1621" s="71"/>
      <c r="N1621" s="65"/>
    </row>
    <row r="1622" spans="1:14" ht="15" customHeight="1" x14ac:dyDescent="0.2">
      <c r="A1622" s="188"/>
      <c r="C1622" s="189"/>
      <c r="E1622" s="190"/>
      <c r="G1622" s="70"/>
      <c r="H1622" s="70"/>
      <c r="J1622" s="70"/>
      <c r="L1622" s="71"/>
      <c r="N1622" s="65"/>
    </row>
    <row r="1623" spans="1:14" ht="15" customHeight="1" x14ac:dyDescent="0.2">
      <c r="A1623" s="188"/>
      <c r="C1623" s="189"/>
      <c r="E1623" s="190"/>
      <c r="G1623" s="70"/>
      <c r="H1623" s="70"/>
      <c r="J1623" s="70"/>
      <c r="L1623" s="71"/>
      <c r="N1623" s="65"/>
    </row>
    <row r="1624" spans="1:14" ht="15" customHeight="1" x14ac:dyDescent="0.2">
      <c r="A1624" s="188"/>
      <c r="C1624" s="189"/>
      <c r="E1624" s="190"/>
      <c r="G1624" s="70"/>
      <c r="H1624" s="70"/>
      <c r="J1624" s="70"/>
      <c r="L1624" s="71"/>
      <c r="N1624" s="65"/>
    </row>
    <row r="1625" spans="1:14" ht="15" customHeight="1" x14ac:dyDescent="0.2">
      <c r="A1625" s="188"/>
      <c r="C1625" s="189"/>
      <c r="E1625" s="190"/>
      <c r="G1625" s="70"/>
      <c r="H1625" s="70"/>
      <c r="J1625" s="70"/>
      <c r="L1625" s="71"/>
      <c r="N1625" s="65"/>
    </row>
    <row r="1626" spans="1:14" ht="15" customHeight="1" x14ac:dyDescent="0.2">
      <c r="A1626" s="188"/>
      <c r="C1626" s="189"/>
      <c r="E1626" s="190"/>
      <c r="G1626" s="70"/>
      <c r="H1626" s="70"/>
      <c r="J1626" s="70"/>
      <c r="L1626" s="71"/>
      <c r="N1626" s="65"/>
    </row>
    <row r="1627" spans="1:14" ht="15" customHeight="1" x14ac:dyDescent="0.2">
      <c r="A1627" s="188"/>
      <c r="C1627" s="189"/>
      <c r="E1627" s="190"/>
      <c r="G1627" s="70"/>
      <c r="H1627" s="70"/>
      <c r="J1627" s="70"/>
      <c r="L1627" s="71"/>
      <c r="N1627" s="65"/>
    </row>
    <row r="1628" spans="1:14" ht="15" customHeight="1" x14ac:dyDescent="0.2">
      <c r="A1628" s="188"/>
      <c r="C1628" s="189"/>
      <c r="E1628" s="190"/>
      <c r="G1628" s="70"/>
      <c r="H1628" s="70"/>
      <c r="J1628" s="70"/>
      <c r="L1628" s="71"/>
      <c r="N1628" s="65"/>
    </row>
    <row r="1629" spans="1:14" ht="15" customHeight="1" x14ac:dyDescent="0.2">
      <c r="A1629" s="188"/>
      <c r="C1629" s="189"/>
      <c r="E1629" s="190"/>
      <c r="G1629" s="70"/>
      <c r="H1629" s="70"/>
      <c r="J1629" s="70"/>
      <c r="L1629" s="71"/>
      <c r="N1629" s="65"/>
    </row>
    <row r="1630" spans="1:14" ht="15" customHeight="1" x14ac:dyDescent="0.2">
      <c r="A1630" s="188"/>
      <c r="C1630" s="189"/>
      <c r="E1630" s="190"/>
      <c r="G1630" s="70"/>
      <c r="H1630" s="70"/>
      <c r="J1630" s="70"/>
      <c r="L1630" s="71"/>
      <c r="N1630" s="65"/>
    </row>
    <row r="1631" spans="1:14" ht="15" customHeight="1" x14ac:dyDescent="0.2">
      <c r="A1631" s="188"/>
      <c r="C1631" s="189"/>
      <c r="E1631" s="190"/>
      <c r="G1631" s="70"/>
      <c r="H1631" s="70"/>
      <c r="J1631" s="70"/>
      <c r="L1631" s="71"/>
      <c r="N1631" s="65"/>
    </row>
    <row r="1632" spans="1:14" ht="15" customHeight="1" x14ac:dyDescent="0.2">
      <c r="A1632" s="188"/>
      <c r="C1632" s="189"/>
      <c r="E1632" s="190"/>
      <c r="G1632" s="70"/>
      <c r="H1632" s="70"/>
      <c r="J1632" s="70"/>
      <c r="L1632" s="71"/>
      <c r="N1632" s="65"/>
    </row>
    <row r="1633" spans="1:14" ht="15" customHeight="1" x14ac:dyDescent="0.2">
      <c r="A1633" s="188"/>
      <c r="C1633" s="189"/>
      <c r="E1633" s="190"/>
      <c r="G1633" s="70"/>
      <c r="H1633" s="70"/>
      <c r="J1633" s="70"/>
      <c r="L1633" s="71"/>
      <c r="N1633" s="65"/>
    </row>
    <row r="1634" spans="1:14" ht="15" customHeight="1" x14ac:dyDescent="0.2">
      <c r="A1634" s="188"/>
      <c r="C1634" s="189"/>
      <c r="E1634" s="190"/>
      <c r="G1634" s="70"/>
      <c r="H1634" s="70"/>
      <c r="J1634" s="70"/>
      <c r="L1634" s="71"/>
      <c r="N1634" s="65"/>
    </row>
    <row r="1635" spans="1:14" ht="15" customHeight="1" x14ac:dyDescent="0.2">
      <c r="A1635" s="188"/>
      <c r="C1635" s="189"/>
      <c r="E1635" s="190"/>
      <c r="G1635" s="70"/>
      <c r="H1635" s="70"/>
      <c r="J1635" s="70"/>
      <c r="L1635" s="71"/>
      <c r="N1635" s="65"/>
    </row>
    <row r="1636" spans="1:14" ht="15" customHeight="1" x14ac:dyDescent="0.2">
      <c r="A1636" s="188"/>
      <c r="C1636" s="189"/>
      <c r="E1636" s="190"/>
      <c r="G1636" s="70"/>
      <c r="H1636" s="70"/>
      <c r="J1636" s="70"/>
      <c r="L1636" s="71"/>
      <c r="N1636" s="65"/>
    </row>
    <row r="1637" spans="1:14" ht="15" customHeight="1" x14ac:dyDescent="0.2">
      <c r="A1637" s="188"/>
      <c r="C1637" s="189"/>
      <c r="E1637" s="190"/>
      <c r="G1637" s="70"/>
      <c r="H1637" s="70"/>
      <c r="J1637" s="70"/>
      <c r="L1637" s="71"/>
      <c r="N1637" s="65"/>
    </row>
    <row r="1638" spans="1:14" ht="15" customHeight="1" x14ac:dyDescent="0.2">
      <c r="A1638" s="188"/>
      <c r="C1638" s="189"/>
      <c r="E1638" s="190"/>
      <c r="G1638" s="70"/>
      <c r="H1638" s="70"/>
      <c r="J1638" s="70"/>
      <c r="L1638" s="71"/>
      <c r="N1638" s="65"/>
    </row>
    <row r="1639" spans="1:14" ht="15" customHeight="1" x14ac:dyDescent="0.2">
      <c r="A1639" s="188"/>
      <c r="C1639" s="189"/>
      <c r="E1639" s="190"/>
      <c r="G1639" s="70"/>
      <c r="H1639" s="70"/>
      <c r="J1639" s="70"/>
      <c r="L1639" s="71"/>
      <c r="N1639" s="65"/>
    </row>
    <row r="1640" spans="1:14" ht="15" customHeight="1" x14ac:dyDescent="0.2">
      <c r="A1640" s="188"/>
      <c r="C1640" s="189"/>
      <c r="E1640" s="190"/>
      <c r="G1640" s="70"/>
      <c r="H1640" s="70"/>
      <c r="J1640" s="70"/>
      <c r="L1640" s="71"/>
      <c r="N1640" s="65"/>
    </row>
    <row r="1641" spans="1:14" ht="15" customHeight="1" x14ac:dyDescent="0.2">
      <c r="A1641" s="188"/>
      <c r="C1641" s="189"/>
      <c r="E1641" s="190"/>
      <c r="G1641" s="70"/>
      <c r="H1641" s="70"/>
      <c r="J1641" s="70"/>
      <c r="L1641" s="71"/>
      <c r="N1641" s="65"/>
    </row>
    <row r="1642" spans="1:14" ht="15" customHeight="1" x14ac:dyDescent="0.2">
      <c r="A1642" s="188"/>
      <c r="C1642" s="189"/>
      <c r="E1642" s="190"/>
      <c r="G1642" s="70"/>
      <c r="H1642" s="70"/>
      <c r="J1642" s="70"/>
      <c r="L1642" s="71"/>
      <c r="N1642" s="65"/>
    </row>
    <row r="1643" spans="1:14" ht="15" customHeight="1" x14ac:dyDescent="0.2">
      <c r="A1643" s="188"/>
      <c r="C1643" s="189"/>
      <c r="E1643" s="190"/>
      <c r="G1643" s="70"/>
      <c r="H1643" s="70"/>
      <c r="J1643" s="70"/>
      <c r="L1643" s="71"/>
      <c r="N1643" s="65"/>
    </row>
    <row r="1644" spans="1:14" ht="15" customHeight="1" x14ac:dyDescent="0.2">
      <c r="A1644" s="188"/>
      <c r="C1644" s="189"/>
      <c r="E1644" s="190"/>
      <c r="G1644" s="70"/>
      <c r="H1644" s="70"/>
      <c r="J1644" s="70"/>
      <c r="L1644" s="71"/>
      <c r="N1644" s="65"/>
    </row>
    <row r="1645" spans="1:14" ht="15" customHeight="1" x14ac:dyDescent="0.2">
      <c r="A1645" s="188"/>
      <c r="C1645" s="189"/>
      <c r="E1645" s="190"/>
      <c r="G1645" s="70"/>
      <c r="H1645" s="70"/>
      <c r="J1645" s="70"/>
      <c r="L1645" s="71"/>
      <c r="N1645" s="65"/>
    </row>
    <row r="1646" spans="1:14" ht="15" customHeight="1" x14ac:dyDescent="0.2">
      <c r="A1646" s="188"/>
      <c r="C1646" s="189"/>
      <c r="E1646" s="190"/>
      <c r="G1646" s="70"/>
      <c r="H1646" s="70"/>
      <c r="J1646" s="70"/>
      <c r="L1646" s="71"/>
      <c r="N1646" s="65"/>
    </row>
    <row r="1647" spans="1:14" ht="15" customHeight="1" x14ac:dyDescent="0.2">
      <c r="A1647" s="188"/>
      <c r="C1647" s="189"/>
      <c r="E1647" s="190"/>
      <c r="G1647" s="70"/>
      <c r="H1647" s="70"/>
      <c r="J1647" s="70"/>
      <c r="L1647" s="71"/>
      <c r="N1647" s="65"/>
    </row>
    <row r="1648" spans="1:14" ht="15" customHeight="1" x14ac:dyDescent="0.2">
      <c r="A1648" s="188"/>
      <c r="C1648" s="189"/>
      <c r="E1648" s="190"/>
      <c r="G1648" s="70"/>
      <c r="H1648" s="70"/>
      <c r="J1648" s="70"/>
      <c r="L1648" s="71"/>
      <c r="N1648" s="65"/>
    </row>
    <row r="1649" spans="1:14" ht="15" customHeight="1" x14ac:dyDescent="0.2">
      <c r="A1649" s="188"/>
      <c r="C1649" s="189"/>
      <c r="E1649" s="190"/>
      <c r="G1649" s="70"/>
      <c r="H1649" s="70"/>
      <c r="J1649" s="70"/>
      <c r="L1649" s="71"/>
      <c r="N1649" s="65"/>
    </row>
    <row r="1650" spans="1:14" ht="15" customHeight="1" x14ac:dyDescent="0.2">
      <c r="A1650" s="188"/>
      <c r="C1650" s="189"/>
      <c r="E1650" s="190"/>
      <c r="G1650" s="70"/>
      <c r="H1650" s="70"/>
      <c r="J1650" s="70"/>
      <c r="L1650" s="71"/>
      <c r="N1650" s="65"/>
    </row>
    <row r="1651" spans="1:14" ht="15" customHeight="1" x14ac:dyDescent="0.2">
      <c r="A1651" s="188"/>
      <c r="C1651" s="189"/>
      <c r="E1651" s="190"/>
      <c r="G1651" s="70"/>
      <c r="H1651" s="70"/>
      <c r="J1651" s="70"/>
      <c r="L1651" s="71"/>
      <c r="N1651" s="65"/>
    </row>
    <row r="1652" spans="1:14" ht="15" customHeight="1" x14ac:dyDescent="0.2">
      <c r="A1652" s="188"/>
      <c r="C1652" s="189"/>
      <c r="E1652" s="190"/>
      <c r="G1652" s="70"/>
      <c r="H1652" s="70"/>
      <c r="J1652" s="70"/>
      <c r="L1652" s="71"/>
      <c r="N1652" s="65"/>
    </row>
    <row r="1653" spans="1:14" ht="15" customHeight="1" x14ac:dyDescent="0.2">
      <c r="A1653" s="188"/>
      <c r="C1653" s="189"/>
      <c r="E1653" s="190"/>
      <c r="G1653" s="70"/>
      <c r="H1653" s="70"/>
      <c r="J1653" s="70"/>
      <c r="L1653" s="71"/>
      <c r="N1653" s="65"/>
    </row>
    <row r="1654" spans="1:14" ht="15" customHeight="1" x14ac:dyDescent="0.2">
      <c r="A1654" s="188"/>
      <c r="C1654" s="189"/>
      <c r="E1654" s="190"/>
      <c r="G1654" s="70"/>
      <c r="H1654" s="70"/>
      <c r="J1654" s="70"/>
      <c r="L1654" s="71"/>
      <c r="N1654" s="65"/>
    </row>
    <row r="1655" spans="1:14" ht="15" customHeight="1" x14ac:dyDescent="0.2">
      <c r="A1655" s="188"/>
      <c r="C1655" s="189"/>
      <c r="E1655" s="190"/>
      <c r="G1655" s="70"/>
      <c r="H1655" s="70"/>
      <c r="J1655" s="70"/>
      <c r="L1655" s="71"/>
      <c r="N1655" s="65"/>
    </row>
    <row r="1656" spans="1:14" ht="15" customHeight="1" x14ac:dyDescent="0.2">
      <c r="A1656" s="188"/>
      <c r="C1656" s="189"/>
      <c r="E1656" s="190"/>
      <c r="G1656" s="70"/>
      <c r="H1656" s="70"/>
      <c r="J1656" s="70"/>
      <c r="L1656" s="71"/>
      <c r="N1656" s="65"/>
    </row>
    <row r="1657" spans="1:14" ht="15" customHeight="1" x14ac:dyDescent="0.2">
      <c r="A1657" s="188"/>
      <c r="C1657" s="189"/>
      <c r="E1657" s="190"/>
      <c r="G1657" s="70"/>
      <c r="H1657" s="70"/>
      <c r="J1657" s="70"/>
      <c r="L1657" s="71"/>
      <c r="N1657" s="65"/>
    </row>
    <row r="1658" spans="1:14" ht="15" customHeight="1" x14ac:dyDescent="0.2">
      <c r="A1658" s="188"/>
      <c r="C1658" s="189"/>
      <c r="E1658" s="190"/>
      <c r="G1658" s="70"/>
      <c r="H1658" s="70"/>
      <c r="J1658" s="70"/>
      <c r="L1658" s="71"/>
      <c r="N1658" s="65"/>
    </row>
    <row r="1659" spans="1:14" ht="15" customHeight="1" x14ac:dyDescent="0.2">
      <c r="A1659" s="188"/>
      <c r="C1659" s="189"/>
      <c r="E1659" s="190"/>
      <c r="G1659" s="70"/>
      <c r="H1659" s="70"/>
      <c r="J1659" s="70"/>
      <c r="L1659" s="71"/>
      <c r="N1659" s="65"/>
    </row>
    <row r="1660" spans="1:14" ht="15" customHeight="1" x14ac:dyDescent="0.2">
      <c r="A1660" s="188"/>
      <c r="C1660" s="189"/>
      <c r="E1660" s="190"/>
      <c r="G1660" s="70"/>
      <c r="H1660" s="70"/>
      <c r="J1660" s="70"/>
      <c r="L1660" s="71"/>
      <c r="N1660" s="65"/>
    </row>
    <row r="1661" spans="1:14" ht="15" customHeight="1" x14ac:dyDescent="0.2">
      <c r="A1661" s="188"/>
      <c r="C1661" s="189"/>
      <c r="E1661" s="190"/>
      <c r="G1661" s="70"/>
      <c r="H1661" s="70"/>
      <c r="J1661" s="70"/>
      <c r="L1661" s="71"/>
      <c r="N1661" s="65"/>
    </row>
    <row r="1662" spans="1:14" ht="15" customHeight="1" x14ac:dyDescent="0.2">
      <c r="A1662" s="188"/>
      <c r="C1662" s="189"/>
      <c r="E1662" s="190"/>
      <c r="G1662" s="70"/>
      <c r="H1662" s="70"/>
      <c r="J1662" s="70"/>
      <c r="L1662" s="71"/>
      <c r="N1662" s="65"/>
    </row>
    <row r="1663" spans="1:14" ht="15" customHeight="1" x14ac:dyDescent="0.2">
      <c r="A1663" s="188"/>
      <c r="C1663" s="189"/>
      <c r="E1663" s="190"/>
      <c r="G1663" s="70"/>
      <c r="H1663" s="70"/>
      <c r="J1663" s="70"/>
      <c r="L1663" s="71"/>
      <c r="N1663" s="65"/>
    </row>
    <row r="1664" spans="1:14" ht="15" customHeight="1" x14ac:dyDescent="0.2">
      <c r="A1664" s="188"/>
      <c r="C1664" s="189"/>
      <c r="E1664" s="190"/>
      <c r="G1664" s="70"/>
      <c r="H1664" s="70"/>
      <c r="J1664" s="70"/>
      <c r="L1664" s="71"/>
      <c r="N1664" s="65"/>
    </row>
    <row r="1665" spans="1:14" ht="15" customHeight="1" x14ac:dyDescent="0.2">
      <c r="A1665" s="188"/>
      <c r="C1665" s="189"/>
      <c r="E1665" s="190"/>
      <c r="G1665" s="70"/>
      <c r="H1665" s="70"/>
      <c r="J1665" s="70"/>
      <c r="L1665" s="71"/>
      <c r="N1665" s="65"/>
    </row>
    <row r="1666" spans="1:14" ht="15" customHeight="1" x14ac:dyDescent="0.2">
      <c r="A1666" s="188"/>
      <c r="C1666" s="189"/>
      <c r="E1666" s="190"/>
      <c r="G1666" s="70"/>
      <c r="H1666" s="70"/>
      <c r="J1666" s="70"/>
      <c r="L1666" s="71"/>
      <c r="N1666" s="65"/>
    </row>
    <row r="1667" spans="1:14" ht="15" customHeight="1" x14ac:dyDescent="0.2">
      <c r="A1667" s="188"/>
      <c r="C1667" s="189"/>
      <c r="E1667" s="190"/>
      <c r="G1667" s="70"/>
      <c r="H1667" s="70"/>
      <c r="J1667" s="70"/>
      <c r="L1667" s="71"/>
      <c r="N1667" s="65"/>
    </row>
    <row r="1668" spans="1:14" ht="15" customHeight="1" x14ac:dyDescent="0.2">
      <c r="A1668" s="188"/>
      <c r="C1668" s="189"/>
      <c r="E1668" s="190"/>
      <c r="G1668" s="70"/>
      <c r="H1668" s="70"/>
      <c r="J1668" s="70"/>
      <c r="L1668" s="71"/>
      <c r="N1668" s="65"/>
    </row>
    <row r="1669" spans="1:14" ht="15" customHeight="1" x14ac:dyDescent="0.2">
      <c r="A1669" s="188"/>
      <c r="C1669" s="189"/>
      <c r="E1669" s="190"/>
      <c r="G1669" s="70"/>
      <c r="H1669" s="70"/>
      <c r="J1669" s="70"/>
      <c r="L1669" s="71"/>
      <c r="N1669" s="65"/>
    </row>
    <row r="1670" spans="1:14" ht="15" customHeight="1" x14ac:dyDescent="0.2">
      <c r="A1670" s="188"/>
      <c r="C1670" s="189"/>
      <c r="E1670" s="190"/>
      <c r="G1670" s="70"/>
      <c r="H1670" s="70"/>
      <c r="J1670" s="70"/>
      <c r="L1670" s="71"/>
      <c r="N1670" s="65"/>
    </row>
    <row r="1671" spans="1:14" ht="15" customHeight="1" x14ac:dyDescent="0.2">
      <c r="A1671" s="188"/>
      <c r="C1671" s="189"/>
      <c r="E1671" s="190"/>
      <c r="G1671" s="70"/>
      <c r="H1671" s="70"/>
      <c r="J1671" s="70"/>
      <c r="L1671" s="71"/>
      <c r="N1671" s="65"/>
    </row>
    <row r="1672" spans="1:14" ht="15" customHeight="1" x14ac:dyDescent="0.2">
      <c r="A1672" s="188"/>
      <c r="C1672" s="189"/>
      <c r="E1672" s="190"/>
      <c r="G1672" s="70"/>
      <c r="H1672" s="70"/>
      <c r="J1672" s="70"/>
      <c r="L1672" s="71"/>
      <c r="N1672" s="65"/>
    </row>
    <row r="1673" spans="1:14" ht="15" customHeight="1" x14ac:dyDescent="0.2">
      <c r="A1673" s="188"/>
      <c r="C1673" s="189"/>
      <c r="E1673" s="190"/>
      <c r="G1673" s="70"/>
      <c r="H1673" s="70"/>
      <c r="J1673" s="70"/>
      <c r="L1673" s="71"/>
      <c r="N1673" s="65"/>
    </row>
    <row r="1674" spans="1:14" ht="15" customHeight="1" x14ac:dyDescent="0.2">
      <c r="A1674" s="188"/>
      <c r="C1674" s="189"/>
      <c r="E1674" s="190"/>
      <c r="G1674" s="70"/>
      <c r="H1674" s="70"/>
      <c r="J1674" s="70"/>
      <c r="L1674" s="71"/>
      <c r="N1674" s="65"/>
    </row>
    <row r="1675" spans="1:14" ht="15" customHeight="1" x14ac:dyDescent="0.2">
      <c r="A1675" s="188"/>
      <c r="C1675" s="189"/>
      <c r="E1675" s="190"/>
      <c r="G1675" s="70"/>
      <c r="H1675" s="70"/>
      <c r="J1675" s="70"/>
      <c r="L1675" s="71"/>
      <c r="N1675" s="65"/>
    </row>
    <row r="1676" spans="1:14" ht="15" customHeight="1" x14ac:dyDescent="0.2">
      <c r="A1676" s="188"/>
      <c r="C1676" s="189"/>
      <c r="E1676" s="190"/>
      <c r="G1676" s="70"/>
      <c r="H1676" s="70"/>
      <c r="J1676" s="70"/>
      <c r="L1676" s="71"/>
      <c r="N1676" s="65"/>
    </row>
    <row r="1677" spans="1:14" ht="15" customHeight="1" x14ac:dyDescent="0.2">
      <c r="A1677" s="188"/>
      <c r="C1677" s="189"/>
      <c r="E1677" s="190"/>
      <c r="G1677" s="70"/>
      <c r="H1677" s="70"/>
      <c r="J1677" s="70"/>
      <c r="L1677" s="71"/>
      <c r="N1677" s="65"/>
    </row>
    <row r="1678" spans="1:14" ht="15" customHeight="1" x14ac:dyDescent="0.2">
      <c r="A1678" s="188"/>
      <c r="C1678" s="189"/>
      <c r="E1678" s="190"/>
      <c r="G1678" s="70"/>
      <c r="H1678" s="70"/>
      <c r="J1678" s="70"/>
      <c r="L1678" s="71"/>
      <c r="N1678" s="65"/>
    </row>
    <row r="1679" spans="1:14" ht="15" customHeight="1" x14ac:dyDescent="0.2">
      <c r="A1679" s="188"/>
      <c r="C1679" s="189"/>
      <c r="E1679" s="190"/>
      <c r="G1679" s="70"/>
      <c r="H1679" s="70"/>
      <c r="J1679" s="70"/>
      <c r="L1679" s="71"/>
      <c r="N1679" s="65"/>
    </row>
    <row r="1680" spans="1:14" ht="15" customHeight="1" x14ac:dyDescent="0.2">
      <c r="A1680" s="188"/>
      <c r="C1680" s="189"/>
      <c r="E1680" s="190"/>
      <c r="G1680" s="70"/>
      <c r="H1680" s="70"/>
      <c r="J1680" s="70"/>
      <c r="L1680" s="71"/>
      <c r="N1680" s="65"/>
    </row>
    <row r="1681" spans="1:14" ht="15" customHeight="1" x14ac:dyDescent="0.2">
      <c r="A1681" s="188"/>
      <c r="C1681" s="189"/>
      <c r="E1681" s="190"/>
      <c r="G1681" s="70"/>
      <c r="H1681" s="70"/>
      <c r="J1681" s="70"/>
      <c r="L1681" s="71"/>
      <c r="N1681" s="65"/>
    </row>
    <row r="1682" spans="1:14" ht="15" customHeight="1" x14ac:dyDescent="0.2">
      <c r="A1682" s="188"/>
      <c r="C1682" s="189"/>
      <c r="E1682" s="190"/>
      <c r="G1682" s="70"/>
      <c r="H1682" s="70"/>
      <c r="J1682" s="70"/>
      <c r="L1682" s="71"/>
      <c r="N1682" s="65"/>
    </row>
    <row r="1683" spans="1:14" ht="15" customHeight="1" x14ac:dyDescent="0.2">
      <c r="A1683" s="188"/>
      <c r="C1683" s="189"/>
      <c r="E1683" s="190"/>
      <c r="G1683" s="70"/>
      <c r="H1683" s="70"/>
      <c r="J1683" s="70"/>
      <c r="L1683" s="71"/>
      <c r="N1683" s="65"/>
    </row>
    <row r="1684" spans="1:14" ht="15" customHeight="1" x14ac:dyDescent="0.2">
      <c r="A1684" s="188"/>
      <c r="C1684" s="189"/>
      <c r="E1684" s="190"/>
      <c r="G1684" s="70"/>
      <c r="H1684" s="70"/>
      <c r="J1684" s="70"/>
      <c r="L1684" s="71"/>
      <c r="N1684" s="65"/>
    </row>
    <row r="1685" spans="1:14" ht="15" customHeight="1" x14ac:dyDescent="0.2">
      <c r="A1685" s="188"/>
      <c r="C1685" s="189"/>
      <c r="E1685" s="190"/>
      <c r="G1685" s="70"/>
      <c r="H1685" s="70"/>
      <c r="J1685" s="70"/>
      <c r="L1685" s="71"/>
      <c r="N1685" s="65"/>
    </row>
    <row r="1686" spans="1:14" ht="15" customHeight="1" x14ac:dyDescent="0.2">
      <c r="A1686" s="188"/>
      <c r="C1686" s="189"/>
      <c r="E1686" s="190"/>
      <c r="G1686" s="70"/>
      <c r="H1686" s="70"/>
      <c r="J1686" s="70"/>
      <c r="L1686" s="71"/>
      <c r="N1686" s="65"/>
    </row>
    <row r="1687" spans="1:14" ht="15" customHeight="1" x14ac:dyDescent="0.2">
      <c r="A1687" s="188"/>
      <c r="C1687" s="189"/>
      <c r="E1687" s="190"/>
      <c r="G1687" s="70"/>
      <c r="H1687" s="70"/>
      <c r="J1687" s="70"/>
      <c r="L1687" s="71"/>
      <c r="N1687" s="65"/>
    </row>
    <row r="1688" spans="1:14" ht="15" customHeight="1" x14ac:dyDescent="0.2">
      <c r="A1688" s="188"/>
      <c r="C1688" s="189"/>
      <c r="E1688" s="190"/>
      <c r="G1688" s="70"/>
      <c r="H1688" s="70"/>
      <c r="J1688" s="70"/>
      <c r="L1688" s="71"/>
      <c r="N1688" s="65"/>
    </row>
    <row r="1689" spans="1:14" ht="15" customHeight="1" x14ac:dyDescent="0.2">
      <c r="A1689" s="188"/>
      <c r="C1689" s="189"/>
      <c r="E1689" s="190"/>
      <c r="G1689" s="70"/>
      <c r="H1689" s="70"/>
      <c r="J1689" s="70"/>
      <c r="L1689" s="71"/>
      <c r="N1689" s="65"/>
    </row>
    <row r="1690" spans="1:14" ht="15" customHeight="1" x14ac:dyDescent="0.2">
      <c r="A1690" s="188"/>
      <c r="C1690" s="189"/>
      <c r="E1690" s="190"/>
      <c r="G1690" s="70"/>
      <c r="H1690" s="70"/>
      <c r="J1690" s="70"/>
      <c r="L1690" s="71"/>
      <c r="N1690" s="65"/>
    </row>
    <row r="1691" spans="1:14" ht="15" customHeight="1" x14ac:dyDescent="0.2">
      <c r="A1691" s="188"/>
      <c r="C1691" s="189"/>
      <c r="E1691" s="190"/>
      <c r="G1691" s="70"/>
      <c r="H1691" s="70"/>
      <c r="J1691" s="70"/>
      <c r="L1691" s="71"/>
      <c r="N1691" s="65"/>
    </row>
    <row r="1692" spans="1:14" ht="15" customHeight="1" x14ac:dyDescent="0.2">
      <c r="A1692" s="188"/>
      <c r="C1692" s="189"/>
      <c r="E1692" s="190"/>
      <c r="G1692" s="70"/>
      <c r="H1692" s="70"/>
      <c r="J1692" s="70"/>
      <c r="L1692" s="71"/>
      <c r="N1692" s="65"/>
    </row>
    <row r="1693" spans="1:14" ht="15" customHeight="1" x14ac:dyDescent="0.2">
      <c r="A1693" s="188"/>
      <c r="C1693" s="189"/>
      <c r="E1693" s="190"/>
      <c r="G1693" s="70"/>
      <c r="H1693" s="70"/>
      <c r="J1693" s="70"/>
      <c r="L1693" s="71"/>
      <c r="N1693" s="65"/>
    </row>
    <row r="1694" spans="1:14" ht="15" customHeight="1" x14ac:dyDescent="0.2">
      <c r="A1694" s="188"/>
      <c r="C1694" s="189"/>
      <c r="E1694" s="190"/>
      <c r="G1694" s="70"/>
      <c r="H1694" s="70"/>
      <c r="J1694" s="70"/>
      <c r="L1694" s="71"/>
      <c r="N1694" s="65"/>
    </row>
    <row r="1695" spans="1:14" ht="15" customHeight="1" x14ac:dyDescent="0.2">
      <c r="A1695" s="188"/>
      <c r="C1695" s="189"/>
      <c r="E1695" s="190"/>
      <c r="G1695" s="70"/>
      <c r="H1695" s="70"/>
      <c r="J1695" s="70"/>
      <c r="L1695" s="71"/>
      <c r="N1695" s="65"/>
    </row>
    <row r="1696" spans="1:14" ht="15" customHeight="1" x14ac:dyDescent="0.2">
      <c r="A1696" s="188"/>
      <c r="C1696" s="189"/>
      <c r="E1696" s="190"/>
      <c r="G1696" s="70"/>
      <c r="H1696" s="70"/>
      <c r="J1696" s="70"/>
      <c r="L1696" s="71"/>
      <c r="N1696" s="65"/>
    </row>
    <row r="1697" spans="1:14" ht="15" customHeight="1" x14ac:dyDescent="0.2">
      <c r="A1697" s="188"/>
      <c r="C1697" s="189"/>
      <c r="E1697" s="190"/>
      <c r="G1697" s="70"/>
      <c r="H1697" s="70"/>
      <c r="J1697" s="70"/>
      <c r="L1697" s="71"/>
      <c r="N1697" s="65"/>
    </row>
    <row r="1698" spans="1:14" ht="15" customHeight="1" x14ac:dyDescent="0.2">
      <c r="A1698" s="188"/>
      <c r="C1698" s="189"/>
      <c r="E1698" s="190"/>
      <c r="G1698" s="70"/>
      <c r="H1698" s="70"/>
      <c r="J1698" s="70"/>
      <c r="L1698" s="71"/>
      <c r="N1698" s="65"/>
    </row>
    <row r="1699" spans="1:14" ht="15" customHeight="1" x14ac:dyDescent="0.2">
      <c r="A1699" s="188"/>
      <c r="C1699" s="189"/>
      <c r="E1699" s="190"/>
      <c r="G1699" s="70"/>
      <c r="H1699" s="70"/>
      <c r="J1699" s="70"/>
      <c r="L1699" s="71"/>
      <c r="N1699" s="65"/>
    </row>
    <row r="1700" spans="1:14" ht="15" customHeight="1" x14ac:dyDescent="0.2">
      <c r="A1700" s="188"/>
      <c r="C1700" s="189"/>
      <c r="E1700" s="190"/>
      <c r="G1700" s="70"/>
      <c r="H1700" s="70"/>
      <c r="J1700" s="70"/>
      <c r="L1700" s="71"/>
      <c r="N1700" s="65"/>
    </row>
    <row r="1701" spans="1:14" ht="15" customHeight="1" x14ac:dyDescent="0.2">
      <c r="A1701" s="188"/>
      <c r="C1701" s="189"/>
      <c r="E1701" s="190"/>
      <c r="G1701" s="70"/>
      <c r="H1701" s="70"/>
      <c r="J1701" s="70"/>
      <c r="L1701" s="71"/>
      <c r="N1701" s="65"/>
    </row>
    <row r="1702" spans="1:14" ht="15" customHeight="1" x14ac:dyDescent="0.2">
      <c r="A1702" s="188"/>
      <c r="C1702" s="189"/>
      <c r="E1702" s="190"/>
      <c r="G1702" s="70"/>
      <c r="H1702" s="70"/>
      <c r="J1702" s="70"/>
      <c r="L1702" s="71"/>
      <c r="N1702" s="65"/>
    </row>
    <row r="1703" spans="1:14" ht="15" customHeight="1" x14ac:dyDescent="0.2">
      <c r="A1703" s="188"/>
      <c r="C1703" s="189"/>
      <c r="E1703" s="190"/>
      <c r="G1703" s="70"/>
      <c r="H1703" s="70"/>
      <c r="J1703" s="70"/>
      <c r="L1703" s="71"/>
      <c r="N1703" s="65"/>
    </row>
    <row r="1704" spans="1:14" ht="15" customHeight="1" x14ac:dyDescent="0.2">
      <c r="A1704" s="188"/>
      <c r="C1704" s="189"/>
      <c r="E1704" s="190"/>
      <c r="G1704" s="70"/>
      <c r="H1704" s="70"/>
      <c r="J1704" s="70"/>
      <c r="L1704" s="71"/>
      <c r="N1704" s="65"/>
    </row>
    <row r="1705" spans="1:14" ht="15" customHeight="1" x14ac:dyDescent="0.2">
      <c r="A1705" s="188"/>
      <c r="C1705" s="189"/>
      <c r="E1705" s="190"/>
      <c r="G1705" s="70"/>
      <c r="H1705" s="70"/>
      <c r="J1705" s="70"/>
      <c r="L1705" s="71"/>
      <c r="N1705" s="65"/>
    </row>
    <row r="1706" spans="1:14" ht="15" customHeight="1" x14ac:dyDescent="0.2">
      <c r="A1706" s="188"/>
      <c r="C1706" s="189"/>
      <c r="E1706" s="190"/>
      <c r="G1706" s="70"/>
      <c r="H1706" s="70"/>
      <c r="J1706" s="70"/>
      <c r="L1706" s="71"/>
      <c r="N1706" s="65"/>
    </row>
    <row r="1707" spans="1:14" ht="15" customHeight="1" x14ac:dyDescent="0.2">
      <c r="A1707" s="188"/>
      <c r="C1707" s="189"/>
      <c r="E1707" s="190"/>
      <c r="G1707" s="70"/>
      <c r="H1707" s="70"/>
      <c r="J1707" s="70"/>
      <c r="L1707" s="71"/>
      <c r="N1707" s="65"/>
    </row>
    <row r="1708" spans="1:14" ht="15" customHeight="1" x14ac:dyDescent="0.2">
      <c r="A1708" s="188"/>
      <c r="C1708" s="189"/>
      <c r="E1708" s="190"/>
      <c r="G1708" s="70"/>
      <c r="H1708" s="70"/>
      <c r="J1708" s="70"/>
      <c r="L1708" s="71"/>
      <c r="N1708" s="65"/>
    </row>
    <row r="1709" spans="1:14" ht="15" customHeight="1" x14ac:dyDescent="0.2">
      <c r="A1709" s="188"/>
      <c r="C1709" s="189"/>
      <c r="E1709" s="190"/>
      <c r="G1709" s="70"/>
      <c r="H1709" s="70"/>
      <c r="J1709" s="70"/>
      <c r="L1709" s="71"/>
      <c r="N1709" s="65"/>
    </row>
    <row r="1710" spans="1:14" ht="15" customHeight="1" x14ac:dyDescent="0.2">
      <c r="A1710" s="188"/>
      <c r="C1710" s="189"/>
      <c r="E1710" s="190"/>
      <c r="G1710" s="70"/>
      <c r="H1710" s="70"/>
      <c r="J1710" s="70"/>
      <c r="L1710" s="71"/>
      <c r="N1710" s="65"/>
    </row>
    <row r="1711" spans="1:14" ht="15" customHeight="1" x14ac:dyDescent="0.2">
      <c r="A1711" s="188"/>
      <c r="C1711" s="189"/>
      <c r="E1711" s="190"/>
      <c r="G1711" s="70"/>
      <c r="H1711" s="70"/>
      <c r="J1711" s="70"/>
      <c r="L1711" s="71"/>
      <c r="N1711" s="65"/>
    </row>
    <row r="1712" spans="1:14" ht="15" customHeight="1" x14ac:dyDescent="0.2">
      <c r="A1712" s="188"/>
      <c r="C1712" s="189"/>
      <c r="E1712" s="190"/>
      <c r="G1712" s="70"/>
      <c r="H1712" s="70"/>
      <c r="J1712" s="70"/>
      <c r="L1712" s="71"/>
      <c r="N1712" s="65"/>
    </row>
    <row r="1713" spans="1:14" ht="15" customHeight="1" x14ac:dyDescent="0.2">
      <c r="A1713" s="188"/>
      <c r="C1713" s="189"/>
      <c r="E1713" s="190"/>
      <c r="G1713" s="70"/>
      <c r="H1713" s="70"/>
      <c r="J1713" s="70"/>
      <c r="L1713" s="71"/>
      <c r="N1713" s="65"/>
    </row>
    <row r="1714" spans="1:14" ht="15" customHeight="1" x14ac:dyDescent="0.2">
      <c r="A1714" s="188"/>
      <c r="C1714" s="189"/>
      <c r="E1714" s="190"/>
      <c r="G1714" s="70"/>
      <c r="H1714" s="70"/>
      <c r="J1714" s="70"/>
      <c r="L1714" s="71"/>
      <c r="N1714" s="65"/>
    </row>
    <row r="1715" spans="1:14" ht="15" customHeight="1" x14ac:dyDescent="0.2">
      <c r="A1715" s="188"/>
      <c r="C1715" s="189"/>
      <c r="E1715" s="190"/>
      <c r="G1715" s="70"/>
      <c r="H1715" s="70"/>
      <c r="J1715" s="70"/>
      <c r="L1715" s="71"/>
      <c r="N1715" s="65"/>
    </row>
    <row r="1716" spans="1:14" ht="15" customHeight="1" x14ac:dyDescent="0.2">
      <c r="A1716" s="188"/>
      <c r="C1716" s="189"/>
      <c r="E1716" s="190"/>
      <c r="G1716" s="70"/>
      <c r="H1716" s="70"/>
      <c r="J1716" s="70"/>
      <c r="L1716" s="71"/>
      <c r="N1716" s="65"/>
    </row>
    <row r="1717" spans="1:14" ht="15" customHeight="1" x14ac:dyDescent="0.2">
      <c r="A1717" s="188"/>
      <c r="C1717" s="189"/>
      <c r="E1717" s="190"/>
      <c r="G1717" s="70"/>
      <c r="H1717" s="70"/>
      <c r="J1717" s="70"/>
      <c r="L1717" s="71"/>
      <c r="N1717" s="65"/>
    </row>
    <row r="1718" spans="1:14" ht="15" customHeight="1" x14ac:dyDescent="0.2">
      <c r="A1718" s="188"/>
      <c r="C1718" s="189"/>
      <c r="E1718" s="190"/>
      <c r="G1718" s="70"/>
      <c r="H1718" s="70"/>
      <c r="J1718" s="70"/>
      <c r="L1718" s="71"/>
      <c r="N1718" s="65"/>
    </row>
    <row r="1719" spans="1:14" ht="15" customHeight="1" x14ac:dyDescent="0.2">
      <c r="A1719" s="188"/>
      <c r="B1719" s="180"/>
      <c r="C1719" s="189"/>
      <c r="E1719" s="190"/>
      <c r="G1719" s="70"/>
      <c r="H1719" s="70"/>
      <c r="I1719" s="64"/>
      <c r="J1719" s="70"/>
      <c r="K1719" s="64"/>
      <c r="L1719" s="71"/>
      <c r="M1719" s="187"/>
      <c r="N1719" s="65"/>
    </row>
    <row r="1720" spans="1:14" ht="15" customHeight="1" x14ac:dyDescent="0.2">
      <c r="A1720" s="194"/>
      <c r="B1720" s="195"/>
      <c r="C1720" s="196"/>
      <c r="D1720" s="197"/>
      <c r="E1720" s="198"/>
      <c r="F1720" s="199"/>
      <c r="G1720" s="200"/>
      <c r="H1720" s="200"/>
      <c r="I1720" s="201"/>
      <c r="J1720" s="200"/>
      <c r="K1720" s="201"/>
      <c r="L1720" s="202"/>
      <c r="M1720" s="203"/>
      <c r="N1720" s="204"/>
    </row>
  </sheetData>
  <mergeCells count="6">
    <mergeCell ref="A1:F1"/>
    <mergeCell ref="A2:F2"/>
    <mergeCell ref="A5:A6"/>
    <mergeCell ref="B5:B6"/>
    <mergeCell ref="C5:D6"/>
    <mergeCell ref="E5:E6"/>
  </mergeCells>
  <printOptions horizontalCentered="1"/>
  <pageMargins left="0.43307086614173229" right="0.11811023622047245" top="0.23622047244094491" bottom="0.23622047244094491" header="0.15748031496062992" footer="0.15748031496062992"/>
  <pageSetup paperSize="9"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6">
    <tabColor rgb="FFFF0000"/>
  </sheetPr>
  <dimension ref="A1:EP1699"/>
  <sheetViews>
    <sheetView view="pageBreakPreview" zoomScale="90" zoomScaleNormal="85" zoomScaleSheetLayoutView="90" workbookViewId="0">
      <selection activeCell="B47" sqref="B47"/>
    </sheetView>
  </sheetViews>
  <sheetFormatPr defaultRowHeight="15" customHeight="1" x14ac:dyDescent="0.2"/>
  <cols>
    <col min="1" max="1" width="6.140625" style="205" customWidth="1"/>
    <col min="2" max="2" width="83.28515625" style="191" customWidth="1"/>
    <col min="3" max="3" width="11.28515625" style="206" customWidth="1"/>
    <col min="4" max="4" width="8.42578125" style="192" customWidth="1"/>
    <col min="5" max="5" width="14.28515625" style="183" customWidth="1"/>
    <col min="6" max="6" width="18.42578125" style="193" customWidth="1"/>
    <col min="7" max="7" width="11.5703125" style="61" hidden="1" customWidth="1"/>
    <col min="8" max="8" width="53.28515625" style="61" hidden="1" customWidth="1"/>
    <col min="9" max="10" width="0" style="61" hidden="1" customWidth="1"/>
    <col min="11" max="11" width="17.140625" style="61" hidden="1" customWidth="1"/>
    <col min="12" max="12" width="21.28515625" style="62" hidden="1" customWidth="1"/>
    <col min="13" max="13" width="14" style="62" hidden="1" customWidth="1"/>
    <col min="14" max="14" width="9.5703125" style="61" hidden="1" customWidth="1"/>
    <col min="15" max="15" width="18.42578125" style="61" customWidth="1"/>
    <col min="16" max="17" width="18.42578125" style="63" customWidth="1"/>
    <col min="18" max="18" width="9.85546875" style="64" bestFit="1" customWidth="1"/>
    <col min="19" max="146" width="9.140625" style="64"/>
    <col min="147" max="16384" width="9.140625" style="61"/>
  </cols>
  <sheetData>
    <row r="1" spans="1:146" ht="15" customHeight="1" x14ac:dyDescent="0.2">
      <c r="A1" s="2056" t="s">
        <v>2288</v>
      </c>
      <c r="B1" s="2056"/>
      <c r="C1" s="2056"/>
      <c r="D1" s="2056"/>
      <c r="E1" s="2056"/>
      <c r="F1" s="2056"/>
    </row>
    <row r="2" spans="1:146" ht="15" customHeight="1" x14ac:dyDescent="0.2">
      <c r="A2" s="2057" t="s">
        <v>1751</v>
      </c>
      <c r="B2" s="2057"/>
      <c r="C2" s="2057"/>
      <c r="D2" s="2057"/>
      <c r="E2" s="2057"/>
      <c r="F2" s="2057"/>
      <c r="N2" s="65"/>
      <c r="O2" s="64"/>
    </row>
    <row r="3" spans="1:146" ht="15" customHeight="1" x14ac:dyDescent="0.2">
      <c r="A3" s="66"/>
      <c r="B3" s="67"/>
      <c r="C3" s="67"/>
      <c r="D3" s="67"/>
      <c r="E3" s="68"/>
      <c r="F3" s="67"/>
      <c r="N3" s="65"/>
      <c r="O3" s="64"/>
    </row>
    <row r="4" spans="1:146" ht="15" customHeight="1" thickBot="1" x14ac:dyDescent="0.25">
      <c r="A4" s="66"/>
      <c r="B4" s="67"/>
      <c r="C4" s="67"/>
      <c r="D4" s="67"/>
      <c r="E4" s="68"/>
      <c r="F4" s="67"/>
      <c r="N4" s="65"/>
      <c r="O4" s="64"/>
    </row>
    <row r="5" spans="1:146" ht="15" customHeight="1" x14ac:dyDescent="0.2">
      <c r="A5" s="2058" t="s">
        <v>1</v>
      </c>
      <c r="B5" s="2060" t="s">
        <v>850</v>
      </c>
      <c r="C5" s="2062" t="s">
        <v>2</v>
      </c>
      <c r="D5" s="2062"/>
      <c r="E5" s="2064" t="s">
        <v>851</v>
      </c>
      <c r="F5" s="69" t="s">
        <v>852</v>
      </c>
      <c r="J5" s="70"/>
      <c r="L5" s="71"/>
      <c r="N5" s="65"/>
      <c r="O5" s="72"/>
      <c r="P5" s="73"/>
      <c r="Q5" s="73"/>
    </row>
    <row r="6" spans="1:146" ht="15" customHeight="1" thickBot="1" x14ac:dyDescent="0.25">
      <c r="A6" s="2066"/>
      <c r="B6" s="2067"/>
      <c r="C6" s="2068"/>
      <c r="D6" s="2068"/>
      <c r="E6" s="2069"/>
      <c r="F6" s="74" t="s">
        <v>853</v>
      </c>
      <c r="J6" s="70"/>
      <c r="L6" s="71"/>
      <c r="N6" s="65"/>
      <c r="O6" s="72"/>
      <c r="P6" s="73"/>
      <c r="Q6" s="73"/>
    </row>
    <row r="7" spans="1:146" s="80" customFormat="1" ht="15" customHeight="1" x14ac:dyDescent="0.2">
      <c r="A7" s="75"/>
      <c r="B7" s="76"/>
      <c r="C7" s="77"/>
      <c r="D7" s="78"/>
      <c r="E7" s="1768"/>
      <c r="F7" s="79"/>
      <c r="L7" s="81"/>
      <c r="M7" s="81"/>
      <c r="O7" s="72"/>
      <c r="P7" s="73"/>
      <c r="Q7" s="73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</row>
    <row r="8" spans="1:146" s="88" customFormat="1" ht="15" customHeight="1" x14ac:dyDescent="0.2">
      <c r="A8" s="83" t="s">
        <v>575</v>
      </c>
      <c r="B8" s="84" t="s">
        <v>1753</v>
      </c>
      <c r="C8" s="85">
        <f>C10+C25</f>
        <v>7</v>
      </c>
      <c r="D8" s="86" t="s">
        <v>16</v>
      </c>
      <c r="E8" s="87"/>
      <c r="F8" s="1069">
        <f>F10+F25</f>
        <v>154387177</v>
      </c>
      <c r="J8" s="89"/>
      <c r="L8" s="90"/>
      <c r="M8" s="91"/>
      <c r="N8" s="92"/>
      <c r="O8" s="387">
        <f>F8</f>
        <v>154387177</v>
      </c>
      <c r="P8" s="156" t="e">
        <f>P18+P23</f>
        <v>#REF!</v>
      </c>
      <c r="Q8" s="388" t="e">
        <f>O8-P8</f>
        <v>#REF!</v>
      </c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</row>
    <row r="9" spans="1:146" s="80" customFormat="1" ht="15" customHeight="1" x14ac:dyDescent="0.2">
      <c r="A9" s="94"/>
      <c r="B9" s="95"/>
      <c r="C9" s="96"/>
      <c r="D9" s="97"/>
      <c r="E9" s="98"/>
      <c r="F9" s="99"/>
      <c r="L9" s="81"/>
      <c r="M9" s="81"/>
      <c r="O9" s="72"/>
      <c r="P9" s="73"/>
      <c r="Q9" s="73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</row>
    <row r="10" spans="1:146" s="113" customFormat="1" ht="15" customHeight="1" x14ac:dyDescent="0.2">
      <c r="A10" s="100" t="s">
        <v>1726</v>
      </c>
      <c r="B10" s="60" t="s">
        <v>1752</v>
      </c>
      <c r="C10" s="101">
        <f>C12</f>
        <v>6</v>
      </c>
      <c r="D10" s="102" t="s">
        <v>16</v>
      </c>
      <c r="E10" s="101"/>
      <c r="F10" s="103">
        <f>F12</f>
        <v>147500000</v>
      </c>
      <c r="G10" s="104"/>
      <c r="H10" s="105" t="s">
        <v>854</v>
      </c>
      <c r="I10" s="105">
        <v>1</v>
      </c>
      <c r="J10" s="105" t="s">
        <v>16</v>
      </c>
      <c r="K10" s="105">
        <v>40000000</v>
      </c>
      <c r="L10" s="106">
        <v>40000000</v>
      </c>
      <c r="M10" s="107"/>
      <c r="N10" s="108"/>
      <c r="O10" s="109"/>
      <c r="P10" s="110"/>
      <c r="Q10" s="110"/>
      <c r="R10" s="111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</row>
    <row r="11" spans="1:146" s="125" customFormat="1" ht="15" customHeight="1" x14ac:dyDescent="0.2">
      <c r="A11" s="114"/>
      <c r="B11" s="115"/>
      <c r="C11" s="116"/>
      <c r="D11" s="117"/>
      <c r="E11" s="116"/>
      <c r="F11" s="118"/>
      <c r="G11" s="119"/>
      <c r="H11" s="120"/>
      <c r="I11" s="120"/>
      <c r="J11" s="120"/>
      <c r="K11" s="120"/>
      <c r="L11" s="116"/>
      <c r="M11" s="121"/>
      <c r="N11" s="122"/>
      <c r="O11" s="72"/>
      <c r="P11" s="73"/>
      <c r="Q11" s="73"/>
      <c r="R11" s="123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</row>
    <row r="12" spans="1:146" s="138" customFormat="1" ht="15" customHeight="1" x14ac:dyDescent="0.2">
      <c r="A12" s="126"/>
      <c r="B12" s="607" t="s">
        <v>1750</v>
      </c>
      <c r="C12" s="612">
        <f>SUM(C13:C24)</f>
        <v>6</v>
      </c>
      <c r="D12" s="610"/>
      <c r="E12" s="612"/>
      <c r="F12" s="1070">
        <f>SUM(F13:F24)</f>
        <v>147500000</v>
      </c>
      <c r="G12" s="129"/>
      <c r="H12" s="130"/>
      <c r="I12" s="130"/>
      <c r="J12" s="130"/>
      <c r="K12" s="130"/>
      <c r="L12" s="131"/>
      <c r="M12" s="132"/>
      <c r="N12" s="133"/>
      <c r="O12" s="134"/>
      <c r="Q12" s="135"/>
      <c r="R12" s="136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</row>
    <row r="13" spans="1:146" s="125" customFormat="1" ht="15" customHeight="1" x14ac:dyDescent="0.2">
      <c r="A13" s="114"/>
      <c r="B13" s="115"/>
      <c r="C13" s="116"/>
      <c r="D13" s="117"/>
      <c r="E13" s="116"/>
      <c r="F13" s="118"/>
      <c r="G13" s="119"/>
      <c r="H13" s="120"/>
      <c r="I13" s="120"/>
      <c r="J13" s="120"/>
      <c r="K13" s="120"/>
      <c r="L13" s="116"/>
      <c r="M13" s="121"/>
      <c r="N13" s="122"/>
      <c r="O13" s="72"/>
      <c r="P13" s="73"/>
      <c r="Q13" s="73"/>
      <c r="R13" s="123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</row>
    <row r="14" spans="1:146" s="137" customFormat="1" ht="15" customHeight="1" x14ac:dyDescent="0.2">
      <c r="A14" s="139">
        <v>1</v>
      </c>
      <c r="B14" s="140" t="s">
        <v>858</v>
      </c>
      <c r="C14" s="140"/>
      <c r="D14" s="140"/>
      <c r="E14" s="140"/>
      <c r="F14" s="141"/>
      <c r="G14" s="142"/>
      <c r="H14" s="143"/>
      <c r="I14" s="143"/>
      <c r="J14" s="143"/>
      <c r="K14" s="143"/>
      <c r="L14" s="144"/>
      <c r="M14" s="145"/>
      <c r="N14" s="146"/>
      <c r="O14" s="601"/>
      <c r="P14" s="214"/>
      <c r="Q14" s="214"/>
      <c r="R14" s="136"/>
    </row>
    <row r="15" spans="1:146" s="124" customFormat="1" ht="15" customHeight="1" x14ac:dyDescent="0.2">
      <c r="A15" s="114"/>
      <c r="B15" s="115" t="str">
        <f>'DEFINITIF (APBNP)'!B791</f>
        <v xml:space="preserve"> Terminal  Ponorogo Thp II</v>
      </c>
      <c r="C15" s="115">
        <f>'DEFINITIF (APBNP)'!C791</f>
        <v>1</v>
      </c>
      <c r="D15" s="115" t="str">
        <f>'DEFINITIF (APBNP)'!D791</f>
        <v>PKT</v>
      </c>
      <c r="E15" s="115">
        <f>'DEFINITIF (APBNP)'!E791</f>
        <v>27500000</v>
      </c>
      <c r="F15" s="118">
        <f>C15*E15</f>
        <v>27500000</v>
      </c>
      <c r="G15" s="147"/>
      <c r="H15" s="148"/>
      <c r="I15" s="148"/>
      <c r="J15" s="148"/>
      <c r="K15" s="148"/>
      <c r="L15" s="149"/>
      <c r="M15" s="150"/>
      <c r="N15" s="151"/>
      <c r="O15" s="228">
        <f>F15</f>
        <v>27500000</v>
      </c>
      <c r="P15" s="214"/>
      <c r="Q15" s="214"/>
      <c r="R15" s="123"/>
    </row>
    <row r="16" spans="1:146" s="124" customFormat="1" ht="15" customHeight="1" x14ac:dyDescent="0.2">
      <c r="A16" s="114"/>
      <c r="B16" s="115" t="str">
        <f>'DEFINITIF (APBNP)'!B792</f>
        <v xml:space="preserve"> Terminal Malang Tahap V selesai</v>
      </c>
      <c r="C16" s="115">
        <f>'DEFINITIF (APBNP)'!C792</f>
        <v>1</v>
      </c>
      <c r="D16" s="115" t="str">
        <f>'DEFINITIF (APBNP)'!D792</f>
        <v>PKT</v>
      </c>
      <c r="E16" s="115">
        <f>'DEFINITIF (APBNP)'!E792</f>
        <v>30000000</v>
      </c>
      <c r="F16" s="118">
        <f>C16*E16</f>
        <v>30000000</v>
      </c>
      <c r="G16" s="147"/>
      <c r="H16" s="148"/>
      <c r="I16" s="148"/>
      <c r="J16" s="148"/>
      <c r="K16" s="148"/>
      <c r="L16" s="149"/>
      <c r="M16" s="150"/>
      <c r="N16" s="151"/>
      <c r="O16" s="228">
        <f>F16</f>
        <v>30000000</v>
      </c>
      <c r="P16" s="214"/>
      <c r="Q16" s="214"/>
      <c r="R16" s="123"/>
    </row>
    <row r="17" spans="1:146" s="124" customFormat="1" ht="15" customHeight="1" x14ac:dyDescent="0.2">
      <c r="A17" s="114"/>
      <c r="B17" s="115"/>
      <c r="C17" s="115"/>
      <c r="D17" s="115"/>
      <c r="E17" s="115"/>
      <c r="F17" s="118">
        <f>C17*E17</f>
        <v>0</v>
      </c>
      <c r="G17" s="147"/>
      <c r="H17" s="148"/>
      <c r="I17" s="148"/>
      <c r="J17" s="148"/>
      <c r="K17" s="148"/>
      <c r="L17" s="149"/>
      <c r="M17" s="150"/>
      <c r="N17" s="151"/>
      <c r="O17" s="601"/>
      <c r="P17" s="214"/>
      <c r="Q17" s="214"/>
      <c r="R17" s="123"/>
    </row>
    <row r="18" spans="1:146" s="555" customFormat="1" ht="15" customHeight="1" x14ac:dyDescent="0.2">
      <c r="A18" s="152">
        <v>2</v>
      </c>
      <c r="B18" s="140" t="s">
        <v>864</v>
      </c>
      <c r="C18" s="140"/>
      <c r="D18" s="140"/>
      <c r="E18" s="140"/>
      <c r="F18" s="462"/>
      <c r="G18" s="142"/>
      <c r="H18" s="661"/>
      <c r="I18" s="661"/>
      <c r="J18" s="661"/>
      <c r="K18" s="661"/>
      <c r="L18" s="154"/>
      <c r="M18" s="557"/>
      <c r="N18" s="146"/>
      <c r="O18" s="461">
        <f>SUM(F19:F22)</f>
        <v>90000000</v>
      </c>
      <c r="P18" s="337" t="e">
        <f>'DEFINITIF (APBNP)'!#REF!</f>
        <v>#REF!</v>
      </c>
      <c r="Q18" s="337" t="e">
        <f>O18-P18</f>
        <v>#REF!</v>
      </c>
      <c r="R18" s="136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</row>
    <row r="19" spans="1:146" s="177" customFormat="1" ht="15" customHeight="1" x14ac:dyDescent="0.2">
      <c r="A19" s="158"/>
      <c r="B19" s="115" t="str">
        <f>'DEFINITIF (APBNP)'!B2818</f>
        <v>Rehabilitasi Terminal Purabaya Tahap VII (selesai)</v>
      </c>
      <c r="C19" s="115">
        <f>'DEFINITIF (APBNP)'!C2818</f>
        <v>1</v>
      </c>
      <c r="D19" s="115" t="str">
        <f>'DEFINITIF (APBNP)'!D2818</f>
        <v>PKT</v>
      </c>
      <c r="E19" s="115">
        <f>'DEFINITIF (APBNP)'!E2818</f>
        <v>20000000</v>
      </c>
      <c r="F19" s="460">
        <f>C19*E19</f>
        <v>20000000</v>
      </c>
      <c r="G19" s="147"/>
      <c r="H19" s="175"/>
      <c r="I19" s="175"/>
      <c r="J19" s="175"/>
      <c r="K19" s="175"/>
      <c r="L19" s="162"/>
      <c r="M19" s="176"/>
      <c r="N19" s="151"/>
      <c r="O19" s="601"/>
      <c r="P19" s="214"/>
      <c r="Q19" s="214"/>
      <c r="R19" s="123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</row>
    <row r="20" spans="1:146" s="177" customFormat="1" ht="15" customHeight="1" x14ac:dyDescent="0.2">
      <c r="A20" s="158"/>
      <c r="B20" s="115" t="str">
        <f>'DEFINITIF (APBNP)'!B2819</f>
        <v>Rehabilitasi Terminal Solo Tahap VII (selesai)</v>
      </c>
      <c r="C20" s="115">
        <f>'DEFINITIF (APBNP)'!C2819</f>
        <v>1</v>
      </c>
      <c r="D20" s="115" t="str">
        <f>'DEFINITIF (APBNP)'!D2819</f>
        <v>PKT</v>
      </c>
      <c r="E20" s="115">
        <f>'DEFINITIF (APBNP)'!E2819</f>
        <v>30000000</v>
      </c>
      <c r="F20" s="460">
        <f>C20*E20</f>
        <v>30000000</v>
      </c>
      <c r="G20" s="147"/>
      <c r="H20" s="175"/>
      <c r="I20" s="175"/>
      <c r="J20" s="175"/>
      <c r="K20" s="175"/>
      <c r="L20" s="162"/>
      <c r="M20" s="176"/>
      <c r="N20" s="151"/>
      <c r="O20" s="601"/>
      <c r="P20" s="214"/>
      <c r="Q20" s="214"/>
      <c r="R20" s="123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</row>
    <row r="21" spans="1:146" s="177" customFormat="1" ht="15" customHeight="1" x14ac:dyDescent="0.2">
      <c r="A21" s="158"/>
      <c r="B21" s="115" t="str">
        <f>'DEFINITIF (APBNP)'!B2820</f>
        <v>Rehabilitasi Terminal Bawen Tahap IV (selesai)</v>
      </c>
      <c r="C21" s="115">
        <f>'DEFINITIF (APBNP)'!C2820</f>
        <v>1</v>
      </c>
      <c r="D21" s="115" t="str">
        <f>'DEFINITIF (APBNP)'!D2820</f>
        <v>PKT</v>
      </c>
      <c r="E21" s="115">
        <f>'DEFINITIF (APBNP)'!E2820</f>
        <v>20000000</v>
      </c>
      <c r="F21" s="460">
        <f>C21*E21</f>
        <v>20000000</v>
      </c>
      <c r="G21" s="147"/>
      <c r="H21" s="175"/>
      <c r="I21" s="175"/>
      <c r="J21" s="175"/>
      <c r="K21" s="175"/>
      <c r="L21" s="162"/>
      <c r="M21" s="176"/>
      <c r="N21" s="151"/>
      <c r="O21" s="601"/>
      <c r="P21" s="214"/>
      <c r="Q21" s="214"/>
      <c r="R21" s="123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</row>
    <row r="22" spans="1:146" s="177" customFormat="1" ht="15" customHeight="1" x14ac:dyDescent="0.2">
      <c r="A22" s="158"/>
      <c r="B22" s="115" t="str">
        <f>'DEFINITIF (APBNP)'!B2821</f>
        <v>Rehabilitasi Terminal Cilacap Tahap II (selesai)</v>
      </c>
      <c r="C22" s="115">
        <f>'DEFINITIF (APBNP)'!C2821</f>
        <v>1</v>
      </c>
      <c r="D22" s="115" t="str">
        <f>'DEFINITIF (APBNP)'!D2821</f>
        <v>PKT</v>
      </c>
      <c r="E22" s="115">
        <f>'DEFINITIF (APBNP)'!E2821</f>
        <v>20000000</v>
      </c>
      <c r="F22" s="460">
        <f>C22*E22</f>
        <v>20000000</v>
      </c>
      <c r="G22" s="147"/>
      <c r="H22" s="175"/>
      <c r="I22" s="175"/>
      <c r="J22" s="175"/>
      <c r="K22" s="175"/>
      <c r="L22" s="162"/>
      <c r="M22" s="176"/>
      <c r="N22" s="151"/>
      <c r="O22" s="601"/>
      <c r="P22" s="214"/>
      <c r="Q22" s="214"/>
      <c r="R22" s="123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24"/>
      <c r="EL22" s="124"/>
      <c r="EM22" s="124"/>
      <c r="EN22" s="124"/>
      <c r="EO22" s="124"/>
      <c r="EP22" s="124"/>
    </row>
    <row r="23" spans="1:146" s="177" customFormat="1" ht="15" customHeight="1" x14ac:dyDescent="0.2">
      <c r="A23" s="158"/>
      <c r="B23" s="115"/>
      <c r="C23" s="115"/>
      <c r="D23" s="115"/>
      <c r="E23" s="115"/>
      <c r="F23" s="460"/>
      <c r="G23" s="147"/>
      <c r="H23" s="148"/>
      <c r="I23" s="148"/>
      <c r="J23" s="148"/>
      <c r="K23" s="148"/>
      <c r="L23" s="149"/>
      <c r="M23" s="176"/>
      <c r="N23" s="151"/>
      <c r="O23" s="601"/>
      <c r="P23" s="1840" t="e">
        <f>'DEFINITIF (APBNP)'!#REF!</f>
        <v>#REF!</v>
      </c>
      <c r="Q23" s="214"/>
      <c r="R23" s="123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24"/>
      <c r="EO23" s="124"/>
      <c r="EP23" s="124"/>
    </row>
    <row r="24" spans="1:146" s="124" customFormat="1" ht="15" customHeight="1" x14ac:dyDescent="0.2">
      <c r="A24" s="114"/>
      <c r="B24" s="115"/>
      <c r="C24" s="115"/>
      <c r="D24" s="115"/>
      <c r="E24" s="115"/>
      <c r="F24" s="118"/>
      <c r="G24" s="147"/>
      <c r="H24" s="148"/>
      <c r="I24" s="148"/>
      <c r="J24" s="148"/>
      <c r="K24" s="148"/>
      <c r="L24" s="149"/>
      <c r="M24" s="150"/>
      <c r="N24" s="151"/>
      <c r="O24" s="72"/>
      <c r="P24" s="73"/>
      <c r="Q24" s="73"/>
      <c r="R24" s="123"/>
    </row>
    <row r="25" spans="1:146" s="174" customFormat="1" ht="15" customHeight="1" x14ac:dyDescent="0.2">
      <c r="A25" s="100" t="s">
        <v>1729</v>
      </c>
      <c r="B25" s="60" t="s">
        <v>1738</v>
      </c>
      <c r="C25" s="101">
        <f>SUM(C26:C28)</f>
        <v>1</v>
      </c>
      <c r="D25" s="102" t="s">
        <v>16</v>
      </c>
      <c r="E25" s="165"/>
      <c r="F25" s="103">
        <f>SUM(F26:F28)</f>
        <v>6887177</v>
      </c>
      <c r="G25" s="166"/>
      <c r="H25" s="167" t="s">
        <v>854</v>
      </c>
      <c r="I25" s="167">
        <v>1</v>
      </c>
      <c r="J25" s="167" t="s">
        <v>16</v>
      </c>
      <c r="K25" s="167">
        <v>40000000</v>
      </c>
      <c r="L25" s="168">
        <v>40000000</v>
      </c>
      <c r="M25" s="169"/>
      <c r="N25" s="170"/>
      <c r="O25" s="660">
        <f>F25</f>
        <v>6887177</v>
      </c>
      <c r="Q25" s="171"/>
      <c r="R25" s="172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</row>
    <row r="26" spans="1:146" s="177" customFormat="1" ht="15" customHeight="1" x14ac:dyDescent="0.2">
      <c r="A26" s="114"/>
      <c r="B26" s="115"/>
      <c r="C26" s="116"/>
      <c r="D26" s="117"/>
      <c r="E26" s="116"/>
      <c r="F26" s="118"/>
      <c r="G26" s="147"/>
      <c r="H26" s="175"/>
      <c r="I26" s="175"/>
      <c r="J26" s="175"/>
      <c r="K26" s="175"/>
      <c r="L26" s="162"/>
      <c r="M26" s="176"/>
      <c r="N26" s="151"/>
      <c r="O26" s="72"/>
      <c r="P26" s="73"/>
      <c r="Q26" s="73"/>
      <c r="R26" s="123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  <c r="EL26" s="124"/>
      <c r="EM26" s="124"/>
      <c r="EN26" s="124"/>
      <c r="EO26" s="124"/>
      <c r="EP26" s="124"/>
    </row>
    <row r="27" spans="1:146" s="555" customFormat="1" ht="15" customHeight="1" x14ac:dyDescent="0.2">
      <c r="A27" s="152">
        <v>1</v>
      </c>
      <c r="B27" s="140" t="s">
        <v>849</v>
      </c>
      <c r="C27" s="140"/>
      <c r="D27" s="140"/>
      <c r="E27" s="140"/>
      <c r="F27" s="462"/>
      <c r="G27" s="142"/>
      <c r="H27" s="661"/>
      <c r="I27" s="661"/>
      <c r="J27" s="661"/>
      <c r="K27" s="661"/>
      <c r="L27" s="154"/>
      <c r="M27" s="557"/>
      <c r="N27" s="146"/>
      <c r="O27" s="601"/>
      <c r="P27" s="214"/>
      <c r="Q27" s="214"/>
      <c r="R27" s="136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</row>
    <row r="28" spans="1:146" s="177" customFormat="1" ht="15" customHeight="1" x14ac:dyDescent="0.2">
      <c r="A28" s="158"/>
      <c r="B28" s="115" t="str">
        <f>'DEFINITIF (APBNP)'!B1585</f>
        <v>Peningkatan Terminal AKAP Tangkoko Kota Bitung</v>
      </c>
      <c r="C28" s="115">
        <f>'DEFINITIF (APBNP)'!C1585</f>
        <v>1</v>
      </c>
      <c r="D28" s="115" t="str">
        <f>'DEFINITIF (APBNP)'!D1585</f>
        <v>PKT</v>
      </c>
      <c r="E28" s="115">
        <f>'DEFINITIF (APBNP)'!E1585</f>
        <v>6887177</v>
      </c>
      <c r="F28" s="460">
        <f>C28*E28</f>
        <v>6887177</v>
      </c>
      <c r="G28" s="147"/>
      <c r="H28" s="175"/>
      <c r="I28" s="175"/>
      <c r="J28" s="175"/>
      <c r="K28" s="175"/>
      <c r="L28" s="162"/>
      <c r="M28" s="176"/>
      <c r="N28" s="151"/>
      <c r="O28" s="228">
        <f>F28</f>
        <v>6887177</v>
      </c>
      <c r="P28" s="214"/>
      <c r="Q28" s="214"/>
      <c r="R28" s="123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</row>
    <row r="29" spans="1:146" s="80" customFormat="1" ht="15" customHeight="1" x14ac:dyDescent="0.2">
      <c r="A29" s="158"/>
      <c r="B29" s="115"/>
      <c r="C29" s="115"/>
      <c r="D29" s="115"/>
      <c r="E29" s="115"/>
      <c r="F29" s="159"/>
      <c r="G29" s="160"/>
      <c r="H29" s="161"/>
      <c r="I29" s="161"/>
      <c r="J29" s="161"/>
      <c r="K29" s="161"/>
      <c r="L29" s="162"/>
      <c r="M29" s="81"/>
      <c r="N29" s="163"/>
      <c r="O29" s="72"/>
      <c r="P29" s="73"/>
      <c r="Q29" s="73"/>
      <c r="R29" s="164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</row>
    <row r="30" spans="1:146" s="80" customFormat="1" ht="15" customHeight="1" thickBot="1" x14ac:dyDescent="0.25">
      <c r="A30" s="1911"/>
      <c r="B30" s="1884"/>
      <c r="C30" s="1884"/>
      <c r="D30" s="1884"/>
      <c r="E30" s="1884"/>
      <c r="F30" s="1912"/>
      <c r="G30" s="160"/>
      <c r="H30" s="161"/>
      <c r="I30" s="161"/>
      <c r="J30" s="161"/>
      <c r="K30" s="161"/>
      <c r="L30" s="162"/>
      <c r="M30" s="81"/>
      <c r="N30" s="163"/>
      <c r="O30" s="387"/>
      <c r="P30" s="73"/>
      <c r="Q30" s="73"/>
      <c r="R30" s="164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</row>
    <row r="31" spans="1:146" ht="15" customHeight="1" x14ac:dyDescent="0.2">
      <c r="A31" s="1953"/>
      <c r="B31" s="1944"/>
      <c r="C31" s="1945"/>
      <c r="D31" s="1946"/>
      <c r="E31" s="1768"/>
      <c r="F31" s="1947"/>
      <c r="G31" s="185"/>
      <c r="H31" s="70"/>
      <c r="J31" s="70"/>
      <c r="L31" s="71"/>
      <c r="N31" s="65"/>
      <c r="O31" s="64"/>
      <c r="P31" s="186"/>
      <c r="Q31" s="186"/>
    </row>
    <row r="32" spans="1:146" ht="15" customHeight="1" thickBot="1" x14ac:dyDescent="0.25">
      <c r="A32" s="1954"/>
      <c r="B32" s="1949"/>
      <c r="C32" s="1950"/>
      <c r="D32" s="1951"/>
      <c r="E32" s="1769"/>
      <c r="F32" s="1952"/>
      <c r="G32" s="185"/>
      <c r="H32" s="70"/>
      <c r="J32" s="70"/>
      <c r="L32" s="71"/>
      <c r="N32" s="65"/>
      <c r="O32" s="64"/>
      <c r="P32" s="186"/>
      <c r="Q32" s="186"/>
    </row>
    <row r="33" spans="1:17" s="64" customFormat="1" ht="15" customHeight="1" x14ac:dyDescent="0.2">
      <c r="A33" s="1872"/>
      <c r="B33" s="180"/>
      <c r="C33" s="181"/>
      <c r="D33" s="182"/>
      <c r="E33" s="183"/>
      <c r="F33" s="1857"/>
      <c r="L33" s="187"/>
      <c r="M33" s="187"/>
      <c r="P33" s="186"/>
      <c r="Q33" s="186"/>
    </row>
    <row r="34" spans="1:17" s="64" customFormat="1" ht="15" customHeight="1" x14ac:dyDescent="0.2">
      <c r="A34" s="1872"/>
      <c r="B34" s="180"/>
      <c r="C34" s="181"/>
      <c r="D34" s="182"/>
      <c r="E34" s="183"/>
      <c r="F34" s="1857">
        <f>60000000/25000</f>
        <v>2400</v>
      </c>
      <c r="L34" s="187"/>
      <c r="M34" s="187"/>
      <c r="P34" s="186"/>
      <c r="Q34" s="186"/>
    </row>
    <row r="35" spans="1:17" s="64" customFormat="1" ht="15" customHeight="1" x14ac:dyDescent="0.2">
      <c r="A35" s="1872"/>
      <c r="B35" s="180"/>
      <c r="C35" s="181"/>
      <c r="D35" s="182"/>
      <c r="E35" s="183">
        <f>E28+2500000</f>
        <v>9387177</v>
      </c>
      <c r="F35" s="1857"/>
      <c r="L35" s="187"/>
      <c r="M35" s="187"/>
      <c r="P35" s="186"/>
      <c r="Q35" s="186"/>
    </row>
    <row r="36" spans="1:17" s="64" customFormat="1" ht="15" customHeight="1" x14ac:dyDescent="0.2">
      <c r="A36" s="1872"/>
      <c r="B36" s="180"/>
      <c r="C36" s="181"/>
      <c r="D36" s="182"/>
      <c r="E36" s="183"/>
      <c r="F36" s="1857"/>
      <c r="L36" s="187"/>
      <c r="M36" s="187"/>
      <c r="P36" s="186"/>
      <c r="Q36" s="186"/>
    </row>
    <row r="37" spans="1:17" s="64" customFormat="1" ht="15" customHeight="1" x14ac:dyDescent="0.2">
      <c r="A37" s="1872"/>
      <c r="B37" s="180"/>
      <c r="C37" s="181"/>
      <c r="D37" s="182"/>
      <c r="E37" s="183"/>
      <c r="F37" s="1857"/>
      <c r="L37" s="187"/>
      <c r="M37" s="187"/>
      <c r="P37" s="186"/>
      <c r="Q37" s="186"/>
    </row>
    <row r="38" spans="1:17" s="64" customFormat="1" ht="15" customHeight="1" x14ac:dyDescent="0.2">
      <c r="A38" s="1872"/>
      <c r="B38" s="180"/>
      <c r="C38" s="181"/>
      <c r="D38" s="182"/>
      <c r="E38" s="183"/>
      <c r="F38" s="1857"/>
      <c r="L38" s="187"/>
      <c r="M38" s="187"/>
      <c r="P38" s="186"/>
      <c r="Q38" s="186"/>
    </row>
    <row r="39" spans="1:17" s="64" customFormat="1" ht="15" customHeight="1" x14ac:dyDescent="0.2">
      <c r="A39" s="1872"/>
      <c r="B39" s="180"/>
      <c r="C39" s="181"/>
      <c r="D39" s="182"/>
      <c r="E39" s="183"/>
      <c r="F39" s="1857"/>
      <c r="L39" s="187"/>
      <c r="M39" s="187"/>
      <c r="P39" s="186"/>
      <c r="Q39" s="186"/>
    </row>
    <row r="40" spans="1:17" s="64" customFormat="1" ht="15" customHeight="1" x14ac:dyDescent="0.2">
      <c r="A40" s="1872"/>
      <c r="B40" s="180"/>
      <c r="C40" s="181"/>
      <c r="D40" s="182"/>
      <c r="E40" s="183"/>
      <c r="F40" s="1857"/>
      <c r="L40" s="187"/>
      <c r="M40" s="187"/>
      <c r="P40" s="186"/>
      <c r="Q40" s="186"/>
    </row>
    <row r="41" spans="1:17" s="64" customFormat="1" ht="15" customHeight="1" x14ac:dyDescent="0.2">
      <c r="A41" s="1872"/>
      <c r="B41" s="180"/>
      <c r="C41" s="181"/>
      <c r="D41" s="182"/>
      <c r="E41" s="183"/>
      <c r="F41" s="1857"/>
      <c r="L41" s="187"/>
      <c r="M41" s="187"/>
      <c r="P41" s="186"/>
      <c r="Q41" s="186"/>
    </row>
    <row r="42" spans="1:17" s="64" customFormat="1" ht="15" customHeight="1" x14ac:dyDescent="0.2">
      <c r="A42" s="1872"/>
      <c r="B42" s="180"/>
      <c r="C42" s="181"/>
      <c r="D42" s="182"/>
      <c r="E42" s="183"/>
      <c r="F42" s="1857"/>
      <c r="L42" s="187"/>
      <c r="M42" s="187"/>
      <c r="P42" s="186"/>
      <c r="Q42" s="186"/>
    </row>
    <row r="43" spans="1:17" s="64" customFormat="1" ht="15" customHeight="1" x14ac:dyDescent="0.2">
      <c r="A43" s="1872"/>
      <c r="B43" s="180"/>
      <c r="C43" s="181"/>
      <c r="D43" s="182"/>
      <c r="E43" s="183"/>
      <c r="F43" s="1857"/>
      <c r="L43" s="187"/>
      <c r="M43" s="187"/>
      <c r="P43" s="186"/>
      <c r="Q43" s="186"/>
    </row>
    <row r="44" spans="1:17" s="64" customFormat="1" ht="15" customHeight="1" x14ac:dyDescent="0.2">
      <c r="A44" s="1872"/>
      <c r="B44" s="180"/>
      <c r="C44" s="181"/>
      <c r="D44" s="182"/>
      <c r="E44" s="183"/>
      <c r="F44" s="1857"/>
      <c r="L44" s="187"/>
      <c r="M44" s="187"/>
      <c r="P44" s="186"/>
      <c r="Q44" s="186"/>
    </row>
    <row r="45" spans="1:17" s="64" customFormat="1" ht="15" customHeight="1" x14ac:dyDescent="0.2">
      <c r="A45" s="1872"/>
      <c r="B45" s="180"/>
      <c r="C45" s="181"/>
      <c r="D45" s="182"/>
      <c r="E45" s="183"/>
      <c r="F45" s="1857"/>
      <c r="L45" s="187"/>
      <c r="M45" s="187"/>
      <c r="P45" s="186"/>
      <c r="Q45" s="186"/>
    </row>
    <row r="46" spans="1:17" s="64" customFormat="1" ht="15" customHeight="1" x14ac:dyDescent="0.2">
      <c r="A46" s="1872"/>
      <c r="B46" s="180"/>
      <c r="C46" s="181"/>
      <c r="D46" s="182"/>
      <c r="E46" s="183"/>
      <c r="F46" s="1857"/>
      <c r="L46" s="187"/>
      <c r="M46" s="187"/>
      <c r="P46" s="186"/>
      <c r="Q46" s="186"/>
    </row>
    <row r="47" spans="1:17" s="64" customFormat="1" ht="15" customHeight="1" x14ac:dyDescent="0.2">
      <c r="A47" s="1872"/>
      <c r="B47" s="180"/>
      <c r="C47" s="181"/>
      <c r="D47" s="182"/>
      <c r="E47" s="183"/>
      <c r="F47" s="1857"/>
      <c r="L47" s="187"/>
      <c r="M47" s="187"/>
      <c r="P47" s="186"/>
      <c r="Q47" s="186"/>
    </row>
    <row r="48" spans="1:17" s="64" customFormat="1" ht="15" customHeight="1" x14ac:dyDescent="0.2">
      <c r="A48" s="1872"/>
      <c r="B48" s="180"/>
      <c r="C48" s="181"/>
      <c r="D48" s="182"/>
      <c r="E48" s="183"/>
      <c r="F48" s="1857"/>
      <c r="L48" s="187"/>
      <c r="M48" s="187"/>
      <c r="P48" s="186"/>
      <c r="Q48" s="186"/>
    </row>
    <row r="49" spans="1:17" s="64" customFormat="1" ht="15" customHeight="1" x14ac:dyDescent="0.2">
      <c r="A49" s="1872"/>
      <c r="B49" s="180"/>
      <c r="C49" s="181"/>
      <c r="D49" s="182"/>
      <c r="E49" s="183"/>
      <c r="F49" s="1857"/>
      <c r="L49" s="187"/>
      <c r="M49" s="187"/>
      <c r="P49" s="186"/>
      <c r="Q49" s="186"/>
    </row>
    <row r="50" spans="1:17" s="64" customFormat="1" ht="15" customHeight="1" x14ac:dyDescent="0.2">
      <c r="A50" s="1872"/>
      <c r="B50" s="180"/>
      <c r="C50" s="181"/>
      <c r="D50" s="182"/>
      <c r="E50" s="183"/>
      <c r="F50" s="1857"/>
      <c r="L50" s="187"/>
      <c r="M50" s="187"/>
      <c r="P50" s="186"/>
      <c r="Q50" s="186"/>
    </row>
    <row r="51" spans="1:17" s="64" customFormat="1" ht="15" customHeight="1" thickBot="1" x14ac:dyDescent="0.25">
      <c r="A51" s="1934"/>
      <c r="B51" s="1861"/>
      <c r="C51" s="1931"/>
      <c r="D51" s="1863"/>
      <c r="E51" s="1932"/>
      <c r="F51" s="1865"/>
      <c r="L51" s="187"/>
      <c r="M51" s="187"/>
      <c r="P51" s="186"/>
      <c r="Q51" s="186"/>
    </row>
    <row r="52" spans="1:17" s="64" customFormat="1" ht="15" customHeight="1" x14ac:dyDescent="0.2">
      <c r="A52" s="1910"/>
      <c r="B52" s="1899"/>
      <c r="C52" s="1900"/>
      <c r="D52" s="1901"/>
      <c r="E52" s="1902"/>
      <c r="F52" s="1903"/>
      <c r="L52" s="187"/>
      <c r="M52" s="187"/>
      <c r="P52" s="186"/>
      <c r="Q52" s="186"/>
    </row>
    <row r="53" spans="1:17" s="64" customFormat="1" ht="15" customHeight="1" x14ac:dyDescent="0.2">
      <c r="A53" s="179"/>
      <c r="B53" s="180"/>
      <c r="C53" s="181"/>
      <c r="D53" s="182"/>
      <c r="E53" s="183"/>
      <c r="F53" s="184"/>
      <c r="L53" s="187"/>
      <c r="M53" s="187"/>
      <c r="P53" s="186"/>
      <c r="Q53" s="186"/>
    </row>
    <row r="54" spans="1:17" s="64" customFormat="1" ht="15" customHeight="1" x14ac:dyDescent="0.2">
      <c r="A54" s="1872"/>
      <c r="B54" s="180"/>
      <c r="C54" s="181"/>
      <c r="D54" s="182"/>
      <c r="E54" s="183"/>
      <c r="F54" s="1857"/>
      <c r="L54" s="187"/>
      <c r="M54" s="187"/>
      <c r="P54" s="186"/>
      <c r="Q54" s="186"/>
    </row>
    <row r="55" spans="1:17" s="64" customFormat="1" ht="15" customHeight="1" x14ac:dyDescent="0.2">
      <c r="A55" s="1872"/>
      <c r="B55" s="180"/>
      <c r="C55" s="181"/>
      <c r="D55" s="182"/>
      <c r="E55" s="183"/>
      <c r="F55" s="1857"/>
      <c r="L55" s="187"/>
      <c r="M55" s="187"/>
      <c r="P55" s="186"/>
      <c r="Q55" s="186"/>
    </row>
    <row r="56" spans="1:17" s="64" customFormat="1" ht="15" customHeight="1" x14ac:dyDescent="0.2">
      <c r="A56" s="1872"/>
      <c r="B56" s="180"/>
      <c r="C56" s="181"/>
      <c r="D56" s="182"/>
      <c r="E56" s="183"/>
      <c r="F56" s="1857"/>
      <c r="L56" s="187"/>
      <c r="M56" s="187"/>
      <c r="P56" s="186"/>
      <c r="Q56" s="186"/>
    </row>
    <row r="57" spans="1:17" s="64" customFormat="1" ht="15" customHeight="1" x14ac:dyDescent="0.2">
      <c r="A57" s="1872"/>
      <c r="B57" s="180"/>
      <c r="C57" s="181"/>
      <c r="D57" s="182"/>
      <c r="E57" s="183"/>
      <c r="F57" s="1857"/>
      <c r="L57" s="187"/>
      <c r="M57" s="187"/>
      <c r="P57" s="186"/>
      <c r="Q57" s="186"/>
    </row>
    <row r="58" spans="1:17" s="64" customFormat="1" ht="15" customHeight="1" x14ac:dyDescent="0.2">
      <c r="A58" s="1872"/>
      <c r="B58" s="180"/>
      <c r="C58" s="181"/>
      <c r="D58" s="182"/>
      <c r="E58" s="183"/>
      <c r="F58" s="1857"/>
      <c r="L58" s="187"/>
      <c r="M58" s="187"/>
      <c r="P58" s="186"/>
      <c r="Q58" s="186"/>
    </row>
    <row r="59" spans="1:17" s="64" customFormat="1" ht="15" customHeight="1" x14ac:dyDescent="0.2">
      <c r="A59" s="1872"/>
      <c r="B59" s="180"/>
      <c r="C59" s="181"/>
      <c r="D59" s="182"/>
      <c r="E59" s="183"/>
      <c r="F59" s="1857"/>
      <c r="L59" s="187"/>
      <c r="M59" s="187"/>
      <c r="P59" s="186"/>
      <c r="Q59" s="186"/>
    </row>
    <row r="60" spans="1:17" s="64" customFormat="1" ht="15" customHeight="1" x14ac:dyDescent="0.2">
      <c r="A60" s="1872"/>
      <c r="B60" s="180"/>
      <c r="C60" s="181"/>
      <c r="D60" s="182"/>
      <c r="E60" s="183"/>
      <c r="F60" s="1857"/>
      <c r="L60" s="187"/>
      <c r="M60" s="187"/>
      <c r="P60" s="186"/>
      <c r="Q60" s="186"/>
    </row>
    <row r="61" spans="1:17" s="64" customFormat="1" ht="15" customHeight="1" x14ac:dyDescent="0.2">
      <c r="A61" s="1872"/>
      <c r="B61" s="180"/>
      <c r="C61" s="181"/>
      <c r="D61" s="182"/>
      <c r="E61" s="183"/>
      <c r="F61" s="1857"/>
      <c r="L61" s="187"/>
      <c r="M61" s="187"/>
      <c r="P61" s="186"/>
      <c r="Q61" s="186"/>
    </row>
    <row r="62" spans="1:17" s="64" customFormat="1" ht="15" customHeight="1" x14ac:dyDescent="0.2">
      <c r="A62" s="1872"/>
      <c r="B62" s="180"/>
      <c r="C62" s="181"/>
      <c r="D62" s="182"/>
      <c r="E62" s="183"/>
      <c r="F62" s="1857"/>
      <c r="L62" s="187"/>
      <c r="M62" s="187"/>
      <c r="P62" s="186"/>
      <c r="Q62" s="186"/>
    </row>
    <row r="63" spans="1:17" s="64" customFormat="1" ht="15" customHeight="1" x14ac:dyDescent="0.2">
      <c r="A63" s="1872"/>
      <c r="B63" s="180"/>
      <c r="C63" s="181"/>
      <c r="D63" s="182"/>
      <c r="E63" s="183"/>
      <c r="F63" s="1857"/>
      <c r="L63" s="187"/>
      <c r="M63" s="187"/>
      <c r="P63" s="186"/>
      <c r="Q63" s="186"/>
    </row>
    <row r="64" spans="1:17" s="64" customFormat="1" ht="15" customHeight="1" x14ac:dyDescent="0.2">
      <c r="A64" s="1872"/>
      <c r="B64" s="180"/>
      <c r="C64" s="181"/>
      <c r="D64" s="182"/>
      <c r="E64" s="183"/>
      <c r="F64" s="1857"/>
      <c r="L64" s="187"/>
      <c r="M64" s="187"/>
      <c r="P64" s="186"/>
      <c r="Q64" s="186"/>
    </row>
    <row r="65" spans="1:17" s="64" customFormat="1" ht="15" customHeight="1" x14ac:dyDescent="0.2">
      <c r="A65" s="1872"/>
      <c r="B65" s="180"/>
      <c r="C65" s="181"/>
      <c r="D65" s="182"/>
      <c r="E65" s="183"/>
      <c r="F65" s="1857"/>
      <c r="L65" s="187"/>
      <c r="M65" s="187"/>
      <c r="P65" s="186"/>
      <c r="Q65" s="186"/>
    </row>
    <row r="66" spans="1:17" s="64" customFormat="1" ht="15" customHeight="1" x14ac:dyDescent="0.2">
      <c r="A66" s="1872"/>
      <c r="B66" s="180"/>
      <c r="C66" s="181"/>
      <c r="D66" s="182"/>
      <c r="E66" s="183"/>
      <c r="F66" s="1857"/>
      <c r="L66" s="187"/>
      <c r="M66" s="187"/>
      <c r="P66" s="186"/>
      <c r="Q66" s="186"/>
    </row>
    <row r="67" spans="1:17" s="64" customFormat="1" ht="15" customHeight="1" x14ac:dyDescent="0.2">
      <c r="A67" s="1872"/>
      <c r="B67" s="180"/>
      <c r="C67" s="181"/>
      <c r="D67" s="182"/>
      <c r="E67" s="183"/>
      <c r="F67" s="1857"/>
      <c r="L67" s="187"/>
      <c r="M67" s="187"/>
      <c r="P67" s="186"/>
      <c r="Q67" s="186"/>
    </row>
    <row r="68" spans="1:17" s="64" customFormat="1" ht="15" customHeight="1" x14ac:dyDescent="0.2">
      <c r="A68" s="1872"/>
      <c r="B68" s="180"/>
      <c r="C68" s="181"/>
      <c r="D68" s="182"/>
      <c r="E68" s="183"/>
      <c r="F68" s="1857"/>
      <c r="L68" s="187"/>
      <c r="M68" s="187"/>
      <c r="P68" s="186"/>
      <c r="Q68" s="186"/>
    </row>
    <row r="69" spans="1:17" s="64" customFormat="1" ht="15" customHeight="1" x14ac:dyDescent="0.2">
      <c r="A69" s="1872"/>
      <c r="B69" s="180"/>
      <c r="C69" s="181"/>
      <c r="D69" s="182"/>
      <c r="E69" s="183"/>
      <c r="F69" s="1857"/>
      <c r="L69" s="187"/>
      <c r="M69" s="187"/>
      <c r="P69" s="186"/>
      <c r="Q69" s="186"/>
    </row>
    <row r="70" spans="1:17" s="64" customFormat="1" ht="15" customHeight="1" x14ac:dyDescent="0.2">
      <c r="A70" s="1872"/>
      <c r="B70" s="180"/>
      <c r="C70" s="181"/>
      <c r="D70" s="182"/>
      <c r="E70" s="183"/>
      <c r="F70" s="1857"/>
      <c r="L70" s="187"/>
      <c r="M70" s="187"/>
      <c r="P70" s="186"/>
      <c r="Q70" s="186"/>
    </row>
    <row r="71" spans="1:17" ht="15" customHeight="1" x14ac:dyDescent="0.2">
      <c r="A71" s="1873"/>
      <c r="B71" s="180"/>
      <c r="C71" s="189"/>
      <c r="D71" s="182"/>
      <c r="E71" s="190"/>
      <c r="F71" s="1857"/>
      <c r="G71" s="70"/>
      <c r="H71" s="70"/>
      <c r="J71" s="70"/>
      <c r="L71" s="71"/>
      <c r="N71" s="65"/>
      <c r="O71" s="64"/>
    </row>
    <row r="72" spans="1:17" ht="15" customHeight="1" x14ac:dyDescent="0.2">
      <c r="A72" s="1873"/>
      <c r="B72" s="180"/>
      <c r="C72" s="189"/>
      <c r="D72" s="182"/>
      <c r="E72" s="190"/>
      <c r="F72" s="1857"/>
      <c r="G72" s="70"/>
      <c r="H72" s="70"/>
      <c r="J72" s="70"/>
      <c r="L72" s="71"/>
      <c r="N72" s="65"/>
      <c r="O72" s="64"/>
      <c r="P72" s="61"/>
      <c r="Q72" s="61"/>
    </row>
    <row r="73" spans="1:17" ht="15" customHeight="1" x14ac:dyDescent="0.2">
      <c r="A73" s="1873"/>
      <c r="B73" s="180"/>
      <c r="C73" s="189"/>
      <c r="D73" s="182"/>
      <c r="E73" s="190"/>
      <c r="F73" s="1857"/>
      <c r="G73" s="70"/>
      <c r="H73" s="70"/>
      <c r="J73" s="70"/>
      <c r="L73" s="71"/>
      <c r="N73" s="65"/>
      <c r="O73" s="64"/>
      <c r="P73" s="61"/>
      <c r="Q73" s="61"/>
    </row>
    <row r="74" spans="1:17" ht="15" customHeight="1" x14ac:dyDescent="0.2">
      <c r="A74" s="1873"/>
      <c r="B74" s="180"/>
      <c r="C74" s="189"/>
      <c r="D74" s="182"/>
      <c r="E74" s="190"/>
      <c r="F74" s="1857"/>
      <c r="G74" s="70"/>
      <c r="H74" s="70"/>
      <c r="J74" s="70"/>
      <c r="L74" s="71"/>
      <c r="N74" s="65"/>
      <c r="O74" s="64"/>
      <c r="P74" s="61"/>
      <c r="Q74" s="61"/>
    </row>
    <row r="75" spans="1:17" ht="15" customHeight="1" x14ac:dyDescent="0.2">
      <c r="A75" s="1873"/>
      <c r="B75" s="180"/>
      <c r="C75" s="189"/>
      <c r="D75" s="182"/>
      <c r="E75" s="190"/>
      <c r="F75" s="1857"/>
      <c r="G75" s="70"/>
      <c r="H75" s="70"/>
      <c r="J75" s="70"/>
      <c r="L75" s="71"/>
      <c r="N75" s="65"/>
      <c r="O75" s="64"/>
      <c r="P75" s="61"/>
      <c r="Q75" s="61"/>
    </row>
    <row r="76" spans="1:17" ht="15" customHeight="1" x14ac:dyDescent="0.2">
      <c r="A76" s="1873"/>
      <c r="B76" s="180"/>
      <c r="C76" s="189"/>
      <c r="D76" s="182"/>
      <c r="E76" s="190"/>
      <c r="F76" s="1857"/>
      <c r="G76" s="70"/>
      <c r="H76" s="70"/>
      <c r="J76" s="70"/>
      <c r="L76" s="71"/>
      <c r="N76" s="65"/>
      <c r="O76" s="64"/>
      <c r="P76" s="61"/>
      <c r="Q76" s="61"/>
    </row>
    <row r="77" spans="1:17" ht="15" customHeight="1" x14ac:dyDescent="0.2">
      <c r="A77" s="1873"/>
      <c r="B77" s="180"/>
      <c r="C77" s="189"/>
      <c r="D77" s="182"/>
      <c r="E77" s="190"/>
      <c r="F77" s="1857"/>
      <c r="G77" s="70"/>
      <c r="H77" s="70"/>
      <c r="J77" s="70"/>
      <c r="L77" s="71"/>
      <c r="N77" s="65"/>
      <c r="O77" s="64"/>
      <c r="P77" s="61"/>
      <c r="Q77" s="61"/>
    </row>
    <row r="78" spans="1:17" ht="15" customHeight="1" x14ac:dyDescent="0.2">
      <c r="A78" s="1873"/>
      <c r="B78" s="180"/>
      <c r="C78" s="189"/>
      <c r="D78" s="182"/>
      <c r="E78" s="190"/>
      <c r="F78" s="1857"/>
      <c r="G78" s="70"/>
      <c r="H78" s="70"/>
      <c r="J78" s="70"/>
      <c r="L78" s="71"/>
      <c r="N78" s="65"/>
      <c r="O78" s="64"/>
      <c r="P78" s="61"/>
      <c r="Q78" s="61"/>
    </row>
    <row r="79" spans="1:17" ht="15" customHeight="1" x14ac:dyDescent="0.2">
      <c r="A79" s="1873"/>
      <c r="B79" s="180"/>
      <c r="C79" s="189"/>
      <c r="D79" s="182"/>
      <c r="E79" s="190"/>
      <c r="F79" s="1857"/>
      <c r="G79" s="70"/>
      <c r="H79" s="70"/>
      <c r="J79" s="70"/>
      <c r="L79" s="71"/>
      <c r="N79" s="65"/>
      <c r="O79" s="64"/>
      <c r="P79" s="61"/>
      <c r="Q79" s="61"/>
    </row>
    <row r="80" spans="1:17" ht="15" customHeight="1" x14ac:dyDescent="0.2">
      <c r="A80" s="1873"/>
      <c r="B80" s="180"/>
      <c r="C80" s="189"/>
      <c r="D80" s="182"/>
      <c r="E80" s="190"/>
      <c r="F80" s="1857"/>
      <c r="G80" s="70"/>
      <c r="H80" s="70"/>
      <c r="J80" s="70"/>
      <c r="L80" s="71"/>
      <c r="N80" s="65"/>
      <c r="O80" s="64"/>
      <c r="P80" s="61"/>
      <c r="Q80" s="61"/>
    </row>
    <row r="81" spans="1:17" ht="15" customHeight="1" x14ac:dyDescent="0.2">
      <c r="A81" s="1873"/>
      <c r="B81" s="180"/>
      <c r="C81" s="189"/>
      <c r="D81" s="182"/>
      <c r="E81" s="190"/>
      <c r="F81" s="1857"/>
      <c r="G81" s="70"/>
      <c r="H81" s="70"/>
      <c r="J81" s="70"/>
      <c r="L81" s="71"/>
      <c r="N81" s="65"/>
      <c r="O81" s="64"/>
      <c r="P81" s="61"/>
      <c r="Q81" s="61"/>
    </row>
    <row r="82" spans="1:17" ht="15" customHeight="1" x14ac:dyDescent="0.2">
      <c r="A82" s="1873"/>
      <c r="B82" s="180"/>
      <c r="C82" s="189"/>
      <c r="D82" s="182"/>
      <c r="E82" s="190"/>
      <c r="F82" s="1857"/>
      <c r="G82" s="70"/>
      <c r="H82" s="70"/>
      <c r="J82" s="70"/>
      <c r="L82" s="71"/>
      <c r="N82" s="65"/>
      <c r="O82" s="64"/>
      <c r="P82" s="61"/>
      <c r="Q82" s="61"/>
    </row>
    <row r="83" spans="1:17" ht="15" customHeight="1" x14ac:dyDescent="0.2">
      <c r="A83" s="1873"/>
      <c r="B83" s="180"/>
      <c r="C83" s="189"/>
      <c r="D83" s="182"/>
      <c r="E83" s="190"/>
      <c r="F83" s="1857"/>
      <c r="G83" s="70"/>
      <c r="H83" s="70"/>
      <c r="J83" s="70"/>
      <c r="L83" s="71"/>
      <c r="N83" s="65"/>
      <c r="O83" s="64"/>
      <c r="P83" s="61"/>
      <c r="Q83" s="61"/>
    </row>
    <row r="84" spans="1:17" ht="15" customHeight="1" x14ac:dyDescent="0.2">
      <c r="A84" s="1873"/>
      <c r="B84" s="180"/>
      <c r="C84" s="189"/>
      <c r="D84" s="182"/>
      <c r="E84" s="190"/>
      <c r="F84" s="1857"/>
      <c r="G84" s="70"/>
      <c r="H84" s="70"/>
      <c r="J84" s="70"/>
      <c r="L84" s="71"/>
      <c r="N84" s="65"/>
      <c r="O84" s="64"/>
    </row>
    <row r="85" spans="1:17" ht="15" customHeight="1" x14ac:dyDescent="0.2">
      <c r="A85" s="1873"/>
      <c r="B85" s="180"/>
      <c r="C85" s="189"/>
      <c r="D85" s="182"/>
      <c r="E85" s="190"/>
      <c r="F85" s="1857"/>
      <c r="G85" s="70"/>
      <c r="H85" s="70"/>
      <c r="J85" s="70"/>
      <c r="L85" s="71"/>
      <c r="N85" s="65"/>
      <c r="O85" s="64"/>
    </row>
    <row r="86" spans="1:17" ht="15" customHeight="1" x14ac:dyDescent="0.2">
      <c r="A86" s="1873"/>
      <c r="B86" s="180"/>
      <c r="C86" s="189"/>
      <c r="D86" s="182"/>
      <c r="E86" s="190"/>
      <c r="F86" s="1857"/>
      <c r="G86" s="70"/>
      <c r="H86" s="70"/>
      <c r="J86" s="70"/>
      <c r="L86" s="71"/>
      <c r="N86" s="65"/>
      <c r="O86" s="64"/>
    </row>
    <row r="87" spans="1:17" ht="15" customHeight="1" x14ac:dyDescent="0.2">
      <c r="A87" s="1873"/>
      <c r="B87" s="180"/>
      <c r="C87" s="189"/>
      <c r="D87" s="182"/>
      <c r="E87" s="190"/>
      <c r="F87" s="1857"/>
      <c r="G87" s="70"/>
      <c r="H87" s="70"/>
      <c r="J87" s="70"/>
      <c r="L87" s="71"/>
      <c r="N87" s="65"/>
      <c r="O87" s="64"/>
    </row>
    <row r="88" spans="1:17" ht="15" customHeight="1" x14ac:dyDescent="0.2">
      <c r="A88" s="1873"/>
      <c r="B88" s="180"/>
      <c r="C88" s="189"/>
      <c r="D88" s="182"/>
      <c r="E88" s="190"/>
      <c r="F88" s="1857"/>
      <c r="G88" s="70"/>
      <c r="H88" s="70"/>
      <c r="J88" s="70"/>
      <c r="L88" s="71"/>
      <c r="N88" s="65"/>
      <c r="O88" s="64"/>
    </row>
    <row r="89" spans="1:17" ht="15" customHeight="1" x14ac:dyDescent="0.2">
      <c r="A89" s="1873"/>
      <c r="B89" s="180"/>
      <c r="C89" s="189"/>
      <c r="D89" s="182"/>
      <c r="E89" s="190"/>
      <c r="F89" s="1857"/>
      <c r="G89" s="70"/>
      <c r="H89" s="70"/>
      <c r="J89" s="70"/>
      <c r="L89" s="71"/>
      <c r="N89" s="65"/>
      <c r="O89" s="64"/>
    </row>
    <row r="90" spans="1:17" ht="15" customHeight="1" x14ac:dyDescent="0.2">
      <c r="A90" s="1873"/>
      <c r="B90" s="180"/>
      <c r="C90" s="189"/>
      <c r="D90" s="182"/>
      <c r="E90" s="190"/>
      <c r="F90" s="1857"/>
      <c r="G90" s="70"/>
      <c r="H90" s="70"/>
      <c r="J90" s="70"/>
      <c r="L90" s="71"/>
      <c r="N90" s="65"/>
      <c r="O90" s="64"/>
    </row>
    <row r="91" spans="1:17" ht="15" customHeight="1" x14ac:dyDescent="0.2">
      <c r="A91" s="1873"/>
      <c r="B91" s="180"/>
      <c r="C91" s="189"/>
      <c r="D91" s="182"/>
      <c r="E91" s="190"/>
      <c r="F91" s="1857"/>
      <c r="G91" s="70"/>
      <c r="H91" s="70"/>
      <c r="J91" s="70"/>
      <c r="L91" s="71"/>
      <c r="N91" s="65"/>
      <c r="O91" s="64"/>
    </row>
    <row r="92" spans="1:17" ht="15" customHeight="1" x14ac:dyDescent="0.2">
      <c r="A92" s="1873"/>
      <c r="B92" s="180"/>
      <c r="C92" s="189"/>
      <c r="D92" s="182"/>
      <c r="E92" s="190"/>
      <c r="F92" s="1857"/>
      <c r="G92" s="70"/>
      <c r="H92" s="70"/>
      <c r="J92" s="70"/>
      <c r="L92" s="71"/>
      <c r="N92" s="65"/>
      <c r="O92" s="64"/>
    </row>
    <row r="93" spans="1:17" ht="15" customHeight="1" x14ac:dyDescent="0.2">
      <c r="A93" s="1873"/>
      <c r="B93" s="180"/>
      <c r="C93" s="189"/>
      <c r="D93" s="182"/>
      <c r="E93" s="190"/>
      <c r="F93" s="1857"/>
      <c r="G93" s="70"/>
      <c r="H93" s="70"/>
      <c r="J93" s="70"/>
      <c r="L93" s="71"/>
      <c r="N93" s="65"/>
      <c r="O93" s="64"/>
    </row>
    <row r="94" spans="1:17" ht="15" customHeight="1" x14ac:dyDescent="0.2">
      <c r="A94" s="1873"/>
      <c r="B94" s="180"/>
      <c r="C94" s="189"/>
      <c r="D94" s="182"/>
      <c r="E94" s="190"/>
      <c r="F94" s="1857"/>
      <c r="G94" s="70"/>
      <c r="H94" s="70"/>
      <c r="J94" s="70"/>
      <c r="L94" s="71"/>
      <c r="N94" s="65"/>
      <c r="O94" s="64"/>
    </row>
    <row r="95" spans="1:17" ht="15" customHeight="1" x14ac:dyDescent="0.2">
      <c r="A95" s="1873"/>
      <c r="B95" s="180"/>
      <c r="C95" s="189"/>
      <c r="D95" s="182"/>
      <c r="E95" s="190"/>
      <c r="F95" s="1857"/>
      <c r="G95" s="70"/>
      <c r="H95" s="70"/>
      <c r="J95" s="70"/>
      <c r="L95" s="71"/>
      <c r="N95" s="65"/>
      <c r="O95" s="64"/>
    </row>
    <row r="96" spans="1:17" ht="15" customHeight="1" x14ac:dyDescent="0.2">
      <c r="A96" s="1873"/>
      <c r="B96" s="180"/>
      <c r="C96" s="189"/>
      <c r="D96" s="182"/>
      <c r="E96" s="190"/>
      <c r="F96" s="1857"/>
      <c r="G96" s="70"/>
      <c r="H96" s="70"/>
      <c r="J96" s="70"/>
      <c r="L96" s="71"/>
      <c r="N96" s="65"/>
      <c r="O96" s="64"/>
    </row>
    <row r="97" spans="1:15" ht="15" customHeight="1" x14ac:dyDescent="0.2">
      <c r="A97" s="1873"/>
      <c r="B97" s="180"/>
      <c r="C97" s="189"/>
      <c r="D97" s="182"/>
      <c r="E97" s="190"/>
      <c r="F97" s="1857"/>
      <c r="G97" s="70"/>
      <c r="H97" s="70"/>
      <c r="J97" s="70"/>
      <c r="L97" s="71"/>
      <c r="N97" s="65"/>
      <c r="O97" s="64"/>
    </row>
    <row r="98" spans="1:15" ht="15" customHeight="1" x14ac:dyDescent="0.2">
      <c r="A98" s="1873"/>
      <c r="B98" s="180"/>
      <c r="C98" s="189"/>
      <c r="D98" s="182"/>
      <c r="E98" s="190"/>
      <c r="F98" s="1857"/>
      <c r="G98" s="70"/>
      <c r="H98" s="70"/>
      <c r="J98" s="70"/>
      <c r="L98" s="71"/>
      <c r="N98" s="65"/>
      <c r="O98" s="64"/>
    </row>
    <row r="99" spans="1:15" ht="15" customHeight="1" x14ac:dyDescent="0.2">
      <c r="A99" s="1873"/>
      <c r="B99" s="180"/>
      <c r="C99" s="189"/>
      <c r="D99" s="182"/>
      <c r="E99" s="190"/>
      <c r="F99" s="1857"/>
      <c r="G99" s="70"/>
      <c r="H99" s="70"/>
      <c r="J99" s="70"/>
      <c r="L99" s="71"/>
      <c r="N99" s="65"/>
      <c r="O99" s="64"/>
    </row>
    <row r="100" spans="1:15" ht="15" customHeight="1" x14ac:dyDescent="0.2">
      <c r="A100" s="1873"/>
      <c r="B100" s="180"/>
      <c r="C100" s="189"/>
      <c r="D100" s="182"/>
      <c r="E100" s="190"/>
      <c r="F100" s="1857"/>
      <c r="G100" s="70"/>
      <c r="H100" s="70"/>
      <c r="J100" s="70"/>
      <c r="L100" s="71"/>
      <c r="N100" s="65"/>
      <c r="O100" s="64"/>
    </row>
    <row r="101" spans="1:15" ht="15" customHeight="1" x14ac:dyDescent="0.2">
      <c r="A101" s="1873"/>
      <c r="B101" s="180"/>
      <c r="C101" s="189"/>
      <c r="D101" s="182"/>
      <c r="E101" s="190"/>
      <c r="F101" s="1857"/>
      <c r="G101" s="70"/>
      <c r="H101" s="70"/>
      <c r="J101" s="70"/>
      <c r="L101" s="71"/>
      <c r="N101" s="65"/>
      <c r="O101" s="64"/>
    </row>
    <row r="102" spans="1:15" ht="15" customHeight="1" x14ac:dyDescent="0.2">
      <c r="A102" s="1873"/>
      <c r="B102" s="180"/>
      <c r="C102" s="189"/>
      <c r="D102" s="182"/>
      <c r="E102" s="190"/>
      <c r="F102" s="1857"/>
      <c r="G102" s="70"/>
      <c r="H102" s="70"/>
      <c r="J102" s="70"/>
      <c r="L102" s="71"/>
      <c r="N102" s="65"/>
      <c r="O102" s="64"/>
    </row>
    <row r="103" spans="1:15" ht="15" customHeight="1" x14ac:dyDescent="0.2">
      <c r="A103" s="1873"/>
      <c r="B103" s="180"/>
      <c r="C103" s="189"/>
      <c r="D103" s="182"/>
      <c r="E103" s="190"/>
      <c r="F103" s="1857"/>
      <c r="G103" s="70"/>
      <c r="H103" s="70"/>
      <c r="J103" s="70"/>
      <c r="L103" s="71"/>
      <c r="N103" s="65"/>
      <c r="O103" s="64"/>
    </row>
    <row r="104" spans="1:15" ht="15" customHeight="1" x14ac:dyDescent="0.2">
      <c r="A104" s="1873"/>
      <c r="B104" s="180"/>
      <c r="C104" s="189"/>
      <c r="D104" s="182"/>
      <c r="E104" s="190"/>
      <c r="F104" s="1857"/>
      <c r="G104" s="70"/>
      <c r="H104" s="70"/>
      <c r="J104" s="70"/>
      <c r="L104" s="71"/>
      <c r="N104" s="65"/>
      <c r="O104" s="64"/>
    </row>
    <row r="105" spans="1:15" ht="15" customHeight="1" x14ac:dyDescent="0.2">
      <c r="A105" s="1873"/>
      <c r="B105" s="180"/>
      <c r="C105" s="189"/>
      <c r="D105" s="182"/>
      <c r="E105" s="190"/>
      <c r="F105" s="1857"/>
      <c r="G105" s="70"/>
      <c r="H105" s="70"/>
      <c r="J105" s="70"/>
      <c r="L105" s="71"/>
      <c r="N105" s="65"/>
      <c r="O105" s="64"/>
    </row>
    <row r="106" spans="1:15" ht="15" customHeight="1" x14ac:dyDescent="0.2">
      <c r="A106" s="1873"/>
      <c r="B106" s="180"/>
      <c r="C106" s="189"/>
      <c r="D106" s="182"/>
      <c r="E106" s="190"/>
      <c r="F106" s="1857"/>
      <c r="G106" s="70"/>
      <c r="H106" s="70"/>
      <c r="J106" s="70"/>
      <c r="L106" s="71"/>
      <c r="N106" s="65"/>
      <c r="O106" s="64"/>
    </row>
    <row r="107" spans="1:15" ht="15" customHeight="1" x14ac:dyDescent="0.2">
      <c r="A107" s="1873"/>
      <c r="B107" s="180"/>
      <c r="C107" s="189"/>
      <c r="D107" s="182"/>
      <c r="E107" s="190"/>
      <c r="F107" s="1857"/>
      <c r="G107" s="70"/>
      <c r="H107" s="70"/>
      <c r="J107" s="70"/>
      <c r="L107" s="71"/>
      <c r="N107" s="65"/>
      <c r="O107" s="64"/>
    </row>
    <row r="108" spans="1:15" ht="15" customHeight="1" x14ac:dyDescent="0.2">
      <c r="A108" s="1873"/>
      <c r="B108" s="180"/>
      <c r="C108" s="189"/>
      <c r="D108" s="182"/>
      <c r="E108" s="190"/>
      <c r="F108" s="1857"/>
      <c r="G108" s="70"/>
      <c r="H108" s="70"/>
      <c r="J108" s="70"/>
      <c r="L108" s="71"/>
      <c r="N108" s="65"/>
      <c r="O108" s="64"/>
    </row>
    <row r="109" spans="1:15" ht="15" customHeight="1" x14ac:dyDescent="0.2">
      <c r="A109" s="1873"/>
      <c r="B109" s="180"/>
      <c r="C109" s="189"/>
      <c r="D109" s="182"/>
      <c r="E109" s="190"/>
      <c r="F109" s="1857"/>
      <c r="G109" s="70"/>
      <c r="H109" s="70"/>
      <c r="J109" s="70"/>
      <c r="L109" s="71"/>
      <c r="N109" s="65"/>
      <c r="O109" s="64"/>
    </row>
    <row r="110" spans="1:15" ht="15" customHeight="1" x14ac:dyDescent="0.2">
      <c r="A110" s="1873"/>
      <c r="B110" s="180"/>
      <c r="C110" s="189"/>
      <c r="D110" s="182"/>
      <c r="E110" s="190"/>
      <c r="F110" s="1857"/>
      <c r="G110" s="70"/>
      <c r="H110" s="70"/>
      <c r="J110" s="70"/>
      <c r="L110" s="71"/>
      <c r="N110" s="65"/>
      <c r="O110" s="64"/>
    </row>
    <row r="111" spans="1:15" ht="15" customHeight="1" x14ac:dyDescent="0.2">
      <c r="A111" s="1873"/>
      <c r="B111" s="180"/>
      <c r="C111" s="189"/>
      <c r="D111" s="182"/>
      <c r="E111" s="190"/>
      <c r="F111" s="1857"/>
      <c r="G111" s="70"/>
      <c r="H111" s="70"/>
      <c r="J111" s="70"/>
      <c r="L111" s="71"/>
      <c r="N111" s="65"/>
      <c r="O111" s="64"/>
    </row>
    <row r="112" spans="1:15" ht="15" customHeight="1" x14ac:dyDescent="0.2">
      <c r="A112" s="1873"/>
      <c r="B112" s="180"/>
      <c r="C112" s="189"/>
      <c r="D112" s="182"/>
      <c r="E112" s="190"/>
      <c r="F112" s="1857"/>
      <c r="G112" s="70"/>
      <c r="H112" s="70"/>
      <c r="J112" s="70"/>
      <c r="L112" s="71"/>
      <c r="N112" s="65"/>
      <c r="O112" s="64"/>
    </row>
    <row r="113" spans="1:15" ht="15" customHeight="1" x14ac:dyDescent="0.2">
      <c r="A113" s="1873"/>
      <c r="B113" s="180"/>
      <c r="C113" s="189"/>
      <c r="D113" s="182"/>
      <c r="E113" s="190"/>
      <c r="F113" s="1857"/>
      <c r="G113" s="70"/>
      <c r="H113" s="70"/>
      <c r="J113" s="70"/>
      <c r="L113" s="71"/>
      <c r="N113" s="65"/>
      <c r="O113" s="64"/>
    </row>
    <row r="114" spans="1:15" ht="15" customHeight="1" x14ac:dyDescent="0.2">
      <c r="A114" s="1873"/>
      <c r="B114" s="180"/>
      <c r="C114" s="189"/>
      <c r="D114" s="182"/>
      <c r="E114" s="190"/>
      <c r="F114" s="1857"/>
      <c r="G114" s="70"/>
      <c r="H114" s="70"/>
      <c r="J114" s="70"/>
      <c r="L114" s="71"/>
      <c r="N114" s="65"/>
      <c r="O114" s="64"/>
    </row>
    <row r="115" spans="1:15" ht="15" customHeight="1" x14ac:dyDescent="0.2">
      <c r="A115" s="1873"/>
      <c r="B115" s="180"/>
      <c r="C115" s="189"/>
      <c r="D115" s="182"/>
      <c r="E115" s="190"/>
      <c r="F115" s="1857"/>
      <c r="G115" s="70"/>
      <c r="H115" s="70"/>
      <c r="J115" s="70"/>
      <c r="L115" s="71"/>
      <c r="N115" s="65"/>
      <c r="O115" s="64"/>
    </row>
    <row r="116" spans="1:15" ht="15" customHeight="1" x14ac:dyDescent="0.2">
      <c r="A116" s="1873"/>
      <c r="B116" s="180"/>
      <c r="C116" s="189"/>
      <c r="D116" s="182"/>
      <c r="E116" s="190"/>
      <c r="F116" s="1857"/>
      <c r="G116" s="70"/>
      <c r="H116" s="70"/>
      <c r="J116" s="70"/>
      <c r="L116" s="71"/>
      <c r="N116" s="65"/>
      <c r="O116" s="64"/>
    </row>
    <row r="117" spans="1:15" ht="15" customHeight="1" x14ac:dyDescent="0.2">
      <c r="A117" s="1873"/>
      <c r="B117" s="180"/>
      <c r="C117" s="189"/>
      <c r="D117" s="182"/>
      <c r="E117" s="190"/>
      <c r="F117" s="1857"/>
      <c r="G117" s="70"/>
      <c r="H117" s="70"/>
      <c r="J117" s="70"/>
      <c r="L117" s="71"/>
      <c r="N117" s="65"/>
      <c r="O117" s="64"/>
    </row>
    <row r="118" spans="1:15" ht="15" customHeight="1" x14ac:dyDescent="0.2">
      <c r="A118" s="1873"/>
      <c r="B118" s="180"/>
      <c r="C118" s="189"/>
      <c r="D118" s="182"/>
      <c r="E118" s="190"/>
      <c r="F118" s="1857"/>
      <c r="G118" s="70"/>
      <c r="H118" s="70"/>
      <c r="J118" s="70"/>
      <c r="L118" s="71"/>
      <c r="N118" s="65"/>
      <c r="O118" s="64"/>
    </row>
    <row r="119" spans="1:15" ht="15" customHeight="1" x14ac:dyDescent="0.2">
      <c r="A119" s="1873"/>
      <c r="B119" s="180"/>
      <c r="C119" s="189"/>
      <c r="D119" s="182"/>
      <c r="E119" s="190"/>
      <c r="F119" s="1857"/>
      <c r="G119" s="70"/>
      <c r="H119" s="70"/>
      <c r="J119" s="70"/>
      <c r="L119" s="71"/>
      <c r="N119" s="65"/>
      <c r="O119" s="64"/>
    </row>
    <row r="120" spans="1:15" ht="15" customHeight="1" x14ac:dyDescent="0.2">
      <c r="A120" s="1873"/>
      <c r="B120" s="180"/>
      <c r="C120" s="189"/>
      <c r="D120" s="182"/>
      <c r="E120" s="190"/>
      <c r="F120" s="1857"/>
      <c r="G120" s="70"/>
      <c r="H120" s="70"/>
      <c r="J120" s="70"/>
      <c r="L120" s="71"/>
      <c r="N120" s="65"/>
      <c r="O120" s="64"/>
    </row>
    <row r="121" spans="1:15" ht="15" customHeight="1" x14ac:dyDescent="0.2">
      <c r="A121" s="1873"/>
      <c r="B121" s="180"/>
      <c r="C121" s="189"/>
      <c r="D121" s="182"/>
      <c r="E121" s="190"/>
      <c r="F121" s="1857"/>
      <c r="G121" s="70"/>
      <c r="H121" s="70"/>
      <c r="J121" s="70"/>
      <c r="L121" s="71"/>
      <c r="N121" s="65"/>
      <c r="O121" s="64"/>
    </row>
    <row r="122" spans="1:15" ht="15" customHeight="1" x14ac:dyDescent="0.2">
      <c r="A122" s="1873"/>
      <c r="B122" s="180"/>
      <c r="C122" s="189"/>
      <c r="D122" s="182"/>
      <c r="E122" s="190"/>
      <c r="F122" s="1857"/>
      <c r="G122" s="70"/>
      <c r="H122" s="70"/>
      <c r="J122" s="70"/>
      <c r="L122" s="71"/>
      <c r="N122" s="65"/>
      <c r="O122" s="64"/>
    </row>
    <row r="123" spans="1:15" ht="15" customHeight="1" x14ac:dyDescent="0.2">
      <c r="A123" s="1873"/>
      <c r="B123" s="180"/>
      <c r="C123" s="189"/>
      <c r="D123" s="182"/>
      <c r="E123" s="190"/>
      <c r="F123" s="1857"/>
      <c r="G123" s="70"/>
      <c r="H123" s="70"/>
      <c r="J123" s="70"/>
      <c r="L123" s="71"/>
      <c r="N123" s="65"/>
      <c r="O123" s="64"/>
    </row>
    <row r="124" spans="1:15" ht="15" customHeight="1" x14ac:dyDescent="0.2">
      <c r="A124" s="1873"/>
      <c r="B124" s="180"/>
      <c r="C124" s="189"/>
      <c r="D124" s="182"/>
      <c r="E124" s="190"/>
      <c r="F124" s="1857"/>
      <c r="G124" s="70"/>
      <c r="H124" s="70"/>
      <c r="J124" s="70"/>
      <c r="L124" s="71"/>
      <c r="N124" s="65"/>
      <c r="O124" s="64"/>
    </row>
    <row r="125" spans="1:15" ht="15" customHeight="1" x14ac:dyDescent="0.2">
      <c r="A125" s="1873"/>
      <c r="B125" s="180"/>
      <c r="C125" s="189"/>
      <c r="D125" s="182"/>
      <c r="E125" s="190"/>
      <c r="F125" s="1857"/>
      <c r="G125" s="70"/>
      <c r="H125" s="70"/>
      <c r="J125" s="70"/>
      <c r="L125" s="71"/>
      <c r="N125" s="65"/>
      <c r="O125" s="64"/>
    </row>
    <row r="126" spans="1:15" ht="15" customHeight="1" x14ac:dyDescent="0.2">
      <c r="A126" s="1873"/>
      <c r="B126" s="180"/>
      <c r="C126" s="189"/>
      <c r="D126" s="182"/>
      <c r="E126" s="190"/>
      <c r="F126" s="1857"/>
      <c r="G126" s="70"/>
      <c r="H126" s="70"/>
      <c r="J126" s="70"/>
      <c r="L126" s="71"/>
      <c r="N126" s="65"/>
      <c r="O126" s="64"/>
    </row>
    <row r="127" spans="1:15" ht="15" customHeight="1" x14ac:dyDescent="0.2">
      <c r="A127" s="1873"/>
      <c r="B127" s="180"/>
      <c r="C127" s="189"/>
      <c r="D127" s="182"/>
      <c r="E127" s="190"/>
      <c r="F127" s="1857"/>
      <c r="G127" s="70"/>
      <c r="H127" s="70"/>
      <c r="J127" s="70"/>
      <c r="L127" s="71"/>
      <c r="N127" s="65"/>
      <c r="O127" s="64"/>
    </row>
    <row r="128" spans="1:15" ht="15" customHeight="1" x14ac:dyDescent="0.2">
      <c r="A128" s="1873"/>
      <c r="B128" s="180"/>
      <c r="C128" s="189"/>
      <c r="D128" s="182"/>
      <c r="E128" s="190"/>
      <c r="F128" s="1857"/>
      <c r="G128" s="70"/>
      <c r="H128" s="70"/>
      <c r="J128" s="70"/>
      <c r="L128" s="71"/>
      <c r="N128" s="65"/>
      <c r="O128" s="64"/>
    </row>
    <row r="129" spans="1:15" ht="15" customHeight="1" x14ac:dyDescent="0.2">
      <c r="A129" s="1873"/>
      <c r="B129" s="180"/>
      <c r="C129" s="189"/>
      <c r="D129" s="182"/>
      <c r="E129" s="190"/>
      <c r="F129" s="1857"/>
      <c r="G129" s="70"/>
      <c r="H129" s="70"/>
      <c r="J129" s="70"/>
      <c r="L129" s="71"/>
      <c r="N129" s="65"/>
      <c r="O129" s="64"/>
    </row>
    <row r="130" spans="1:15" ht="15" customHeight="1" x14ac:dyDescent="0.2">
      <c r="A130" s="1873"/>
      <c r="B130" s="180"/>
      <c r="C130" s="189"/>
      <c r="D130" s="182"/>
      <c r="E130" s="190"/>
      <c r="F130" s="1857"/>
      <c r="G130" s="70"/>
      <c r="H130" s="70"/>
      <c r="J130" s="70"/>
      <c r="L130" s="71"/>
      <c r="N130" s="65"/>
      <c r="O130" s="64"/>
    </row>
    <row r="131" spans="1:15" ht="15" customHeight="1" x14ac:dyDescent="0.2">
      <c r="A131" s="1873"/>
      <c r="B131" s="180"/>
      <c r="C131" s="189"/>
      <c r="D131" s="182"/>
      <c r="E131" s="190"/>
      <c r="F131" s="1857"/>
      <c r="G131" s="70"/>
      <c r="H131" s="70"/>
      <c r="J131" s="70"/>
      <c r="L131" s="71"/>
      <c r="N131" s="65"/>
      <c r="O131" s="64"/>
    </row>
    <row r="132" spans="1:15" ht="15" customHeight="1" x14ac:dyDescent="0.2">
      <c r="A132" s="1873"/>
      <c r="B132" s="180"/>
      <c r="C132" s="189"/>
      <c r="D132" s="182"/>
      <c r="E132" s="190"/>
      <c r="F132" s="1857"/>
      <c r="G132" s="70"/>
      <c r="H132" s="70"/>
      <c r="J132" s="70"/>
      <c r="L132" s="71"/>
      <c r="N132" s="65"/>
      <c r="O132" s="64"/>
    </row>
    <row r="133" spans="1:15" ht="15" customHeight="1" x14ac:dyDescent="0.2">
      <c r="A133" s="1873"/>
      <c r="B133" s="180"/>
      <c r="C133" s="189"/>
      <c r="D133" s="182"/>
      <c r="E133" s="190"/>
      <c r="F133" s="1857"/>
      <c r="G133" s="70"/>
      <c r="H133" s="70"/>
      <c r="J133" s="70"/>
      <c r="L133" s="71"/>
      <c r="N133" s="65"/>
      <c r="O133" s="64"/>
    </row>
    <row r="134" spans="1:15" ht="15" customHeight="1" x14ac:dyDescent="0.2">
      <c r="A134" s="1873"/>
      <c r="B134" s="180"/>
      <c r="C134" s="189"/>
      <c r="D134" s="182"/>
      <c r="E134" s="190"/>
      <c r="F134" s="1857"/>
      <c r="G134" s="70"/>
      <c r="H134" s="70"/>
      <c r="J134" s="70"/>
      <c r="L134" s="71"/>
      <c r="N134" s="65"/>
      <c r="O134" s="64"/>
    </row>
    <row r="135" spans="1:15" ht="15" customHeight="1" x14ac:dyDescent="0.2">
      <c r="A135" s="1873"/>
      <c r="B135" s="180"/>
      <c r="C135" s="189"/>
      <c r="D135" s="182"/>
      <c r="E135" s="190"/>
      <c r="F135" s="1857"/>
      <c r="G135" s="70"/>
      <c r="H135" s="70"/>
      <c r="J135" s="70"/>
      <c r="L135" s="71"/>
      <c r="N135" s="65"/>
      <c r="O135" s="64"/>
    </row>
    <row r="136" spans="1:15" ht="15" customHeight="1" x14ac:dyDescent="0.2">
      <c r="A136" s="1873"/>
      <c r="B136" s="180"/>
      <c r="C136" s="189"/>
      <c r="D136" s="182"/>
      <c r="E136" s="190"/>
      <c r="F136" s="1857"/>
      <c r="G136" s="70"/>
      <c r="H136" s="70"/>
      <c r="J136" s="70"/>
      <c r="L136" s="71"/>
      <c r="N136" s="65"/>
      <c r="O136" s="64"/>
    </row>
    <row r="137" spans="1:15" ht="15" customHeight="1" x14ac:dyDescent="0.2">
      <c r="A137" s="1873"/>
      <c r="B137" s="180"/>
      <c r="C137" s="189"/>
      <c r="D137" s="182"/>
      <c r="E137" s="190"/>
      <c r="F137" s="1857"/>
      <c r="G137" s="70"/>
      <c r="H137" s="70"/>
      <c r="J137" s="70"/>
      <c r="L137" s="71"/>
      <c r="N137" s="65"/>
      <c r="O137" s="64"/>
    </row>
    <row r="138" spans="1:15" ht="15" customHeight="1" x14ac:dyDescent="0.2">
      <c r="A138" s="1873"/>
      <c r="B138" s="180"/>
      <c r="C138" s="189"/>
      <c r="D138" s="182"/>
      <c r="E138" s="190"/>
      <c r="F138" s="1857"/>
      <c r="G138" s="70"/>
      <c r="H138" s="70"/>
      <c r="J138" s="70"/>
      <c r="L138" s="71"/>
      <c r="N138" s="65"/>
      <c r="O138" s="64"/>
    </row>
    <row r="139" spans="1:15" ht="15" customHeight="1" x14ac:dyDescent="0.2">
      <c r="A139" s="1873"/>
      <c r="B139" s="180"/>
      <c r="C139" s="189"/>
      <c r="D139" s="182"/>
      <c r="E139" s="190"/>
      <c r="F139" s="1857"/>
      <c r="G139" s="70"/>
      <c r="H139" s="70"/>
      <c r="J139" s="70"/>
      <c r="L139" s="71"/>
      <c r="N139" s="65"/>
      <c r="O139" s="64"/>
    </row>
    <row r="140" spans="1:15" ht="15" customHeight="1" x14ac:dyDescent="0.2">
      <c r="A140" s="1873"/>
      <c r="B140" s="180"/>
      <c r="C140" s="189"/>
      <c r="D140" s="182"/>
      <c r="E140" s="190"/>
      <c r="F140" s="1857"/>
      <c r="G140" s="70"/>
      <c r="H140" s="70"/>
      <c r="J140" s="70"/>
      <c r="L140" s="71"/>
      <c r="N140" s="65"/>
      <c r="O140" s="64"/>
    </row>
    <row r="141" spans="1:15" ht="15" customHeight="1" x14ac:dyDescent="0.2">
      <c r="A141" s="1873"/>
      <c r="B141" s="180"/>
      <c r="C141" s="189"/>
      <c r="D141" s="182"/>
      <c r="E141" s="190"/>
      <c r="F141" s="1857"/>
      <c r="G141" s="70"/>
      <c r="H141" s="70"/>
      <c r="J141" s="70"/>
      <c r="L141" s="71"/>
      <c r="N141" s="65"/>
      <c r="O141" s="64"/>
    </row>
    <row r="142" spans="1:15" ht="15" customHeight="1" x14ac:dyDescent="0.2">
      <c r="A142" s="1873"/>
      <c r="B142" s="180"/>
      <c r="C142" s="189"/>
      <c r="D142" s="182"/>
      <c r="E142" s="190"/>
      <c r="F142" s="1857"/>
      <c r="G142" s="70"/>
      <c r="H142" s="70"/>
      <c r="J142" s="70"/>
      <c r="L142" s="71"/>
      <c r="N142" s="65"/>
      <c r="O142" s="64"/>
    </row>
    <row r="143" spans="1:15" ht="15" customHeight="1" x14ac:dyDescent="0.2">
      <c r="A143" s="1873"/>
      <c r="B143" s="180"/>
      <c r="C143" s="189"/>
      <c r="D143" s="182"/>
      <c r="E143" s="190"/>
      <c r="F143" s="1857"/>
      <c r="G143" s="70"/>
      <c r="H143" s="70"/>
      <c r="J143" s="70"/>
      <c r="L143" s="71"/>
      <c r="N143" s="65"/>
      <c r="O143" s="64"/>
    </row>
    <row r="144" spans="1:15" ht="15" customHeight="1" x14ac:dyDescent="0.2">
      <c r="A144" s="1873"/>
      <c r="B144" s="180"/>
      <c r="C144" s="189"/>
      <c r="D144" s="182"/>
      <c r="E144" s="190"/>
      <c r="F144" s="1857"/>
      <c r="G144" s="70"/>
      <c r="H144" s="70"/>
      <c r="J144" s="70"/>
      <c r="L144" s="71"/>
      <c r="N144" s="65"/>
      <c r="O144" s="64"/>
    </row>
    <row r="145" spans="1:15" ht="15" customHeight="1" x14ac:dyDescent="0.2">
      <c r="A145" s="1873"/>
      <c r="B145" s="180"/>
      <c r="C145" s="189"/>
      <c r="D145" s="182"/>
      <c r="E145" s="190"/>
      <c r="F145" s="1857"/>
      <c r="G145" s="70"/>
      <c r="H145" s="70"/>
      <c r="J145" s="70"/>
      <c r="L145" s="71"/>
      <c r="N145" s="65"/>
      <c r="O145" s="64"/>
    </row>
    <row r="146" spans="1:15" ht="15" customHeight="1" x14ac:dyDescent="0.2">
      <c r="A146" s="1873"/>
      <c r="B146" s="180"/>
      <c r="C146" s="189"/>
      <c r="D146" s="182"/>
      <c r="E146" s="190"/>
      <c r="F146" s="1857"/>
      <c r="G146" s="70"/>
      <c r="H146" s="70"/>
      <c r="J146" s="70"/>
      <c r="L146" s="71"/>
      <c r="N146" s="65"/>
      <c r="O146" s="64"/>
    </row>
    <row r="147" spans="1:15" ht="15" customHeight="1" x14ac:dyDescent="0.2">
      <c r="A147" s="1873"/>
      <c r="B147" s="180"/>
      <c r="C147" s="189"/>
      <c r="D147" s="182"/>
      <c r="E147" s="190"/>
      <c r="F147" s="1857"/>
      <c r="G147" s="70"/>
      <c r="H147" s="70"/>
      <c r="J147" s="70"/>
      <c r="L147" s="71"/>
      <c r="N147" s="65"/>
      <c r="O147" s="64"/>
    </row>
    <row r="148" spans="1:15" ht="15" customHeight="1" x14ac:dyDescent="0.2">
      <c r="A148" s="1873"/>
      <c r="B148" s="180"/>
      <c r="C148" s="189"/>
      <c r="D148" s="182"/>
      <c r="E148" s="190"/>
      <c r="F148" s="1857"/>
      <c r="G148" s="70"/>
      <c r="H148" s="70"/>
      <c r="J148" s="70"/>
      <c r="L148" s="71"/>
      <c r="N148" s="65"/>
      <c r="O148" s="64"/>
    </row>
    <row r="149" spans="1:15" ht="15" customHeight="1" x14ac:dyDescent="0.2">
      <c r="A149" s="1873"/>
      <c r="B149" s="180"/>
      <c r="C149" s="189"/>
      <c r="D149" s="182"/>
      <c r="E149" s="190"/>
      <c r="F149" s="1857"/>
      <c r="G149" s="70"/>
      <c r="H149" s="70"/>
      <c r="J149" s="70"/>
      <c r="L149" s="71"/>
      <c r="N149" s="65"/>
      <c r="O149" s="64"/>
    </row>
    <row r="150" spans="1:15" ht="15" customHeight="1" x14ac:dyDescent="0.2">
      <c r="A150" s="1873"/>
      <c r="B150" s="180"/>
      <c r="C150" s="189"/>
      <c r="D150" s="182"/>
      <c r="E150" s="190"/>
      <c r="F150" s="1857"/>
      <c r="G150" s="70"/>
      <c r="H150" s="70"/>
      <c r="J150" s="70"/>
      <c r="L150" s="71"/>
      <c r="N150" s="65"/>
      <c r="O150" s="64"/>
    </row>
    <row r="151" spans="1:15" ht="15" customHeight="1" x14ac:dyDescent="0.2">
      <c r="A151" s="1873"/>
      <c r="B151" s="180"/>
      <c r="C151" s="189"/>
      <c r="D151" s="182"/>
      <c r="E151" s="190"/>
      <c r="F151" s="1857"/>
      <c r="G151" s="70"/>
      <c r="H151" s="70"/>
      <c r="J151" s="70"/>
      <c r="L151" s="71"/>
      <c r="N151" s="65"/>
      <c r="O151" s="64"/>
    </row>
    <row r="152" spans="1:15" ht="15" customHeight="1" x14ac:dyDescent="0.2">
      <c r="A152" s="1873"/>
      <c r="B152" s="180"/>
      <c r="C152" s="189"/>
      <c r="D152" s="182"/>
      <c r="E152" s="190"/>
      <c r="F152" s="1857"/>
      <c r="G152" s="70"/>
      <c r="H152" s="70"/>
      <c r="J152" s="70"/>
      <c r="L152" s="71"/>
      <c r="N152" s="65"/>
      <c r="O152" s="64"/>
    </row>
    <row r="153" spans="1:15" ht="15" customHeight="1" x14ac:dyDescent="0.2">
      <c r="A153" s="1873"/>
      <c r="B153" s="180"/>
      <c r="C153" s="189"/>
      <c r="D153" s="182"/>
      <c r="E153" s="190"/>
      <c r="F153" s="1857"/>
      <c r="G153" s="70"/>
      <c r="H153" s="70"/>
      <c r="J153" s="70"/>
      <c r="L153" s="71"/>
      <c r="N153" s="65"/>
      <c r="O153" s="64"/>
    </row>
    <row r="154" spans="1:15" ht="15" customHeight="1" x14ac:dyDescent="0.2">
      <c r="A154" s="1873"/>
      <c r="B154" s="180"/>
      <c r="C154" s="189"/>
      <c r="D154" s="182"/>
      <c r="E154" s="190"/>
      <c r="F154" s="1857"/>
      <c r="G154" s="70"/>
      <c r="H154" s="70"/>
      <c r="J154" s="70"/>
      <c r="L154" s="71"/>
      <c r="N154" s="65"/>
      <c r="O154" s="64"/>
    </row>
    <row r="155" spans="1:15" ht="15" customHeight="1" x14ac:dyDescent="0.2">
      <c r="A155" s="1873"/>
      <c r="B155" s="180"/>
      <c r="C155" s="189"/>
      <c r="D155" s="182"/>
      <c r="E155" s="190"/>
      <c r="F155" s="1857"/>
      <c r="G155" s="70"/>
      <c r="H155" s="70"/>
      <c r="J155" s="70"/>
      <c r="L155" s="71"/>
      <c r="N155" s="65"/>
      <c r="O155" s="64"/>
    </row>
    <row r="156" spans="1:15" ht="15" customHeight="1" x14ac:dyDescent="0.2">
      <c r="A156" s="1873"/>
      <c r="B156" s="180"/>
      <c r="C156" s="189"/>
      <c r="D156" s="182"/>
      <c r="E156" s="190"/>
      <c r="F156" s="1857"/>
      <c r="G156" s="70"/>
      <c r="H156" s="70"/>
      <c r="J156" s="70"/>
      <c r="L156" s="71"/>
      <c r="N156" s="65"/>
      <c r="O156" s="64"/>
    </row>
    <row r="157" spans="1:15" ht="15" customHeight="1" x14ac:dyDescent="0.2">
      <c r="A157" s="1873"/>
      <c r="B157" s="180"/>
      <c r="C157" s="189"/>
      <c r="D157" s="182"/>
      <c r="E157" s="190"/>
      <c r="F157" s="1857"/>
      <c r="G157" s="70"/>
      <c r="H157" s="70"/>
      <c r="J157" s="70"/>
      <c r="L157" s="71"/>
      <c r="N157" s="65"/>
      <c r="O157" s="64"/>
    </row>
    <row r="158" spans="1:15" ht="15" customHeight="1" x14ac:dyDescent="0.2">
      <c r="A158" s="1873"/>
      <c r="B158" s="180"/>
      <c r="C158" s="189"/>
      <c r="D158" s="182"/>
      <c r="E158" s="190"/>
      <c r="F158" s="1857"/>
      <c r="G158" s="70"/>
      <c r="H158" s="70"/>
      <c r="J158" s="70"/>
      <c r="L158" s="71"/>
      <c r="N158" s="65"/>
      <c r="O158" s="64"/>
    </row>
    <row r="159" spans="1:15" ht="15" customHeight="1" x14ac:dyDescent="0.2">
      <c r="A159" s="1873"/>
      <c r="B159" s="180"/>
      <c r="C159" s="189"/>
      <c r="D159" s="182"/>
      <c r="E159" s="190"/>
      <c r="F159" s="1857"/>
      <c r="G159" s="70"/>
      <c r="H159" s="70"/>
      <c r="J159" s="70"/>
      <c r="L159" s="71"/>
      <c r="N159" s="65"/>
      <c r="O159" s="64"/>
    </row>
    <row r="160" spans="1:15" ht="15" customHeight="1" x14ac:dyDescent="0.2">
      <c r="A160" s="1873"/>
      <c r="B160" s="180"/>
      <c r="C160" s="189"/>
      <c r="D160" s="182"/>
      <c r="E160" s="190"/>
      <c r="F160" s="1857"/>
      <c r="G160" s="70"/>
      <c r="H160" s="70"/>
      <c r="J160" s="70"/>
      <c r="L160" s="71"/>
      <c r="N160" s="65"/>
      <c r="O160" s="64"/>
    </row>
    <row r="161" spans="1:15" ht="15" customHeight="1" x14ac:dyDescent="0.2">
      <c r="A161" s="1873"/>
      <c r="B161" s="180"/>
      <c r="C161" s="189"/>
      <c r="D161" s="182"/>
      <c r="E161" s="190"/>
      <c r="F161" s="1857"/>
      <c r="G161" s="70"/>
      <c r="H161" s="70"/>
      <c r="J161" s="70"/>
      <c r="L161" s="71"/>
      <c r="N161" s="65"/>
      <c r="O161" s="64"/>
    </row>
    <row r="162" spans="1:15" ht="15" customHeight="1" x14ac:dyDescent="0.2">
      <c r="A162" s="1873"/>
      <c r="B162" s="180"/>
      <c r="C162" s="189"/>
      <c r="D162" s="182"/>
      <c r="E162" s="190"/>
      <c r="F162" s="1857"/>
      <c r="G162" s="70"/>
      <c r="H162" s="70"/>
      <c r="J162" s="70"/>
      <c r="L162" s="71"/>
      <c r="N162" s="65"/>
      <c r="O162" s="64"/>
    </row>
    <row r="163" spans="1:15" ht="15" customHeight="1" x14ac:dyDescent="0.2">
      <c r="A163" s="1873"/>
      <c r="B163" s="180"/>
      <c r="C163" s="189"/>
      <c r="D163" s="182"/>
      <c r="E163" s="190"/>
      <c r="F163" s="1857"/>
      <c r="G163" s="70"/>
      <c r="H163" s="70"/>
      <c r="J163" s="70"/>
      <c r="L163" s="71"/>
      <c r="N163" s="65"/>
      <c r="O163" s="64"/>
    </row>
    <row r="164" spans="1:15" ht="15" customHeight="1" x14ac:dyDescent="0.2">
      <c r="A164" s="1873"/>
      <c r="B164" s="180"/>
      <c r="C164" s="189"/>
      <c r="D164" s="182"/>
      <c r="E164" s="190"/>
      <c r="F164" s="1857"/>
      <c r="G164" s="70"/>
      <c r="H164" s="70"/>
      <c r="J164" s="70"/>
      <c r="L164" s="71"/>
      <c r="N164" s="65"/>
      <c r="O164" s="64"/>
    </row>
    <row r="165" spans="1:15" ht="15" customHeight="1" x14ac:dyDescent="0.2">
      <c r="A165" s="1873"/>
      <c r="B165" s="180"/>
      <c r="C165" s="189"/>
      <c r="D165" s="182"/>
      <c r="E165" s="190"/>
      <c r="F165" s="1857"/>
      <c r="G165" s="70"/>
      <c r="H165" s="70"/>
      <c r="J165" s="70"/>
      <c r="L165" s="71"/>
      <c r="N165" s="65"/>
      <c r="O165" s="64"/>
    </row>
    <row r="166" spans="1:15" ht="15" customHeight="1" x14ac:dyDescent="0.2">
      <c r="A166" s="1873"/>
      <c r="B166" s="180"/>
      <c r="C166" s="189"/>
      <c r="D166" s="182"/>
      <c r="E166" s="190"/>
      <c r="F166" s="1857"/>
      <c r="G166" s="70"/>
      <c r="H166" s="70"/>
      <c r="J166" s="70"/>
      <c r="L166" s="71"/>
      <c r="N166" s="65"/>
      <c r="O166" s="64"/>
    </row>
    <row r="167" spans="1:15" ht="15" customHeight="1" x14ac:dyDescent="0.2">
      <c r="A167" s="1873"/>
      <c r="B167" s="180"/>
      <c r="C167" s="189"/>
      <c r="D167" s="182"/>
      <c r="E167" s="190"/>
      <c r="F167" s="1857"/>
      <c r="G167" s="70"/>
      <c r="H167" s="70"/>
      <c r="J167" s="70"/>
      <c r="L167" s="71"/>
      <c r="N167" s="65"/>
      <c r="O167" s="64"/>
    </row>
    <row r="168" spans="1:15" ht="15" customHeight="1" x14ac:dyDescent="0.2">
      <c r="A168" s="1873"/>
      <c r="B168" s="180"/>
      <c r="C168" s="189"/>
      <c r="D168" s="182"/>
      <c r="E168" s="190"/>
      <c r="F168" s="1857"/>
      <c r="G168" s="70"/>
      <c r="H168" s="70"/>
      <c r="J168" s="70"/>
      <c r="L168" s="71"/>
      <c r="N168" s="65"/>
      <c r="O168" s="64"/>
    </row>
    <row r="169" spans="1:15" ht="15" customHeight="1" x14ac:dyDescent="0.2">
      <c r="A169" s="1873"/>
      <c r="B169" s="180"/>
      <c r="C169" s="189"/>
      <c r="D169" s="182"/>
      <c r="E169" s="190"/>
      <c r="F169" s="1857"/>
      <c r="G169" s="70"/>
      <c r="H169" s="70"/>
      <c r="J169" s="70"/>
      <c r="L169" s="71"/>
      <c r="N169" s="65"/>
      <c r="O169" s="64"/>
    </row>
    <row r="170" spans="1:15" ht="15" customHeight="1" x14ac:dyDescent="0.2">
      <c r="A170" s="1873"/>
      <c r="B170" s="180"/>
      <c r="C170" s="189"/>
      <c r="D170" s="182"/>
      <c r="E170" s="190"/>
      <c r="F170" s="1857"/>
      <c r="G170" s="70"/>
      <c r="H170" s="70"/>
      <c r="J170" s="70"/>
      <c r="L170" s="71"/>
      <c r="N170" s="65"/>
      <c r="O170" s="64"/>
    </row>
    <row r="171" spans="1:15" ht="15" customHeight="1" x14ac:dyDescent="0.2">
      <c r="A171" s="1873"/>
      <c r="B171" s="180"/>
      <c r="C171" s="189"/>
      <c r="D171" s="182"/>
      <c r="E171" s="190"/>
      <c r="F171" s="1857"/>
      <c r="G171" s="70"/>
      <c r="H171" s="70"/>
      <c r="J171" s="70"/>
      <c r="L171" s="71"/>
      <c r="N171" s="65"/>
      <c r="O171" s="64"/>
    </row>
    <row r="172" spans="1:15" ht="15" customHeight="1" x14ac:dyDescent="0.2">
      <c r="A172" s="1873"/>
      <c r="B172" s="180"/>
      <c r="C172" s="189"/>
      <c r="D172" s="182"/>
      <c r="E172" s="190"/>
      <c r="F172" s="1857"/>
      <c r="G172" s="70"/>
      <c r="H172" s="70"/>
      <c r="J172" s="70"/>
      <c r="L172" s="71"/>
      <c r="N172" s="65"/>
      <c r="O172" s="64"/>
    </row>
    <row r="173" spans="1:15" ht="15" customHeight="1" x14ac:dyDescent="0.2">
      <c r="A173" s="1873"/>
      <c r="B173" s="180"/>
      <c r="C173" s="189"/>
      <c r="D173" s="182"/>
      <c r="E173" s="190"/>
      <c r="F173" s="1857"/>
      <c r="G173" s="70"/>
      <c r="H173" s="70"/>
      <c r="J173" s="70"/>
      <c r="L173" s="71"/>
      <c r="N173" s="65"/>
      <c r="O173" s="64"/>
    </row>
    <row r="174" spans="1:15" ht="15" customHeight="1" x14ac:dyDescent="0.2">
      <c r="A174" s="1873"/>
      <c r="B174" s="180"/>
      <c r="C174" s="189"/>
      <c r="D174" s="182"/>
      <c r="E174" s="190"/>
      <c r="F174" s="1857"/>
      <c r="G174" s="70"/>
      <c r="H174" s="70"/>
      <c r="J174" s="70"/>
      <c r="L174" s="71"/>
      <c r="N174" s="65"/>
      <c r="O174" s="64"/>
    </row>
    <row r="175" spans="1:15" ht="15" customHeight="1" x14ac:dyDescent="0.2">
      <c r="A175" s="1873"/>
      <c r="B175" s="180"/>
      <c r="C175" s="189"/>
      <c r="D175" s="182"/>
      <c r="E175" s="190"/>
      <c r="F175" s="1857"/>
      <c r="G175" s="70"/>
      <c r="H175" s="70"/>
      <c r="J175" s="70"/>
      <c r="L175" s="71"/>
      <c r="N175" s="65"/>
      <c r="O175" s="64"/>
    </row>
    <row r="176" spans="1:15" ht="15" customHeight="1" x14ac:dyDescent="0.2">
      <c r="A176" s="1873"/>
      <c r="B176" s="180"/>
      <c r="C176" s="189"/>
      <c r="D176" s="182"/>
      <c r="E176" s="190"/>
      <c r="F176" s="1857"/>
      <c r="G176" s="70"/>
      <c r="H176" s="70"/>
      <c r="J176" s="70"/>
      <c r="L176" s="71"/>
      <c r="N176" s="65"/>
      <c r="O176" s="64"/>
    </row>
    <row r="177" spans="1:15" ht="15" customHeight="1" x14ac:dyDescent="0.2">
      <c r="A177" s="1873"/>
      <c r="B177" s="180"/>
      <c r="C177" s="189"/>
      <c r="D177" s="182"/>
      <c r="E177" s="190"/>
      <c r="F177" s="1857"/>
      <c r="G177" s="70"/>
      <c r="H177" s="70"/>
      <c r="J177" s="70"/>
      <c r="L177" s="71"/>
      <c r="N177" s="65"/>
      <c r="O177" s="64"/>
    </row>
    <row r="178" spans="1:15" ht="15" customHeight="1" x14ac:dyDescent="0.2">
      <c r="A178" s="1873"/>
      <c r="B178" s="180"/>
      <c r="C178" s="189"/>
      <c r="D178" s="182"/>
      <c r="E178" s="190"/>
      <c r="F178" s="1857"/>
      <c r="G178" s="70"/>
      <c r="H178" s="70"/>
      <c r="J178" s="70"/>
      <c r="L178" s="71"/>
      <c r="N178" s="65"/>
      <c r="O178" s="64"/>
    </row>
    <row r="179" spans="1:15" ht="15" customHeight="1" x14ac:dyDescent="0.2">
      <c r="A179" s="1873"/>
      <c r="B179" s="180"/>
      <c r="C179" s="189"/>
      <c r="D179" s="182"/>
      <c r="E179" s="190"/>
      <c r="F179" s="1857"/>
      <c r="G179" s="70"/>
      <c r="H179" s="70"/>
      <c r="J179" s="70"/>
      <c r="L179" s="71"/>
      <c r="N179" s="65"/>
      <c r="O179" s="64"/>
    </row>
    <row r="180" spans="1:15" ht="15" customHeight="1" x14ac:dyDescent="0.2">
      <c r="A180" s="1873"/>
      <c r="B180" s="180"/>
      <c r="C180" s="189"/>
      <c r="D180" s="182"/>
      <c r="E180" s="190"/>
      <c r="F180" s="1857"/>
      <c r="G180" s="70"/>
      <c r="H180" s="70"/>
      <c r="J180" s="70"/>
      <c r="L180" s="71"/>
      <c r="N180" s="65"/>
      <c r="O180" s="64"/>
    </row>
    <row r="181" spans="1:15" ht="15" customHeight="1" x14ac:dyDescent="0.2">
      <c r="A181" s="1873"/>
      <c r="B181" s="180"/>
      <c r="C181" s="189"/>
      <c r="D181" s="182"/>
      <c r="E181" s="190"/>
      <c r="F181" s="1857"/>
      <c r="G181" s="70"/>
      <c r="H181" s="70"/>
      <c r="J181" s="70"/>
      <c r="L181" s="71"/>
      <c r="N181" s="65"/>
      <c r="O181" s="64"/>
    </row>
    <row r="182" spans="1:15" ht="15" customHeight="1" x14ac:dyDescent="0.2">
      <c r="A182" s="1873"/>
      <c r="B182" s="180"/>
      <c r="C182" s="189"/>
      <c r="D182" s="182"/>
      <c r="E182" s="190"/>
      <c r="F182" s="1857"/>
      <c r="G182" s="70"/>
      <c r="H182" s="70"/>
      <c r="J182" s="70"/>
      <c r="L182" s="71"/>
      <c r="N182" s="65"/>
      <c r="O182" s="64"/>
    </row>
    <row r="183" spans="1:15" ht="15" customHeight="1" x14ac:dyDescent="0.2">
      <c r="A183" s="1873"/>
      <c r="B183" s="180"/>
      <c r="C183" s="189"/>
      <c r="D183" s="182"/>
      <c r="E183" s="190"/>
      <c r="F183" s="1857"/>
      <c r="G183" s="70"/>
      <c r="H183" s="70"/>
      <c r="J183" s="70"/>
      <c r="L183" s="71"/>
      <c r="N183" s="65"/>
      <c r="O183" s="64"/>
    </row>
    <row r="184" spans="1:15" ht="15" customHeight="1" x14ac:dyDescent="0.2">
      <c r="A184" s="1873"/>
      <c r="B184" s="180"/>
      <c r="C184" s="189"/>
      <c r="D184" s="182"/>
      <c r="E184" s="190"/>
      <c r="F184" s="1857"/>
      <c r="G184" s="70"/>
      <c r="H184" s="70"/>
      <c r="J184" s="70"/>
      <c r="L184" s="71"/>
      <c r="N184" s="65"/>
      <c r="O184" s="64"/>
    </row>
    <row r="185" spans="1:15" ht="15" customHeight="1" x14ac:dyDescent="0.2">
      <c r="A185" s="1873"/>
      <c r="B185" s="180"/>
      <c r="C185" s="189"/>
      <c r="D185" s="182"/>
      <c r="E185" s="190"/>
      <c r="F185" s="1857"/>
      <c r="G185" s="70"/>
      <c r="H185" s="70"/>
      <c r="J185" s="70"/>
      <c r="L185" s="71"/>
      <c r="N185" s="65"/>
      <c r="O185" s="64"/>
    </row>
    <row r="186" spans="1:15" ht="15" customHeight="1" x14ac:dyDescent="0.2">
      <c r="A186" s="1873"/>
      <c r="B186" s="180"/>
      <c r="C186" s="189"/>
      <c r="D186" s="182"/>
      <c r="E186" s="190"/>
      <c r="F186" s="1857"/>
      <c r="G186" s="70"/>
      <c r="H186" s="70"/>
      <c r="J186" s="70"/>
      <c r="L186" s="71"/>
      <c r="N186" s="65"/>
      <c r="O186" s="64"/>
    </row>
    <row r="187" spans="1:15" ht="15" customHeight="1" x14ac:dyDescent="0.2">
      <c r="A187" s="1873"/>
      <c r="B187" s="180"/>
      <c r="C187" s="189"/>
      <c r="D187" s="182"/>
      <c r="E187" s="190"/>
      <c r="F187" s="1857"/>
      <c r="G187" s="70"/>
      <c r="H187" s="70"/>
      <c r="J187" s="70"/>
      <c r="L187" s="71"/>
      <c r="N187" s="65"/>
      <c r="O187" s="64"/>
    </row>
    <row r="188" spans="1:15" ht="15" customHeight="1" x14ac:dyDescent="0.2">
      <c r="A188" s="1873"/>
      <c r="B188" s="180"/>
      <c r="C188" s="189"/>
      <c r="D188" s="182"/>
      <c r="E188" s="190"/>
      <c r="F188" s="1857"/>
      <c r="G188" s="70"/>
      <c r="H188" s="70"/>
      <c r="J188" s="70"/>
      <c r="L188" s="71"/>
      <c r="N188" s="65"/>
      <c r="O188" s="64"/>
    </row>
    <row r="189" spans="1:15" ht="15" customHeight="1" x14ac:dyDescent="0.2">
      <c r="A189" s="1873"/>
      <c r="B189" s="180"/>
      <c r="C189" s="189"/>
      <c r="D189" s="182"/>
      <c r="E189" s="190"/>
      <c r="F189" s="1857"/>
      <c r="G189" s="70"/>
      <c r="H189" s="70"/>
      <c r="J189" s="70"/>
      <c r="L189" s="71"/>
      <c r="N189" s="65"/>
      <c r="O189" s="64"/>
    </row>
    <row r="190" spans="1:15" ht="15" customHeight="1" x14ac:dyDescent="0.2">
      <c r="A190" s="1873"/>
      <c r="B190" s="180"/>
      <c r="C190" s="189"/>
      <c r="D190" s="182"/>
      <c r="E190" s="190"/>
      <c r="F190" s="1857"/>
      <c r="G190" s="70"/>
      <c r="H190" s="70"/>
      <c r="J190" s="70"/>
      <c r="L190" s="71"/>
      <c r="N190" s="65"/>
      <c r="O190" s="64"/>
    </row>
    <row r="191" spans="1:15" ht="15" customHeight="1" x14ac:dyDescent="0.2">
      <c r="A191" s="1873"/>
      <c r="B191" s="180"/>
      <c r="C191" s="189"/>
      <c r="D191" s="182"/>
      <c r="E191" s="190"/>
      <c r="F191" s="1857"/>
      <c r="G191" s="70"/>
      <c r="H191" s="70"/>
      <c r="J191" s="70"/>
      <c r="L191" s="71"/>
      <c r="N191" s="65"/>
      <c r="O191" s="64"/>
    </row>
    <row r="192" spans="1:15" ht="15" customHeight="1" x14ac:dyDescent="0.2">
      <c r="A192" s="1873"/>
      <c r="B192" s="180"/>
      <c r="C192" s="189"/>
      <c r="D192" s="182"/>
      <c r="E192" s="190"/>
      <c r="F192" s="1857"/>
      <c r="G192" s="70"/>
      <c r="H192" s="70"/>
      <c r="J192" s="70"/>
      <c r="L192" s="71"/>
      <c r="N192" s="65"/>
      <c r="O192" s="64"/>
    </row>
    <row r="193" spans="1:15" ht="15" customHeight="1" x14ac:dyDescent="0.2">
      <c r="A193" s="1873"/>
      <c r="B193" s="180"/>
      <c r="C193" s="189"/>
      <c r="D193" s="182"/>
      <c r="E193" s="190"/>
      <c r="F193" s="1857"/>
      <c r="G193" s="70"/>
      <c r="H193" s="70"/>
      <c r="J193" s="70"/>
      <c r="L193" s="71"/>
      <c r="N193" s="65"/>
      <c r="O193" s="64"/>
    </row>
    <row r="194" spans="1:15" ht="15" customHeight="1" x14ac:dyDescent="0.2">
      <c r="A194" s="1873"/>
      <c r="B194" s="180"/>
      <c r="C194" s="189"/>
      <c r="D194" s="182"/>
      <c r="E194" s="190"/>
      <c r="F194" s="1857"/>
      <c r="G194" s="70"/>
      <c r="H194" s="70"/>
      <c r="J194" s="70"/>
      <c r="L194" s="71"/>
      <c r="N194" s="65"/>
      <c r="O194" s="64"/>
    </row>
    <row r="195" spans="1:15" ht="15" customHeight="1" x14ac:dyDescent="0.2">
      <c r="A195" s="1873"/>
      <c r="B195" s="180"/>
      <c r="C195" s="189"/>
      <c r="D195" s="182"/>
      <c r="E195" s="190"/>
      <c r="F195" s="1857"/>
      <c r="G195" s="70"/>
      <c r="H195" s="70"/>
      <c r="J195" s="70"/>
      <c r="L195" s="71"/>
      <c r="N195" s="65"/>
      <c r="O195" s="64"/>
    </row>
    <row r="196" spans="1:15" ht="15" customHeight="1" x14ac:dyDescent="0.2">
      <c r="A196" s="1873"/>
      <c r="B196" s="180"/>
      <c r="C196" s="189"/>
      <c r="D196" s="182"/>
      <c r="E196" s="190"/>
      <c r="F196" s="1857"/>
      <c r="G196" s="70"/>
      <c r="H196" s="70"/>
      <c r="J196" s="70"/>
      <c r="L196" s="71"/>
      <c r="N196" s="65"/>
      <c r="O196" s="64"/>
    </row>
    <row r="197" spans="1:15" ht="15" customHeight="1" x14ac:dyDescent="0.2">
      <c r="A197" s="1873"/>
      <c r="B197" s="180"/>
      <c r="C197" s="189"/>
      <c r="D197" s="182"/>
      <c r="E197" s="190"/>
      <c r="F197" s="1857"/>
      <c r="G197" s="70"/>
      <c r="H197" s="70"/>
      <c r="J197" s="70"/>
      <c r="L197" s="71"/>
      <c r="N197" s="65"/>
      <c r="O197" s="64"/>
    </row>
    <row r="198" spans="1:15" ht="15" customHeight="1" x14ac:dyDescent="0.2">
      <c r="A198" s="1873"/>
      <c r="B198" s="180"/>
      <c r="C198" s="189"/>
      <c r="D198" s="182"/>
      <c r="E198" s="190"/>
      <c r="F198" s="1857"/>
      <c r="G198" s="70"/>
      <c r="H198" s="70"/>
      <c r="J198" s="70"/>
      <c r="L198" s="71"/>
      <c r="N198" s="65"/>
      <c r="O198" s="64"/>
    </row>
    <row r="199" spans="1:15" ht="15" customHeight="1" x14ac:dyDescent="0.2">
      <c r="A199" s="1873"/>
      <c r="B199" s="180"/>
      <c r="C199" s="189"/>
      <c r="D199" s="182"/>
      <c r="E199" s="190"/>
      <c r="F199" s="1857"/>
      <c r="G199" s="70"/>
      <c r="H199" s="70"/>
      <c r="J199" s="70"/>
      <c r="L199" s="71"/>
      <c r="N199" s="65"/>
      <c r="O199" s="64"/>
    </row>
    <row r="200" spans="1:15" ht="15" customHeight="1" x14ac:dyDescent="0.2">
      <c r="A200" s="1873"/>
      <c r="B200" s="180"/>
      <c r="C200" s="189"/>
      <c r="D200" s="182"/>
      <c r="E200" s="190"/>
      <c r="F200" s="1857"/>
      <c r="G200" s="70"/>
      <c r="H200" s="70"/>
      <c r="J200" s="70"/>
      <c r="L200" s="71"/>
      <c r="N200" s="65"/>
      <c r="O200" s="64"/>
    </row>
    <row r="201" spans="1:15" ht="15" customHeight="1" x14ac:dyDescent="0.2">
      <c r="A201" s="1873"/>
      <c r="B201" s="180"/>
      <c r="C201" s="189"/>
      <c r="D201" s="182"/>
      <c r="E201" s="190"/>
      <c r="F201" s="1857"/>
      <c r="G201" s="70"/>
      <c r="H201" s="70"/>
      <c r="J201" s="70"/>
      <c r="L201" s="71"/>
      <c r="N201" s="65"/>
      <c r="O201" s="64"/>
    </row>
    <row r="202" spans="1:15" ht="15" customHeight="1" x14ac:dyDescent="0.2">
      <c r="A202" s="1873"/>
      <c r="B202" s="180"/>
      <c r="C202" s="189"/>
      <c r="D202" s="182"/>
      <c r="E202" s="190"/>
      <c r="F202" s="1857"/>
      <c r="G202" s="70"/>
      <c r="H202" s="70"/>
      <c r="J202" s="70"/>
      <c r="L202" s="71"/>
      <c r="N202" s="65"/>
      <c r="O202" s="64"/>
    </row>
    <row r="203" spans="1:15" ht="15" customHeight="1" x14ac:dyDescent="0.2">
      <c r="A203" s="1873"/>
      <c r="B203" s="180"/>
      <c r="C203" s="189"/>
      <c r="D203" s="182"/>
      <c r="E203" s="190"/>
      <c r="F203" s="1857"/>
      <c r="G203" s="70"/>
      <c r="H203" s="70"/>
      <c r="J203" s="70"/>
      <c r="L203" s="71"/>
      <c r="N203" s="65"/>
      <c r="O203" s="64"/>
    </row>
    <row r="204" spans="1:15" ht="15" customHeight="1" x14ac:dyDescent="0.2">
      <c r="A204" s="1873"/>
      <c r="B204" s="180"/>
      <c r="C204" s="189"/>
      <c r="D204" s="182"/>
      <c r="E204" s="190"/>
      <c r="F204" s="1857"/>
      <c r="G204" s="70"/>
      <c r="H204" s="70"/>
      <c r="J204" s="70"/>
      <c r="L204" s="71"/>
      <c r="N204" s="65"/>
      <c r="O204" s="64"/>
    </row>
    <row r="205" spans="1:15" ht="15" customHeight="1" x14ac:dyDescent="0.2">
      <c r="A205" s="1873"/>
      <c r="B205" s="180"/>
      <c r="C205" s="189"/>
      <c r="D205" s="182"/>
      <c r="E205" s="190"/>
      <c r="F205" s="1857"/>
      <c r="G205" s="70"/>
      <c r="H205" s="70"/>
      <c r="J205" s="70"/>
      <c r="L205" s="71"/>
      <c r="N205" s="65"/>
      <c r="O205" s="64"/>
    </row>
    <row r="206" spans="1:15" ht="15" customHeight="1" x14ac:dyDescent="0.2">
      <c r="A206" s="1873"/>
      <c r="B206" s="180"/>
      <c r="C206" s="189"/>
      <c r="D206" s="182"/>
      <c r="E206" s="190"/>
      <c r="F206" s="1857"/>
      <c r="G206" s="70"/>
      <c r="H206" s="70"/>
      <c r="J206" s="70"/>
      <c r="L206" s="71"/>
      <c r="N206" s="65"/>
      <c r="O206" s="64"/>
    </row>
    <row r="207" spans="1:15" ht="15" customHeight="1" x14ac:dyDescent="0.2">
      <c r="A207" s="1873"/>
      <c r="B207" s="180"/>
      <c r="C207" s="189"/>
      <c r="D207" s="182"/>
      <c r="E207" s="190"/>
      <c r="F207" s="1857"/>
      <c r="G207" s="70"/>
      <c r="H207" s="70"/>
      <c r="J207" s="70"/>
      <c r="L207" s="71"/>
      <c r="N207" s="65"/>
      <c r="O207" s="64"/>
    </row>
    <row r="208" spans="1:15" ht="15" customHeight="1" x14ac:dyDescent="0.2">
      <c r="A208" s="1873"/>
      <c r="B208" s="180"/>
      <c r="C208" s="189"/>
      <c r="D208" s="182"/>
      <c r="E208" s="190"/>
      <c r="F208" s="1857"/>
      <c r="G208" s="70"/>
      <c r="H208" s="70"/>
      <c r="J208" s="70"/>
      <c r="L208" s="71"/>
      <c r="N208" s="65"/>
      <c r="O208" s="64"/>
    </row>
    <row r="209" spans="1:15" ht="15" customHeight="1" x14ac:dyDescent="0.2">
      <c r="A209" s="1873"/>
      <c r="B209" s="180"/>
      <c r="C209" s="189"/>
      <c r="D209" s="182"/>
      <c r="E209" s="190"/>
      <c r="F209" s="1857"/>
      <c r="G209" s="70"/>
      <c r="H209" s="70"/>
      <c r="J209" s="70"/>
      <c r="L209" s="71"/>
      <c r="N209" s="65"/>
      <c r="O209" s="64"/>
    </row>
    <row r="210" spans="1:15" ht="15" customHeight="1" x14ac:dyDescent="0.2">
      <c r="A210" s="1873"/>
      <c r="B210" s="180"/>
      <c r="C210" s="189"/>
      <c r="D210" s="182"/>
      <c r="E210" s="190"/>
      <c r="F210" s="1857"/>
      <c r="G210" s="70"/>
      <c r="H210" s="70"/>
      <c r="J210" s="70"/>
      <c r="L210" s="71"/>
      <c r="N210" s="65"/>
      <c r="O210" s="64"/>
    </row>
    <row r="211" spans="1:15" ht="15" customHeight="1" x14ac:dyDescent="0.2">
      <c r="A211" s="1873"/>
      <c r="B211" s="180"/>
      <c r="C211" s="189"/>
      <c r="D211" s="182"/>
      <c r="E211" s="190"/>
      <c r="F211" s="1857"/>
      <c r="G211" s="70"/>
      <c r="H211" s="70"/>
      <c r="J211" s="70"/>
      <c r="L211" s="71"/>
      <c r="N211" s="65"/>
      <c r="O211" s="64"/>
    </row>
    <row r="212" spans="1:15" ht="15" customHeight="1" x14ac:dyDescent="0.2">
      <c r="A212" s="1873"/>
      <c r="B212" s="180"/>
      <c r="C212" s="189"/>
      <c r="D212" s="182"/>
      <c r="E212" s="190"/>
      <c r="F212" s="1857"/>
      <c r="G212" s="70"/>
      <c r="H212" s="70"/>
      <c r="J212" s="70"/>
      <c r="L212" s="71"/>
      <c r="N212" s="65"/>
      <c r="O212" s="64"/>
    </row>
    <row r="213" spans="1:15" ht="15" customHeight="1" x14ac:dyDescent="0.2">
      <c r="A213" s="1873"/>
      <c r="B213" s="180"/>
      <c r="C213" s="189"/>
      <c r="D213" s="182"/>
      <c r="E213" s="190"/>
      <c r="F213" s="1857"/>
      <c r="G213" s="70"/>
      <c r="H213" s="70"/>
      <c r="J213" s="70"/>
      <c r="L213" s="71"/>
      <c r="N213" s="65"/>
      <c r="O213" s="64"/>
    </row>
    <row r="214" spans="1:15" ht="15" customHeight="1" x14ac:dyDescent="0.2">
      <c r="A214" s="1873"/>
      <c r="B214" s="180"/>
      <c r="C214" s="189"/>
      <c r="D214" s="182"/>
      <c r="E214" s="190"/>
      <c r="F214" s="1857"/>
      <c r="G214" s="70"/>
      <c r="H214" s="70"/>
      <c r="J214" s="70"/>
      <c r="L214" s="71"/>
      <c r="N214" s="65"/>
      <c r="O214" s="64"/>
    </row>
    <row r="215" spans="1:15" ht="15" customHeight="1" x14ac:dyDescent="0.2">
      <c r="A215" s="1873"/>
      <c r="B215" s="180"/>
      <c r="C215" s="189"/>
      <c r="D215" s="182"/>
      <c r="E215" s="190"/>
      <c r="F215" s="1857"/>
      <c r="G215" s="70"/>
      <c r="H215" s="70"/>
      <c r="J215" s="70"/>
      <c r="L215" s="71"/>
      <c r="N215" s="65"/>
      <c r="O215" s="64"/>
    </row>
    <row r="216" spans="1:15" ht="15" customHeight="1" x14ac:dyDescent="0.2">
      <c r="A216" s="1873"/>
      <c r="B216" s="180"/>
      <c r="C216" s="189"/>
      <c r="D216" s="182"/>
      <c r="E216" s="190"/>
      <c r="F216" s="1857"/>
      <c r="G216" s="70"/>
      <c r="H216" s="70"/>
      <c r="J216" s="70"/>
      <c r="L216" s="71"/>
      <c r="N216" s="65"/>
      <c r="O216" s="64"/>
    </row>
    <row r="217" spans="1:15" ht="15" customHeight="1" x14ac:dyDescent="0.2">
      <c r="A217" s="1873"/>
      <c r="B217" s="180"/>
      <c r="C217" s="189"/>
      <c r="D217" s="182"/>
      <c r="E217" s="190"/>
      <c r="F217" s="1857"/>
      <c r="G217" s="70"/>
      <c r="H217" s="70"/>
      <c r="J217" s="70"/>
      <c r="L217" s="71"/>
      <c r="N217" s="65"/>
      <c r="O217" s="64"/>
    </row>
    <row r="218" spans="1:15" ht="15" customHeight="1" x14ac:dyDescent="0.2">
      <c r="A218" s="1873"/>
      <c r="B218" s="180"/>
      <c r="C218" s="189"/>
      <c r="D218" s="182"/>
      <c r="E218" s="190"/>
      <c r="F218" s="1857"/>
      <c r="G218" s="70"/>
      <c r="H218" s="70"/>
      <c r="J218" s="70"/>
      <c r="L218" s="71"/>
      <c r="N218" s="65"/>
      <c r="O218" s="64"/>
    </row>
    <row r="219" spans="1:15" ht="15" customHeight="1" x14ac:dyDescent="0.2">
      <c r="A219" s="1873"/>
      <c r="B219" s="180"/>
      <c r="C219" s="189"/>
      <c r="D219" s="182"/>
      <c r="E219" s="190"/>
      <c r="F219" s="1857"/>
      <c r="G219" s="70"/>
      <c r="H219" s="70"/>
      <c r="J219" s="70"/>
      <c r="L219" s="71"/>
      <c r="N219" s="65"/>
      <c r="O219" s="64"/>
    </row>
    <row r="220" spans="1:15" ht="15" customHeight="1" x14ac:dyDescent="0.2">
      <c r="A220" s="1873"/>
      <c r="B220" s="180"/>
      <c r="C220" s="189"/>
      <c r="D220" s="182"/>
      <c r="E220" s="190"/>
      <c r="F220" s="1857"/>
      <c r="G220" s="70"/>
      <c r="H220" s="70"/>
      <c r="J220" s="70"/>
      <c r="L220" s="71"/>
      <c r="N220" s="65"/>
      <c r="O220" s="64"/>
    </row>
    <row r="221" spans="1:15" ht="15" customHeight="1" x14ac:dyDescent="0.2">
      <c r="A221" s="1873"/>
      <c r="B221" s="180"/>
      <c r="C221" s="189"/>
      <c r="D221" s="182"/>
      <c r="E221" s="190"/>
      <c r="F221" s="1857"/>
      <c r="G221" s="70"/>
      <c r="H221" s="70"/>
      <c r="J221" s="70"/>
      <c r="L221" s="71"/>
      <c r="N221" s="65"/>
      <c r="O221" s="64"/>
    </row>
    <row r="222" spans="1:15" ht="15" customHeight="1" x14ac:dyDescent="0.2">
      <c r="A222" s="1873"/>
      <c r="B222" s="180"/>
      <c r="C222" s="189"/>
      <c r="D222" s="182"/>
      <c r="E222" s="190"/>
      <c r="F222" s="1857"/>
      <c r="G222" s="70"/>
      <c r="H222" s="70"/>
      <c r="J222" s="70"/>
      <c r="L222" s="71"/>
      <c r="N222" s="65"/>
      <c r="O222" s="64"/>
    </row>
    <row r="223" spans="1:15" ht="15" customHeight="1" x14ac:dyDescent="0.2">
      <c r="A223" s="1873"/>
      <c r="B223" s="180"/>
      <c r="C223" s="189"/>
      <c r="D223" s="182"/>
      <c r="E223" s="190"/>
      <c r="F223" s="1857"/>
      <c r="G223" s="70"/>
      <c r="H223" s="70"/>
      <c r="J223" s="70"/>
      <c r="L223" s="71"/>
      <c r="N223" s="65"/>
      <c r="O223" s="64"/>
    </row>
    <row r="224" spans="1:15" ht="15" customHeight="1" x14ac:dyDescent="0.2">
      <c r="A224" s="1873"/>
      <c r="B224" s="180"/>
      <c r="C224" s="189"/>
      <c r="D224" s="182"/>
      <c r="E224" s="190"/>
      <c r="F224" s="1857"/>
      <c r="G224" s="70"/>
      <c r="H224" s="70"/>
      <c r="J224" s="70"/>
      <c r="L224" s="71"/>
      <c r="N224" s="65"/>
      <c r="O224" s="64"/>
    </row>
    <row r="225" spans="1:15" ht="15" customHeight="1" x14ac:dyDescent="0.2">
      <c r="A225" s="1873"/>
      <c r="B225" s="180"/>
      <c r="C225" s="189"/>
      <c r="D225" s="182"/>
      <c r="E225" s="190"/>
      <c r="F225" s="1857"/>
      <c r="G225" s="70"/>
      <c r="H225" s="70"/>
      <c r="J225" s="70"/>
      <c r="L225" s="71"/>
      <c r="N225" s="65"/>
      <c r="O225" s="64"/>
    </row>
    <row r="226" spans="1:15" ht="15" customHeight="1" x14ac:dyDescent="0.2">
      <c r="A226" s="1873"/>
      <c r="B226" s="180"/>
      <c r="C226" s="189"/>
      <c r="D226" s="182"/>
      <c r="E226" s="190"/>
      <c r="F226" s="1857"/>
      <c r="G226" s="70"/>
      <c r="H226" s="70"/>
      <c r="J226" s="70"/>
      <c r="L226" s="71"/>
      <c r="N226" s="65"/>
      <c r="O226" s="64"/>
    </row>
    <row r="227" spans="1:15" ht="15" customHeight="1" x14ac:dyDescent="0.2">
      <c r="A227" s="1873"/>
      <c r="B227" s="180"/>
      <c r="C227" s="189"/>
      <c r="D227" s="182"/>
      <c r="E227" s="190"/>
      <c r="F227" s="1857"/>
      <c r="G227" s="70"/>
      <c r="H227" s="70"/>
      <c r="J227" s="70"/>
      <c r="L227" s="71"/>
      <c r="N227" s="65"/>
      <c r="O227" s="64"/>
    </row>
    <row r="228" spans="1:15" ht="15" customHeight="1" x14ac:dyDescent="0.2">
      <c r="A228" s="1873"/>
      <c r="B228" s="180"/>
      <c r="C228" s="189"/>
      <c r="D228" s="182"/>
      <c r="E228" s="190"/>
      <c r="F228" s="1857"/>
      <c r="G228" s="70"/>
      <c r="H228" s="70"/>
      <c r="J228" s="70"/>
      <c r="L228" s="71"/>
      <c r="N228" s="65"/>
      <c r="O228" s="64"/>
    </row>
    <row r="229" spans="1:15" ht="15" customHeight="1" x14ac:dyDescent="0.2">
      <c r="A229" s="1873"/>
      <c r="B229" s="180"/>
      <c r="C229" s="189"/>
      <c r="D229" s="182"/>
      <c r="E229" s="190"/>
      <c r="F229" s="1857"/>
      <c r="G229" s="70"/>
      <c r="H229" s="70"/>
      <c r="J229" s="70"/>
      <c r="L229" s="71"/>
      <c r="N229" s="65"/>
      <c r="O229" s="64"/>
    </row>
    <row r="230" spans="1:15" ht="15" customHeight="1" x14ac:dyDescent="0.2">
      <c r="A230" s="1873"/>
      <c r="B230" s="180"/>
      <c r="C230" s="189"/>
      <c r="D230" s="182"/>
      <c r="E230" s="190"/>
      <c r="F230" s="1857"/>
      <c r="G230" s="70"/>
      <c r="H230" s="70"/>
      <c r="J230" s="70"/>
      <c r="L230" s="71"/>
      <c r="N230" s="65"/>
      <c r="O230" s="64"/>
    </row>
    <row r="231" spans="1:15" ht="15" customHeight="1" x14ac:dyDescent="0.2">
      <c r="A231" s="1873"/>
      <c r="B231" s="180"/>
      <c r="C231" s="189"/>
      <c r="D231" s="182"/>
      <c r="E231" s="190"/>
      <c r="F231" s="1857"/>
      <c r="G231" s="70"/>
      <c r="H231" s="70"/>
      <c r="J231" s="70"/>
      <c r="L231" s="71"/>
      <c r="N231" s="65"/>
      <c r="O231" s="64"/>
    </row>
    <row r="232" spans="1:15" ht="15" customHeight="1" x14ac:dyDescent="0.2">
      <c r="A232" s="1873"/>
      <c r="B232" s="180"/>
      <c r="C232" s="189"/>
      <c r="D232" s="182"/>
      <c r="E232" s="190"/>
      <c r="F232" s="1857"/>
      <c r="G232" s="70"/>
      <c r="H232" s="70"/>
      <c r="J232" s="70"/>
      <c r="L232" s="71"/>
      <c r="N232" s="65"/>
      <c r="O232" s="64"/>
    </row>
    <row r="233" spans="1:15" ht="15" customHeight="1" x14ac:dyDescent="0.2">
      <c r="A233" s="1873"/>
      <c r="B233" s="180"/>
      <c r="C233" s="189"/>
      <c r="D233" s="182"/>
      <c r="E233" s="190"/>
      <c r="F233" s="1857"/>
      <c r="G233" s="70"/>
      <c r="H233" s="70"/>
      <c r="J233" s="70"/>
      <c r="L233" s="71"/>
      <c r="N233" s="65"/>
      <c r="O233" s="64"/>
    </row>
    <row r="234" spans="1:15" ht="15" customHeight="1" x14ac:dyDescent="0.2">
      <c r="A234" s="1873"/>
      <c r="B234" s="180"/>
      <c r="C234" s="189"/>
      <c r="D234" s="182"/>
      <c r="E234" s="190"/>
      <c r="F234" s="1857"/>
      <c r="G234" s="70"/>
      <c r="H234" s="70"/>
      <c r="J234" s="70"/>
      <c r="L234" s="71"/>
      <c r="N234" s="65"/>
      <c r="O234" s="64"/>
    </row>
    <row r="235" spans="1:15" ht="15" customHeight="1" x14ac:dyDescent="0.2">
      <c r="A235" s="1873"/>
      <c r="B235" s="180"/>
      <c r="C235" s="189"/>
      <c r="D235" s="182"/>
      <c r="E235" s="190"/>
      <c r="F235" s="1857"/>
      <c r="G235" s="70"/>
      <c r="H235" s="70"/>
      <c r="J235" s="70"/>
      <c r="L235" s="71"/>
      <c r="N235" s="65"/>
      <c r="O235" s="64"/>
    </row>
    <row r="236" spans="1:15" ht="15" customHeight="1" x14ac:dyDescent="0.2">
      <c r="A236" s="1873"/>
      <c r="B236" s="180"/>
      <c r="C236" s="189"/>
      <c r="D236" s="182"/>
      <c r="E236" s="190"/>
      <c r="F236" s="1857"/>
      <c r="G236" s="70"/>
      <c r="H236" s="70"/>
      <c r="J236" s="70"/>
      <c r="L236" s="71"/>
      <c r="N236" s="65"/>
      <c r="O236" s="64"/>
    </row>
    <row r="237" spans="1:15" ht="15" customHeight="1" x14ac:dyDescent="0.2">
      <c r="A237" s="1873"/>
      <c r="B237" s="180"/>
      <c r="C237" s="189"/>
      <c r="D237" s="182"/>
      <c r="E237" s="190"/>
      <c r="F237" s="1857"/>
      <c r="G237" s="70"/>
      <c r="H237" s="70"/>
      <c r="J237" s="70"/>
      <c r="L237" s="71"/>
      <c r="N237" s="65"/>
      <c r="O237" s="64"/>
    </row>
    <row r="238" spans="1:15" ht="15" customHeight="1" x14ac:dyDescent="0.2">
      <c r="A238" s="1873"/>
      <c r="B238" s="180"/>
      <c r="C238" s="189"/>
      <c r="D238" s="182"/>
      <c r="E238" s="190"/>
      <c r="F238" s="1857"/>
      <c r="G238" s="70"/>
      <c r="H238" s="70"/>
      <c r="J238" s="70"/>
      <c r="L238" s="71"/>
      <c r="N238" s="65"/>
      <c r="O238" s="64"/>
    </row>
    <row r="239" spans="1:15" ht="15" customHeight="1" x14ac:dyDescent="0.2">
      <c r="A239" s="1873"/>
      <c r="B239" s="180"/>
      <c r="C239" s="189"/>
      <c r="D239" s="182"/>
      <c r="E239" s="190"/>
      <c r="F239" s="1857"/>
      <c r="G239" s="70"/>
      <c r="H239" s="70"/>
      <c r="J239" s="70"/>
      <c r="L239" s="71"/>
      <c r="N239" s="65"/>
      <c r="O239" s="64"/>
    </row>
    <row r="240" spans="1:15" ht="15" customHeight="1" x14ac:dyDescent="0.2">
      <c r="A240" s="1873"/>
      <c r="B240" s="180"/>
      <c r="C240" s="189"/>
      <c r="D240" s="182"/>
      <c r="E240" s="190"/>
      <c r="F240" s="1857"/>
      <c r="G240" s="70"/>
      <c r="H240" s="70"/>
      <c r="J240" s="70"/>
      <c r="L240" s="71"/>
      <c r="N240" s="65"/>
      <c r="O240" s="64"/>
    </row>
    <row r="241" spans="1:15" ht="15" customHeight="1" x14ac:dyDescent="0.2">
      <c r="A241" s="1873"/>
      <c r="B241" s="180"/>
      <c r="C241" s="189"/>
      <c r="D241" s="182"/>
      <c r="E241" s="190"/>
      <c r="F241" s="1857"/>
      <c r="G241" s="70"/>
      <c r="H241" s="70"/>
      <c r="J241" s="70"/>
      <c r="L241" s="71"/>
      <c r="N241" s="65"/>
      <c r="O241" s="64"/>
    </row>
    <row r="242" spans="1:15" ht="15" customHeight="1" x14ac:dyDescent="0.2">
      <c r="A242" s="1873"/>
      <c r="B242" s="180"/>
      <c r="C242" s="189"/>
      <c r="D242" s="182"/>
      <c r="E242" s="190"/>
      <c r="F242" s="1857"/>
      <c r="G242" s="70"/>
      <c r="H242" s="70"/>
      <c r="J242" s="70"/>
      <c r="L242" s="71"/>
      <c r="N242" s="65"/>
      <c r="O242" s="64"/>
    </row>
    <row r="243" spans="1:15" ht="15" customHeight="1" x14ac:dyDescent="0.2">
      <c r="A243" s="1873"/>
      <c r="B243" s="180"/>
      <c r="C243" s="189"/>
      <c r="D243" s="182"/>
      <c r="E243" s="190"/>
      <c r="F243" s="1857"/>
      <c r="G243" s="70"/>
      <c r="H243" s="70"/>
      <c r="J243" s="70"/>
      <c r="L243" s="71"/>
      <c r="N243" s="65"/>
      <c r="O243" s="64"/>
    </row>
    <row r="244" spans="1:15" ht="15" customHeight="1" x14ac:dyDescent="0.2">
      <c r="A244" s="1873"/>
      <c r="B244" s="180"/>
      <c r="C244" s="189"/>
      <c r="D244" s="182"/>
      <c r="E244" s="190"/>
      <c r="F244" s="1857"/>
      <c r="G244" s="70"/>
      <c r="H244" s="70"/>
      <c r="J244" s="70"/>
      <c r="L244" s="71"/>
      <c r="N244" s="65"/>
      <c r="O244" s="64"/>
    </row>
    <row r="245" spans="1:15" ht="15" customHeight="1" x14ac:dyDescent="0.2">
      <c r="A245" s="1873"/>
      <c r="B245" s="180"/>
      <c r="C245" s="189"/>
      <c r="D245" s="182"/>
      <c r="E245" s="190"/>
      <c r="F245" s="1857"/>
      <c r="G245" s="70"/>
      <c r="H245" s="70"/>
      <c r="J245" s="70"/>
      <c r="L245" s="71"/>
      <c r="N245" s="65"/>
      <c r="O245" s="64"/>
    </row>
    <row r="246" spans="1:15" ht="15" customHeight="1" x14ac:dyDescent="0.2">
      <c r="A246" s="1873"/>
      <c r="B246" s="180"/>
      <c r="C246" s="189"/>
      <c r="D246" s="182"/>
      <c r="E246" s="190"/>
      <c r="F246" s="1857"/>
      <c r="G246" s="70"/>
      <c r="H246" s="70"/>
      <c r="J246" s="70"/>
      <c r="L246" s="71"/>
      <c r="N246" s="65"/>
      <c r="O246" s="64"/>
    </row>
    <row r="247" spans="1:15" ht="15" customHeight="1" x14ac:dyDescent="0.2">
      <c r="A247" s="1873"/>
      <c r="B247" s="180"/>
      <c r="C247" s="189"/>
      <c r="D247" s="182"/>
      <c r="E247" s="190"/>
      <c r="F247" s="1857"/>
      <c r="G247" s="70"/>
      <c r="H247" s="70"/>
      <c r="J247" s="70"/>
      <c r="L247" s="71"/>
      <c r="N247" s="65"/>
      <c r="O247" s="64"/>
    </row>
    <row r="248" spans="1:15" ht="15" customHeight="1" x14ac:dyDescent="0.2">
      <c r="A248" s="1873"/>
      <c r="B248" s="180"/>
      <c r="C248" s="189"/>
      <c r="D248" s="182"/>
      <c r="E248" s="190"/>
      <c r="F248" s="1857"/>
      <c r="G248" s="70"/>
      <c r="H248" s="70"/>
      <c r="J248" s="70"/>
      <c r="L248" s="71"/>
      <c r="N248" s="65"/>
      <c r="O248" s="64"/>
    </row>
    <row r="249" spans="1:15" ht="15" customHeight="1" x14ac:dyDescent="0.2">
      <c r="A249" s="1873"/>
      <c r="B249" s="180"/>
      <c r="C249" s="189"/>
      <c r="D249" s="182"/>
      <c r="E249" s="190"/>
      <c r="F249" s="1857"/>
      <c r="G249" s="70"/>
      <c r="H249" s="70"/>
      <c r="J249" s="70"/>
      <c r="L249" s="71"/>
      <c r="N249" s="65"/>
      <c r="O249" s="64"/>
    </row>
    <row r="250" spans="1:15" ht="15" customHeight="1" x14ac:dyDescent="0.2">
      <c r="A250" s="1873"/>
      <c r="B250" s="180"/>
      <c r="C250" s="189"/>
      <c r="D250" s="182"/>
      <c r="E250" s="190"/>
      <c r="F250" s="1857"/>
      <c r="G250" s="70"/>
      <c r="H250" s="70"/>
      <c r="J250" s="70"/>
      <c r="L250" s="71"/>
      <c r="N250" s="65"/>
      <c r="O250" s="64"/>
    </row>
    <row r="251" spans="1:15" ht="15" customHeight="1" x14ac:dyDescent="0.2">
      <c r="A251" s="1873"/>
      <c r="B251" s="180"/>
      <c r="C251" s="189"/>
      <c r="D251" s="182"/>
      <c r="E251" s="190"/>
      <c r="F251" s="1857"/>
      <c r="G251" s="70"/>
      <c r="H251" s="70"/>
      <c r="J251" s="70"/>
      <c r="L251" s="71"/>
      <c r="N251" s="65"/>
      <c r="O251" s="64"/>
    </row>
    <row r="252" spans="1:15" ht="15" customHeight="1" x14ac:dyDescent="0.2">
      <c r="A252" s="1873"/>
      <c r="B252" s="180"/>
      <c r="C252" s="189"/>
      <c r="D252" s="182"/>
      <c r="E252" s="190"/>
      <c r="F252" s="1857"/>
      <c r="G252" s="70"/>
      <c r="H252" s="70"/>
      <c r="J252" s="70"/>
      <c r="L252" s="71"/>
      <c r="N252" s="65"/>
      <c r="O252" s="64"/>
    </row>
    <row r="253" spans="1:15" ht="15" customHeight="1" x14ac:dyDescent="0.2">
      <c r="A253" s="1873"/>
      <c r="B253" s="180"/>
      <c r="C253" s="189"/>
      <c r="D253" s="182"/>
      <c r="E253" s="190"/>
      <c r="F253" s="1857"/>
      <c r="G253" s="70"/>
      <c r="H253" s="70"/>
      <c r="J253" s="70"/>
      <c r="L253" s="71"/>
      <c r="N253" s="65"/>
      <c r="O253" s="64"/>
    </row>
    <row r="254" spans="1:15" ht="15" customHeight="1" x14ac:dyDescent="0.2">
      <c r="A254" s="1873"/>
      <c r="B254" s="180"/>
      <c r="C254" s="189"/>
      <c r="D254" s="182"/>
      <c r="E254" s="190"/>
      <c r="F254" s="1857"/>
      <c r="G254" s="70"/>
      <c r="H254" s="70"/>
      <c r="J254" s="70"/>
      <c r="L254" s="71"/>
      <c r="N254" s="65"/>
      <c r="O254" s="64"/>
    </row>
    <row r="255" spans="1:15" ht="15" customHeight="1" x14ac:dyDescent="0.2">
      <c r="A255" s="1873"/>
      <c r="B255" s="180"/>
      <c r="C255" s="189"/>
      <c r="D255" s="182"/>
      <c r="E255" s="190"/>
      <c r="F255" s="1857"/>
      <c r="G255" s="70"/>
      <c r="H255" s="70"/>
      <c r="J255" s="70"/>
      <c r="L255" s="71"/>
      <c r="N255" s="65"/>
      <c r="O255" s="64"/>
    </row>
    <row r="256" spans="1:15" ht="15" customHeight="1" x14ac:dyDescent="0.2">
      <c r="A256" s="1873"/>
      <c r="B256" s="180"/>
      <c r="C256" s="189"/>
      <c r="D256" s="182"/>
      <c r="E256" s="190"/>
      <c r="F256" s="1857"/>
      <c r="G256" s="70"/>
      <c r="H256" s="70"/>
      <c r="J256" s="70"/>
      <c r="L256" s="71"/>
      <c r="N256" s="65"/>
      <c r="O256" s="64"/>
    </row>
    <row r="257" spans="1:15" ht="15" customHeight="1" x14ac:dyDescent="0.2">
      <c r="A257" s="1873"/>
      <c r="B257" s="180"/>
      <c r="C257" s="189"/>
      <c r="D257" s="182"/>
      <c r="E257" s="190"/>
      <c r="F257" s="1857"/>
      <c r="G257" s="70"/>
      <c r="H257" s="70"/>
      <c r="J257" s="70"/>
      <c r="L257" s="71"/>
      <c r="N257" s="65"/>
      <c r="O257" s="64"/>
    </row>
    <row r="258" spans="1:15" ht="15" customHeight="1" x14ac:dyDescent="0.2">
      <c r="A258" s="1873"/>
      <c r="B258" s="180"/>
      <c r="C258" s="189"/>
      <c r="D258" s="182"/>
      <c r="E258" s="190"/>
      <c r="F258" s="1857"/>
      <c r="G258" s="70"/>
      <c r="H258" s="70"/>
      <c r="J258" s="70"/>
      <c r="L258" s="71"/>
      <c r="N258" s="65"/>
      <c r="O258" s="64"/>
    </row>
    <row r="259" spans="1:15" ht="15" customHeight="1" x14ac:dyDescent="0.2">
      <c r="A259" s="1873"/>
      <c r="B259" s="180"/>
      <c r="C259" s="189"/>
      <c r="D259" s="182"/>
      <c r="E259" s="190"/>
      <c r="F259" s="1857"/>
      <c r="G259" s="70"/>
      <c r="H259" s="70"/>
      <c r="J259" s="70"/>
      <c r="L259" s="71"/>
      <c r="N259" s="65"/>
      <c r="O259" s="64"/>
    </row>
    <row r="260" spans="1:15" ht="15" customHeight="1" x14ac:dyDescent="0.2">
      <c r="A260" s="1873"/>
      <c r="B260" s="180"/>
      <c r="C260" s="189"/>
      <c r="D260" s="182"/>
      <c r="E260" s="190"/>
      <c r="F260" s="1857"/>
      <c r="G260" s="70"/>
      <c r="H260" s="70"/>
      <c r="J260" s="70"/>
      <c r="L260" s="71"/>
      <c r="N260" s="65"/>
      <c r="O260" s="64"/>
    </row>
    <row r="261" spans="1:15" ht="15" customHeight="1" x14ac:dyDescent="0.2">
      <c r="A261" s="1873"/>
      <c r="B261" s="180"/>
      <c r="C261" s="189"/>
      <c r="D261" s="182"/>
      <c r="E261" s="190"/>
      <c r="F261" s="1857"/>
      <c r="G261" s="70"/>
      <c r="H261" s="70"/>
      <c r="J261" s="70"/>
      <c r="L261" s="71"/>
      <c r="N261" s="65"/>
      <c r="O261" s="64"/>
    </row>
    <row r="262" spans="1:15" ht="15" customHeight="1" x14ac:dyDescent="0.2">
      <c r="A262" s="1873"/>
      <c r="B262" s="180"/>
      <c r="C262" s="189"/>
      <c r="D262" s="182"/>
      <c r="E262" s="190"/>
      <c r="F262" s="1857"/>
      <c r="G262" s="70"/>
      <c r="H262" s="70"/>
      <c r="J262" s="70"/>
      <c r="L262" s="71"/>
      <c r="N262" s="65"/>
      <c r="O262" s="64"/>
    </row>
    <row r="263" spans="1:15" ht="15" customHeight="1" x14ac:dyDescent="0.2">
      <c r="A263" s="1873"/>
      <c r="B263" s="180"/>
      <c r="C263" s="189"/>
      <c r="D263" s="182"/>
      <c r="E263" s="190"/>
      <c r="F263" s="1857"/>
      <c r="G263" s="70"/>
      <c r="H263" s="70"/>
      <c r="J263" s="70"/>
      <c r="L263" s="71"/>
      <c r="N263" s="65"/>
      <c r="O263" s="64"/>
    </row>
    <row r="264" spans="1:15" ht="15" customHeight="1" x14ac:dyDescent="0.2">
      <c r="A264" s="1873"/>
      <c r="B264" s="180"/>
      <c r="C264" s="189"/>
      <c r="D264" s="182"/>
      <c r="E264" s="190"/>
      <c r="F264" s="1857"/>
      <c r="G264" s="70"/>
      <c r="H264" s="70"/>
      <c r="J264" s="70"/>
      <c r="L264" s="71"/>
      <c r="N264" s="65"/>
      <c r="O264" s="64"/>
    </row>
    <row r="265" spans="1:15" ht="15" customHeight="1" x14ac:dyDescent="0.2">
      <c r="A265" s="1873"/>
      <c r="B265" s="180"/>
      <c r="C265" s="189"/>
      <c r="D265" s="182"/>
      <c r="E265" s="190"/>
      <c r="F265" s="1857"/>
      <c r="G265" s="70"/>
      <c r="H265" s="70"/>
      <c r="J265" s="70"/>
      <c r="L265" s="71"/>
      <c r="N265" s="65"/>
      <c r="O265" s="64"/>
    </row>
    <row r="266" spans="1:15" ht="15" customHeight="1" x14ac:dyDescent="0.2">
      <c r="A266" s="1873"/>
      <c r="B266" s="180"/>
      <c r="C266" s="189"/>
      <c r="D266" s="182"/>
      <c r="E266" s="190"/>
      <c r="F266" s="1857"/>
      <c r="G266" s="70"/>
      <c r="H266" s="70"/>
      <c r="J266" s="70"/>
      <c r="L266" s="71"/>
      <c r="N266" s="65"/>
      <c r="O266" s="64"/>
    </row>
    <row r="267" spans="1:15" ht="15" customHeight="1" x14ac:dyDescent="0.2">
      <c r="A267" s="1873"/>
      <c r="B267" s="180"/>
      <c r="C267" s="189"/>
      <c r="D267" s="182"/>
      <c r="E267" s="190"/>
      <c r="F267" s="1857"/>
      <c r="G267" s="70"/>
      <c r="H267" s="70"/>
      <c r="J267" s="70"/>
      <c r="L267" s="71"/>
      <c r="N267" s="65"/>
      <c r="O267" s="64"/>
    </row>
    <row r="268" spans="1:15" ht="15" customHeight="1" x14ac:dyDescent="0.2">
      <c r="A268" s="1873"/>
      <c r="B268" s="180"/>
      <c r="C268" s="189"/>
      <c r="D268" s="182"/>
      <c r="E268" s="190"/>
      <c r="F268" s="1857"/>
      <c r="G268" s="70"/>
      <c r="H268" s="70"/>
      <c r="J268" s="70"/>
      <c r="L268" s="71"/>
      <c r="N268" s="65"/>
      <c r="O268" s="64"/>
    </row>
    <row r="269" spans="1:15" ht="15" customHeight="1" x14ac:dyDescent="0.2">
      <c r="A269" s="1873"/>
      <c r="B269" s="180"/>
      <c r="C269" s="189"/>
      <c r="D269" s="182"/>
      <c r="E269" s="190"/>
      <c r="F269" s="1857"/>
      <c r="G269" s="70"/>
      <c r="H269" s="70"/>
      <c r="J269" s="70"/>
      <c r="L269" s="71"/>
      <c r="N269" s="65"/>
      <c r="O269" s="64"/>
    </row>
    <row r="270" spans="1:15" ht="15" customHeight="1" x14ac:dyDescent="0.2">
      <c r="A270" s="1873"/>
      <c r="B270" s="180"/>
      <c r="C270" s="189"/>
      <c r="D270" s="182"/>
      <c r="E270" s="190"/>
      <c r="F270" s="1857"/>
      <c r="G270" s="70"/>
      <c r="H270" s="70"/>
      <c r="J270" s="70"/>
      <c r="L270" s="71"/>
      <c r="N270" s="65"/>
      <c r="O270" s="64"/>
    </row>
    <row r="271" spans="1:15" ht="15" customHeight="1" x14ac:dyDescent="0.2">
      <c r="A271" s="1873"/>
      <c r="B271" s="180"/>
      <c r="C271" s="189"/>
      <c r="D271" s="182"/>
      <c r="E271" s="190"/>
      <c r="F271" s="1857"/>
      <c r="G271" s="70"/>
      <c r="H271" s="70"/>
      <c r="J271" s="70"/>
      <c r="L271" s="71"/>
      <c r="N271" s="65"/>
      <c r="O271" s="64"/>
    </row>
    <row r="272" spans="1:15" ht="15" customHeight="1" x14ac:dyDescent="0.2">
      <c r="A272" s="1873"/>
      <c r="B272" s="180"/>
      <c r="C272" s="189"/>
      <c r="D272" s="182"/>
      <c r="E272" s="190"/>
      <c r="F272" s="1857"/>
      <c r="G272" s="70"/>
      <c r="H272" s="70"/>
      <c r="J272" s="70"/>
      <c r="L272" s="71"/>
      <c r="N272" s="65"/>
      <c r="O272" s="64"/>
    </row>
    <row r="273" spans="1:15" ht="15" customHeight="1" x14ac:dyDescent="0.2">
      <c r="A273" s="1873"/>
      <c r="B273" s="180"/>
      <c r="C273" s="189"/>
      <c r="D273" s="182"/>
      <c r="E273" s="190"/>
      <c r="F273" s="1857"/>
      <c r="G273" s="70"/>
      <c r="H273" s="70"/>
      <c r="J273" s="70"/>
      <c r="L273" s="71"/>
      <c r="N273" s="65"/>
      <c r="O273" s="64"/>
    </row>
    <row r="274" spans="1:15" ht="15" customHeight="1" x14ac:dyDescent="0.2">
      <c r="A274" s="1873"/>
      <c r="B274" s="180"/>
      <c r="C274" s="189"/>
      <c r="D274" s="182"/>
      <c r="E274" s="190"/>
      <c r="F274" s="1857"/>
      <c r="G274" s="70"/>
      <c r="H274" s="70"/>
      <c r="J274" s="70"/>
      <c r="L274" s="71"/>
      <c r="N274" s="65"/>
      <c r="O274" s="64"/>
    </row>
    <row r="275" spans="1:15" ht="15" customHeight="1" x14ac:dyDescent="0.2">
      <c r="A275" s="1873"/>
      <c r="B275" s="180"/>
      <c r="C275" s="189"/>
      <c r="D275" s="182"/>
      <c r="E275" s="190"/>
      <c r="F275" s="1857"/>
      <c r="G275" s="70"/>
      <c r="H275" s="70"/>
      <c r="J275" s="70"/>
      <c r="L275" s="71"/>
      <c r="N275" s="65"/>
      <c r="O275" s="64"/>
    </row>
    <row r="276" spans="1:15" ht="15" customHeight="1" x14ac:dyDescent="0.2">
      <c r="A276" s="1873"/>
      <c r="B276" s="180"/>
      <c r="C276" s="189"/>
      <c r="D276" s="182"/>
      <c r="E276" s="190"/>
      <c r="F276" s="1857"/>
      <c r="G276" s="70"/>
      <c r="H276" s="70"/>
      <c r="J276" s="70"/>
      <c r="L276" s="71"/>
      <c r="N276" s="65"/>
      <c r="O276" s="64"/>
    </row>
    <row r="277" spans="1:15" ht="15" customHeight="1" x14ac:dyDescent="0.2">
      <c r="A277" s="1873"/>
      <c r="B277" s="180"/>
      <c r="C277" s="189"/>
      <c r="D277" s="182"/>
      <c r="E277" s="190"/>
      <c r="F277" s="1857"/>
      <c r="G277" s="70"/>
      <c r="H277" s="70"/>
      <c r="J277" s="70"/>
      <c r="L277" s="71"/>
      <c r="N277" s="65"/>
      <c r="O277" s="64"/>
    </row>
    <row r="278" spans="1:15" ht="15" customHeight="1" x14ac:dyDescent="0.2">
      <c r="A278" s="1873"/>
      <c r="B278" s="180"/>
      <c r="C278" s="189"/>
      <c r="D278" s="182"/>
      <c r="E278" s="190"/>
      <c r="F278" s="1857"/>
      <c r="G278" s="70"/>
      <c r="H278" s="70"/>
      <c r="J278" s="70"/>
      <c r="L278" s="71"/>
      <c r="N278" s="65"/>
      <c r="O278" s="64"/>
    </row>
    <row r="279" spans="1:15" ht="15" customHeight="1" x14ac:dyDescent="0.2">
      <c r="A279" s="1873"/>
      <c r="B279" s="180"/>
      <c r="C279" s="189"/>
      <c r="D279" s="182"/>
      <c r="E279" s="190"/>
      <c r="F279" s="1857"/>
      <c r="G279" s="70"/>
      <c r="H279" s="70"/>
      <c r="J279" s="70"/>
      <c r="L279" s="71"/>
      <c r="N279" s="65"/>
      <c r="O279" s="64"/>
    </row>
    <row r="280" spans="1:15" ht="15" customHeight="1" x14ac:dyDescent="0.2">
      <c r="A280" s="1873"/>
      <c r="B280" s="180"/>
      <c r="C280" s="189"/>
      <c r="D280" s="182"/>
      <c r="E280" s="190"/>
      <c r="F280" s="1857"/>
      <c r="G280" s="70"/>
      <c r="H280" s="70"/>
      <c r="J280" s="70"/>
      <c r="L280" s="71"/>
      <c r="N280" s="65"/>
      <c r="O280" s="64"/>
    </row>
    <row r="281" spans="1:15" ht="15" customHeight="1" x14ac:dyDescent="0.2">
      <c r="A281" s="1873"/>
      <c r="B281" s="180"/>
      <c r="C281" s="189"/>
      <c r="D281" s="182"/>
      <c r="E281" s="190"/>
      <c r="F281" s="1857"/>
      <c r="G281" s="70"/>
      <c r="H281" s="70"/>
      <c r="J281" s="70"/>
      <c r="L281" s="71"/>
      <c r="N281" s="65"/>
      <c r="O281" s="64"/>
    </row>
    <row r="282" spans="1:15" ht="15" customHeight="1" x14ac:dyDescent="0.2">
      <c r="A282" s="1873"/>
      <c r="B282" s="180"/>
      <c r="C282" s="189"/>
      <c r="D282" s="182"/>
      <c r="E282" s="190"/>
      <c r="F282" s="1857"/>
      <c r="G282" s="70"/>
      <c r="H282" s="70"/>
      <c r="J282" s="70"/>
      <c r="L282" s="71"/>
      <c r="N282" s="65"/>
      <c r="O282" s="64"/>
    </row>
    <row r="283" spans="1:15" ht="15" customHeight="1" x14ac:dyDescent="0.2">
      <c r="A283" s="1873"/>
      <c r="B283" s="180"/>
      <c r="C283" s="189"/>
      <c r="D283" s="182"/>
      <c r="E283" s="190"/>
      <c r="F283" s="1857"/>
      <c r="G283" s="70"/>
      <c r="H283" s="70"/>
      <c r="J283" s="70"/>
      <c r="L283" s="71"/>
      <c r="N283" s="65"/>
      <c r="O283" s="64"/>
    </row>
    <row r="284" spans="1:15" ht="15" customHeight="1" x14ac:dyDescent="0.2">
      <c r="A284" s="1873"/>
      <c r="B284" s="180"/>
      <c r="C284" s="189"/>
      <c r="D284" s="182"/>
      <c r="E284" s="190"/>
      <c r="F284" s="1857"/>
      <c r="G284" s="70"/>
      <c r="H284" s="70"/>
      <c r="J284" s="70"/>
      <c r="L284" s="71"/>
      <c r="N284" s="65"/>
      <c r="O284" s="64"/>
    </row>
    <row r="285" spans="1:15" ht="15" customHeight="1" x14ac:dyDescent="0.2">
      <c r="A285" s="1873"/>
      <c r="B285" s="180"/>
      <c r="C285" s="189"/>
      <c r="D285" s="182"/>
      <c r="E285" s="190"/>
      <c r="F285" s="1857"/>
      <c r="G285" s="70"/>
      <c r="H285" s="70"/>
      <c r="J285" s="70"/>
      <c r="L285" s="71"/>
      <c r="N285" s="65"/>
      <c r="O285" s="64"/>
    </row>
    <row r="286" spans="1:15" ht="15" customHeight="1" x14ac:dyDescent="0.2">
      <c r="A286" s="1873"/>
      <c r="B286" s="180"/>
      <c r="C286" s="189"/>
      <c r="D286" s="182"/>
      <c r="E286" s="190"/>
      <c r="F286" s="1857"/>
      <c r="G286" s="70"/>
      <c r="H286" s="70"/>
      <c r="J286" s="70"/>
      <c r="L286" s="71"/>
      <c r="N286" s="65"/>
      <c r="O286" s="64"/>
    </row>
    <row r="287" spans="1:15" ht="15" customHeight="1" x14ac:dyDescent="0.2">
      <c r="A287" s="1873"/>
      <c r="B287" s="180"/>
      <c r="C287" s="189"/>
      <c r="D287" s="182"/>
      <c r="E287" s="190"/>
      <c r="F287" s="1857"/>
      <c r="G287" s="70"/>
      <c r="H287" s="70"/>
      <c r="J287" s="70"/>
      <c r="L287" s="71"/>
      <c r="N287" s="65"/>
      <c r="O287" s="64"/>
    </row>
    <row r="288" spans="1:15" ht="15" customHeight="1" x14ac:dyDescent="0.2">
      <c r="A288" s="1873"/>
      <c r="B288" s="180"/>
      <c r="C288" s="189"/>
      <c r="D288" s="182"/>
      <c r="E288" s="190"/>
      <c r="F288" s="1857"/>
      <c r="G288" s="70"/>
      <c r="H288" s="70"/>
      <c r="J288" s="70"/>
      <c r="L288" s="71"/>
      <c r="N288" s="65"/>
      <c r="O288" s="64"/>
    </row>
    <row r="289" spans="1:15" ht="15" customHeight="1" x14ac:dyDescent="0.2">
      <c r="A289" s="1873"/>
      <c r="B289" s="180"/>
      <c r="C289" s="189"/>
      <c r="D289" s="182"/>
      <c r="E289" s="190"/>
      <c r="F289" s="1857"/>
      <c r="G289" s="70"/>
      <c r="H289" s="70"/>
      <c r="J289" s="70"/>
      <c r="L289" s="71"/>
      <c r="N289" s="65"/>
      <c r="O289" s="64"/>
    </row>
    <row r="290" spans="1:15" ht="15" customHeight="1" x14ac:dyDescent="0.2">
      <c r="A290" s="1873"/>
      <c r="B290" s="180"/>
      <c r="C290" s="189"/>
      <c r="D290" s="182"/>
      <c r="E290" s="190"/>
      <c r="F290" s="1857"/>
      <c r="G290" s="70"/>
      <c r="H290" s="70"/>
      <c r="J290" s="70"/>
      <c r="L290" s="71"/>
      <c r="N290" s="65"/>
      <c r="O290" s="64"/>
    </row>
    <row r="291" spans="1:15" ht="15" customHeight="1" x14ac:dyDescent="0.2">
      <c r="A291" s="1873"/>
      <c r="B291" s="180"/>
      <c r="C291" s="189"/>
      <c r="D291" s="182"/>
      <c r="E291" s="190"/>
      <c r="F291" s="1857"/>
      <c r="G291" s="70"/>
      <c r="H291" s="70"/>
      <c r="J291" s="70"/>
      <c r="L291" s="71"/>
      <c r="N291" s="65"/>
      <c r="O291" s="64"/>
    </row>
    <row r="292" spans="1:15" ht="15" customHeight="1" x14ac:dyDescent="0.2">
      <c r="A292" s="1873"/>
      <c r="B292" s="180"/>
      <c r="C292" s="189"/>
      <c r="D292" s="182"/>
      <c r="E292" s="190"/>
      <c r="F292" s="1857"/>
      <c r="G292" s="70"/>
      <c r="H292" s="70"/>
      <c r="J292" s="70"/>
      <c r="L292" s="71"/>
      <c r="N292" s="65"/>
      <c r="O292" s="64"/>
    </row>
    <row r="293" spans="1:15" ht="15" customHeight="1" x14ac:dyDescent="0.2">
      <c r="A293" s="1873"/>
      <c r="B293" s="180"/>
      <c r="C293" s="189"/>
      <c r="D293" s="182"/>
      <c r="E293" s="190"/>
      <c r="F293" s="1857"/>
      <c r="G293" s="70"/>
      <c r="H293" s="70"/>
      <c r="J293" s="70"/>
      <c r="L293" s="71"/>
      <c r="N293" s="65"/>
      <c r="O293" s="64"/>
    </row>
    <row r="294" spans="1:15" ht="15" customHeight="1" x14ac:dyDescent="0.2">
      <c r="A294" s="1873"/>
      <c r="B294" s="180"/>
      <c r="C294" s="189"/>
      <c r="D294" s="182"/>
      <c r="E294" s="190"/>
      <c r="F294" s="1857"/>
      <c r="G294" s="70"/>
      <c r="H294" s="70"/>
      <c r="J294" s="70"/>
      <c r="L294" s="71"/>
      <c r="N294" s="65"/>
      <c r="O294" s="64"/>
    </row>
    <row r="295" spans="1:15" ht="15" customHeight="1" x14ac:dyDescent="0.2">
      <c r="A295" s="1873"/>
      <c r="B295" s="180"/>
      <c r="C295" s="189"/>
      <c r="D295" s="182"/>
      <c r="E295" s="190"/>
      <c r="F295" s="1857"/>
      <c r="G295" s="70"/>
      <c r="H295" s="70"/>
      <c r="J295" s="70"/>
      <c r="L295" s="71"/>
      <c r="N295" s="65"/>
      <c r="O295" s="64"/>
    </row>
    <row r="296" spans="1:15" ht="15" customHeight="1" x14ac:dyDescent="0.2">
      <c r="A296" s="1873"/>
      <c r="B296" s="180"/>
      <c r="C296" s="189"/>
      <c r="D296" s="182"/>
      <c r="E296" s="190"/>
      <c r="F296" s="1857"/>
      <c r="G296" s="70"/>
      <c r="H296" s="70"/>
      <c r="J296" s="70"/>
      <c r="L296" s="71"/>
      <c r="N296" s="65"/>
      <c r="O296" s="64"/>
    </row>
    <row r="297" spans="1:15" ht="15" customHeight="1" x14ac:dyDescent="0.2">
      <c r="A297" s="1873"/>
      <c r="B297" s="180"/>
      <c r="C297" s="189"/>
      <c r="D297" s="182"/>
      <c r="E297" s="190"/>
      <c r="F297" s="1857"/>
      <c r="G297" s="70"/>
      <c r="H297" s="70"/>
      <c r="J297" s="70"/>
      <c r="L297" s="71"/>
      <c r="N297" s="65"/>
      <c r="O297" s="64"/>
    </row>
    <row r="298" spans="1:15" ht="15" customHeight="1" x14ac:dyDescent="0.2">
      <c r="A298" s="1873"/>
      <c r="B298" s="180"/>
      <c r="C298" s="189"/>
      <c r="D298" s="182"/>
      <c r="E298" s="190"/>
      <c r="F298" s="1857"/>
      <c r="G298" s="70"/>
      <c r="H298" s="70"/>
      <c r="J298" s="70"/>
      <c r="L298" s="71"/>
      <c r="N298" s="65"/>
      <c r="O298" s="64"/>
    </row>
    <row r="299" spans="1:15" ht="15" customHeight="1" x14ac:dyDescent="0.2">
      <c r="A299" s="1873"/>
      <c r="B299" s="180"/>
      <c r="C299" s="189"/>
      <c r="D299" s="182"/>
      <c r="E299" s="190"/>
      <c r="F299" s="1857"/>
      <c r="G299" s="70"/>
      <c r="H299" s="70"/>
      <c r="J299" s="70"/>
      <c r="L299" s="71"/>
      <c r="N299" s="65"/>
      <c r="O299" s="64"/>
    </row>
    <row r="300" spans="1:15" ht="15" customHeight="1" x14ac:dyDescent="0.2">
      <c r="A300" s="1873"/>
      <c r="B300" s="180"/>
      <c r="C300" s="189"/>
      <c r="D300" s="182"/>
      <c r="E300" s="190"/>
      <c r="F300" s="1857"/>
      <c r="G300" s="70"/>
      <c r="H300" s="70"/>
      <c r="J300" s="70"/>
      <c r="L300" s="71"/>
      <c r="N300" s="65"/>
      <c r="O300" s="64"/>
    </row>
    <row r="301" spans="1:15" ht="15" customHeight="1" x14ac:dyDescent="0.2">
      <c r="A301" s="1873"/>
      <c r="B301" s="180"/>
      <c r="C301" s="189"/>
      <c r="D301" s="182"/>
      <c r="E301" s="190"/>
      <c r="F301" s="1857"/>
      <c r="G301" s="70"/>
      <c r="H301" s="70"/>
      <c r="J301" s="70"/>
      <c r="L301" s="71"/>
      <c r="N301" s="65"/>
      <c r="O301" s="64"/>
    </row>
    <row r="302" spans="1:15" ht="15" customHeight="1" x14ac:dyDescent="0.2">
      <c r="A302" s="1873"/>
      <c r="B302" s="180"/>
      <c r="C302" s="189"/>
      <c r="D302" s="182"/>
      <c r="E302" s="190"/>
      <c r="F302" s="1857"/>
      <c r="G302" s="70"/>
      <c r="H302" s="70"/>
      <c r="J302" s="70"/>
      <c r="L302" s="71"/>
      <c r="N302" s="65"/>
      <c r="O302" s="64"/>
    </row>
    <row r="303" spans="1:15" ht="15" customHeight="1" x14ac:dyDescent="0.2">
      <c r="A303" s="1873"/>
      <c r="B303" s="180"/>
      <c r="C303" s="189"/>
      <c r="D303" s="182"/>
      <c r="E303" s="190"/>
      <c r="F303" s="1857"/>
      <c r="G303" s="70"/>
      <c r="H303" s="70"/>
      <c r="J303" s="70"/>
      <c r="L303" s="71"/>
      <c r="N303" s="65"/>
      <c r="O303" s="64"/>
    </row>
    <row r="304" spans="1:15" ht="15" customHeight="1" x14ac:dyDescent="0.2">
      <c r="A304" s="1873"/>
      <c r="B304" s="180"/>
      <c r="C304" s="189"/>
      <c r="D304" s="182"/>
      <c r="E304" s="190"/>
      <c r="F304" s="1857"/>
      <c r="G304" s="70"/>
      <c r="H304" s="70"/>
      <c r="J304" s="70"/>
      <c r="L304" s="71"/>
      <c r="N304" s="65"/>
      <c r="O304" s="64"/>
    </row>
    <row r="305" spans="1:15" ht="15" customHeight="1" x14ac:dyDescent="0.2">
      <c r="A305" s="1873"/>
      <c r="B305" s="180"/>
      <c r="C305" s="189"/>
      <c r="D305" s="182"/>
      <c r="E305" s="190"/>
      <c r="F305" s="1857"/>
      <c r="G305" s="70"/>
      <c r="H305" s="70"/>
      <c r="J305" s="70"/>
      <c r="L305" s="71"/>
      <c r="N305" s="65"/>
      <c r="O305" s="64"/>
    </row>
    <row r="306" spans="1:15" ht="15" customHeight="1" x14ac:dyDescent="0.2">
      <c r="A306" s="1873"/>
      <c r="B306" s="180"/>
      <c r="C306" s="189"/>
      <c r="D306" s="182"/>
      <c r="E306" s="190"/>
      <c r="F306" s="1857"/>
      <c r="G306" s="70"/>
      <c r="H306" s="70"/>
      <c r="J306" s="70"/>
      <c r="L306" s="71"/>
      <c r="N306" s="65"/>
      <c r="O306" s="64"/>
    </row>
    <row r="307" spans="1:15" ht="15" customHeight="1" x14ac:dyDescent="0.2">
      <c r="A307" s="1873"/>
      <c r="B307" s="180"/>
      <c r="C307" s="189"/>
      <c r="D307" s="182"/>
      <c r="E307" s="190"/>
      <c r="F307" s="1857"/>
      <c r="G307" s="70"/>
      <c r="H307" s="70"/>
      <c r="J307" s="70"/>
      <c r="L307" s="71"/>
      <c r="N307" s="65"/>
      <c r="O307" s="64"/>
    </row>
    <row r="308" spans="1:15" ht="15" customHeight="1" x14ac:dyDescent="0.2">
      <c r="A308" s="1873"/>
      <c r="B308" s="180"/>
      <c r="C308" s="189"/>
      <c r="D308" s="182"/>
      <c r="E308" s="190"/>
      <c r="F308" s="1857"/>
      <c r="G308" s="70"/>
      <c r="H308" s="70"/>
      <c r="J308" s="70"/>
      <c r="L308" s="71"/>
      <c r="N308" s="65"/>
      <c r="O308" s="64"/>
    </row>
    <row r="309" spans="1:15" ht="15" customHeight="1" x14ac:dyDescent="0.2">
      <c r="A309" s="1873"/>
      <c r="B309" s="180"/>
      <c r="C309" s="189"/>
      <c r="D309" s="182"/>
      <c r="E309" s="190"/>
      <c r="F309" s="1857"/>
      <c r="G309" s="70"/>
      <c r="H309" s="70"/>
      <c r="J309" s="70"/>
      <c r="L309" s="71"/>
      <c r="N309" s="65"/>
      <c r="O309" s="64"/>
    </row>
    <row r="310" spans="1:15" ht="15" customHeight="1" x14ac:dyDescent="0.2">
      <c r="A310" s="1873"/>
      <c r="B310" s="180"/>
      <c r="C310" s="189"/>
      <c r="D310" s="182"/>
      <c r="E310" s="190"/>
      <c r="F310" s="1857"/>
      <c r="G310" s="70"/>
      <c r="H310" s="70"/>
      <c r="J310" s="70"/>
      <c r="L310" s="71"/>
      <c r="N310" s="65"/>
      <c r="O310" s="64"/>
    </row>
    <row r="311" spans="1:15" ht="15" customHeight="1" x14ac:dyDescent="0.2">
      <c r="A311" s="1873"/>
      <c r="B311" s="180"/>
      <c r="C311" s="189"/>
      <c r="D311" s="182"/>
      <c r="E311" s="190"/>
      <c r="F311" s="1857"/>
      <c r="G311" s="70"/>
      <c r="H311" s="70"/>
      <c r="J311" s="70"/>
      <c r="L311" s="71"/>
      <c r="N311" s="65"/>
      <c r="O311" s="64"/>
    </row>
    <row r="312" spans="1:15" ht="15" customHeight="1" x14ac:dyDescent="0.2">
      <c r="A312" s="1873"/>
      <c r="B312" s="180"/>
      <c r="C312" s="189"/>
      <c r="D312" s="182"/>
      <c r="E312" s="190"/>
      <c r="F312" s="1857"/>
      <c r="G312" s="70"/>
      <c r="H312" s="70"/>
      <c r="J312" s="70"/>
      <c r="L312" s="71"/>
      <c r="N312" s="65"/>
      <c r="O312" s="64"/>
    </row>
    <row r="313" spans="1:15" ht="15" customHeight="1" x14ac:dyDescent="0.2">
      <c r="A313" s="1873"/>
      <c r="B313" s="180"/>
      <c r="C313" s="189"/>
      <c r="D313" s="182"/>
      <c r="E313" s="190"/>
      <c r="F313" s="1857"/>
      <c r="G313" s="70"/>
      <c r="H313" s="70"/>
      <c r="J313" s="70"/>
      <c r="L313" s="71"/>
      <c r="N313" s="65"/>
      <c r="O313" s="64"/>
    </row>
    <row r="314" spans="1:15" ht="15" customHeight="1" x14ac:dyDescent="0.2">
      <c r="A314" s="1873"/>
      <c r="B314" s="180"/>
      <c r="C314" s="189"/>
      <c r="D314" s="182"/>
      <c r="E314" s="190"/>
      <c r="F314" s="1857"/>
      <c r="G314" s="70"/>
      <c r="H314" s="70"/>
      <c r="J314" s="70"/>
      <c r="L314" s="71"/>
      <c r="N314" s="65"/>
      <c r="O314" s="64"/>
    </row>
    <row r="315" spans="1:15" ht="15" customHeight="1" x14ac:dyDescent="0.2">
      <c r="A315" s="1873"/>
      <c r="B315" s="180"/>
      <c r="C315" s="189"/>
      <c r="D315" s="182"/>
      <c r="E315" s="190"/>
      <c r="F315" s="1857"/>
      <c r="G315" s="70"/>
      <c r="H315" s="70"/>
      <c r="J315" s="70"/>
      <c r="L315" s="71"/>
      <c r="N315" s="65"/>
      <c r="O315" s="64"/>
    </row>
    <row r="316" spans="1:15" ht="15" customHeight="1" x14ac:dyDescent="0.2">
      <c r="A316" s="1873"/>
      <c r="B316" s="180"/>
      <c r="C316" s="189"/>
      <c r="D316" s="182"/>
      <c r="E316" s="190"/>
      <c r="F316" s="1857"/>
      <c r="G316" s="70"/>
      <c r="H316" s="70"/>
      <c r="J316" s="70"/>
      <c r="L316" s="71"/>
      <c r="N316" s="65"/>
      <c r="O316" s="64"/>
    </row>
    <row r="317" spans="1:15" ht="15" customHeight="1" x14ac:dyDescent="0.2">
      <c r="A317" s="1873"/>
      <c r="B317" s="180"/>
      <c r="C317" s="189"/>
      <c r="D317" s="182"/>
      <c r="E317" s="190"/>
      <c r="F317" s="1857"/>
      <c r="G317" s="70"/>
      <c r="H317" s="70"/>
      <c r="J317" s="70"/>
      <c r="L317" s="71"/>
      <c r="N317" s="65"/>
      <c r="O317" s="64"/>
    </row>
    <row r="318" spans="1:15" ht="15" customHeight="1" x14ac:dyDescent="0.2">
      <c r="A318" s="1873"/>
      <c r="B318" s="180"/>
      <c r="C318" s="189"/>
      <c r="D318" s="182"/>
      <c r="E318" s="190"/>
      <c r="F318" s="1857"/>
      <c r="G318" s="70"/>
      <c r="H318" s="70"/>
      <c r="J318" s="70"/>
      <c r="L318" s="71"/>
      <c r="N318" s="65"/>
      <c r="O318" s="64"/>
    </row>
    <row r="319" spans="1:15" ht="15" customHeight="1" x14ac:dyDescent="0.2">
      <c r="A319" s="1873"/>
      <c r="B319" s="180"/>
      <c r="C319" s="189"/>
      <c r="D319" s="182"/>
      <c r="E319" s="190"/>
      <c r="F319" s="1857"/>
      <c r="G319" s="70"/>
      <c r="H319" s="70"/>
      <c r="J319" s="70"/>
      <c r="L319" s="71"/>
      <c r="N319" s="65"/>
      <c r="O319" s="64"/>
    </row>
    <row r="320" spans="1:15" ht="15" customHeight="1" x14ac:dyDescent="0.2">
      <c r="A320" s="1873"/>
      <c r="B320" s="180"/>
      <c r="C320" s="189"/>
      <c r="D320" s="182"/>
      <c r="E320" s="190"/>
      <c r="F320" s="1857"/>
      <c r="G320" s="70"/>
      <c r="H320" s="70"/>
      <c r="J320" s="70"/>
      <c r="L320" s="71"/>
      <c r="N320" s="65"/>
      <c r="O320" s="64"/>
    </row>
    <row r="321" spans="1:15" ht="15" customHeight="1" x14ac:dyDescent="0.2">
      <c r="A321" s="1873"/>
      <c r="B321" s="180"/>
      <c r="C321" s="189"/>
      <c r="D321" s="182"/>
      <c r="E321" s="190"/>
      <c r="F321" s="1857"/>
      <c r="G321" s="70"/>
      <c r="H321" s="70"/>
      <c r="J321" s="70"/>
      <c r="L321" s="71"/>
      <c r="N321" s="65"/>
      <c r="O321" s="64"/>
    </row>
    <row r="322" spans="1:15" ht="15" customHeight="1" x14ac:dyDescent="0.2">
      <c r="A322" s="1873"/>
      <c r="B322" s="180"/>
      <c r="C322" s="189"/>
      <c r="D322" s="182"/>
      <c r="E322" s="190"/>
      <c r="F322" s="1857"/>
      <c r="G322" s="70"/>
      <c r="H322" s="70"/>
      <c r="J322" s="70"/>
      <c r="L322" s="71"/>
      <c r="N322" s="65"/>
      <c r="O322" s="64"/>
    </row>
    <row r="323" spans="1:15" ht="15" customHeight="1" x14ac:dyDescent="0.2">
      <c r="A323" s="1873"/>
      <c r="B323" s="180"/>
      <c r="C323" s="189"/>
      <c r="D323" s="182"/>
      <c r="E323" s="190"/>
      <c r="F323" s="1857"/>
      <c r="G323" s="70"/>
      <c r="H323" s="70"/>
      <c r="J323" s="70"/>
      <c r="L323" s="71"/>
      <c r="N323" s="65"/>
      <c r="O323" s="64"/>
    </row>
    <row r="324" spans="1:15" ht="15" customHeight="1" x14ac:dyDescent="0.2">
      <c r="A324" s="1873"/>
      <c r="B324" s="180"/>
      <c r="C324" s="189"/>
      <c r="D324" s="182"/>
      <c r="E324" s="190"/>
      <c r="F324" s="1857"/>
      <c r="G324" s="70"/>
      <c r="H324" s="70"/>
      <c r="J324" s="70"/>
      <c r="L324" s="71"/>
      <c r="N324" s="65"/>
      <c r="O324" s="64"/>
    </row>
    <row r="325" spans="1:15" ht="15" customHeight="1" x14ac:dyDescent="0.2">
      <c r="A325" s="1873"/>
      <c r="B325" s="180"/>
      <c r="C325" s="189"/>
      <c r="D325" s="182"/>
      <c r="E325" s="190"/>
      <c r="F325" s="1857"/>
      <c r="G325" s="70"/>
      <c r="H325" s="70"/>
      <c r="J325" s="70"/>
      <c r="L325" s="71"/>
      <c r="N325" s="65"/>
      <c r="O325" s="64"/>
    </row>
    <row r="326" spans="1:15" ht="15" customHeight="1" x14ac:dyDescent="0.2">
      <c r="A326" s="1873"/>
      <c r="B326" s="180"/>
      <c r="C326" s="189"/>
      <c r="D326" s="182"/>
      <c r="E326" s="190"/>
      <c r="F326" s="1857"/>
      <c r="G326" s="70"/>
      <c r="H326" s="70"/>
      <c r="J326" s="70"/>
      <c r="L326" s="71"/>
      <c r="N326" s="65"/>
      <c r="O326" s="64"/>
    </row>
    <row r="327" spans="1:15" ht="15" customHeight="1" x14ac:dyDescent="0.2">
      <c r="A327" s="1873"/>
      <c r="B327" s="180"/>
      <c r="C327" s="189"/>
      <c r="D327" s="182"/>
      <c r="E327" s="190"/>
      <c r="F327" s="1857"/>
      <c r="G327" s="70"/>
      <c r="H327" s="70"/>
      <c r="J327" s="70"/>
      <c r="L327" s="71"/>
      <c r="N327" s="65"/>
      <c r="O327" s="64"/>
    </row>
    <row r="328" spans="1:15" ht="15" customHeight="1" x14ac:dyDescent="0.2">
      <c r="A328" s="1873"/>
      <c r="B328" s="180"/>
      <c r="C328" s="189"/>
      <c r="D328" s="182"/>
      <c r="E328" s="190"/>
      <c r="F328" s="1857"/>
      <c r="G328" s="70"/>
      <c r="H328" s="70"/>
      <c r="J328" s="70"/>
      <c r="L328" s="71"/>
      <c r="N328" s="65"/>
      <c r="O328" s="64"/>
    </row>
    <row r="329" spans="1:15" ht="15" customHeight="1" x14ac:dyDescent="0.2">
      <c r="A329" s="1873"/>
      <c r="B329" s="180"/>
      <c r="C329" s="189"/>
      <c r="D329" s="182"/>
      <c r="E329" s="190"/>
      <c r="F329" s="1857"/>
      <c r="G329" s="70"/>
      <c r="H329" s="70"/>
      <c r="J329" s="70"/>
      <c r="L329" s="71"/>
      <c r="N329" s="65"/>
      <c r="O329" s="64"/>
    </row>
    <row r="330" spans="1:15" ht="15" customHeight="1" x14ac:dyDescent="0.2">
      <c r="A330" s="1873"/>
      <c r="B330" s="180"/>
      <c r="C330" s="189"/>
      <c r="D330" s="182"/>
      <c r="E330" s="190"/>
      <c r="F330" s="1857"/>
      <c r="G330" s="70"/>
      <c r="H330" s="70"/>
      <c r="J330" s="70"/>
      <c r="L330" s="71"/>
      <c r="N330" s="65"/>
      <c r="O330" s="64"/>
    </row>
    <row r="331" spans="1:15" ht="15" customHeight="1" x14ac:dyDescent="0.2">
      <c r="A331" s="1873"/>
      <c r="B331" s="180"/>
      <c r="C331" s="189"/>
      <c r="D331" s="182"/>
      <c r="E331" s="190"/>
      <c r="F331" s="1857"/>
      <c r="G331" s="70"/>
      <c r="H331" s="70"/>
      <c r="J331" s="70"/>
      <c r="L331" s="71"/>
      <c r="N331" s="65"/>
      <c r="O331" s="64"/>
    </row>
    <row r="332" spans="1:15" ht="15" customHeight="1" x14ac:dyDescent="0.2">
      <c r="A332" s="1873"/>
      <c r="B332" s="180"/>
      <c r="C332" s="189"/>
      <c r="D332" s="182"/>
      <c r="E332" s="190"/>
      <c r="F332" s="1857"/>
      <c r="G332" s="70"/>
      <c r="H332" s="70"/>
      <c r="J332" s="70"/>
      <c r="L332" s="71"/>
      <c r="N332" s="65"/>
      <c r="O332" s="64"/>
    </row>
    <row r="333" spans="1:15" ht="15" customHeight="1" x14ac:dyDescent="0.2">
      <c r="A333" s="1873"/>
      <c r="B333" s="180"/>
      <c r="C333" s="189"/>
      <c r="D333" s="182"/>
      <c r="E333" s="190"/>
      <c r="F333" s="1857"/>
      <c r="G333" s="70"/>
      <c r="H333" s="70"/>
      <c r="J333" s="70"/>
      <c r="L333" s="71"/>
      <c r="N333" s="65"/>
      <c r="O333" s="64"/>
    </row>
    <row r="334" spans="1:15" ht="15" customHeight="1" x14ac:dyDescent="0.2">
      <c r="A334" s="1873"/>
      <c r="B334" s="180"/>
      <c r="C334" s="189"/>
      <c r="D334" s="182"/>
      <c r="E334" s="190"/>
      <c r="F334" s="1857"/>
      <c r="G334" s="70"/>
      <c r="H334" s="70"/>
      <c r="J334" s="70"/>
      <c r="L334" s="71"/>
      <c r="N334" s="65"/>
      <c r="O334" s="64"/>
    </row>
    <row r="335" spans="1:15" ht="15" customHeight="1" x14ac:dyDescent="0.2">
      <c r="A335" s="1873"/>
      <c r="B335" s="180"/>
      <c r="C335" s="189"/>
      <c r="D335" s="182"/>
      <c r="E335" s="190"/>
      <c r="F335" s="1857"/>
      <c r="G335" s="70"/>
      <c r="H335" s="70"/>
      <c r="J335" s="70"/>
      <c r="L335" s="71"/>
      <c r="N335" s="65"/>
      <c r="O335" s="64"/>
    </row>
    <row r="336" spans="1:15" ht="15" customHeight="1" x14ac:dyDescent="0.2">
      <c r="A336" s="1873"/>
      <c r="B336" s="180"/>
      <c r="C336" s="189"/>
      <c r="D336" s="182"/>
      <c r="E336" s="190"/>
      <c r="F336" s="1857"/>
      <c r="G336" s="70"/>
      <c r="H336" s="70"/>
      <c r="J336" s="70"/>
      <c r="L336" s="71"/>
      <c r="N336" s="65"/>
      <c r="O336" s="64"/>
    </row>
    <row r="337" spans="1:15" ht="15" customHeight="1" x14ac:dyDescent="0.2">
      <c r="A337" s="1873"/>
      <c r="B337" s="180"/>
      <c r="C337" s="189"/>
      <c r="D337" s="182"/>
      <c r="E337" s="190"/>
      <c r="F337" s="1857"/>
      <c r="G337" s="70"/>
      <c r="H337" s="70"/>
      <c r="J337" s="70"/>
      <c r="L337" s="71"/>
      <c r="N337" s="65"/>
      <c r="O337" s="64"/>
    </row>
    <row r="338" spans="1:15" ht="15" customHeight="1" x14ac:dyDescent="0.2">
      <c r="A338" s="1873"/>
      <c r="B338" s="180"/>
      <c r="C338" s="189"/>
      <c r="D338" s="182"/>
      <c r="E338" s="190"/>
      <c r="F338" s="1857"/>
      <c r="G338" s="70"/>
      <c r="H338" s="70"/>
      <c r="J338" s="70"/>
      <c r="L338" s="71"/>
      <c r="N338" s="65"/>
      <c r="O338" s="64"/>
    </row>
    <row r="339" spans="1:15" ht="15" customHeight="1" x14ac:dyDescent="0.2">
      <c r="A339" s="1873"/>
      <c r="B339" s="180"/>
      <c r="C339" s="189"/>
      <c r="D339" s="182"/>
      <c r="E339" s="190"/>
      <c r="F339" s="1857"/>
      <c r="G339" s="70"/>
      <c r="H339" s="70"/>
      <c r="J339" s="70"/>
      <c r="L339" s="71"/>
      <c r="N339" s="65"/>
      <c r="O339" s="64"/>
    </row>
    <row r="340" spans="1:15" ht="15" customHeight="1" x14ac:dyDescent="0.2">
      <c r="A340" s="1873"/>
      <c r="B340" s="180"/>
      <c r="C340" s="189"/>
      <c r="D340" s="182"/>
      <c r="E340" s="190"/>
      <c r="F340" s="1857"/>
      <c r="G340" s="70"/>
      <c r="H340" s="70"/>
      <c r="J340" s="70"/>
      <c r="L340" s="71"/>
      <c r="N340" s="65"/>
      <c r="O340" s="64"/>
    </row>
    <row r="341" spans="1:15" ht="15" customHeight="1" x14ac:dyDescent="0.2">
      <c r="A341" s="1873"/>
      <c r="B341" s="180"/>
      <c r="C341" s="189"/>
      <c r="D341" s="182"/>
      <c r="E341" s="190"/>
      <c r="F341" s="1857"/>
      <c r="G341" s="70"/>
      <c r="H341" s="70"/>
      <c r="J341" s="70"/>
      <c r="L341" s="71"/>
      <c r="N341" s="65"/>
      <c r="O341" s="64"/>
    </row>
    <row r="342" spans="1:15" ht="15" customHeight="1" x14ac:dyDescent="0.2">
      <c r="A342" s="1873"/>
      <c r="B342" s="180"/>
      <c r="C342" s="189"/>
      <c r="D342" s="182"/>
      <c r="E342" s="190"/>
      <c r="F342" s="1857"/>
      <c r="G342" s="70"/>
      <c r="H342" s="70"/>
      <c r="J342" s="70"/>
      <c r="L342" s="71"/>
      <c r="N342" s="65"/>
      <c r="O342" s="64"/>
    </row>
    <row r="343" spans="1:15" ht="15" customHeight="1" x14ac:dyDescent="0.2">
      <c r="A343" s="1873"/>
      <c r="B343" s="180"/>
      <c r="C343" s="189"/>
      <c r="D343" s="182"/>
      <c r="E343" s="190"/>
      <c r="F343" s="1857"/>
      <c r="G343" s="70"/>
      <c r="H343" s="70"/>
      <c r="J343" s="70"/>
      <c r="L343" s="71"/>
      <c r="N343" s="65"/>
      <c r="O343" s="64"/>
    </row>
    <row r="344" spans="1:15" ht="15" customHeight="1" x14ac:dyDescent="0.2">
      <c r="A344" s="1873"/>
      <c r="B344" s="180"/>
      <c r="C344" s="189"/>
      <c r="D344" s="182"/>
      <c r="E344" s="190"/>
      <c r="F344" s="1857"/>
      <c r="G344" s="70"/>
      <c r="H344" s="70"/>
      <c r="J344" s="70"/>
      <c r="L344" s="71"/>
      <c r="N344" s="65"/>
      <c r="O344" s="64"/>
    </row>
    <row r="345" spans="1:15" ht="15" customHeight="1" thickBot="1" x14ac:dyDescent="0.25">
      <c r="A345" s="1874"/>
      <c r="B345" s="1861"/>
      <c r="C345" s="1862"/>
      <c r="D345" s="1863"/>
      <c r="E345" s="1864"/>
      <c r="F345" s="1865"/>
      <c r="G345" s="70"/>
      <c r="H345" s="70"/>
      <c r="J345" s="70"/>
      <c r="L345" s="71"/>
      <c r="N345" s="65"/>
      <c r="O345" s="64"/>
    </row>
    <row r="346" spans="1:15" ht="15" customHeight="1" x14ac:dyDescent="0.2">
      <c r="A346" s="188"/>
      <c r="B346" s="180"/>
      <c r="C346" s="189"/>
      <c r="D346" s="182"/>
      <c r="E346" s="190"/>
      <c r="F346" s="184"/>
      <c r="G346" s="70"/>
      <c r="H346" s="70"/>
      <c r="J346" s="70"/>
      <c r="L346" s="71"/>
      <c r="N346" s="65"/>
      <c r="O346" s="64"/>
    </row>
    <row r="347" spans="1:15" ht="15" customHeight="1" x14ac:dyDescent="0.2">
      <c r="A347" s="188"/>
      <c r="B347" s="180"/>
      <c r="C347" s="189"/>
      <c r="D347" s="182"/>
      <c r="E347" s="190"/>
      <c r="F347" s="184"/>
      <c r="G347" s="70"/>
      <c r="H347" s="70"/>
      <c r="J347" s="70"/>
      <c r="L347" s="71"/>
      <c r="N347" s="65"/>
      <c r="O347" s="64"/>
    </row>
    <row r="348" spans="1:15" ht="15" customHeight="1" x14ac:dyDescent="0.2">
      <c r="A348" s="188"/>
      <c r="B348" s="180"/>
      <c r="C348" s="189"/>
      <c r="D348" s="182"/>
      <c r="E348" s="190"/>
      <c r="F348" s="184"/>
      <c r="G348" s="70"/>
      <c r="H348" s="70"/>
      <c r="J348" s="70"/>
      <c r="L348" s="71"/>
      <c r="N348" s="65"/>
      <c r="O348" s="64"/>
    </row>
    <row r="349" spans="1:15" ht="15" customHeight="1" x14ac:dyDescent="0.2">
      <c r="A349" s="188"/>
      <c r="B349" s="180"/>
      <c r="C349" s="189"/>
      <c r="D349" s="182"/>
      <c r="E349" s="190"/>
      <c r="F349" s="184"/>
      <c r="G349" s="70"/>
      <c r="H349" s="70"/>
      <c r="J349" s="70"/>
      <c r="L349" s="71"/>
      <c r="N349" s="65"/>
      <c r="O349" s="64"/>
    </row>
    <row r="350" spans="1:15" ht="15" customHeight="1" x14ac:dyDescent="0.2">
      <c r="A350" s="188"/>
      <c r="B350" s="180"/>
      <c r="C350" s="189"/>
      <c r="D350" s="182"/>
      <c r="E350" s="190"/>
      <c r="F350" s="184"/>
      <c r="G350" s="70"/>
      <c r="H350" s="70"/>
      <c r="J350" s="70"/>
      <c r="L350" s="71"/>
      <c r="N350" s="65"/>
      <c r="O350" s="64"/>
    </row>
    <row r="351" spans="1:15" ht="15" customHeight="1" x14ac:dyDescent="0.2">
      <c r="A351" s="188"/>
      <c r="B351" s="180"/>
      <c r="C351" s="189"/>
      <c r="D351" s="182"/>
      <c r="E351" s="190"/>
      <c r="F351" s="184"/>
      <c r="G351" s="70"/>
      <c r="H351" s="70"/>
      <c r="J351" s="70"/>
      <c r="L351" s="71"/>
      <c r="N351" s="65"/>
      <c r="O351" s="64"/>
    </row>
    <row r="352" spans="1:15" ht="15" customHeight="1" x14ac:dyDescent="0.2">
      <c r="A352" s="188"/>
      <c r="B352" s="180"/>
      <c r="C352" s="189"/>
      <c r="D352" s="182"/>
      <c r="E352" s="190"/>
      <c r="F352" s="184"/>
      <c r="G352" s="70"/>
      <c r="H352" s="70"/>
      <c r="J352" s="70"/>
      <c r="L352" s="71"/>
      <c r="N352" s="65"/>
      <c r="O352" s="64"/>
    </row>
    <row r="353" spans="1:15" ht="15" customHeight="1" x14ac:dyDescent="0.2">
      <c r="A353" s="188"/>
      <c r="B353" s="180"/>
      <c r="C353" s="189"/>
      <c r="D353" s="182"/>
      <c r="E353" s="190"/>
      <c r="F353" s="184"/>
      <c r="G353" s="70"/>
      <c r="H353" s="70"/>
      <c r="J353" s="70"/>
      <c r="L353" s="71"/>
      <c r="N353" s="65"/>
      <c r="O353" s="64"/>
    </row>
    <row r="354" spans="1:15" ht="15" customHeight="1" x14ac:dyDescent="0.2">
      <c r="A354" s="188"/>
      <c r="B354" s="180"/>
      <c r="C354" s="189"/>
      <c r="D354" s="182"/>
      <c r="E354" s="190"/>
      <c r="F354" s="184"/>
      <c r="G354" s="70"/>
      <c r="H354" s="70"/>
      <c r="J354" s="70"/>
      <c r="L354" s="71"/>
      <c r="N354" s="65"/>
      <c r="O354" s="64"/>
    </row>
    <row r="355" spans="1:15" ht="15" customHeight="1" x14ac:dyDescent="0.2">
      <c r="A355" s="188"/>
      <c r="B355" s="180"/>
      <c r="C355" s="189"/>
      <c r="D355" s="182"/>
      <c r="E355" s="190"/>
      <c r="F355" s="184"/>
      <c r="G355" s="70"/>
      <c r="H355" s="70"/>
      <c r="J355" s="70"/>
      <c r="L355" s="71"/>
      <c r="N355" s="65"/>
      <c r="O355" s="64"/>
    </row>
    <row r="356" spans="1:15" ht="15" customHeight="1" x14ac:dyDescent="0.2">
      <c r="A356" s="188"/>
      <c r="B356" s="180"/>
      <c r="C356" s="189"/>
      <c r="D356" s="182"/>
      <c r="E356" s="190"/>
      <c r="F356" s="184"/>
      <c r="G356" s="70"/>
      <c r="H356" s="70"/>
      <c r="J356" s="70"/>
      <c r="L356" s="71"/>
      <c r="N356" s="65"/>
      <c r="O356" s="64"/>
    </row>
    <row r="357" spans="1:15" ht="15" customHeight="1" x14ac:dyDescent="0.2">
      <c r="A357" s="188"/>
      <c r="B357" s="180"/>
      <c r="C357" s="189"/>
      <c r="D357" s="182"/>
      <c r="E357" s="190"/>
      <c r="F357" s="184"/>
      <c r="G357" s="70"/>
      <c r="H357" s="70"/>
      <c r="J357" s="70"/>
      <c r="L357" s="71"/>
      <c r="N357" s="65"/>
      <c r="O357" s="64"/>
    </row>
    <row r="358" spans="1:15" ht="15" customHeight="1" x14ac:dyDescent="0.2">
      <c r="A358" s="188"/>
      <c r="B358" s="180"/>
      <c r="C358" s="189"/>
      <c r="D358" s="182"/>
      <c r="E358" s="190"/>
      <c r="F358" s="184"/>
      <c r="G358" s="70"/>
      <c r="H358" s="70"/>
      <c r="J358" s="70"/>
      <c r="L358" s="71"/>
      <c r="N358" s="65"/>
      <c r="O358" s="64"/>
    </row>
    <row r="359" spans="1:15" ht="15" customHeight="1" x14ac:dyDescent="0.2">
      <c r="A359" s="188"/>
      <c r="B359" s="180"/>
      <c r="C359" s="189"/>
      <c r="D359" s="182"/>
      <c r="E359" s="190"/>
      <c r="F359" s="184"/>
      <c r="G359" s="70"/>
      <c r="H359" s="70"/>
      <c r="J359" s="70"/>
      <c r="L359" s="71"/>
      <c r="N359" s="65"/>
      <c r="O359" s="64"/>
    </row>
    <row r="360" spans="1:15" ht="15" customHeight="1" x14ac:dyDescent="0.2">
      <c r="A360" s="188"/>
      <c r="B360" s="180"/>
      <c r="C360" s="189"/>
      <c r="D360" s="182"/>
      <c r="E360" s="190"/>
      <c r="F360" s="184"/>
      <c r="G360" s="70"/>
      <c r="H360" s="70"/>
      <c r="J360" s="70"/>
      <c r="L360" s="71"/>
      <c r="N360" s="65"/>
      <c r="O360" s="64"/>
    </row>
    <row r="361" spans="1:15" ht="15" customHeight="1" x14ac:dyDescent="0.2">
      <c r="A361" s="188"/>
      <c r="B361" s="180"/>
      <c r="C361" s="189"/>
      <c r="D361" s="182"/>
      <c r="E361" s="190"/>
      <c r="F361" s="184"/>
      <c r="G361" s="70"/>
      <c r="H361" s="70"/>
      <c r="J361" s="70"/>
      <c r="L361" s="71"/>
      <c r="N361" s="65"/>
      <c r="O361" s="64"/>
    </row>
    <row r="362" spans="1:15" ht="15" customHeight="1" x14ac:dyDescent="0.2">
      <c r="A362" s="188"/>
      <c r="B362" s="180"/>
      <c r="C362" s="189"/>
      <c r="D362" s="182"/>
      <c r="E362" s="190"/>
      <c r="F362" s="184"/>
      <c r="G362" s="70"/>
      <c r="H362" s="70"/>
      <c r="J362" s="70"/>
      <c r="L362" s="71"/>
      <c r="N362" s="65"/>
      <c r="O362" s="64"/>
    </row>
    <row r="363" spans="1:15" ht="15" customHeight="1" x14ac:dyDescent="0.2">
      <c r="A363" s="188"/>
      <c r="B363" s="180"/>
      <c r="C363" s="189"/>
      <c r="D363" s="182"/>
      <c r="E363" s="190"/>
      <c r="F363" s="184"/>
      <c r="G363" s="70"/>
      <c r="H363" s="70"/>
      <c r="J363" s="70"/>
      <c r="L363" s="71"/>
      <c r="N363" s="65"/>
      <c r="O363" s="64"/>
    </row>
    <row r="364" spans="1:15" ht="15" customHeight="1" x14ac:dyDescent="0.2">
      <c r="A364" s="188"/>
      <c r="C364" s="189"/>
      <c r="E364" s="190"/>
      <c r="G364" s="70"/>
      <c r="H364" s="70"/>
      <c r="J364" s="70"/>
      <c r="L364" s="71"/>
      <c r="N364" s="65"/>
      <c r="O364" s="64"/>
    </row>
    <row r="365" spans="1:15" ht="15" customHeight="1" x14ac:dyDescent="0.2">
      <c r="A365" s="188"/>
      <c r="C365" s="189"/>
      <c r="E365" s="190"/>
      <c r="G365" s="70"/>
      <c r="H365" s="70"/>
      <c r="J365" s="70"/>
      <c r="L365" s="71"/>
      <c r="N365" s="65"/>
      <c r="O365" s="64"/>
    </row>
    <row r="366" spans="1:15" ht="15" customHeight="1" x14ac:dyDescent="0.2">
      <c r="A366" s="188"/>
      <c r="C366" s="189"/>
      <c r="E366" s="190"/>
      <c r="G366" s="70"/>
      <c r="H366" s="70"/>
      <c r="J366" s="70"/>
      <c r="L366" s="71"/>
      <c r="N366" s="65"/>
      <c r="O366" s="64"/>
    </row>
    <row r="367" spans="1:15" ht="15" customHeight="1" x14ac:dyDescent="0.2">
      <c r="A367" s="188"/>
      <c r="C367" s="189"/>
      <c r="E367" s="190"/>
      <c r="G367" s="70"/>
      <c r="H367" s="70"/>
      <c r="J367" s="70"/>
      <c r="L367" s="71"/>
      <c r="N367" s="65"/>
      <c r="O367" s="64"/>
    </row>
    <row r="368" spans="1:15" ht="15" customHeight="1" x14ac:dyDescent="0.2">
      <c r="A368" s="188"/>
      <c r="C368" s="189"/>
      <c r="E368" s="190"/>
      <c r="G368" s="70"/>
      <c r="H368" s="70"/>
      <c r="J368" s="70"/>
      <c r="L368" s="71"/>
      <c r="N368" s="65"/>
      <c r="O368" s="64"/>
    </row>
    <row r="369" spans="1:15" ht="15" customHeight="1" x14ac:dyDescent="0.2">
      <c r="A369" s="188"/>
      <c r="C369" s="189"/>
      <c r="E369" s="190"/>
      <c r="G369" s="70"/>
      <c r="H369" s="70"/>
      <c r="J369" s="70"/>
      <c r="L369" s="71"/>
      <c r="N369" s="65"/>
      <c r="O369" s="64"/>
    </row>
    <row r="370" spans="1:15" ht="15" customHeight="1" x14ac:dyDescent="0.2">
      <c r="A370" s="188"/>
      <c r="C370" s="189"/>
      <c r="E370" s="190"/>
      <c r="G370" s="70"/>
      <c r="H370" s="70"/>
      <c r="J370" s="70"/>
      <c r="L370" s="71"/>
      <c r="N370" s="65"/>
      <c r="O370" s="64"/>
    </row>
    <row r="371" spans="1:15" ht="15" customHeight="1" x14ac:dyDescent="0.2">
      <c r="A371" s="188"/>
      <c r="C371" s="189"/>
      <c r="E371" s="190"/>
      <c r="G371" s="70"/>
      <c r="H371" s="70"/>
      <c r="J371" s="70"/>
      <c r="L371" s="71"/>
      <c r="N371" s="65"/>
      <c r="O371" s="64"/>
    </row>
    <row r="372" spans="1:15" ht="15" customHeight="1" x14ac:dyDescent="0.2">
      <c r="A372" s="188"/>
      <c r="C372" s="189"/>
      <c r="E372" s="190"/>
      <c r="G372" s="70"/>
      <c r="H372" s="70"/>
      <c r="J372" s="70"/>
      <c r="L372" s="71"/>
      <c r="N372" s="65"/>
      <c r="O372" s="64"/>
    </row>
    <row r="373" spans="1:15" ht="15" customHeight="1" x14ac:dyDescent="0.2">
      <c r="A373" s="188"/>
      <c r="C373" s="189"/>
      <c r="E373" s="190"/>
      <c r="G373" s="70"/>
      <c r="H373" s="70"/>
      <c r="J373" s="70"/>
      <c r="L373" s="71"/>
      <c r="N373" s="65"/>
      <c r="O373" s="64"/>
    </row>
    <row r="374" spans="1:15" ht="15" customHeight="1" x14ac:dyDescent="0.2">
      <c r="A374" s="188"/>
      <c r="C374" s="189"/>
      <c r="E374" s="190"/>
      <c r="G374" s="70"/>
      <c r="H374" s="70"/>
      <c r="J374" s="70"/>
      <c r="L374" s="71"/>
      <c r="N374" s="65"/>
      <c r="O374" s="64"/>
    </row>
    <row r="375" spans="1:15" ht="15" customHeight="1" x14ac:dyDescent="0.2">
      <c r="A375" s="188"/>
      <c r="C375" s="189"/>
      <c r="E375" s="190"/>
      <c r="G375" s="70"/>
      <c r="H375" s="70"/>
      <c r="J375" s="70"/>
      <c r="L375" s="71"/>
      <c r="N375" s="65"/>
      <c r="O375" s="64"/>
    </row>
    <row r="376" spans="1:15" ht="15" customHeight="1" x14ac:dyDescent="0.2">
      <c r="A376" s="188"/>
      <c r="C376" s="189"/>
      <c r="E376" s="190"/>
      <c r="G376" s="70"/>
      <c r="H376" s="70"/>
      <c r="J376" s="70"/>
      <c r="L376" s="71"/>
      <c r="N376" s="65"/>
      <c r="O376" s="64"/>
    </row>
    <row r="377" spans="1:15" ht="15" customHeight="1" x14ac:dyDescent="0.2">
      <c r="A377" s="188"/>
      <c r="C377" s="189"/>
      <c r="E377" s="190"/>
      <c r="G377" s="70"/>
      <c r="H377" s="70"/>
      <c r="J377" s="70"/>
      <c r="L377" s="71"/>
      <c r="N377" s="65"/>
      <c r="O377" s="64"/>
    </row>
    <row r="378" spans="1:15" ht="15" customHeight="1" x14ac:dyDescent="0.2">
      <c r="A378" s="188"/>
      <c r="C378" s="189"/>
      <c r="E378" s="190"/>
      <c r="G378" s="70"/>
      <c r="H378" s="70"/>
      <c r="J378" s="70"/>
      <c r="L378" s="71"/>
      <c r="N378" s="65"/>
      <c r="O378" s="64"/>
    </row>
    <row r="379" spans="1:15" ht="15" customHeight="1" x14ac:dyDescent="0.2">
      <c r="A379" s="188"/>
      <c r="C379" s="189"/>
      <c r="E379" s="190"/>
      <c r="G379" s="70"/>
      <c r="H379" s="70"/>
      <c r="J379" s="70"/>
      <c r="L379" s="71"/>
      <c r="N379" s="65"/>
      <c r="O379" s="64"/>
    </row>
    <row r="380" spans="1:15" ht="15" customHeight="1" x14ac:dyDescent="0.2">
      <c r="A380" s="188"/>
      <c r="C380" s="189"/>
      <c r="E380" s="190"/>
      <c r="G380" s="70"/>
      <c r="H380" s="70"/>
      <c r="J380" s="70"/>
      <c r="L380" s="71"/>
      <c r="N380" s="65"/>
      <c r="O380" s="64"/>
    </row>
    <row r="381" spans="1:15" ht="15" customHeight="1" x14ac:dyDescent="0.2">
      <c r="A381" s="188"/>
      <c r="C381" s="189"/>
      <c r="E381" s="190"/>
      <c r="G381" s="70"/>
      <c r="H381" s="70"/>
      <c r="J381" s="70"/>
      <c r="L381" s="71"/>
      <c r="N381" s="65"/>
      <c r="O381" s="64"/>
    </row>
    <row r="382" spans="1:15" ht="15" customHeight="1" x14ac:dyDescent="0.2">
      <c r="A382" s="188"/>
      <c r="C382" s="189"/>
      <c r="E382" s="190"/>
      <c r="G382" s="70"/>
      <c r="H382" s="70"/>
      <c r="J382" s="70"/>
      <c r="L382" s="71"/>
      <c r="N382" s="65"/>
      <c r="O382" s="64"/>
    </row>
    <row r="383" spans="1:15" ht="15" customHeight="1" x14ac:dyDescent="0.2">
      <c r="A383" s="188"/>
      <c r="C383" s="189"/>
      <c r="E383" s="190"/>
      <c r="G383" s="70"/>
      <c r="H383" s="70"/>
      <c r="J383" s="70"/>
      <c r="L383" s="71"/>
      <c r="N383" s="65"/>
      <c r="O383" s="64"/>
    </row>
    <row r="384" spans="1:15" ht="15" customHeight="1" x14ac:dyDescent="0.2">
      <c r="A384" s="188"/>
      <c r="C384" s="189"/>
      <c r="E384" s="190"/>
      <c r="G384" s="70"/>
      <c r="H384" s="70"/>
      <c r="J384" s="70"/>
      <c r="L384" s="71"/>
      <c r="N384" s="65"/>
      <c r="O384" s="64"/>
    </row>
    <row r="385" spans="1:15" ht="15" customHeight="1" x14ac:dyDescent="0.2">
      <c r="A385" s="188"/>
      <c r="C385" s="189"/>
      <c r="E385" s="190"/>
      <c r="G385" s="70"/>
      <c r="H385" s="70"/>
      <c r="J385" s="70"/>
      <c r="L385" s="71"/>
      <c r="N385" s="65"/>
      <c r="O385" s="64"/>
    </row>
    <row r="386" spans="1:15" ht="15" customHeight="1" x14ac:dyDescent="0.2">
      <c r="A386" s="188"/>
      <c r="C386" s="189"/>
      <c r="E386" s="190"/>
      <c r="G386" s="70"/>
      <c r="H386" s="70"/>
      <c r="J386" s="70"/>
      <c r="L386" s="71"/>
      <c r="N386" s="65"/>
      <c r="O386" s="64"/>
    </row>
    <row r="387" spans="1:15" ht="15" customHeight="1" x14ac:dyDescent="0.2">
      <c r="A387" s="188"/>
      <c r="C387" s="189"/>
      <c r="E387" s="190"/>
      <c r="G387" s="70"/>
      <c r="H387" s="70"/>
      <c r="J387" s="70"/>
      <c r="L387" s="71"/>
      <c r="N387" s="65"/>
      <c r="O387" s="64"/>
    </row>
    <row r="388" spans="1:15" ht="15" customHeight="1" x14ac:dyDescent="0.2">
      <c r="A388" s="188"/>
      <c r="C388" s="189"/>
      <c r="E388" s="190"/>
      <c r="G388" s="70"/>
      <c r="H388" s="70"/>
      <c r="J388" s="70"/>
      <c r="L388" s="71"/>
      <c r="N388" s="65"/>
      <c r="O388" s="64"/>
    </row>
    <row r="389" spans="1:15" ht="15" customHeight="1" x14ac:dyDescent="0.2">
      <c r="A389" s="188"/>
      <c r="C389" s="189"/>
      <c r="E389" s="190"/>
      <c r="G389" s="70"/>
      <c r="H389" s="70"/>
      <c r="J389" s="70"/>
      <c r="L389" s="71"/>
      <c r="N389" s="65"/>
      <c r="O389" s="64"/>
    </row>
    <row r="390" spans="1:15" ht="15" customHeight="1" x14ac:dyDescent="0.2">
      <c r="A390" s="188"/>
      <c r="C390" s="189"/>
      <c r="E390" s="190"/>
      <c r="G390" s="70"/>
      <c r="H390" s="70"/>
      <c r="J390" s="70"/>
      <c r="L390" s="71"/>
      <c r="N390" s="65"/>
      <c r="O390" s="64"/>
    </row>
    <row r="391" spans="1:15" ht="15" customHeight="1" x14ac:dyDescent="0.2">
      <c r="A391" s="188"/>
      <c r="C391" s="189"/>
      <c r="E391" s="190"/>
      <c r="G391" s="70"/>
      <c r="H391" s="70"/>
      <c r="J391" s="70"/>
      <c r="L391" s="71"/>
      <c r="N391" s="65"/>
      <c r="O391" s="64"/>
    </row>
    <row r="392" spans="1:15" ht="15" customHeight="1" x14ac:dyDescent="0.2">
      <c r="A392" s="188"/>
      <c r="C392" s="189"/>
      <c r="E392" s="190"/>
      <c r="G392" s="70"/>
      <c r="H392" s="70"/>
      <c r="J392" s="70"/>
      <c r="L392" s="71"/>
      <c r="N392" s="65"/>
      <c r="O392" s="64"/>
    </row>
    <row r="393" spans="1:15" ht="15" customHeight="1" x14ac:dyDescent="0.2">
      <c r="A393" s="188"/>
      <c r="C393" s="189"/>
      <c r="E393" s="190"/>
      <c r="G393" s="70"/>
      <c r="H393" s="70"/>
      <c r="J393" s="70"/>
      <c r="L393" s="71"/>
      <c r="N393" s="65"/>
      <c r="O393" s="64"/>
    </row>
    <row r="394" spans="1:15" ht="15" customHeight="1" x14ac:dyDescent="0.2">
      <c r="A394" s="188"/>
      <c r="C394" s="189"/>
      <c r="E394" s="190"/>
      <c r="G394" s="70"/>
      <c r="H394" s="70"/>
      <c r="J394" s="70"/>
      <c r="L394" s="71"/>
      <c r="N394" s="65"/>
      <c r="O394" s="64"/>
    </row>
    <row r="395" spans="1:15" ht="15" customHeight="1" x14ac:dyDescent="0.2">
      <c r="A395" s="188"/>
      <c r="C395" s="189"/>
      <c r="E395" s="190"/>
      <c r="G395" s="70"/>
      <c r="H395" s="70"/>
      <c r="J395" s="70"/>
      <c r="L395" s="71"/>
      <c r="N395" s="65"/>
      <c r="O395" s="64"/>
    </row>
    <row r="396" spans="1:15" ht="15" customHeight="1" x14ac:dyDescent="0.2">
      <c r="A396" s="188"/>
      <c r="C396" s="189"/>
      <c r="E396" s="190"/>
      <c r="G396" s="70"/>
      <c r="H396" s="70"/>
      <c r="J396" s="70"/>
      <c r="L396" s="71"/>
      <c r="N396" s="65"/>
      <c r="O396" s="64"/>
    </row>
    <row r="397" spans="1:15" ht="15" customHeight="1" x14ac:dyDescent="0.2">
      <c r="A397" s="188"/>
      <c r="C397" s="189"/>
      <c r="E397" s="190"/>
      <c r="G397" s="70"/>
      <c r="H397" s="70"/>
      <c r="J397" s="70"/>
      <c r="L397" s="71"/>
      <c r="N397" s="65"/>
      <c r="O397" s="64"/>
    </row>
    <row r="398" spans="1:15" ht="15" customHeight="1" x14ac:dyDescent="0.2">
      <c r="A398" s="188"/>
      <c r="C398" s="189"/>
      <c r="E398" s="190"/>
      <c r="G398" s="70"/>
      <c r="H398" s="70"/>
      <c r="J398" s="70"/>
      <c r="L398" s="71"/>
      <c r="N398" s="65"/>
      <c r="O398" s="64"/>
    </row>
    <row r="399" spans="1:15" ht="15" customHeight="1" x14ac:dyDescent="0.2">
      <c r="A399" s="188"/>
      <c r="C399" s="189"/>
      <c r="E399" s="190"/>
      <c r="G399" s="70"/>
      <c r="H399" s="70"/>
      <c r="J399" s="70"/>
      <c r="L399" s="71"/>
      <c r="N399" s="65"/>
      <c r="O399" s="64"/>
    </row>
    <row r="400" spans="1:15" ht="15" customHeight="1" x14ac:dyDescent="0.2">
      <c r="A400" s="188"/>
      <c r="C400" s="189"/>
      <c r="E400" s="190"/>
      <c r="G400" s="70"/>
      <c r="H400" s="70"/>
      <c r="J400" s="70"/>
      <c r="L400" s="71"/>
      <c r="N400" s="65"/>
      <c r="O400" s="64"/>
    </row>
    <row r="401" spans="1:15" ht="15" customHeight="1" x14ac:dyDescent="0.2">
      <c r="A401" s="188"/>
      <c r="C401" s="189"/>
      <c r="E401" s="190"/>
      <c r="G401" s="70"/>
      <c r="H401" s="70"/>
      <c r="J401" s="70"/>
      <c r="L401" s="71"/>
      <c r="N401" s="65"/>
      <c r="O401" s="64"/>
    </row>
    <row r="402" spans="1:15" ht="15" customHeight="1" x14ac:dyDescent="0.2">
      <c r="A402" s="188"/>
      <c r="C402" s="189"/>
      <c r="E402" s="190"/>
      <c r="G402" s="70"/>
      <c r="H402" s="70"/>
      <c r="J402" s="70"/>
      <c r="L402" s="71"/>
      <c r="N402" s="65"/>
      <c r="O402" s="64"/>
    </row>
    <row r="403" spans="1:15" ht="15" customHeight="1" x14ac:dyDescent="0.2">
      <c r="A403" s="188"/>
      <c r="C403" s="189"/>
      <c r="E403" s="190"/>
      <c r="G403" s="70"/>
      <c r="H403" s="70"/>
      <c r="J403" s="70"/>
      <c r="L403" s="71"/>
      <c r="N403" s="65"/>
      <c r="O403" s="64"/>
    </row>
    <row r="404" spans="1:15" ht="15" customHeight="1" x14ac:dyDescent="0.2">
      <c r="A404" s="188"/>
      <c r="C404" s="189"/>
      <c r="E404" s="190"/>
      <c r="G404" s="70"/>
      <c r="H404" s="70"/>
      <c r="J404" s="70"/>
      <c r="L404" s="71"/>
      <c r="N404" s="65"/>
      <c r="O404" s="64"/>
    </row>
    <row r="405" spans="1:15" ht="15" customHeight="1" x14ac:dyDescent="0.2">
      <c r="A405" s="188"/>
      <c r="C405" s="189"/>
      <c r="E405" s="190"/>
      <c r="G405" s="70"/>
      <c r="H405" s="70"/>
      <c r="J405" s="70"/>
      <c r="L405" s="71"/>
      <c r="N405" s="65"/>
      <c r="O405" s="64"/>
    </row>
    <row r="406" spans="1:15" ht="15" customHeight="1" x14ac:dyDescent="0.2">
      <c r="A406" s="188"/>
      <c r="C406" s="189"/>
      <c r="E406" s="190"/>
      <c r="G406" s="70"/>
      <c r="H406" s="70"/>
      <c r="J406" s="70"/>
      <c r="L406" s="71"/>
      <c r="N406" s="65"/>
      <c r="O406" s="64"/>
    </row>
    <row r="407" spans="1:15" ht="15" customHeight="1" x14ac:dyDescent="0.2">
      <c r="A407" s="188"/>
      <c r="C407" s="189"/>
      <c r="E407" s="190"/>
      <c r="G407" s="70"/>
      <c r="H407" s="70"/>
      <c r="J407" s="70"/>
      <c r="L407" s="71"/>
      <c r="N407" s="65"/>
      <c r="O407" s="64"/>
    </row>
    <row r="408" spans="1:15" ht="15" customHeight="1" x14ac:dyDescent="0.2">
      <c r="A408" s="188"/>
      <c r="C408" s="189"/>
      <c r="E408" s="190"/>
      <c r="G408" s="70"/>
      <c r="H408" s="70"/>
      <c r="J408" s="70"/>
      <c r="L408" s="71"/>
      <c r="N408" s="65"/>
      <c r="O408" s="64"/>
    </row>
    <row r="409" spans="1:15" ht="15" customHeight="1" x14ac:dyDescent="0.2">
      <c r="A409" s="188"/>
      <c r="C409" s="189"/>
      <c r="E409" s="190"/>
      <c r="G409" s="70"/>
      <c r="H409" s="70"/>
      <c r="J409" s="70"/>
      <c r="L409" s="71"/>
      <c r="N409" s="65"/>
      <c r="O409" s="64"/>
    </row>
    <row r="410" spans="1:15" ht="15" customHeight="1" x14ac:dyDescent="0.2">
      <c r="A410" s="188"/>
      <c r="C410" s="189"/>
      <c r="E410" s="190"/>
      <c r="G410" s="70"/>
      <c r="H410" s="70"/>
      <c r="J410" s="70"/>
      <c r="L410" s="71"/>
      <c r="N410" s="65"/>
      <c r="O410" s="64"/>
    </row>
    <row r="411" spans="1:15" ht="15" customHeight="1" x14ac:dyDescent="0.2">
      <c r="A411" s="188"/>
      <c r="C411" s="189"/>
      <c r="E411" s="190"/>
      <c r="G411" s="70"/>
      <c r="H411" s="70"/>
      <c r="J411" s="70"/>
      <c r="L411" s="71"/>
      <c r="N411" s="65"/>
      <c r="O411" s="64"/>
    </row>
    <row r="412" spans="1:15" ht="15" customHeight="1" x14ac:dyDescent="0.2">
      <c r="A412" s="188"/>
      <c r="C412" s="189"/>
      <c r="E412" s="190"/>
      <c r="G412" s="70"/>
      <c r="H412" s="70"/>
      <c r="J412" s="70"/>
      <c r="L412" s="71"/>
      <c r="N412" s="65"/>
      <c r="O412" s="64"/>
    </row>
    <row r="413" spans="1:15" ht="15" customHeight="1" x14ac:dyDescent="0.2">
      <c r="A413" s="188"/>
      <c r="C413" s="189"/>
      <c r="E413" s="190"/>
      <c r="G413" s="70"/>
      <c r="H413" s="70"/>
      <c r="J413" s="70"/>
      <c r="L413" s="71"/>
      <c r="N413" s="65"/>
      <c r="O413" s="64"/>
    </row>
    <row r="414" spans="1:15" ht="15" customHeight="1" x14ac:dyDescent="0.2">
      <c r="A414" s="188"/>
      <c r="C414" s="189"/>
      <c r="E414" s="190"/>
      <c r="G414" s="70"/>
      <c r="H414" s="70"/>
      <c r="J414" s="70"/>
      <c r="L414" s="71"/>
      <c r="N414" s="65"/>
      <c r="O414" s="64"/>
    </row>
    <row r="415" spans="1:15" ht="15" customHeight="1" x14ac:dyDescent="0.2">
      <c r="A415" s="188"/>
      <c r="C415" s="189"/>
      <c r="E415" s="190"/>
      <c r="G415" s="70"/>
      <c r="H415" s="70"/>
      <c r="J415" s="70"/>
      <c r="L415" s="71"/>
      <c r="N415" s="65"/>
      <c r="O415" s="64"/>
    </row>
    <row r="416" spans="1:15" ht="15" customHeight="1" x14ac:dyDescent="0.2">
      <c r="A416" s="188"/>
      <c r="C416" s="189"/>
      <c r="E416" s="190"/>
      <c r="G416" s="70"/>
      <c r="H416" s="70"/>
      <c r="J416" s="70"/>
      <c r="L416" s="71"/>
      <c r="N416" s="65"/>
      <c r="O416" s="64"/>
    </row>
    <row r="417" spans="1:15" ht="15" customHeight="1" x14ac:dyDescent="0.2">
      <c r="A417" s="188"/>
      <c r="C417" s="189"/>
      <c r="E417" s="190"/>
      <c r="G417" s="70"/>
      <c r="H417" s="70"/>
      <c r="J417" s="70"/>
      <c r="L417" s="71"/>
      <c r="N417" s="65"/>
      <c r="O417" s="64"/>
    </row>
    <row r="418" spans="1:15" ht="15" customHeight="1" x14ac:dyDescent="0.2">
      <c r="A418" s="188"/>
      <c r="C418" s="189"/>
      <c r="E418" s="190"/>
      <c r="G418" s="70"/>
      <c r="H418" s="70"/>
      <c r="J418" s="70"/>
      <c r="L418" s="71"/>
      <c r="N418" s="65"/>
      <c r="O418" s="64"/>
    </row>
    <row r="419" spans="1:15" ht="15" customHeight="1" x14ac:dyDescent="0.2">
      <c r="A419" s="188"/>
      <c r="C419" s="189"/>
      <c r="E419" s="190"/>
      <c r="G419" s="70"/>
      <c r="H419" s="70"/>
      <c r="J419" s="70"/>
      <c r="L419" s="71"/>
      <c r="N419" s="65"/>
      <c r="O419" s="64"/>
    </row>
    <row r="420" spans="1:15" ht="15" customHeight="1" x14ac:dyDescent="0.2">
      <c r="A420" s="188"/>
      <c r="C420" s="189"/>
      <c r="E420" s="190"/>
      <c r="G420" s="70"/>
      <c r="H420" s="70"/>
      <c r="J420" s="70"/>
      <c r="L420" s="71"/>
      <c r="N420" s="65"/>
      <c r="O420" s="64"/>
    </row>
    <row r="421" spans="1:15" ht="15" customHeight="1" x14ac:dyDescent="0.2">
      <c r="A421" s="188"/>
      <c r="C421" s="189"/>
      <c r="E421" s="190"/>
      <c r="G421" s="70"/>
      <c r="H421" s="70"/>
      <c r="J421" s="70"/>
      <c r="L421" s="71"/>
      <c r="N421" s="65"/>
      <c r="O421" s="64"/>
    </row>
    <row r="422" spans="1:15" ht="15" customHeight="1" x14ac:dyDescent="0.2">
      <c r="A422" s="188"/>
      <c r="C422" s="189"/>
      <c r="E422" s="190"/>
      <c r="G422" s="70"/>
      <c r="H422" s="70"/>
      <c r="J422" s="70"/>
      <c r="L422" s="71"/>
      <c r="N422" s="65"/>
      <c r="O422" s="64"/>
    </row>
    <row r="423" spans="1:15" ht="15" customHeight="1" x14ac:dyDescent="0.2">
      <c r="A423" s="188"/>
      <c r="C423" s="189"/>
      <c r="E423" s="190"/>
      <c r="G423" s="70"/>
      <c r="H423" s="70"/>
      <c r="J423" s="70"/>
      <c r="L423" s="71"/>
      <c r="N423" s="65"/>
      <c r="O423" s="64"/>
    </row>
    <row r="424" spans="1:15" ht="15" customHeight="1" x14ac:dyDescent="0.2">
      <c r="A424" s="188"/>
      <c r="C424" s="189"/>
      <c r="E424" s="190"/>
      <c r="G424" s="70"/>
      <c r="H424" s="70"/>
      <c r="J424" s="70"/>
      <c r="L424" s="71"/>
      <c r="N424" s="65"/>
      <c r="O424" s="64"/>
    </row>
    <row r="425" spans="1:15" ht="15" customHeight="1" x14ac:dyDescent="0.2">
      <c r="A425" s="188"/>
      <c r="C425" s="189"/>
      <c r="E425" s="190"/>
      <c r="G425" s="70"/>
      <c r="H425" s="70"/>
      <c r="J425" s="70"/>
      <c r="L425" s="71"/>
      <c r="N425" s="65"/>
      <c r="O425" s="64"/>
    </row>
    <row r="426" spans="1:15" ht="15" customHeight="1" x14ac:dyDescent="0.2">
      <c r="A426" s="188"/>
      <c r="C426" s="189"/>
      <c r="E426" s="190"/>
      <c r="G426" s="70"/>
      <c r="H426" s="70"/>
      <c r="J426" s="70"/>
      <c r="L426" s="71"/>
      <c r="N426" s="65"/>
      <c r="O426" s="64"/>
    </row>
    <row r="427" spans="1:15" ht="15" customHeight="1" x14ac:dyDescent="0.2">
      <c r="A427" s="188"/>
      <c r="C427" s="189"/>
      <c r="E427" s="190"/>
      <c r="G427" s="70"/>
      <c r="H427" s="70"/>
      <c r="J427" s="70"/>
      <c r="L427" s="71"/>
      <c r="N427" s="65"/>
      <c r="O427" s="64"/>
    </row>
    <row r="428" spans="1:15" ht="15" customHeight="1" x14ac:dyDescent="0.2">
      <c r="A428" s="188"/>
      <c r="C428" s="189"/>
      <c r="E428" s="190"/>
      <c r="G428" s="70"/>
      <c r="H428" s="70"/>
      <c r="J428" s="70"/>
      <c r="L428" s="71"/>
      <c r="N428" s="65"/>
      <c r="O428" s="64"/>
    </row>
    <row r="429" spans="1:15" ht="15" customHeight="1" x14ac:dyDescent="0.2">
      <c r="A429" s="188"/>
      <c r="C429" s="189"/>
      <c r="E429" s="190"/>
      <c r="G429" s="70"/>
      <c r="H429" s="70"/>
      <c r="J429" s="70"/>
      <c r="L429" s="71"/>
      <c r="N429" s="65"/>
      <c r="O429" s="64"/>
    </row>
    <row r="430" spans="1:15" ht="15" customHeight="1" x14ac:dyDescent="0.2">
      <c r="A430" s="188"/>
      <c r="C430" s="189"/>
      <c r="E430" s="190"/>
      <c r="G430" s="70"/>
      <c r="H430" s="70"/>
      <c r="J430" s="70"/>
      <c r="L430" s="71"/>
      <c r="N430" s="65"/>
      <c r="O430" s="64"/>
    </row>
    <row r="431" spans="1:15" ht="15" customHeight="1" x14ac:dyDescent="0.2">
      <c r="A431" s="188"/>
      <c r="C431" s="189"/>
      <c r="E431" s="190"/>
      <c r="G431" s="70"/>
      <c r="H431" s="70"/>
      <c r="J431" s="70"/>
      <c r="L431" s="71"/>
      <c r="N431" s="65"/>
      <c r="O431" s="64"/>
    </row>
    <row r="432" spans="1:15" ht="15" customHeight="1" x14ac:dyDescent="0.2">
      <c r="A432" s="188"/>
      <c r="C432" s="189"/>
      <c r="E432" s="190"/>
      <c r="G432" s="70"/>
      <c r="H432" s="70"/>
      <c r="J432" s="70"/>
      <c r="L432" s="71"/>
      <c r="N432" s="65"/>
      <c r="O432" s="64"/>
    </row>
    <row r="433" spans="1:15" ht="15" customHeight="1" x14ac:dyDescent="0.2">
      <c r="A433" s="188"/>
      <c r="C433" s="189"/>
      <c r="E433" s="190"/>
      <c r="G433" s="70"/>
      <c r="H433" s="70"/>
      <c r="J433" s="70"/>
      <c r="L433" s="71"/>
      <c r="N433" s="65"/>
      <c r="O433" s="64"/>
    </row>
    <row r="434" spans="1:15" ht="15" customHeight="1" x14ac:dyDescent="0.2">
      <c r="A434" s="188"/>
      <c r="C434" s="189"/>
      <c r="E434" s="190"/>
      <c r="G434" s="70"/>
      <c r="H434" s="70"/>
      <c r="J434" s="70"/>
      <c r="L434" s="71"/>
      <c r="N434" s="65"/>
      <c r="O434" s="64"/>
    </row>
    <row r="435" spans="1:15" ht="15" customHeight="1" x14ac:dyDescent="0.2">
      <c r="A435" s="188"/>
      <c r="C435" s="189"/>
      <c r="E435" s="190"/>
      <c r="G435" s="70"/>
      <c r="H435" s="70"/>
      <c r="J435" s="70"/>
      <c r="L435" s="71"/>
      <c r="N435" s="65"/>
      <c r="O435" s="64"/>
    </row>
    <row r="436" spans="1:15" ht="15" customHeight="1" x14ac:dyDescent="0.2">
      <c r="A436" s="188"/>
      <c r="C436" s="189"/>
      <c r="E436" s="190"/>
      <c r="G436" s="70"/>
      <c r="H436" s="70"/>
      <c r="J436" s="70"/>
      <c r="L436" s="71"/>
      <c r="N436" s="65"/>
      <c r="O436" s="64"/>
    </row>
    <row r="437" spans="1:15" ht="15" customHeight="1" x14ac:dyDescent="0.2">
      <c r="A437" s="188"/>
      <c r="C437" s="189"/>
      <c r="E437" s="190"/>
      <c r="G437" s="70"/>
      <c r="H437" s="70"/>
      <c r="J437" s="70"/>
      <c r="L437" s="71"/>
      <c r="N437" s="65"/>
      <c r="O437" s="64"/>
    </row>
    <row r="438" spans="1:15" ht="15" customHeight="1" x14ac:dyDescent="0.2">
      <c r="A438" s="188"/>
      <c r="C438" s="189"/>
      <c r="E438" s="190"/>
      <c r="G438" s="70"/>
      <c r="H438" s="70"/>
      <c r="J438" s="70"/>
      <c r="L438" s="71"/>
      <c r="N438" s="65"/>
      <c r="O438" s="64"/>
    </row>
    <row r="439" spans="1:15" ht="15" customHeight="1" x14ac:dyDescent="0.2">
      <c r="A439" s="188"/>
      <c r="C439" s="189"/>
      <c r="E439" s="190"/>
      <c r="G439" s="70"/>
      <c r="H439" s="70"/>
      <c r="J439" s="70"/>
      <c r="L439" s="71"/>
      <c r="N439" s="65"/>
      <c r="O439" s="64"/>
    </row>
    <row r="440" spans="1:15" ht="15" customHeight="1" x14ac:dyDescent="0.2">
      <c r="A440" s="188"/>
      <c r="C440" s="189"/>
      <c r="E440" s="190"/>
      <c r="G440" s="70"/>
      <c r="H440" s="70"/>
      <c r="J440" s="70"/>
      <c r="L440" s="71"/>
      <c r="N440" s="65"/>
      <c r="O440" s="64"/>
    </row>
    <row r="441" spans="1:15" ht="15" customHeight="1" x14ac:dyDescent="0.2">
      <c r="A441" s="188"/>
      <c r="C441" s="189"/>
      <c r="E441" s="190"/>
      <c r="G441" s="70"/>
      <c r="H441" s="70"/>
      <c r="J441" s="70"/>
      <c r="L441" s="71"/>
      <c r="N441" s="65"/>
      <c r="O441" s="64"/>
    </row>
    <row r="442" spans="1:15" ht="15" customHeight="1" x14ac:dyDescent="0.2">
      <c r="A442" s="188"/>
      <c r="C442" s="189"/>
      <c r="E442" s="190"/>
      <c r="G442" s="70"/>
      <c r="H442" s="70"/>
      <c r="J442" s="70"/>
      <c r="L442" s="71"/>
      <c r="N442" s="65"/>
      <c r="O442" s="64"/>
    </row>
    <row r="443" spans="1:15" ht="15" customHeight="1" x14ac:dyDescent="0.2">
      <c r="A443" s="188"/>
      <c r="C443" s="189"/>
      <c r="E443" s="190"/>
      <c r="G443" s="70"/>
      <c r="H443" s="70"/>
      <c r="J443" s="70"/>
      <c r="L443" s="71"/>
      <c r="N443" s="65"/>
      <c r="O443" s="64"/>
    </row>
    <row r="444" spans="1:15" ht="15" customHeight="1" x14ac:dyDescent="0.2">
      <c r="A444" s="188"/>
      <c r="C444" s="189"/>
      <c r="E444" s="190"/>
      <c r="G444" s="70"/>
      <c r="H444" s="70"/>
      <c r="J444" s="70"/>
      <c r="L444" s="71"/>
      <c r="N444" s="65"/>
      <c r="O444" s="64"/>
    </row>
    <row r="445" spans="1:15" ht="15" customHeight="1" x14ac:dyDescent="0.2">
      <c r="A445" s="188"/>
      <c r="C445" s="189"/>
      <c r="E445" s="190"/>
      <c r="G445" s="70"/>
      <c r="H445" s="70"/>
      <c r="J445" s="70"/>
      <c r="L445" s="71"/>
      <c r="N445" s="65"/>
      <c r="O445" s="64"/>
    </row>
    <row r="446" spans="1:15" ht="15" customHeight="1" x14ac:dyDescent="0.2">
      <c r="A446" s="188"/>
      <c r="C446" s="189"/>
      <c r="E446" s="190"/>
      <c r="G446" s="70"/>
      <c r="H446" s="70"/>
      <c r="J446" s="70"/>
      <c r="L446" s="71"/>
      <c r="N446" s="65"/>
      <c r="O446" s="64"/>
    </row>
    <row r="447" spans="1:15" ht="15" customHeight="1" x14ac:dyDescent="0.2">
      <c r="A447" s="188"/>
      <c r="C447" s="189"/>
      <c r="E447" s="190"/>
      <c r="G447" s="70"/>
      <c r="H447" s="70"/>
      <c r="J447" s="70"/>
      <c r="L447" s="71"/>
      <c r="N447" s="65"/>
      <c r="O447" s="64"/>
    </row>
    <row r="448" spans="1:15" ht="15" customHeight="1" x14ac:dyDescent="0.2">
      <c r="A448" s="188"/>
      <c r="C448" s="189"/>
      <c r="E448" s="190"/>
      <c r="G448" s="70"/>
      <c r="H448" s="70"/>
      <c r="J448" s="70"/>
      <c r="L448" s="71"/>
      <c r="N448" s="65"/>
      <c r="O448" s="64"/>
    </row>
    <row r="449" spans="1:15" ht="15" customHeight="1" x14ac:dyDescent="0.2">
      <c r="A449" s="188"/>
      <c r="C449" s="189"/>
      <c r="E449" s="190"/>
      <c r="G449" s="70"/>
      <c r="H449" s="70"/>
      <c r="J449" s="70"/>
      <c r="L449" s="71"/>
      <c r="N449" s="65"/>
      <c r="O449" s="64"/>
    </row>
    <row r="450" spans="1:15" ht="15" customHeight="1" x14ac:dyDescent="0.2">
      <c r="A450" s="188"/>
      <c r="C450" s="189"/>
      <c r="E450" s="190"/>
      <c r="G450" s="70"/>
      <c r="H450" s="70"/>
      <c r="J450" s="70"/>
      <c r="L450" s="71"/>
      <c r="N450" s="65"/>
      <c r="O450" s="64"/>
    </row>
    <row r="451" spans="1:15" ht="15" customHeight="1" x14ac:dyDescent="0.2">
      <c r="A451" s="188"/>
      <c r="C451" s="189"/>
      <c r="E451" s="190"/>
      <c r="G451" s="70"/>
      <c r="H451" s="70"/>
      <c r="J451" s="70"/>
      <c r="L451" s="71"/>
      <c r="N451" s="65"/>
      <c r="O451" s="64"/>
    </row>
    <row r="452" spans="1:15" ht="15" customHeight="1" x14ac:dyDescent="0.2">
      <c r="A452" s="188"/>
      <c r="C452" s="189"/>
      <c r="E452" s="190"/>
      <c r="G452" s="70"/>
      <c r="H452" s="70"/>
      <c r="J452" s="70"/>
      <c r="L452" s="71"/>
      <c r="N452" s="65"/>
      <c r="O452" s="64"/>
    </row>
    <row r="453" spans="1:15" ht="15" customHeight="1" x14ac:dyDescent="0.2">
      <c r="A453" s="188"/>
      <c r="C453" s="189"/>
      <c r="E453" s="190"/>
      <c r="G453" s="70"/>
      <c r="H453" s="70"/>
      <c r="J453" s="70"/>
      <c r="L453" s="71"/>
      <c r="N453" s="65"/>
      <c r="O453" s="64"/>
    </row>
    <row r="454" spans="1:15" ht="15" customHeight="1" x14ac:dyDescent="0.2">
      <c r="A454" s="188"/>
      <c r="C454" s="189"/>
      <c r="E454" s="190"/>
      <c r="G454" s="70"/>
      <c r="H454" s="70"/>
      <c r="J454" s="70"/>
      <c r="L454" s="71"/>
      <c r="N454" s="65"/>
      <c r="O454" s="64"/>
    </row>
    <row r="455" spans="1:15" ht="15" customHeight="1" x14ac:dyDescent="0.2">
      <c r="A455" s="188"/>
      <c r="C455" s="189"/>
      <c r="E455" s="190"/>
      <c r="G455" s="70"/>
      <c r="H455" s="70"/>
      <c r="J455" s="70"/>
      <c r="L455" s="71"/>
      <c r="N455" s="65"/>
      <c r="O455" s="64"/>
    </row>
    <row r="456" spans="1:15" ht="15" customHeight="1" x14ac:dyDescent="0.2">
      <c r="A456" s="188"/>
      <c r="C456" s="189"/>
      <c r="E456" s="190"/>
      <c r="G456" s="70"/>
      <c r="H456" s="70"/>
      <c r="J456" s="70"/>
      <c r="L456" s="71"/>
      <c r="N456" s="65"/>
      <c r="O456" s="64"/>
    </row>
    <row r="457" spans="1:15" ht="15" customHeight="1" x14ac:dyDescent="0.2">
      <c r="A457" s="188"/>
      <c r="C457" s="189"/>
      <c r="E457" s="190"/>
      <c r="G457" s="70"/>
      <c r="H457" s="70"/>
      <c r="J457" s="70"/>
      <c r="L457" s="71"/>
      <c r="N457" s="65"/>
      <c r="O457" s="64"/>
    </row>
    <row r="458" spans="1:15" ht="15" customHeight="1" x14ac:dyDescent="0.2">
      <c r="A458" s="188"/>
      <c r="C458" s="189"/>
      <c r="E458" s="190"/>
      <c r="G458" s="70"/>
      <c r="H458" s="70"/>
      <c r="J458" s="70"/>
      <c r="L458" s="71"/>
      <c r="N458" s="65"/>
      <c r="O458" s="64"/>
    </row>
    <row r="459" spans="1:15" ht="15" customHeight="1" x14ac:dyDescent="0.2">
      <c r="A459" s="188"/>
      <c r="C459" s="189"/>
      <c r="E459" s="190"/>
      <c r="G459" s="70"/>
      <c r="H459" s="70"/>
      <c r="J459" s="70"/>
      <c r="L459" s="71"/>
      <c r="N459" s="65"/>
      <c r="O459" s="64"/>
    </row>
    <row r="460" spans="1:15" ht="15" customHeight="1" x14ac:dyDescent="0.2">
      <c r="A460" s="188"/>
      <c r="C460" s="189"/>
      <c r="E460" s="190"/>
      <c r="G460" s="70"/>
      <c r="H460" s="70"/>
      <c r="J460" s="70"/>
      <c r="L460" s="71"/>
      <c r="N460" s="65"/>
      <c r="O460" s="64"/>
    </row>
    <row r="461" spans="1:15" ht="15" customHeight="1" x14ac:dyDescent="0.2">
      <c r="A461" s="188"/>
      <c r="C461" s="189"/>
      <c r="E461" s="190"/>
      <c r="G461" s="70"/>
      <c r="H461" s="70"/>
      <c r="J461" s="70"/>
      <c r="L461" s="71"/>
      <c r="N461" s="65"/>
      <c r="O461" s="64"/>
    </row>
    <row r="462" spans="1:15" ht="15" customHeight="1" x14ac:dyDescent="0.2">
      <c r="A462" s="188"/>
      <c r="C462" s="189"/>
      <c r="E462" s="190"/>
      <c r="G462" s="70"/>
      <c r="H462" s="70"/>
      <c r="J462" s="70"/>
      <c r="L462" s="71"/>
      <c r="N462" s="65"/>
      <c r="O462" s="64"/>
    </row>
    <row r="463" spans="1:15" ht="15" customHeight="1" x14ac:dyDescent="0.2">
      <c r="A463" s="188"/>
      <c r="C463" s="189"/>
      <c r="E463" s="190"/>
      <c r="G463" s="70"/>
      <c r="H463" s="70"/>
      <c r="J463" s="70"/>
      <c r="L463" s="71"/>
      <c r="N463" s="65"/>
      <c r="O463" s="64"/>
    </row>
    <row r="464" spans="1:15" ht="15" customHeight="1" x14ac:dyDescent="0.2">
      <c r="A464" s="188"/>
      <c r="C464" s="189"/>
      <c r="E464" s="190"/>
      <c r="G464" s="70"/>
      <c r="H464" s="70"/>
      <c r="J464" s="70"/>
      <c r="L464" s="71"/>
      <c r="N464" s="65"/>
      <c r="O464" s="64"/>
    </row>
    <row r="465" spans="1:15" ht="15" customHeight="1" x14ac:dyDescent="0.2">
      <c r="A465" s="188"/>
      <c r="C465" s="189"/>
      <c r="E465" s="190"/>
      <c r="G465" s="70"/>
      <c r="H465" s="70"/>
      <c r="J465" s="70"/>
      <c r="L465" s="71"/>
      <c r="N465" s="65"/>
      <c r="O465" s="64"/>
    </row>
    <row r="466" spans="1:15" ht="15" customHeight="1" x14ac:dyDescent="0.2">
      <c r="A466" s="188"/>
      <c r="C466" s="189"/>
      <c r="E466" s="190"/>
      <c r="G466" s="70"/>
      <c r="H466" s="70"/>
      <c r="J466" s="70"/>
      <c r="L466" s="71"/>
      <c r="N466" s="65"/>
      <c r="O466" s="64"/>
    </row>
    <row r="467" spans="1:15" ht="15" customHeight="1" x14ac:dyDescent="0.2">
      <c r="A467" s="188"/>
      <c r="C467" s="189"/>
      <c r="E467" s="190"/>
      <c r="G467" s="70"/>
      <c r="H467" s="70"/>
      <c r="J467" s="70"/>
      <c r="L467" s="71"/>
      <c r="N467" s="65"/>
      <c r="O467" s="64"/>
    </row>
    <row r="468" spans="1:15" ht="15" customHeight="1" x14ac:dyDescent="0.2">
      <c r="A468" s="188"/>
      <c r="C468" s="189"/>
      <c r="E468" s="190"/>
      <c r="G468" s="70"/>
      <c r="H468" s="70"/>
      <c r="J468" s="70"/>
      <c r="L468" s="71"/>
      <c r="N468" s="65"/>
      <c r="O468" s="64"/>
    </row>
    <row r="469" spans="1:15" ht="15" customHeight="1" x14ac:dyDescent="0.2">
      <c r="A469" s="188"/>
      <c r="C469" s="189"/>
      <c r="E469" s="190"/>
      <c r="G469" s="70"/>
      <c r="H469" s="70"/>
      <c r="J469" s="70"/>
      <c r="L469" s="71"/>
      <c r="N469" s="65"/>
      <c r="O469" s="64"/>
    </row>
    <row r="470" spans="1:15" ht="15" customHeight="1" x14ac:dyDescent="0.2">
      <c r="A470" s="188"/>
      <c r="C470" s="189"/>
      <c r="E470" s="190"/>
      <c r="G470" s="70"/>
      <c r="H470" s="70"/>
      <c r="J470" s="70"/>
      <c r="L470" s="71"/>
      <c r="N470" s="65"/>
      <c r="O470" s="64"/>
    </row>
    <row r="471" spans="1:15" ht="15" customHeight="1" x14ac:dyDescent="0.2">
      <c r="A471" s="188"/>
      <c r="C471" s="189"/>
      <c r="E471" s="190"/>
      <c r="G471" s="70"/>
      <c r="H471" s="70"/>
      <c r="J471" s="70"/>
      <c r="L471" s="71"/>
      <c r="N471" s="65"/>
      <c r="O471" s="64"/>
    </row>
    <row r="472" spans="1:15" ht="15" customHeight="1" x14ac:dyDescent="0.2">
      <c r="A472" s="188"/>
      <c r="C472" s="189"/>
      <c r="E472" s="190"/>
      <c r="G472" s="70"/>
      <c r="H472" s="70"/>
      <c r="J472" s="70"/>
      <c r="L472" s="71"/>
      <c r="N472" s="65"/>
      <c r="O472" s="64"/>
    </row>
    <row r="473" spans="1:15" ht="15" customHeight="1" x14ac:dyDescent="0.2">
      <c r="A473" s="188"/>
      <c r="C473" s="189"/>
      <c r="E473" s="190"/>
      <c r="G473" s="70"/>
      <c r="H473" s="70"/>
      <c r="J473" s="70"/>
      <c r="L473" s="71"/>
      <c r="N473" s="65"/>
      <c r="O473" s="64"/>
    </row>
    <row r="474" spans="1:15" ht="15" customHeight="1" x14ac:dyDescent="0.2">
      <c r="A474" s="188"/>
      <c r="C474" s="189"/>
      <c r="E474" s="190"/>
      <c r="G474" s="70"/>
      <c r="H474" s="70"/>
      <c r="J474" s="70"/>
      <c r="L474" s="71"/>
      <c r="N474" s="65"/>
      <c r="O474" s="64"/>
    </row>
    <row r="475" spans="1:15" ht="15" customHeight="1" x14ac:dyDescent="0.2">
      <c r="A475" s="188"/>
      <c r="C475" s="189"/>
      <c r="E475" s="190"/>
      <c r="G475" s="70"/>
      <c r="H475" s="70"/>
      <c r="J475" s="70"/>
      <c r="L475" s="71"/>
      <c r="N475" s="65"/>
      <c r="O475" s="64"/>
    </row>
    <row r="476" spans="1:15" ht="15" customHeight="1" x14ac:dyDescent="0.2">
      <c r="A476" s="188"/>
      <c r="C476" s="189"/>
      <c r="E476" s="190"/>
      <c r="G476" s="70"/>
      <c r="H476" s="70"/>
      <c r="J476" s="70"/>
      <c r="L476" s="71"/>
      <c r="N476" s="65"/>
      <c r="O476" s="64"/>
    </row>
    <row r="477" spans="1:15" ht="15" customHeight="1" x14ac:dyDescent="0.2">
      <c r="A477" s="188"/>
      <c r="C477" s="189"/>
      <c r="E477" s="190"/>
      <c r="G477" s="70"/>
      <c r="H477" s="70"/>
      <c r="J477" s="70"/>
      <c r="L477" s="71"/>
      <c r="N477" s="65"/>
      <c r="O477" s="64"/>
    </row>
    <row r="478" spans="1:15" ht="15" customHeight="1" x14ac:dyDescent="0.2">
      <c r="A478" s="188"/>
      <c r="C478" s="189"/>
      <c r="E478" s="190"/>
      <c r="G478" s="70"/>
      <c r="H478" s="70"/>
      <c r="J478" s="70"/>
      <c r="L478" s="71"/>
      <c r="N478" s="65"/>
      <c r="O478" s="64"/>
    </row>
    <row r="479" spans="1:15" ht="15" customHeight="1" x14ac:dyDescent="0.2">
      <c r="A479" s="188"/>
      <c r="C479" s="189"/>
      <c r="E479" s="190"/>
      <c r="G479" s="70"/>
      <c r="H479" s="70"/>
      <c r="J479" s="70"/>
      <c r="L479" s="71"/>
      <c r="N479" s="65"/>
      <c r="O479" s="64"/>
    </row>
    <row r="480" spans="1:15" ht="15" customHeight="1" x14ac:dyDescent="0.2">
      <c r="A480" s="188"/>
      <c r="C480" s="189"/>
      <c r="E480" s="190"/>
      <c r="G480" s="70"/>
      <c r="H480" s="70"/>
      <c r="J480" s="70"/>
      <c r="L480" s="71"/>
      <c r="N480" s="65"/>
      <c r="O480" s="64"/>
    </row>
    <row r="481" spans="1:15" ht="15" customHeight="1" x14ac:dyDescent="0.2">
      <c r="A481" s="188"/>
      <c r="C481" s="189"/>
      <c r="E481" s="190"/>
      <c r="G481" s="70"/>
      <c r="H481" s="70"/>
      <c r="J481" s="70"/>
      <c r="L481" s="71"/>
      <c r="N481" s="65"/>
      <c r="O481" s="64"/>
    </row>
    <row r="482" spans="1:15" ht="15" customHeight="1" x14ac:dyDescent="0.2">
      <c r="A482" s="188"/>
      <c r="C482" s="189"/>
      <c r="E482" s="190"/>
      <c r="G482" s="70"/>
      <c r="H482" s="70"/>
      <c r="J482" s="70"/>
      <c r="L482" s="71"/>
      <c r="N482" s="65"/>
      <c r="O482" s="64"/>
    </row>
    <row r="483" spans="1:15" ht="15" customHeight="1" x14ac:dyDescent="0.2">
      <c r="A483" s="188"/>
      <c r="C483" s="189"/>
      <c r="E483" s="190"/>
      <c r="G483" s="70"/>
      <c r="H483" s="70"/>
      <c r="J483" s="70"/>
      <c r="L483" s="71"/>
      <c r="N483" s="65"/>
      <c r="O483" s="64"/>
    </row>
    <row r="484" spans="1:15" ht="15" customHeight="1" x14ac:dyDescent="0.2">
      <c r="A484" s="188"/>
      <c r="C484" s="189"/>
      <c r="E484" s="190"/>
      <c r="G484" s="70"/>
      <c r="H484" s="70"/>
      <c r="J484" s="70"/>
      <c r="L484" s="71"/>
      <c r="N484" s="65"/>
      <c r="O484" s="64"/>
    </row>
    <row r="485" spans="1:15" ht="15" customHeight="1" x14ac:dyDescent="0.2">
      <c r="A485" s="188"/>
      <c r="C485" s="189"/>
      <c r="E485" s="190"/>
      <c r="G485" s="70"/>
      <c r="H485" s="70"/>
      <c r="J485" s="70"/>
      <c r="L485" s="71"/>
      <c r="N485" s="65"/>
      <c r="O485" s="64"/>
    </row>
    <row r="486" spans="1:15" ht="15" customHeight="1" x14ac:dyDescent="0.2">
      <c r="A486" s="188"/>
      <c r="C486" s="189"/>
      <c r="E486" s="190"/>
      <c r="G486" s="70"/>
      <c r="H486" s="70"/>
      <c r="J486" s="70"/>
      <c r="L486" s="71"/>
      <c r="N486" s="65"/>
      <c r="O486" s="64"/>
    </row>
    <row r="487" spans="1:15" ht="15" customHeight="1" x14ac:dyDescent="0.2">
      <c r="A487" s="188"/>
      <c r="C487" s="189"/>
      <c r="E487" s="190"/>
      <c r="G487" s="70"/>
      <c r="H487" s="70"/>
      <c r="J487" s="70"/>
      <c r="L487" s="71"/>
      <c r="N487" s="65"/>
      <c r="O487" s="64"/>
    </row>
    <row r="488" spans="1:15" ht="15" customHeight="1" x14ac:dyDescent="0.2">
      <c r="A488" s="188"/>
      <c r="C488" s="189"/>
      <c r="E488" s="190"/>
      <c r="G488" s="70"/>
      <c r="H488" s="70"/>
      <c r="J488" s="70"/>
      <c r="L488" s="71"/>
      <c r="N488" s="65"/>
      <c r="O488" s="64"/>
    </row>
    <row r="489" spans="1:15" ht="15" customHeight="1" x14ac:dyDescent="0.2">
      <c r="A489" s="188"/>
      <c r="C489" s="189"/>
      <c r="E489" s="190"/>
      <c r="G489" s="70"/>
      <c r="H489" s="70"/>
      <c r="J489" s="70"/>
      <c r="L489" s="71"/>
      <c r="N489" s="65"/>
      <c r="O489" s="64"/>
    </row>
    <row r="490" spans="1:15" ht="15" customHeight="1" x14ac:dyDescent="0.2">
      <c r="A490" s="188"/>
      <c r="C490" s="189"/>
      <c r="E490" s="190"/>
      <c r="G490" s="70"/>
      <c r="H490" s="70"/>
      <c r="J490" s="70"/>
      <c r="L490" s="71"/>
      <c r="N490" s="65"/>
      <c r="O490" s="64"/>
    </row>
    <row r="491" spans="1:15" ht="15" customHeight="1" x14ac:dyDescent="0.2">
      <c r="A491" s="188"/>
      <c r="C491" s="189"/>
      <c r="E491" s="190"/>
      <c r="G491" s="70"/>
      <c r="H491" s="70"/>
      <c r="J491" s="70"/>
      <c r="L491" s="71"/>
      <c r="N491" s="65"/>
      <c r="O491" s="64"/>
    </row>
    <row r="492" spans="1:15" ht="15" customHeight="1" x14ac:dyDescent="0.2">
      <c r="A492" s="188"/>
      <c r="C492" s="189"/>
      <c r="E492" s="190"/>
      <c r="G492" s="70"/>
      <c r="H492" s="70"/>
      <c r="J492" s="70"/>
      <c r="L492" s="71"/>
      <c r="N492" s="65"/>
      <c r="O492" s="64"/>
    </row>
    <row r="493" spans="1:15" ht="15" customHeight="1" x14ac:dyDescent="0.2">
      <c r="A493" s="188"/>
      <c r="C493" s="189"/>
      <c r="E493" s="190"/>
      <c r="G493" s="70"/>
      <c r="H493" s="70"/>
      <c r="J493" s="70"/>
      <c r="L493" s="71"/>
      <c r="N493" s="65"/>
      <c r="O493" s="64"/>
    </row>
    <row r="494" spans="1:15" ht="15" customHeight="1" x14ac:dyDescent="0.2">
      <c r="A494" s="188"/>
      <c r="C494" s="189"/>
      <c r="E494" s="190"/>
      <c r="G494" s="70"/>
      <c r="H494" s="70"/>
      <c r="J494" s="70"/>
      <c r="L494" s="71"/>
      <c r="N494" s="65"/>
      <c r="O494" s="64"/>
    </row>
    <row r="495" spans="1:15" ht="15" customHeight="1" x14ac:dyDescent="0.2">
      <c r="A495" s="188"/>
      <c r="C495" s="189"/>
      <c r="E495" s="190"/>
      <c r="G495" s="70"/>
      <c r="H495" s="70"/>
      <c r="J495" s="70"/>
      <c r="L495" s="71"/>
      <c r="N495" s="65"/>
      <c r="O495" s="64"/>
    </row>
    <row r="496" spans="1:15" ht="15" customHeight="1" x14ac:dyDescent="0.2">
      <c r="A496" s="188"/>
      <c r="C496" s="189"/>
      <c r="E496" s="190"/>
      <c r="G496" s="70"/>
      <c r="H496" s="70"/>
      <c r="J496" s="70"/>
      <c r="L496" s="71"/>
      <c r="N496" s="65"/>
      <c r="O496" s="64"/>
    </row>
    <row r="497" spans="1:15" ht="15" customHeight="1" x14ac:dyDescent="0.2">
      <c r="A497" s="188"/>
      <c r="C497" s="189"/>
      <c r="E497" s="190"/>
      <c r="G497" s="70"/>
      <c r="H497" s="70"/>
      <c r="J497" s="70"/>
      <c r="L497" s="71"/>
      <c r="N497" s="65"/>
      <c r="O497" s="64"/>
    </row>
    <row r="498" spans="1:15" ht="15" customHeight="1" x14ac:dyDescent="0.2">
      <c r="A498" s="188"/>
      <c r="C498" s="189"/>
      <c r="E498" s="190"/>
      <c r="G498" s="70"/>
      <c r="H498" s="70"/>
      <c r="J498" s="70"/>
      <c r="L498" s="71"/>
      <c r="N498" s="65"/>
      <c r="O498" s="64"/>
    </row>
    <row r="499" spans="1:15" ht="15" customHeight="1" x14ac:dyDescent="0.2">
      <c r="A499" s="188"/>
      <c r="C499" s="189"/>
      <c r="E499" s="190"/>
      <c r="G499" s="70"/>
      <c r="H499" s="70"/>
      <c r="J499" s="70"/>
      <c r="L499" s="71"/>
      <c r="N499" s="65"/>
      <c r="O499" s="64"/>
    </row>
    <row r="500" spans="1:15" ht="15" customHeight="1" x14ac:dyDescent="0.2">
      <c r="A500" s="188"/>
      <c r="C500" s="189"/>
      <c r="E500" s="190"/>
      <c r="G500" s="70"/>
      <c r="H500" s="70"/>
      <c r="J500" s="70"/>
      <c r="L500" s="71"/>
      <c r="N500" s="65"/>
      <c r="O500" s="64"/>
    </row>
    <row r="501" spans="1:15" ht="15" customHeight="1" x14ac:dyDescent="0.2">
      <c r="A501" s="188"/>
      <c r="C501" s="189"/>
      <c r="E501" s="190"/>
      <c r="G501" s="70"/>
      <c r="H501" s="70"/>
      <c r="J501" s="70"/>
      <c r="L501" s="71"/>
      <c r="N501" s="65"/>
      <c r="O501" s="64"/>
    </row>
    <row r="502" spans="1:15" ht="15" customHeight="1" x14ac:dyDescent="0.2">
      <c r="A502" s="188"/>
      <c r="C502" s="189"/>
      <c r="E502" s="190"/>
      <c r="G502" s="70"/>
      <c r="H502" s="70"/>
      <c r="J502" s="70"/>
      <c r="L502" s="71"/>
      <c r="N502" s="65"/>
      <c r="O502" s="64"/>
    </row>
    <row r="503" spans="1:15" ht="15" customHeight="1" x14ac:dyDescent="0.2">
      <c r="A503" s="188"/>
      <c r="C503" s="189"/>
      <c r="E503" s="190"/>
      <c r="G503" s="70"/>
      <c r="H503" s="70"/>
      <c r="J503" s="70"/>
      <c r="L503" s="71"/>
      <c r="N503" s="65"/>
      <c r="O503" s="64"/>
    </row>
    <row r="504" spans="1:15" ht="15" customHeight="1" x14ac:dyDescent="0.2">
      <c r="A504" s="188"/>
      <c r="C504" s="189"/>
      <c r="E504" s="190"/>
      <c r="G504" s="70"/>
      <c r="H504" s="70"/>
      <c r="J504" s="70"/>
      <c r="L504" s="71"/>
      <c r="N504" s="65"/>
      <c r="O504" s="64"/>
    </row>
    <row r="505" spans="1:15" ht="15" customHeight="1" x14ac:dyDescent="0.2">
      <c r="A505" s="188"/>
      <c r="C505" s="189"/>
      <c r="E505" s="190"/>
      <c r="G505" s="70"/>
      <c r="H505" s="70"/>
      <c r="J505" s="70"/>
      <c r="L505" s="71"/>
      <c r="N505" s="65"/>
      <c r="O505" s="64"/>
    </row>
    <row r="506" spans="1:15" ht="15" customHeight="1" x14ac:dyDescent="0.2">
      <c r="A506" s="188"/>
      <c r="C506" s="189"/>
      <c r="E506" s="190"/>
      <c r="G506" s="70"/>
      <c r="H506" s="70"/>
      <c r="J506" s="70"/>
      <c r="L506" s="71"/>
      <c r="N506" s="65"/>
      <c r="O506" s="64"/>
    </row>
    <row r="507" spans="1:15" ht="15" customHeight="1" x14ac:dyDescent="0.2">
      <c r="A507" s="188"/>
      <c r="C507" s="189"/>
      <c r="E507" s="190"/>
      <c r="G507" s="70"/>
      <c r="H507" s="70"/>
      <c r="J507" s="70"/>
      <c r="L507" s="71"/>
      <c r="N507" s="65"/>
      <c r="O507" s="64"/>
    </row>
    <row r="508" spans="1:15" ht="15" customHeight="1" x14ac:dyDescent="0.2">
      <c r="A508" s="188"/>
      <c r="C508" s="189"/>
      <c r="E508" s="190"/>
      <c r="G508" s="70"/>
      <c r="H508" s="70"/>
      <c r="J508" s="70"/>
      <c r="L508" s="71"/>
      <c r="N508" s="65"/>
      <c r="O508" s="64"/>
    </row>
    <row r="509" spans="1:15" ht="15" customHeight="1" x14ac:dyDescent="0.2">
      <c r="A509" s="188"/>
      <c r="C509" s="189"/>
      <c r="E509" s="190"/>
      <c r="G509" s="70"/>
      <c r="H509" s="70"/>
      <c r="J509" s="70"/>
      <c r="L509" s="71"/>
      <c r="N509" s="65"/>
      <c r="O509" s="64"/>
    </row>
    <row r="510" spans="1:15" ht="15" customHeight="1" x14ac:dyDescent="0.2">
      <c r="A510" s="188"/>
      <c r="C510" s="189"/>
      <c r="E510" s="190"/>
      <c r="G510" s="70"/>
      <c r="H510" s="70"/>
      <c r="J510" s="70"/>
      <c r="L510" s="71"/>
      <c r="N510" s="65"/>
      <c r="O510" s="64"/>
    </row>
    <row r="511" spans="1:15" ht="15" customHeight="1" x14ac:dyDescent="0.2">
      <c r="A511" s="188"/>
      <c r="C511" s="189"/>
      <c r="E511" s="190"/>
      <c r="G511" s="70"/>
      <c r="H511" s="70"/>
      <c r="J511" s="70"/>
      <c r="L511" s="71"/>
      <c r="N511" s="65"/>
      <c r="O511" s="64"/>
    </row>
    <row r="512" spans="1:15" ht="15" customHeight="1" x14ac:dyDescent="0.2">
      <c r="A512" s="188"/>
      <c r="C512" s="189"/>
      <c r="E512" s="190"/>
      <c r="G512" s="70"/>
      <c r="H512" s="70"/>
      <c r="J512" s="70"/>
      <c r="L512" s="71"/>
      <c r="N512" s="65"/>
      <c r="O512" s="64"/>
    </row>
    <row r="513" spans="1:15" ht="15" customHeight="1" x14ac:dyDescent="0.2">
      <c r="A513" s="188"/>
      <c r="C513" s="189"/>
      <c r="E513" s="190"/>
      <c r="G513" s="70"/>
      <c r="H513" s="70"/>
      <c r="J513" s="70"/>
      <c r="L513" s="71"/>
      <c r="N513" s="65"/>
      <c r="O513" s="64"/>
    </row>
    <row r="514" spans="1:15" ht="15" customHeight="1" x14ac:dyDescent="0.2">
      <c r="A514" s="188"/>
      <c r="C514" s="189"/>
      <c r="E514" s="190"/>
      <c r="G514" s="70"/>
      <c r="H514" s="70"/>
      <c r="J514" s="70"/>
      <c r="L514" s="71"/>
      <c r="N514" s="65"/>
      <c r="O514" s="64"/>
    </row>
    <row r="515" spans="1:15" ht="15" customHeight="1" x14ac:dyDescent="0.2">
      <c r="A515" s="188"/>
      <c r="C515" s="189"/>
      <c r="E515" s="190"/>
      <c r="G515" s="70"/>
      <c r="H515" s="70"/>
      <c r="J515" s="70"/>
      <c r="L515" s="71"/>
      <c r="N515" s="65"/>
      <c r="O515" s="64"/>
    </row>
    <row r="516" spans="1:15" ht="15" customHeight="1" x14ac:dyDescent="0.2">
      <c r="A516" s="188"/>
      <c r="C516" s="189"/>
      <c r="E516" s="190"/>
      <c r="G516" s="70"/>
      <c r="H516" s="70"/>
      <c r="J516" s="70"/>
      <c r="L516" s="71"/>
      <c r="N516" s="65"/>
      <c r="O516" s="64"/>
    </row>
    <row r="517" spans="1:15" ht="15" customHeight="1" x14ac:dyDescent="0.2">
      <c r="A517" s="188"/>
      <c r="C517" s="189"/>
      <c r="E517" s="190"/>
      <c r="G517" s="70"/>
      <c r="H517" s="70"/>
      <c r="J517" s="70"/>
      <c r="L517" s="71"/>
      <c r="N517" s="65"/>
      <c r="O517" s="64"/>
    </row>
    <row r="518" spans="1:15" ht="15" customHeight="1" x14ac:dyDescent="0.2">
      <c r="A518" s="188"/>
      <c r="C518" s="189"/>
      <c r="E518" s="190"/>
      <c r="G518" s="70"/>
      <c r="H518" s="70"/>
      <c r="J518" s="70"/>
      <c r="L518" s="71"/>
      <c r="N518" s="65"/>
      <c r="O518" s="64"/>
    </row>
    <row r="519" spans="1:15" ht="15" customHeight="1" x14ac:dyDescent="0.2">
      <c r="A519" s="188"/>
      <c r="C519" s="189"/>
      <c r="E519" s="190"/>
      <c r="G519" s="70"/>
      <c r="H519" s="70"/>
      <c r="J519" s="70"/>
      <c r="L519" s="71"/>
      <c r="N519" s="65"/>
      <c r="O519" s="64"/>
    </row>
    <row r="520" spans="1:15" ht="15" customHeight="1" x14ac:dyDescent="0.2">
      <c r="A520" s="188"/>
      <c r="C520" s="189"/>
      <c r="E520" s="190"/>
      <c r="G520" s="70"/>
      <c r="H520" s="70"/>
      <c r="J520" s="70"/>
      <c r="L520" s="71"/>
      <c r="N520" s="65"/>
      <c r="O520" s="64"/>
    </row>
    <row r="521" spans="1:15" ht="15" customHeight="1" x14ac:dyDescent="0.2">
      <c r="A521" s="188"/>
      <c r="C521" s="189"/>
      <c r="E521" s="190"/>
      <c r="G521" s="70"/>
      <c r="H521" s="70"/>
      <c r="J521" s="70"/>
      <c r="L521" s="71"/>
      <c r="N521" s="65"/>
      <c r="O521" s="64"/>
    </row>
    <row r="522" spans="1:15" ht="15" customHeight="1" x14ac:dyDescent="0.2">
      <c r="A522" s="188"/>
      <c r="C522" s="189"/>
      <c r="E522" s="190"/>
      <c r="G522" s="70"/>
      <c r="H522" s="70"/>
      <c r="J522" s="70"/>
      <c r="L522" s="71"/>
      <c r="N522" s="65"/>
      <c r="O522" s="64"/>
    </row>
    <row r="523" spans="1:15" ht="15" customHeight="1" x14ac:dyDescent="0.2">
      <c r="A523" s="188"/>
      <c r="C523" s="189"/>
      <c r="E523" s="190"/>
      <c r="G523" s="70"/>
      <c r="H523" s="70"/>
      <c r="J523" s="70"/>
      <c r="L523" s="71"/>
      <c r="N523" s="65"/>
      <c r="O523" s="64"/>
    </row>
    <row r="524" spans="1:15" ht="15" customHeight="1" x14ac:dyDescent="0.2">
      <c r="A524" s="188"/>
      <c r="C524" s="189"/>
      <c r="E524" s="190"/>
      <c r="G524" s="70"/>
      <c r="H524" s="70"/>
      <c r="J524" s="70"/>
      <c r="L524" s="71"/>
      <c r="N524" s="65"/>
      <c r="O524" s="64"/>
    </row>
    <row r="525" spans="1:15" ht="15" customHeight="1" x14ac:dyDescent="0.2">
      <c r="A525" s="188"/>
      <c r="C525" s="189"/>
      <c r="E525" s="190"/>
      <c r="G525" s="70"/>
      <c r="H525" s="70"/>
      <c r="J525" s="70"/>
      <c r="L525" s="71"/>
      <c r="N525" s="65"/>
      <c r="O525" s="64"/>
    </row>
    <row r="526" spans="1:15" ht="15" customHeight="1" x14ac:dyDescent="0.2">
      <c r="A526" s="188"/>
      <c r="C526" s="189"/>
      <c r="E526" s="190"/>
      <c r="G526" s="70"/>
      <c r="H526" s="70"/>
      <c r="J526" s="70"/>
      <c r="L526" s="71"/>
      <c r="N526" s="65"/>
      <c r="O526" s="64"/>
    </row>
    <row r="527" spans="1:15" ht="15" customHeight="1" x14ac:dyDescent="0.2">
      <c r="A527" s="188"/>
      <c r="C527" s="189"/>
      <c r="E527" s="190"/>
      <c r="G527" s="70"/>
      <c r="H527" s="70"/>
      <c r="J527" s="70"/>
      <c r="L527" s="71"/>
      <c r="N527" s="65"/>
      <c r="O527" s="64"/>
    </row>
    <row r="528" spans="1:15" ht="15" customHeight="1" x14ac:dyDescent="0.2">
      <c r="A528" s="188"/>
      <c r="C528" s="189"/>
      <c r="E528" s="190"/>
      <c r="G528" s="70"/>
      <c r="H528" s="70"/>
      <c r="J528" s="70"/>
      <c r="L528" s="71"/>
      <c r="N528" s="65"/>
      <c r="O528" s="64"/>
    </row>
    <row r="529" spans="1:15" ht="15" customHeight="1" x14ac:dyDescent="0.2">
      <c r="A529" s="188"/>
      <c r="C529" s="189"/>
      <c r="E529" s="190"/>
      <c r="G529" s="70"/>
      <c r="H529" s="70"/>
      <c r="J529" s="70"/>
      <c r="L529" s="71"/>
      <c r="N529" s="65"/>
      <c r="O529" s="64"/>
    </row>
    <row r="530" spans="1:15" ht="15" customHeight="1" x14ac:dyDescent="0.2">
      <c r="A530" s="188"/>
      <c r="C530" s="189"/>
      <c r="E530" s="190"/>
      <c r="G530" s="70"/>
      <c r="H530" s="70"/>
      <c r="J530" s="70"/>
      <c r="L530" s="71"/>
      <c r="N530" s="65"/>
      <c r="O530" s="64"/>
    </row>
    <row r="531" spans="1:15" ht="15" customHeight="1" x14ac:dyDescent="0.2">
      <c r="A531" s="188"/>
      <c r="C531" s="189"/>
      <c r="E531" s="190"/>
      <c r="G531" s="70"/>
      <c r="H531" s="70"/>
      <c r="J531" s="70"/>
      <c r="L531" s="71"/>
      <c r="N531" s="65"/>
      <c r="O531" s="64"/>
    </row>
    <row r="532" spans="1:15" ht="15" customHeight="1" x14ac:dyDescent="0.2">
      <c r="A532" s="188"/>
      <c r="C532" s="189"/>
      <c r="E532" s="190"/>
      <c r="G532" s="70"/>
      <c r="H532" s="70"/>
      <c r="J532" s="70"/>
      <c r="L532" s="71"/>
      <c r="N532" s="65"/>
      <c r="O532" s="64"/>
    </row>
    <row r="533" spans="1:15" ht="15" customHeight="1" x14ac:dyDescent="0.2">
      <c r="A533" s="188"/>
      <c r="C533" s="189"/>
      <c r="E533" s="190"/>
      <c r="G533" s="70"/>
      <c r="H533" s="70"/>
      <c r="J533" s="70"/>
      <c r="L533" s="71"/>
      <c r="N533" s="65"/>
      <c r="O533" s="64"/>
    </row>
    <row r="534" spans="1:15" ht="15" customHeight="1" x14ac:dyDescent="0.2">
      <c r="A534" s="188"/>
      <c r="C534" s="189"/>
      <c r="E534" s="190"/>
      <c r="G534" s="70"/>
      <c r="H534" s="70"/>
      <c r="J534" s="70"/>
      <c r="L534" s="71"/>
      <c r="N534" s="65"/>
      <c r="O534" s="64"/>
    </row>
    <row r="535" spans="1:15" ht="15" customHeight="1" x14ac:dyDescent="0.2">
      <c r="A535" s="188"/>
      <c r="C535" s="189"/>
      <c r="E535" s="190"/>
      <c r="G535" s="70"/>
      <c r="H535" s="70"/>
      <c r="J535" s="70"/>
      <c r="L535" s="71"/>
      <c r="N535" s="65"/>
      <c r="O535" s="64"/>
    </row>
    <row r="536" spans="1:15" ht="15" customHeight="1" x14ac:dyDescent="0.2">
      <c r="A536" s="188"/>
      <c r="C536" s="189"/>
      <c r="E536" s="190"/>
      <c r="G536" s="70"/>
      <c r="H536" s="70"/>
      <c r="J536" s="70"/>
      <c r="L536" s="71"/>
      <c r="N536" s="65"/>
      <c r="O536" s="64"/>
    </row>
    <row r="537" spans="1:15" ht="15" customHeight="1" x14ac:dyDescent="0.2">
      <c r="A537" s="188"/>
      <c r="C537" s="189"/>
      <c r="E537" s="190"/>
      <c r="G537" s="70"/>
      <c r="H537" s="70"/>
      <c r="J537" s="70"/>
      <c r="L537" s="71"/>
      <c r="N537" s="65"/>
      <c r="O537" s="64"/>
    </row>
    <row r="538" spans="1:15" ht="15" customHeight="1" x14ac:dyDescent="0.2">
      <c r="A538" s="188"/>
      <c r="C538" s="189"/>
      <c r="E538" s="190"/>
      <c r="G538" s="70"/>
      <c r="H538" s="70"/>
      <c r="J538" s="70"/>
      <c r="L538" s="71"/>
      <c r="N538" s="65"/>
      <c r="O538" s="64"/>
    </row>
    <row r="539" spans="1:15" ht="15" customHeight="1" x14ac:dyDescent="0.2">
      <c r="A539" s="188"/>
      <c r="C539" s="189"/>
      <c r="E539" s="190"/>
      <c r="G539" s="70"/>
      <c r="H539" s="70"/>
      <c r="J539" s="70"/>
      <c r="L539" s="71"/>
      <c r="N539" s="65"/>
      <c r="O539" s="64"/>
    </row>
    <row r="540" spans="1:15" ht="15" customHeight="1" x14ac:dyDescent="0.2">
      <c r="A540" s="188"/>
      <c r="C540" s="189"/>
      <c r="E540" s="190"/>
      <c r="G540" s="70"/>
      <c r="H540" s="70"/>
      <c r="J540" s="70"/>
      <c r="L540" s="71"/>
      <c r="N540" s="65"/>
      <c r="O540" s="64"/>
    </row>
    <row r="541" spans="1:15" ht="15" customHeight="1" x14ac:dyDescent="0.2">
      <c r="A541" s="188"/>
      <c r="C541" s="189"/>
      <c r="E541" s="190"/>
      <c r="G541" s="70"/>
      <c r="H541" s="70"/>
      <c r="J541" s="70"/>
      <c r="L541" s="71"/>
      <c r="N541" s="65"/>
      <c r="O541" s="64"/>
    </row>
    <row r="542" spans="1:15" ht="15" customHeight="1" x14ac:dyDescent="0.2">
      <c r="A542" s="188"/>
      <c r="C542" s="189"/>
      <c r="E542" s="190"/>
      <c r="G542" s="70"/>
      <c r="H542" s="70"/>
      <c r="J542" s="70"/>
      <c r="L542" s="71"/>
      <c r="N542" s="65"/>
      <c r="O542" s="64"/>
    </row>
    <row r="543" spans="1:15" ht="15" customHeight="1" x14ac:dyDescent="0.2">
      <c r="A543" s="188"/>
      <c r="C543" s="189"/>
      <c r="E543" s="190"/>
      <c r="G543" s="70"/>
      <c r="H543" s="70"/>
      <c r="J543" s="70"/>
      <c r="L543" s="71"/>
      <c r="N543" s="65"/>
      <c r="O543" s="64"/>
    </row>
    <row r="544" spans="1:15" ht="15" customHeight="1" x14ac:dyDescent="0.2">
      <c r="A544" s="188"/>
      <c r="C544" s="189"/>
      <c r="E544" s="190"/>
      <c r="G544" s="70"/>
      <c r="H544" s="70"/>
      <c r="J544" s="70"/>
      <c r="L544" s="71"/>
      <c r="N544" s="65"/>
      <c r="O544" s="64"/>
    </row>
    <row r="545" spans="1:15" ht="15" customHeight="1" x14ac:dyDescent="0.2">
      <c r="A545" s="188"/>
      <c r="C545" s="189"/>
      <c r="E545" s="190"/>
      <c r="G545" s="70"/>
      <c r="H545" s="70"/>
      <c r="J545" s="70"/>
      <c r="L545" s="71"/>
      <c r="N545" s="65"/>
      <c r="O545" s="64"/>
    </row>
    <row r="546" spans="1:15" ht="15" customHeight="1" x14ac:dyDescent="0.2">
      <c r="A546" s="188"/>
      <c r="C546" s="189"/>
      <c r="E546" s="190"/>
      <c r="G546" s="70"/>
      <c r="H546" s="70"/>
      <c r="J546" s="70"/>
      <c r="L546" s="71"/>
      <c r="N546" s="65"/>
      <c r="O546" s="64"/>
    </row>
    <row r="547" spans="1:15" ht="15" customHeight="1" x14ac:dyDescent="0.2">
      <c r="A547" s="188"/>
      <c r="C547" s="189"/>
      <c r="E547" s="190"/>
      <c r="G547" s="70"/>
      <c r="H547" s="70"/>
      <c r="J547" s="70"/>
      <c r="L547" s="71"/>
      <c r="N547" s="65"/>
      <c r="O547" s="64"/>
    </row>
    <row r="548" spans="1:15" ht="15" customHeight="1" x14ac:dyDescent="0.2">
      <c r="A548" s="188"/>
      <c r="C548" s="189"/>
      <c r="E548" s="190"/>
      <c r="G548" s="70"/>
      <c r="H548" s="70"/>
      <c r="J548" s="70"/>
      <c r="L548" s="71"/>
      <c r="N548" s="65"/>
      <c r="O548" s="64"/>
    </row>
    <row r="549" spans="1:15" ht="15" customHeight="1" x14ac:dyDescent="0.2">
      <c r="A549" s="188"/>
      <c r="C549" s="189"/>
      <c r="E549" s="190"/>
      <c r="G549" s="70"/>
      <c r="H549" s="70"/>
      <c r="J549" s="70"/>
      <c r="L549" s="71"/>
      <c r="N549" s="65"/>
      <c r="O549" s="64"/>
    </row>
    <row r="550" spans="1:15" ht="15" customHeight="1" x14ac:dyDescent="0.2">
      <c r="A550" s="188"/>
      <c r="C550" s="189"/>
      <c r="E550" s="190"/>
      <c r="G550" s="70"/>
      <c r="H550" s="70"/>
      <c r="J550" s="70"/>
      <c r="L550" s="71"/>
      <c r="N550" s="65"/>
      <c r="O550" s="64"/>
    </row>
    <row r="551" spans="1:15" ht="15" customHeight="1" x14ac:dyDescent="0.2">
      <c r="A551" s="188"/>
      <c r="C551" s="189"/>
      <c r="E551" s="190"/>
      <c r="G551" s="70"/>
      <c r="H551" s="70"/>
      <c r="J551" s="70"/>
      <c r="L551" s="71"/>
      <c r="N551" s="65"/>
      <c r="O551" s="64"/>
    </row>
    <row r="552" spans="1:15" ht="15" customHeight="1" x14ac:dyDescent="0.2">
      <c r="A552" s="188"/>
      <c r="C552" s="189"/>
      <c r="E552" s="190"/>
      <c r="G552" s="70"/>
      <c r="H552" s="70"/>
      <c r="J552" s="70"/>
      <c r="L552" s="71"/>
      <c r="N552" s="65"/>
      <c r="O552" s="64"/>
    </row>
    <row r="553" spans="1:15" ht="15" customHeight="1" x14ac:dyDescent="0.2">
      <c r="A553" s="188"/>
      <c r="C553" s="189"/>
      <c r="E553" s="190"/>
      <c r="G553" s="70"/>
      <c r="H553" s="70"/>
      <c r="J553" s="70"/>
      <c r="L553" s="71"/>
      <c r="N553" s="65"/>
      <c r="O553" s="64"/>
    </row>
    <row r="554" spans="1:15" ht="15" customHeight="1" x14ac:dyDescent="0.2">
      <c r="A554" s="188"/>
      <c r="C554" s="189"/>
      <c r="E554" s="190"/>
      <c r="G554" s="70"/>
      <c r="H554" s="70"/>
      <c r="J554" s="70"/>
      <c r="L554" s="71"/>
      <c r="N554" s="65"/>
      <c r="O554" s="64"/>
    </row>
    <row r="555" spans="1:15" ht="15" customHeight="1" x14ac:dyDescent="0.2">
      <c r="A555" s="188"/>
      <c r="C555" s="189"/>
      <c r="E555" s="190"/>
      <c r="G555" s="70"/>
      <c r="H555" s="70"/>
      <c r="J555" s="70"/>
      <c r="L555" s="71"/>
      <c r="N555" s="65"/>
      <c r="O555" s="64"/>
    </row>
    <row r="556" spans="1:15" ht="15" customHeight="1" x14ac:dyDescent="0.2">
      <c r="A556" s="188"/>
      <c r="C556" s="189"/>
      <c r="E556" s="190"/>
      <c r="G556" s="70"/>
      <c r="H556" s="70"/>
      <c r="J556" s="70"/>
      <c r="L556" s="71"/>
      <c r="N556" s="65"/>
      <c r="O556" s="64"/>
    </row>
    <row r="557" spans="1:15" ht="15" customHeight="1" x14ac:dyDescent="0.2">
      <c r="A557" s="188"/>
      <c r="C557" s="189"/>
      <c r="E557" s="190"/>
      <c r="G557" s="70"/>
      <c r="H557" s="70"/>
      <c r="J557" s="70"/>
      <c r="L557" s="71"/>
      <c r="N557" s="65"/>
      <c r="O557" s="64"/>
    </row>
    <row r="558" spans="1:15" ht="15" customHeight="1" x14ac:dyDescent="0.2">
      <c r="A558" s="188"/>
      <c r="C558" s="189"/>
      <c r="E558" s="190"/>
      <c r="G558" s="70"/>
      <c r="H558" s="70"/>
      <c r="J558" s="70"/>
      <c r="L558" s="71"/>
      <c r="N558" s="65"/>
      <c r="O558" s="64"/>
    </row>
    <row r="559" spans="1:15" ht="15" customHeight="1" x14ac:dyDescent="0.2">
      <c r="A559" s="188"/>
      <c r="C559" s="189"/>
      <c r="E559" s="190"/>
      <c r="G559" s="70"/>
      <c r="H559" s="70"/>
      <c r="J559" s="70"/>
      <c r="L559" s="71"/>
      <c r="N559" s="65"/>
      <c r="O559" s="64"/>
    </row>
    <row r="560" spans="1:15" ht="15" customHeight="1" x14ac:dyDescent="0.2">
      <c r="A560" s="188"/>
      <c r="C560" s="189"/>
      <c r="E560" s="190"/>
      <c r="G560" s="70"/>
      <c r="H560" s="70"/>
      <c r="J560" s="70"/>
      <c r="L560" s="71"/>
      <c r="N560" s="65"/>
      <c r="O560" s="64"/>
    </row>
    <row r="561" spans="1:15" ht="15" customHeight="1" x14ac:dyDescent="0.2">
      <c r="A561" s="188"/>
      <c r="C561" s="189"/>
      <c r="E561" s="190"/>
      <c r="G561" s="70"/>
      <c r="H561" s="70"/>
      <c r="J561" s="70"/>
      <c r="L561" s="71"/>
      <c r="N561" s="65"/>
      <c r="O561" s="64"/>
    </row>
    <row r="562" spans="1:15" ht="15" customHeight="1" x14ac:dyDescent="0.2">
      <c r="A562" s="188"/>
      <c r="C562" s="189"/>
      <c r="E562" s="190"/>
      <c r="G562" s="70"/>
      <c r="H562" s="70"/>
      <c r="J562" s="70"/>
      <c r="L562" s="71"/>
      <c r="N562" s="65"/>
      <c r="O562" s="64"/>
    </row>
    <row r="563" spans="1:15" ht="15" customHeight="1" x14ac:dyDescent="0.2">
      <c r="A563" s="188"/>
      <c r="C563" s="189"/>
      <c r="E563" s="190"/>
      <c r="G563" s="70"/>
      <c r="H563" s="70"/>
      <c r="J563" s="70"/>
      <c r="L563" s="71"/>
      <c r="N563" s="65"/>
      <c r="O563" s="64"/>
    </row>
    <row r="564" spans="1:15" ht="15" customHeight="1" x14ac:dyDescent="0.2">
      <c r="A564" s="188"/>
      <c r="C564" s="189"/>
      <c r="E564" s="190"/>
      <c r="G564" s="70"/>
      <c r="H564" s="70"/>
      <c r="J564" s="70"/>
      <c r="L564" s="71"/>
      <c r="N564" s="65"/>
      <c r="O564" s="64"/>
    </row>
    <row r="565" spans="1:15" ht="15" customHeight="1" x14ac:dyDescent="0.2">
      <c r="A565" s="188"/>
      <c r="C565" s="189"/>
      <c r="E565" s="190"/>
      <c r="G565" s="70"/>
      <c r="H565" s="70"/>
      <c r="J565" s="70"/>
      <c r="L565" s="71"/>
      <c r="N565" s="65"/>
      <c r="O565" s="64"/>
    </row>
    <row r="566" spans="1:15" ht="15" customHeight="1" x14ac:dyDescent="0.2">
      <c r="A566" s="188"/>
      <c r="C566" s="189"/>
      <c r="E566" s="190"/>
      <c r="G566" s="70"/>
      <c r="H566" s="70"/>
      <c r="J566" s="70"/>
      <c r="L566" s="71"/>
      <c r="N566" s="65"/>
      <c r="O566" s="64"/>
    </row>
    <row r="567" spans="1:15" ht="15" customHeight="1" x14ac:dyDescent="0.2">
      <c r="A567" s="188"/>
      <c r="C567" s="189"/>
      <c r="E567" s="190"/>
      <c r="G567" s="70"/>
      <c r="H567" s="70"/>
      <c r="J567" s="70"/>
      <c r="L567" s="71"/>
      <c r="N567" s="65"/>
      <c r="O567" s="64"/>
    </row>
    <row r="568" spans="1:15" ht="15" customHeight="1" x14ac:dyDescent="0.2">
      <c r="A568" s="188"/>
      <c r="C568" s="189"/>
      <c r="E568" s="190"/>
      <c r="G568" s="70"/>
      <c r="H568" s="70"/>
      <c r="J568" s="70"/>
      <c r="L568" s="71"/>
      <c r="N568" s="65"/>
      <c r="O568" s="64"/>
    </row>
    <row r="569" spans="1:15" ht="15" customHeight="1" x14ac:dyDescent="0.2">
      <c r="A569" s="188"/>
      <c r="C569" s="189"/>
      <c r="E569" s="190"/>
      <c r="G569" s="70"/>
      <c r="H569" s="70"/>
      <c r="J569" s="70"/>
      <c r="L569" s="71"/>
      <c r="N569" s="65"/>
      <c r="O569" s="64"/>
    </row>
    <row r="570" spans="1:15" ht="15" customHeight="1" x14ac:dyDescent="0.2">
      <c r="A570" s="188"/>
      <c r="C570" s="189"/>
      <c r="E570" s="190"/>
      <c r="G570" s="70"/>
      <c r="H570" s="70"/>
      <c r="J570" s="70"/>
      <c r="L570" s="71"/>
      <c r="N570" s="65"/>
      <c r="O570" s="64"/>
    </row>
    <row r="571" spans="1:15" ht="15" customHeight="1" x14ac:dyDescent="0.2">
      <c r="A571" s="188"/>
      <c r="C571" s="189"/>
      <c r="E571" s="190"/>
      <c r="G571" s="70"/>
      <c r="H571" s="70"/>
      <c r="J571" s="70"/>
      <c r="L571" s="71"/>
      <c r="N571" s="65"/>
      <c r="O571" s="64"/>
    </row>
    <row r="572" spans="1:15" ht="15" customHeight="1" x14ac:dyDescent="0.2">
      <c r="A572" s="188"/>
      <c r="C572" s="189"/>
      <c r="E572" s="190"/>
      <c r="G572" s="70"/>
      <c r="H572" s="70"/>
      <c r="J572" s="70"/>
      <c r="L572" s="71"/>
      <c r="N572" s="65"/>
      <c r="O572" s="64"/>
    </row>
    <row r="573" spans="1:15" ht="15" customHeight="1" x14ac:dyDescent="0.2">
      <c r="A573" s="188"/>
      <c r="C573" s="189"/>
      <c r="E573" s="190"/>
      <c r="G573" s="70"/>
      <c r="H573" s="70"/>
      <c r="J573" s="70"/>
      <c r="L573" s="71"/>
      <c r="N573" s="65"/>
      <c r="O573" s="64"/>
    </row>
    <row r="574" spans="1:15" ht="15" customHeight="1" x14ac:dyDescent="0.2">
      <c r="A574" s="188"/>
      <c r="C574" s="189"/>
      <c r="E574" s="190"/>
      <c r="G574" s="70"/>
      <c r="H574" s="70"/>
      <c r="J574" s="70"/>
      <c r="L574" s="71"/>
      <c r="N574" s="65"/>
      <c r="O574" s="64"/>
    </row>
    <row r="575" spans="1:15" ht="15" customHeight="1" x14ac:dyDescent="0.2">
      <c r="A575" s="188"/>
      <c r="C575" s="189"/>
      <c r="E575" s="190"/>
      <c r="G575" s="70"/>
      <c r="H575" s="70"/>
      <c r="J575" s="70"/>
      <c r="L575" s="71"/>
      <c r="N575" s="65"/>
      <c r="O575" s="64"/>
    </row>
    <row r="576" spans="1:15" ht="15" customHeight="1" x14ac:dyDescent="0.2">
      <c r="A576" s="188"/>
      <c r="C576" s="189"/>
      <c r="E576" s="190"/>
      <c r="G576" s="70"/>
      <c r="H576" s="70"/>
      <c r="J576" s="70"/>
      <c r="L576" s="71"/>
      <c r="N576" s="65"/>
      <c r="O576" s="64"/>
    </row>
    <row r="577" spans="1:15" ht="15" customHeight="1" x14ac:dyDescent="0.2">
      <c r="A577" s="188"/>
      <c r="C577" s="189"/>
      <c r="E577" s="190"/>
      <c r="G577" s="70"/>
      <c r="H577" s="70"/>
      <c r="J577" s="70"/>
      <c r="L577" s="71"/>
      <c r="N577" s="65"/>
      <c r="O577" s="64"/>
    </row>
    <row r="578" spans="1:15" ht="15" customHeight="1" x14ac:dyDescent="0.2">
      <c r="A578" s="188"/>
      <c r="C578" s="189"/>
      <c r="E578" s="190"/>
      <c r="G578" s="70"/>
      <c r="H578" s="70"/>
      <c r="J578" s="70"/>
      <c r="L578" s="71"/>
      <c r="N578" s="65"/>
      <c r="O578" s="64"/>
    </row>
    <row r="579" spans="1:15" ht="15" customHeight="1" x14ac:dyDescent="0.2">
      <c r="A579" s="188"/>
      <c r="C579" s="189"/>
      <c r="E579" s="190"/>
      <c r="G579" s="70"/>
      <c r="H579" s="70"/>
      <c r="J579" s="70"/>
      <c r="L579" s="71"/>
      <c r="N579" s="65"/>
      <c r="O579" s="64"/>
    </row>
    <row r="580" spans="1:15" ht="15" customHeight="1" x14ac:dyDescent="0.2">
      <c r="A580" s="188"/>
      <c r="C580" s="189"/>
      <c r="E580" s="190"/>
      <c r="G580" s="70"/>
      <c r="H580" s="70"/>
      <c r="J580" s="70"/>
      <c r="L580" s="71"/>
      <c r="N580" s="65"/>
      <c r="O580" s="64"/>
    </row>
    <row r="581" spans="1:15" ht="15" customHeight="1" x14ac:dyDescent="0.2">
      <c r="A581" s="188"/>
      <c r="C581" s="189"/>
      <c r="E581" s="190"/>
      <c r="G581" s="70"/>
      <c r="H581" s="70"/>
      <c r="J581" s="70"/>
      <c r="L581" s="71"/>
      <c r="N581" s="65"/>
      <c r="O581" s="64"/>
    </row>
    <row r="582" spans="1:15" ht="15" customHeight="1" x14ac:dyDescent="0.2">
      <c r="A582" s="188"/>
      <c r="C582" s="189"/>
      <c r="E582" s="190"/>
      <c r="G582" s="70"/>
      <c r="H582" s="70"/>
      <c r="J582" s="70"/>
      <c r="L582" s="71"/>
      <c r="N582" s="65"/>
      <c r="O582" s="64"/>
    </row>
    <row r="583" spans="1:15" ht="15" customHeight="1" x14ac:dyDescent="0.2">
      <c r="A583" s="188"/>
      <c r="C583" s="189"/>
      <c r="E583" s="190"/>
      <c r="G583" s="70"/>
      <c r="H583" s="70"/>
      <c r="J583" s="70"/>
      <c r="L583" s="71"/>
      <c r="N583" s="65"/>
      <c r="O583" s="64"/>
    </row>
    <row r="584" spans="1:15" ht="15" customHeight="1" x14ac:dyDescent="0.2">
      <c r="A584" s="188"/>
      <c r="C584" s="189"/>
      <c r="E584" s="190"/>
      <c r="G584" s="70"/>
      <c r="H584" s="70"/>
      <c r="J584" s="70"/>
      <c r="L584" s="71"/>
      <c r="N584" s="65"/>
      <c r="O584" s="64"/>
    </row>
    <row r="585" spans="1:15" ht="15" customHeight="1" x14ac:dyDescent="0.2">
      <c r="A585" s="188"/>
      <c r="C585" s="189"/>
      <c r="E585" s="190"/>
      <c r="G585" s="70"/>
      <c r="H585" s="70"/>
      <c r="J585" s="70"/>
      <c r="L585" s="71"/>
      <c r="N585" s="65"/>
      <c r="O585" s="64"/>
    </row>
    <row r="586" spans="1:15" ht="15" customHeight="1" x14ac:dyDescent="0.2">
      <c r="A586" s="188"/>
      <c r="C586" s="189"/>
      <c r="E586" s="190"/>
      <c r="G586" s="70"/>
      <c r="H586" s="70"/>
      <c r="J586" s="70"/>
      <c r="L586" s="71"/>
      <c r="N586" s="65"/>
      <c r="O586" s="64"/>
    </row>
    <row r="587" spans="1:15" ht="15" customHeight="1" x14ac:dyDescent="0.2">
      <c r="A587" s="188"/>
      <c r="C587" s="189"/>
      <c r="E587" s="190"/>
      <c r="G587" s="70"/>
      <c r="H587" s="70"/>
      <c r="J587" s="70"/>
      <c r="L587" s="71"/>
      <c r="N587" s="65"/>
      <c r="O587" s="64"/>
    </row>
    <row r="588" spans="1:15" ht="15" customHeight="1" x14ac:dyDescent="0.2">
      <c r="A588" s="188"/>
      <c r="C588" s="189"/>
      <c r="E588" s="190"/>
      <c r="G588" s="70"/>
      <c r="H588" s="70"/>
      <c r="J588" s="70"/>
      <c r="L588" s="71"/>
      <c r="N588" s="65"/>
      <c r="O588" s="64"/>
    </row>
    <row r="589" spans="1:15" ht="15" customHeight="1" x14ac:dyDescent="0.2">
      <c r="A589" s="188"/>
      <c r="C589" s="189"/>
      <c r="E589" s="190"/>
      <c r="G589" s="70"/>
      <c r="H589" s="70"/>
      <c r="J589" s="70"/>
      <c r="L589" s="71"/>
      <c r="N589" s="65"/>
      <c r="O589" s="64"/>
    </row>
    <row r="590" spans="1:15" ht="15" customHeight="1" x14ac:dyDescent="0.2">
      <c r="A590" s="188"/>
      <c r="C590" s="189"/>
      <c r="E590" s="190"/>
      <c r="G590" s="70"/>
      <c r="H590" s="70"/>
      <c r="J590" s="70"/>
      <c r="L590" s="71"/>
      <c r="N590" s="65"/>
      <c r="O590" s="64"/>
    </row>
    <row r="591" spans="1:15" ht="15" customHeight="1" x14ac:dyDescent="0.2">
      <c r="A591" s="188"/>
      <c r="C591" s="189"/>
      <c r="E591" s="190"/>
      <c r="G591" s="70"/>
      <c r="H591" s="70"/>
      <c r="J591" s="70"/>
      <c r="L591" s="71"/>
      <c r="N591" s="65"/>
      <c r="O591" s="64"/>
    </row>
    <row r="592" spans="1:15" ht="15" customHeight="1" x14ac:dyDescent="0.2">
      <c r="A592" s="188"/>
      <c r="C592" s="189"/>
      <c r="E592" s="190"/>
      <c r="G592" s="70"/>
      <c r="H592" s="70"/>
      <c r="J592" s="70"/>
      <c r="L592" s="71"/>
      <c r="N592" s="65"/>
      <c r="O592" s="64"/>
    </row>
    <row r="593" spans="1:15" ht="15" customHeight="1" x14ac:dyDescent="0.2">
      <c r="A593" s="188"/>
      <c r="C593" s="189"/>
      <c r="E593" s="190"/>
      <c r="G593" s="70"/>
      <c r="H593" s="70"/>
      <c r="J593" s="70"/>
      <c r="L593" s="71"/>
      <c r="N593" s="65"/>
      <c r="O593" s="64"/>
    </row>
    <row r="594" spans="1:15" ht="15" customHeight="1" x14ac:dyDescent="0.2">
      <c r="A594" s="188"/>
      <c r="C594" s="189"/>
      <c r="E594" s="190"/>
      <c r="G594" s="70"/>
      <c r="H594" s="70"/>
      <c r="J594" s="70"/>
      <c r="L594" s="71"/>
      <c r="N594" s="65"/>
      <c r="O594" s="64"/>
    </row>
    <row r="595" spans="1:15" ht="15" customHeight="1" x14ac:dyDescent="0.2">
      <c r="A595" s="188"/>
      <c r="C595" s="189"/>
      <c r="E595" s="190"/>
      <c r="G595" s="70"/>
      <c r="H595" s="70"/>
      <c r="J595" s="70"/>
      <c r="L595" s="71"/>
      <c r="N595" s="65"/>
      <c r="O595" s="64"/>
    </row>
    <row r="596" spans="1:15" ht="15" customHeight="1" x14ac:dyDescent="0.2">
      <c r="A596" s="188"/>
      <c r="C596" s="189"/>
      <c r="E596" s="190"/>
      <c r="G596" s="70"/>
      <c r="H596" s="70"/>
      <c r="J596" s="70"/>
      <c r="L596" s="71"/>
      <c r="N596" s="65"/>
      <c r="O596" s="64"/>
    </row>
    <row r="597" spans="1:15" ht="15" customHeight="1" x14ac:dyDescent="0.2">
      <c r="A597" s="188"/>
      <c r="C597" s="189"/>
      <c r="E597" s="190"/>
      <c r="G597" s="70"/>
      <c r="H597" s="70"/>
      <c r="J597" s="70"/>
      <c r="L597" s="71"/>
      <c r="N597" s="65"/>
      <c r="O597" s="64"/>
    </row>
    <row r="598" spans="1:15" ht="15" customHeight="1" x14ac:dyDescent="0.2">
      <c r="A598" s="188"/>
      <c r="C598" s="189"/>
      <c r="E598" s="190"/>
      <c r="G598" s="70"/>
      <c r="H598" s="70"/>
      <c r="J598" s="70"/>
      <c r="L598" s="71"/>
      <c r="N598" s="65"/>
      <c r="O598" s="64"/>
    </row>
    <row r="599" spans="1:15" ht="15" customHeight="1" x14ac:dyDescent="0.2">
      <c r="A599" s="188"/>
      <c r="C599" s="189"/>
      <c r="E599" s="190"/>
      <c r="G599" s="70"/>
      <c r="H599" s="70"/>
      <c r="J599" s="70"/>
      <c r="L599" s="71"/>
      <c r="N599" s="65"/>
      <c r="O599" s="64"/>
    </row>
    <row r="600" spans="1:15" ht="15" customHeight="1" x14ac:dyDescent="0.2">
      <c r="A600" s="188"/>
      <c r="C600" s="189"/>
      <c r="E600" s="190"/>
      <c r="G600" s="70"/>
      <c r="H600" s="70"/>
      <c r="J600" s="70"/>
      <c r="L600" s="71"/>
      <c r="N600" s="65"/>
      <c r="O600" s="64"/>
    </row>
    <row r="601" spans="1:15" ht="15" customHeight="1" x14ac:dyDescent="0.2">
      <c r="A601" s="188"/>
      <c r="C601" s="189"/>
      <c r="E601" s="190"/>
      <c r="G601" s="70"/>
      <c r="H601" s="70"/>
      <c r="J601" s="70"/>
      <c r="L601" s="71"/>
      <c r="N601" s="65"/>
      <c r="O601" s="64"/>
    </row>
    <row r="602" spans="1:15" ht="15" customHeight="1" x14ac:dyDescent="0.2">
      <c r="A602" s="188"/>
      <c r="C602" s="189"/>
      <c r="E602" s="190"/>
      <c r="G602" s="70"/>
      <c r="H602" s="70"/>
      <c r="J602" s="70"/>
      <c r="L602" s="71"/>
      <c r="N602" s="65"/>
      <c r="O602" s="64"/>
    </row>
    <row r="603" spans="1:15" ht="15" customHeight="1" x14ac:dyDescent="0.2">
      <c r="A603" s="188"/>
      <c r="C603" s="189"/>
      <c r="E603" s="190"/>
      <c r="G603" s="70"/>
      <c r="H603" s="70"/>
      <c r="J603" s="70"/>
      <c r="L603" s="71"/>
      <c r="N603" s="65"/>
      <c r="O603" s="64"/>
    </row>
    <row r="604" spans="1:15" ht="15" customHeight="1" x14ac:dyDescent="0.2">
      <c r="A604" s="188"/>
      <c r="C604" s="189"/>
      <c r="E604" s="190"/>
      <c r="G604" s="70"/>
      <c r="H604" s="70"/>
      <c r="J604" s="70"/>
      <c r="L604" s="71"/>
      <c r="N604" s="65"/>
      <c r="O604" s="64"/>
    </row>
    <row r="605" spans="1:15" ht="15" customHeight="1" x14ac:dyDescent="0.2">
      <c r="A605" s="188"/>
      <c r="C605" s="189"/>
      <c r="E605" s="190"/>
      <c r="G605" s="70"/>
      <c r="H605" s="70"/>
      <c r="J605" s="70"/>
      <c r="L605" s="71"/>
      <c r="N605" s="65"/>
      <c r="O605" s="64"/>
    </row>
    <row r="606" spans="1:15" ht="15" customHeight="1" x14ac:dyDescent="0.2">
      <c r="A606" s="188"/>
      <c r="C606" s="189"/>
      <c r="E606" s="190"/>
      <c r="G606" s="70"/>
      <c r="H606" s="70"/>
      <c r="J606" s="70"/>
      <c r="L606" s="71"/>
      <c r="N606" s="65"/>
      <c r="O606" s="64"/>
    </row>
    <row r="607" spans="1:15" ht="15" customHeight="1" x14ac:dyDescent="0.2">
      <c r="A607" s="188"/>
      <c r="C607" s="189"/>
      <c r="E607" s="190"/>
      <c r="G607" s="70"/>
      <c r="H607" s="70"/>
      <c r="J607" s="70"/>
      <c r="L607" s="71"/>
      <c r="N607" s="65"/>
      <c r="O607" s="64"/>
    </row>
    <row r="608" spans="1:15" ht="15" customHeight="1" x14ac:dyDescent="0.2">
      <c r="A608" s="188"/>
      <c r="C608" s="189"/>
      <c r="E608" s="190"/>
      <c r="G608" s="70"/>
      <c r="H608" s="70"/>
      <c r="J608" s="70"/>
      <c r="L608" s="71"/>
      <c r="N608" s="65"/>
      <c r="O608" s="64"/>
    </row>
    <row r="609" spans="1:15" ht="15" customHeight="1" x14ac:dyDescent="0.2">
      <c r="A609" s="188"/>
      <c r="C609" s="189"/>
      <c r="E609" s="190"/>
      <c r="G609" s="70"/>
      <c r="H609" s="70"/>
      <c r="J609" s="70"/>
      <c r="L609" s="71"/>
      <c r="N609" s="65"/>
      <c r="O609" s="64"/>
    </row>
    <row r="610" spans="1:15" ht="15" customHeight="1" x14ac:dyDescent="0.2">
      <c r="A610" s="188"/>
      <c r="C610" s="189"/>
      <c r="E610" s="190"/>
      <c r="G610" s="70"/>
      <c r="H610" s="70"/>
      <c r="J610" s="70"/>
      <c r="L610" s="71"/>
      <c r="N610" s="65"/>
      <c r="O610" s="64"/>
    </row>
    <row r="611" spans="1:15" ht="15" customHeight="1" x14ac:dyDescent="0.2">
      <c r="A611" s="188"/>
      <c r="C611" s="189"/>
      <c r="E611" s="190"/>
      <c r="G611" s="70"/>
      <c r="H611" s="70"/>
      <c r="J611" s="70"/>
      <c r="L611" s="71"/>
      <c r="N611" s="65"/>
      <c r="O611" s="64"/>
    </row>
    <row r="612" spans="1:15" ht="15" customHeight="1" x14ac:dyDescent="0.2">
      <c r="A612" s="188"/>
      <c r="C612" s="189"/>
      <c r="E612" s="190"/>
      <c r="G612" s="70"/>
      <c r="H612" s="70"/>
      <c r="J612" s="70"/>
      <c r="L612" s="71"/>
      <c r="N612" s="65"/>
      <c r="O612" s="64"/>
    </row>
    <row r="613" spans="1:15" ht="15" customHeight="1" x14ac:dyDescent="0.2">
      <c r="A613" s="188"/>
      <c r="C613" s="189"/>
      <c r="E613" s="190"/>
      <c r="G613" s="70"/>
      <c r="H613" s="70"/>
      <c r="J613" s="70"/>
      <c r="L613" s="71"/>
      <c r="N613" s="65"/>
      <c r="O613" s="64"/>
    </row>
    <row r="614" spans="1:15" ht="15" customHeight="1" x14ac:dyDescent="0.2">
      <c r="A614" s="188"/>
      <c r="C614" s="189"/>
      <c r="E614" s="190"/>
      <c r="G614" s="70"/>
      <c r="H614" s="70"/>
      <c r="J614" s="70"/>
      <c r="L614" s="71"/>
      <c r="N614" s="65"/>
      <c r="O614" s="64"/>
    </row>
    <row r="615" spans="1:15" ht="15" customHeight="1" x14ac:dyDescent="0.2">
      <c r="A615" s="188"/>
      <c r="C615" s="189"/>
      <c r="E615" s="190"/>
      <c r="G615" s="70"/>
      <c r="H615" s="70"/>
      <c r="J615" s="70"/>
      <c r="L615" s="71"/>
      <c r="N615" s="65"/>
      <c r="O615" s="64"/>
    </row>
    <row r="616" spans="1:15" ht="15" customHeight="1" x14ac:dyDescent="0.2">
      <c r="A616" s="188"/>
      <c r="C616" s="189"/>
      <c r="E616" s="190"/>
      <c r="G616" s="70"/>
      <c r="H616" s="70"/>
      <c r="J616" s="70"/>
      <c r="L616" s="71"/>
      <c r="N616" s="65"/>
      <c r="O616" s="64"/>
    </row>
    <row r="617" spans="1:15" ht="15" customHeight="1" x14ac:dyDescent="0.2">
      <c r="A617" s="188"/>
      <c r="C617" s="189"/>
      <c r="E617" s="190"/>
      <c r="G617" s="70"/>
      <c r="H617" s="70"/>
      <c r="J617" s="70"/>
      <c r="L617" s="71"/>
      <c r="N617" s="65"/>
      <c r="O617" s="64"/>
    </row>
    <row r="618" spans="1:15" ht="15" customHeight="1" x14ac:dyDescent="0.2">
      <c r="A618" s="188"/>
      <c r="C618" s="189"/>
      <c r="E618" s="190"/>
      <c r="G618" s="70"/>
      <c r="H618" s="70"/>
      <c r="J618" s="70"/>
      <c r="L618" s="71"/>
      <c r="N618" s="65"/>
      <c r="O618" s="64"/>
    </row>
    <row r="619" spans="1:15" ht="15" customHeight="1" x14ac:dyDescent="0.2">
      <c r="A619" s="188"/>
      <c r="C619" s="189"/>
      <c r="E619" s="190"/>
      <c r="G619" s="70"/>
      <c r="H619" s="70"/>
      <c r="J619" s="70"/>
      <c r="L619" s="71"/>
      <c r="N619" s="65"/>
      <c r="O619" s="64"/>
    </row>
    <row r="620" spans="1:15" ht="15" customHeight="1" x14ac:dyDescent="0.2">
      <c r="A620" s="188"/>
      <c r="C620" s="189"/>
      <c r="E620" s="190"/>
      <c r="G620" s="70"/>
      <c r="H620" s="70"/>
      <c r="J620" s="70"/>
      <c r="L620" s="71"/>
      <c r="N620" s="65"/>
      <c r="O620" s="64"/>
    </row>
    <row r="621" spans="1:15" ht="15" customHeight="1" x14ac:dyDescent="0.2">
      <c r="A621" s="188"/>
      <c r="C621" s="189"/>
      <c r="E621" s="190"/>
      <c r="G621" s="70"/>
      <c r="H621" s="70"/>
      <c r="J621" s="70"/>
      <c r="L621" s="71"/>
      <c r="N621" s="65"/>
      <c r="O621" s="64"/>
    </row>
    <row r="622" spans="1:15" ht="15" customHeight="1" x14ac:dyDescent="0.2">
      <c r="A622" s="188"/>
      <c r="C622" s="189"/>
      <c r="E622" s="190"/>
      <c r="G622" s="70"/>
      <c r="H622" s="70"/>
      <c r="J622" s="70"/>
      <c r="L622" s="71"/>
      <c r="N622" s="65"/>
      <c r="O622" s="64"/>
    </row>
    <row r="623" spans="1:15" ht="15" customHeight="1" x14ac:dyDescent="0.2">
      <c r="A623" s="188"/>
      <c r="C623" s="189"/>
      <c r="E623" s="190"/>
      <c r="G623" s="70"/>
      <c r="H623" s="70"/>
      <c r="J623" s="70"/>
      <c r="L623" s="71"/>
      <c r="N623" s="65"/>
      <c r="O623" s="64"/>
    </row>
    <row r="624" spans="1:15" ht="15" customHeight="1" x14ac:dyDescent="0.2">
      <c r="A624" s="188"/>
      <c r="C624" s="189"/>
      <c r="E624" s="190"/>
      <c r="G624" s="70"/>
      <c r="H624" s="70"/>
      <c r="J624" s="70"/>
      <c r="L624" s="71"/>
      <c r="N624" s="65"/>
      <c r="O624" s="64"/>
    </row>
    <row r="625" spans="1:15" ht="15" customHeight="1" x14ac:dyDescent="0.2">
      <c r="A625" s="188"/>
      <c r="C625" s="189"/>
      <c r="E625" s="190"/>
      <c r="G625" s="70"/>
      <c r="H625" s="70"/>
      <c r="J625" s="70"/>
      <c r="L625" s="71"/>
      <c r="N625" s="65"/>
      <c r="O625" s="64"/>
    </row>
    <row r="626" spans="1:15" ht="15" customHeight="1" x14ac:dyDescent="0.2">
      <c r="A626" s="188"/>
      <c r="C626" s="189"/>
      <c r="E626" s="190"/>
      <c r="G626" s="70"/>
      <c r="H626" s="70"/>
      <c r="J626" s="70"/>
      <c r="L626" s="71"/>
      <c r="N626" s="65"/>
      <c r="O626" s="64"/>
    </row>
    <row r="627" spans="1:15" ht="15" customHeight="1" x14ac:dyDescent="0.2">
      <c r="A627" s="188"/>
      <c r="C627" s="189"/>
      <c r="E627" s="190"/>
      <c r="G627" s="70"/>
      <c r="H627" s="70"/>
      <c r="J627" s="70"/>
      <c r="L627" s="71"/>
      <c r="N627" s="65"/>
      <c r="O627" s="64"/>
    </row>
    <row r="628" spans="1:15" ht="15" customHeight="1" x14ac:dyDescent="0.2">
      <c r="A628" s="188"/>
      <c r="C628" s="189"/>
      <c r="E628" s="190"/>
      <c r="G628" s="70"/>
      <c r="H628" s="70"/>
      <c r="J628" s="70"/>
      <c r="L628" s="71"/>
      <c r="N628" s="65"/>
      <c r="O628" s="64"/>
    </row>
    <row r="629" spans="1:15" ht="15" customHeight="1" x14ac:dyDescent="0.2">
      <c r="A629" s="188"/>
      <c r="C629" s="189"/>
      <c r="E629" s="190"/>
      <c r="G629" s="70"/>
      <c r="H629" s="70"/>
      <c r="J629" s="70"/>
      <c r="L629" s="71"/>
      <c r="N629" s="65"/>
      <c r="O629" s="64"/>
    </row>
    <row r="630" spans="1:15" ht="15" customHeight="1" x14ac:dyDescent="0.2">
      <c r="A630" s="188"/>
      <c r="C630" s="189"/>
      <c r="E630" s="190"/>
      <c r="G630" s="70"/>
      <c r="H630" s="70"/>
      <c r="J630" s="70"/>
      <c r="L630" s="71"/>
      <c r="N630" s="65"/>
      <c r="O630" s="64"/>
    </row>
    <row r="631" spans="1:15" ht="15" customHeight="1" x14ac:dyDescent="0.2">
      <c r="A631" s="188"/>
      <c r="C631" s="189"/>
      <c r="E631" s="190"/>
      <c r="G631" s="70"/>
      <c r="H631" s="70"/>
      <c r="J631" s="70"/>
      <c r="L631" s="71"/>
      <c r="N631" s="65"/>
      <c r="O631" s="64"/>
    </row>
    <row r="632" spans="1:15" ht="15" customHeight="1" x14ac:dyDescent="0.2">
      <c r="A632" s="188"/>
      <c r="C632" s="189"/>
      <c r="E632" s="190"/>
      <c r="G632" s="70"/>
      <c r="H632" s="70"/>
      <c r="J632" s="70"/>
      <c r="L632" s="71"/>
      <c r="N632" s="65"/>
      <c r="O632" s="64"/>
    </row>
    <row r="633" spans="1:15" ht="15" customHeight="1" x14ac:dyDescent="0.2">
      <c r="A633" s="188"/>
      <c r="C633" s="189"/>
      <c r="E633" s="190"/>
      <c r="G633" s="70"/>
      <c r="H633" s="70"/>
      <c r="J633" s="70"/>
      <c r="L633" s="71"/>
      <c r="N633" s="65"/>
      <c r="O633" s="64"/>
    </row>
    <row r="634" spans="1:15" ht="15" customHeight="1" x14ac:dyDescent="0.2">
      <c r="A634" s="188"/>
      <c r="C634" s="189"/>
      <c r="E634" s="190"/>
      <c r="G634" s="70"/>
      <c r="H634" s="70"/>
      <c r="J634" s="70"/>
      <c r="L634" s="71"/>
      <c r="N634" s="65"/>
      <c r="O634" s="64"/>
    </row>
    <row r="635" spans="1:15" ht="15" customHeight="1" x14ac:dyDescent="0.2">
      <c r="A635" s="188"/>
      <c r="C635" s="189"/>
      <c r="E635" s="190"/>
      <c r="G635" s="70"/>
      <c r="H635" s="70"/>
      <c r="J635" s="70"/>
      <c r="L635" s="71"/>
      <c r="N635" s="65"/>
      <c r="O635" s="64"/>
    </row>
    <row r="636" spans="1:15" ht="15" customHeight="1" x14ac:dyDescent="0.2">
      <c r="A636" s="188"/>
      <c r="C636" s="189"/>
      <c r="E636" s="190"/>
      <c r="G636" s="70"/>
      <c r="H636" s="70"/>
      <c r="J636" s="70"/>
      <c r="L636" s="71"/>
      <c r="N636" s="65"/>
      <c r="O636" s="64"/>
    </row>
    <row r="637" spans="1:15" ht="15" customHeight="1" x14ac:dyDescent="0.2">
      <c r="A637" s="188"/>
      <c r="C637" s="189"/>
      <c r="E637" s="190"/>
      <c r="G637" s="70"/>
      <c r="H637" s="70"/>
      <c r="J637" s="70"/>
      <c r="L637" s="71"/>
      <c r="N637" s="65"/>
      <c r="O637" s="64"/>
    </row>
    <row r="638" spans="1:15" ht="15" customHeight="1" x14ac:dyDescent="0.2">
      <c r="A638" s="188"/>
      <c r="C638" s="189"/>
      <c r="E638" s="190"/>
      <c r="G638" s="70"/>
      <c r="H638" s="70"/>
      <c r="J638" s="70"/>
      <c r="L638" s="71"/>
      <c r="N638" s="65"/>
      <c r="O638" s="64"/>
    </row>
    <row r="639" spans="1:15" ht="15" customHeight="1" x14ac:dyDescent="0.2">
      <c r="A639" s="188"/>
      <c r="C639" s="189"/>
      <c r="E639" s="190"/>
      <c r="G639" s="70"/>
      <c r="H639" s="70"/>
      <c r="J639" s="70"/>
      <c r="L639" s="71"/>
      <c r="N639" s="65"/>
      <c r="O639" s="64"/>
    </row>
    <row r="640" spans="1:15" ht="15" customHeight="1" x14ac:dyDescent="0.2">
      <c r="A640" s="188"/>
      <c r="C640" s="189"/>
      <c r="E640" s="190"/>
      <c r="G640" s="70"/>
      <c r="H640" s="70"/>
      <c r="J640" s="70"/>
      <c r="L640" s="71"/>
      <c r="N640" s="65"/>
      <c r="O640" s="64"/>
    </row>
    <row r="641" spans="1:15" ht="15" customHeight="1" x14ac:dyDescent="0.2">
      <c r="A641" s="188"/>
      <c r="C641" s="189"/>
      <c r="E641" s="190"/>
      <c r="G641" s="70"/>
      <c r="H641" s="70"/>
      <c r="J641" s="70"/>
      <c r="L641" s="71"/>
      <c r="N641" s="65"/>
      <c r="O641" s="64"/>
    </row>
    <row r="642" spans="1:15" ht="15" customHeight="1" x14ac:dyDescent="0.2">
      <c r="A642" s="188"/>
      <c r="C642" s="189"/>
      <c r="E642" s="190"/>
      <c r="G642" s="70"/>
      <c r="H642" s="70"/>
      <c r="J642" s="70"/>
      <c r="L642" s="71"/>
      <c r="N642" s="65"/>
      <c r="O642" s="64"/>
    </row>
    <row r="643" spans="1:15" ht="15" customHeight="1" x14ac:dyDescent="0.2">
      <c r="A643" s="188"/>
      <c r="C643" s="189"/>
      <c r="E643" s="190"/>
      <c r="G643" s="70"/>
      <c r="H643" s="70"/>
      <c r="J643" s="70"/>
      <c r="L643" s="71"/>
      <c r="N643" s="65"/>
      <c r="O643" s="64"/>
    </row>
    <row r="644" spans="1:15" ht="15" customHeight="1" x14ac:dyDescent="0.2">
      <c r="A644" s="188"/>
      <c r="C644" s="189"/>
      <c r="E644" s="190"/>
      <c r="G644" s="70"/>
      <c r="H644" s="70"/>
      <c r="J644" s="70"/>
      <c r="L644" s="71"/>
      <c r="N644" s="65"/>
      <c r="O644" s="64"/>
    </row>
    <row r="645" spans="1:15" ht="15" customHeight="1" x14ac:dyDescent="0.2">
      <c r="A645" s="188"/>
      <c r="C645" s="189"/>
      <c r="E645" s="190"/>
      <c r="G645" s="70"/>
      <c r="H645" s="70"/>
      <c r="J645" s="70"/>
      <c r="L645" s="71"/>
      <c r="N645" s="65"/>
      <c r="O645" s="64"/>
    </row>
    <row r="646" spans="1:15" ht="15" customHeight="1" x14ac:dyDescent="0.2">
      <c r="A646" s="188"/>
      <c r="C646" s="189"/>
      <c r="E646" s="190"/>
      <c r="G646" s="70"/>
      <c r="H646" s="70"/>
      <c r="J646" s="70"/>
      <c r="L646" s="71"/>
      <c r="N646" s="65"/>
      <c r="O646" s="64"/>
    </row>
    <row r="647" spans="1:15" ht="15" customHeight="1" x14ac:dyDescent="0.2">
      <c r="A647" s="188"/>
      <c r="C647" s="189"/>
      <c r="E647" s="190"/>
      <c r="G647" s="70"/>
      <c r="H647" s="70"/>
      <c r="J647" s="70"/>
      <c r="L647" s="71"/>
      <c r="N647" s="65"/>
      <c r="O647" s="64"/>
    </row>
    <row r="648" spans="1:15" ht="15" customHeight="1" x14ac:dyDescent="0.2">
      <c r="A648" s="188"/>
      <c r="C648" s="189"/>
      <c r="E648" s="190"/>
      <c r="G648" s="70"/>
      <c r="H648" s="70"/>
      <c r="J648" s="70"/>
      <c r="L648" s="71"/>
      <c r="N648" s="65"/>
      <c r="O648" s="64"/>
    </row>
    <row r="649" spans="1:15" ht="15" customHeight="1" x14ac:dyDescent="0.2">
      <c r="A649" s="188"/>
      <c r="C649" s="189"/>
      <c r="E649" s="190"/>
      <c r="G649" s="70"/>
      <c r="H649" s="70"/>
      <c r="J649" s="70"/>
      <c r="L649" s="71"/>
      <c r="N649" s="65"/>
      <c r="O649" s="64"/>
    </row>
    <row r="650" spans="1:15" ht="15" customHeight="1" x14ac:dyDescent="0.2">
      <c r="A650" s="188"/>
      <c r="C650" s="189"/>
      <c r="E650" s="190"/>
      <c r="G650" s="70"/>
      <c r="H650" s="70"/>
      <c r="J650" s="70"/>
      <c r="L650" s="71"/>
      <c r="N650" s="65"/>
      <c r="O650" s="64"/>
    </row>
    <row r="651" spans="1:15" ht="15" customHeight="1" x14ac:dyDescent="0.2">
      <c r="A651" s="188"/>
      <c r="C651" s="189"/>
      <c r="E651" s="190"/>
      <c r="G651" s="70"/>
      <c r="H651" s="70"/>
      <c r="J651" s="70"/>
      <c r="L651" s="71"/>
      <c r="N651" s="65"/>
      <c r="O651" s="64"/>
    </row>
    <row r="652" spans="1:15" ht="15" customHeight="1" x14ac:dyDescent="0.2">
      <c r="A652" s="188"/>
      <c r="C652" s="189"/>
      <c r="E652" s="190"/>
      <c r="G652" s="70"/>
      <c r="H652" s="70"/>
      <c r="J652" s="70"/>
      <c r="L652" s="71"/>
      <c r="N652" s="65"/>
      <c r="O652" s="64"/>
    </row>
    <row r="653" spans="1:15" ht="15" customHeight="1" x14ac:dyDescent="0.2">
      <c r="A653" s="188"/>
      <c r="C653" s="189"/>
      <c r="E653" s="190"/>
      <c r="G653" s="70"/>
      <c r="H653" s="70"/>
      <c r="J653" s="70"/>
      <c r="L653" s="71"/>
      <c r="N653" s="65"/>
      <c r="O653" s="64"/>
    </row>
    <row r="654" spans="1:15" ht="15" customHeight="1" x14ac:dyDescent="0.2">
      <c r="A654" s="188"/>
      <c r="C654" s="189"/>
      <c r="E654" s="190"/>
      <c r="G654" s="70"/>
      <c r="H654" s="70"/>
      <c r="J654" s="70"/>
      <c r="L654" s="71"/>
      <c r="N654" s="65"/>
      <c r="O654" s="64"/>
    </row>
    <row r="655" spans="1:15" ht="15" customHeight="1" x14ac:dyDescent="0.2">
      <c r="A655" s="188"/>
      <c r="C655" s="189"/>
      <c r="E655" s="190"/>
      <c r="G655" s="70"/>
      <c r="H655" s="70"/>
      <c r="J655" s="70"/>
      <c r="L655" s="71"/>
      <c r="N655" s="65"/>
      <c r="O655" s="64"/>
    </row>
    <row r="656" spans="1:15" ht="15" customHeight="1" x14ac:dyDescent="0.2">
      <c r="A656" s="188"/>
      <c r="C656" s="189"/>
      <c r="E656" s="190"/>
      <c r="G656" s="70"/>
      <c r="H656" s="70"/>
      <c r="J656" s="70"/>
      <c r="L656" s="71"/>
      <c r="N656" s="65"/>
      <c r="O656" s="64"/>
    </row>
    <row r="657" spans="1:15" ht="15" customHeight="1" x14ac:dyDescent="0.2">
      <c r="A657" s="188"/>
      <c r="C657" s="189"/>
      <c r="E657" s="190"/>
      <c r="G657" s="70"/>
      <c r="H657" s="70"/>
      <c r="J657" s="70"/>
      <c r="L657" s="71"/>
      <c r="N657" s="65"/>
      <c r="O657" s="64"/>
    </row>
    <row r="658" spans="1:15" ht="15" customHeight="1" x14ac:dyDescent="0.2">
      <c r="A658" s="188"/>
      <c r="C658" s="189"/>
      <c r="E658" s="190"/>
      <c r="G658" s="70"/>
      <c r="H658" s="70"/>
      <c r="J658" s="70"/>
      <c r="L658" s="71"/>
      <c r="N658" s="65"/>
      <c r="O658" s="64"/>
    </row>
    <row r="659" spans="1:15" ht="15" customHeight="1" x14ac:dyDescent="0.2">
      <c r="A659" s="188"/>
      <c r="C659" s="189"/>
      <c r="E659" s="190"/>
      <c r="G659" s="70"/>
      <c r="H659" s="70"/>
      <c r="J659" s="70"/>
      <c r="L659" s="71"/>
      <c r="N659" s="65"/>
      <c r="O659" s="64"/>
    </row>
    <row r="660" spans="1:15" ht="15" customHeight="1" x14ac:dyDescent="0.2">
      <c r="A660" s="188"/>
      <c r="C660" s="189"/>
      <c r="E660" s="190"/>
      <c r="G660" s="70"/>
      <c r="H660" s="70"/>
      <c r="J660" s="70"/>
      <c r="L660" s="71"/>
      <c r="N660" s="65"/>
      <c r="O660" s="64"/>
    </row>
    <row r="661" spans="1:15" ht="15" customHeight="1" x14ac:dyDescent="0.2">
      <c r="A661" s="188"/>
      <c r="C661" s="189"/>
      <c r="E661" s="190"/>
      <c r="G661" s="70"/>
      <c r="H661" s="70"/>
      <c r="J661" s="70"/>
      <c r="L661" s="71"/>
      <c r="N661" s="65"/>
      <c r="O661" s="64"/>
    </row>
    <row r="662" spans="1:15" ht="15" customHeight="1" x14ac:dyDescent="0.2">
      <c r="A662" s="188"/>
      <c r="C662" s="189"/>
      <c r="E662" s="190"/>
      <c r="G662" s="70"/>
      <c r="H662" s="70"/>
      <c r="J662" s="70"/>
      <c r="L662" s="71"/>
      <c r="N662" s="65"/>
      <c r="O662" s="64"/>
    </row>
    <row r="663" spans="1:15" ht="15" customHeight="1" x14ac:dyDescent="0.2">
      <c r="A663" s="188"/>
      <c r="C663" s="189"/>
      <c r="E663" s="190"/>
      <c r="G663" s="70"/>
      <c r="H663" s="70"/>
      <c r="J663" s="70"/>
      <c r="L663" s="71"/>
      <c r="N663" s="65"/>
      <c r="O663" s="64"/>
    </row>
    <row r="664" spans="1:15" ht="15" customHeight="1" x14ac:dyDescent="0.2">
      <c r="A664" s="188"/>
      <c r="C664" s="189"/>
      <c r="E664" s="190"/>
      <c r="G664" s="70"/>
      <c r="H664" s="70"/>
      <c r="J664" s="70"/>
      <c r="L664" s="71"/>
      <c r="N664" s="65"/>
      <c r="O664" s="64"/>
    </row>
    <row r="665" spans="1:15" ht="15" customHeight="1" x14ac:dyDescent="0.2">
      <c r="A665" s="188"/>
      <c r="C665" s="189"/>
      <c r="E665" s="190"/>
      <c r="G665" s="70"/>
      <c r="H665" s="70"/>
      <c r="J665" s="70"/>
      <c r="L665" s="71"/>
      <c r="N665" s="65"/>
      <c r="O665" s="64"/>
    </row>
    <row r="666" spans="1:15" ht="15" customHeight="1" x14ac:dyDescent="0.2">
      <c r="A666" s="188"/>
      <c r="C666" s="189"/>
      <c r="E666" s="190"/>
      <c r="G666" s="70"/>
      <c r="H666" s="70"/>
      <c r="J666" s="70"/>
      <c r="L666" s="71"/>
      <c r="N666" s="65"/>
      <c r="O666" s="64"/>
    </row>
    <row r="667" spans="1:15" ht="15" customHeight="1" x14ac:dyDescent="0.2">
      <c r="A667" s="188"/>
      <c r="C667" s="189"/>
      <c r="E667" s="190"/>
      <c r="G667" s="70"/>
      <c r="H667" s="70"/>
      <c r="J667" s="70"/>
      <c r="L667" s="71"/>
      <c r="N667" s="65"/>
      <c r="O667" s="64"/>
    </row>
    <row r="668" spans="1:15" ht="15" customHeight="1" x14ac:dyDescent="0.2">
      <c r="A668" s="188"/>
      <c r="C668" s="189"/>
      <c r="E668" s="190"/>
      <c r="G668" s="70"/>
      <c r="H668" s="70"/>
      <c r="J668" s="70"/>
      <c r="L668" s="71"/>
      <c r="N668" s="65"/>
      <c r="O668" s="64"/>
    </row>
    <row r="669" spans="1:15" ht="15" customHeight="1" x14ac:dyDescent="0.2">
      <c r="A669" s="188"/>
      <c r="C669" s="189"/>
      <c r="E669" s="190"/>
      <c r="G669" s="70"/>
      <c r="H669" s="70"/>
      <c r="J669" s="70"/>
      <c r="L669" s="71"/>
      <c r="N669" s="65"/>
      <c r="O669" s="64"/>
    </row>
    <row r="670" spans="1:15" ht="15" customHeight="1" x14ac:dyDescent="0.2">
      <c r="A670" s="188"/>
      <c r="C670" s="189"/>
      <c r="E670" s="190"/>
      <c r="G670" s="70"/>
      <c r="H670" s="70"/>
      <c r="J670" s="70"/>
      <c r="L670" s="71"/>
      <c r="N670" s="65"/>
      <c r="O670" s="64"/>
    </row>
    <row r="671" spans="1:15" ht="15" customHeight="1" x14ac:dyDescent="0.2">
      <c r="A671" s="188"/>
      <c r="C671" s="189"/>
      <c r="E671" s="190"/>
      <c r="G671" s="70"/>
      <c r="H671" s="70"/>
      <c r="J671" s="70"/>
      <c r="L671" s="71"/>
      <c r="N671" s="65"/>
      <c r="O671" s="64"/>
    </row>
    <row r="672" spans="1:15" ht="15" customHeight="1" x14ac:dyDescent="0.2">
      <c r="A672" s="188"/>
      <c r="C672" s="189"/>
      <c r="E672" s="190"/>
      <c r="G672" s="70"/>
      <c r="H672" s="70"/>
      <c r="J672" s="70"/>
      <c r="L672" s="71"/>
      <c r="N672" s="65"/>
      <c r="O672" s="64"/>
    </row>
    <row r="673" spans="1:15" ht="15" customHeight="1" x14ac:dyDescent="0.2">
      <c r="A673" s="188"/>
      <c r="C673" s="189"/>
      <c r="E673" s="190"/>
      <c r="G673" s="70"/>
      <c r="H673" s="70"/>
      <c r="J673" s="70"/>
      <c r="L673" s="71"/>
      <c r="N673" s="65"/>
      <c r="O673" s="64"/>
    </row>
    <row r="674" spans="1:15" ht="15" customHeight="1" x14ac:dyDescent="0.2">
      <c r="A674" s="188"/>
      <c r="C674" s="189"/>
      <c r="E674" s="190"/>
      <c r="G674" s="70"/>
      <c r="H674" s="70"/>
      <c r="J674" s="70"/>
      <c r="L674" s="71"/>
      <c r="N674" s="65"/>
      <c r="O674" s="64"/>
    </row>
    <row r="675" spans="1:15" ht="15" customHeight="1" x14ac:dyDescent="0.2">
      <c r="A675" s="188"/>
      <c r="C675" s="189"/>
      <c r="E675" s="190"/>
      <c r="G675" s="70"/>
      <c r="H675" s="70"/>
      <c r="J675" s="70"/>
      <c r="L675" s="71"/>
      <c r="N675" s="65"/>
      <c r="O675" s="64"/>
    </row>
    <row r="676" spans="1:15" ht="15" customHeight="1" x14ac:dyDescent="0.2">
      <c r="A676" s="188"/>
      <c r="C676" s="189"/>
      <c r="E676" s="190"/>
      <c r="G676" s="70"/>
      <c r="H676" s="70"/>
      <c r="J676" s="70"/>
      <c r="L676" s="71"/>
      <c r="N676" s="65"/>
      <c r="O676" s="64"/>
    </row>
    <row r="677" spans="1:15" ht="15" customHeight="1" x14ac:dyDescent="0.2">
      <c r="A677" s="188"/>
      <c r="C677" s="189"/>
      <c r="E677" s="190"/>
      <c r="G677" s="70"/>
      <c r="H677" s="70"/>
      <c r="J677" s="70"/>
      <c r="L677" s="71"/>
      <c r="N677" s="65"/>
      <c r="O677" s="64"/>
    </row>
    <row r="678" spans="1:15" ht="15" customHeight="1" x14ac:dyDescent="0.2">
      <c r="A678" s="188"/>
      <c r="C678" s="189"/>
      <c r="E678" s="190"/>
      <c r="G678" s="70"/>
      <c r="H678" s="70"/>
      <c r="J678" s="70"/>
      <c r="L678" s="71"/>
      <c r="N678" s="65"/>
      <c r="O678" s="64"/>
    </row>
    <row r="679" spans="1:15" ht="15" customHeight="1" x14ac:dyDescent="0.2">
      <c r="A679" s="188"/>
      <c r="C679" s="189"/>
      <c r="E679" s="190"/>
      <c r="G679" s="70"/>
      <c r="H679" s="70"/>
      <c r="J679" s="70"/>
      <c r="L679" s="71"/>
      <c r="N679" s="65"/>
      <c r="O679" s="64"/>
    </row>
    <row r="680" spans="1:15" ht="15" customHeight="1" x14ac:dyDescent="0.2">
      <c r="A680" s="188"/>
      <c r="C680" s="189"/>
      <c r="E680" s="190"/>
      <c r="G680" s="70"/>
      <c r="H680" s="70"/>
      <c r="J680" s="70"/>
      <c r="L680" s="71"/>
      <c r="N680" s="65"/>
      <c r="O680" s="64"/>
    </row>
    <row r="681" spans="1:15" ht="15" customHeight="1" x14ac:dyDescent="0.2">
      <c r="A681" s="188"/>
      <c r="C681" s="189"/>
      <c r="E681" s="190"/>
      <c r="G681" s="70"/>
      <c r="H681" s="70"/>
      <c r="J681" s="70"/>
      <c r="L681" s="71"/>
      <c r="N681" s="65"/>
      <c r="O681" s="64"/>
    </row>
    <row r="682" spans="1:15" ht="15" customHeight="1" x14ac:dyDescent="0.2">
      <c r="A682" s="188"/>
      <c r="C682" s="189"/>
      <c r="E682" s="190"/>
      <c r="G682" s="70"/>
      <c r="H682" s="70"/>
      <c r="J682" s="70"/>
      <c r="L682" s="71"/>
      <c r="N682" s="65"/>
      <c r="O682" s="64"/>
    </row>
    <row r="683" spans="1:15" ht="15" customHeight="1" x14ac:dyDescent="0.2">
      <c r="A683" s="188"/>
      <c r="C683" s="189"/>
      <c r="E683" s="190"/>
      <c r="G683" s="70"/>
      <c r="H683" s="70"/>
      <c r="J683" s="70"/>
      <c r="L683" s="71"/>
      <c r="N683" s="65"/>
      <c r="O683" s="64"/>
    </row>
    <row r="684" spans="1:15" ht="15" customHeight="1" x14ac:dyDescent="0.2">
      <c r="A684" s="188"/>
      <c r="C684" s="189"/>
      <c r="E684" s="190"/>
      <c r="G684" s="70"/>
      <c r="H684" s="70"/>
      <c r="J684" s="70"/>
      <c r="L684" s="71"/>
      <c r="N684" s="65"/>
      <c r="O684" s="64"/>
    </row>
    <row r="685" spans="1:15" ht="15" customHeight="1" x14ac:dyDescent="0.2">
      <c r="A685" s="188"/>
      <c r="C685" s="189"/>
      <c r="E685" s="190"/>
      <c r="G685" s="70"/>
      <c r="H685" s="70"/>
      <c r="J685" s="70"/>
      <c r="L685" s="71"/>
      <c r="N685" s="65"/>
      <c r="O685" s="64"/>
    </row>
    <row r="686" spans="1:15" ht="15" customHeight="1" x14ac:dyDescent="0.2">
      <c r="A686" s="188"/>
      <c r="C686" s="189"/>
      <c r="E686" s="190"/>
      <c r="G686" s="70"/>
      <c r="H686" s="70"/>
      <c r="J686" s="70"/>
      <c r="L686" s="71"/>
      <c r="N686" s="65"/>
      <c r="O686" s="64"/>
    </row>
    <row r="687" spans="1:15" ht="15" customHeight="1" x14ac:dyDescent="0.2">
      <c r="A687" s="188"/>
      <c r="C687" s="189"/>
      <c r="E687" s="190"/>
      <c r="G687" s="70"/>
      <c r="H687" s="70"/>
      <c r="J687" s="70"/>
      <c r="L687" s="71"/>
      <c r="N687" s="65"/>
      <c r="O687" s="64"/>
    </row>
    <row r="688" spans="1:15" ht="15" customHeight="1" x14ac:dyDescent="0.2">
      <c r="A688" s="188"/>
      <c r="C688" s="189"/>
      <c r="E688" s="190"/>
      <c r="G688" s="70"/>
      <c r="H688" s="70"/>
      <c r="J688" s="70"/>
      <c r="L688" s="71"/>
      <c r="N688" s="65"/>
      <c r="O688" s="64"/>
    </row>
    <row r="689" spans="1:15" ht="15" customHeight="1" x14ac:dyDescent="0.2">
      <c r="A689" s="188"/>
      <c r="C689" s="189"/>
      <c r="E689" s="190"/>
      <c r="G689" s="70"/>
      <c r="H689" s="70"/>
      <c r="J689" s="70"/>
      <c r="L689" s="71"/>
      <c r="N689" s="65"/>
      <c r="O689" s="64"/>
    </row>
    <row r="690" spans="1:15" ht="15" customHeight="1" x14ac:dyDescent="0.2">
      <c r="A690" s="188"/>
      <c r="C690" s="189"/>
      <c r="E690" s="190"/>
      <c r="G690" s="70"/>
      <c r="H690" s="70"/>
      <c r="J690" s="70"/>
      <c r="L690" s="71"/>
      <c r="N690" s="65"/>
      <c r="O690" s="64"/>
    </row>
    <row r="691" spans="1:15" ht="15" customHeight="1" x14ac:dyDescent="0.2">
      <c r="A691" s="188"/>
      <c r="C691" s="189"/>
      <c r="E691" s="190"/>
      <c r="G691" s="70"/>
      <c r="H691" s="70"/>
      <c r="J691" s="70"/>
      <c r="L691" s="71"/>
      <c r="N691" s="65"/>
      <c r="O691" s="64"/>
    </row>
    <row r="692" spans="1:15" ht="15" customHeight="1" x14ac:dyDescent="0.2">
      <c r="A692" s="188"/>
      <c r="C692" s="189"/>
      <c r="E692" s="190"/>
      <c r="G692" s="70"/>
      <c r="H692" s="70"/>
      <c r="J692" s="70"/>
      <c r="L692" s="71"/>
      <c r="N692" s="65"/>
      <c r="O692" s="64"/>
    </row>
    <row r="693" spans="1:15" ht="15" customHeight="1" x14ac:dyDescent="0.2">
      <c r="A693" s="188"/>
      <c r="C693" s="189"/>
      <c r="E693" s="190"/>
      <c r="G693" s="70"/>
      <c r="H693" s="70"/>
      <c r="J693" s="70"/>
      <c r="L693" s="71"/>
      <c r="N693" s="65"/>
      <c r="O693" s="64"/>
    </row>
    <row r="694" spans="1:15" ht="15" customHeight="1" x14ac:dyDescent="0.2">
      <c r="A694" s="188"/>
      <c r="C694" s="189"/>
      <c r="E694" s="190"/>
      <c r="G694" s="70"/>
      <c r="H694" s="70"/>
      <c r="J694" s="70"/>
      <c r="L694" s="71"/>
      <c r="N694" s="65"/>
      <c r="O694" s="64"/>
    </row>
    <row r="695" spans="1:15" ht="15" customHeight="1" x14ac:dyDescent="0.2">
      <c r="A695" s="188"/>
      <c r="C695" s="189"/>
      <c r="E695" s="190"/>
      <c r="G695" s="70"/>
      <c r="H695" s="70"/>
      <c r="J695" s="70"/>
      <c r="L695" s="71"/>
      <c r="N695" s="65"/>
      <c r="O695" s="64"/>
    </row>
    <row r="696" spans="1:15" ht="15" customHeight="1" x14ac:dyDescent="0.2">
      <c r="A696" s="188"/>
      <c r="C696" s="189"/>
      <c r="E696" s="190"/>
      <c r="G696" s="70"/>
      <c r="H696" s="70"/>
      <c r="J696" s="70"/>
      <c r="L696" s="71"/>
      <c r="N696" s="65"/>
      <c r="O696" s="64"/>
    </row>
    <row r="697" spans="1:15" ht="15" customHeight="1" x14ac:dyDescent="0.2">
      <c r="A697" s="188"/>
      <c r="C697" s="189"/>
      <c r="E697" s="190"/>
      <c r="G697" s="70"/>
      <c r="H697" s="70"/>
      <c r="J697" s="70"/>
      <c r="L697" s="71"/>
      <c r="N697" s="65"/>
      <c r="O697" s="64"/>
    </row>
    <row r="698" spans="1:15" ht="15" customHeight="1" x14ac:dyDescent="0.2">
      <c r="A698" s="188"/>
      <c r="C698" s="189"/>
      <c r="E698" s="190"/>
      <c r="G698" s="70"/>
      <c r="H698" s="70"/>
      <c r="J698" s="70"/>
      <c r="L698" s="71"/>
      <c r="N698" s="65"/>
      <c r="O698" s="64"/>
    </row>
    <row r="699" spans="1:15" ht="15" customHeight="1" x14ac:dyDescent="0.2">
      <c r="A699" s="188"/>
      <c r="C699" s="189"/>
      <c r="E699" s="190"/>
      <c r="G699" s="70"/>
      <c r="H699" s="70"/>
      <c r="J699" s="70"/>
      <c r="L699" s="71"/>
      <c r="N699" s="65"/>
      <c r="O699" s="64"/>
    </row>
    <row r="700" spans="1:15" ht="15" customHeight="1" x14ac:dyDescent="0.2">
      <c r="A700" s="188"/>
      <c r="C700" s="189"/>
      <c r="E700" s="190"/>
      <c r="G700" s="70"/>
      <c r="H700" s="70"/>
      <c r="J700" s="70"/>
      <c r="L700" s="71"/>
      <c r="N700" s="65"/>
      <c r="O700" s="64"/>
    </row>
    <row r="701" spans="1:15" ht="15" customHeight="1" x14ac:dyDescent="0.2">
      <c r="A701" s="188"/>
      <c r="C701" s="189"/>
      <c r="E701" s="190"/>
      <c r="G701" s="70"/>
      <c r="H701" s="70"/>
      <c r="J701" s="70"/>
      <c r="L701" s="71"/>
      <c r="N701" s="65"/>
      <c r="O701" s="64"/>
    </row>
    <row r="702" spans="1:15" ht="15" customHeight="1" x14ac:dyDescent="0.2">
      <c r="A702" s="188"/>
      <c r="C702" s="189"/>
      <c r="E702" s="190"/>
      <c r="G702" s="70"/>
      <c r="H702" s="70"/>
      <c r="J702" s="70"/>
      <c r="L702" s="71"/>
      <c r="N702" s="65"/>
      <c r="O702" s="64"/>
    </row>
    <row r="703" spans="1:15" ht="15" customHeight="1" x14ac:dyDescent="0.2">
      <c r="A703" s="188"/>
      <c r="C703" s="189"/>
      <c r="E703" s="190"/>
      <c r="G703" s="70"/>
      <c r="H703" s="70"/>
      <c r="J703" s="70"/>
      <c r="L703" s="71"/>
      <c r="N703" s="65"/>
      <c r="O703" s="64"/>
    </row>
    <row r="704" spans="1:15" ht="15" customHeight="1" x14ac:dyDescent="0.2">
      <c r="A704" s="188"/>
      <c r="C704" s="189"/>
      <c r="E704" s="190"/>
      <c r="G704" s="70"/>
      <c r="H704" s="70"/>
      <c r="J704" s="70"/>
      <c r="L704" s="71"/>
      <c r="N704" s="65"/>
      <c r="O704" s="64"/>
    </row>
    <row r="705" spans="1:15" ht="15" customHeight="1" x14ac:dyDescent="0.2">
      <c r="A705" s="188"/>
      <c r="C705" s="189"/>
      <c r="E705" s="190"/>
      <c r="G705" s="70"/>
      <c r="H705" s="70"/>
      <c r="J705" s="70"/>
      <c r="L705" s="71"/>
      <c r="N705" s="65"/>
      <c r="O705" s="64"/>
    </row>
    <row r="706" spans="1:15" ht="15" customHeight="1" x14ac:dyDescent="0.2">
      <c r="A706" s="188"/>
      <c r="C706" s="189"/>
      <c r="E706" s="190"/>
      <c r="G706" s="70"/>
      <c r="H706" s="70"/>
      <c r="J706" s="70"/>
      <c r="L706" s="71"/>
      <c r="N706" s="65"/>
      <c r="O706" s="64"/>
    </row>
    <row r="707" spans="1:15" ht="15" customHeight="1" x14ac:dyDescent="0.2">
      <c r="A707" s="188"/>
      <c r="C707" s="189"/>
      <c r="E707" s="190"/>
      <c r="G707" s="70"/>
      <c r="H707" s="70"/>
      <c r="J707" s="70"/>
      <c r="L707" s="71"/>
      <c r="N707" s="65"/>
      <c r="O707" s="64"/>
    </row>
    <row r="708" spans="1:15" ht="15" customHeight="1" x14ac:dyDescent="0.2">
      <c r="A708" s="188"/>
      <c r="C708" s="189"/>
      <c r="E708" s="190"/>
      <c r="G708" s="70"/>
      <c r="H708" s="70"/>
      <c r="J708" s="70"/>
      <c r="L708" s="71"/>
      <c r="N708" s="65"/>
      <c r="O708" s="64"/>
    </row>
    <row r="709" spans="1:15" ht="15" customHeight="1" x14ac:dyDescent="0.2">
      <c r="A709" s="188"/>
      <c r="C709" s="189"/>
      <c r="E709" s="190"/>
      <c r="G709" s="70"/>
      <c r="H709" s="70"/>
      <c r="J709" s="70"/>
      <c r="L709" s="71"/>
      <c r="N709" s="65"/>
      <c r="O709" s="64"/>
    </row>
    <row r="710" spans="1:15" ht="15" customHeight="1" x14ac:dyDescent="0.2">
      <c r="A710" s="188"/>
      <c r="C710" s="189"/>
      <c r="E710" s="190"/>
      <c r="G710" s="70"/>
      <c r="H710" s="70"/>
      <c r="J710" s="70"/>
      <c r="L710" s="71"/>
      <c r="N710" s="65"/>
      <c r="O710" s="64"/>
    </row>
    <row r="711" spans="1:15" ht="15" customHeight="1" x14ac:dyDescent="0.2">
      <c r="A711" s="188"/>
      <c r="C711" s="189"/>
      <c r="E711" s="190"/>
      <c r="G711" s="70"/>
      <c r="H711" s="70"/>
      <c r="J711" s="70"/>
      <c r="L711" s="71"/>
      <c r="N711" s="65"/>
      <c r="O711" s="64"/>
    </row>
    <row r="712" spans="1:15" ht="15" customHeight="1" x14ac:dyDescent="0.2">
      <c r="A712" s="188"/>
      <c r="C712" s="189"/>
      <c r="E712" s="190"/>
      <c r="G712" s="70"/>
      <c r="H712" s="70"/>
      <c r="J712" s="70"/>
      <c r="L712" s="71"/>
      <c r="N712" s="65"/>
      <c r="O712" s="64"/>
    </row>
    <row r="713" spans="1:15" ht="15" customHeight="1" x14ac:dyDescent="0.2">
      <c r="A713" s="188"/>
      <c r="C713" s="189"/>
      <c r="E713" s="190"/>
      <c r="G713" s="70"/>
      <c r="H713" s="70"/>
      <c r="J713" s="70"/>
      <c r="L713" s="71"/>
      <c r="N713" s="65"/>
      <c r="O713" s="64"/>
    </row>
    <row r="714" spans="1:15" ht="15" customHeight="1" x14ac:dyDescent="0.2">
      <c r="A714" s="188"/>
      <c r="C714" s="189"/>
      <c r="E714" s="190"/>
      <c r="G714" s="70"/>
      <c r="H714" s="70"/>
      <c r="J714" s="70"/>
      <c r="L714" s="71"/>
      <c r="N714" s="65"/>
      <c r="O714" s="64"/>
    </row>
    <row r="715" spans="1:15" ht="15" customHeight="1" x14ac:dyDescent="0.2">
      <c r="A715" s="188"/>
      <c r="C715" s="189"/>
      <c r="E715" s="190"/>
      <c r="G715" s="70"/>
      <c r="H715" s="70"/>
      <c r="J715" s="70"/>
      <c r="L715" s="71"/>
      <c r="N715" s="65"/>
      <c r="O715" s="64"/>
    </row>
    <row r="716" spans="1:15" ht="15" customHeight="1" x14ac:dyDescent="0.2">
      <c r="A716" s="188"/>
      <c r="C716" s="189"/>
      <c r="E716" s="190"/>
      <c r="G716" s="70"/>
      <c r="H716" s="70"/>
      <c r="J716" s="70"/>
      <c r="L716" s="71"/>
      <c r="N716" s="65"/>
      <c r="O716" s="64"/>
    </row>
    <row r="717" spans="1:15" ht="15" customHeight="1" x14ac:dyDescent="0.2">
      <c r="A717" s="188"/>
      <c r="C717" s="189"/>
      <c r="E717" s="190"/>
      <c r="G717" s="70"/>
      <c r="H717" s="70"/>
      <c r="J717" s="70"/>
      <c r="L717" s="71"/>
      <c r="N717" s="65"/>
      <c r="O717" s="64"/>
    </row>
    <row r="718" spans="1:15" ht="15" customHeight="1" x14ac:dyDescent="0.2">
      <c r="A718" s="188"/>
      <c r="C718" s="189"/>
      <c r="E718" s="190"/>
      <c r="G718" s="70"/>
      <c r="H718" s="70"/>
      <c r="J718" s="70"/>
      <c r="L718" s="71"/>
      <c r="N718" s="65"/>
      <c r="O718" s="64"/>
    </row>
    <row r="719" spans="1:15" ht="15" customHeight="1" x14ac:dyDescent="0.2">
      <c r="A719" s="188"/>
      <c r="C719" s="189"/>
      <c r="E719" s="190"/>
      <c r="G719" s="70"/>
      <c r="H719" s="70"/>
      <c r="J719" s="70"/>
      <c r="L719" s="71"/>
      <c r="N719" s="65"/>
      <c r="O719" s="64"/>
    </row>
    <row r="720" spans="1:15" ht="15" customHeight="1" x14ac:dyDescent="0.2">
      <c r="A720" s="188"/>
      <c r="C720" s="189"/>
      <c r="E720" s="190"/>
      <c r="G720" s="70"/>
      <c r="H720" s="70"/>
      <c r="J720" s="70"/>
      <c r="L720" s="71"/>
      <c r="N720" s="65"/>
      <c r="O720" s="64"/>
    </row>
    <row r="721" spans="1:15" ht="15" customHeight="1" x14ac:dyDescent="0.2">
      <c r="A721" s="188"/>
      <c r="C721" s="189"/>
      <c r="E721" s="190"/>
      <c r="G721" s="70"/>
      <c r="H721" s="70"/>
      <c r="J721" s="70"/>
      <c r="L721" s="71"/>
      <c r="N721" s="65"/>
      <c r="O721" s="64"/>
    </row>
    <row r="722" spans="1:15" ht="15" customHeight="1" x14ac:dyDescent="0.2">
      <c r="A722" s="188"/>
      <c r="C722" s="189"/>
      <c r="E722" s="190"/>
      <c r="G722" s="70"/>
      <c r="H722" s="70"/>
      <c r="J722" s="70"/>
      <c r="L722" s="71"/>
      <c r="N722" s="65"/>
      <c r="O722" s="64"/>
    </row>
    <row r="723" spans="1:15" ht="15" customHeight="1" x14ac:dyDescent="0.2">
      <c r="A723" s="188"/>
      <c r="C723" s="189"/>
      <c r="E723" s="190"/>
      <c r="G723" s="70"/>
      <c r="H723" s="70"/>
      <c r="J723" s="70"/>
      <c r="L723" s="71"/>
      <c r="N723" s="65"/>
      <c r="O723" s="64"/>
    </row>
    <row r="724" spans="1:15" ht="15" customHeight="1" x14ac:dyDescent="0.2">
      <c r="A724" s="188"/>
      <c r="C724" s="189"/>
      <c r="E724" s="190"/>
      <c r="G724" s="70"/>
      <c r="H724" s="70"/>
      <c r="J724" s="70"/>
      <c r="L724" s="71"/>
      <c r="N724" s="65"/>
      <c r="O724" s="64"/>
    </row>
    <row r="725" spans="1:15" ht="15" customHeight="1" x14ac:dyDescent="0.2">
      <c r="A725" s="188"/>
      <c r="C725" s="189"/>
      <c r="E725" s="190"/>
      <c r="G725" s="70"/>
      <c r="H725" s="70"/>
      <c r="J725" s="70"/>
      <c r="L725" s="71"/>
      <c r="N725" s="65"/>
      <c r="O725" s="64"/>
    </row>
    <row r="726" spans="1:15" ht="15" customHeight="1" x14ac:dyDescent="0.2">
      <c r="A726" s="188"/>
      <c r="C726" s="189"/>
      <c r="E726" s="190"/>
      <c r="G726" s="70"/>
      <c r="H726" s="70"/>
      <c r="J726" s="70"/>
      <c r="L726" s="71"/>
      <c r="N726" s="65"/>
      <c r="O726" s="64"/>
    </row>
    <row r="727" spans="1:15" ht="15" customHeight="1" x14ac:dyDescent="0.2">
      <c r="A727" s="188"/>
      <c r="C727" s="189"/>
      <c r="E727" s="190"/>
      <c r="G727" s="70"/>
      <c r="H727" s="70"/>
      <c r="J727" s="70"/>
      <c r="L727" s="71"/>
      <c r="N727" s="65"/>
      <c r="O727" s="64"/>
    </row>
    <row r="728" spans="1:15" ht="15" customHeight="1" x14ac:dyDescent="0.2">
      <c r="A728" s="188"/>
      <c r="C728" s="189"/>
      <c r="E728" s="190"/>
      <c r="G728" s="70"/>
      <c r="H728" s="70"/>
      <c r="J728" s="70"/>
      <c r="L728" s="71"/>
      <c r="N728" s="65"/>
      <c r="O728" s="64"/>
    </row>
    <row r="729" spans="1:15" ht="15" customHeight="1" x14ac:dyDescent="0.2">
      <c r="A729" s="188"/>
      <c r="C729" s="189"/>
      <c r="E729" s="190"/>
      <c r="G729" s="70"/>
      <c r="H729" s="70"/>
      <c r="J729" s="70"/>
      <c r="L729" s="71"/>
      <c r="N729" s="65"/>
      <c r="O729" s="64"/>
    </row>
    <row r="730" spans="1:15" ht="15" customHeight="1" x14ac:dyDescent="0.2">
      <c r="A730" s="188"/>
      <c r="C730" s="189"/>
      <c r="E730" s="190"/>
      <c r="G730" s="70"/>
      <c r="H730" s="70"/>
      <c r="J730" s="70"/>
      <c r="L730" s="71"/>
      <c r="N730" s="65"/>
      <c r="O730" s="64"/>
    </row>
    <row r="731" spans="1:15" ht="15" customHeight="1" x14ac:dyDescent="0.2">
      <c r="A731" s="188"/>
      <c r="C731" s="189"/>
      <c r="E731" s="190"/>
      <c r="G731" s="70"/>
      <c r="H731" s="70"/>
      <c r="J731" s="70"/>
      <c r="L731" s="71"/>
      <c r="N731" s="65"/>
      <c r="O731" s="64"/>
    </row>
    <row r="732" spans="1:15" ht="15" customHeight="1" x14ac:dyDescent="0.2">
      <c r="A732" s="188"/>
      <c r="C732" s="189"/>
      <c r="E732" s="190"/>
      <c r="G732" s="70"/>
      <c r="H732" s="70"/>
      <c r="J732" s="70"/>
      <c r="L732" s="71"/>
      <c r="N732" s="65"/>
      <c r="O732" s="64"/>
    </row>
    <row r="733" spans="1:15" ht="15" customHeight="1" x14ac:dyDescent="0.2">
      <c r="A733" s="188"/>
      <c r="C733" s="189"/>
      <c r="E733" s="190"/>
      <c r="G733" s="70"/>
      <c r="H733" s="70"/>
      <c r="J733" s="70"/>
      <c r="L733" s="71"/>
      <c r="N733" s="65"/>
      <c r="O733" s="64"/>
    </row>
    <row r="734" spans="1:15" ht="15" customHeight="1" x14ac:dyDescent="0.2">
      <c r="A734" s="188"/>
      <c r="C734" s="189"/>
      <c r="E734" s="190"/>
      <c r="G734" s="70"/>
      <c r="H734" s="70"/>
      <c r="J734" s="70"/>
      <c r="L734" s="71"/>
      <c r="N734" s="65"/>
      <c r="O734" s="64"/>
    </row>
    <row r="735" spans="1:15" ht="15" customHeight="1" x14ac:dyDescent="0.2">
      <c r="A735" s="188"/>
      <c r="C735" s="189"/>
      <c r="E735" s="190"/>
      <c r="G735" s="70"/>
      <c r="H735" s="70"/>
      <c r="J735" s="70"/>
      <c r="L735" s="71"/>
      <c r="N735" s="65"/>
      <c r="O735" s="64"/>
    </row>
    <row r="736" spans="1:15" ht="15" customHeight="1" x14ac:dyDescent="0.2">
      <c r="A736" s="188"/>
      <c r="C736" s="189"/>
      <c r="E736" s="190"/>
      <c r="G736" s="70"/>
      <c r="H736" s="70"/>
      <c r="J736" s="70"/>
      <c r="L736" s="71"/>
      <c r="N736" s="65"/>
      <c r="O736" s="64"/>
    </row>
    <row r="737" spans="1:15" ht="15" customHeight="1" x14ac:dyDescent="0.2">
      <c r="A737" s="188"/>
      <c r="C737" s="189"/>
      <c r="E737" s="190"/>
      <c r="G737" s="70"/>
      <c r="H737" s="70"/>
      <c r="J737" s="70"/>
      <c r="L737" s="71"/>
      <c r="N737" s="65"/>
      <c r="O737" s="64"/>
    </row>
    <row r="738" spans="1:15" ht="15" customHeight="1" x14ac:dyDescent="0.2">
      <c r="A738" s="188"/>
      <c r="C738" s="189"/>
      <c r="E738" s="190"/>
      <c r="G738" s="70"/>
      <c r="H738" s="70"/>
      <c r="J738" s="70"/>
      <c r="L738" s="71"/>
      <c r="N738" s="65"/>
      <c r="O738" s="64"/>
    </row>
    <row r="739" spans="1:15" ht="15" customHeight="1" x14ac:dyDescent="0.2">
      <c r="A739" s="188"/>
      <c r="C739" s="189"/>
      <c r="E739" s="190"/>
      <c r="G739" s="70"/>
      <c r="H739" s="70"/>
      <c r="J739" s="70"/>
      <c r="L739" s="71"/>
      <c r="N739" s="65"/>
      <c r="O739" s="64"/>
    </row>
    <row r="740" spans="1:15" ht="15" customHeight="1" x14ac:dyDescent="0.2">
      <c r="A740" s="188"/>
      <c r="C740" s="189"/>
      <c r="E740" s="190"/>
      <c r="G740" s="70"/>
      <c r="H740" s="70"/>
      <c r="J740" s="70"/>
      <c r="L740" s="71"/>
      <c r="N740" s="65"/>
      <c r="O740" s="64"/>
    </row>
    <row r="741" spans="1:15" ht="15" customHeight="1" x14ac:dyDescent="0.2">
      <c r="A741" s="188"/>
      <c r="C741" s="189"/>
      <c r="E741" s="190"/>
      <c r="G741" s="70"/>
      <c r="H741" s="70"/>
      <c r="J741" s="70"/>
      <c r="L741" s="71"/>
      <c r="N741" s="65"/>
      <c r="O741" s="64"/>
    </row>
    <row r="742" spans="1:15" ht="15" customHeight="1" x14ac:dyDescent="0.2">
      <c r="A742" s="188"/>
      <c r="C742" s="189"/>
      <c r="E742" s="190"/>
      <c r="G742" s="70"/>
      <c r="H742" s="70"/>
      <c r="J742" s="70"/>
      <c r="L742" s="71"/>
      <c r="N742" s="65"/>
      <c r="O742" s="64"/>
    </row>
    <row r="743" spans="1:15" ht="15" customHeight="1" x14ac:dyDescent="0.2">
      <c r="A743" s="188"/>
      <c r="C743" s="189"/>
      <c r="E743" s="190"/>
      <c r="G743" s="70"/>
      <c r="H743" s="70"/>
      <c r="J743" s="70"/>
      <c r="L743" s="71"/>
      <c r="N743" s="65"/>
      <c r="O743" s="64"/>
    </row>
    <row r="744" spans="1:15" ht="15" customHeight="1" x14ac:dyDescent="0.2">
      <c r="A744" s="188"/>
      <c r="C744" s="189"/>
      <c r="E744" s="190"/>
      <c r="G744" s="70"/>
      <c r="H744" s="70"/>
      <c r="J744" s="70"/>
      <c r="L744" s="71"/>
      <c r="N744" s="65"/>
      <c r="O744" s="64"/>
    </row>
    <row r="745" spans="1:15" ht="15" customHeight="1" x14ac:dyDescent="0.2">
      <c r="A745" s="188"/>
      <c r="C745" s="189"/>
      <c r="E745" s="190"/>
      <c r="G745" s="70"/>
      <c r="H745" s="70"/>
      <c r="J745" s="70"/>
      <c r="L745" s="71"/>
      <c r="N745" s="65"/>
      <c r="O745" s="64"/>
    </row>
    <row r="746" spans="1:15" ht="15" customHeight="1" x14ac:dyDescent="0.2">
      <c r="A746" s="188"/>
      <c r="C746" s="189"/>
      <c r="E746" s="190"/>
      <c r="G746" s="70"/>
      <c r="H746" s="70"/>
      <c r="J746" s="70"/>
      <c r="L746" s="71"/>
      <c r="N746" s="65"/>
      <c r="O746" s="64"/>
    </row>
    <row r="747" spans="1:15" ht="15" customHeight="1" x14ac:dyDescent="0.2">
      <c r="A747" s="188"/>
      <c r="C747" s="189"/>
      <c r="E747" s="190"/>
      <c r="G747" s="70"/>
      <c r="H747" s="70"/>
      <c r="J747" s="70"/>
      <c r="L747" s="71"/>
      <c r="N747" s="65"/>
      <c r="O747" s="64"/>
    </row>
    <row r="748" spans="1:15" ht="15" customHeight="1" x14ac:dyDescent="0.2">
      <c r="A748" s="188"/>
      <c r="C748" s="189"/>
      <c r="E748" s="190"/>
      <c r="G748" s="70"/>
      <c r="H748" s="70"/>
      <c r="J748" s="70"/>
      <c r="L748" s="71"/>
      <c r="N748" s="65"/>
      <c r="O748" s="64"/>
    </row>
    <row r="749" spans="1:15" ht="15" customHeight="1" x14ac:dyDescent="0.2">
      <c r="A749" s="188"/>
      <c r="C749" s="189"/>
      <c r="E749" s="190"/>
      <c r="G749" s="70"/>
      <c r="H749" s="70"/>
      <c r="J749" s="70"/>
      <c r="L749" s="71"/>
      <c r="N749" s="65"/>
      <c r="O749" s="64"/>
    </row>
    <row r="750" spans="1:15" ht="15" customHeight="1" x14ac:dyDescent="0.2">
      <c r="A750" s="188"/>
      <c r="C750" s="189"/>
      <c r="E750" s="190"/>
      <c r="G750" s="70"/>
      <c r="H750" s="70"/>
      <c r="J750" s="70"/>
      <c r="L750" s="71"/>
      <c r="N750" s="65"/>
      <c r="O750" s="64"/>
    </row>
    <row r="751" spans="1:15" ht="15" customHeight="1" x14ac:dyDescent="0.2">
      <c r="A751" s="188"/>
      <c r="C751" s="189"/>
      <c r="E751" s="190"/>
      <c r="G751" s="70"/>
      <c r="H751" s="70"/>
      <c r="J751" s="70"/>
      <c r="L751" s="71"/>
      <c r="N751" s="65"/>
      <c r="O751" s="64"/>
    </row>
    <row r="752" spans="1:15" ht="15" customHeight="1" x14ac:dyDescent="0.2">
      <c r="A752" s="188"/>
      <c r="C752" s="189"/>
      <c r="E752" s="190"/>
      <c r="G752" s="70"/>
      <c r="H752" s="70"/>
      <c r="J752" s="70"/>
      <c r="L752" s="71"/>
      <c r="N752" s="65"/>
      <c r="O752" s="64"/>
    </row>
    <row r="753" spans="1:15" ht="15" customHeight="1" x14ac:dyDescent="0.2">
      <c r="A753" s="188"/>
      <c r="C753" s="189"/>
      <c r="E753" s="190"/>
      <c r="G753" s="70"/>
      <c r="H753" s="70"/>
      <c r="J753" s="70"/>
      <c r="L753" s="71"/>
      <c r="N753" s="65"/>
      <c r="O753" s="64"/>
    </row>
    <row r="754" spans="1:15" ht="15" customHeight="1" x14ac:dyDescent="0.2">
      <c r="A754" s="188"/>
      <c r="C754" s="189"/>
      <c r="E754" s="190"/>
      <c r="G754" s="70"/>
      <c r="H754" s="70"/>
      <c r="J754" s="70"/>
      <c r="L754" s="71"/>
      <c r="N754" s="65"/>
      <c r="O754" s="64"/>
    </row>
    <row r="755" spans="1:15" ht="15" customHeight="1" x14ac:dyDescent="0.2">
      <c r="A755" s="188"/>
      <c r="C755" s="189"/>
      <c r="E755" s="190"/>
      <c r="G755" s="70"/>
      <c r="H755" s="70"/>
      <c r="J755" s="70"/>
      <c r="L755" s="71"/>
      <c r="N755" s="65"/>
      <c r="O755" s="64"/>
    </row>
    <row r="756" spans="1:15" ht="15" customHeight="1" x14ac:dyDescent="0.2">
      <c r="A756" s="188"/>
      <c r="C756" s="189"/>
      <c r="E756" s="190"/>
      <c r="G756" s="70"/>
      <c r="H756" s="70"/>
      <c r="J756" s="70"/>
      <c r="L756" s="71"/>
      <c r="N756" s="65"/>
      <c r="O756" s="64"/>
    </row>
    <row r="757" spans="1:15" ht="15" customHeight="1" x14ac:dyDescent="0.2">
      <c r="A757" s="188"/>
      <c r="C757" s="189"/>
      <c r="E757" s="190"/>
      <c r="G757" s="70"/>
      <c r="H757" s="70"/>
      <c r="J757" s="70"/>
      <c r="L757" s="71"/>
      <c r="N757" s="65"/>
      <c r="O757" s="64"/>
    </row>
    <row r="758" spans="1:15" ht="15" customHeight="1" x14ac:dyDescent="0.2">
      <c r="A758" s="188"/>
      <c r="C758" s="189"/>
      <c r="E758" s="190"/>
      <c r="G758" s="70"/>
      <c r="H758" s="70"/>
      <c r="J758" s="70"/>
      <c r="L758" s="71"/>
      <c r="N758" s="65"/>
      <c r="O758" s="64"/>
    </row>
    <row r="759" spans="1:15" ht="15" customHeight="1" x14ac:dyDescent="0.2">
      <c r="A759" s="188"/>
      <c r="C759" s="189"/>
      <c r="E759" s="190"/>
      <c r="G759" s="70"/>
      <c r="H759" s="70"/>
      <c r="J759" s="70"/>
      <c r="L759" s="71"/>
      <c r="N759" s="65"/>
      <c r="O759" s="64"/>
    </row>
    <row r="760" spans="1:15" ht="15" customHeight="1" x14ac:dyDescent="0.2">
      <c r="A760" s="188"/>
      <c r="C760" s="189"/>
      <c r="E760" s="190"/>
      <c r="G760" s="70"/>
      <c r="H760" s="70"/>
      <c r="J760" s="70"/>
      <c r="L760" s="71"/>
      <c r="N760" s="65"/>
      <c r="O760" s="64"/>
    </row>
    <row r="761" spans="1:15" ht="15" customHeight="1" x14ac:dyDescent="0.2">
      <c r="A761" s="188"/>
      <c r="C761" s="189"/>
      <c r="E761" s="190"/>
      <c r="G761" s="70"/>
      <c r="H761" s="70"/>
      <c r="J761" s="70"/>
      <c r="L761" s="71"/>
      <c r="N761" s="65"/>
      <c r="O761" s="64"/>
    </row>
    <row r="762" spans="1:15" ht="15" customHeight="1" x14ac:dyDescent="0.2">
      <c r="A762" s="188"/>
      <c r="C762" s="189"/>
      <c r="E762" s="190"/>
      <c r="G762" s="70"/>
      <c r="H762" s="70"/>
      <c r="J762" s="70"/>
      <c r="L762" s="71"/>
      <c r="N762" s="65"/>
      <c r="O762" s="64"/>
    </row>
    <row r="763" spans="1:15" ht="15" customHeight="1" x14ac:dyDescent="0.2">
      <c r="A763" s="188"/>
      <c r="C763" s="189"/>
      <c r="E763" s="190"/>
      <c r="G763" s="70"/>
      <c r="H763" s="70"/>
      <c r="J763" s="70"/>
      <c r="L763" s="71"/>
      <c r="N763" s="65"/>
      <c r="O763" s="64"/>
    </row>
    <row r="764" spans="1:15" ht="15" customHeight="1" x14ac:dyDescent="0.2">
      <c r="A764" s="188"/>
      <c r="C764" s="189"/>
      <c r="E764" s="190"/>
      <c r="G764" s="70"/>
      <c r="H764" s="70"/>
      <c r="J764" s="70"/>
      <c r="L764" s="71"/>
      <c r="N764" s="65"/>
      <c r="O764" s="64"/>
    </row>
    <row r="765" spans="1:15" ht="15" customHeight="1" x14ac:dyDescent="0.2">
      <c r="A765" s="188"/>
      <c r="C765" s="189"/>
      <c r="E765" s="190"/>
      <c r="G765" s="70"/>
      <c r="H765" s="70"/>
      <c r="J765" s="70"/>
      <c r="L765" s="71"/>
      <c r="N765" s="65"/>
      <c r="O765" s="64"/>
    </row>
    <row r="766" spans="1:15" ht="15" customHeight="1" x14ac:dyDescent="0.2">
      <c r="A766" s="188"/>
      <c r="C766" s="189"/>
      <c r="E766" s="190"/>
      <c r="G766" s="70"/>
      <c r="H766" s="70"/>
      <c r="J766" s="70"/>
      <c r="L766" s="71"/>
      <c r="N766" s="65"/>
      <c r="O766" s="64"/>
    </row>
    <row r="767" spans="1:15" ht="15" customHeight="1" x14ac:dyDescent="0.2">
      <c r="A767" s="188"/>
      <c r="C767" s="189"/>
      <c r="E767" s="190"/>
      <c r="G767" s="70"/>
      <c r="H767" s="70"/>
      <c r="J767" s="70"/>
      <c r="L767" s="71"/>
      <c r="N767" s="65"/>
      <c r="O767" s="64"/>
    </row>
    <row r="768" spans="1:15" ht="15" customHeight="1" x14ac:dyDescent="0.2">
      <c r="A768" s="188"/>
      <c r="C768" s="189"/>
      <c r="E768" s="190"/>
      <c r="G768" s="70"/>
      <c r="H768" s="70"/>
      <c r="J768" s="70"/>
      <c r="L768" s="71"/>
      <c r="N768" s="65"/>
      <c r="O768" s="64"/>
    </row>
    <row r="769" spans="1:15" ht="15" customHeight="1" x14ac:dyDescent="0.2">
      <c r="A769" s="188"/>
      <c r="C769" s="189"/>
      <c r="E769" s="190"/>
      <c r="G769" s="70"/>
      <c r="H769" s="70"/>
      <c r="J769" s="70"/>
      <c r="L769" s="71"/>
      <c r="N769" s="65"/>
      <c r="O769" s="64"/>
    </row>
    <row r="770" spans="1:15" ht="15" customHeight="1" x14ac:dyDescent="0.2">
      <c r="A770" s="188"/>
      <c r="C770" s="189"/>
      <c r="E770" s="190"/>
      <c r="G770" s="70"/>
      <c r="H770" s="70"/>
      <c r="J770" s="70"/>
      <c r="L770" s="71"/>
      <c r="N770" s="65"/>
      <c r="O770" s="64"/>
    </row>
    <row r="771" spans="1:15" ht="15" customHeight="1" x14ac:dyDescent="0.2">
      <c r="A771" s="188"/>
      <c r="C771" s="189"/>
      <c r="E771" s="190"/>
      <c r="G771" s="70"/>
      <c r="H771" s="70"/>
      <c r="J771" s="70"/>
      <c r="L771" s="71"/>
      <c r="N771" s="65"/>
      <c r="O771" s="64"/>
    </row>
    <row r="772" spans="1:15" ht="15" customHeight="1" x14ac:dyDescent="0.2">
      <c r="A772" s="188"/>
      <c r="C772" s="189"/>
      <c r="E772" s="190"/>
      <c r="G772" s="70"/>
      <c r="H772" s="70"/>
      <c r="J772" s="70"/>
      <c r="L772" s="71"/>
      <c r="N772" s="65"/>
      <c r="O772" s="64"/>
    </row>
    <row r="773" spans="1:15" ht="15" customHeight="1" x14ac:dyDescent="0.2">
      <c r="A773" s="188"/>
      <c r="C773" s="189"/>
      <c r="E773" s="190"/>
      <c r="G773" s="70"/>
      <c r="H773" s="70"/>
      <c r="J773" s="70"/>
      <c r="L773" s="71"/>
      <c r="N773" s="65"/>
      <c r="O773" s="64"/>
    </row>
    <row r="774" spans="1:15" ht="15" customHeight="1" x14ac:dyDescent="0.2">
      <c r="A774" s="188"/>
      <c r="C774" s="189"/>
      <c r="E774" s="190"/>
      <c r="G774" s="70"/>
      <c r="H774" s="70"/>
      <c r="J774" s="70"/>
      <c r="L774" s="71"/>
      <c r="N774" s="65"/>
      <c r="O774" s="64"/>
    </row>
    <row r="775" spans="1:15" ht="15" customHeight="1" x14ac:dyDescent="0.2">
      <c r="A775" s="188"/>
      <c r="C775" s="189"/>
      <c r="E775" s="190"/>
      <c r="G775" s="70"/>
      <c r="H775" s="70"/>
      <c r="J775" s="70"/>
      <c r="L775" s="71"/>
      <c r="N775" s="65"/>
      <c r="O775" s="64"/>
    </row>
    <row r="776" spans="1:15" ht="15" customHeight="1" x14ac:dyDescent="0.2">
      <c r="A776" s="188"/>
      <c r="C776" s="189"/>
      <c r="E776" s="190"/>
      <c r="G776" s="70"/>
      <c r="H776" s="70"/>
      <c r="J776" s="70"/>
      <c r="L776" s="71"/>
      <c r="N776" s="65"/>
      <c r="O776" s="64"/>
    </row>
    <row r="777" spans="1:15" ht="15" customHeight="1" x14ac:dyDescent="0.2">
      <c r="A777" s="188"/>
      <c r="C777" s="189"/>
      <c r="E777" s="190"/>
      <c r="G777" s="70"/>
      <c r="H777" s="70"/>
      <c r="J777" s="70"/>
      <c r="L777" s="71"/>
      <c r="N777" s="65"/>
      <c r="O777" s="64"/>
    </row>
    <row r="778" spans="1:15" ht="15" customHeight="1" x14ac:dyDescent="0.2">
      <c r="A778" s="188"/>
      <c r="C778" s="189"/>
      <c r="E778" s="190"/>
      <c r="G778" s="70"/>
      <c r="H778" s="70"/>
      <c r="J778" s="70"/>
      <c r="L778" s="71"/>
      <c r="N778" s="65"/>
      <c r="O778" s="64"/>
    </row>
    <row r="779" spans="1:15" ht="15" customHeight="1" x14ac:dyDescent="0.2">
      <c r="A779" s="188"/>
      <c r="C779" s="189"/>
      <c r="E779" s="190"/>
      <c r="G779" s="70"/>
      <c r="H779" s="70"/>
      <c r="J779" s="70"/>
      <c r="L779" s="71"/>
      <c r="N779" s="65"/>
      <c r="O779" s="64"/>
    </row>
    <row r="780" spans="1:15" ht="15" customHeight="1" x14ac:dyDescent="0.2">
      <c r="A780" s="188"/>
      <c r="C780" s="189"/>
      <c r="E780" s="190"/>
      <c r="G780" s="70"/>
      <c r="H780" s="70"/>
      <c r="J780" s="70"/>
      <c r="L780" s="71"/>
      <c r="N780" s="65"/>
      <c r="O780" s="64"/>
    </row>
    <row r="781" spans="1:15" ht="15" customHeight="1" x14ac:dyDescent="0.2">
      <c r="A781" s="188"/>
      <c r="C781" s="189"/>
      <c r="E781" s="190"/>
      <c r="G781" s="70"/>
      <c r="H781" s="70"/>
      <c r="J781" s="70"/>
      <c r="L781" s="71"/>
      <c r="N781" s="65"/>
      <c r="O781" s="64"/>
    </row>
    <row r="782" spans="1:15" ht="15" customHeight="1" x14ac:dyDescent="0.2">
      <c r="A782" s="188"/>
      <c r="C782" s="189"/>
      <c r="E782" s="190"/>
      <c r="G782" s="70"/>
      <c r="H782" s="70"/>
      <c r="J782" s="70"/>
      <c r="L782" s="71"/>
      <c r="N782" s="65"/>
      <c r="O782" s="64"/>
    </row>
    <row r="783" spans="1:15" ht="15" customHeight="1" x14ac:dyDescent="0.2">
      <c r="A783" s="188"/>
      <c r="C783" s="189"/>
      <c r="E783" s="190"/>
      <c r="G783" s="70"/>
      <c r="H783" s="70"/>
      <c r="J783" s="70"/>
      <c r="L783" s="71"/>
      <c r="N783" s="65"/>
      <c r="O783" s="64"/>
    </row>
    <row r="784" spans="1:15" ht="15" customHeight="1" x14ac:dyDescent="0.2">
      <c r="A784" s="188"/>
      <c r="C784" s="189"/>
      <c r="E784" s="190"/>
      <c r="G784" s="70"/>
      <c r="H784" s="70"/>
      <c r="J784" s="70"/>
      <c r="L784" s="71"/>
      <c r="N784" s="65"/>
      <c r="O784" s="64"/>
    </row>
    <row r="785" spans="1:15" ht="15" customHeight="1" x14ac:dyDescent="0.2">
      <c r="A785" s="188"/>
      <c r="C785" s="189"/>
      <c r="E785" s="190"/>
      <c r="G785" s="70"/>
      <c r="H785" s="70"/>
      <c r="J785" s="70"/>
      <c r="L785" s="71"/>
      <c r="N785" s="65"/>
      <c r="O785" s="64"/>
    </row>
    <row r="786" spans="1:15" ht="15" customHeight="1" x14ac:dyDescent="0.2">
      <c r="A786" s="188"/>
      <c r="C786" s="189"/>
      <c r="E786" s="190"/>
      <c r="G786" s="70"/>
      <c r="H786" s="70"/>
      <c r="J786" s="70"/>
      <c r="L786" s="71"/>
      <c r="N786" s="65"/>
      <c r="O786" s="64"/>
    </row>
    <row r="787" spans="1:15" ht="15" customHeight="1" x14ac:dyDescent="0.2">
      <c r="A787" s="188"/>
      <c r="C787" s="189"/>
      <c r="E787" s="190"/>
      <c r="G787" s="70"/>
      <c r="H787" s="70"/>
      <c r="J787" s="70"/>
      <c r="L787" s="71"/>
      <c r="N787" s="65"/>
      <c r="O787" s="64"/>
    </row>
    <row r="788" spans="1:15" ht="15" customHeight="1" x14ac:dyDescent="0.2">
      <c r="A788" s="188"/>
      <c r="C788" s="189"/>
      <c r="E788" s="190"/>
      <c r="G788" s="70"/>
      <c r="H788" s="70"/>
      <c r="J788" s="70"/>
      <c r="L788" s="71"/>
      <c r="N788" s="65"/>
      <c r="O788" s="64"/>
    </row>
    <row r="789" spans="1:15" ht="15" customHeight="1" x14ac:dyDescent="0.2">
      <c r="A789" s="188"/>
      <c r="C789" s="189"/>
      <c r="E789" s="190"/>
      <c r="G789" s="70"/>
      <c r="H789" s="70"/>
      <c r="J789" s="70"/>
      <c r="L789" s="71"/>
      <c r="N789" s="65"/>
      <c r="O789" s="64"/>
    </row>
    <row r="790" spans="1:15" ht="15" customHeight="1" x14ac:dyDescent="0.2">
      <c r="A790" s="188"/>
      <c r="C790" s="189"/>
      <c r="E790" s="190"/>
      <c r="G790" s="70"/>
      <c r="H790" s="70"/>
      <c r="J790" s="70"/>
      <c r="L790" s="71"/>
      <c r="N790" s="65"/>
      <c r="O790" s="64"/>
    </row>
    <row r="791" spans="1:15" ht="15" customHeight="1" x14ac:dyDescent="0.2">
      <c r="A791" s="188"/>
      <c r="C791" s="189"/>
      <c r="E791" s="190"/>
      <c r="G791" s="70"/>
      <c r="H791" s="70"/>
      <c r="J791" s="70"/>
      <c r="L791" s="71"/>
      <c r="N791" s="65"/>
      <c r="O791" s="64"/>
    </row>
    <row r="792" spans="1:15" ht="15" customHeight="1" x14ac:dyDescent="0.2">
      <c r="A792" s="188"/>
      <c r="C792" s="189"/>
      <c r="E792" s="190"/>
      <c r="G792" s="70"/>
      <c r="H792" s="70"/>
      <c r="J792" s="70"/>
      <c r="L792" s="71"/>
      <c r="N792" s="65"/>
      <c r="O792" s="64"/>
    </row>
    <row r="793" spans="1:15" ht="15" customHeight="1" x14ac:dyDescent="0.2">
      <c r="A793" s="188"/>
      <c r="C793" s="189"/>
      <c r="E793" s="190"/>
      <c r="G793" s="70"/>
      <c r="H793" s="70"/>
      <c r="J793" s="70"/>
      <c r="L793" s="71"/>
      <c r="N793" s="65"/>
      <c r="O793" s="64"/>
    </row>
    <row r="794" spans="1:15" ht="15" customHeight="1" x14ac:dyDescent="0.2">
      <c r="A794" s="188"/>
      <c r="C794" s="189"/>
      <c r="E794" s="190"/>
      <c r="G794" s="70"/>
      <c r="H794" s="70"/>
      <c r="J794" s="70"/>
      <c r="L794" s="71"/>
      <c r="N794" s="65"/>
      <c r="O794" s="64"/>
    </row>
    <row r="795" spans="1:15" ht="15" customHeight="1" x14ac:dyDescent="0.2">
      <c r="A795" s="188"/>
      <c r="C795" s="189"/>
      <c r="E795" s="190"/>
      <c r="G795" s="70"/>
      <c r="H795" s="70"/>
      <c r="J795" s="70"/>
      <c r="L795" s="71"/>
      <c r="N795" s="65"/>
      <c r="O795" s="64"/>
    </row>
    <row r="796" spans="1:15" ht="15" customHeight="1" x14ac:dyDescent="0.2">
      <c r="A796" s="188"/>
      <c r="C796" s="189"/>
      <c r="E796" s="190"/>
      <c r="G796" s="70"/>
      <c r="H796" s="70"/>
      <c r="J796" s="70"/>
      <c r="L796" s="71"/>
      <c r="N796" s="65"/>
      <c r="O796" s="64"/>
    </row>
    <row r="797" spans="1:15" ht="15" customHeight="1" x14ac:dyDescent="0.2">
      <c r="A797" s="188"/>
      <c r="C797" s="189"/>
      <c r="E797" s="190"/>
      <c r="G797" s="70"/>
      <c r="H797" s="70"/>
      <c r="J797" s="70"/>
      <c r="L797" s="71"/>
      <c r="N797" s="65"/>
      <c r="O797" s="64"/>
    </row>
    <row r="798" spans="1:15" ht="15" customHeight="1" x14ac:dyDescent="0.2">
      <c r="A798" s="188"/>
      <c r="C798" s="189"/>
      <c r="E798" s="190"/>
      <c r="G798" s="70"/>
      <c r="H798" s="70"/>
      <c r="J798" s="70"/>
      <c r="L798" s="71"/>
      <c r="N798" s="65"/>
      <c r="O798" s="64"/>
    </row>
    <row r="799" spans="1:15" ht="15" customHeight="1" x14ac:dyDescent="0.2">
      <c r="A799" s="188"/>
      <c r="C799" s="189"/>
      <c r="E799" s="190"/>
      <c r="G799" s="70"/>
      <c r="H799" s="70"/>
      <c r="J799" s="70"/>
      <c r="L799" s="71"/>
      <c r="N799" s="65"/>
      <c r="O799" s="64"/>
    </row>
    <row r="800" spans="1:15" ht="15" customHeight="1" x14ac:dyDescent="0.2">
      <c r="A800" s="188"/>
      <c r="C800" s="189"/>
      <c r="E800" s="190"/>
      <c r="G800" s="70"/>
      <c r="H800" s="70"/>
      <c r="J800" s="70"/>
      <c r="L800" s="71"/>
      <c r="N800" s="65"/>
      <c r="O800" s="64"/>
    </row>
    <row r="801" spans="1:15" ht="15" customHeight="1" x14ac:dyDescent="0.2">
      <c r="A801" s="188"/>
      <c r="C801" s="189"/>
      <c r="E801" s="190"/>
      <c r="G801" s="70"/>
      <c r="H801" s="70"/>
      <c r="J801" s="70"/>
      <c r="L801" s="71"/>
      <c r="N801" s="65"/>
      <c r="O801" s="64"/>
    </row>
    <row r="802" spans="1:15" ht="15" customHeight="1" x14ac:dyDescent="0.2">
      <c r="A802" s="188"/>
      <c r="C802" s="189"/>
      <c r="E802" s="190"/>
      <c r="G802" s="70"/>
      <c r="H802" s="70"/>
      <c r="J802" s="70"/>
      <c r="L802" s="71"/>
      <c r="N802" s="65"/>
      <c r="O802" s="64"/>
    </row>
    <row r="803" spans="1:15" ht="15" customHeight="1" x14ac:dyDescent="0.2">
      <c r="A803" s="188"/>
      <c r="C803" s="189"/>
      <c r="E803" s="190"/>
      <c r="G803" s="70"/>
      <c r="H803" s="70"/>
      <c r="J803" s="70"/>
      <c r="L803" s="71"/>
      <c r="N803" s="65"/>
      <c r="O803" s="64"/>
    </row>
    <row r="804" spans="1:15" ht="15" customHeight="1" x14ac:dyDescent="0.2">
      <c r="A804" s="188"/>
      <c r="C804" s="189"/>
      <c r="E804" s="190"/>
      <c r="G804" s="70"/>
      <c r="H804" s="70"/>
      <c r="J804" s="70"/>
      <c r="L804" s="71"/>
      <c r="N804" s="65"/>
      <c r="O804" s="64"/>
    </row>
    <row r="805" spans="1:15" ht="15" customHeight="1" x14ac:dyDescent="0.2">
      <c r="A805" s="188"/>
      <c r="C805" s="189"/>
      <c r="E805" s="190"/>
      <c r="G805" s="70"/>
      <c r="H805" s="70"/>
      <c r="J805" s="70"/>
      <c r="L805" s="71"/>
      <c r="N805" s="65"/>
      <c r="O805" s="64"/>
    </row>
    <row r="806" spans="1:15" ht="15" customHeight="1" x14ac:dyDescent="0.2">
      <c r="A806" s="188"/>
      <c r="C806" s="189"/>
      <c r="E806" s="190"/>
      <c r="G806" s="70"/>
      <c r="H806" s="70"/>
      <c r="J806" s="70"/>
      <c r="L806" s="71"/>
      <c r="N806" s="65"/>
      <c r="O806" s="64"/>
    </row>
    <row r="807" spans="1:15" ht="15" customHeight="1" x14ac:dyDescent="0.2">
      <c r="A807" s="188"/>
      <c r="C807" s="189"/>
      <c r="E807" s="190"/>
      <c r="G807" s="70"/>
      <c r="H807" s="70"/>
      <c r="J807" s="70"/>
      <c r="L807" s="71"/>
      <c r="N807" s="65"/>
      <c r="O807" s="64"/>
    </row>
    <row r="808" spans="1:15" ht="15" customHeight="1" x14ac:dyDescent="0.2">
      <c r="A808" s="188"/>
      <c r="C808" s="189"/>
      <c r="E808" s="190"/>
      <c r="G808" s="70"/>
      <c r="H808" s="70"/>
      <c r="J808" s="70"/>
      <c r="L808" s="71"/>
      <c r="N808" s="65"/>
      <c r="O808" s="64"/>
    </row>
    <row r="809" spans="1:15" ht="15" customHeight="1" x14ac:dyDescent="0.2">
      <c r="A809" s="188"/>
      <c r="C809" s="189"/>
      <c r="E809" s="190"/>
      <c r="G809" s="70"/>
      <c r="H809" s="70"/>
      <c r="J809" s="70"/>
      <c r="L809" s="71"/>
      <c r="N809" s="65"/>
      <c r="O809" s="64"/>
    </row>
    <row r="810" spans="1:15" ht="15" customHeight="1" x14ac:dyDescent="0.2">
      <c r="A810" s="188"/>
      <c r="C810" s="189"/>
      <c r="E810" s="190"/>
      <c r="G810" s="70"/>
      <c r="H810" s="70"/>
      <c r="J810" s="70"/>
      <c r="L810" s="71"/>
      <c r="N810" s="65"/>
      <c r="O810" s="64"/>
    </row>
    <row r="811" spans="1:15" ht="15" customHeight="1" x14ac:dyDescent="0.2">
      <c r="A811" s="188"/>
      <c r="C811" s="189"/>
      <c r="E811" s="190"/>
      <c r="G811" s="70"/>
      <c r="H811" s="70"/>
      <c r="J811" s="70"/>
      <c r="L811" s="71"/>
      <c r="N811" s="65"/>
      <c r="O811" s="64"/>
    </row>
    <row r="812" spans="1:15" ht="15" customHeight="1" x14ac:dyDescent="0.2">
      <c r="A812" s="188"/>
      <c r="C812" s="189"/>
      <c r="E812" s="190"/>
      <c r="G812" s="70"/>
      <c r="H812" s="70"/>
      <c r="J812" s="70"/>
      <c r="L812" s="71"/>
      <c r="N812" s="65"/>
      <c r="O812" s="64"/>
    </row>
    <row r="813" spans="1:15" ht="15" customHeight="1" x14ac:dyDescent="0.2">
      <c r="A813" s="188"/>
      <c r="C813" s="189"/>
      <c r="E813" s="190"/>
      <c r="G813" s="70"/>
      <c r="H813" s="70"/>
      <c r="J813" s="70"/>
      <c r="L813" s="71"/>
      <c r="N813" s="65"/>
      <c r="O813" s="64"/>
    </row>
    <row r="814" spans="1:15" ht="15" customHeight="1" x14ac:dyDescent="0.2">
      <c r="A814" s="188"/>
      <c r="C814" s="189"/>
      <c r="E814" s="190"/>
      <c r="G814" s="70"/>
      <c r="H814" s="70"/>
      <c r="J814" s="70"/>
      <c r="L814" s="71"/>
      <c r="N814" s="65"/>
      <c r="O814" s="64"/>
    </row>
    <row r="815" spans="1:15" ht="15" customHeight="1" x14ac:dyDescent="0.2">
      <c r="A815" s="188"/>
      <c r="C815" s="189"/>
      <c r="E815" s="190"/>
      <c r="G815" s="70"/>
      <c r="H815" s="70"/>
      <c r="J815" s="70"/>
      <c r="L815" s="71"/>
      <c r="N815" s="65"/>
      <c r="O815" s="64"/>
    </row>
    <row r="816" spans="1:15" ht="15" customHeight="1" x14ac:dyDescent="0.2">
      <c r="A816" s="188"/>
      <c r="C816" s="189"/>
      <c r="E816" s="190"/>
      <c r="G816" s="70"/>
      <c r="H816" s="70"/>
      <c r="J816" s="70"/>
      <c r="L816" s="71"/>
      <c r="N816" s="65"/>
      <c r="O816" s="64"/>
    </row>
    <row r="817" spans="1:15" ht="15" customHeight="1" x14ac:dyDescent="0.2">
      <c r="A817" s="188"/>
      <c r="C817" s="189"/>
      <c r="E817" s="190"/>
      <c r="G817" s="70"/>
      <c r="H817" s="70"/>
      <c r="J817" s="70"/>
      <c r="L817" s="71"/>
      <c r="N817" s="65"/>
      <c r="O817" s="64"/>
    </row>
    <row r="818" spans="1:15" ht="15" customHeight="1" x14ac:dyDescent="0.2">
      <c r="A818" s="188"/>
      <c r="C818" s="189"/>
      <c r="E818" s="190"/>
      <c r="G818" s="70"/>
      <c r="H818" s="70"/>
      <c r="J818" s="70"/>
      <c r="L818" s="71"/>
      <c r="N818" s="65"/>
      <c r="O818" s="64"/>
    </row>
    <row r="819" spans="1:15" ht="15" customHeight="1" x14ac:dyDescent="0.2">
      <c r="A819" s="188"/>
      <c r="C819" s="189"/>
      <c r="E819" s="190"/>
      <c r="G819" s="70"/>
      <c r="H819" s="70"/>
      <c r="J819" s="70"/>
      <c r="L819" s="71"/>
      <c r="N819" s="65"/>
      <c r="O819" s="64"/>
    </row>
    <row r="820" spans="1:15" ht="15" customHeight="1" x14ac:dyDescent="0.2">
      <c r="A820" s="188"/>
      <c r="C820" s="189"/>
      <c r="E820" s="190"/>
      <c r="G820" s="70"/>
      <c r="H820" s="70"/>
      <c r="J820" s="70"/>
      <c r="L820" s="71"/>
      <c r="N820" s="65"/>
      <c r="O820" s="64"/>
    </row>
    <row r="821" spans="1:15" ht="15" customHeight="1" x14ac:dyDescent="0.2">
      <c r="A821" s="188"/>
      <c r="C821" s="189"/>
      <c r="E821" s="190"/>
      <c r="G821" s="70"/>
      <c r="H821" s="70"/>
      <c r="J821" s="70"/>
      <c r="L821" s="71"/>
      <c r="N821" s="65"/>
      <c r="O821" s="64"/>
    </row>
    <row r="822" spans="1:15" ht="15" customHeight="1" x14ac:dyDescent="0.2">
      <c r="A822" s="188"/>
      <c r="C822" s="189"/>
      <c r="E822" s="190"/>
      <c r="G822" s="70"/>
      <c r="H822" s="70"/>
      <c r="J822" s="70"/>
      <c r="L822" s="71"/>
      <c r="N822" s="65"/>
      <c r="O822" s="64"/>
    </row>
    <row r="823" spans="1:15" ht="15" customHeight="1" x14ac:dyDescent="0.2">
      <c r="A823" s="188"/>
      <c r="C823" s="189"/>
      <c r="E823" s="190"/>
      <c r="G823" s="70"/>
      <c r="H823" s="70"/>
      <c r="J823" s="70"/>
      <c r="L823" s="71"/>
      <c r="N823" s="65"/>
      <c r="O823" s="64"/>
    </row>
    <row r="824" spans="1:15" ht="15" customHeight="1" x14ac:dyDescent="0.2">
      <c r="A824" s="188"/>
      <c r="C824" s="189"/>
      <c r="E824" s="190"/>
      <c r="G824" s="70"/>
      <c r="H824" s="70"/>
      <c r="J824" s="70"/>
      <c r="L824" s="71"/>
      <c r="N824" s="65"/>
      <c r="O824" s="64"/>
    </row>
    <row r="825" spans="1:15" ht="15" customHeight="1" x14ac:dyDescent="0.2">
      <c r="A825" s="188"/>
      <c r="C825" s="189"/>
      <c r="E825" s="190"/>
      <c r="G825" s="70"/>
      <c r="H825" s="70"/>
      <c r="J825" s="70"/>
      <c r="L825" s="71"/>
      <c r="N825" s="65"/>
      <c r="O825" s="64"/>
    </row>
    <row r="826" spans="1:15" ht="15" customHeight="1" x14ac:dyDescent="0.2">
      <c r="A826" s="188"/>
      <c r="C826" s="189"/>
      <c r="E826" s="190"/>
      <c r="G826" s="70"/>
      <c r="H826" s="70"/>
      <c r="J826" s="70"/>
      <c r="L826" s="71"/>
      <c r="N826" s="65"/>
      <c r="O826" s="64"/>
    </row>
    <row r="827" spans="1:15" ht="15" customHeight="1" x14ac:dyDescent="0.2">
      <c r="A827" s="188"/>
      <c r="C827" s="189"/>
      <c r="E827" s="190"/>
      <c r="G827" s="70"/>
      <c r="H827" s="70"/>
      <c r="J827" s="70"/>
      <c r="L827" s="71"/>
      <c r="N827" s="65"/>
      <c r="O827" s="64"/>
    </row>
    <row r="828" spans="1:15" ht="15" customHeight="1" x14ac:dyDescent="0.2">
      <c r="A828" s="188"/>
      <c r="C828" s="189"/>
      <c r="E828" s="190"/>
      <c r="G828" s="70"/>
      <c r="H828" s="70"/>
      <c r="J828" s="70"/>
      <c r="L828" s="71"/>
      <c r="N828" s="65"/>
      <c r="O828" s="64"/>
    </row>
    <row r="829" spans="1:15" ht="15" customHeight="1" x14ac:dyDescent="0.2">
      <c r="A829" s="188"/>
      <c r="C829" s="189"/>
      <c r="E829" s="190"/>
      <c r="G829" s="70"/>
      <c r="H829" s="70"/>
      <c r="J829" s="70"/>
      <c r="L829" s="71"/>
      <c r="N829" s="65"/>
      <c r="O829" s="64"/>
    </row>
    <row r="830" spans="1:15" ht="15" customHeight="1" x14ac:dyDescent="0.2">
      <c r="A830" s="188"/>
      <c r="C830" s="189"/>
      <c r="E830" s="190"/>
      <c r="G830" s="70"/>
      <c r="H830" s="70"/>
      <c r="J830" s="70"/>
      <c r="L830" s="71"/>
      <c r="N830" s="65"/>
      <c r="O830" s="64"/>
    </row>
    <row r="831" spans="1:15" ht="15" customHeight="1" x14ac:dyDescent="0.2">
      <c r="A831" s="188"/>
      <c r="C831" s="189"/>
      <c r="E831" s="190"/>
      <c r="G831" s="70"/>
      <c r="H831" s="70"/>
      <c r="J831" s="70"/>
      <c r="L831" s="71"/>
      <c r="N831" s="65"/>
      <c r="O831" s="64"/>
    </row>
    <row r="832" spans="1:15" ht="15" customHeight="1" x14ac:dyDescent="0.2">
      <c r="A832" s="188"/>
      <c r="C832" s="189"/>
      <c r="E832" s="190"/>
      <c r="G832" s="70"/>
      <c r="H832" s="70"/>
      <c r="J832" s="70"/>
      <c r="L832" s="71"/>
      <c r="N832" s="65"/>
      <c r="O832" s="64"/>
    </row>
    <row r="833" spans="1:15" ht="15" customHeight="1" x14ac:dyDescent="0.2">
      <c r="A833" s="188"/>
      <c r="C833" s="189"/>
      <c r="E833" s="190"/>
      <c r="G833" s="70"/>
      <c r="H833" s="70"/>
      <c r="J833" s="70"/>
      <c r="L833" s="71"/>
      <c r="N833" s="65"/>
      <c r="O833" s="64"/>
    </row>
    <row r="834" spans="1:15" ht="15" customHeight="1" x14ac:dyDescent="0.2">
      <c r="A834" s="188"/>
      <c r="C834" s="189"/>
      <c r="E834" s="190"/>
      <c r="G834" s="70"/>
      <c r="H834" s="70"/>
      <c r="J834" s="70"/>
      <c r="L834" s="71"/>
      <c r="N834" s="65"/>
      <c r="O834" s="64"/>
    </row>
    <row r="835" spans="1:15" ht="15" customHeight="1" x14ac:dyDescent="0.2">
      <c r="A835" s="188"/>
      <c r="C835" s="189"/>
      <c r="E835" s="190"/>
      <c r="G835" s="70"/>
      <c r="H835" s="70"/>
      <c r="J835" s="70"/>
      <c r="L835" s="71"/>
      <c r="N835" s="65"/>
      <c r="O835" s="64"/>
    </row>
    <row r="836" spans="1:15" ht="15" customHeight="1" x14ac:dyDescent="0.2">
      <c r="A836" s="188"/>
      <c r="C836" s="189"/>
      <c r="E836" s="190"/>
      <c r="G836" s="70"/>
      <c r="H836" s="70"/>
      <c r="J836" s="70"/>
      <c r="L836" s="71"/>
      <c r="N836" s="65"/>
      <c r="O836" s="64"/>
    </row>
    <row r="837" spans="1:15" ht="15" customHeight="1" x14ac:dyDescent="0.2">
      <c r="A837" s="188"/>
      <c r="C837" s="189"/>
      <c r="E837" s="190"/>
      <c r="G837" s="70"/>
      <c r="H837" s="70"/>
      <c r="J837" s="70"/>
      <c r="L837" s="71"/>
      <c r="N837" s="65"/>
      <c r="O837" s="64"/>
    </row>
    <row r="838" spans="1:15" ht="15" customHeight="1" x14ac:dyDescent="0.2">
      <c r="A838" s="188"/>
      <c r="C838" s="189"/>
      <c r="E838" s="190"/>
      <c r="G838" s="70"/>
      <c r="H838" s="70"/>
      <c r="J838" s="70"/>
      <c r="L838" s="71"/>
      <c r="N838" s="65"/>
      <c r="O838" s="64"/>
    </row>
    <row r="839" spans="1:15" ht="15" customHeight="1" x14ac:dyDescent="0.2">
      <c r="A839" s="188"/>
      <c r="C839" s="189"/>
      <c r="E839" s="190"/>
      <c r="G839" s="70"/>
      <c r="H839" s="70"/>
      <c r="J839" s="70"/>
      <c r="L839" s="71"/>
      <c r="N839" s="65"/>
      <c r="O839" s="64"/>
    </row>
    <row r="840" spans="1:15" ht="15" customHeight="1" x14ac:dyDescent="0.2">
      <c r="A840" s="188"/>
      <c r="C840" s="189"/>
      <c r="E840" s="190"/>
      <c r="G840" s="70"/>
      <c r="H840" s="70"/>
      <c r="J840" s="70"/>
      <c r="L840" s="71"/>
      <c r="N840" s="65"/>
      <c r="O840" s="64"/>
    </row>
    <row r="841" spans="1:15" ht="15" customHeight="1" x14ac:dyDescent="0.2">
      <c r="A841" s="188"/>
      <c r="C841" s="189"/>
      <c r="E841" s="190"/>
      <c r="G841" s="70"/>
      <c r="H841" s="70"/>
      <c r="J841" s="70"/>
      <c r="L841" s="71"/>
      <c r="N841" s="65"/>
      <c r="O841" s="64"/>
    </row>
    <row r="842" spans="1:15" ht="15" customHeight="1" x14ac:dyDescent="0.2">
      <c r="A842" s="188"/>
      <c r="C842" s="189"/>
      <c r="E842" s="190"/>
      <c r="G842" s="70"/>
      <c r="H842" s="70"/>
      <c r="J842" s="70"/>
      <c r="L842" s="71"/>
      <c r="N842" s="65"/>
      <c r="O842" s="64"/>
    </row>
    <row r="843" spans="1:15" ht="15" customHeight="1" x14ac:dyDescent="0.2">
      <c r="A843" s="188"/>
      <c r="C843" s="189"/>
      <c r="E843" s="190"/>
      <c r="G843" s="70"/>
      <c r="H843" s="70"/>
      <c r="J843" s="70"/>
      <c r="L843" s="71"/>
      <c r="N843" s="65"/>
      <c r="O843" s="64"/>
    </row>
    <row r="844" spans="1:15" ht="15" customHeight="1" x14ac:dyDescent="0.2">
      <c r="A844" s="188"/>
      <c r="C844" s="189"/>
      <c r="E844" s="190"/>
      <c r="G844" s="70"/>
      <c r="H844" s="70"/>
      <c r="J844" s="70"/>
      <c r="L844" s="71"/>
      <c r="N844" s="65"/>
      <c r="O844" s="64"/>
    </row>
    <row r="845" spans="1:15" ht="15" customHeight="1" x14ac:dyDescent="0.2">
      <c r="A845" s="188"/>
      <c r="C845" s="189"/>
      <c r="E845" s="190"/>
      <c r="G845" s="70"/>
      <c r="H845" s="70"/>
      <c r="J845" s="70"/>
      <c r="L845" s="71"/>
      <c r="N845" s="65"/>
      <c r="O845" s="64"/>
    </row>
    <row r="846" spans="1:15" ht="15" customHeight="1" x14ac:dyDescent="0.2">
      <c r="A846" s="188"/>
      <c r="C846" s="189"/>
      <c r="E846" s="190"/>
      <c r="G846" s="70"/>
      <c r="H846" s="70"/>
      <c r="J846" s="70"/>
      <c r="L846" s="71"/>
      <c r="N846" s="65"/>
      <c r="O846" s="64"/>
    </row>
    <row r="847" spans="1:15" ht="15" customHeight="1" x14ac:dyDescent="0.2">
      <c r="A847" s="188"/>
      <c r="C847" s="189"/>
      <c r="E847" s="190"/>
      <c r="G847" s="70"/>
      <c r="H847" s="70"/>
      <c r="J847" s="70"/>
      <c r="L847" s="71"/>
      <c r="N847" s="65"/>
      <c r="O847" s="64"/>
    </row>
    <row r="848" spans="1:15" ht="15" customHeight="1" x14ac:dyDescent="0.2">
      <c r="A848" s="188"/>
      <c r="C848" s="189"/>
      <c r="E848" s="190"/>
      <c r="G848" s="70"/>
      <c r="H848" s="70"/>
      <c r="J848" s="70"/>
      <c r="L848" s="71"/>
      <c r="N848" s="65"/>
      <c r="O848" s="64"/>
    </row>
    <row r="849" spans="1:15" ht="15" customHeight="1" x14ac:dyDescent="0.2">
      <c r="A849" s="188"/>
      <c r="C849" s="189"/>
      <c r="E849" s="190"/>
      <c r="G849" s="70"/>
      <c r="H849" s="70"/>
      <c r="J849" s="70"/>
      <c r="L849" s="71"/>
      <c r="N849" s="65"/>
      <c r="O849" s="64"/>
    </row>
    <row r="850" spans="1:15" ht="15" customHeight="1" x14ac:dyDescent="0.2">
      <c r="A850" s="188"/>
      <c r="C850" s="189"/>
      <c r="E850" s="190"/>
      <c r="G850" s="70"/>
      <c r="H850" s="70"/>
      <c r="J850" s="70"/>
      <c r="L850" s="71"/>
      <c r="N850" s="65"/>
      <c r="O850" s="64"/>
    </row>
    <row r="851" spans="1:15" ht="15" customHeight="1" x14ac:dyDescent="0.2">
      <c r="A851" s="188"/>
      <c r="C851" s="189"/>
      <c r="E851" s="190"/>
      <c r="G851" s="70"/>
      <c r="H851" s="70"/>
      <c r="J851" s="70"/>
      <c r="L851" s="71"/>
      <c r="N851" s="65"/>
      <c r="O851" s="64"/>
    </row>
    <row r="852" spans="1:15" ht="15" customHeight="1" x14ac:dyDescent="0.2">
      <c r="A852" s="188"/>
      <c r="C852" s="189"/>
      <c r="E852" s="190"/>
      <c r="G852" s="70"/>
      <c r="H852" s="70"/>
      <c r="J852" s="70"/>
      <c r="L852" s="71"/>
      <c r="N852" s="65"/>
      <c r="O852" s="64"/>
    </row>
    <row r="853" spans="1:15" ht="15" customHeight="1" x14ac:dyDescent="0.2">
      <c r="A853" s="188"/>
      <c r="C853" s="189"/>
      <c r="E853" s="190"/>
      <c r="G853" s="70"/>
      <c r="H853" s="70"/>
      <c r="J853" s="70"/>
      <c r="L853" s="71"/>
      <c r="N853" s="65"/>
      <c r="O853" s="64"/>
    </row>
    <row r="854" spans="1:15" ht="15" customHeight="1" x14ac:dyDescent="0.2">
      <c r="A854" s="188"/>
      <c r="C854" s="189"/>
      <c r="E854" s="190"/>
      <c r="G854" s="70"/>
      <c r="H854" s="70"/>
      <c r="J854" s="70"/>
      <c r="L854" s="71"/>
      <c r="N854" s="65"/>
      <c r="O854" s="64"/>
    </row>
    <row r="855" spans="1:15" ht="15" customHeight="1" x14ac:dyDescent="0.2">
      <c r="A855" s="188"/>
      <c r="C855" s="189"/>
      <c r="E855" s="190"/>
      <c r="G855" s="70"/>
      <c r="H855" s="70"/>
      <c r="J855" s="70"/>
      <c r="L855" s="71"/>
      <c r="N855" s="65"/>
      <c r="O855" s="64"/>
    </row>
    <row r="856" spans="1:15" ht="15" customHeight="1" x14ac:dyDescent="0.2">
      <c r="A856" s="188"/>
      <c r="C856" s="189"/>
      <c r="E856" s="190"/>
      <c r="G856" s="70"/>
      <c r="H856" s="70"/>
      <c r="J856" s="70"/>
      <c r="L856" s="71"/>
      <c r="N856" s="65"/>
      <c r="O856" s="64"/>
    </row>
    <row r="857" spans="1:15" ht="15" customHeight="1" x14ac:dyDescent="0.2">
      <c r="A857" s="188"/>
      <c r="C857" s="189"/>
      <c r="E857" s="190"/>
      <c r="G857" s="70"/>
      <c r="H857" s="70"/>
      <c r="J857" s="70"/>
      <c r="L857" s="71"/>
      <c r="N857" s="65"/>
      <c r="O857" s="64"/>
    </row>
    <row r="858" spans="1:15" ht="15" customHeight="1" x14ac:dyDescent="0.2">
      <c r="A858" s="188"/>
      <c r="C858" s="189"/>
      <c r="E858" s="190"/>
      <c r="G858" s="70"/>
      <c r="H858" s="70"/>
      <c r="J858" s="70"/>
      <c r="L858" s="71"/>
      <c r="N858" s="65"/>
      <c r="O858" s="64"/>
    </row>
    <row r="859" spans="1:15" ht="15" customHeight="1" x14ac:dyDescent="0.2">
      <c r="A859" s="188"/>
      <c r="C859" s="189"/>
      <c r="E859" s="190"/>
      <c r="G859" s="70"/>
      <c r="H859" s="70"/>
      <c r="J859" s="70"/>
      <c r="L859" s="71"/>
      <c r="N859" s="65"/>
      <c r="O859" s="64"/>
    </row>
    <row r="860" spans="1:15" ht="15" customHeight="1" x14ac:dyDescent="0.2">
      <c r="A860" s="188"/>
      <c r="C860" s="189"/>
      <c r="E860" s="190"/>
      <c r="G860" s="70"/>
      <c r="H860" s="70"/>
      <c r="J860" s="70"/>
      <c r="L860" s="71"/>
      <c r="N860" s="65"/>
      <c r="O860" s="64"/>
    </row>
    <row r="861" spans="1:15" ht="15" customHeight="1" x14ac:dyDescent="0.2">
      <c r="A861" s="188"/>
      <c r="C861" s="189"/>
      <c r="E861" s="190"/>
      <c r="G861" s="70"/>
      <c r="H861" s="70"/>
      <c r="J861" s="70"/>
      <c r="L861" s="71"/>
      <c r="N861" s="65"/>
      <c r="O861" s="64"/>
    </row>
    <row r="862" spans="1:15" ht="15" customHeight="1" x14ac:dyDescent="0.2">
      <c r="A862" s="188"/>
      <c r="C862" s="189"/>
      <c r="E862" s="190"/>
      <c r="G862" s="70"/>
      <c r="H862" s="70"/>
      <c r="J862" s="70"/>
      <c r="L862" s="71"/>
      <c r="N862" s="65"/>
      <c r="O862" s="64"/>
    </row>
    <row r="863" spans="1:15" ht="15" customHeight="1" x14ac:dyDescent="0.2">
      <c r="A863" s="188"/>
      <c r="C863" s="189"/>
      <c r="E863" s="190"/>
      <c r="G863" s="70"/>
      <c r="H863" s="70"/>
      <c r="J863" s="70"/>
      <c r="L863" s="71"/>
      <c r="N863" s="65"/>
      <c r="O863" s="64"/>
    </row>
    <row r="864" spans="1:15" ht="15" customHeight="1" x14ac:dyDescent="0.2">
      <c r="A864" s="188"/>
      <c r="C864" s="189"/>
      <c r="E864" s="190"/>
      <c r="G864" s="70"/>
      <c r="H864" s="70"/>
      <c r="J864" s="70"/>
      <c r="L864" s="71"/>
      <c r="N864" s="65"/>
      <c r="O864" s="64"/>
    </row>
    <row r="865" spans="1:15" ht="15" customHeight="1" x14ac:dyDescent="0.2">
      <c r="A865" s="188"/>
      <c r="C865" s="189"/>
      <c r="E865" s="190"/>
      <c r="G865" s="70"/>
      <c r="H865" s="70"/>
      <c r="J865" s="70"/>
      <c r="L865" s="71"/>
      <c r="N865" s="65"/>
      <c r="O865" s="64"/>
    </row>
    <row r="866" spans="1:15" ht="15" customHeight="1" x14ac:dyDescent="0.2">
      <c r="A866" s="188"/>
      <c r="C866" s="189"/>
      <c r="E866" s="190"/>
      <c r="G866" s="70"/>
      <c r="H866" s="70"/>
      <c r="J866" s="70"/>
      <c r="L866" s="71"/>
      <c r="N866" s="65"/>
      <c r="O866" s="64"/>
    </row>
    <row r="867" spans="1:15" ht="15" customHeight="1" x14ac:dyDescent="0.2">
      <c r="A867" s="188"/>
      <c r="C867" s="189"/>
      <c r="E867" s="190"/>
      <c r="G867" s="70"/>
      <c r="H867" s="70"/>
      <c r="J867" s="70"/>
      <c r="L867" s="71"/>
      <c r="N867" s="65"/>
      <c r="O867" s="64"/>
    </row>
    <row r="868" spans="1:15" ht="15" customHeight="1" x14ac:dyDescent="0.2">
      <c r="A868" s="188"/>
      <c r="C868" s="189"/>
      <c r="E868" s="190"/>
      <c r="G868" s="70"/>
      <c r="H868" s="70"/>
      <c r="J868" s="70"/>
      <c r="L868" s="71"/>
      <c r="N868" s="65"/>
      <c r="O868" s="64"/>
    </row>
    <row r="869" spans="1:15" ht="15" customHeight="1" x14ac:dyDescent="0.2">
      <c r="A869" s="188"/>
      <c r="C869" s="189"/>
      <c r="E869" s="190"/>
      <c r="G869" s="70"/>
      <c r="H869" s="70"/>
      <c r="J869" s="70"/>
      <c r="L869" s="71"/>
      <c r="N869" s="65"/>
      <c r="O869" s="64"/>
    </row>
    <row r="870" spans="1:15" ht="15" customHeight="1" x14ac:dyDescent="0.2">
      <c r="A870" s="188"/>
      <c r="C870" s="189"/>
      <c r="E870" s="190"/>
      <c r="G870" s="70"/>
      <c r="H870" s="70"/>
      <c r="J870" s="70"/>
      <c r="L870" s="71"/>
      <c r="N870" s="65"/>
      <c r="O870" s="64"/>
    </row>
    <row r="871" spans="1:15" ht="15" customHeight="1" x14ac:dyDescent="0.2">
      <c r="A871" s="188"/>
      <c r="C871" s="189"/>
      <c r="E871" s="190"/>
      <c r="G871" s="70"/>
      <c r="H871" s="70"/>
      <c r="J871" s="70"/>
      <c r="L871" s="71"/>
      <c r="N871" s="65"/>
      <c r="O871" s="64"/>
    </row>
    <row r="872" spans="1:15" ht="15" customHeight="1" x14ac:dyDescent="0.2">
      <c r="A872" s="188"/>
      <c r="C872" s="189"/>
      <c r="E872" s="190"/>
      <c r="G872" s="70"/>
      <c r="H872" s="70"/>
      <c r="J872" s="70"/>
      <c r="L872" s="71"/>
      <c r="N872" s="65"/>
      <c r="O872" s="64"/>
    </row>
    <row r="873" spans="1:15" ht="15" customHeight="1" x14ac:dyDescent="0.2">
      <c r="A873" s="188"/>
      <c r="C873" s="189"/>
      <c r="E873" s="190"/>
      <c r="G873" s="70"/>
      <c r="H873" s="70"/>
      <c r="J873" s="70"/>
      <c r="L873" s="71"/>
      <c r="N873" s="65"/>
      <c r="O873" s="64"/>
    </row>
    <row r="874" spans="1:15" ht="15" customHeight="1" x14ac:dyDescent="0.2">
      <c r="A874" s="188"/>
      <c r="C874" s="189"/>
      <c r="E874" s="190"/>
      <c r="G874" s="70"/>
      <c r="H874" s="70"/>
      <c r="J874" s="70"/>
      <c r="L874" s="71"/>
      <c r="N874" s="65"/>
      <c r="O874" s="64"/>
    </row>
    <row r="875" spans="1:15" ht="15" customHeight="1" x14ac:dyDescent="0.2">
      <c r="A875" s="188"/>
      <c r="C875" s="189"/>
      <c r="E875" s="190"/>
      <c r="G875" s="70"/>
      <c r="H875" s="70"/>
      <c r="J875" s="70"/>
      <c r="L875" s="71"/>
      <c r="N875" s="65"/>
      <c r="O875" s="64"/>
    </row>
    <row r="876" spans="1:15" ht="15" customHeight="1" x14ac:dyDescent="0.2">
      <c r="A876" s="188"/>
      <c r="C876" s="189"/>
      <c r="E876" s="190"/>
      <c r="G876" s="70"/>
      <c r="H876" s="70"/>
      <c r="J876" s="70"/>
      <c r="L876" s="71"/>
      <c r="N876" s="65"/>
      <c r="O876" s="64"/>
    </row>
    <row r="877" spans="1:15" ht="15" customHeight="1" x14ac:dyDescent="0.2">
      <c r="A877" s="188"/>
      <c r="C877" s="189"/>
      <c r="E877" s="190"/>
      <c r="G877" s="70"/>
      <c r="H877" s="70"/>
      <c r="J877" s="70"/>
      <c r="L877" s="71"/>
      <c r="N877" s="65"/>
      <c r="O877" s="64"/>
    </row>
    <row r="878" spans="1:15" ht="15" customHeight="1" x14ac:dyDescent="0.2">
      <c r="A878" s="188"/>
      <c r="C878" s="189"/>
      <c r="E878" s="190"/>
      <c r="G878" s="70"/>
      <c r="H878" s="70"/>
      <c r="J878" s="70"/>
      <c r="L878" s="71"/>
      <c r="N878" s="65"/>
      <c r="O878" s="64"/>
    </row>
    <row r="879" spans="1:15" ht="15" customHeight="1" x14ac:dyDescent="0.2">
      <c r="A879" s="188"/>
      <c r="C879" s="189"/>
      <c r="E879" s="190"/>
      <c r="G879" s="70"/>
      <c r="H879" s="70"/>
      <c r="J879" s="70"/>
      <c r="L879" s="71"/>
      <c r="N879" s="65"/>
      <c r="O879" s="64"/>
    </row>
    <row r="880" spans="1:15" ht="15" customHeight="1" x14ac:dyDescent="0.2">
      <c r="A880" s="188"/>
      <c r="C880" s="189"/>
      <c r="E880" s="190"/>
      <c r="G880" s="70"/>
      <c r="H880" s="70"/>
      <c r="J880" s="70"/>
      <c r="L880" s="71"/>
      <c r="N880" s="65"/>
      <c r="O880" s="64"/>
    </row>
    <row r="881" spans="1:15" ht="15" customHeight="1" x14ac:dyDescent="0.2">
      <c r="A881" s="188"/>
      <c r="C881" s="189"/>
      <c r="E881" s="190"/>
      <c r="G881" s="70"/>
      <c r="H881" s="70"/>
      <c r="J881" s="70"/>
      <c r="L881" s="71"/>
      <c r="N881" s="65"/>
      <c r="O881" s="64"/>
    </row>
    <row r="882" spans="1:15" ht="15" customHeight="1" x14ac:dyDescent="0.2">
      <c r="A882" s="188"/>
      <c r="C882" s="189"/>
      <c r="E882" s="190"/>
      <c r="G882" s="70"/>
      <c r="H882" s="70"/>
      <c r="J882" s="70"/>
      <c r="L882" s="71"/>
      <c r="N882" s="65"/>
      <c r="O882" s="64"/>
    </row>
    <row r="883" spans="1:15" ht="15" customHeight="1" x14ac:dyDescent="0.2">
      <c r="A883" s="188"/>
      <c r="C883" s="189"/>
      <c r="E883" s="190"/>
      <c r="G883" s="70"/>
      <c r="H883" s="70"/>
      <c r="J883" s="70"/>
      <c r="L883" s="71"/>
      <c r="N883" s="65"/>
      <c r="O883" s="64"/>
    </row>
    <row r="884" spans="1:15" ht="15" customHeight="1" x14ac:dyDescent="0.2">
      <c r="A884" s="188"/>
      <c r="C884" s="189"/>
      <c r="E884" s="190"/>
      <c r="G884" s="70"/>
      <c r="H884" s="70"/>
      <c r="J884" s="70"/>
      <c r="L884" s="71"/>
      <c r="N884" s="65"/>
      <c r="O884" s="64"/>
    </row>
    <row r="885" spans="1:15" ht="15" customHeight="1" x14ac:dyDescent="0.2">
      <c r="A885" s="188"/>
      <c r="C885" s="189"/>
      <c r="E885" s="190"/>
      <c r="G885" s="70"/>
      <c r="H885" s="70"/>
      <c r="J885" s="70"/>
      <c r="L885" s="71"/>
      <c r="N885" s="65"/>
      <c r="O885" s="64"/>
    </row>
    <row r="886" spans="1:15" ht="15" customHeight="1" x14ac:dyDescent="0.2">
      <c r="A886" s="188"/>
      <c r="C886" s="189"/>
      <c r="E886" s="190"/>
      <c r="G886" s="70"/>
      <c r="H886" s="70"/>
      <c r="J886" s="70"/>
      <c r="L886" s="71"/>
      <c r="N886" s="65"/>
      <c r="O886" s="64"/>
    </row>
    <row r="887" spans="1:15" ht="15" customHeight="1" x14ac:dyDescent="0.2">
      <c r="A887" s="188"/>
      <c r="C887" s="189"/>
      <c r="E887" s="190"/>
      <c r="G887" s="70"/>
      <c r="H887" s="70"/>
      <c r="J887" s="70"/>
      <c r="L887" s="71"/>
      <c r="N887" s="65"/>
      <c r="O887" s="64"/>
    </row>
    <row r="888" spans="1:15" ht="15" customHeight="1" x14ac:dyDescent="0.2">
      <c r="A888" s="188"/>
      <c r="C888" s="189"/>
      <c r="E888" s="190"/>
      <c r="G888" s="70"/>
      <c r="H888" s="70"/>
      <c r="J888" s="70"/>
      <c r="L888" s="71"/>
      <c r="N888" s="65"/>
      <c r="O888" s="64"/>
    </row>
    <row r="889" spans="1:15" ht="15" customHeight="1" x14ac:dyDescent="0.2">
      <c r="A889" s="188"/>
      <c r="C889" s="189"/>
      <c r="E889" s="190"/>
      <c r="G889" s="70"/>
      <c r="H889" s="70"/>
      <c r="J889" s="70"/>
      <c r="L889" s="71"/>
      <c r="N889" s="65"/>
      <c r="O889" s="64"/>
    </row>
    <row r="890" spans="1:15" ht="15" customHeight="1" x14ac:dyDescent="0.2">
      <c r="A890" s="188"/>
      <c r="C890" s="189"/>
      <c r="E890" s="190"/>
      <c r="G890" s="70"/>
      <c r="H890" s="70"/>
      <c r="J890" s="70"/>
      <c r="L890" s="71"/>
      <c r="N890" s="65"/>
      <c r="O890" s="64"/>
    </row>
    <row r="891" spans="1:15" ht="15" customHeight="1" x14ac:dyDescent="0.2">
      <c r="A891" s="188"/>
      <c r="C891" s="189"/>
      <c r="E891" s="190"/>
      <c r="G891" s="70"/>
      <c r="H891" s="70"/>
      <c r="J891" s="70"/>
      <c r="L891" s="71"/>
      <c r="N891" s="65"/>
      <c r="O891" s="64"/>
    </row>
    <row r="892" spans="1:15" ht="15" customHeight="1" x14ac:dyDescent="0.2">
      <c r="A892" s="188"/>
      <c r="C892" s="189"/>
      <c r="E892" s="190"/>
      <c r="G892" s="70"/>
      <c r="H892" s="70"/>
      <c r="J892" s="70"/>
      <c r="L892" s="71"/>
      <c r="N892" s="65"/>
      <c r="O892" s="64"/>
    </row>
    <row r="893" spans="1:15" ht="15" customHeight="1" x14ac:dyDescent="0.2">
      <c r="A893" s="188"/>
      <c r="C893" s="189"/>
      <c r="E893" s="190"/>
      <c r="G893" s="70"/>
      <c r="H893" s="70"/>
      <c r="J893" s="70"/>
      <c r="L893" s="71"/>
      <c r="N893" s="65"/>
      <c r="O893" s="64"/>
    </row>
    <row r="894" spans="1:15" ht="15" customHeight="1" x14ac:dyDescent="0.2">
      <c r="A894" s="188"/>
      <c r="C894" s="189"/>
      <c r="E894" s="190"/>
      <c r="G894" s="70"/>
      <c r="H894" s="70"/>
      <c r="J894" s="70"/>
      <c r="L894" s="71"/>
      <c r="N894" s="65"/>
      <c r="O894" s="64"/>
    </row>
    <row r="895" spans="1:15" ht="15" customHeight="1" x14ac:dyDescent="0.2">
      <c r="A895" s="188"/>
      <c r="C895" s="189"/>
      <c r="E895" s="190"/>
      <c r="G895" s="70"/>
      <c r="H895" s="70"/>
      <c r="J895" s="70"/>
      <c r="L895" s="71"/>
      <c r="N895" s="65"/>
      <c r="O895" s="64"/>
    </row>
    <row r="896" spans="1:15" ht="15" customHeight="1" x14ac:dyDescent="0.2">
      <c r="A896" s="188"/>
      <c r="C896" s="189"/>
      <c r="E896" s="190"/>
      <c r="G896" s="70"/>
      <c r="H896" s="70"/>
      <c r="J896" s="70"/>
      <c r="L896" s="71"/>
      <c r="N896" s="65"/>
      <c r="O896" s="64"/>
    </row>
    <row r="897" spans="1:15" ht="15" customHeight="1" x14ac:dyDescent="0.2">
      <c r="A897" s="188"/>
      <c r="C897" s="189"/>
      <c r="E897" s="190"/>
      <c r="G897" s="70"/>
      <c r="H897" s="70"/>
      <c r="J897" s="70"/>
      <c r="L897" s="71"/>
      <c r="N897" s="65"/>
      <c r="O897" s="64"/>
    </row>
    <row r="898" spans="1:15" ht="15" customHeight="1" x14ac:dyDescent="0.2">
      <c r="A898" s="188"/>
      <c r="C898" s="189"/>
      <c r="E898" s="190"/>
      <c r="G898" s="70"/>
      <c r="H898" s="70"/>
      <c r="J898" s="70"/>
      <c r="L898" s="71"/>
      <c r="N898" s="65"/>
      <c r="O898" s="64"/>
    </row>
    <row r="899" spans="1:15" ht="15" customHeight="1" x14ac:dyDescent="0.2">
      <c r="A899" s="188"/>
      <c r="C899" s="189"/>
      <c r="E899" s="190"/>
      <c r="G899" s="70"/>
      <c r="H899" s="70"/>
      <c r="J899" s="70"/>
      <c r="L899" s="71"/>
      <c r="N899" s="65"/>
      <c r="O899" s="64"/>
    </row>
    <row r="900" spans="1:15" ht="15" customHeight="1" x14ac:dyDescent="0.2">
      <c r="A900" s="188"/>
      <c r="C900" s="189"/>
      <c r="E900" s="190"/>
      <c r="G900" s="70"/>
      <c r="H900" s="70"/>
      <c r="J900" s="70"/>
      <c r="L900" s="71"/>
      <c r="N900" s="65"/>
      <c r="O900" s="64"/>
    </row>
    <row r="901" spans="1:15" ht="15" customHeight="1" x14ac:dyDescent="0.2">
      <c r="A901" s="188"/>
      <c r="C901" s="189"/>
      <c r="E901" s="190"/>
      <c r="G901" s="70"/>
      <c r="H901" s="70"/>
      <c r="J901" s="70"/>
      <c r="L901" s="71"/>
      <c r="N901" s="65"/>
      <c r="O901" s="64"/>
    </row>
    <row r="902" spans="1:15" ht="15" customHeight="1" x14ac:dyDescent="0.2">
      <c r="A902" s="188"/>
      <c r="C902" s="189"/>
      <c r="E902" s="190"/>
      <c r="G902" s="70"/>
      <c r="H902" s="70"/>
      <c r="J902" s="70"/>
      <c r="L902" s="71"/>
      <c r="N902" s="65"/>
      <c r="O902" s="64"/>
    </row>
    <row r="903" spans="1:15" ht="15" customHeight="1" x14ac:dyDescent="0.2">
      <c r="A903" s="188"/>
      <c r="C903" s="189"/>
      <c r="E903" s="190"/>
      <c r="G903" s="70"/>
      <c r="H903" s="70"/>
      <c r="J903" s="70"/>
      <c r="L903" s="71"/>
      <c r="N903" s="65"/>
      <c r="O903" s="64"/>
    </row>
    <row r="904" spans="1:15" ht="15" customHeight="1" x14ac:dyDescent="0.2">
      <c r="A904" s="188"/>
      <c r="C904" s="189"/>
      <c r="E904" s="190"/>
      <c r="G904" s="70"/>
      <c r="H904" s="70"/>
      <c r="J904" s="70"/>
      <c r="L904" s="71"/>
      <c r="N904" s="65"/>
      <c r="O904" s="64"/>
    </row>
    <row r="905" spans="1:15" ht="15" customHeight="1" x14ac:dyDescent="0.2">
      <c r="A905" s="188"/>
      <c r="C905" s="189"/>
      <c r="E905" s="190"/>
      <c r="G905" s="70"/>
      <c r="H905" s="70"/>
      <c r="J905" s="70"/>
      <c r="L905" s="71"/>
      <c r="N905" s="65"/>
      <c r="O905" s="64"/>
    </row>
    <row r="906" spans="1:15" ht="15" customHeight="1" x14ac:dyDescent="0.2">
      <c r="A906" s="188"/>
      <c r="C906" s="189"/>
      <c r="E906" s="190"/>
      <c r="G906" s="70"/>
      <c r="H906" s="70"/>
      <c r="J906" s="70"/>
      <c r="L906" s="71"/>
      <c r="N906" s="65"/>
      <c r="O906" s="64"/>
    </row>
    <row r="907" spans="1:15" ht="15" customHeight="1" x14ac:dyDescent="0.2">
      <c r="A907" s="188"/>
      <c r="C907" s="189"/>
      <c r="E907" s="190"/>
      <c r="G907" s="70"/>
      <c r="H907" s="70"/>
      <c r="J907" s="70"/>
      <c r="L907" s="71"/>
      <c r="N907" s="65"/>
      <c r="O907" s="64"/>
    </row>
    <row r="908" spans="1:15" ht="15" customHeight="1" x14ac:dyDescent="0.2">
      <c r="A908" s="188"/>
      <c r="C908" s="189"/>
      <c r="E908" s="190"/>
      <c r="G908" s="70"/>
      <c r="H908" s="70"/>
      <c r="J908" s="70"/>
      <c r="L908" s="71"/>
      <c r="N908" s="65"/>
      <c r="O908" s="64"/>
    </row>
    <row r="909" spans="1:15" ht="15" customHeight="1" x14ac:dyDescent="0.2">
      <c r="A909" s="188"/>
      <c r="C909" s="189"/>
      <c r="E909" s="190"/>
      <c r="G909" s="70"/>
      <c r="H909" s="70"/>
      <c r="J909" s="70"/>
      <c r="L909" s="71"/>
      <c r="N909" s="65"/>
      <c r="O909" s="64"/>
    </row>
    <row r="910" spans="1:15" ht="15" customHeight="1" x14ac:dyDescent="0.2">
      <c r="A910" s="188"/>
      <c r="C910" s="189"/>
      <c r="E910" s="190"/>
      <c r="G910" s="70"/>
      <c r="H910" s="70"/>
      <c r="J910" s="70"/>
      <c r="L910" s="71"/>
      <c r="N910" s="65"/>
      <c r="O910" s="64"/>
    </row>
    <row r="911" spans="1:15" ht="15" customHeight="1" x14ac:dyDescent="0.2">
      <c r="A911" s="188"/>
      <c r="C911" s="189"/>
      <c r="E911" s="190"/>
      <c r="G911" s="70"/>
      <c r="H911" s="70"/>
      <c r="J911" s="70"/>
      <c r="L911" s="71"/>
      <c r="N911" s="65"/>
      <c r="O911" s="64"/>
    </row>
    <row r="912" spans="1:15" ht="15" customHeight="1" x14ac:dyDescent="0.2">
      <c r="A912" s="188"/>
      <c r="C912" s="189"/>
      <c r="E912" s="190"/>
      <c r="G912" s="70"/>
      <c r="H912" s="70"/>
      <c r="J912" s="70"/>
      <c r="L912" s="71"/>
      <c r="N912" s="65"/>
      <c r="O912" s="64"/>
    </row>
    <row r="913" spans="1:15" ht="15" customHeight="1" x14ac:dyDescent="0.2">
      <c r="A913" s="188"/>
      <c r="C913" s="189"/>
      <c r="E913" s="190"/>
      <c r="G913" s="70"/>
      <c r="H913" s="70"/>
      <c r="J913" s="70"/>
      <c r="L913" s="71"/>
      <c r="N913" s="65"/>
      <c r="O913" s="64"/>
    </row>
    <row r="914" spans="1:15" ht="15" customHeight="1" x14ac:dyDescent="0.2">
      <c r="A914" s="188"/>
      <c r="C914" s="189"/>
      <c r="E914" s="190"/>
      <c r="G914" s="70"/>
      <c r="H914" s="70"/>
      <c r="J914" s="70"/>
      <c r="L914" s="71"/>
      <c r="N914" s="65"/>
      <c r="O914" s="64"/>
    </row>
    <row r="915" spans="1:15" ht="15" customHeight="1" x14ac:dyDescent="0.2">
      <c r="A915" s="188"/>
      <c r="C915" s="189"/>
      <c r="E915" s="190"/>
      <c r="G915" s="70"/>
      <c r="H915" s="70"/>
      <c r="J915" s="70"/>
      <c r="L915" s="71"/>
      <c r="N915" s="65"/>
      <c r="O915" s="64"/>
    </row>
    <row r="916" spans="1:15" ht="15" customHeight="1" x14ac:dyDescent="0.2">
      <c r="A916" s="188"/>
      <c r="C916" s="189"/>
      <c r="E916" s="190"/>
      <c r="G916" s="70"/>
      <c r="H916" s="70"/>
      <c r="J916" s="70"/>
      <c r="L916" s="71"/>
      <c r="N916" s="65"/>
      <c r="O916" s="64"/>
    </row>
    <row r="917" spans="1:15" ht="15" customHeight="1" x14ac:dyDescent="0.2">
      <c r="A917" s="188"/>
      <c r="C917" s="189"/>
      <c r="E917" s="190"/>
      <c r="G917" s="70"/>
      <c r="H917" s="70"/>
      <c r="J917" s="70"/>
      <c r="L917" s="71"/>
      <c r="N917" s="65"/>
      <c r="O917" s="64"/>
    </row>
    <row r="918" spans="1:15" ht="15" customHeight="1" x14ac:dyDescent="0.2">
      <c r="A918" s="188"/>
      <c r="C918" s="189"/>
      <c r="E918" s="190"/>
      <c r="G918" s="70"/>
      <c r="H918" s="70"/>
      <c r="J918" s="70"/>
      <c r="L918" s="71"/>
      <c r="N918" s="65"/>
      <c r="O918" s="64"/>
    </row>
    <row r="919" spans="1:15" ht="15" customHeight="1" x14ac:dyDescent="0.2">
      <c r="A919" s="188"/>
      <c r="C919" s="189"/>
      <c r="E919" s="190"/>
      <c r="G919" s="70"/>
      <c r="H919" s="70"/>
      <c r="J919" s="70"/>
      <c r="L919" s="71"/>
      <c r="N919" s="65"/>
      <c r="O919" s="64"/>
    </row>
    <row r="920" spans="1:15" ht="15" customHeight="1" x14ac:dyDescent="0.2">
      <c r="A920" s="188"/>
      <c r="C920" s="189"/>
      <c r="E920" s="190"/>
      <c r="G920" s="70"/>
      <c r="H920" s="70"/>
      <c r="J920" s="70"/>
      <c r="L920" s="71"/>
      <c r="N920" s="65"/>
      <c r="O920" s="64"/>
    </row>
    <row r="921" spans="1:15" ht="15" customHeight="1" x14ac:dyDescent="0.2">
      <c r="A921" s="188"/>
      <c r="C921" s="189"/>
      <c r="E921" s="190"/>
      <c r="G921" s="70"/>
      <c r="H921" s="70"/>
      <c r="J921" s="70"/>
      <c r="L921" s="71"/>
      <c r="N921" s="65"/>
      <c r="O921" s="64"/>
    </row>
    <row r="922" spans="1:15" ht="15" customHeight="1" x14ac:dyDescent="0.2">
      <c r="A922" s="188"/>
      <c r="C922" s="189"/>
      <c r="E922" s="190"/>
      <c r="G922" s="70"/>
      <c r="H922" s="70"/>
      <c r="J922" s="70"/>
      <c r="L922" s="71"/>
      <c r="N922" s="65"/>
      <c r="O922" s="64"/>
    </row>
    <row r="923" spans="1:15" ht="15" customHeight="1" x14ac:dyDescent="0.2">
      <c r="A923" s="188"/>
      <c r="C923" s="189"/>
      <c r="E923" s="190"/>
      <c r="G923" s="70"/>
      <c r="H923" s="70"/>
      <c r="J923" s="70"/>
      <c r="L923" s="71"/>
      <c r="N923" s="65"/>
      <c r="O923" s="64"/>
    </row>
    <row r="924" spans="1:15" ht="15" customHeight="1" x14ac:dyDescent="0.2">
      <c r="A924" s="188"/>
      <c r="C924" s="189"/>
      <c r="E924" s="190"/>
      <c r="G924" s="70"/>
      <c r="H924" s="70"/>
      <c r="J924" s="70"/>
      <c r="L924" s="71"/>
      <c r="N924" s="65"/>
      <c r="O924" s="64"/>
    </row>
    <row r="925" spans="1:15" ht="15" customHeight="1" x14ac:dyDescent="0.2">
      <c r="A925" s="188"/>
      <c r="C925" s="189"/>
      <c r="E925" s="190"/>
      <c r="G925" s="70"/>
      <c r="H925" s="70"/>
      <c r="J925" s="70"/>
      <c r="L925" s="71"/>
      <c r="N925" s="65"/>
      <c r="O925" s="64"/>
    </row>
    <row r="926" spans="1:15" ht="15" customHeight="1" x14ac:dyDescent="0.2">
      <c r="A926" s="188"/>
      <c r="C926" s="189"/>
      <c r="E926" s="190"/>
      <c r="G926" s="70"/>
      <c r="H926" s="70"/>
      <c r="J926" s="70"/>
      <c r="L926" s="71"/>
      <c r="N926" s="65"/>
      <c r="O926" s="64"/>
    </row>
    <row r="927" spans="1:15" ht="15" customHeight="1" x14ac:dyDescent="0.2">
      <c r="A927" s="188"/>
      <c r="C927" s="189"/>
      <c r="E927" s="190"/>
      <c r="G927" s="70"/>
      <c r="H927" s="70"/>
      <c r="J927" s="70"/>
      <c r="L927" s="71"/>
      <c r="N927" s="65"/>
      <c r="O927" s="64"/>
    </row>
    <row r="928" spans="1:15" ht="15" customHeight="1" x14ac:dyDescent="0.2">
      <c r="A928" s="188"/>
      <c r="C928" s="189"/>
      <c r="E928" s="190"/>
      <c r="G928" s="70"/>
      <c r="H928" s="70"/>
      <c r="J928" s="70"/>
      <c r="L928" s="71"/>
      <c r="N928" s="65"/>
      <c r="O928" s="64"/>
    </row>
    <row r="929" spans="1:15" ht="15" customHeight="1" x14ac:dyDescent="0.2">
      <c r="A929" s="188"/>
      <c r="C929" s="189"/>
      <c r="E929" s="190"/>
      <c r="G929" s="70"/>
      <c r="H929" s="70"/>
      <c r="J929" s="70"/>
      <c r="L929" s="71"/>
      <c r="N929" s="65"/>
      <c r="O929" s="64"/>
    </row>
    <row r="930" spans="1:15" ht="15" customHeight="1" x14ac:dyDescent="0.2">
      <c r="A930" s="188"/>
      <c r="C930" s="189"/>
      <c r="E930" s="190"/>
      <c r="G930" s="70"/>
      <c r="H930" s="70"/>
      <c r="J930" s="70"/>
      <c r="L930" s="71"/>
      <c r="N930" s="65"/>
      <c r="O930" s="64"/>
    </row>
    <row r="931" spans="1:15" ht="15" customHeight="1" x14ac:dyDescent="0.2">
      <c r="A931" s="188"/>
      <c r="C931" s="189"/>
      <c r="E931" s="190"/>
      <c r="G931" s="70"/>
      <c r="H931" s="70"/>
      <c r="J931" s="70"/>
      <c r="L931" s="71"/>
      <c r="N931" s="65"/>
      <c r="O931" s="64"/>
    </row>
    <row r="932" spans="1:15" ht="15" customHeight="1" x14ac:dyDescent="0.2">
      <c r="A932" s="188"/>
      <c r="C932" s="189"/>
      <c r="E932" s="190"/>
      <c r="G932" s="70"/>
      <c r="H932" s="70"/>
      <c r="J932" s="70"/>
      <c r="L932" s="71"/>
      <c r="N932" s="65"/>
      <c r="O932" s="64"/>
    </row>
    <row r="933" spans="1:15" ht="15" customHeight="1" x14ac:dyDescent="0.2">
      <c r="A933" s="188"/>
      <c r="C933" s="189"/>
      <c r="E933" s="190"/>
      <c r="G933" s="70"/>
      <c r="H933" s="70"/>
      <c r="J933" s="70"/>
      <c r="L933" s="71"/>
      <c r="N933" s="65"/>
      <c r="O933" s="64"/>
    </row>
    <row r="934" spans="1:15" ht="15" customHeight="1" x14ac:dyDescent="0.2">
      <c r="A934" s="188"/>
      <c r="C934" s="189"/>
      <c r="E934" s="190"/>
      <c r="G934" s="70"/>
      <c r="H934" s="70"/>
      <c r="J934" s="70"/>
      <c r="L934" s="71"/>
      <c r="N934" s="65"/>
      <c r="O934" s="64"/>
    </row>
    <row r="935" spans="1:15" ht="15" customHeight="1" x14ac:dyDescent="0.2">
      <c r="A935" s="188"/>
      <c r="C935" s="189"/>
      <c r="E935" s="190"/>
      <c r="G935" s="70"/>
      <c r="H935" s="70"/>
      <c r="J935" s="70"/>
      <c r="L935" s="71"/>
      <c r="N935" s="65"/>
      <c r="O935" s="64"/>
    </row>
    <row r="936" spans="1:15" ht="15" customHeight="1" x14ac:dyDescent="0.2">
      <c r="A936" s="188"/>
      <c r="C936" s="189"/>
      <c r="E936" s="190"/>
      <c r="G936" s="70"/>
      <c r="H936" s="70"/>
      <c r="J936" s="70"/>
      <c r="L936" s="71"/>
      <c r="N936" s="65"/>
      <c r="O936" s="64"/>
    </row>
    <row r="937" spans="1:15" ht="15" customHeight="1" x14ac:dyDescent="0.2">
      <c r="A937" s="188"/>
      <c r="C937" s="189"/>
      <c r="E937" s="190"/>
      <c r="G937" s="70"/>
      <c r="H937" s="70"/>
      <c r="J937" s="70"/>
      <c r="L937" s="71"/>
      <c r="N937" s="65"/>
      <c r="O937" s="64"/>
    </row>
    <row r="938" spans="1:15" ht="15" customHeight="1" x14ac:dyDescent="0.2">
      <c r="A938" s="188"/>
      <c r="C938" s="189"/>
      <c r="E938" s="190"/>
      <c r="G938" s="70"/>
      <c r="H938" s="70"/>
      <c r="J938" s="70"/>
      <c r="L938" s="71"/>
      <c r="N938" s="65"/>
      <c r="O938" s="64"/>
    </row>
    <row r="939" spans="1:15" ht="15" customHeight="1" x14ac:dyDescent="0.2">
      <c r="A939" s="188"/>
      <c r="C939" s="189"/>
      <c r="E939" s="190"/>
      <c r="G939" s="70"/>
      <c r="H939" s="70"/>
      <c r="J939" s="70"/>
      <c r="L939" s="71"/>
      <c r="N939" s="65"/>
      <c r="O939" s="64"/>
    </row>
    <row r="940" spans="1:15" ht="15" customHeight="1" x14ac:dyDescent="0.2">
      <c r="A940" s="188"/>
      <c r="C940" s="189"/>
      <c r="E940" s="190"/>
      <c r="G940" s="70"/>
      <c r="H940" s="70"/>
      <c r="J940" s="70"/>
      <c r="L940" s="71"/>
      <c r="N940" s="65"/>
      <c r="O940" s="64"/>
    </row>
    <row r="941" spans="1:15" ht="15" customHeight="1" x14ac:dyDescent="0.2">
      <c r="A941" s="188"/>
      <c r="C941" s="189"/>
      <c r="E941" s="190"/>
      <c r="G941" s="70"/>
      <c r="H941" s="70"/>
      <c r="J941" s="70"/>
      <c r="L941" s="71"/>
      <c r="N941" s="65"/>
      <c r="O941" s="64"/>
    </row>
    <row r="942" spans="1:15" ht="15" customHeight="1" x14ac:dyDescent="0.2">
      <c r="A942" s="188"/>
      <c r="C942" s="189"/>
      <c r="E942" s="190"/>
      <c r="G942" s="70"/>
      <c r="H942" s="70"/>
      <c r="J942" s="70"/>
      <c r="L942" s="71"/>
      <c r="N942" s="65"/>
      <c r="O942" s="64"/>
    </row>
    <row r="943" spans="1:15" ht="15" customHeight="1" x14ac:dyDescent="0.2">
      <c r="A943" s="188"/>
      <c r="C943" s="189"/>
      <c r="E943" s="190"/>
      <c r="G943" s="70"/>
      <c r="H943" s="70"/>
      <c r="J943" s="70"/>
      <c r="L943" s="71"/>
      <c r="N943" s="65"/>
      <c r="O943" s="64"/>
    </row>
    <row r="944" spans="1:15" ht="15" customHeight="1" x14ac:dyDescent="0.2">
      <c r="A944" s="188"/>
      <c r="C944" s="189"/>
      <c r="E944" s="190"/>
      <c r="G944" s="70"/>
      <c r="H944" s="70"/>
      <c r="J944" s="70"/>
      <c r="L944" s="71"/>
      <c r="N944" s="65"/>
      <c r="O944" s="64"/>
    </row>
    <row r="945" spans="1:15" ht="15" customHeight="1" x14ac:dyDescent="0.2">
      <c r="A945" s="188"/>
      <c r="C945" s="189"/>
      <c r="E945" s="190"/>
      <c r="G945" s="70"/>
      <c r="H945" s="70"/>
      <c r="J945" s="70"/>
      <c r="L945" s="71"/>
      <c r="N945" s="65"/>
      <c r="O945" s="64"/>
    </row>
    <row r="946" spans="1:15" ht="15" customHeight="1" x14ac:dyDescent="0.2">
      <c r="A946" s="188"/>
      <c r="C946" s="189"/>
      <c r="E946" s="190"/>
      <c r="G946" s="70"/>
      <c r="H946" s="70"/>
      <c r="J946" s="70"/>
      <c r="L946" s="71"/>
      <c r="N946" s="65"/>
      <c r="O946" s="64"/>
    </row>
    <row r="947" spans="1:15" ht="15" customHeight="1" x14ac:dyDescent="0.2">
      <c r="A947" s="188"/>
      <c r="C947" s="189"/>
      <c r="E947" s="190"/>
      <c r="G947" s="70"/>
      <c r="H947" s="70"/>
      <c r="J947" s="70"/>
      <c r="L947" s="71"/>
      <c r="N947" s="65"/>
      <c r="O947" s="64"/>
    </row>
    <row r="948" spans="1:15" ht="15" customHeight="1" x14ac:dyDescent="0.2">
      <c r="A948" s="188"/>
      <c r="C948" s="189"/>
      <c r="E948" s="190"/>
      <c r="G948" s="70"/>
      <c r="H948" s="70"/>
      <c r="J948" s="70"/>
      <c r="L948" s="71"/>
      <c r="N948" s="65"/>
      <c r="O948" s="64"/>
    </row>
    <row r="949" spans="1:15" ht="15" customHeight="1" x14ac:dyDescent="0.2">
      <c r="A949" s="188"/>
      <c r="C949" s="189"/>
      <c r="E949" s="190"/>
      <c r="G949" s="70"/>
      <c r="H949" s="70"/>
      <c r="J949" s="70"/>
      <c r="L949" s="71"/>
      <c r="N949" s="65"/>
      <c r="O949" s="64"/>
    </row>
    <row r="950" spans="1:15" ht="15" customHeight="1" x14ac:dyDescent="0.2">
      <c r="A950" s="188"/>
      <c r="C950" s="189"/>
      <c r="E950" s="190"/>
      <c r="G950" s="70"/>
      <c r="H950" s="70"/>
      <c r="J950" s="70"/>
      <c r="L950" s="71"/>
      <c r="N950" s="65"/>
      <c r="O950" s="64"/>
    </row>
    <row r="951" spans="1:15" ht="15" customHeight="1" x14ac:dyDescent="0.2">
      <c r="A951" s="188"/>
      <c r="C951" s="189"/>
      <c r="E951" s="190"/>
      <c r="G951" s="70"/>
      <c r="H951" s="70"/>
      <c r="J951" s="70"/>
      <c r="L951" s="71"/>
      <c r="N951" s="65"/>
      <c r="O951" s="64"/>
    </row>
    <row r="952" spans="1:15" ht="15" customHeight="1" x14ac:dyDescent="0.2">
      <c r="A952" s="188"/>
      <c r="C952" s="189"/>
      <c r="E952" s="190"/>
      <c r="G952" s="70"/>
      <c r="H952" s="70"/>
      <c r="J952" s="70"/>
      <c r="L952" s="71"/>
      <c r="N952" s="65"/>
      <c r="O952" s="64"/>
    </row>
    <row r="953" spans="1:15" ht="15" customHeight="1" x14ac:dyDescent="0.2">
      <c r="A953" s="188"/>
      <c r="C953" s="189"/>
      <c r="E953" s="190"/>
      <c r="G953" s="70"/>
      <c r="H953" s="70"/>
      <c r="J953" s="70"/>
      <c r="L953" s="71"/>
      <c r="N953" s="65"/>
      <c r="O953" s="64"/>
    </row>
    <row r="954" spans="1:15" ht="15" customHeight="1" x14ac:dyDescent="0.2">
      <c r="A954" s="188"/>
      <c r="C954" s="189"/>
      <c r="E954" s="190"/>
      <c r="G954" s="70"/>
      <c r="H954" s="70"/>
      <c r="J954" s="70"/>
      <c r="L954" s="71"/>
      <c r="N954" s="65"/>
      <c r="O954" s="64"/>
    </row>
    <row r="955" spans="1:15" ht="15" customHeight="1" x14ac:dyDescent="0.2">
      <c r="A955" s="188"/>
      <c r="C955" s="189"/>
      <c r="E955" s="190"/>
      <c r="G955" s="70"/>
      <c r="H955" s="70"/>
      <c r="J955" s="70"/>
      <c r="L955" s="71"/>
      <c r="N955" s="65"/>
      <c r="O955" s="64"/>
    </row>
    <row r="956" spans="1:15" ht="15" customHeight="1" x14ac:dyDescent="0.2">
      <c r="A956" s="188"/>
      <c r="C956" s="189"/>
      <c r="E956" s="190"/>
      <c r="G956" s="70"/>
      <c r="H956" s="70"/>
      <c r="J956" s="70"/>
      <c r="L956" s="71"/>
      <c r="N956" s="65"/>
      <c r="O956" s="64"/>
    </row>
    <row r="957" spans="1:15" ht="15" customHeight="1" x14ac:dyDescent="0.2">
      <c r="A957" s="188"/>
      <c r="C957" s="189"/>
      <c r="E957" s="190"/>
      <c r="G957" s="70"/>
      <c r="H957" s="70"/>
      <c r="J957" s="70"/>
      <c r="L957" s="71"/>
      <c r="N957" s="65"/>
      <c r="O957" s="64"/>
    </row>
    <row r="958" spans="1:15" ht="15" customHeight="1" x14ac:dyDescent="0.2">
      <c r="A958" s="188"/>
      <c r="C958" s="189"/>
      <c r="E958" s="190"/>
      <c r="G958" s="70"/>
      <c r="H958" s="70"/>
      <c r="J958" s="70"/>
      <c r="L958" s="71"/>
      <c r="N958" s="65"/>
      <c r="O958" s="64"/>
    </row>
    <row r="959" spans="1:15" ht="15" customHeight="1" x14ac:dyDescent="0.2">
      <c r="A959" s="188"/>
      <c r="C959" s="189"/>
      <c r="E959" s="190"/>
      <c r="G959" s="70"/>
      <c r="H959" s="70"/>
      <c r="J959" s="70"/>
      <c r="L959" s="71"/>
      <c r="N959" s="65"/>
      <c r="O959" s="64"/>
    </row>
    <row r="960" spans="1:15" ht="15" customHeight="1" x14ac:dyDescent="0.2">
      <c r="A960" s="188"/>
      <c r="C960" s="189"/>
      <c r="E960" s="190"/>
      <c r="G960" s="70"/>
      <c r="H960" s="70"/>
      <c r="J960" s="70"/>
      <c r="L960" s="71"/>
      <c r="N960" s="65"/>
      <c r="O960" s="64"/>
    </row>
    <row r="961" spans="1:15" ht="15" customHeight="1" x14ac:dyDescent="0.2">
      <c r="A961" s="188"/>
      <c r="C961" s="189"/>
      <c r="E961" s="190"/>
      <c r="G961" s="70"/>
      <c r="H961" s="70"/>
      <c r="J961" s="70"/>
      <c r="L961" s="71"/>
      <c r="N961" s="65"/>
      <c r="O961" s="64"/>
    </row>
    <row r="962" spans="1:15" ht="15" customHeight="1" x14ac:dyDescent="0.2">
      <c r="A962" s="188"/>
      <c r="C962" s="189"/>
      <c r="E962" s="190"/>
      <c r="G962" s="70"/>
      <c r="H962" s="70"/>
      <c r="J962" s="70"/>
      <c r="L962" s="71"/>
      <c r="N962" s="65"/>
      <c r="O962" s="64"/>
    </row>
    <row r="963" spans="1:15" ht="15" customHeight="1" x14ac:dyDescent="0.2">
      <c r="A963" s="188"/>
      <c r="C963" s="189"/>
      <c r="E963" s="190"/>
      <c r="G963" s="70"/>
      <c r="H963" s="70"/>
      <c r="J963" s="70"/>
      <c r="L963" s="71"/>
      <c r="N963" s="65"/>
      <c r="O963" s="64"/>
    </row>
    <row r="964" spans="1:15" ht="15" customHeight="1" x14ac:dyDescent="0.2">
      <c r="A964" s="188"/>
      <c r="C964" s="189"/>
      <c r="E964" s="190"/>
      <c r="G964" s="70"/>
      <c r="H964" s="70"/>
      <c r="J964" s="70"/>
      <c r="L964" s="71"/>
      <c r="N964" s="65"/>
      <c r="O964" s="64"/>
    </row>
    <row r="965" spans="1:15" ht="15" customHeight="1" x14ac:dyDescent="0.2">
      <c r="A965" s="188"/>
      <c r="C965" s="189"/>
      <c r="E965" s="190"/>
      <c r="G965" s="70"/>
      <c r="H965" s="70"/>
      <c r="J965" s="70"/>
      <c r="L965" s="71"/>
      <c r="N965" s="65"/>
      <c r="O965" s="64"/>
    </row>
    <row r="966" spans="1:15" ht="15" customHeight="1" x14ac:dyDescent="0.2">
      <c r="A966" s="188"/>
      <c r="C966" s="189"/>
      <c r="E966" s="190"/>
      <c r="G966" s="70"/>
      <c r="H966" s="70"/>
      <c r="J966" s="70"/>
      <c r="L966" s="71"/>
      <c r="N966" s="65"/>
      <c r="O966" s="64"/>
    </row>
    <row r="967" spans="1:15" ht="15" customHeight="1" x14ac:dyDescent="0.2">
      <c r="A967" s="188"/>
      <c r="C967" s="189"/>
      <c r="E967" s="190"/>
      <c r="G967" s="70"/>
      <c r="H967" s="70"/>
      <c r="J967" s="70"/>
      <c r="L967" s="71"/>
      <c r="N967" s="65"/>
      <c r="O967" s="64"/>
    </row>
    <row r="968" spans="1:15" ht="15" customHeight="1" x14ac:dyDescent="0.2">
      <c r="A968" s="188"/>
      <c r="C968" s="189"/>
      <c r="E968" s="190"/>
      <c r="G968" s="70"/>
      <c r="H968" s="70"/>
      <c r="J968" s="70"/>
      <c r="L968" s="71"/>
      <c r="N968" s="65"/>
      <c r="O968" s="64"/>
    </row>
    <row r="969" spans="1:15" ht="15" customHeight="1" x14ac:dyDescent="0.2">
      <c r="A969" s="188"/>
      <c r="C969" s="189"/>
      <c r="E969" s="190"/>
      <c r="G969" s="70"/>
      <c r="H969" s="70"/>
      <c r="J969" s="70"/>
      <c r="L969" s="71"/>
      <c r="N969" s="65"/>
      <c r="O969" s="64"/>
    </row>
    <row r="970" spans="1:15" ht="15" customHeight="1" x14ac:dyDescent="0.2">
      <c r="A970" s="188"/>
      <c r="C970" s="189"/>
      <c r="E970" s="190"/>
      <c r="G970" s="70"/>
      <c r="H970" s="70"/>
      <c r="J970" s="70"/>
      <c r="L970" s="71"/>
      <c r="N970" s="65"/>
      <c r="O970" s="64"/>
    </row>
    <row r="971" spans="1:15" ht="15" customHeight="1" x14ac:dyDescent="0.2">
      <c r="A971" s="188"/>
      <c r="C971" s="189"/>
      <c r="E971" s="190"/>
      <c r="G971" s="70"/>
      <c r="H971" s="70"/>
      <c r="J971" s="70"/>
      <c r="L971" s="71"/>
      <c r="N971" s="65"/>
      <c r="O971" s="64"/>
    </row>
    <row r="972" spans="1:15" ht="15" customHeight="1" x14ac:dyDescent="0.2">
      <c r="A972" s="188"/>
      <c r="C972" s="189"/>
      <c r="E972" s="190"/>
      <c r="G972" s="70"/>
      <c r="H972" s="70"/>
      <c r="J972" s="70"/>
      <c r="L972" s="71"/>
      <c r="N972" s="65"/>
      <c r="O972" s="64"/>
    </row>
    <row r="973" spans="1:15" ht="15" customHeight="1" x14ac:dyDescent="0.2">
      <c r="A973" s="188"/>
      <c r="C973" s="189"/>
      <c r="E973" s="190"/>
      <c r="G973" s="70"/>
      <c r="H973" s="70"/>
      <c r="J973" s="70"/>
      <c r="L973" s="71"/>
      <c r="N973" s="65"/>
      <c r="O973" s="64"/>
    </row>
    <row r="974" spans="1:15" ht="15" customHeight="1" x14ac:dyDescent="0.2">
      <c r="A974" s="188"/>
      <c r="C974" s="189"/>
      <c r="E974" s="190"/>
      <c r="G974" s="70"/>
      <c r="H974" s="70"/>
      <c r="J974" s="70"/>
      <c r="L974" s="71"/>
      <c r="N974" s="65"/>
      <c r="O974" s="64"/>
    </row>
    <row r="975" spans="1:15" ht="15" customHeight="1" x14ac:dyDescent="0.2">
      <c r="A975" s="188"/>
      <c r="C975" s="189"/>
      <c r="E975" s="190"/>
      <c r="G975" s="70"/>
      <c r="H975" s="70"/>
      <c r="J975" s="70"/>
      <c r="L975" s="71"/>
      <c r="N975" s="65"/>
      <c r="O975" s="64"/>
    </row>
    <row r="976" spans="1:15" ht="15" customHeight="1" x14ac:dyDescent="0.2">
      <c r="A976" s="188"/>
      <c r="C976" s="189"/>
      <c r="E976" s="190"/>
      <c r="G976" s="70"/>
      <c r="H976" s="70"/>
      <c r="J976" s="70"/>
      <c r="L976" s="71"/>
      <c r="N976" s="65"/>
      <c r="O976" s="64"/>
    </row>
    <row r="977" spans="1:15" ht="15" customHeight="1" x14ac:dyDescent="0.2">
      <c r="A977" s="188"/>
      <c r="C977" s="189"/>
      <c r="E977" s="190"/>
      <c r="G977" s="70"/>
      <c r="H977" s="70"/>
      <c r="J977" s="70"/>
      <c r="L977" s="71"/>
      <c r="N977" s="65"/>
      <c r="O977" s="64"/>
    </row>
    <row r="978" spans="1:15" ht="15" customHeight="1" x14ac:dyDescent="0.2">
      <c r="A978" s="188"/>
      <c r="C978" s="189"/>
      <c r="E978" s="190"/>
      <c r="G978" s="70"/>
      <c r="H978" s="70"/>
      <c r="J978" s="70"/>
      <c r="L978" s="71"/>
      <c r="N978" s="65"/>
      <c r="O978" s="64"/>
    </row>
    <row r="979" spans="1:15" ht="15" customHeight="1" x14ac:dyDescent="0.2">
      <c r="A979" s="188"/>
      <c r="C979" s="189"/>
      <c r="E979" s="190"/>
      <c r="G979" s="70"/>
      <c r="H979" s="70"/>
      <c r="J979" s="70"/>
      <c r="L979" s="71"/>
      <c r="N979" s="65"/>
      <c r="O979" s="64"/>
    </row>
    <row r="980" spans="1:15" ht="15" customHeight="1" x14ac:dyDescent="0.2">
      <c r="A980" s="188"/>
      <c r="C980" s="189"/>
      <c r="E980" s="190"/>
      <c r="G980" s="70"/>
      <c r="H980" s="70"/>
      <c r="J980" s="70"/>
      <c r="L980" s="71"/>
      <c r="N980" s="65"/>
      <c r="O980" s="64"/>
    </row>
    <row r="981" spans="1:15" ht="15" customHeight="1" x14ac:dyDescent="0.2">
      <c r="A981" s="188"/>
      <c r="C981" s="189"/>
      <c r="E981" s="190"/>
      <c r="G981" s="70"/>
      <c r="H981" s="70"/>
      <c r="J981" s="70"/>
      <c r="L981" s="71"/>
      <c r="N981" s="65"/>
      <c r="O981" s="64"/>
    </row>
    <row r="982" spans="1:15" ht="15" customHeight="1" x14ac:dyDescent="0.2">
      <c r="A982" s="188"/>
      <c r="C982" s="189"/>
      <c r="E982" s="190"/>
      <c r="G982" s="70"/>
      <c r="H982" s="70"/>
      <c r="J982" s="70"/>
      <c r="L982" s="71"/>
      <c r="N982" s="65"/>
      <c r="O982" s="64"/>
    </row>
    <row r="983" spans="1:15" ht="15" customHeight="1" x14ac:dyDescent="0.2">
      <c r="A983" s="188"/>
      <c r="C983" s="189"/>
      <c r="E983" s="190"/>
      <c r="G983" s="70"/>
      <c r="H983" s="70"/>
      <c r="J983" s="70"/>
      <c r="L983" s="71"/>
      <c r="N983" s="65"/>
      <c r="O983" s="64"/>
    </row>
    <row r="984" spans="1:15" ht="15" customHeight="1" x14ac:dyDescent="0.2">
      <c r="A984" s="188"/>
      <c r="C984" s="189"/>
      <c r="E984" s="190"/>
      <c r="G984" s="70"/>
      <c r="H984" s="70"/>
      <c r="J984" s="70"/>
      <c r="L984" s="71"/>
      <c r="N984" s="65"/>
      <c r="O984" s="64"/>
    </row>
    <row r="985" spans="1:15" ht="15" customHeight="1" x14ac:dyDescent="0.2">
      <c r="A985" s="188"/>
      <c r="C985" s="189"/>
      <c r="E985" s="190"/>
      <c r="G985" s="70"/>
      <c r="H985" s="70"/>
      <c r="J985" s="70"/>
      <c r="L985" s="71"/>
      <c r="N985" s="65"/>
      <c r="O985" s="64"/>
    </row>
    <row r="986" spans="1:15" ht="15" customHeight="1" x14ac:dyDescent="0.2">
      <c r="A986" s="188"/>
      <c r="C986" s="189"/>
      <c r="E986" s="190"/>
      <c r="G986" s="70"/>
      <c r="H986" s="70"/>
      <c r="J986" s="70"/>
      <c r="L986" s="71"/>
      <c r="N986" s="65"/>
      <c r="O986" s="64"/>
    </row>
    <row r="987" spans="1:15" ht="15" customHeight="1" x14ac:dyDescent="0.2">
      <c r="A987" s="188"/>
      <c r="C987" s="189"/>
      <c r="E987" s="190"/>
      <c r="G987" s="70"/>
      <c r="H987" s="70"/>
      <c r="J987" s="70"/>
      <c r="L987" s="71"/>
      <c r="N987" s="65"/>
      <c r="O987" s="64"/>
    </row>
    <row r="988" spans="1:15" ht="15" customHeight="1" x14ac:dyDescent="0.2">
      <c r="A988" s="188"/>
      <c r="C988" s="189"/>
      <c r="E988" s="190"/>
      <c r="G988" s="70"/>
      <c r="H988" s="70"/>
      <c r="J988" s="70"/>
      <c r="L988" s="71"/>
      <c r="N988" s="65"/>
      <c r="O988" s="64"/>
    </row>
    <row r="989" spans="1:15" ht="15" customHeight="1" x14ac:dyDescent="0.2">
      <c r="A989" s="188"/>
      <c r="C989" s="189"/>
      <c r="E989" s="190"/>
      <c r="G989" s="70"/>
      <c r="H989" s="70"/>
      <c r="J989" s="70"/>
      <c r="L989" s="71"/>
      <c r="N989" s="65"/>
      <c r="O989" s="64"/>
    </row>
    <row r="990" spans="1:15" ht="15" customHeight="1" x14ac:dyDescent="0.2">
      <c r="A990" s="188"/>
      <c r="C990" s="189"/>
      <c r="E990" s="190"/>
      <c r="G990" s="70"/>
      <c r="H990" s="70"/>
      <c r="J990" s="70"/>
      <c r="L990" s="71"/>
      <c r="N990" s="65"/>
      <c r="O990" s="64"/>
    </row>
    <row r="991" spans="1:15" ht="15" customHeight="1" x14ac:dyDescent="0.2">
      <c r="A991" s="188"/>
      <c r="C991" s="189"/>
      <c r="E991" s="190"/>
      <c r="G991" s="70"/>
      <c r="H991" s="70"/>
      <c r="J991" s="70"/>
      <c r="L991" s="71"/>
      <c r="N991" s="65"/>
      <c r="O991" s="64"/>
    </row>
    <row r="992" spans="1:15" ht="15" customHeight="1" x14ac:dyDescent="0.2">
      <c r="A992" s="188"/>
      <c r="C992" s="189"/>
      <c r="E992" s="190"/>
      <c r="G992" s="70"/>
      <c r="H992" s="70"/>
      <c r="J992" s="70"/>
      <c r="L992" s="71"/>
      <c r="N992" s="65"/>
      <c r="O992" s="64"/>
    </row>
    <row r="993" spans="1:15" ht="15" customHeight="1" x14ac:dyDescent="0.2">
      <c r="A993" s="188"/>
      <c r="C993" s="189"/>
      <c r="E993" s="190"/>
      <c r="G993" s="70"/>
      <c r="H993" s="70"/>
      <c r="J993" s="70"/>
      <c r="L993" s="71"/>
      <c r="N993" s="65"/>
      <c r="O993" s="64"/>
    </row>
    <row r="994" spans="1:15" ht="15" customHeight="1" x14ac:dyDescent="0.2">
      <c r="A994" s="188"/>
      <c r="C994" s="189"/>
      <c r="E994" s="190"/>
      <c r="G994" s="70"/>
      <c r="H994" s="70"/>
      <c r="J994" s="70"/>
      <c r="L994" s="71"/>
      <c r="N994" s="65"/>
      <c r="O994" s="64"/>
    </row>
    <row r="995" spans="1:15" ht="15" customHeight="1" x14ac:dyDescent="0.2">
      <c r="A995" s="188"/>
      <c r="C995" s="189"/>
      <c r="E995" s="190"/>
      <c r="G995" s="70"/>
      <c r="H995" s="70"/>
      <c r="J995" s="70"/>
      <c r="L995" s="71"/>
      <c r="N995" s="65"/>
      <c r="O995" s="64"/>
    </row>
    <row r="996" spans="1:15" ht="15" customHeight="1" x14ac:dyDescent="0.2">
      <c r="A996" s="188"/>
      <c r="C996" s="189"/>
      <c r="E996" s="190"/>
      <c r="G996" s="70"/>
      <c r="H996" s="70"/>
      <c r="J996" s="70"/>
      <c r="L996" s="71"/>
      <c r="N996" s="65"/>
      <c r="O996" s="64"/>
    </row>
    <row r="997" spans="1:15" ht="15" customHeight="1" x14ac:dyDescent="0.2">
      <c r="A997" s="188"/>
      <c r="C997" s="189"/>
      <c r="E997" s="190"/>
      <c r="G997" s="70"/>
      <c r="H997" s="70"/>
      <c r="J997" s="70"/>
      <c r="L997" s="71"/>
      <c r="N997" s="65"/>
      <c r="O997" s="64"/>
    </row>
    <row r="998" spans="1:15" ht="15" customHeight="1" x14ac:dyDescent="0.2">
      <c r="A998" s="188"/>
      <c r="C998" s="189"/>
      <c r="E998" s="190"/>
      <c r="G998" s="70"/>
      <c r="H998" s="70"/>
      <c r="J998" s="70"/>
      <c r="L998" s="71"/>
      <c r="N998" s="65"/>
      <c r="O998" s="64"/>
    </row>
    <row r="999" spans="1:15" ht="15" customHeight="1" x14ac:dyDescent="0.2">
      <c r="A999" s="188"/>
      <c r="C999" s="189"/>
      <c r="E999" s="190"/>
      <c r="G999" s="70"/>
      <c r="H999" s="70"/>
      <c r="J999" s="70"/>
      <c r="L999" s="71"/>
      <c r="N999" s="65"/>
      <c r="O999" s="64"/>
    </row>
    <row r="1000" spans="1:15" ht="15" customHeight="1" x14ac:dyDescent="0.2">
      <c r="A1000" s="188"/>
      <c r="C1000" s="189"/>
      <c r="E1000" s="190"/>
      <c r="G1000" s="70"/>
      <c r="H1000" s="70"/>
      <c r="J1000" s="70"/>
      <c r="L1000" s="71"/>
      <c r="N1000" s="65"/>
      <c r="O1000" s="64"/>
    </row>
    <row r="1001" spans="1:15" ht="15" customHeight="1" x14ac:dyDescent="0.2">
      <c r="A1001" s="188"/>
      <c r="C1001" s="189"/>
      <c r="E1001" s="190"/>
      <c r="G1001" s="70"/>
      <c r="H1001" s="70"/>
      <c r="J1001" s="70"/>
      <c r="L1001" s="71"/>
      <c r="N1001" s="65"/>
      <c r="O1001" s="64"/>
    </row>
    <row r="1002" spans="1:15" ht="15" customHeight="1" x14ac:dyDescent="0.2">
      <c r="A1002" s="188"/>
      <c r="C1002" s="189"/>
      <c r="E1002" s="190"/>
      <c r="G1002" s="70"/>
      <c r="H1002" s="70"/>
      <c r="J1002" s="70"/>
      <c r="L1002" s="71"/>
      <c r="N1002" s="65"/>
      <c r="O1002" s="64"/>
    </row>
    <row r="1003" spans="1:15" ht="15" customHeight="1" x14ac:dyDescent="0.2">
      <c r="A1003" s="188"/>
      <c r="C1003" s="189"/>
      <c r="E1003" s="190"/>
      <c r="G1003" s="70"/>
      <c r="H1003" s="70"/>
      <c r="J1003" s="70"/>
      <c r="L1003" s="71"/>
      <c r="N1003" s="65"/>
      <c r="O1003" s="64"/>
    </row>
    <row r="1004" spans="1:15" ht="15" customHeight="1" x14ac:dyDescent="0.2">
      <c r="A1004" s="188"/>
      <c r="C1004" s="189"/>
      <c r="E1004" s="190"/>
      <c r="G1004" s="70"/>
      <c r="H1004" s="70"/>
      <c r="J1004" s="70"/>
      <c r="L1004" s="71"/>
      <c r="N1004" s="65"/>
      <c r="O1004" s="64"/>
    </row>
    <row r="1005" spans="1:15" ht="15" customHeight="1" x14ac:dyDescent="0.2">
      <c r="A1005" s="188"/>
      <c r="C1005" s="189"/>
      <c r="E1005" s="190"/>
      <c r="G1005" s="70"/>
      <c r="H1005" s="70"/>
      <c r="J1005" s="70"/>
      <c r="L1005" s="71"/>
      <c r="N1005" s="65"/>
      <c r="O1005" s="64"/>
    </row>
    <row r="1006" spans="1:15" ht="15" customHeight="1" x14ac:dyDescent="0.2">
      <c r="A1006" s="188"/>
      <c r="C1006" s="189"/>
      <c r="E1006" s="190"/>
      <c r="G1006" s="70"/>
      <c r="H1006" s="70"/>
      <c r="J1006" s="70"/>
      <c r="L1006" s="71"/>
      <c r="N1006" s="65"/>
      <c r="O1006" s="64"/>
    </row>
    <row r="1007" spans="1:15" ht="15" customHeight="1" x14ac:dyDescent="0.2">
      <c r="A1007" s="188"/>
      <c r="C1007" s="189"/>
      <c r="E1007" s="190"/>
      <c r="G1007" s="70"/>
      <c r="H1007" s="70"/>
      <c r="J1007" s="70"/>
      <c r="L1007" s="71"/>
      <c r="N1007" s="65"/>
      <c r="O1007" s="64"/>
    </row>
    <row r="1008" spans="1:15" ht="15" customHeight="1" x14ac:dyDescent="0.2">
      <c r="A1008" s="188"/>
      <c r="C1008" s="189"/>
      <c r="E1008" s="190"/>
      <c r="G1008" s="70"/>
      <c r="H1008" s="70"/>
      <c r="J1008" s="70"/>
      <c r="L1008" s="71"/>
      <c r="N1008" s="65"/>
      <c r="O1008" s="64"/>
    </row>
    <row r="1009" spans="1:15" ht="15" customHeight="1" x14ac:dyDescent="0.2">
      <c r="A1009" s="188"/>
      <c r="C1009" s="189"/>
      <c r="E1009" s="190"/>
      <c r="G1009" s="70"/>
      <c r="H1009" s="70"/>
      <c r="J1009" s="70"/>
      <c r="L1009" s="71"/>
      <c r="N1009" s="65"/>
      <c r="O1009" s="64"/>
    </row>
    <row r="1010" spans="1:15" ht="15" customHeight="1" x14ac:dyDescent="0.2">
      <c r="A1010" s="188"/>
      <c r="C1010" s="189"/>
      <c r="E1010" s="190"/>
      <c r="G1010" s="70"/>
      <c r="H1010" s="70"/>
      <c r="J1010" s="70"/>
      <c r="L1010" s="71"/>
      <c r="N1010" s="65"/>
      <c r="O1010" s="64"/>
    </row>
    <row r="1011" spans="1:15" ht="15" customHeight="1" x14ac:dyDescent="0.2">
      <c r="A1011" s="188"/>
      <c r="C1011" s="189"/>
      <c r="E1011" s="190"/>
      <c r="G1011" s="70"/>
      <c r="H1011" s="70"/>
      <c r="J1011" s="70"/>
      <c r="L1011" s="71"/>
      <c r="N1011" s="65"/>
      <c r="O1011" s="64"/>
    </row>
    <row r="1012" spans="1:15" ht="15" customHeight="1" x14ac:dyDescent="0.2">
      <c r="A1012" s="188"/>
      <c r="C1012" s="189"/>
      <c r="E1012" s="190"/>
      <c r="G1012" s="70"/>
      <c r="H1012" s="70"/>
      <c r="J1012" s="70"/>
      <c r="L1012" s="71"/>
      <c r="N1012" s="65"/>
      <c r="O1012" s="64"/>
    </row>
    <row r="1013" spans="1:15" ht="15" customHeight="1" x14ac:dyDescent="0.2">
      <c r="A1013" s="188"/>
      <c r="C1013" s="189"/>
      <c r="E1013" s="190"/>
      <c r="G1013" s="70"/>
      <c r="H1013" s="70"/>
      <c r="J1013" s="70"/>
      <c r="L1013" s="71"/>
      <c r="N1013" s="65"/>
      <c r="O1013" s="64"/>
    </row>
    <row r="1014" spans="1:15" ht="15" customHeight="1" x14ac:dyDescent="0.2">
      <c r="A1014" s="188"/>
      <c r="C1014" s="189"/>
      <c r="E1014" s="190"/>
      <c r="G1014" s="70"/>
      <c r="H1014" s="70"/>
      <c r="J1014" s="70"/>
      <c r="L1014" s="71"/>
      <c r="N1014" s="65"/>
      <c r="O1014" s="64"/>
    </row>
    <row r="1015" spans="1:15" ht="15" customHeight="1" x14ac:dyDescent="0.2">
      <c r="A1015" s="188"/>
      <c r="C1015" s="189"/>
      <c r="E1015" s="190"/>
      <c r="G1015" s="70"/>
      <c r="H1015" s="70"/>
      <c r="J1015" s="70"/>
      <c r="L1015" s="71"/>
      <c r="N1015" s="65"/>
      <c r="O1015" s="64"/>
    </row>
    <row r="1016" spans="1:15" ht="15" customHeight="1" x14ac:dyDescent="0.2">
      <c r="A1016" s="188"/>
      <c r="C1016" s="189"/>
      <c r="E1016" s="190"/>
      <c r="G1016" s="70"/>
      <c r="H1016" s="70"/>
      <c r="J1016" s="70"/>
      <c r="L1016" s="71"/>
      <c r="N1016" s="65"/>
      <c r="O1016" s="64"/>
    </row>
    <row r="1017" spans="1:15" ht="15" customHeight="1" x14ac:dyDescent="0.2">
      <c r="A1017" s="188"/>
      <c r="C1017" s="189"/>
      <c r="E1017" s="190"/>
      <c r="G1017" s="70"/>
      <c r="H1017" s="70"/>
      <c r="J1017" s="70"/>
      <c r="L1017" s="71"/>
      <c r="N1017" s="65"/>
      <c r="O1017" s="64"/>
    </row>
    <row r="1018" spans="1:15" ht="15" customHeight="1" x14ac:dyDescent="0.2">
      <c r="A1018" s="188"/>
      <c r="C1018" s="189"/>
      <c r="E1018" s="190"/>
      <c r="G1018" s="70"/>
      <c r="H1018" s="70"/>
      <c r="J1018" s="70"/>
      <c r="L1018" s="71"/>
      <c r="N1018" s="65"/>
      <c r="O1018" s="64"/>
    </row>
    <row r="1019" spans="1:15" ht="15" customHeight="1" x14ac:dyDescent="0.2">
      <c r="A1019" s="188"/>
      <c r="C1019" s="189"/>
      <c r="E1019" s="190"/>
      <c r="G1019" s="70"/>
      <c r="H1019" s="70"/>
      <c r="J1019" s="70"/>
      <c r="L1019" s="71"/>
      <c r="N1019" s="65"/>
      <c r="O1019" s="64"/>
    </row>
    <row r="1020" spans="1:15" ht="15" customHeight="1" x14ac:dyDescent="0.2">
      <c r="A1020" s="188"/>
      <c r="C1020" s="189"/>
      <c r="E1020" s="190"/>
      <c r="G1020" s="70"/>
      <c r="H1020" s="70"/>
      <c r="J1020" s="70"/>
      <c r="L1020" s="71"/>
      <c r="N1020" s="65"/>
      <c r="O1020" s="64"/>
    </row>
    <row r="1021" spans="1:15" ht="15" customHeight="1" x14ac:dyDescent="0.2">
      <c r="A1021" s="188"/>
      <c r="C1021" s="189"/>
      <c r="E1021" s="190"/>
      <c r="G1021" s="70"/>
      <c r="H1021" s="70"/>
      <c r="J1021" s="70"/>
      <c r="L1021" s="71"/>
      <c r="N1021" s="65"/>
      <c r="O1021" s="64"/>
    </row>
    <row r="1022" spans="1:15" ht="15" customHeight="1" x14ac:dyDescent="0.2">
      <c r="A1022" s="188"/>
      <c r="C1022" s="189"/>
      <c r="E1022" s="190"/>
      <c r="G1022" s="70"/>
      <c r="H1022" s="70"/>
      <c r="J1022" s="70"/>
      <c r="L1022" s="71"/>
      <c r="N1022" s="65"/>
      <c r="O1022" s="64"/>
    </row>
    <row r="1023" spans="1:15" ht="15" customHeight="1" x14ac:dyDescent="0.2">
      <c r="A1023" s="188"/>
      <c r="C1023" s="189"/>
      <c r="E1023" s="190"/>
      <c r="G1023" s="70"/>
      <c r="H1023" s="70"/>
      <c r="J1023" s="70"/>
      <c r="L1023" s="71"/>
      <c r="N1023" s="65"/>
      <c r="O1023" s="64"/>
    </row>
    <row r="1024" spans="1:15" ht="15" customHeight="1" x14ac:dyDescent="0.2">
      <c r="A1024" s="188"/>
      <c r="C1024" s="189"/>
      <c r="E1024" s="190"/>
      <c r="G1024" s="70"/>
      <c r="H1024" s="70"/>
      <c r="J1024" s="70"/>
      <c r="L1024" s="71"/>
      <c r="N1024" s="65"/>
      <c r="O1024" s="64"/>
    </row>
    <row r="1025" spans="1:15" ht="15" customHeight="1" x14ac:dyDescent="0.2">
      <c r="A1025" s="188"/>
      <c r="C1025" s="189"/>
      <c r="E1025" s="190"/>
      <c r="G1025" s="70"/>
      <c r="H1025" s="70"/>
      <c r="J1025" s="70"/>
      <c r="L1025" s="71"/>
      <c r="N1025" s="65"/>
      <c r="O1025" s="64"/>
    </row>
    <row r="1026" spans="1:15" ht="15" customHeight="1" x14ac:dyDescent="0.2">
      <c r="A1026" s="188"/>
      <c r="C1026" s="189"/>
      <c r="E1026" s="190"/>
      <c r="G1026" s="70"/>
      <c r="H1026" s="70"/>
      <c r="J1026" s="70"/>
      <c r="L1026" s="71"/>
      <c r="N1026" s="65"/>
      <c r="O1026" s="64"/>
    </row>
    <row r="1027" spans="1:15" ht="15" customHeight="1" x14ac:dyDescent="0.2">
      <c r="A1027" s="188"/>
      <c r="C1027" s="189"/>
      <c r="E1027" s="190"/>
      <c r="G1027" s="70"/>
      <c r="H1027" s="70"/>
      <c r="J1027" s="70"/>
      <c r="L1027" s="71"/>
      <c r="N1027" s="65"/>
      <c r="O1027" s="64"/>
    </row>
    <row r="1028" spans="1:15" ht="15" customHeight="1" x14ac:dyDescent="0.2">
      <c r="A1028" s="188"/>
      <c r="C1028" s="189"/>
      <c r="E1028" s="190"/>
      <c r="G1028" s="70"/>
      <c r="H1028" s="70"/>
      <c r="J1028" s="70"/>
      <c r="L1028" s="71"/>
      <c r="N1028" s="65"/>
      <c r="O1028" s="64"/>
    </row>
    <row r="1029" spans="1:15" ht="15" customHeight="1" x14ac:dyDescent="0.2">
      <c r="A1029" s="188"/>
      <c r="C1029" s="189"/>
      <c r="E1029" s="190"/>
      <c r="G1029" s="70"/>
      <c r="H1029" s="70"/>
      <c r="J1029" s="70"/>
      <c r="L1029" s="71"/>
      <c r="N1029" s="65"/>
      <c r="O1029" s="64"/>
    </row>
    <row r="1030" spans="1:15" ht="15" customHeight="1" x14ac:dyDescent="0.2">
      <c r="A1030" s="188"/>
      <c r="C1030" s="189"/>
      <c r="E1030" s="190"/>
      <c r="G1030" s="70"/>
      <c r="H1030" s="70"/>
      <c r="J1030" s="70"/>
      <c r="L1030" s="71"/>
      <c r="N1030" s="65"/>
      <c r="O1030" s="64"/>
    </row>
    <row r="1031" spans="1:15" ht="15" customHeight="1" x14ac:dyDescent="0.2">
      <c r="A1031" s="188"/>
      <c r="C1031" s="189"/>
      <c r="E1031" s="190"/>
      <c r="G1031" s="70"/>
      <c r="H1031" s="70"/>
      <c r="J1031" s="70"/>
      <c r="L1031" s="71"/>
      <c r="N1031" s="65"/>
      <c r="O1031" s="64"/>
    </row>
    <row r="1032" spans="1:15" ht="15" customHeight="1" x14ac:dyDescent="0.2">
      <c r="A1032" s="188"/>
      <c r="C1032" s="189"/>
      <c r="E1032" s="190"/>
      <c r="G1032" s="70"/>
      <c r="H1032" s="70"/>
      <c r="J1032" s="70"/>
      <c r="L1032" s="71"/>
      <c r="N1032" s="65"/>
      <c r="O1032" s="64"/>
    </row>
    <row r="1033" spans="1:15" ht="15" customHeight="1" x14ac:dyDescent="0.2">
      <c r="A1033" s="188"/>
      <c r="C1033" s="189"/>
      <c r="E1033" s="190"/>
      <c r="G1033" s="70"/>
      <c r="H1033" s="70"/>
      <c r="J1033" s="70"/>
      <c r="L1033" s="71"/>
      <c r="N1033" s="65"/>
      <c r="O1033" s="64"/>
    </row>
    <row r="1034" spans="1:15" ht="15" customHeight="1" x14ac:dyDescent="0.2">
      <c r="A1034" s="188"/>
      <c r="C1034" s="189"/>
      <c r="E1034" s="190"/>
      <c r="G1034" s="70"/>
      <c r="H1034" s="70"/>
      <c r="J1034" s="70"/>
      <c r="L1034" s="71"/>
      <c r="N1034" s="65"/>
      <c r="O1034" s="64"/>
    </row>
    <row r="1035" spans="1:15" ht="15" customHeight="1" x14ac:dyDescent="0.2">
      <c r="A1035" s="188"/>
      <c r="C1035" s="189"/>
      <c r="E1035" s="190"/>
      <c r="G1035" s="70"/>
      <c r="H1035" s="70"/>
      <c r="J1035" s="70"/>
      <c r="L1035" s="71"/>
      <c r="N1035" s="65"/>
      <c r="O1035" s="64"/>
    </row>
    <row r="1036" spans="1:15" ht="15" customHeight="1" x14ac:dyDescent="0.2">
      <c r="A1036" s="188"/>
      <c r="C1036" s="189"/>
      <c r="E1036" s="190"/>
      <c r="G1036" s="70"/>
      <c r="H1036" s="70"/>
      <c r="J1036" s="70"/>
      <c r="L1036" s="71"/>
      <c r="N1036" s="65"/>
      <c r="O1036" s="64"/>
    </row>
    <row r="1037" spans="1:15" ht="15" customHeight="1" x14ac:dyDescent="0.2">
      <c r="A1037" s="188"/>
      <c r="C1037" s="189"/>
      <c r="E1037" s="190"/>
      <c r="G1037" s="70"/>
      <c r="H1037" s="70"/>
      <c r="J1037" s="70"/>
      <c r="L1037" s="71"/>
      <c r="N1037" s="65"/>
      <c r="O1037" s="64"/>
    </row>
    <row r="1038" spans="1:15" ht="15" customHeight="1" x14ac:dyDescent="0.2">
      <c r="A1038" s="188"/>
      <c r="C1038" s="189"/>
      <c r="E1038" s="190"/>
      <c r="G1038" s="70"/>
      <c r="H1038" s="70"/>
      <c r="J1038" s="70"/>
      <c r="L1038" s="71"/>
      <c r="N1038" s="65"/>
      <c r="O1038" s="64"/>
    </row>
    <row r="1039" spans="1:15" ht="15" customHeight="1" x14ac:dyDescent="0.2">
      <c r="A1039" s="188"/>
      <c r="C1039" s="189"/>
      <c r="E1039" s="190"/>
      <c r="G1039" s="70"/>
      <c r="H1039" s="70"/>
      <c r="J1039" s="70"/>
      <c r="L1039" s="71"/>
      <c r="N1039" s="65"/>
      <c r="O1039" s="64"/>
    </row>
    <row r="1040" spans="1:15" ht="15" customHeight="1" x14ac:dyDescent="0.2">
      <c r="A1040" s="188"/>
      <c r="C1040" s="189"/>
      <c r="E1040" s="190"/>
      <c r="G1040" s="70"/>
      <c r="H1040" s="70"/>
      <c r="J1040" s="70"/>
      <c r="L1040" s="71"/>
      <c r="N1040" s="65"/>
      <c r="O1040" s="64"/>
    </row>
    <row r="1041" spans="1:15" ht="15" customHeight="1" x14ac:dyDescent="0.2">
      <c r="A1041" s="188"/>
      <c r="C1041" s="189"/>
      <c r="E1041" s="190"/>
      <c r="G1041" s="70"/>
      <c r="H1041" s="70"/>
      <c r="J1041" s="70"/>
      <c r="L1041" s="71"/>
      <c r="N1041" s="65"/>
      <c r="O1041" s="64"/>
    </row>
    <row r="1042" spans="1:15" ht="15" customHeight="1" x14ac:dyDescent="0.2">
      <c r="A1042" s="188"/>
      <c r="C1042" s="189"/>
      <c r="E1042" s="190"/>
      <c r="G1042" s="70"/>
      <c r="H1042" s="70"/>
      <c r="J1042" s="70"/>
      <c r="L1042" s="71"/>
      <c r="N1042" s="65"/>
      <c r="O1042" s="64"/>
    </row>
    <row r="1043" spans="1:15" ht="15" customHeight="1" x14ac:dyDescent="0.2">
      <c r="A1043" s="188"/>
      <c r="C1043" s="189"/>
      <c r="E1043" s="190"/>
      <c r="G1043" s="70"/>
      <c r="H1043" s="70"/>
      <c r="J1043" s="70"/>
      <c r="L1043" s="71"/>
      <c r="N1043" s="65"/>
      <c r="O1043" s="64"/>
    </row>
    <row r="1044" spans="1:15" ht="15" customHeight="1" x14ac:dyDescent="0.2">
      <c r="A1044" s="188"/>
      <c r="C1044" s="189"/>
      <c r="E1044" s="190"/>
      <c r="G1044" s="70"/>
      <c r="H1044" s="70"/>
      <c r="J1044" s="70"/>
      <c r="L1044" s="71"/>
      <c r="N1044" s="65"/>
      <c r="O1044" s="64"/>
    </row>
    <row r="1045" spans="1:15" ht="15" customHeight="1" x14ac:dyDescent="0.2">
      <c r="A1045" s="188"/>
      <c r="C1045" s="189"/>
      <c r="E1045" s="190"/>
      <c r="G1045" s="70"/>
      <c r="H1045" s="70"/>
      <c r="J1045" s="70"/>
      <c r="L1045" s="71"/>
      <c r="N1045" s="65"/>
      <c r="O1045" s="64"/>
    </row>
    <row r="1046" spans="1:15" ht="15" customHeight="1" x14ac:dyDescent="0.2">
      <c r="A1046" s="188"/>
      <c r="C1046" s="189"/>
      <c r="E1046" s="190"/>
      <c r="G1046" s="70"/>
      <c r="H1046" s="70"/>
      <c r="J1046" s="70"/>
      <c r="L1046" s="71"/>
      <c r="N1046" s="65"/>
      <c r="O1046" s="64"/>
    </row>
    <row r="1047" spans="1:15" ht="15" customHeight="1" x14ac:dyDescent="0.2">
      <c r="A1047" s="188"/>
      <c r="C1047" s="189"/>
      <c r="E1047" s="190"/>
      <c r="G1047" s="70"/>
      <c r="H1047" s="70"/>
      <c r="J1047" s="70"/>
      <c r="L1047" s="71"/>
      <c r="N1047" s="65"/>
      <c r="O1047" s="64"/>
    </row>
    <row r="1048" spans="1:15" ht="15" customHeight="1" x14ac:dyDescent="0.2">
      <c r="A1048" s="188"/>
      <c r="C1048" s="189"/>
      <c r="E1048" s="190"/>
      <c r="G1048" s="70"/>
      <c r="H1048" s="70"/>
      <c r="J1048" s="70"/>
      <c r="L1048" s="71"/>
      <c r="N1048" s="65"/>
      <c r="O1048" s="64"/>
    </row>
    <row r="1049" spans="1:15" ht="15" customHeight="1" x14ac:dyDescent="0.2">
      <c r="A1049" s="188"/>
      <c r="C1049" s="189"/>
      <c r="E1049" s="190"/>
      <c r="G1049" s="70"/>
      <c r="H1049" s="70"/>
      <c r="J1049" s="70"/>
      <c r="L1049" s="71"/>
      <c r="N1049" s="65"/>
      <c r="O1049" s="64"/>
    </row>
    <row r="1050" spans="1:15" ht="15" customHeight="1" x14ac:dyDescent="0.2">
      <c r="A1050" s="188"/>
      <c r="C1050" s="189"/>
      <c r="E1050" s="190"/>
      <c r="G1050" s="70"/>
      <c r="H1050" s="70"/>
      <c r="J1050" s="70"/>
      <c r="L1050" s="71"/>
      <c r="N1050" s="65"/>
      <c r="O1050" s="64"/>
    </row>
    <row r="1051" spans="1:15" ht="15" customHeight="1" x14ac:dyDescent="0.2">
      <c r="A1051" s="188"/>
      <c r="C1051" s="189"/>
      <c r="E1051" s="190"/>
      <c r="G1051" s="70"/>
      <c r="H1051" s="70"/>
      <c r="J1051" s="70"/>
      <c r="L1051" s="71"/>
      <c r="N1051" s="65"/>
      <c r="O1051" s="64"/>
    </row>
    <row r="1052" spans="1:15" ht="15" customHeight="1" x14ac:dyDescent="0.2">
      <c r="A1052" s="188"/>
      <c r="C1052" s="189"/>
      <c r="E1052" s="190"/>
      <c r="G1052" s="70"/>
      <c r="H1052" s="70"/>
      <c r="J1052" s="70"/>
      <c r="L1052" s="71"/>
      <c r="N1052" s="65"/>
      <c r="O1052" s="64"/>
    </row>
    <row r="1053" spans="1:15" ht="15" customHeight="1" x14ac:dyDescent="0.2">
      <c r="A1053" s="188"/>
      <c r="C1053" s="189"/>
      <c r="E1053" s="190"/>
      <c r="G1053" s="70"/>
      <c r="H1053" s="70"/>
      <c r="J1053" s="70"/>
      <c r="L1053" s="71"/>
      <c r="N1053" s="65"/>
      <c r="O1053" s="64"/>
    </row>
    <row r="1054" spans="1:15" ht="15" customHeight="1" x14ac:dyDescent="0.2">
      <c r="A1054" s="188"/>
      <c r="C1054" s="189"/>
      <c r="E1054" s="190"/>
      <c r="G1054" s="70"/>
      <c r="H1054" s="70"/>
      <c r="J1054" s="70"/>
      <c r="L1054" s="71"/>
      <c r="N1054" s="65"/>
      <c r="O1054" s="64"/>
    </row>
    <row r="1055" spans="1:15" ht="15" customHeight="1" x14ac:dyDescent="0.2">
      <c r="A1055" s="188"/>
      <c r="C1055" s="189"/>
      <c r="E1055" s="190"/>
      <c r="G1055" s="70"/>
      <c r="H1055" s="70"/>
      <c r="J1055" s="70"/>
      <c r="L1055" s="71"/>
      <c r="N1055" s="65"/>
      <c r="O1055" s="64"/>
    </row>
    <row r="1056" spans="1:15" ht="15" customHeight="1" x14ac:dyDescent="0.2">
      <c r="A1056" s="188"/>
      <c r="C1056" s="189"/>
      <c r="E1056" s="190"/>
      <c r="G1056" s="70"/>
      <c r="H1056" s="70"/>
      <c r="J1056" s="70"/>
      <c r="L1056" s="71"/>
      <c r="N1056" s="65"/>
      <c r="O1056" s="64"/>
    </row>
    <row r="1057" spans="1:15" ht="15" customHeight="1" x14ac:dyDescent="0.2">
      <c r="A1057" s="188"/>
      <c r="C1057" s="189"/>
      <c r="E1057" s="190"/>
      <c r="G1057" s="70"/>
      <c r="H1057" s="70"/>
      <c r="J1057" s="70"/>
      <c r="L1057" s="71"/>
      <c r="N1057" s="65"/>
      <c r="O1057" s="64"/>
    </row>
    <row r="1058" spans="1:15" ht="15" customHeight="1" x14ac:dyDescent="0.2">
      <c r="A1058" s="188"/>
      <c r="C1058" s="189"/>
      <c r="E1058" s="190"/>
      <c r="G1058" s="70"/>
      <c r="H1058" s="70"/>
      <c r="J1058" s="70"/>
      <c r="L1058" s="71"/>
      <c r="N1058" s="65"/>
      <c r="O1058" s="64"/>
    </row>
    <row r="1059" spans="1:15" ht="15" customHeight="1" x14ac:dyDescent="0.2">
      <c r="A1059" s="188"/>
      <c r="C1059" s="189"/>
      <c r="E1059" s="190"/>
      <c r="G1059" s="70"/>
      <c r="H1059" s="70"/>
      <c r="J1059" s="70"/>
      <c r="L1059" s="71"/>
      <c r="N1059" s="65"/>
      <c r="O1059" s="64"/>
    </row>
    <row r="1060" spans="1:15" ht="15" customHeight="1" x14ac:dyDescent="0.2">
      <c r="A1060" s="188"/>
      <c r="C1060" s="189"/>
      <c r="E1060" s="190"/>
      <c r="G1060" s="70"/>
      <c r="H1060" s="70"/>
      <c r="J1060" s="70"/>
      <c r="L1060" s="71"/>
      <c r="N1060" s="65"/>
      <c r="O1060" s="64"/>
    </row>
    <row r="1061" spans="1:15" ht="15" customHeight="1" x14ac:dyDescent="0.2">
      <c r="A1061" s="188"/>
      <c r="C1061" s="189"/>
      <c r="E1061" s="190"/>
      <c r="G1061" s="70"/>
      <c r="H1061" s="70"/>
      <c r="J1061" s="70"/>
      <c r="L1061" s="71"/>
      <c r="N1061" s="65"/>
      <c r="O1061" s="64"/>
    </row>
    <row r="1062" spans="1:15" ht="15" customHeight="1" x14ac:dyDescent="0.2">
      <c r="A1062" s="188"/>
      <c r="C1062" s="189"/>
      <c r="E1062" s="190"/>
      <c r="G1062" s="70"/>
      <c r="H1062" s="70"/>
      <c r="J1062" s="70"/>
      <c r="L1062" s="71"/>
      <c r="N1062" s="65"/>
      <c r="O1062" s="64"/>
    </row>
    <row r="1063" spans="1:15" ht="15" customHeight="1" x14ac:dyDescent="0.2">
      <c r="A1063" s="188"/>
      <c r="C1063" s="189"/>
      <c r="E1063" s="190"/>
      <c r="G1063" s="70"/>
      <c r="H1063" s="70"/>
      <c r="J1063" s="70"/>
      <c r="L1063" s="71"/>
      <c r="N1063" s="65"/>
      <c r="O1063" s="64"/>
    </row>
    <row r="1064" spans="1:15" ht="15" customHeight="1" x14ac:dyDescent="0.2">
      <c r="A1064" s="188"/>
      <c r="C1064" s="189"/>
      <c r="E1064" s="190"/>
      <c r="G1064" s="70"/>
      <c r="H1064" s="70"/>
      <c r="J1064" s="70"/>
      <c r="L1064" s="71"/>
      <c r="N1064" s="65"/>
      <c r="O1064" s="64"/>
    </row>
    <row r="1065" spans="1:15" ht="15" customHeight="1" x14ac:dyDescent="0.2">
      <c r="A1065" s="188"/>
      <c r="C1065" s="189"/>
      <c r="E1065" s="190"/>
      <c r="G1065" s="70"/>
      <c r="H1065" s="70"/>
      <c r="J1065" s="70"/>
      <c r="L1065" s="71"/>
      <c r="N1065" s="65"/>
      <c r="O1065" s="64"/>
    </row>
    <row r="1066" spans="1:15" ht="15" customHeight="1" x14ac:dyDescent="0.2">
      <c r="A1066" s="188"/>
      <c r="C1066" s="189"/>
      <c r="E1066" s="190"/>
      <c r="G1066" s="70"/>
      <c r="H1066" s="70"/>
      <c r="J1066" s="70"/>
      <c r="L1066" s="71"/>
      <c r="N1066" s="65"/>
      <c r="O1066" s="64"/>
    </row>
    <row r="1067" spans="1:15" ht="15" customHeight="1" x14ac:dyDescent="0.2">
      <c r="A1067" s="188"/>
      <c r="C1067" s="189"/>
      <c r="E1067" s="190"/>
      <c r="G1067" s="70"/>
      <c r="H1067" s="70"/>
      <c r="J1067" s="70"/>
      <c r="L1067" s="71"/>
      <c r="N1067" s="65"/>
      <c r="O1067" s="64"/>
    </row>
    <row r="1068" spans="1:15" ht="15" customHeight="1" x14ac:dyDescent="0.2">
      <c r="A1068" s="188"/>
      <c r="C1068" s="189"/>
      <c r="E1068" s="190"/>
      <c r="G1068" s="70"/>
      <c r="H1068" s="70"/>
      <c r="J1068" s="70"/>
      <c r="L1068" s="71"/>
      <c r="N1068" s="65"/>
      <c r="O1068" s="64"/>
    </row>
    <row r="1069" spans="1:15" ht="15" customHeight="1" x14ac:dyDescent="0.2">
      <c r="A1069" s="188"/>
      <c r="C1069" s="189"/>
      <c r="E1069" s="190"/>
      <c r="G1069" s="70"/>
      <c r="H1069" s="70"/>
      <c r="J1069" s="70"/>
      <c r="L1069" s="71"/>
      <c r="N1069" s="65"/>
      <c r="O1069" s="64"/>
    </row>
    <row r="1070" spans="1:15" ht="15" customHeight="1" x14ac:dyDescent="0.2">
      <c r="A1070" s="188"/>
      <c r="C1070" s="189"/>
      <c r="E1070" s="190"/>
      <c r="G1070" s="70"/>
      <c r="H1070" s="70"/>
      <c r="J1070" s="70"/>
      <c r="L1070" s="71"/>
      <c r="N1070" s="65"/>
      <c r="O1070" s="64"/>
    </row>
    <row r="1071" spans="1:15" ht="15" customHeight="1" x14ac:dyDescent="0.2">
      <c r="A1071" s="188"/>
      <c r="C1071" s="189"/>
      <c r="E1071" s="190"/>
      <c r="G1071" s="70"/>
      <c r="H1071" s="70"/>
      <c r="J1071" s="70"/>
      <c r="L1071" s="71"/>
      <c r="N1071" s="65"/>
      <c r="O1071" s="64"/>
    </row>
    <row r="1072" spans="1:15" ht="15" customHeight="1" x14ac:dyDescent="0.2">
      <c r="A1072" s="188"/>
      <c r="C1072" s="189"/>
      <c r="E1072" s="190"/>
      <c r="G1072" s="70"/>
      <c r="H1072" s="70"/>
      <c r="J1072" s="70"/>
      <c r="L1072" s="71"/>
      <c r="N1072" s="65"/>
      <c r="O1072" s="64"/>
    </row>
    <row r="1073" spans="1:15" ht="15" customHeight="1" x14ac:dyDescent="0.2">
      <c r="A1073" s="188"/>
      <c r="C1073" s="189"/>
      <c r="E1073" s="190"/>
      <c r="G1073" s="70"/>
      <c r="H1073" s="70"/>
      <c r="J1073" s="70"/>
      <c r="L1073" s="71"/>
      <c r="N1073" s="65"/>
      <c r="O1073" s="64"/>
    </row>
    <row r="1074" spans="1:15" ht="15" customHeight="1" x14ac:dyDescent="0.2">
      <c r="A1074" s="188"/>
      <c r="C1074" s="189"/>
      <c r="E1074" s="190"/>
      <c r="G1074" s="70"/>
      <c r="H1074" s="70"/>
      <c r="J1074" s="70"/>
      <c r="L1074" s="71"/>
      <c r="N1074" s="65"/>
      <c r="O1074" s="64"/>
    </row>
    <row r="1075" spans="1:15" ht="15" customHeight="1" x14ac:dyDescent="0.2">
      <c r="A1075" s="188"/>
      <c r="C1075" s="189"/>
      <c r="E1075" s="190"/>
      <c r="G1075" s="70"/>
      <c r="H1075" s="70"/>
      <c r="J1075" s="70"/>
      <c r="L1075" s="71"/>
      <c r="N1075" s="65"/>
      <c r="O1075" s="64"/>
    </row>
    <row r="1076" spans="1:15" ht="15" customHeight="1" x14ac:dyDescent="0.2">
      <c r="A1076" s="188"/>
      <c r="C1076" s="189"/>
      <c r="E1076" s="190"/>
      <c r="G1076" s="70"/>
      <c r="H1076" s="70"/>
      <c r="J1076" s="70"/>
      <c r="L1076" s="71"/>
      <c r="N1076" s="65"/>
      <c r="O1076" s="64"/>
    </row>
    <row r="1077" spans="1:15" ht="15" customHeight="1" x14ac:dyDescent="0.2">
      <c r="A1077" s="188"/>
      <c r="C1077" s="189"/>
      <c r="E1077" s="190"/>
      <c r="G1077" s="70"/>
      <c r="H1077" s="70"/>
      <c r="J1077" s="70"/>
      <c r="L1077" s="71"/>
      <c r="N1077" s="65"/>
      <c r="O1077" s="64"/>
    </row>
    <row r="1078" spans="1:15" ht="15" customHeight="1" x14ac:dyDescent="0.2">
      <c r="A1078" s="188"/>
      <c r="C1078" s="189"/>
      <c r="E1078" s="190"/>
      <c r="G1078" s="70"/>
      <c r="H1078" s="70"/>
      <c r="J1078" s="70"/>
      <c r="L1078" s="71"/>
      <c r="N1078" s="65"/>
      <c r="O1078" s="64"/>
    </row>
    <row r="1079" spans="1:15" ht="15" customHeight="1" x14ac:dyDescent="0.2">
      <c r="A1079" s="188"/>
      <c r="C1079" s="189"/>
      <c r="E1079" s="190"/>
      <c r="G1079" s="70"/>
      <c r="H1079" s="70"/>
      <c r="J1079" s="70"/>
      <c r="L1079" s="71"/>
      <c r="N1079" s="65"/>
      <c r="O1079" s="64"/>
    </row>
    <row r="1080" spans="1:15" ht="15" customHeight="1" x14ac:dyDescent="0.2">
      <c r="A1080" s="188"/>
      <c r="C1080" s="189"/>
      <c r="E1080" s="190"/>
      <c r="G1080" s="70"/>
      <c r="H1080" s="70"/>
      <c r="J1080" s="70"/>
      <c r="L1080" s="71"/>
      <c r="N1080" s="65"/>
      <c r="O1080" s="64"/>
    </row>
    <row r="1081" spans="1:15" ht="15" customHeight="1" x14ac:dyDescent="0.2">
      <c r="A1081" s="188"/>
      <c r="C1081" s="189"/>
      <c r="E1081" s="190"/>
      <c r="G1081" s="70"/>
      <c r="H1081" s="70"/>
      <c r="J1081" s="70"/>
      <c r="L1081" s="71"/>
      <c r="N1081" s="65"/>
      <c r="O1081" s="64"/>
    </row>
    <row r="1082" spans="1:15" ht="15" customHeight="1" x14ac:dyDescent="0.2">
      <c r="A1082" s="188"/>
      <c r="C1082" s="189"/>
      <c r="E1082" s="190"/>
      <c r="G1082" s="70"/>
      <c r="H1082" s="70"/>
      <c r="J1082" s="70"/>
      <c r="L1082" s="71"/>
      <c r="N1082" s="65"/>
      <c r="O1082" s="64"/>
    </row>
    <row r="1083" spans="1:15" ht="15" customHeight="1" x14ac:dyDescent="0.2">
      <c r="A1083" s="188"/>
      <c r="C1083" s="189"/>
      <c r="E1083" s="190"/>
      <c r="G1083" s="70"/>
      <c r="H1083" s="70"/>
      <c r="J1083" s="70"/>
      <c r="L1083" s="71"/>
      <c r="N1083" s="65"/>
      <c r="O1083" s="64"/>
    </row>
    <row r="1084" spans="1:15" ht="15" customHeight="1" x14ac:dyDescent="0.2">
      <c r="A1084" s="188"/>
      <c r="C1084" s="189"/>
      <c r="E1084" s="190"/>
      <c r="G1084" s="70"/>
      <c r="H1084" s="70"/>
      <c r="J1084" s="70"/>
      <c r="L1084" s="71"/>
      <c r="N1084" s="65"/>
      <c r="O1084" s="64"/>
    </row>
    <row r="1085" spans="1:15" ht="15" customHeight="1" x14ac:dyDescent="0.2">
      <c r="A1085" s="188"/>
      <c r="C1085" s="189"/>
      <c r="E1085" s="190"/>
      <c r="G1085" s="70"/>
      <c r="H1085" s="70"/>
      <c r="J1085" s="70"/>
      <c r="L1085" s="71"/>
      <c r="N1085" s="65"/>
      <c r="O1085" s="64"/>
    </row>
    <row r="1086" spans="1:15" ht="15" customHeight="1" x14ac:dyDescent="0.2">
      <c r="A1086" s="188"/>
      <c r="C1086" s="189"/>
      <c r="E1086" s="190"/>
      <c r="G1086" s="70"/>
      <c r="H1086" s="70"/>
      <c r="J1086" s="70"/>
      <c r="L1086" s="71"/>
      <c r="N1086" s="65"/>
      <c r="O1086" s="64"/>
    </row>
    <row r="1087" spans="1:15" ht="15" customHeight="1" x14ac:dyDescent="0.2">
      <c r="A1087" s="188"/>
      <c r="C1087" s="189"/>
      <c r="E1087" s="190"/>
      <c r="G1087" s="70"/>
      <c r="H1087" s="70"/>
      <c r="J1087" s="70"/>
      <c r="L1087" s="71"/>
      <c r="N1087" s="65"/>
      <c r="O1087" s="64"/>
    </row>
    <row r="1088" spans="1:15" ht="15" customHeight="1" x14ac:dyDescent="0.2">
      <c r="A1088" s="188"/>
      <c r="C1088" s="189"/>
      <c r="E1088" s="190"/>
      <c r="G1088" s="70"/>
      <c r="H1088" s="70"/>
      <c r="J1088" s="70"/>
      <c r="L1088" s="71"/>
      <c r="N1088" s="65"/>
      <c r="O1088" s="64"/>
    </row>
    <row r="1089" spans="1:15" ht="15" customHeight="1" x14ac:dyDescent="0.2">
      <c r="A1089" s="188"/>
      <c r="C1089" s="189"/>
      <c r="E1089" s="190"/>
      <c r="G1089" s="70"/>
      <c r="H1089" s="70"/>
      <c r="J1089" s="70"/>
      <c r="L1089" s="71"/>
      <c r="N1089" s="65"/>
      <c r="O1089" s="64"/>
    </row>
    <row r="1090" spans="1:15" ht="15" customHeight="1" x14ac:dyDescent="0.2">
      <c r="A1090" s="188"/>
      <c r="C1090" s="189"/>
      <c r="E1090" s="190"/>
      <c r="G1090" s="70"/>
      <c r="H1090" s="70"/>
      <c r="J1090" s="70"/>
      <c r="L1090" s="71"/>
      <c r="N1090" s="65"/>
      <c r="O1090" s="64"/>
    </row>
    <row r="1091" spans="1:15" ht="15" customHeight="1" x14ac:dyDescent="0.2">
      <c r="A1091" s="188"/>
      <c r="C1091" s="189"/>
      <c r="E1091" s="190"/>
      <c r="G1091" s="70"/>
      <c r="H1091" s="70"/>
      <c r="J1091" s="70"/>
      <c r="L1091" s="71"/>
      <c r="N1091" s="65"/>
      <c r="O1091" s="64"/>
    </row>
    <row r="1092" spans="1:15" ht="15" customHeight="1" x14ac:dyDescent="0.2">
      <c r="A1092" s="188"/>
      <c r="C1092" s="189"/>
      <c r="E1092" s="190"/>
      <c r="G1092" s="70"/>
      <c r="H1092" s="70"/>
      <c r="J1092" s="70"/>
      <c r="L1092" s="71"/>
      <c r="N1092" s="65"/>
      <c r="O1092" s="64"/>
    </row>
    <row r="1093" spans="1:15" ht="15" customHeight="1" x14ac:dyDescent="0.2">
      <c r="A1093" s="188"/>
      <c r="C1093" s="189"/>
      <c r="E1093" s="190"/>
      <c r="G1093" s="70"/>
      <c r="H1093" s="70"/>
      <c r="J1093" s="70"/>
      <c r="L1093" s="71"/>
      <c r="N1093" s="65"/>
      <c r="O1093" s="64"/>
    </row>
    <row r="1094" spans="1:15" ht="15" customHeight="1" x14ac:dyDescent="0.2">
      <c r="A1094" s="188"/>
      <c r="C1094" s="189"/>
      <c r="E1094" s="190"/>
      <c r="G1094" s="70"/>
      <c r="H1094" s="70"/>
      <c r="J1094" s="70"/>
      <c r="L1094" s="71"/>
      <c r="N1094" s="65"/>
      <c r="O1094" s="64"/>
    </row>
    <row r="1095" spans="1:15" ht="15" customHeight="1" x14ac:dyDescent="0.2">
      <c r="A1095" s="188"/>
      <c r="C1095" s="189"/>
      <c r="E1095" s="190"/>
      <c r="G1095" s="70"/>
      <c r="H1095" s="70"/>
      <c r="J1095" s="70"/>
      <c r="L1095" s="71"/>
      <c r="N1095" s="65"/>
      <c r="O1095" s="64"/>
    </row>
    <row r="1096" spans="1:15" ht="15" customHeight="1" x14ac:dyDescent="0.2">
      <c r="A1096" s="188"/>
      <c r="C1096" s="189"/>
      <c r="E1096" s="190"/>
      <c r="G1096" s="70"/>
      <c r="H1096" s="70"/>
      <c r="J1096" s="70"/>
      <c r="L1096" s="71"/>
      <c r="N1096" s="65"/>
      <c r="O1096" s="64"/>
    </row>
    <row r="1097" spans="1:15" ht="15" customHeight="1" x14ac:dyDescent="0.2">
      <c r="A1097" s="188"/>
      <c r="C1097" s="189"/>
      <c r="E1097" s="190"/>
      <c r="G1097" s="70"/>
      <c r="H1097" s="70"/>
      <c r="J1097" s="70"/>
      <c r="L1097" s="71"/>
      <c r="N1097" s="65"/>
      <c r="O1097" s="64"/>
    </row>
    <row r="1098" spans="1:15" ht="15" customHeight="1" x14ac:dyDescent="0.2">
      <c r="A1098" s="188"/>
      <c r="C1098" s="189"/>
      <c r="E1098" s="190"/>
      <c r="G1098" s="70"/>
      <c r="H1098" s="70"/>
      <c r="J1098" s="70"/>
      <c r="L1098" s="71"/>
      <c r="N1098" s="65"/>
      <c r="O1098" s="64"/>
    </row>
    <row r="1099" spans="1:15" ht="15" customHeight="1" x14ac:dyDescent="0.2">
      <c r="A1099" s="188"/>
      <c r="C1099" s="189"/>
      <c r="E1099" s="190"/>
      <c r="G1099" s="70"/>
      <c r="H1099" s="70"/>
      <c r="J1099" s="70"/>
      <c r="L1099" s="71"/>
      <c r="N1099" s="65"/>
      <c r="O1099" s="64"/>
    </row>
    <row r="1100" spans="1:15" ht="15" customHeight="1" x14ac:dyDescent="0.2">
      <c r="A1100" s="188"/>
      <c r="C1100" s="189"/>
      <c r="E1100" s="190"/>
      <c r="G1100" s="70"/>
      <c r="H1100" s="70"/>
      <c r="J1100" s="70"/>
      <c r="L1100" s="71"/>
      <c r="N1100" s="65"/>
      <c r="O1100" s="64"/>
    </row>
    <row r="1101" spans="1:15" ht="15" customHeight="1" x14ac:dyDescent="0.2">
      <c r="A1101" s="188"/>
      <c r="C1101" s="189"/>
      <c r="E1101" s="190"/>
      <c r="G1101" s="70"/>
      <c r="H1101" s="70"/>
      <c r="J1101" s="70"/>
      <c r="L1101" s="71"/>
      <c r="N1101" s="65"/>
      <c r="O1101" s="64"/>
    </row>
    <row r="1102" spans="1:15" ht="15" customHeight="1" x14ac:dyDescent="0.2">
      <c r="A1102" s="188"/>
      <c r="C1102" s="189"/>
      <c r="E1102" s="190"/>
      <c r="G1102" s="70"/>
      <c r="H1102" s="70"/>
      <c r="J1102" s="70"/>
      <c r="L1102" s="71"/>
      <c r="N1102" s="65"/>
      <c r="O1102" s="64"/>
    </row>
    <row r="1103" spans="1:15" ht="15" customHeight="1" x14ac:dyDescent="0.2">
      <c r="A1103" s="188"/>
      <c r="C1103" s="189"/>
      <c r="E1103" s="190"/>
      <c r="G1103" s="70"/>
      <c r="H1103" s="70"/>
      <c r="J1103" s="70"/>
      <c r="L1103" s="71"/>
      <c r="N1103" s="65"/>
      <c r="O1103" s="64"/>
    </row>
    <row r="1104" spans="1:15" ht="15" customHeight="1" x14ac:dyDescent="0.2">
      <c r="A1104" s="188"/>
      <c r="C1104" s="189"/>
      <c r="E1104" s="190"/>
      <c r="G1104" s="70"/>
      <c r="H1104" s="70"/>
      <c r="J1104" s="70"/>
      <c r="L1104" s="71"/>
      <c r="N1104" s="65"/>
      <c r="O1104" s="64"/>
    </row>
    <row r="1105" spans="1:15" ht="15" customHeight="1" x14ac:dyDescent="0.2">
      <c r="A1105" s="188"/>
      <c r="C1105" s="189"/>
      <c r="E1105" s="190"/>
      <c r="G1105" s="70"/>
      <c r="H1105" s="70"/>
      <c r="J1105" s="70"/>
      <c r="L1105" s="71"/>
      <c r="N1105" s="65"/>
      <c r="O1105" s="64"/>
    </row>
    <row r="1106" spans="1:15" ht="15" customHeight="1" x14ac:dyDescent="0.2">
      <c r="A1106" s="188"/>
      <c r="C1106" s="189"/>
      <c r="E1106" s="190"/>
      <c r="G1106" s="70"/>
      <c r="H1106" s="70"/>
      <c r="J1106" s="70"/>
      <c r="L1106" s="71"/>
      <c r="N1106" s="65"/>
      <c r="O1106" s="64"/>
    </row>
    <row r="1107" spans="1:15" ht="15" customHeight="1" x14ac:dyDescent="0.2">
      <c r="A1107" s="188"/>
      <c r="C1107" s="189"/>
      <c r="E1107" s="190"/>
      <c r="G1107" s="70"/>
      <c r="H1107" s="70"/>
      <c r="J1107" s="70"/>
      <c r="L1107" s="71"/>
      <c r="N1107" s="65"/>
      <c r="O1107" s="64"/>
    </row>
    <row r="1108" spans="1:15" ht="15" customHeight="1" x14ac:dyDescent="0.2">
      <c r="A1108" s="188"/>
      <c r="C1108" s="189"/>
      <c r="E1108" s="190"/>
      <c r="G1108" s="70"/>
      <c r="H1108" s="70"/>
      <c r="J1108" s="70"/>
      <c r="L1108" s="71"/>
      <c r="N1108" s="65"/>
      <c r="O1108" s="64"/>
    </row>
    <row r="1109" spans="1:15" ht="15" customHeight="1" x14ac:dyDescent="0.2">
      <c r="A1109" s="188"/>
      <c r="C1109" s="189"/>
      <c r="E1109" s="190"/>
      <c r="G1109" s="70"/>
      <c r="H1109" s="70"/>
      <c r="J1109" s="70"/>
      <c r="L1109" s="71"/>
      <c r="N1109" s="65"/>
      <c r="O1109" s="64"/>
    </row>
    <row r="1110" spans="1:15" ht="15" customHeight="1" x14ac:dyDescent="0.2">
      <c r="A1110" s="188"/>
      <c r="C1110" s="189"/>
      <c r="E1110" s="190"/>
      <c r="G1110" s="70"/>
      <c r="H1110" s="70"/>
      <c r="J1110" s="70"/>
      <c r="L1110" s="71"/>
      <c r="N1110" s="65"/>
      <c r="O1110" s="64"/>
    </row>
    <row r="1111" spans="1:15" ht="15" customHeight="1" x14ac:dyDescent="0.2">
      <c r="A1111" s="188"/>
      <c r="C1111" s="189"/>
      <c r="E1111" s="190"/>
      <c r="G1111" s="70"/>
      <c r="H1111" s="70"/>
      <c r="J1111" s="70"/>
      <c r="L1111" s="71"/>
      <c r="N1111" s="65"/>
      <c r="O1111" s="64"/>
    </row>
    <row r="1112" spans="1:15" ht="15" customHeight="1" x14ac:dyDescent="0.2">
      <c r="A1112" s="188"/>
      <c r="C1112" s="189"/>
      <c r="E1112" s="190"/>
      <c r="G1112" s="70"/>
      <c r="H1112" s="70"/>
      <c r="J1112" s="70"/>
      <c r="L1112" s="71"/>
      <c r="N1112" s="65"/>
      <c r="O1112" s="64"/>
    </row>
    <row r="1113" spans="1:15" ht="15" customHeight="1" x14ac:dyDescent="0.2">
      <c r="A1113" s="188"/>
      <c r="C1113" s="189"/>
      <c r="E1113" s="190"/>
      <c r="G1113" s="70"/>
      <c r="H1113" s="70"/>
      <c r="J1113" s="70"/>
      <c r="L1113" s="71"/>
      <c r="N1113" s="65"/>
      <c r="O1113" s="64"/>
    </row>
    <row r="1114" spans="1:15" ht="15" customHeight="1" x14ac:dyDescent="0.2">
      <c r="A1114" s="188"/>
      <c r="C1114" s="189"/>
      <c r="E1114" s="190"/>
      <c r="G1114" s="70"/>
      <c r="H1114" s="70"/>
      <c r="J1114" s="70"/>
      <c r="L1114" s="71"/>
      <c r="N1114" s="65"/>
      <c r="O1114" s="64"/>
    </row>
    <row r="1115" spans="1:15" ht="15" customHeight="1" x14ac:dyDescent="0.2">
      <c r="A1115" s="188"/>
      <c r="C1115" s="189"/>
      <c r="E1115" s="190"/>
      <c r="G1115" s="70"/>
      <c r="H1115" s="70"/>
      <c r="J1115" s="70"/>
      <c r="L1115" s="71"/>
      <c r="N1115" s="65"/>
      <c r="O1115" s="64"/>
    </row>
    <row r="1116" spans="1:15" ht="15" customHeight="1" x14ac:dyDescent="0.2">
      <c r="A1116" s="188"/>
      <c r="C1116" s="189"/>
      <c r="E1116" s="190"/>
      <c r="G1116" s="70"/>
      <c r="H1116" s="70"/>
      <c r="J1116" s="70"/>
      <c r="L1116" s="71"/>
      <c r="N1116" s="65"/>
      <c r="O1116" s="64"/>
    </row>
    <row r="1117" spans="1:15" ht="15" customHeight="1" x14ac:dyDescent="0.2">
      <c r="A1117" s="188"/>
      <c r="C1117" s="189"/>
      <c r="E1117" s="190"/>
      <c r="G1117" s="70"/>
      <c r="H1117" s="70"/>
      <c r="J1117" s="70"/>
      <c r="L1117" s="71"/>
      <c r="N1117" s="65"/>
      <c r="O1117" s="64"/>
    </row>
    <row r="1118" spans="1:15" ht="15" customHeight="1" x14ac:dyDescent="0.2">
      <c r="A1118" s="188"/>
      <c r="C1118" s="189"/>
      <c r="E1118" s="190"/>
      <c r="G1118" s="70"/>
      <c r="H1118" s="70"/>
      <c r="J1118" s="70"/>
      <c r="L1118" s="71"/>
      <c r="N1118" s="65"/>
      <c r="O1118" s="64"/>
    </row>
    <row r="1119" spans="1:15" ht="15" customHeight="1" x14ac:dyDescent="0.2">
      <c r="A1119" s="188"/>
      <c r="C1119" s="189"/>
      <c r="E1119" s="190"/>
      <c r="G1119" s="70"/>
      <c r="H1119" s="70"/>
      <c r="J1119" s="70"/>
      <c r="L1119" s="71"/>
      <c r="N1119" s="65"/>
      <c r="O1119" s="64"/>
    </row>
    <row r="1120" spans="1:15" ht="15" customHeight="1" x14ac:dyDescent="0.2">
      <c r="A1120" s="188"/>
      <c r="C1120" s="189"/>
      <c r="E1120" s="190"/>
      <c r="G1120" s="70"/>
      <c r="H1120" s="70"/>
      <c r="J1120" s="70"/>
      <c r="L1120" s="71"/>
      <c r="N1120" s="65"/>
      <c r="O1120" s="64"/>
    </row>
    <row r="1121" spans="1:15" ht="15" customHeight="1" x14ac:dyDescent="0.2">
      <c r="A1121" s="188"/>
      <c r="C1121" s="189"/>
      <c r="E1121" s="190"/>
      <c r="G1121" s="70"/>
      <c r="H1121" s="70"/>
      <c r="J1121" s="70"/>
      <c r="L1121" s="71"/>
      <c r="N1121" s="65"/>
      <c r="O1121" s="64"/>
    </row>
    <row r="1122" spans="1:15" ht="15" customHeight="1" x14ac:dyDescent="0.2">
      <c r="A1122" s="188"/>
      <c r="C1122" s="189"/>
      <c r="E1122" s="190"/>
      <c r="G1122" s="70"/>
      <c r="H1122" s="70"/>
      <c r="J1122" s="70"/>
      <c r="L1122" s="71"/>
      <c r="N1122" s="65"/>
      <c r="O1122" s="64"/>
    </row>
    <row r="1123" spans="1:15" ht="15" customHeight="1" x14ac:dyDescent="0.2">
      <c r="A1123" s="188"/>
      <c r="C1123" s="189"/>
      <c r="E1123" s="190"/>
      <c r="G1123" s="70"/>
      <c r="H1123" s="70"/>
      <c r="J1123" s="70"/>
      <c r="L1123" s="71"/>
      <c r="N1123" s="65"/>
      <c r="O1123" s="64"/>
    </row>
    <row r="1124" spans="1:15" ht="15" customHeight="1" x14ac:dyDescent="0.2">
      <c r="A1124" s="188"/>
      <c r="C1124" s="189"/>
      <c r="E1124" s="190"/>
      <c r="G1124" s="70"/>
      <c r="H1124" s="70"/>
      <c r="J1124" s="70"/>
      <c r="L1124" s="71"/>
      <c r="N1124" s="65"/>
      <c r="O1124" s="64"/>
    </row>
    <row r="1125" spans="1:15" ht="15" customHeight="1" x14ac:dyDescent="0.2">
      <c r="A1125" s="188"/>
      <c r="C1125" s="189"/>
      <c r="E1125" s="190"/>
      <c r="G1125" s="70"/>
      <c r="H1125" s="70"/>
      <c r="J1125" s="70"/>
      <c r="L1125" s="71"/>
      <c r="N1125" s="65"/>
      <c r="O1125" s="64"/>
    </row>
    <row r="1126" spans="1:15" ht="15" customHeight="1" x14ac:dyDescent="0.2">
      <c r="A1126" s="188"/>
      <c r="C1126" s="189"/>
      <c r="E1126" s="190"/>
      <c r="G1126" s="70"/>
      <c r="H1126" s="70"/>
      <c r="J1126" s="70"/>
      <c r="L1126" s="71"/>
      <c r="N1126" s="65"/>
      <c r="O1126" s="64"/>
    </row>
    <row r="1127" spans="1:15" ht="15" customHeight="1" x14ac:dyDescent="0.2">
      <c r="A1127" s="188"/>
      <c r="C1127" s="189"/>
      <c r="E1127" s="190"/>
      <c r="G1127" s="70"/>
      <c r="H1127" s="70"/>
      <c r="J1127" s="70"/>
      <c r="L1127" s="71"/>
      <c r="N1127" s="65"/>
      <c r="O1127" s="64"/>
    </row>
    <row r="1128" spans="1:15" ht="15" customHeight="1" x14ac:dyDescent="0.2">
      <c r="A1128" s="188"/>
      <c r="C1128" s="189"/>
      <c r="E1128" s="190"/>
      <c r="G1128" s="70"/>
      <c r="H1128" s="70"/>
      <c r="J1128" s="70"/>
      <c r="L1128" s="71"/>
      <c r="N1128" s="65"/>
      <c r="O1128" s="64"/>
    </row>
    <row r="1129" spans="1:15" ht="15" customHeight="1" x14ac:dyDescent="0.2">
      <c r="A1129" s="188"/>
      <c r="C1129" s="189"/>
      <c r="E1129" s="190"/>
      <c r="G1129" s="70"/>
      <c r="H1129" s="70"/>
      <c r="J1129" s="70"/>
      <c r="L1129" s="71"/>
      <c r="N1129" s="65"/>
      <c r="O1129" s="64"/>
    </row>
    <row r="1130" spans="1:15" ht="15" customHeight="1" x14ac:dyDescent="0.2">
      <c r="A1130" s="188"/>
      <c r="C1130" s="189"/>
      <c r="E1130" s="190"/>
      <c r="G1130" s="70"/>
      <c r="H1130" s="70"/>
      <c r="J1130" s="70"/>
      <c r="L1130" s="71"/>
      <c r="N1130" s="65"/>
      <c r="O1130" s="64"/>
    </row>
    <row r="1131" spans="1:15" ht="15" customHeight="1" x14ac:dyDescent="0.2">
      <c r="A1131" s="188"/>
      <c r="C1131" s="189"/>
      <c r="E1131" s="190"/>
      <c r="G1131" s="70"/>
      <c r="H1131" s="70"/>
      <c r="J1131" s="70"/>
      <c r="L1131" s="71"/>
      <c r="N1131" s="65"/>
      <c r="O1131" s="64"/>
    </row>
    <row r="1132" spans="1:15" ht="15" customHeight="1" x14ac:dyDescent="0.2">
      <c r="A1132" s="188"/>
      <c r="C1132" s="189"/>
      <c r="E1132" s="190"/>
      <c r="G1132" s="70"/>
      <c r="H1132" s="70"/>
      <c r="J1132" s="70"/>
      <c r="L1132" s="71"/>
      <c r="N1132" s="65"/>
      <c r="O1132" s="64"/>
    </row>
    <row r="1133" spans="1:15" ht="15" customHeight="1" x14ac:dyDescent="0.2">
      <c r="A1133" s="188"/>
      <c r="C1133" s="189"/>
      <c r="E1133" s="190"/>
      <c r="G1133" s="70"/>
      <c r="H1133" s="70"/>
      <c r="J1133" s="70"/>
      <c r="L1133" s="71"/>
      <c r="N1133" s="65"/>
      <c r="O1133" s="64"/>
    </row>
    <row r="1134" spans="1:15" ht="15" customHeight="1" x14ac:dyDescent="0.2">
      <c r="A1134" s="188"/>
      <c r="C1134" s="189"/>
      <c r="E1134" s="190"/>
      <c r="G1134" s="70"/>
      <c r="H1134" s="70"/>
      <c r="J1134" s="70"/>
      <c r="L1134" s="71"/>
      <c r="N1134" s="65"/>
      <c r="O1134" s="64"/>
    </row>
    <row r="1135" spans="1:15" ht="15" customHeight="1" x14ac:dyDescent="0.2">
      <c r="A1135" s="188"/>
      <c r="C1135" s="189"/>
      <c r="E1135" s="190"/>
      <c r="G1135" s="70"/>
      <c r="H1135" s="70"/>
      <c r="J1135" s="70"/>
      <c r="L1135" s="71"/>
      <c r="N1135" s="65"/>
      <c r="O1135" s="64"/>
    </row>
    <row r="1136" spans="1:15" ht="15" customHeight="1" x14ac:dyDescent="0.2">
      <c r="A1136" s="188"/>
      <c r="C1136" s="189"/>
      <c r="E1136" s="190"/>
      <c r="G1136" s="70"/>
      <c r="H1136" s="70"/>
      <c r="J1136" s="70"/>
      <c r="L1136" s="71"/>
      <c r="N1136" s="65"/>
      <c r="O1136" s="64"/>
    </row>
    <row r="1137" spans="1:15" ht="15" customHeight="1" x14ac:dyDescent="0.2">
      <c r="A1137" s="188"/>
      <c r="C1137" s="189"/>
      <c r="E1137" s="190"/>
      <c r="G1137" s="70"/>
      <c r="H1137" s="70"/>
      <c r="J1137" s="70"/>
      <c r="L1137" s="71"/>
      <c r="N1137" s="65"/>
      <c r="O1137" s="64"/>
    </row>
    <row r="1138" spans="1:15" ht="15" customHeight="1" x14ac:dyDescent="0.2">
      <c r="A1138" s="188"/>
      <c r="C1138" s="189"/>
      <c r="E1138" s="190"/>
      <c r="G1138" s="70"/>
      <c r="H1138" s="70"/>
      <c r="J1138" s="70"/>
      <c r="L1138" s="71"/>
      <c r="N1138" s="65"/>
      <c r="O1138" s="64"/>
    </row>
    <row r="1139" spans="1:15" ht="15" customHeight="1" x14ac:dyDescent="0.2">
      <c r="A1139" s="188"/>
      <c r="C1139" s="189"/>
      <c r="E1139" s="190"/>
      <c r="G1139" s="70"/>
      <c r="H1139" s="70"/>
      <c r="J1139" s="70"/>
      <c r="L1139" s="71"/>
      <c r="N1139" s="65"/>
      <c r="O1139" s="64"/>
    </row>
    <row r="1140" spans="1:15" ht="15" customHeight="1" x14ac:dyDescent="0.2">
      <c r="A1140" s="188"/>
      <c r="C1140" s="189"/>
      <c r="E1140" s="190"/>
      <c r="G1140" s="70"/>
      <c r="H1140" s="70"/>
      <c r="J1140" s="70"/>
      <c r="L1140" s="71"/>
      <c r="N1140" s="65"/>
      <c r="O1140" s="64"/>
    </row>
    <row r="1141" spans="1:15" ht="15" customHeight="1" x14ac:dyDescent="0.2">
      <c r="A1141" s="188"/>
      <c r="C1141" s="189"/>
      <c r="E1141" s="190"/>
      <c r="G1141" s="70"/>
      <c r="H1141" s="70"/>
      <c r="J1141" s="70"/>
      <c r="L1141" s="71"/>
      <c r="N1141" s="65"/>
      <c r="O1141" s="64"/>
    </row>
    <row r="1142" spans="1:15" ht="15" customHeight="1" x14ac:dyDescent="0.2">
      <c r="A1142" s="188"/>
      <c r="C1142" s="189"/>
      <c r="E1142" s="190"/>
      <c r="G1142" s="70"/>
      <c r="H1142" s="70"/>
      <c r="J1142" s="70"/>
      <c r="L1142" s="71"/>
      <c r="N1142" s="65"/>
      <c r="O1142" s="64"/>
    </row>
    <row r="1143" spans="1:15" ht="15" customHeight="1" x14ac:dyDescent="0.2">
      <c r="A1143" s="188"/>
      <c r="C1143" s="189"/>
      <c r="E1143" s="190"/>
      <c r="G1143" s="70"/>
      <c r="H1143" s="70"/>
      <c r="J1143" s="70"/>
      <c r="L1143" s="71"/>
      <c r="N1143" s="65"/>
      <c r="O1143" s="64"/>
    </row>
    <row r="1144" spans="1:15" ht="15" customHeight="1" x14ac:dyDescent="0.2">
      <c r="A1144" s="188"/>
      <c r="C1144" s="189"/>
      <c r="E1144" s="190"/>
      <c r="G1144" s="70"/>
      <c r="H1144" s="70"/>
      <c r="J1144" s="70"/>
      <c r="L1144" s="71"/>
      <c r="N1144" s="65"/>
      <c r="O1144" s="64"/>
    </row>
    <row r="1145" spans="1:15" ht="15" customHeight="1" x14ac:dyDescent="0.2">
      <c r="A1145" s="188"/>
      <c r="C1145" s="189"/>
      <c r="E1145" s="190"/>
      <c r="G1145" s="70"/>
      <c r="H1145" s="70"/>
      <c r="J1145" s="70"/>
      <c r="L1145" s="71"/>
      <c r="N1145" s="65"/>
      <c r="O1145" s="64"/>
    </row>
    <row r="1146" spans="1:15" ht="15" customHeight="1" x14ac:dyDescent="0.2">
      <c r="A1146" s="188"/>
      <c r="C1146" s="189"/>
      <c r="E1146" s="190"/>
      <c r="G1146" s="70"/>
      <c r="H1146" s="70"/>
      <c r="J1146" s="70"/>
      <c r="L1146" s="71"/>
      <c r="N1146" s="65"/>
      <c r="O1146" s="64"/>
    </row>
    <row r="1147" spans="1:15" ht="15" customHeight="1" x14ac:dyDescent="0.2">
      <c r="A1147" s="188"/>
      <c r="C1147" s="189"/>
      <c r="E1147" s="190"/>
      <c r="G1147" s="70"/>
      <c r="H1147" s="70"/>
      <c r="J1147" s="70"/>
      <c r="L1147" s="71"/>
      <c r="N1147" s="65"/>
      <c r="O1147" s="64"/>
    </row>
    <row r="1148" spans="1:15" ht="15" customHeight="1" x14ac:dyDescent="0.2">
      <c r="A1148" s="188"/>
      <c r="C1148" s="189"/>
      <c r="E1148" s="190"/>
      <c r="G1148" s="70"/>
      <c r="H1148" s="70"/>
      <c r="J1148" s="70"/>
      <c r="L1148" s="71"/>
      <c r="N1148" s="65"/>
      <c r="O1148" s="64"/>
    </row>
    <row r="1149" spans="1:15" ht="15" customHeight="1" x14ac:dyDescent="0.2">
      <c r="A1149" s="188"/>
      <c r="C1149" s="189"/>
      <c r="E1149" s="190"/>
      <c r="G1149" s="70"/>
      <c r="H1149" s="70"/>
      <c r="J1149" s="70"/>
      <c r="L1149" s="71"/>
      <c r="N1149" s="65"/>
      <c r="O1149" s="64"/>
    </row>
    <row r="1150" spans="1:15" ht="15" customHeight="1" x14ac:dyDescent="0.2">
      <c r="A1150" s="188"/>
      <c r="C1150" s="189"/>
      <c r="E1150" s="190"/>
      <c r="G1150" s="70"/>
      <c r="H1150" s="70"/>
      <c r="J1150" s="70"/>
      <c r="L1150" s="71"/>
      <c r="N1150" s="65"/>
      <c r="O1150" s="64"/>
    </row>
    <row r="1151" spans="1:15" ht="15" customHeight="1" x14ac:dyDescent="0.2">
      <c r="A1151" s="188"/>
      <c r="C1151" s="189"/>
      <c r="E1151" s="190"/>
      <c r="G1151" s="70"/>
      <c r="H1151" s="70"/>
      <c r="J1151" s="70"/>
      <c r="L1151" s="71"/>
      <c r="N1151" s="65"/>
      <c r="O1151" s="64"/>
    </row>
    <row r="1152" spans="1:15" ht="15" customHeight="1" x14ac:dyDescent="0.2">
      <c r="A1152" s="188"/>
      <c r="C1152" s="189"/>
      <c r="E1152" s="190"/>
      <c r="G1152" s="70"/>
      <c r="H1152" s="70"/>
      <c r="J1152" s="70"/>
      <c r="L1152" s="71"/>
      <c r="N1152" s="65"/>
      <c r="O1152" s="64"/>
    </row>
    <row r="1153" spans="1:15" ht="15" customHeight="1" x14ac:dyDescent="0.2">
      <c r="A1153" s="188"/>
      <c r="C1153" s="189"/>
      <c r="E1153" s="190"/>
      <c r="G1153" s="70"/>
      <c r="H1153" s="70"/>
      <c r="J1153" s="70"/>
      <c r="L1153" s="71"/>
      <c r="N1153" s="65"/>
      <c r="O1153" s="64"/>
    </row>
    <row r="1154" spans="1:15" ht="15" customHeight="1" x14ac:dyDescent="0.2">
      <c r="A1154" s="188"/>
      <c r="C1154" s="189"/>
      <c r="E1154" s="190"/>
      <c r="G1154" s="70"/>
      <c r="H1154" s="70"/>
      <c r="J1154" s="70"/>
      <c r="L1154" s="71"/>
      <c r="N1154" s="65"/>
      <c r="O1154" s="64"/>
    </row>
    <row r="1155" spans="1:15" ht="15" customHeight="1" x14ac:dyDescent="0.2">
      <c r="A1155" s="188"/>
      <c r="C1155" s="189"/>
      <c r="E1155" s="190"/>
      <c r="G1155" s="70"/>
      <c r="H1155" s="70"/>
      <c r="J1155" s="70"/>
      <c r="L1155" s="71"/>
      <c r="N1155" s="65"/>
      <c r="O1155" s="64"/>
    </row>
    <row r="1156" spans="1:15" ht="15" customHeight="1" x14ac:dyDescent="0.2">
      <c r="A1156" s="188"/>
      <c r="C1156" s="189"/>
      <c r="E1156" s="190"/>
      <c r="G1156" s="70"/>
      <c r="H1156" s="70"/>
      <c r="J1156" s="70"/>
      <c r="L1156" s="71"/>
      <c r="N1156" s="65"/>
      <c r="O1156" s="64"/>
    </row>
    <row r="1157" spans="1:15" ht="15" customHeight="1" x14ac:dyDescent="0.2">
      <c r="A1157" s="188"/>
      <c r="C1157" s="189"/>
      <c r="E1157" s="190"/>
      <c r="G1157" s="70"/>
      <c r="H1157" s="70"/>
      <c r="J1157" s="70"/>
      <c r="L1157" s="71"/>
      <c r="N1157" s="65"/>
      <c r="O1157" s="64"/>
    </row>
    <row r="1158" spans="1:15" ht="15" customHeight="1" x14ac:dyDescent="0.2">
      <c r="A1158" s="188"/>
      <c r="C1158" s="189"/>
      <c r="E1158" s="190"/>
      <c r="G1158" s="70"/>
      <c r="H1158" s="70"/>
      <c r="J1158" s="70"/>
      <c r="L1158" s="71"/>
      <c r="N1158" s="65"/>
      <c r="O1158" s="64"/>
    </row>
    <row r="1159" spans="1:15" ht="15" customHeight="1" x14ac:dyDescent="0.2">
      <c r="A1159" s="188"/>
      <c r="C1159" s="189"/>
      <c r="E1159" s="190"/>
      <c r="G1159" s="70"/>
      <c r="H1159" s="70"/>
      <c r="J1159" s="70"/>
      <c r="L1159" s="71"/>
      <c r="N1159" s="65"/>
      <c r="O1159" s="64"/>
    </row>
    <row r="1160" spans="1:15" ht="15" customHeight="1" x14ac:dyDescent="0.2">
      <c r="A1160" s="188"/>
      <c r="C1160" s="189"/>
      <c r="E1160" s="190"/>
      <c r="G1160" s="70"/>
      <c r="H1160" s="70"/>
      <c r="J1160" s="70"/>
      <c r="L1160" s="71"/>
      <c r="N1160" s="65"/>
      <c r="O1160" s="64"/>
    </row>
    <row r="1161" spans="1:15" ht="15" customHeight="1" x14ac:dyDescent="0.2">
      <c r="A1161" s="188"/>
      <c r="C1161" s="189"/>
      <c r="E1161" s="190"/>
      <c r="G1161" s="70"/>
      <c r="H1161" s="70"/>
      <c r="J1161" s="70"/>
      <c r="L1161" s="71"/>
      <c r="N1161" s="65"/>
      <c r="O1161" s="64"/>
    </row>
    <row r="1162" spans="1:15" ht="15" customHeight="1" x14ac:dyDescent="0.2">
      <c r="A1162" s="188"/>
      <c r="C1162" s="189"/>
      <c r="E1162" s="190"/>
      <c r="G1162" s="70"/>
      <c r="H1162" s="70"/>
      <c r="J1162" s="70"/>
      <c r="L1162" s="71"/>
      <c r="N1162" s="65"/>
      <c r="O1162" s="64"/>
    </row>
    <row r="1163" spans="1:15" ht="15" customHeight="1" x14ac:dyDescent="0.2">
      <c r="A1163" s="188"/>
      <c r="C1163" s="189"/>
      <c r="E1163" s="190"/>
      <c r="G1163" s="70"/>
      <c r="H1163" s="70"/>
      <c r="J1163" s="70"/>
      <c r="L1163" s="71"/>
      <c r="N1163" s="65"/>
      <c r="O1163" s="64"/>
    </row>
    <row r="1164" spans="1:15" ht="15" customHeight="1" x14ac:dyDescent="0.2">
      <c r="A1164" s="188"/>
      <c r="C1164" s="189"/>
      <c r="E1164" s="190"/>
      <c r="G1164" s="70"/>
      <c r="H1164" s="70"/>
      <c r="J1164" s="70"/>
      <c r="L1164" s="71"/>
      <c r="N1164" s="65"/>
      <c r="O1164" s="64"/>
    </row>
    <row r="1165" spans="1:15" ht="15" customHeight="1" x14ac:dyDescent="0.2">
      <c r="A1165" s="188"/>
      <c r="C1165" s="189"/>
      <c r="E1165" s="190"/>
      <c r="G1165" s="70"/>
      <c r="H1165" s="70"/>
      <c r="J1165" s="70"/>
      <c r="L1165" s="71"/>
      <c r="N1165" s="65"/>
      <c r="O1165" s="64"/>
    </row>
    <row r="1166" spans="1:15" ht="15" customHeight="1" x14ac:dyDescent="0.2">
      <c r="A1166" s="188"/>
      <c r="C1166" s="189"/>
      <c r="E1166" s="190"/>
      <c r="G1166" s="70"/>
      <c r="H1166" s="70"/>
      <c r="J1166" s="70"/>
      <c r="L1166" s="71"/>
      <c r="N1166" s="65"/>
      <c r="O1166" s="64"/>
    </row>
    <row r="1167" spans="1:15" ht="15" customHeight="1" x14ac:dyDescent="0.2">
      <c r="A1167" s="188"/>
      <c r="C1167" s="189"/>
      <c r="E1167" s="190"/>
      <c r="G1167" s="70"/>
      <c r="H1167" s="70"/>
      <c r="J1167" s="70"/>
      <c r="L1167" s="71"/>
      <c r="N1167" s="65"/>
      <c r="O1167" s="64"/>
    </row>
    <row r="1168" spans="1:15" ht="15" customHeight="1" x14ac:dyDescent="0.2">
      <c r="A1168" s="188"/>
      <c r="C1168" s="189"/>
      <c r="E1168" s="190"/>
      <c r="G1168" s="70"/>
      <c r="H1168" s="70"/>
      <c r="J1168" s="70"/>
      <c r="L1168" s="71"/>
      <c r="N1168" s="65"/>
      <c r="O1168" s="64"/>
    </row>
    <row r="1169" spans="1:15" ht="15" customHeight="1" x14ac:dyDescent="0.2">
      <c r="A1169" s="188"/>
      <c r="C1169" s="189"/>
      <c r="E1169" s="190"/>
      <c r="G1169" s="70"/>
      <c r="H1169" s="70"/>
      <c r="J1169" s="70"/>
      <c r="L1169" s="71"/>
      <c r="N1169" s="65"/>
      <c r="O1169" s="64"/>
    </row>
    <row r="1170" spans="1:15" ht="15" customHeight="1" x14ac:dyDescent="0.2">
      <c r="A1170" s="188"/>
      <c r="C1170" s="189"/>
      <c r="E1170" s="190"/>
      <c r="G1170" s="70"/>
      <c r="H1170" s="70"/>
      <c r="J1170" s="70"/>
      <c r="L1170" s="71"/>
      <c r="N1170" s="65"/>
      <c r="O1170" s="64"/>
    </row>
    <row r="1171" spans="1:15" ht="15" customHeight="1" x14ac:dyDescent="0.2">
      <c r="A1171" s="188"/>
      <c r="C1171" s="189"/>
      <c r="E1171" s="190"/>
      <c r="G1171" s="70"/>
      <c r="H1171" s="70"/>
      <c r="J1171" s="70"/>
      <c r="L1171" s="71"/>
      <c r="N1171" s="65"/>
      <c r="O1171" s="64"/>
    </row>
    <row r="1172" spans="1:15" ht="15" customHeight="1" x14ac:dyDescent="0.2">
      <c r="A1172" s="188"/>
      <c r="C1172" s="189"/>
      <c r="E1172" s="190"/>
      <c r="G1172" s="70"/>
      <c r="H1172" s="70"/>
      <c r="J1172" s="70"/>
      <c r="L1172" s="71"/>
      <c r="N1172" s="65"/>
      <c r="O1172" s="64"/>
    </row>
    <row r="1173" spans="1:15" ht="15" customHeight="1" x14ac:dyDescent="0.2">
      <c r="A1173" s="188"/>
      <c r="C1173" s="189"/>
      <c r="E1173" s="190"/>
      <c r="G1173" s="70"/>
      <c r="H1173" s="70"/>
      <c r="J1173" s="70"/>
      <c r="L1173" s="71"/>
      <c r="N1173" s="65"/>
      <c r="O1173" s="64"/>
    </row>
    <row r="1174" spans="1:15" ht="15" customHeight="1" x14ac:dyDescent="0.2">
      <c r="A1174" s="188"/>
      <c r="C1174" s="189"/>
      <c r="E1174" s="190"/>
      <c r="G1174" s="70"/>
      <c r="H1174" s="70"/>
      <c r="J1174" s="70"/>
      <c r="L1174" s="71"/>
      <c r="N1174" s="65"/>
      <c r="O1174" s="64"/>
    </row>
    <row r="1175" spans="1:15" ht="15" customHeight="1" x14ac:dyDescent="0.2">
      <c r="A1175" s="188"/>
      <c r="C1175" s="189"/>
      <c r="E1175" s="190"/>
      <c r="G1175" s="70"/>
      <c r="H1175" s="70"/>
      <c r="J1175" s="70"/>
      <c r="L1175" s="71"/>
      <c r="N1175" s="65"/>
      <c r="O1175" s="64"/>
    </row>
    <row r="1176" spans="1:15" ht="15" customHeight="1" x14ac:dyDescent="0.2">
      <c r="A1176" s="188"/>
      <c r="C1176" s="189"/>
      <c r="E1176" s="190"/>
      <c r="G1176" s="70"/>
      <c r="H1176" s="70"/>
      <c r="J1176" s="70"/>
      <c r="L1176" s="71"/>
      <c r="N1176" s="65"/>
      <c r="O1176" s="64"/>
    </row>
    <row r="1177" spans="1:15" ht="15" customHeight="1" x14ac:dyDescent="0.2">
      <c r="A1177" s="188"/>
      <c r="C1177" s="189"/>
      <c r="E1177" s="190"/>
      <c r="G1177" s="70"/>
      <c r="H1177" s="70"/>
      <c r="J1177" s="70"/>
      <c r="L1177" s="71"/>
      <c r="N1177" s="65"/>
      <c r="O1177" s="64"/>
    </row>
    <row r="1178" spans="1:15" ht="15" customHeight="1" x14ac:dyDescent="0.2">
      <c r="A1178" s="188"/>
      <c r="C1178" s="189"/>
      <c r="E1178" s="190"/>
      <c r="G1178" s="70"/>
      <c r="H1178" s="70"/>
      <c r="J1178" s="70"/>
      <c r="L1178" s="71"/>
      <c r="N1178" s="65"/>
      <c r="O1178" s="64"/>
    </row>
    <row r="1179" spans="1:15" ht="15" customHeight="1" x14ac:dyDescent="0.2">
      <c r="A1179" s="188"/>
      <c r="C1179" s="189"/>
      <c r="E1179" s="190"/>
      <c r="G1179" s="70"/>
      <c r="H1179" s="70"/>
      <c r="J1179" s="70"/>
      <c r="L1179" s="71"/>
      <c r="N1179" s="65"/>
      <c r="O1179" s="64"/>
    </row>
    <row r="1180" spans="1:15" ht="15" customHeight="1" x14ac:dyDescent="0.2">
      <c r="A1180" s="188"/>
      <c r="C1180" s="189"/>
      <c r="E1180" s="190"/>
      <c r="G1180" s="70"/>
      <c r="H1180" s="70"/>
      <c r="J1180" s="70"/>
      <c r="L1180" s="71"/>
      <c r="N1180" s="65"/>
      <c r="O1180" s="64"/>
    </row>
    <row r="1181" spans="1:15" ht="15" customHeight="1" x14ac:dyDescent="0.2">
      <c r="A1181" s="188"/>
      <c r="C1181" s="189"/>
      <c r="E1181" s="190"/>
      <c r="G1181" s="70"/>
      <c r="H1181" s="70"/>
      <c r="J1181" s="70"/>
      <c r="L1181" s="71"/>
      <c r="N1181" s="65"/>
      <c r="O1181" s="64"/>
    </row>
    <row r="1182" spans="1:15" ht="15" customHeight="1" x14ac:dyDescent="0.2">
      <c r="A1182" s="188"/>
      <c r="C1182" s="189"/>
      <c r="E1182" s="190"/>
      <c r="G1182" s="70"/>
      <c r="H1182" s="70"/>
      <c r="J1182" s="70"/>
      <c r="L1182" s="71"/>
      <c r="N1182" s="65"/>
      <c r="O1182" s="64"/>
    </row>
    <row r="1183" spans="1:15" ht="15" customHeight="1" x14ac:dyDescent="0.2">
      <c r="A1183" s="188"/>
      <c r="C1183" s="189"/>
      <c r="E1183" s="190"/>
      <c r="G1183" s="70"/>
      <c r="H1183" s="70"/>
      <c r="J1183" s="70"/>
      <c r="L1183" s="71"/>
      <c r="N1183" s="65"/>
      <c r="O1183" s="64"/>
    </row>
    <row r="1184" spans="1:15" ht="15" customHeight="1" x14ac:dyDescent="0.2">
      <c r="A1184" s="188"/>
      <c r="C1184" s="189"/>
      <c r="E1184" s="190"/>
      <c r="G1184" s="70"/>
      <c r="H1184" s="70"/>
      <c r="J1184" s="70"/>
      <c r="L1184" s="71"/>
      <c r="N1184" s="65"/>
      <c r="O1184" s="64"/>
    </row>
    <row r="1185" spans="1:15" ht="15" customHeight="1" x14ac:dyDescent="0.2">
      <c r="A1185" s="188"/>
      <c r="C1185" s="189"/>
      <c r="E1185" s="190"/>
      <c r="G1185" s="70"/>
      <c r="H1185" s="70"/>
      <c r="J1185" s="70"/>
      <c r="L1185" s="71"/>
      <c r="N1185" s="65"/>
      <c r="O1185" s="64"/>
    </row>
    <row r="1186" spans="1:15" ht="15" customHeight="1" x14ac:dyDescent="0.2">
      <c r="A1186" s="188"/>
      <c r="C1186" s="189"/>
      <c r="E1186" s="190"/>
      <c r="G1186" s="70"/>
      <c r="H1186" s="70"/>
      <c r="J1186" s="70"/>
      <c r="L1186" s="71"/>
      <c r="N1186" s="65"/>
      <c r="O1186" s="64"/>
    </row>
    <row r="1187" spans="1:15" ht="15" customHeight="1" x14ac:dyDescent="0.2">
      <c r="A1187" s="188"/>
      <c r="C1187" s="189"/>
      <c r="E1187" s="190"/>
      <c r="G1187" s="70"/>
      <c r="H1187" s="70"/>
      <c r="J1187" s="70"/>
      <c r="L1187" s="71"/>
      <c r="N1187" s="65"/>
      <c r="O1187" s="64"/>
    </row>
    <row r="1188" spans="1:15" ht="15" customHeight="1" x14ac:dyDescent="0.2">
      <c r="A1188" s="188"/>
      <c r="C1188" s="189"/>
      <c r="E1188" s="190"/>
      <c r="G1188" s="70"/>
      <c r="H1188" s="70"/>
      <c r="J1188" s="70"/>
      <c r="L1188" s="71"/>
      <c r="N1188" s="65"/>
      <c r="O1188" s="64"/>
    </row>
    <row r="1189" spans="1:15" ht="15" customHeight="1" x14ac:dyDescent="0.2">
      <c r="A1189" s="188"/>
      <c r="C1189" s="189"/>
      <c r="E1189" s="190"/>
      <c r="G1189" s="70"/>
      <c r="H1189" s="70"/>
      <c r="J1189" s="70"/>
      <c r="L1189" s="71"/>
      <c r="N1189" s="65"/>
      <c r="O1189" s="64"/>
    </row>
    <row r="1190" spans="1:15" ht="15" customHeight="1" x14ac:dyDescent="0.2">
      <c r="A1190" s="188"/>
      <c r="C1190" s="189"/>
      <c r="E1190" s="190"/>
      <c r="G1190" s="70"/>
      <c r="H1190" s="70"/>
      <c r="J1190" s="70"/>
      <c r="L1190" s="71"/>
      <c r="N1190" s="65"/>
      <c r="O1190" s="64"/>
    </row>
    <row r="1191" spans="1:15" ht="15" customHeight="1" x14ac:dyDescent="0.2">
      <c r="A1191" s="188"/>
      <c r="C1191" s="189"/>
      <c r="E1191" s="190"/>
      <c r="G1191" s="70"/>
      <c r="H1191" s="70"/>
      <c r="J1191" s="70"/>
      <c r="L1191" s="71"/>
      <c r="N1191" s="65"/>
      <c r="O1191" s="64"/>
    </row>
    <row r="1192" spans="1:15" ht="15" customHeight="1" x14ac:dyDescent="0.2">
      <c r="A1192" s="188"/>
      <c r="C1192" s="189"/>
      <c r="E1192" s="190"/>
      <c r="G1192" s="70"/>
      <c r="H1192" s="70"/>
      <c r="J1192" s="70"/>
      <c r="L1192" s="71"/>
      <c r="N1192" s="65"/>
      <c r="O1192" s="64"/>
    </row>
    <row r="1193" spans="1:15" ht="15" customHeight="1" x14ac:dyDescent="0.2">
      <c r="A1193" s="188"/>
      <c r="C1193" s="189"/>
      <c r="E1193" s="190"/>
      <c r="G1193" s="70"/>
      <c r="H1193" s="70"/>
      <c r="J1193" s="70"/>
      <c r="L1193" s="71"/>
      <c r="N1193" s="65"/>
      <c r="O1193" s="64"/>
    </row>
    <row r="1194" spans="1:15" ht="15" customHeight="1" x14ac:dyDescent="0.2">
      <c r="A1194" s="188"/>
      <c r="C1194" s="189"/>
      <c r="E1194" s="190"/>
      <c r="G1194" s="70"/>
      <c r="H1194" s="70"/>
      <c r="J1194" s="70"/>
      <c r="L1194" s="71"/>
      <c r="N1194" s="65"/>
      <c r="O1194" s="64"/>
    </row>
    <row r="1195" spans="1:15" ht="15" customHeight="1" x14ac:dyDescent="0.2">
      <c r="A1195" s="188"/>
      <c r="C1195" s="189"/>
      <c r="E1195" s="190"/>
      <c r="G1195" s="70"/>
      <c r="H1195" s="70"/>
      <c r="J1195" s="70"/>
      <c r="L1195" s="71"/>
      <c r="N1195" s="65"/>
      <c r="O1195" s="64"/>
    </row>
    <row r="1196" spans="1:15" ht="15" customHeight="1" x14ac:dyDescent="0.2">
      <c r="A1196" s="188"/>
      <c r="C1196" s="189"/>
      <c r="E1196" s="190"/>
      <c r="G1196" s="70"/>
      <c r="H1196" s="70"/>
      <c r="J1196" s="70"/>
      <c r="L1196" s="71"/>
      <c r="N1196" s="65"/>
      <c r="O1196" s="64"/>
    </row>
    <row r="1197" spans="1:15" ht="15" customHeight="1" x14ac:dyDescent="0.2">
      <c r="A1197" s="188"/>
      <c r="C1197" s="189"/>
      <c r="E1197" s="190"/>
      <c r="G1197" s="70"/>
      <c r="H1197" s="70"/>
      <c r="J1197" s="70"/>
      <c r="L1197" s="71"/>
      <c r="N1197" s="65"/>
      <c r="O1197" s="64"/>
    </row>
    <row r="1198" spans="1:15" ht="15" customHeight="1" x14ac:dyDescent="0.2">
      <c r="A1198" s="188"/>
      <c r="C1198" s="189"/>
      <c r="E1198" s="190"/>
      <c r="G1198" s="70"/>
      <c r="H1198" s="70"/>
      <c r="J1198" s="70"/>
      <c r="L1198" s="71"/>
      <c r="N1198" s="65"/>
      <c r="O1198" s="64"/>
    </row>
    <row r="1199" spans="1:15" ht="15" customHeight="1" x14ac:dyDescent="0.2">
      <c r="A1199" s="188"/>
      <c r="C1199" s="189"/>
      <c r="E1199" s="190"/>
      <c r="G1199" s="70"/>
      <c r="H1199" s="70"/>
      <c r="J1199" s="70"/>
      <c r="L1199" s="71"/>
      <c r="N1199" s="65"/>
      <c r="O1199" s="64"/>
    </row>
    <row r="1200" spans="1:15" ht="15" customHeight="1" x14ac:dyDescent="0.2">
      <c r="A1200" s="188"/>
      <c r="C1200" s="189"/>
      <c r="E1200" s="190"/>
      <c r="G1200" s="70"/>
      <c r="H1200" s="70"/>
      <c r="J1200" s="70"/>
      <c r="L1200" s="71"/>
      <c r="N1200" s="65"/>
      <c r="O1200" s="64"/>
    </row>
    <row r="1201" spans="1:15" ht="15" customHeight="1" x14ac:dyDescent="0.2">
      <c r="A1201" s="188"/>
      <c r="C1201" s="189"/>
      <c r="E1201" s="190"/>
      <c r="G1201" s="70"/>
      <c r="H1201" s="70"/>
      <c r="J1201" s="70"/>
      <c r="L1201" s="71"/>
      <c r="N1201" s="65"/>
      <c r="O1201" s="64"/>
    </row>
    <row r="1202" spans="1:15" ht="15" customHeight="1" x14ac:dyDescent="0.2">
      <c r="A1202" s="188"/>
      <c r="C1202" s="189"/>
      <c r="E1202" s="190"/>
      <c r="G1202" s="70"/>
      <c r="H1202" s="70"/>
      <c r="J1202" s="70"/>
      <c r="L1202" s="71"/>
      <c r="N1202" s="65"/>
      <c r="O1202" s="64"/>
    </row>
    <row r="1203" spans="1:15" ht="15" customHeight="1" x14ac:dyDescent="0.2">
      <c r="A1203" s="188"/>
      <c r="C1203" s="189"/>
      <c r="E1203" s="190"/>
      <c r="G1203" s="70"/>
      <c r="H1203" s="70"/>
      <c r="J1203" s="70"/>
      <c r="L1203" s="71"/>
      <c r="N1203" s="65"/>
      <c r="O1203" s="64"/>
    </row>
    <row r="1204" spans="1:15" ht="15" customHeight="1" x14ac:dyDescent="0.2">
      <c r="A1204" s="188"/>
      <c r="C1204" s="189"/>
      <c r="E1204" s="190"/>
      <c r="G1204" s="70"/>
      <c r="H1204" s="70"/>
      <c r="J1204" s="70"/>
      <c r="L1204" s="71"/>
      <c r="N1204" s="65"/>
      <c r="O1204" s="64"/>
    </row>
    <row r="1205" spans="1:15" ht="15" customHeight="1" x14ac:dyDescent="0.2">
      <c r="A1205" s="188"/>
      <c r="C1205" s="189"/>
      <c r="E1205" s="190"/>
      <c r="G1205" s="70"/>
      <c r="H1205" s="70"/>
      <c r="J1205" s="70"/>
      <c r="L1205" s="71"/>
      <c r="N1205" s="65"/>
      <c r="O1205" s="64"/>
    </row>
    <row r="1206" spans="1:15" ht="15" customHeight="1" x14ac:dyDescent="0.2">
      <c r="A1206" s="188"/>
      <c r="C1206" s="189"/>
      <c r="E1206" s="190"/>
      <c r="G1206" s="70"/>
      <c r="H1206" s="70"/>
      <c r="J1206" s="70"/>
      <c r="L1206" s="71"/>
      <c r="N1206" s="65"/>
      <c r="O1206" s="64"/>
    </row>
    <row r="1207" spans="1:15" ht="15" customHeight="1" x14ac:dyDescent="0.2">
      <c r="A1207" s="188"/>
      <c r="C1207" s="189"/>
      <c r="E1207" s="190"/>
      <c r="G1207" s="70"/>
      <c r="H1207" s="70"/>
      <c r="J1207" s="70"/>
      <c r="L1207" s="71"/>
      <c r="N1207" s="65"/>
      <c r="O1207" s="64"/>
    </row>
    <row r="1208" spans="1:15" ht="15" customHeight="1" x14ac:dyDescent="0.2">
      <c r="A1208" s="188"/>
      <c r="C1208" s="189"/>
      <c r="E1208" s="190"/>
      <c r="G1208" s="70"/>
      <c r="H1208" s="70"/>
      <c r="J1208" s="70"/>
      <c r="L1208" s="71"/>
      <c r="N1208" s="65"/>
      <c r="O1208" s="64"/>
    </row>
    <row r="1209" spans="1:15" ht="15" customHeight="1" x14ac:dyDescent="0.2">
      <c r="A1209" s="188"/>
      <c r="C1209" s="189"/>
      <c r="E1209" s="190"/>
      <c r="G1209" s="70"/>
      <c r="H1209" s="70"/>
      <c r="J1209" s="70"/>
      <c r="L1209" s="71"/>
      <c r="N1209" s="65"/>
      <c r="O1209" s="64"/>
    </row>
    <row r="1210" spans="1:15" ht="15" customHeight="1" x14ac:dyDescent="0.2">
      <c r="A1210" s="188"/>
      <c r="C1210" s="189"/>
      <c r="E1210" s="190"/>
      <c r="G1210" s="70"/>
      <c r="H1210" s="70"/>
      <c r="J1210" s="70"/>
      <c r="L1210" s="71"/>
      <c r="N1210" s="65"/>
      <c r="O1210" s="64"/>
    </row>
    <row r="1211" spans="1:15" ht="15" customHeight="1" x14ac:dyDescent="0.2">
      <c r="A1211" s="188"/>
      <c r="C1211" s="189"/>
      <c r="E1211" s="190"/>
      <c r="G1211" s="70"/>
      <c r="H1211" s="70"/>
      <c r="J1211" s="70"/>
      <c r="L1211" s="71"/>
      <c r="N1211" s="65"/>
      <c r="O1211" s="64"/>
    </row>
    <row r="1212" spans="1:15" ht="15" customHeight="1" x14ac:dyDescent="0.2">
      <c r="A1212" s="188"/>
      <c r="C1212" s="189"/>
      <c r="E1212" s="190"/>
      <c r="G1212" s="70"/>
      <c r="H1212" s="70"/>
      <c r="J1212" s="70"/>
      <c r="L1212" s="71"/>
      <c r="N1212" s="65"/>
      <c r="O1212" s="64"/>
    </row>
    <row r="1213" spans="1:15" ht="15" customHeight="1" x14ac:dyDescent="0.2">
      <c r="A1213" s="188"/>
      <c r="C1213" s="189"/>
      <c r="E1213" s="190"/>
      <c r="G1213" s="70"/>
      <c r="H1213" s="70"/>
      <c r="J1213" s="70"/>
      <c r="L1213" s="71"/>
      <c r="N1213" s="65"/>
      <c r="O1213" s="64"/>
    </row>
    <row r="1214" spans="1:15" ht="15" customHeight="1" x14ac:dyDescent="0.2">
      <c r="A1214" s="188"/>
      <c r="C1214" s="189"/>
      <c r="E1214" s="190"/>
      <c r="G1214" s="70"/>
      <c r="H1214" s="70"/>
      <c r="J1214" s="70"/>
      <c r="L1214" s="71"/>
      <c r="N1214" s="65"/>
      <c r="O1214" s="64"/>
    </row>
    <row r="1215" spans="1:15" ht="15" customHeight="1" x14ac:dyDescent="0.2">
      <c r="A1215" s="188"/>
      <c r="C1215" s="189"/>
      <c r="E1215" s="190"/>
      <c r="G1215" s="70"/>
      <c r="H1215" s="70"/>
      <c r="J1215" s="70"/>
      <c r="L1215" s="71"/>
      <c r="N1215" s="65"/>
      <c r="O1215" s="64"/>
    </row>
    <row r="1216" spans="1:15" ht="15" customHeight="1" x14ac:dyDescent="0.2">
      <c r="A1216" s="188"/>
      <c r="C1216" s="189"/>
      <c r="E1216" s="190"/>
      <c r="G1216" s="70"/>
      <c r="H1216" s="70"/>
      <c r="J1216" s="70"/>
      <c r="L1216" s="71"/>
      <c r="N1216" s="65"/>
      <c r="O1216" s="64"/>
    </row>
    <row r="1217" spans="1:15" ht="15" customHeight="1" x14ac:dyDescent="0.2">
      <c r="A1217" s="188"/>
      <c r="C1217" s="189"/>
      <c r="E1217" s="190"/>
      <c r="G1217" s="70"/>
      <c r="H1217" s="70"/>
      <c r="J1217" s="70"/>
      <c r="L1217" s="71"/>
      <c r="N1217" s="65"/>
      <c r="O1217" s="64"/>
    </row>
    <row r="1218" spans="1:15" ht="15" customHeight="1" x14ac:dyDescent="0.2">
      <c r="A1218" s="188"/>
      <c r="C1218" s="189"/>
      <c r="E1218" s="190"/>
      <c r="G1218" s="70"/>
      <c r="H1218" s="70"/>
      <c r="J1218" s="70"/>
      <c r="L1218" s="71"/>
      <c r="N1218" s="65"/>
      <c r="O1218" s="64"/>
    </row>
    <row r="1219" spans="1:15" ht="15" customHeight="1" x14ac:dyDescent="0.2">
      <c r="A1219" s="188"/>
      <c r="C1219" s="189"/>
      <c r="E1219" s="190"/>
      <c r="G1219" s="70"/>
      <c r="H1219" s="70"/>
      <c r="J1219" s="70"/>
      <c r="L1219" s="71"/>
      <c r="N1219" s="65"/>
      <c r="O1219" s="64"/>
    </row>
    <row r="1220" spans="1:15" ht="15" customHeight="1" x14ac:dyDescent="0.2">
      <c r="A1220" s="188"/>
      <c r="C1220" s="189"/>
      <c r="E1220" s="190"/>
      <c r="G1220" s="70"/>
      <c r="H1220" s="70"/>
      <c r="J1220" s="70"/>
      <c r="L1220" s="71"/>
      <c r="N1220" s="65"/>
      <c r="O1220" s="64"/>
    </row>
    <row r="1221" spans="1:15" ht="15" customHeight="1" x14ac:dyDescent="0.2">
      <c r="A1221" s="188"/>
      <c r="C1221" s="189"/>
      <c r="E1221" s="190"/>
      <c r="G1221" s="70"/>
      <c r="H1221" s="70"/>
      <c r="J1221" s="70"/>
      <c r="L1221" s="71"/>
      <c r="N1221" s="65"/>
      <c r="O1221" s="64"/>
    </row>
    <row r="1222" spans="1:15" ht="15" customHeight="1" x14ac:dyDescent="0.2">
      <c r="A1222" s="188"/>
      <c r="C1222" s="189"/>
      <c r="E1222" s="190"/>
      <c r="G1222" s="70"/>
      <c r="H1222" s="70"/>
      <c r="J1222" s="70"/>
      <c r="L1222" s="71"/>
      <c r="N1222" s="65"/>
      <c r="O1222" s="64"/>
    </row>
    <row r="1223" spans="1:15" ht="15" customHeight="1" x14ac:dyDescent="0.2">
      <c r="A1223" s="188"/>
      <c r="C1223" s="189"/>
      <c r="E1223" s="190"/>
      <c r="G1223" s="70"/>
      <c r="H1223" s="70"/>
      <c r="J1223" s="70"/>
      <c r="L1223" s="71"/>
      <c r="N1223" s="65"/>
      <c r="O1223" s="64"/>
    </row>
    <row r="1224" spans="1:15" ht="15" customHeight="1" x14ac:dyDescent="0.2">
      <c r="A1224" s="188"/>
      <c r="C1224" s="189"/>
      <c r="E1224" s="190"/>
      <c r="G1224" s="70"/>
      <c r="H1224" s="70"/>
      <c r="J1224" s="70"/>
      <c r="L1224" s="71"/>
      <c r="N1224" s="65"/>
      <c r="O1224" s="64"/>
    </row>
    <row r="1225" spans="1:15" ht="15" customHeight="1" x14ac:dyDescent="0.2">
      <c r="A1225" s="188"/>
      <c r="C1225" s="189"/>
      <c r="E1225" s="190"/>
      <c r="G1225" s="70"/>
      <c r="H1225" s="70"/>
      <c r="J1225" s="70"/>
      <c r="L1225" s="71"/>
      <c r="N1225" s="65"/>
      <c r="O1225" s="64"/>
    </row>
    <row r="1226" spans="1:15" ht="15" customHeight="1" x14ac:dyDescent="0.2">
      <c r="A1226" s="188"/>
      <c r="C1226" s="189"/>
      <c r="E1226" s="190"/>
      <c r="G1226" s="70"/>
      <c r="H1226" s="70"/>
      <c r="J1226" s="70"/>
      <c r="L1226" s="71"/>
      <c r="N1226" s="65"/>
      <c r="O1226" s="64"/>
    </row>
    <row r="1227" spans="1:15" ht="15" customHeight="1" x14ac:dyDescent="0.2">
      <c r="A1227" s="188"/>
      <c r="C1227" s="189"/>
      <c r="E1227" s="190"/>
      <c r="G1227" s="70"/>
      <c r="H1227" s="70"/>
      <c r="J1227" s="70"/>
      <c r="L1227" s="71"/>
      <c r="N1227" s="65"/>
      <c r="O1227" s="64"/>
    </row>
    <row r="1228" spans="1:15" ht="15" customHeight="1" x14ac:dyDescent="0.2">
      <c r="A1228" s="188"/>
      <c r="C1228" s="189"/>
      <c r="E1228" s="190"/>
      <c r="G1228" s="70"/>
      <c r="H1228" s="70"/>
      <c r="J1228" s="70"/>
      <c r="L1228" s="71"/>
      <c r="N1228" s="65"/>
      <c r="O1228" s="64"/>
    </row>
    <row r="1229" spans="1:15" ht="15" customHeight="1" x14ac:dyDescent="0.2">
      <c r="A1229" s="188"/>
      <c r="C1229" s="189"/>
      <c r="E1229" s="190"/>
      <c r="G1229" s="70"/>
      <c r="H1229" s="70"/>
      <c r="J1229" s="70"/>
      <c r="L1229" s="71"/>
      <c r="N1229" s="65"/>
      <c r="O1229" s="64"/>
    </row>
    <row r="1230" spans="1:15" ht="15" customHeight="1" x14ac:dyDescent="0.2">
      <c r="A1230" s="188"/>
      <c r="C1230" s="189"/>
      <c r="E1230" s="190"/>
      <c r="G1230" s="70"/>
      <c r="H1230" s="70"/>
      <c r="J1230" s="70"/>
      <c r="L1230" s="71"/>
      <c r="N1230" s="65"/>
      <c r="O1230" s="64"/>
    </row>
    <row r="1231" spans="1:15" ht="15" customHeight="1" x14ac:dyDescent="0.2">
      <c r="A1231" s="188"/>
      <c r="C1231" s="189"/>
      <c r="E1231" s="190"/>
      <c r="G1231" s="70"/>
      <c r="H1231" s="70"/>
      <c r="J1231" s="70"/>
      <c r="L1231" s="71"/>
      <c r="N1231" s="65"/>
      <c r="O1231" s="64"/>
    </row>
    <row r="1232" spans="1:15" ht="15" customHeight="1" x14ac:dyDescent="0.2">
      <c r="A1232" s="188"/>
      <c r="C1232" s="189"/>
      <c r="E1232" s="190"/>
      <c r="G1232" s="70"/>
      <c r="H1232" s="70"/>
      <c r="J1232" s="70"/>
      <c r="L1232" s="71"/>
      <c r="N1232" s="65"/>
      <c r="O1232" s="64"/>
    </row>
    <row r="1233" spans="1:15" ht="15" customHeight="1" x14ac:dyDescent="0.2">
      <c r="A1233" s="188"/>
      <c r="C1233" s="189"/>
      <c r="E1233" s="190"/>
      <c r="G1233" s="70"/>
      <c r="H1233" s="70"/>
      <c r="J1233" s="70"/>
      <c r="L1233" s="71"/>
      <c r="N1233" s="65"/>
      <c r="O1233" s="64"/>
    </row>
    <row r="1234" spans="1:15" ht="15" customHeight="1" x14ac:dyDescent="0.2">
      <c r="A1234" s="188"/>
      <c r="C1234" s="189"/>
      <c r="E1234" s="190"/>
      <c r="G1234" s="70"/>
      <c r="H1234" s="70"/>
      <c r="J1234" s="70"/>
      <c r="L1234" s="71"/>
      <c r="N1234" s="65"/>
      <c r="O1234" s="64"/>
    </row>
    <row r="1235" spans="1:15" ht="15" customHeight="1" x14ac:dyDescent="0.2">
      <c r="A1235" s="188"/>
      <c r="C1235" s="189"/>
      <c r="E1235" s="190"/>
      <c r="G1235" s="70"/>
      <c r="H1235" s="70"/>
      <c r="J1235" s="70"/>
      <c r="L1235" s="71"/>
      <c r="N1235" s="65"/>
      <c r="O1235" s="64"/>
    </row>
    <row r="1236" spans="1:15" ht="15" customHeight="1" x14ac:dyDescent="0.2">
      <c r="A1236" s="188"/>
      <c r="C1236" s="189"/>
      <c r="E1236" s="190"/>
      <c r="G1236" s="70"/>
      <c r="H1236" s="70"/>
      <c r="J1236" s="70"/>
      <c r="L1236" s="71"/>
      <c r="N1236" s="65"/>
      <c r="O1236" s="64"/>
    </row>
    <row r="1237" spans="1:15" ht="15" customHeight="1" x14ac:dyDescent="0.2">
      <c r="A1237" s="188"/>
      <c r="C1237" s="189"/>
      <c r="E1237" s="190"/>
      <c r="G1237" s="70"/>
      <c r="H1237" s="70"/>
      <c r="J1237" s="70"/>
      <c r="L1237" s="71"/>
      <c r="N1237" s="65"/>
      <c r="O1237" s="64"/>
    </row>
    <row r="1238" spans="1:15" ht="15" customHeight="1" x14ac:dyDescent="0.2">
      <c r="A1238" s="188"/>
      <c r="C1238" s="189"/>
      <c r="E1238" s="190"/>
      <c r="G1238" s="70"/>
      <c r="H1238" s="70"/>
      <c r="J1238" s="70"/>
      <c r="L1238" s="71"/>
      <c r="N1238" s="65"/>
      <c r="O1238" s="64"/>
    </row>
    <row r="1239" spans="1:15" ht="15" customHeight="1" x14ac:dyDescent="0.2">
      <c r="A1239" s="188"/>
      <c r="C1239" s="189"/>
      <c r="E1239" s="190"/>
      <c r="G1239" s="70"/>
      <c r="H1239" s="70"/>
      <c r="J1239" s="70"/>
      <c r="L1239" s="71"/>
      <c r="N1239" s="65"/>
      <c r="O1239" s="64"/>
    </row>
    <row r="1240" spans="1:15" ht="15" customHeight="1" x14ac:dyDescent="0.2">
      <c r="A1240" s="188"/>
      <c r="C1240" s="189"/>
      <c r="E1240" s="190"/>
      <c r="G1240" s="70"/>
      <c r="H1240" s="70"/>
      <c r="J1240" s="70"/>
      <c r="L1240" s="71"/>
      <c r="N1240" s="65"/>
      <c r="O1240" s="64"/>
    </row>
    <row r="1241" spans="1:15" ht="15" customHeight="1" x14ac:dyDescent="0.2">
      <c r="A1241" s="188"/>
      <c r="C1241" s="189"/>
      <c r="E1241" s="190"/>
      <c r="G1241" s="70"/>
      <c r="H1241" s="70"/>
      <c r="J1241" s="70"/>
      <c r="L1241" s="71"/>
      <c r="N1241" s="65"/>
      <c r="O1241" s="64"/>
    </row>
    <row r="1242" spans="1:15" ht="15" customHeight="1" x14ac:dyDescent="0.2">
      <c r="A1242" s="188"/>
      <c r="C1242" s="189"/>
      <c r="E1242" s="190"/>
      <c r="G1242" s="70"/>
      <c r="H1242" s="70"/>
      <c r="J1242" s="70"/>
      <c r="L1242" s="71"/>
      <c r="N1242" s="65"/>
      <c r="O1242" s="64"/>
    </row>
    <row r="1243" spans="1:15" ht="15" customHeight="1" x14ac:dyDescent="0.2">
      <c r="A1243" s="188"/>
      <c r="C1243" s="189"/>
      <c r="E1243" s="190"/>
      <c r="G1243" s="70"/>
      <c r="H1243" s="70"/>
      <c r="J1243" s="70"/>
      <c r="L1243" s="71"/>
      <c r="N1243" s="65"/>
      <c r="O1243" s="64"/>
    </row>
    <row r="1244" spans="1:15" ht="15" customHeight="1" x14ac:dyDescent="0.2">
      <c r="A1244" s="188"/>
      <c r="C1244" s="189"/>
      <c r="E1244" s="190"/>
      <c r="G1244" s="70"/>
      <c r="H1244" s="70"/>
      <c r="J1244" s="70"/>
      <c r="L1244" s="71"/>
      <c r="N1244" s="65"/>
      <c r="O1244" s="64"/>
    </row>
    <row r="1245" spans="1:15" ht="15" customHeight="1" x14ac:dyDescent="0.2">
      <c r="A1245" s="188"/>
      <c r="C1245" s="189"/>
      <c r="E1245" s="190"/>
      <c r="G1245" s="70"/>
      <c r="H1245" s="70"/>
      <c r="J1245" s="70"/>
      <c r="L1245" s="71"/>
      <c r="N1245" s="65"/>
      <c r="O1245" s="64"/>
    </row>
    <row r="1246" spans="1:15" ht="15" customHeight="1" x14ac:dyDescent="0.2">
      <c r="A1246" s="188"/>
      <c r="C1246" s="189"/>
      <c r="E1246" s="190"/>
      <c r="G1246" s="70"/>
      <c r="H1246" s="70"/>
      <c r="J1246" s="70"/>
      <c r="L1246" s="71"/>
      <c r="N1246" s="65"/>
      <c r="O1246" s="64"/>
    </row>
    <row r="1247" spans="1:15" ht="15" customHeight="1" x14ac:dyDescent="0.2">
      <c r="A1247" s="188"/>
      <c r="C1247" s="189"/>
      <c r="E1247" s="190"/>
      <c r="G1247" s="70"/>
      <c r="H1247" s="70"/>
      <c r="J1247" s="70"/>
      <c r="L1247" s="71"/>
      <c r="N1247" s="65"/>
      <c r="O1247" s="64"/>
    </row>
    <row r="1248" spans="1:15" ht="15" customHeight="1" x14ac:dyDescent="0.2">
      <c r="A1248" s="188"/>
      <c r="C1248" s="189"/>
      <c r="E1248" s="190"/>
      <c r="G1248" s="70"/>
      <c r="H1248" s="70"/>
      <c r="J1248" s="70"/>
      <c r="L1248" s="71"/>
      <c r="N1248" s="65"/>
      <c r="O1248" s="64"/>
    </row>
    <row r="1249" spans="1:15" ht="15" customHeight="1" x14ac:dyDescent="0.2">
      <c r="A1249" s="188"/>
      <c r="C1249" s="189"/>
      <c r="E1249" s="190"/>
      <c r="G1249" s="70"/>
      <c r="H1249" s="70"/>
      <c r="J1249" s="70"/>
      <c r="L1249" s="71"/>
      <c r="N1249" s="65"/>
      <c r="O1249" s="64"/>
    </row>
    <row r="1250" spans="1:15" ht="15" customHeight="1" x14ac:dyDescent="0.2">
      <c r="A1250" s="188"/>
      <c r="C1250" s="189"/>
      <c r="E1250" s="190"/>
      <c r="G1250" s="70"/>
      <c r="H1250" s="70"/>
      <c r="J1250" s="70"/>
      <c r="L1250" s="71"/>
      <c r="N1250" s="65"/>
      <c r="O1250" s="64"/>
    </row>
    <row r="1251" spans="1:15" ht="15" customHeight="1" x14ac:dyDescent="0.2">
      <c r="A1251" s="188"/>
      <c r="C1251" s="189"/>
      <c r="E1251" s="190"/>
      <c r="G1251" s="70"/>
      <c r="H1251" s="70"/>
      <c r="J1251" s="70"/>
      <c r="L1251" s="71"/>
      <c r="N1251" s="65"/>
      <c r="O1251" s="64"/>
    </row>
    <row r="1252" spans="1:15" ht="15" customHeight="1" x14ac:dyDescent="0.2">
      <c r="A1252" s="188"/>
      <c r="C1252" s="189"/>
      <c r="E1252" s="190"/>
      <c r="G1252" s="70"/>
      <c r="H1252" s="70"/>
      <c r="J1252" s="70"/>
      <c r="L1252" s="71"/>
      <c r="N1252" s="65"/>
      <c r="O1252" s="64"/>
    </row>
    <row r="1253" spans="1:15" ht="15" customHeight="1" x14ac:dyDescent="0.2">
      <c r="A1253" s="188"/>
      <c r="C1253" s="189"/>
      <c r="E1253" s="190"/>
      <c r="G1253" s="70"/>
      <c r="H1253" s="70"/>
      <c r="J1253" s="70"/>
      <c r="L1253" s="71"/>
      <c r="N1253" s="65"/>
      <c r="O1253" s="64"/>
    </row>
    <row r="1254" spans="1:15" ht="15" customHeight="1" x14ac:dyDescent="0.2">
      <c r="A1254" s="188"/>
      <c r="C1254" s="189"/>
      <c r="E1254" s="190"/>
      <c r="G1254" s="70"/>
      <c r="H1254" s="70"/>
      <c r="J1254" s="70"/>
      <c r="L1254" s="71"/>
      <c r="N1254" s="65"/>
      <c r="O1254" s="64"/>
    </row>
    <row r="1255" spans="1:15" ht="15" customHeight="1" x14ac:dyDescent="0.2">
      <c r="A1255" s="188"/>
      <c r="C1255" s="189"/>
      <c r="E1255" s="190"/>
      <c r="G1255" s="70"/>
      <c r="H1255" s="70"/>
      <c r="J1255" s="70"/>
      <c r="L1255" s="71"/>
      <c r="N1255" s="65"/>
      <c r="O1255" s="64"/>
    </row>
    <row r="1256" spans="1:15" ht="15" customHeight="1" x14ac:dyDescent="0.2">
      <c r="A1256" s="188"/>
      <c r="C1256" s="189"/>
      <c r="E1256" s="190"/>
      <c r="G1256" s="70"/>
      <c r="H1256" s="70"/>
      <c r="J1256" s="70"/>
      <c r="L1256" s="71"/>
      <c r="N1256" s="65"/>
      <c r="O1256" s="64"/>
    </row>
    <row r="1257" spans="1:15" ht="15" customHeight="1" x14ac:dyDescent="0.2">
      <c r="A1257" s="188"/>
      <c r="C1257" s="189"/>
      <c r="E1257" s="190"/>
      <c r="G1257" s="70"/>
      <c r="H1257" s="70"/>
      <c r="J1257" s="70"/>
      <c r="L1257" s="71"/>
      <c r="N1257" s="65"/>
      <c r="O1257" s="64"/>
    </row>
    <row r="1258" spans="1:15" ht="15" customHeight="1" x14ac:dyDescent="0.2">
      <c r="A1258" s="188"/>
      <c r="C1258" s="189"/>
      <c r="E1258" s="190"/>
      <c r="G1258" s="70"/>
      <c r="H1258" s="70"/>
      <c r="J1258" s="70"/>
      <c r="L1258" s="71"/>
      <c r="N1258" s="65"/>
      <c r="O1258" s="64"/>
    </row>
    <row r="1259" spans="1:15" ht="15" customHeight="1" x14ac:dyDescent="0.2">
      <c r="A1259" s="188"/>
      <c r="C1259" s="189"/>
      <c r="E1259" s="190"/>
      <c r="G1259" s="70"/>
      <c r="H1259" s="70"/>
      <c r="J1259" s="70"/>
      <c r="L1259" s="71"/>
      <c r="N1259" s="65"/>
      <c r="O1259" s="64"/>
    </row>
    <row r="1260" spans="1:15" ht="15" customHeight="1" x14ac:dyDescent="0.2">
      <c r="A1260" s="188"/>
      <c r="C1260" s="189"/>
      <c r="E1260" s="190"/>
      <c r="G1260" s="70"/>
      <c r="H1260" s="70"/>
      <c r="J1260" s="70"/>
      <c r="L1260" s="71"/>
      <c r="N1260" s="65"/>
      <c r="O1260" s="64"/>
    </row>
    <row r="1261" spans="1:15" ht="15" customHeight="1" x14ac:dyDescent="0.2">
      <c r="A1261" s="188"/>
      <c r="C1261" s="189"/>
      <c r="E1261" s="190"/>
      <c r="G1261" s="70"/>
      <c r="H1261" s="70"/>
      <c r="J1261" s="70"/>
      <c r="L1261" s="71"/>
      <c r="N1261" s="65"/>
      <c r="O1261" s="64"/>
    </row>
    <row r="1262" spans="1:15" ht="15" customHeight="1" x14ac:dyDescent="0.2">
      <c r="A1262" s="188"/>
      <c r="C1262" s="189"/>
      <c r="E1262" s="190"/>
      <c r="G1262" s="70"/>
      <c r="H1262" s="70"/>
      <c r="J1262" s="70"/>
      <c r="L1262" s="71"/>
      <c r="N1262" s="65"/>
      <c r="O1262" s="64"/>
    </row>
    <row r="1263" spans="1:15" ht="15" customHeight="1" x14ac:dyDescent="0.2">
      <c r="A1263" s="188"/>
      <c r="C1263" s="189"/>
      <c r="E1263" s="190"/>
      <c r="G1263" s="70"/>
      <c r="H1263" s="70"/>
      <c r="J1263" s="70"/>
      <c r="L1263" s="71"/>
      <c r="N1263" s="65"/>
      <c r="O1263" s="64"/>
    </row>
    <row r="1264" spans="1:15" ht="15" customHeight="1" x14ac:dyDescent="0.2">
      <c r="A1264" s="188"/>
      <c r="C1264" s="189"/>
      <c r="E1264" s="190"/>
      <c r="G1264" s="70"/>
      <c r="H1264" s="70"/>
      <c r="J1264" s="70"/>
      <c r="L1264" s="71"/>
      <c r="N1264" s="65"/>
      <c r="O1264" s="64"/>
    </row>
    <row r="1265" spans="1:15" ht="15" customHeight="1" x14ac:dyDescent="0.2">
      <c r="A1265" s="188"/>
      <c r="C1265" s="189"/>
      <c r="E1265" s="190"/>
      <c r="G1265" s="70"/>
      <c r="H1265" s="70"/>
      <c r="J1265" s="70"/>
      <c r="L1265" s="71"/>
      <c r="N1265" s="65"/>
      <c r="O1265" s="64"/>
    </row>
    <row r="1266" spans="1:15" ht="15" customHeight="1" x14ac:dyDescent="0.2">
      <c r="A1266" s="188"/>
      <c r="C1266" s="189"/>
      <c r="E1266" s="190"/>
      <c r="G1266" s="70"/>
      <c r="H1266" s="70"/>
      <c r="J1266" s="70"/>
      <c r="L1266" s="71"/>
      <c r="N1266" s="65"/>
      <c r="O1266" s="64"/>
    </row>
    <row r="1267" spans="1:15" ht="15" customHeight="1" x14ac:dyDescent="0.2">
      <c r="A1267" s="188"/>
      <c r="C1267" s="189"/>
      <c r="E1267" s="190"/>
      <c r="G1267" s="70"/>
      <c r="H1267" s="70"/>
      <c r="J1267" s="70"/>
      <c r="L1267" s="71"/>
      <c r="N1267" s="65"/>
      <c r="O1267" s="64"/>
    </row>
    <row r="1268" spans="1:15" ht="15" customHeight="1" x14ac:dyDescent="0.2">
      <c r="A1268" s="188"/>
      <c r="C1268" s="189"/>
      <c r="E1268" s="190"/>
      <c r="G1268" s="70"/>
      <c r="H1268" s="70"/>
      <c r="J1268" s="70"/>
      <c r="L1268" s="71"/>
      <c r="N1268" s="65"/>
      <c r="O1268" s="64"/>
    </row>
    <row r="1269" spans="1:15" ht="15" customHeight="1" x14ac:dyDescent="0.2">
      <c r="A1269" s="188"/>
      <c r="C1269" s="189"/>
      <c r="E1269" s="190"/>
      <c r="G1269" s="70"/>
      <c r="H1269" s="70"/>
      <c r="J1269" s="70"/>
      <c r="L1269" s="71"/>
      <c r="N1269" s="65"/>
      <c r="O1269" s="64"/>
    </row>
    <row r="1270" spans="1:15" ht="15" customHeight="1" x14ac:dyDescent="0.2">
      <c r="A1270" s="188"/>
      <c r="C1270" s="189"/>
      <c r="E1270" s="190"/>
      <c r="G1270" s="70"/>
      <c r="H1270" s="70"/>
      <c r="J1270" s="70"/>
      <c r="L1270" s="71"/>
      <c r="N1270" s="65"/>
      <c r="O1270" s="64"/>
    </row>
    <row r="1271" spans="1:15" ht="15" customHeight="1" x14ac:dyDescent="0.2">
      <c r="A1271" s="188"/>
      <c r="C1271" s="189"/>
      <c r="E1271" s="190"/>
      <c r="G1271" s="70"/>
      <c r="H1271" s="70"/>
      <c r="J1271" s="70"/>
      <c r="L1271" s="71"/>
      <c r="N1271" s="65"/>
      <c r="O1271" s="64"/>
    </row>
    <row r="1272" spans="1:15" ht="15" customHeight="1" x14ac:dyDescent="0.2">
      <c r="A1272" s="188"/>
      <c r="C1272" s="189"/>
      <c r="E1272" s="190"/>
      <c r="G1272" s="70"/>
      <c r="H1272" s="70"/>
      <c r="J1272" s="70"/>
      <c r="L1272" s="71"/>
      <c r="N1272" s="65"/>
      <c r="O1272" s="64"/>
    </row>
    <row r="1273" spans="1:15" ht="15" customHeight="1" x14ac:dyDescent="0.2">
      <c r="A1273" s="188"/>
      <c r="C1273" s="189"/>
      <c r="E1273" s="190"/>
      <c r="G1273" s="70"/>
      <c r="H1273" s="70"/>
      <c r="J1273" s="70"/>
      <c r="L1273" s="71"/>
      <c r="N1273" s="65"/>
      <c r="O1273" s="64"/>
    </row>
    <row r="1274" spans="1:15" ht="15" customHeight="1" x14ac:dyDescent="0.2">
      <c r="A1274" s="188"/>
      <c r="C1274" s="189"/>
      <c r="E1274" s="190"/>
      <c r="G1274" s="70"/>
      <c r="H1274" s="70"/>
      <c r="J1274" s="70"/>
      <c r="L1274" s="71"/>
      <c r="N1274" s="65"/>
      <c r="O1274" s="64"/>
    </row>
    <row r="1275" spans="1:15" ht="15" customHeight="1" x14ac:dyDescent="0.2">
      <c r="A1275" s="188"/>
      <c r="C1275" s="189"/>
      <c r="E1275" s="190"/>
      <c r="G1275" s="70"/>
      <c r="H1275" s="70"/>
      <c r="J1275" s="70"/>
      <c r="L1275" s="71"/>
      <c r="N1275" s="65"/>
      <c r="O1275" s="64"/>
    </row>
    <row r="1276" spans="1:15" ht="15" customHeight="1" x14ac:dyDescent="0.2">
      <c r="A1276" s="188"/>
      <c r="C1276" s="189"/>
      <c r="E1276" s="190"/>
      <c r="G1276" s="70"/>
      <c r="H1276" s="70"/>
      <c r="J1276" s="70"/>
      <c r="L1276" s="71"/>
      <c r="N1276" s="65"/>
    </row>
    <row r="1277" spans="1:15" ht="15" customHeight="1" x14ac:dyDescent="0.2">
      <c r="A1277" s="188"/>
      <c r="C1277" s="189"/>
      <c r="E1277" s="190"/>
      <c r="G1277" s="70"/>
      <c r="H1277" s="70"/>
      <c r="J1277" s="70"/>
      <c r="L1277" s="71"/>
      <c r="N1277" s="65"/>
    </row>
    <row r="1278" spans="1:15" ht="15" customHeight="1" x14ac:dyDescent="0.2">
      <c r="A1278" s="188"/>
      <c r="C1278" s="189"/>
      <c r="E1278" s="190"/>
      <c r="G1278" s="70"/>
      <c r="H1278" s="70"/>
      <c r="J1278" s="70"/>
      <c r="L1278" s="71"/>
      <c r="N1278" s="65"/>
    </row>
    <row r="1279" spans="1:15" ht="15" customHeight="1" x14ac:dyDescent="0.2">
      <c r="A1279" s="188"/>
      <c r="C1279" s="189"/>
      <c r="E1279" s="190"/>
      <c r="G1279" s="70"/>
      <c r="H1279" s="70"/>
      <c r="J1279" s="70"/>
      <c r="L1279" s="71"/>
      <c r="N1279" s="65"/>
    </row>
    <row r="1280" spans="1:15" ht="15" customHeight="1" x14ac:dyDescent="0.2">
      <c r="A1280" s="188"/>
      <c r="C1280" s="189"/>
      <c r="E1280" s="190"/>
      <c r="G1280" s="70"/>
      <c r="H1280" s="70"/>
      <c r="J1280" s="70"/>
      <c r="L1280" s="71"/>
      <c r="N1280" s="65"/>
    </row>
    <row r="1281" spans="1:14" ht="15" customHeight="1" x14ac:dyDescent="0.2">
      <c r="A1281" s="188"/>
      <c r="C1281" s="189"/>
      <c r="E1281" s="190"/>
      <c r="G1281" s="70"/>
      <c r="H1281" s="70"/>
      <c r="J1281" s="70"/>
      <c r="L1281" s="71"/>
      <c r="N1281" s="65"/>
    </row>
    <row r="1282" spans="1:14" ht="15" customHeight="1" x14ac:dyDescent="0.2">
      <c r="A1282" s="188"/>
      <c r="C1282" s="189"/>
      <c r="E1282" s="190"/>
      <c r="G1282" s="70"/>
      <c r="H1282" s="70"/>
      <c r="J1282" s="70"/>
      <c r="L1282" s="71"/>
      <c r="N1282" s="65"/>
    </row>
    <row r="1283" spans="1:14" ht="15" customHeight="1" x14ac:dyDescent="0.2">
      <c r="A1283" s="188"/>
      <c r="C1283" s="189"/>
      <c r="E1283" s="190"/>
      <c r="G1283" s="70"/>
      <c r="H1283" s="70"/>
      <c r="J1283" s="70"/>
      <c r="L1283" s="71"/>
      <c r="N1283" s="65"/>
    </row>
    <row r="1284" spans="1:14" ht="15" customHeight="1" x14ac:dyDescent="0.2">
      <c r="A1284" s="188"/>
      <c r="C1284" s="189"/>
      <c r="E1284" s="190"/>
      <c r="G1284" s="70"/>
      <c r="H1284" s="70"/>
      <c r="J1284" s="70"/>
      <c r="L1284" s="71"/>
      <c r="N1284" s="65"/>
    </row>
    <row r="1285" spans="1:14" ht="15" customHeight="1" x14ac:dyDescent="0.2">
      <c r="A1285" s="188"/>
      <c r="C1285" s="189"/>
      <c r="E1285" s="190"/>
      <c r="G1285" s="70"/>
      <c r="H1285" s="70"/>
      <c r="J1285" s="70"/>
      <c r="L1285" s="71"/>
      <c r="N1285" s="65"/>
    </row>
    <row r="1286" spans="1:14" ht="15" customHeight="1" x14ac:dyDescent="0.2">
      <c r="A1286" s="188"/>
      <c r="C1286" s="189"/>
      <c r="E1286" s="190"/>
      <c r="G1286" s="70"/>
      <c r="H1286" s="70"/>
      <c r="J1286" s="70"/>
      <c r="L1286" s="71"/>
      <c r="N1286" s="65"/>
    </row>
    <row r="1287" spans="1:14" ht="15" customHeight="1" x14ac:dyDescent="0.2">
      <c r="A1287" s="188"/>
      <c r="C1287" s="189"/>
      <c r="E1287" s="190"/>
      <c r="G1287" s="70"/>
      <c r="H1287" s="70"/>
      <c r="J1287" s="70"/>
      <c r="L1287" s="71"/>
      <c r="N1287" s="65"/>
    </row>
    <row r="1288" spans="1:14" ht="15" customHeight="1" x14ac:dyDescent="0.2">
      <c r="A1288" s="188"/>
      <c r="C1288" s="189"/>
      <c r="E1288" s="190"/>
      <c r="G1288" s="70"/>
      <c r="H1288" s="70"/>
      <c r="J1288" s="70"/>
      <c r="L1288" s="71"/>
      <c r="N1288" s="65"/>
    </row>
    <row r="1289" spans="1:14" ht="15" customHeight="1" x14ac:dyDescent="0.2">
      <c r="A1289" s="188"/>
      <c r="C1289" s="189"/>
      <c r="E1289" s="190"/>
      <c r="G1289" s="70"/>
      <c r="H1289" s="70"/>
      <c r="J1289" s="70"/>
      <c r="L1289" s="71"/>
      <c r="N1289" s="65"/>
    </row>
    <row r="1290" spans="1:14" ht="15" customHeight="1" x14ac:dyDescent="0.2">
      <c r="A1290" s="188"/>
      <c r="C1290" s="189"/>
      <c r="E1290" s="190"/>
      <c r="G1290" s="70"/>
      <c r="H1290" s="70"/>
      <c r="J1290" s="70"/>
      <c r="L1290" s="71"/>
      <c r="N1290" s="65"/>
    </row>
    <row r="1291" spans="1:14" ht="15" customHeight="1" x14ac:dyDescent="0.2">
      <c r="A1291" s="188"/>
      <c r="C1291" s="189"/>
      <c r="E1291" s="190"/>
      <c r="G1291" s="70"/>
      <c r="H1291" s="70"/>
      <c r="J1291" s="70"/>
      <c r="L1291" s="71"/>
      <c r="N1291" s="65"/>
    </row>
    <row r="1292" spans="1:14" ht="15" customHeight="1" x14ac:dyDescent="0.2">
      <c r="A1292" s="188"/>
      <c r="C1292" s="189"/>
      <c r="E1292" s="190"/>
      <c r="G1292" s="70"/>
      <c r="H1292" s="70"/>
      <c r="J1292" s="70"/>
      <c r="L1292" s="71"/>
      <c r="N1292" s="65"/>
    </row>
    <row r="1293" spans="1:14" ht="15" customHeight="1" x14ac:dyDescent="0.2">
      <c r="A1293" s="188"/>
      <c r="C1293" s="189"/>
      <c r="E1293" s="190"/>
      <c r="G1293" s="70"/>
      <c r="H1293" s="70"/>
      <c r="J1293" s="70"/>
      <c r="L1293" s="71"/>
      <c r="N1293" s="65"/>
    </row>
    <row r="1294" spans="1:14" ht="15" customHeight="1" x14ac:dyDescent="0.2">
      <c r="A1294" s="188"/>
      <c r="C1294" s="189"/>
      <c r="E1294" s="190"/>
      <c r="G1294" s="70"/>
      <c r="H1294" s="70"/>
      <c r="J1294" s="70"/>
      <c r="L1294" s="71"/>
      <c r="N1294" s="65"/>
    </row>
    <row r="1295" spans="1:14" ht="15" customHeight="1" x14ac:dyDescent="0.2">
      <c r="A1295" s="188"/>
      <c r="C1295" s="189"/>
      <c r="E1295" s="190"/>
      <c r="G1295" s="70"/>
      <c r="H1295" s="70"/>
      <c r="J1295" s="70"/>
      <c r="L1295" s="71"/>
      <c r="N1295" s="65"/>
    </row>
    <row r="1296" spans="1:14" ht="15" customHeight="1" x14ac:dyDescent="0.2">
      <c r="A1296" s="188"/>
      <c r="C1296" s="189"/>
      <c r="E1296" s="190"/>
      <c r="G1296" s="70"/>
      <c r="H1296" s="70"/>
      <c r="J1296" s="70"/>
      <c r="L1296" s="71"/>
      <c r="N1296" s="65"/>
    </row>
    <row r="1297" spans="1:14" ht="15" customHeight="1" x14ac:dyDescent="0.2">
      <c r="A1297" s="188"/>
      <c r="C1297" s="189"/>
      <c r="E1297" s="190"/>
      <c r="G1297" s="70"/>
      <c r="H1297" s="70"/>
      <c r="J1297" s="70"/>
      <c r="L1297" s="71"/>
      <c r="N1297" s="65"/>
    </row>
    <row r="1298" spans="1:14" ht="15" customHeight="1" x14ac:dyDescent="0.2">
      <c r="A1298" s="188"/>
      <c r="C1298" s="189"/>
      <c r="E1298" s="190"/>
      <c r="G1298" s="70"/>
      <c r="H1298" s="70"/>
      <c r="J1298" s="70"/>
      <c r="L1298" s="71"/>
      <c r="N1298" s="65"/>
    </row>
    <row r="1299" spans="1:14" ht="15" customHeight="1" x14ac:dyDescent="0.2">
      <c r="A1299" s="188"/>
      <c r="C1299" s="189"/>
      <c r="E1299" s="190"/>
      <c r="G1299" s="70"/>
      <c r="H1299" s="70"/>
      <c r="J1299" s="70"/>
      <c r="L1299" s="71"/>
      <c r="N1299" s="65"/>
    </row>
    <row r="1300" spans="1:14" ht="15" customHeight="1" x14ac:dyDescent="0.2">
      <c r="A1300" s="188"/>
      <c r="C1300" s="189"/>
      <c r="E1300" s="190"/>
      <c r="G1300" s="70"/>
      <c r="H1300" s="70"/>
      <c r="J1300" s="70"/>
      <c r="L1300" s="71"/>
      <c r="N1300" s="65"/>
    </row>
    <row r="1301" spans="1:14" ht="15" customHeight="1" x14ac:dyDescent="0.2">
      <c r="A1301" s="188"/>
      <c r="C1301" s="189"/>
      <c r="E1301" s="190"/>
      <c r="G1301" s="70"/>
      <c r="H1301" s="70"/>
      <c r="J1301" s="70"/>
      <c r="L1301" s="71"/>
      <c r="N1301" s="65"/>
    </row>
    <row r="1302" spans="1:14" ht="15" customHeight="1" x14ac:dyDescent="0.2">
      <c r="A1302" s="188"/>
      <c r="C1302" s="189"/>
      <c r="E1302" s="190"/>
      <c r="G1302" s="70"/>
      <c r="H1302" s="70"/>
      <c r="J1302" s="70"/>
      <c r="L1302" s="71"/>
      <c r="N1302" s="65"/>
    </row>
    <row r="1303" spans="1:14" ht="15" customHeight="1" x14ac:dyDescent="0.2">
      <c r="A1303" s="188"/>
      <c r="C1303" s="189"/>
      <c r="E1303" s="190"/>
      <c r="G1303" s="70"/>
      <c r="H1303" s="70"/>
      <c r="J1303" s="70"/>
      <c r="L1303" s="71"/>
      <c r="N1303" s="65"/>
    </row>
    <row r="1304" spans="1:14" ht="15" customHeight="1" x14ac:dyDescent="0.2">
      <c r="A1304" s="188"/>
      <c r="C1304" s="189"/>
      <c r="E1304" s="190"/>
      <c r="G1304" s="70"/>
      <c r="H1304" s="70"/>
      <c r="J1304" s="70"/>
      <c r="L1304" s="71"/>
      <c r="N1304" s="65"/>
    </row>
    <row r="1305" spans="1:14" ht="15" customHeight="1" x14ac:dyDescent="0.2">
      <c r="A1305" s="188"/>
      <c r="C1305" s="189"/>
      <c r="E1305" s="190"/>
      <c r="G1305" s="70"/>
      <c r="H1305" s="70"/>
      <c r="J1305" s="70"/>
      <c r="L1305" s="71"/>
      <c r="N1305" s="65"/>
    </row>
    <row r="1306" spans="1:14" ht="15" customHeight="1" x14ac:dyDescent="0.2">
      <c r="A1306" s="188"/>
      <c r="C1306" s="189"/>
      <c r="E1306" s="190"/>
      <c r="G1306" s="70"/>
      <c r="H1306" s="70"/>
      <c r="J1306" s="70"/>
      <c r="L1306" s="71"/>
      <c r="N1306" s="65"/>
    </row>
    <row r="1307" spans="1:14" ht="15" customHeight="1" x14ac:dyDescent="0.2">
      <c r="A1307" s="188"/>
      <c r="C1307" s="189"/>
      <c r="E1307" s="190"/>
      <c r="G1307" s="70"/>
      <c r="H1307" s="70"/>
      <c r="J1307" s="70"/>
      <c r="L1307" s="71"/>
      <c r="N1307" s="65"/>
    </row>
    <row r="1308" spans="1:14" ht="15" customHeight="1" x14ac:dyDescent="0.2">
      <c r="A1308" s="188"/>
      <c r="C1308" s="189"/>
      <c r="E1308" s="190"/>
      <c r="G1308" s="70"/>
      <c r="H1308" s="70"/>
      <c r="J1308" s="70"/>
      <c r="L1308" s="71"/>
      <c r="N1308" s="65"/>
    </row>
    <row r="1309" spans="1:14" ht="15" customHeight="1" x14ac:dyDescent="0.2">
      <c r="A1309" s="188"/>
      <c r="C1309" s="189"/>
      <c r="E1309" s="190"/>
      <c r="G1309" s="70"/>
      <c r="H1309" s="70"/>
      <c r="J1309" s="70"/>
      <c r="L1309" s="71"/>
      <c r="N1309" s="65"/>
    </row>
    <row r="1310" spans="1:14" ht="15" customHeight="1" x14ac:dyDescent="0.2">
      <c r="A1310" s="188"/>
      <c r="C1310" s="189"/>
      <c r="E1310" s="190"/>
      <c r="G1310" s="70"/>
      <c r="H1310" s="70"/>
      <c r="J1310" s="70"/>
      <c r="L1310" s="71"/>
      <c r="N1310" s="65"/>
    </row>
    <row r="1311" spans="1:14" ht="15" customHeight="1" x14ac:dyDescent="0.2">
      <c r="A1311" s="188"/>
      <c r="C1311" s="189"/>
      <c r="E1311" s="190"/>
      <c r="G1311" s="70"/>
      <c r="H1311" s="70"/>
      <c r="J1311" s="70"/>
      <c r="L1311" s="71"/>
      <c r="N1311" s="65"/>
    </row>
    <row r="1312" spans="1:14" ht="15" customHeight="1" x14ac:dyDescent="0.2">
      <c r="A1312" s="188"/>
      <c r="C1312" s="189"/>
      <c r="E1312" s="190"/>
      <c r="G1312" s="70"/>
      <c r="H1312" s="70"/>
      <c r="J1312" s="70"/>
      <c r="L1312" s="71"/>
      <c r="N1312" s="65"/>
    </row>
    <row r="1313" spans="1:14" ht="15" customHeight="1" x14ac:dyDescent="0.2">
      <c r="A1313" s="188"/>
      <c r="C1313" s="189"/>
      <c r="E1313" s="190"/>
      <c r="G1313" s="70"/>
      <c r="H1313" s="70"/>
      <c r="J1313" s="70"/>
      <c r="L1313" s="71"/>
      <c r="N1313" s="65"/>
    </row>
    <row r="1314" spans="1:14" ht="15" customHeight="1" x14ac:dyDescent="0.2">
      <c r="A1314" s="188"/>
      <c r="C1314" s="189"/>
      <c r="E1314" s="190"/>
      <c r="G1314" s="70"/>
      <c r="H1314" s="70"/>
      <c r="J1314" s="70"/>
      <c r="L1314" s="71"/>
      <c r="N1314" s="65"/>
    </row>
    <row r="1315" spans="1:14" ht="15" customHeight="1" x14ac:dyDescent="0.2">
      <c r="A1315" s="188"/>
      <c r="C1315" s="189"/>
      <c r="E1315" s="190"/>
      <c r="G1315" s="70"/>
      <c r="H1315" s="70"/>
      <c r="J1315" s="70"/>
      <c r="L1315" s="71"/>
      <c r="N1315" s="65"/>
    </row>
    <row r="1316" spans="1:14" ht="15" customHeight="1" x14ac:dyDescent="0.2">
      <c r="A1316" s="188"/>
      <c r="C1316" s="189"/>
      <c r="E1316" s="190"/>
      <c r="G1316" s="70"/>
      <c r="H1316" s="70"/>
      <c r="J1316" s="70"/>
      <c r="L1316" s="71"/>
      <c r="N1316" s="65"/>
    </row>
    <row r="1317" spans="1:14" ht="15" customHeight="1" x14ac:dyDescent="0.2">
      <c r="A1317" s="188"/>
      <c r="C1317" s="189"/>
      <c r="E1317" s="190"/>
      <c r="G1317" s="70"/>
      <c r="H1317" s="70"/>
      <c r="J1317" s="70"/>
      <c r="L1317" s="71"/>
      <c r="N1317" s="65"/>
    </row>
    <row r="1318" spans="1:14" ht="15" customHeight="1" x14ac:dyDescent="0.2">
      <c r="A1318" s="188"/>
      <c r="C1318" s="189"/>
      <c r="E1318" s="190"/>
      <c r="G1318" s="70"/>
      <c r="H1318" s="70"/>
      <c r="J1318" s="70"/>
      <c r="L1318" s="71"/>
      <c r="N1318" s="65"/>
    </row>
    <row r="1319" spans="1:14" ht="15" customHeight="1" x14ac:dyDescent="0.2">
      <c r="A1319" s="188"/>
      <c r="C1319" s="189"/>
      <c r="E1319" s="190"/>
      <c r="G1319" s="70"/>
      <c r="H1319" s="70"/>
      <c r="J1319" s="70"/>
      <c r="L1319" s="71"/>
      <c r="N1319" s="65"/>
    </row>
    <row r="1320" spans="1:14" ht="15" customHeight="1" x14ac:dyDescent="0.2">
      <c r="A1320" s="188"/>
      <c r="C1320" s="189"/>
      <c r="E1320" s="190"/>
      <c r="G1320" s="70"/>
      <c r="H1320" s="70"/>
      <c r="J1320" s="70"/>
      <c r="L1320" s="71"/>
      <c r="N1320" s="65"/>
    </row>
    <row r="1321" spans="1:14" ht="15" customHeight="1" x14ac:dyDescent="0.2">
      <c r="A1321" s="188"/>
      <c r="C1321" s="189"/>
      <c r="E1321" s="190"/>
      <c r="G1321" s="70"/>
      <c r="H1321" s="70"/>
      <c r="J1321" s="70"/>
      <c r="L1321" s="71"/>
      <c r="N1321" s="65"/>
    </row>
    <row r="1322" spans="1:14" ht="15" customHeight="1" x14ac:dyDescent="0.2">
      <c r="A1322" s="188"/>
      <c r="C1322" s="189"/>
      <c r="E1322" s="190"/>
      <c r="G1322" s="70"/>
      <c r="H1322" s="70"/>
      <c r="J1322" s="70"/>
      <c r="L1322" s="71"/>
      <c r="N1322" s="65"/>
    </row>
    <row r="1323" spans="1:14" ht="15" customHeight="1" x14ac:dyDescent="0.2">
      <c r="A1323" s="188"/>
      <c r="C1323" s="189"/>
      <c r="E1323" s="190"/>
      <c r="G1323" s="70"/>
      <c r="H1323" s="70"/>
      <c r="J1323" s="70"/>
      <c r="L1323" s="71"/>
      <c r="N1323" s="65"/>
    </row>
    <row r="1324" spans="1:14" ht="15" customHeight="1" x14ac:dyDescent="0.2">
      <c r="A1324" s="188"/>
      <c r="C1324" s="189"/>
      <c r="E1324" s="190"/>
      <c r="G1324" s="70"/>
      <c r="H1324" s="70"/>
      <c r="J1324" s="70"/>
      <c r="L1324" s="71"/>
      <c r="N1324" s="65"/>
    </row>
    <row r="1325" spans="1:14" ht="15" customHeight="1" x14ac:dyDescent="0.2">
      <c r="A1325" s="188"/>
      <c r="C1325" s="189"/>
      <c r="E1325" s="190"/>
      <c r="G1325" s="70"/>
      <c r="H1325" s="70"/>
      <c r="J1325" s="70"/>
      <c r="L1325" s="71"/>
      <c r="N1325" s="65"/>
    </row>
    <row r="1326" spans="1:14" ht="15" customHeight="1" x14ac:dyDescent="0.2">
      <c r="A1326" s="188"/>
      <c r="C1326" s="189"/>
      <c r="E1326" s="190"/>
      <c r="G1326" s="70"/>
      <c r="H1326" s="70"/>
      <c r="J1326" s="70"/>
      <c r="L1326" s="71"/>
      <c r="N1326" s="65"/>
    </row>
    <row r="1327" spans="1:14" ht="15" customHeight="1" x14ac:dyDescent="0.2">
      <c r="A1327" s="188"/>
      <c r="C1327" s="189"/>
      <c r="E1327" s="190"/>
      <c r="G1327" s="70"/>
      <c r="H1327" s="70"/>
      <c r="J1327" s="70"/>
      <c r="L1327" s="71"/>
      <c r="N1327" s="65"/>
    </row>
    <row r="1328" spans="1:14" ht="15" customHeight="1" x14ac:dyDescent="0.2">
      <c r="A1328" s="188"/>
      <c r="C1328" s="189"/>
      <c r="E1328" s="190"/>
      <c r="G1328" s="70"/>
      <c r="H1328" s="70"/>
      <c r="J1328" s="70"/>
      <c r="L1328" s="71"/>
      <c r="N1328" s="65"/>
    </row>
    <row r="1329" spans="1:14" ht="15" customHeight="1" x14ac:dyDescent="0.2">
      <c r="A1329" s="188"/>
      <c r="C1329" s="189"/>
      <c r="E1329" s="190"/>
      <c r="G1329" s="70"/>
      <c r="H1329" s="70"/>
      <c r="J1329" s="70"/>
      <c r="L1329" s="71"/>
      <c r="N1329" s="65"/>
    </row>
    <row r="1330" spans="1:14" ht="15" customHeight="1" x14ac:dyDescent="0.2">
      <c r="A1330" s="188"/>
      <c r="C1330" s="189"/>
      <c r="E1330" s="190"/>
      <c r="G1330" s="70"/>
      <c r="H1330" s="70"/>
      <c r="J1330" s="70"/>
      <c r="L1330" s="71"/>
      <c r="N1330" s="65"/>
    </row>
    <row r="1331" spans="1:14" ht="15" customHeight="1" x14ac:dyDescent="0.2">
      <c r="A1331" s="188"/>
      <c r="C1331" s="189"/>
      <c r="E1331" s="190"/>
      <c r="G1331" s="70"/>
      <c r="H1331" s="70"/>
      <c r="J1331" s="70"/>
      <c r="L1331" s="71"/>
      <c r="N1331" s="65"/>
    </row>
    <row r="1332" spans="1:14" ht="15" customHeight="1" x14ac:dyDescent="0.2">
      <c r="A1332" s="188"/>
      <c r="C1332" s="189"/>
      <c r="E1332" s="190"/>
      <c r="G1332" s="70"/>
      <c r="H1332" s="70"/>
      <c r="J1332" s="70"/>
      <c r="L1332" s="71"/>
      <c r="N1332" s="65"/>
    </row>
    <row r="1333" spans="1:14" ht="15" customHeight="1" x14ac:dyDescent="0.2">
      <c r="A1333" s="188"/>
      <c r="C1333" s="189"/>
      <c r="E1333" s="190"/>
      <c r="G1333" s="70"/>
      <c r="H1333" s="70"/>
      <c r="J1333" s="70"/>
      <c r="L1333" s="71"/>
      <c r="N1333" s="65"/>
    </row>
    <row r="1334" spans="1:14" ht="15" customHeight="1" x14ac:dyDescent="0.2">
      <c r="A1334" s="188"/>
      <c r="C1334" s="189"/>
      <c r="E1334" s="190"/>
      <c r="G1334" s="70"/>
      <c r="H1334" s="70"/>
      <c r="J1334" s="70"/>
      <c r="L1334" s="71"/>
      <c r="N1334" s="65"/>
    </row>
    <row r="1335" spans="1:14" ht="15" customHeight="1" x14ac:dyDescent="0.2">
      <c r="A1335" s="188"/>
      <c r="C1335" s="189"/>
      <c r="E1335" s="190"/>
      <c r="G1335" s="70"/>
      <c r="H1335" s="70"/>
      <c r="J1335" s="70"/>
      <c r="L1335" s="71"/>
      <c r="N1335" s="65"/>
    </row>
    <row r="1336" spans="1:14" ht="15" customHeight="1" x14ac:dyDescent="0.2">
      <c r="A1336" s="188"/>
      <c r="C1336" s="189"/>
      <c r="E1336" s="190"/>
      <c r="G1336" s="70"/>
      <c r="H1336" s="70"/>
      <c r="J1336" s="70"/>
      <c r="L1336" s="71"/>
      <c r="N1336" s="65"/>
    </row>
    <row r="1337" spans="1:14" ht="15" customHeight="1" x14ac:dyDescent="0.2">
      <c r="A1337" s="188"/>
      <c r="C1337" s="189"/>
      <c r="E1337" s="190"/>
      <c r="G1337" s="70"/>
      <c r="H1337" s="70"/>
      <c r="J1337" s="70"/>
      <c r="L1337" s="71"/>
      <c r="N1337" s="65"/>
    </row>
    <row r="1338" spans="1:14" ht="15" customHeight="1" x14ac:dyDescent="0.2">
      <c r="A1338" s="188"/>
      <c r="C1338" s="189"/>
      <c r="E1338" s="190"/>
      <c r="G1338" s="70"/>
      <c r="H1338" s="70"/>
      <c r="J1338" s="70"/>
      <c r="L1338" s="71"/>
      <c r="N1338" s="65"/>
    </row>
    <row r="1339" spans="1:14" ht="15" customHeight="1" x14ac:dyDescent="0.2">
      <c r="A1339" s="188"/>
      <c r="C1339" s="189"/>
      <c r="E1339" s="190"/>
      <c r="G1339" s="70"/>
      <c r="H1339" s="70"/>
      <c r="J1339" s="70"/>
      <c r="L1339" s="71"/>
      <c r="N1339" s="65"/>
    </row>
    <row r="1340" spans="1:14" ht="15" customHeight="1" x14ac:dyDescent="0.2">
      <c r="A1340" s="188"/>
      <c r="C1340" s="189"/>
      <c r="E1340" s="190"/>
      <c r="G1340" s="70"/>
      <c r="H1340" s="70"/>
      <c r="J1340" s="70"/>
      <c r="L1340" s="71"/>
      <c r="N1340" s="65"/>
    </row>
    <row r="1341" spans="1:14" ht="15" customHeight="1" x14ac:dyDescent="0.2">
      <c r="A1341" s="188"/>
      <c r="C1341" s="189"/>
      <c r="E1341" s="190"/>
      <c r="G1341" s="70"/>
      <c r="H1341" s="70"/>
      <c r="J1341" s="70"/>
      <c r="L1341" s="71"/>
      <c r="N1341" s="65"/>
    </row>
    <row r="1342" spans="1:14" ht="15" customHeight="1" x14ac:dyDescent="0.2">
      <c r="A1342" s="188"/>
      <c r="C1342" s="189"/>
      <c r="E1342" s="190"/>
      <c r="G1342" s="70"/>
      <c r="H1342" s="70"/>
      <c r="J1342" s="70"/>
      <c r="L1342" s="71"/>
      <c r="N1342" s="65"/>
    </row>
    <row r="1343" spans="1:14" ht="15" customHeight="1" x14ac:dyDescent="0.2">
      <c r="A1343" s="188"/>
      <c r="C1343" s="189"/>
      <c r="E1343" s="190"/>
      <c r="G1343" s="70"/>
      <c r="H1343" s="70"/>
      <c r="J1343" s="70"/>
      <c r="L1343" s="71"/>
      <c r="N1343" s="65"/>
    </row>
    <row r="1344" spans="1:14" ht="15" customHeight="1" x14ac:dyDescent="0.2">
      <c r="A1344" s="188"/>
      <c r="C1344" s="189"/>
      <c r="E1344" s="190"/>
      <c r="G1344" s="70"/>
      <c r="H1344" s="70"/>
      <c r="J1344" s="70"/>
      <c r="L1344" s="71"/>
      <c r="N1344" s="65"/>
    </row>
    <row r="1345" spans="1:14" ht="15" customHeight="1" x14ac:dyDescent="0.2">
      <c r="A1345" s="188"/>
      <c r="C1345" s="189"/>
      <c r="E1345" s="190"/>
      <c r="G1345" s="70"/>
      <c r="H1345" s="70"/>
      <c r="J1345" s="70"/>
      <c r="L1345" s="71"/>
      <c r="N1345" s="65"/>
    </row>
    <row r="1346" spans="1:14" ht="15" customHeight="1" x14ac:dyDescent="0.2">
      <c r="A1346" s="188"/>
      <c r="C1346" s="189"/>
      <c r="E1346" s="190"/>
      <c r="G1346" s="70"/>
      <c r="H1346" s="70"/>
      <c r="J1346" s="70"/>
      <c r="L1346" s="71"/>
      <c r="N1346" s="65"/>
    </row>
    <row r="1347" spans="1:14" ht="15" customHeight="1" x14ac:dyDescent="0.2">
      <c r="A1347" s="188"/>
      <c r="C1347" s="189"/>
      <c r="E1347" s="190"/>
      <c r="G1347" s="70"/>
      <c r="H1347" s="70"/>
      <c r="J1347" s="70"/>
      <c r="L1347" s="71"/>
      <c r="N1347" s="65"/>
    </row>
    <row r="1348" spans="1:14" ht="15" customHeight="1" x14ac:dyDescent="0.2">
      <c r="A1348" s="188"/>
      <c r="C1348" s="189"/>
      <c r="E1348" s="190"/>
      <c r="G1348" s="70"/>
      <c r="H1348" s="70"/>
      <c r="J1348" s="70"/>
      <c r="L1348" s="71"/>
      <c r="N1348" s="65"/>
    </row>
    <row r="1349" spans="1:14" ht="15" customHeight="1" x14ac:dyDescent="0.2">
      <c r="A1349" s="188"/>
      <c r="C1349" s="189"/>
      <c r="E1349" s="190"/>
      <c r="G1349" s="70"/>
      <c r="H1349" s="70"/>
      <c r="J1349" s="70"/>
      <c r="L1349" s="71"/>
      <c r="N1349" s="65"/>
    </row>
    <row r="1350" spans="1:14" ht="15" customHeight="1" x14ac:dyDescent="0.2">
      <c r="A1350" s="188"/>
      <c r="C1350" s="189"/>
      <c r="E1350" s="190"/>
      <c r="G1350" s="70"/>
      <c r="H1350" s="70"/>
      <c r="J1350" s="70"/>
      <c r="L1350" s="71"/>
      <c r="N1350" s="65"/>
    </row>
    <row r="1351" spans="1:14" ht="15" customHeight="1" x14ac:dyDescent="0.2">
      <c r="A1351" s="188"/>
      <c r="C1351" s="189"/>
      <c r="E1351" s="190"/>
      <c r="G1351" s="70"/>
      <c r="H1351" s="70"/>
      <c r="J1351" s="70"/>
      <c r="L1351" s="71"/>
      <c r="N1351" s="65"/>
    </row>
    <row r="1352" spans="1:14" ht="15" customHeight="1" x14ac:dyDescent="0.2">
      <c r="A1352" s="188"/>
      <c r="C1352" s="189"/>
      <c r="E1352" s="190"/>
      <c r="G1352" s="70"/>
      <c r="H1352" s="70"/>
      <c r="J1352" s="70"/>
      <c r="L1352" s="71"/>
      <c r="N1352" s="65"/>
    </row>
    <row r="1353" spans="1:14" ht="15" customHeight="1" x14ac:dyDescent="0.2">
      <c r="A1353" s="188"/>
      <c r="C1353" s="189"/>
      <c r="E1353" s="190"/>
      <c r="G1353" s="70"/>
      <c r="H1353" s="70"/>
      <c r="J1353" s="70"/>
      <c r="L1353" s="71"/>
      <c r="N1353" s="65"/>
    </row>
    <row r="1354" spans="1:14" ht="15" customHeight="1" x14ac:dyDescent="0.2">
      <c r="A1354" s="188"/>
      <c r="C1354" s="189"/>
      <c r="E1354" s="190"/>
      <c r="G1354" s="70"/>
      <c r="H1354" s="70"/>
      <c r="J1354" s="70"/>
      <c r="L1354" s="71"/>
      <c r="N1354" s="65"/>
    </row>
    <row r="1355" spans="1:14" ht="15" customHeight="1" x14ac:dyDescent="0.2">
      <c r="A1355" s="188"/>
      <c r="C1355" s="189"/>
      <c r="E1355" s="190"/>
      <c r="G1355" s="70"/>
      <c r="H1355" s="70"/>
      <c r="J1355" s="70"/>
      <c r="L1355" s="71"/>
      <c r="N1355" s="65"/>
    </row>
    <row r="1356" spans="1:14" ht="15" customHeight="1" x14ac:dyDescent="0.2">
      <c r="A1356" s="188"/>
      <c r="C1356" s="189"/>
      <c r="E1356" s="190"/>
      <c r="G1356" s="70"/>
      <c r="H1356" s="70"/>
      <c r="J1356" s="70"/>
      <c r="L1356" s="71"/>
      <c r="N1356" s="65"/>
    </row>
    <row r="1357" spans="1:14" ht="15" customHeight="1" x14ac:dyDescent="0.2">
      <c r="A1357" s="188"/>
      <c r="C1357" s="189"/>
      <c r="E1357" s="190"/>
      <c r="G1357" s="70"/>
      <c r="H1357" s="70"/>
      <c r="J1357" s="70"/>
      <c r="L1357" s="71"/>
      <c r="N1357" s="65"/>
    </row>
    <row r="1358" spans="1:14" ht="15" customHeight="1" x14ac:dyDescent="0.2">
      <c r="A1358" s="188"/>
      <c r="C1358" s="189"/>
      <c r="E1358" s="190"/>
      <c r="G1358" s="70"/>
      <c r="H1358" s="70"/>
      <c r="J1358" s="70"/>
      <c r="L1358" s="71"/>
      <c r="N1358" s="65"/>
    </row>
    <row r="1359" spans="1:14" ht="15" customHeight="1" x14ac:dyDescent="0.2">
      <c r="A1359" s="188"/>
      <c r="C1359" s="189"/>
      <c r="E1359" s="190"/>
      <c r="G1359" s="70"/>
      <c r="H1359" s="70"/>
      <c r="J1359" s="70"/>
      <c r="L1359" s="71"/>
      <c r="N1359" s="65"/>
    </row>
    <row r="1360" spans="1:14" ht="15" customHeight="1" x14ac:dyDescent="0.2">
      <c r="A1360" s="188"/>
      <c r="C1360" s="189"/>
      <c r="E1360" s="190"/>
      <c r="G1360" s="70"/>
      <c r="H1360" s="70"/>
      <c r="J1360" s="70"/>
      <c r="L1360" s="71"/>
      <c r="N1360" s="65"/>
    </row>
    <row r="1361" spans="1:14" ht="15" customHeight="1" x14ac:dyDescent="0.2">
      <c r="A1361" s="188"/>
      <c r="C1361" s="189"/>
      <c r="E1361" s="190"/>
      <c r="G1361" s="70"/>
      <c r="H1361" s="70"/>
      <c r="J1361" s="70"/>
      <c r="L1361" s="71"/>
      <c r="N1361" s="65"/>
    </row>
    <row r="1362" spans="1:14" ht="15" customHeight="1" x14ac:dyDescent="0.2">
      <c r="A1362" s="188"/>
      <c r="C1362" s="189"/>
      <c r="E1362" s="190"/>
      <c r="G1362" s="70"/>
      <c r="H1362" s="70"/>
      <c r="J1362" s="70"/>
      <c r="L1362" s="71"/>
      <c r="N1362" s="65"/>
    </row>
    <row r="1363" spans="1:14" ht="15" customHeight="1" x14ac:dyDescent="0.2">
      <c r="A1363" s="188"/>
      <c r="C1363" s="189"/>
      <c r="E1363" s="190"/>
      <c r="G1363" s="70"/>
      <c r="H1363" s="70"/>
      <c r="J1363" s="70"/>
      <c r="L1363" s="71"/>
      <c r="N1363" s="65"/>
    </row>
    <row r="1364" spans="1:14" ht="15" customHeight="1" x14ac:dyDescent="0.2">
      <c r="A1364" s="188"/>
      <c r="C1364" s="189"/>
      <c r="E1364" s="190"/>
      <c r="G1364" s="70"/>
      <c r="H1364" s="70"/>
      <c r="J1364" s="70"/>
      <c r="L1364" s="71"/>
      <c r="N1364" s="65"/>
    </row>
    <row r="1365" spans="1:14" ht="15" customHeight="1" x14ac:dyDescent="0.2">
      <c r="A1365" s="188"/>
      <c r="C1365" s="189"/>
      <c r="E1365" s="190"/>
      <c r="G1365" s="70"/>
      <c r="H1365" s="70"/>
      <c r="J1365" s="70"/>
      <c r="L1365" s="71"/>
      <c r="N1365" s="65"/>
    </row>
    <row r="1366" spans="1:14" ht="15" customHeight="1" x14ac:dyDescent="0.2">
      <c r="A1366" s="188"/>
      <c r="C1366" s="189"/>
      <c r="E1366" s="190"/>
      <c r="G1366" s="70"/>
      <c r="H1366" s="70"/>
      <c r="J1366" s="70"/>
      <c r="L1366" s="71"/>
      <c r="N1366" s="65"/>
    </row>
    <row r="1367" spans="1:14" ht="15" customHeight="1" x14ac:dyDescent="0.2">
      <c r="A1367" s="188"/>
      <c r="C1367" s="189"/>
      <c r="E1367" s="190"/>
      <c r="G1367" s="70"/>
      <c r="H1367" s="70"/>
      <c r="J1367" s="70"/>
      <c r="L1367" s="71"/>
      <c r="N1367" s="65"/>
    </row>
    <row r="1368" spans="1:14" ht="15" customHeight="1" x14ac:dyDescent="0.2">
      <c r="A1368" s="188"/>
      <c r="C1368" s="189"/>
      <c r="E1368" s="190"/>
      <c r="G1368" s="70"/>
      <c r="H1368" s="70"/>
      <c r="J1368" s="70"/>
      <c r="L1368" s="71"/>
      <c r="N1368" s="65"/>
    </row>
    <row r="1369" spans="1:14" ht="15" customHeight="1" x14ac:dyDescent="0.2">
      <c r="A1369" s="188"/>
      <c r="C1369" s="189"/>
      <c r="E1369" s="190"/>
      <c r="G1369" s="70"/>
      <c r="H1369" s="70"/>
      <c r="J1369" s="70"/>
      <c r="L1369" s="71"/>
      <c r="N1369" s="65"/>
    </row>
    <row r="1370" spans="1:14" ht="15" customHeight="1" x14ac:dyDescent="0.2">
      <c r="A1370" s="188"/>
      <c r="C1370" s="189"/>
      <c r="E1370" s="190"/>
      <c r="G1370" s="70"/>
      <c r="H1370" s="70"/>
      <c r="J1370" s="70"/>
      <c r="L1370" s="71"/>
      <c r="N1370" s="65"/>
    </row>
    <row r="1371" spans="1:14" ht="15" customHeight="1" x14ac:dyDescent="0.2">
      <c r="A1371" s="188"/>
      <c r="C1371" s="189"/>
      <c r="E1371" s="190"/>
      <c r="G1371" s="70"/>
      <c r="H1371" s="70"/>
      <c r="J1371" s="70"/>
      <c r="L1371" s="71"/>
      <c r="N1371" s="65"/>
    </row>
    <row r="1372" spans="1:14" ht="15" customHeight="1" x14ac:dyDescent="0.2">
      <c r="A1372" s="188"/>
      <c r="C1372" s="189"/>
      <c r="E1372" s="190"/>
      <c r="G1372" s="70"/>
      <c r="H1372" s="70"/>
      <c r="J1372" s="70"/>
      <c r="L1372" s="71"/>
      <c r="N1372" s="65"/>
    </row>
    <row r="1373" spans="1:14" ht="15" customHeight="1" x14ac:dyDescent="0.2">
      <c r="A1373" s="188"/>
      <c r="C1373" s="189"/>
      <c r="E1373" s="190"/>
      <c r="G1373" s="70"/>
      <c r="H1373" s="70"/>
      <c r="J1373" s="70"/>
      <c r="L1373" s="71"/>
      <c r="N1373" s="65"/>
    </row>
    <row r="1374" spans="1:14" ht="15" customHeight="1" x14ac:dyDescent="0.2">
      <c r="A1374" s="188"/>
      <c r="C1374" s="189"/>
      <c r="E1374" s="190"/>
      <c r="G1374" s="70"/>
      <c r="H1374" s="70"/>
      <c r="J1374" s="70"/>
      <c r="L1374" s="71"/>
      <c r="N1374" s="65"/>
    </row>
    <row r="1375" spans="1:14" ht="15" customHeight="1" x14ac:dyDescent="0.2">
      <c r="A1375" s="188"/>
      <c r="C1375" s="189"/>
      <c r="E1375" s="190"/>
      <c r="G1375" s="70"/>
      <c r="H1375" s="70"/>
      <c r="J1375" s="70"/>
      <c r="L1375" s="71"/>
      <c r="N1375" s="65"/>
    </row>
    <row r="1376" spans="1:14" ht="15" customHeight="1" x14ac:dyDescent="0.2">
      <c r="A1376" s="188"/>
      <c r="C1376" s="189"/>
      <c r="E1376" s="190"/>
      <c r="G1376" s="70"/>
      <c r="H1376" s="70"/>
      <c r="J1376" s="70"/>
      <c r="L1376" s="71"/>
      <c r="N1376" s="65"/>
    </row>
    <row r="1377" spans="1:14" ht="15" customHeight="1" x14ac:dyDescent="0.2">
      <c r="A1377" s="188"/>
      <c r="C1377" s="189"/>
      <c r="E1377" s="190"/>
      <c r="G1377" s="70"/>
      <c r="H1377" s="70"/>
      <c r="J1377" s="70"/>
      <c r="L1377" s="71"/>
      <c r="N1377" s="65"/>
    </row>
    <row r="1378" spans="1:14" ht="15" customHeight="1" x14ac:dyDescent="0.2">
      <c r="A1378" s="188"/>
      <c r="C1378" s="189"/>
      <c r="E1378" s="190"/>
      <c r="G1378" s="70"/>
      <c r="H1378" s="70"/>
      <c r="J1378" s="70"/>
      <c r="L1378" s="71"/>
      <c r="N1378" s="65"/>
    </row>
    <row r="1379" spans="1:14" ht="15" customHeight="1" x14ac:dyDescent="0.2">
      <c r="A1379" s="188"/>
      <c r="C1379" s="189"/>
      <c r="E1379" s="190"/>
      <c r="G1379" s="70"/>
      <c r="H1379" s="70"/>
      <c r="J1379" s="70"/>
      <c r="L1379" s="71"/>
      <c r="N1379" s="65"/>
    </row>
    <row r="1380" spans="1:14" ht="15" customHeight="1" x14ac:dyDescent="0.2">
      <c r="A1380" s="188"/>
      <c r="C1380" s="189"/>
      <c r="E1380" s="190"/>
      <c r="G1380" s="70"/>
      <c r="H1380" s="70"/>
      <c r="J1380" s="70"/>
      <c r="L1380" s="71"/>
      <c r="N1380" s="65"/>
    </row>
    <row r="1381" spans="1:14" ht="15" customHeight="1" x14ac:dyDescent="0.2">
      <c r="A1381" s="188"/>
      <c r="C1381" s="189"/>
      <c r="E1381" s="190"/>
      <c r="G1381" s="70"/>
      <c r="H1381" s="70"/>
      <c r="J1381" s="70"/>
      <c r="L1381" s="71"/>
      <c r="N1381" s="65"/>
    </row>
    <row r="1382" spans="1:14" ht="15" customHeight="1" x14ac:dyDescent="0.2">
      <c r="A1382" s="188"/>
      <c r="C1382" s="189"/>
      <c r="E1382" s="190"/>
      <c r="G1382" s="70"/>
      <c r="H1382" s="70"/>
      <c r="J1382" s="70"/>
      <c r="L1382" s="71"/>
      <c r="N1382" s="65"/>
    </row>
    <row r="1383" spans="1:14" ht="15" customHeight="1" x14ac:dyDescent="0.2">
      <c r="A1383" s="188"/>
      <c r="C1383" s="189"/>
      <c r="E1383" s="190"/>
      <c r="G1383" s="70"/>
      <c r="H1383" s="70"/>
      <c r="J1383" s="70"/>
      <c r="L1383" s="71"/>
      <c r="N1383" s="65"/>
    </row>
    <row r="1384" spans="1:14" ht="15" customHeight="1" x14ac:dyDescent="0.2">
      <c r="A1384" s="188"/>
      <c r="C1384" s="189"/>
      <c r="E1384" s="190"/>
      <c r="G1384" s="70"/>
      <c r="H1384" s="70"/>
      <c r="J1384" s="70"/>
      <c r="L1384" s="71"/>
      <c r="N1384" s="65"/>
    </row>
    <row r="1385" spans="1:14" ht="15" customHeight="1" x14ac:dyDescent="0.2">
      <c r="A1385" s="188"/>
      <c r="C1385" s="189"/>
      <c r="E1385" s="190"/>
      <c r="G1385" s="70"/>
      <c r="H1385" s="70"/>
      <c r="J1385" s="70"/>
      <c r="L1385" s="71"/>
      <c r="N1385" s="65"/>
    </row>
    <row r="1386" spans="1:14" ht="15" customHeight="1" x14ac:dyDescent="0.2">
      <c r="A1386" s="188"/>
      <c r="C1386" s="189"/>
      <c r="E1386" s="190"/>
      <c r="G1386" s="70"/>
      <c r="H1386" s="70"/>
      <c r="J1386" s="70"/>
      <c r="L1386" s="71"/>
      <c r="N1386" s="65"/>
    </row>
    <row r="1387" spans="1:14" ht="15" customHeight="1" x14ac:dyDescent="0.2">
      <c r="A1387" s="188"/>
      <c r="C1387" s="189"/>
      <c r="E1387" s="190"/>
      <c r="G1387" s="70"/>
      <c r="H1387" s="70"/>
      <c r="J1387" s="70"/>
      <c r="L1387" s="71"/>
      <c r="N1387" s="65"/>
    </row>
    <row r="1388" spans="1:14" ht="15" customHeight="1" x14ac:dyDescent="0.2">
      <c r="A1388" s="188"/>
      <c r="C1388" s="189"/>
      <c r="E1388" s="190"/>
      <c r="G1388" s="70"/>
      <c r="H1388" s="70"/>
      <c r="J1388" s="70"/>
      <c r="L1388" s="71"/>
      <c r="N1388" s="65"/>
    </row>
    <row r="1389" spans="1:14" ht="15" customHeight="1" x14ac:dyDescent="0.2">
      <c r="A1389" s="188"/>
      <c r="C1389" s="189"/>
      <c r="E1389" s="190"/>
      <c r="G1389" s="70"/>
      <c r="H1389" s="70"/>
      <c r="J1389" s="70"/>
      <c r="L1389" s="71"/>
      <c r="N1389" s="65"/>
    </row>
    <row r="1390" spans="1:14" ht="15" customHeight="1" x14ac:dyDescent="0.2">
      <c r="A1390" s="188"/>
      <c r="C1390" s="189"/>
      <c r="E1390" s="190"/>
      <c r="G1390" s="70"/>
      <c r="H1390" s="70"/>
      <c r="J1390" s="70"/>
      <c r="L1390" s="71"/>
      <c r="N1390" s="65"/>
    </row>
    <row r="1391" spans="1:14" ht="15" customHeight="1" x14ac:dyDescent="0.2">
      <c r="A1391" s="188"/>
      <c r="C1391" s="189"/>
      <c r="E1391" s="190"/>
      <c r="G1391" s="70"/>
      <c r="H1391" s="70"/>
      <c r="J1391" s="70"/>
      <c r="L1391" s="71"/>
      <c r="N1391" s="65"/>
    </row>
    <row r="1392" spans="1:14" ht="15" customHeight="1" x14ac:dyDescent="0.2">
      <c r="A1392" s="188"/>
      <c r="C1392" s="189"/>
      <c r="E1392" s="190"/>
      <c r="G1392" s="70"/>
      <c r="H1392" s="70"/>
      <c r="J1392" s="70"/>
      <c r="L1392" s="71"/>
      <c r="N1392" s="65"/>
    </row>
    <row r="1393" spans="1:14" ht="15" customHeight="1" x14ac:dyDescent="0.2">
      <c r="A1393" s="188"/>
      <c r="C1393" s="189"/>
      <c r="E1393" s="190"/>
      <c r="G1393" s="70"/>
      <c r="H1393" s="70"/>
      <c r="J1393" s="70"/>
      <c r="L1393" s="71"/>
      <c r="N1393" s="65"/>
    </row>
    <row r="1394" spans="1:14" ht="15" customHeight="1" x14ac:dyDescent="0.2">
      <c r="A1394" s="188"/>
      <c r="C1394" s="189"/>
      <c r="E1394" s="190"/>
      <c r="G1394" s="70"/>
      <c r="H1394" s="70"/>
      <c r="J1394" s="70"/>
      <c r="L1394" s="71"/>
      <c r="N1394" s="65"/>
    </row>
    <row r="1395" spans="1:14" ht="15" customHeight="1" x14ac:dyDescent="0.2">
      <c r="A1395" s="188"/>
      <c r="C1395" s="189"/>
      <c r="E1395" s="190"/>
      <c r="G1395" s="70"/>
      <c r="H1395" s="70"/>
      <c r="J1395" s="70"/>
      <c r="L1395" s="71"/>
      <c r="N1395" s="65"/>
    </row>
    <row r="1396" spans="1:14" ht="15" customHeight="1" x14ac:dyDescent="0.2">
      <c r="A1396" s="188"/>
      <c r="C1396" s="189"/>
      <c r="E1396" s="190"/>
      <c r="G1396" s="70"/>
      <c r="H1396" s="70"/>
      <c r="J1396" s="70"/>
      <c r="L1396" s="71"/>
      <c r="N1396" s="65"/>
    </row>
    <row r="1397" spans="1:14" ht="15" customHeight="1" x14ac:dyDescent="0.2">
      <c r="A1397" s="188"/>
      <c r="C1397" s="189"/>
      <c r="E1397" s="190"/>
      <c r="G1397" s="70"/>
      <c r="H1397" s="70"/>
      <c r="J1397" s="70"/>
      <c r="L1397" s="71"/>
      <c r="N1397" s="65"/>
    </row>
    <row r="1398" spans="1:14" ht="15" customHeight="1" x14ac:dyDescent="0.2">
      <c r="A1398" s="188"/>
      <c r="C1398" s="189"/>
      <c r="E1398" s="190"/>
      <c r="G1398" s="70"/>
      <c r="H1398" s="70"/>
      <c r="J1398" s="70"/>
      <c r="L1398" s="71"/>
      <c r="N1398" s="65"/>
    </row>
    <row r="1399" spans="1:14" ht="15" customHeight="1" x14ac:dyDescent="0.2">
      <c r="A1399" s="188"/>
      <c r="C1399" s="189"/>
      <c r="E1399" s="190"/>
      <c r="G1399" s="70"/>
      <c r="H1399" s="70"/>
      <c r="J1399" s="70"/>
      <c r="L1399" s="71"/>
      <c r="N1399" s="65"/>
    </row>
    <row r="1400" spans="1:14" ht="15" customHeight="1" x14ac:dyDescent="0.2">
      <c r="A1400" s="188"/>
      <c r="C1400" s="189"/>
      <c r="E1400" s="190"/>
      <c r="G1400" s="70"/>
      <c r="H1400" s="70"/>
      <c r="J1400" s="70"/>
      <c r="L1400" s="71"/>
      <c r="N1400" s="65"/>
    </row>
    <row r="1401" spans="1:14" ht="15" customHeight="1" x14ac:dyDescent="0.2">
      <c r="A1401" s="188"/>
      <c r="C1401" s="189"/>
      <c r="E1401" s="190"/>
      <c r="G1401" s="70"/>
      <c r="H1401" s="70"/>
      <c r="J1401" s="70"/>
      <c r="L1401" s="71"/>
      <c r="N1401" s="65"/>
    </row>
    <row r="1402" spans="1:14" ht="15" customHeight="1" x14ac:dyDescent="0.2">
      <c r="A1402" s="188"/>
      <c r="C1402" s="189"/>
      <c r="E1402" s="190"/>
      <c r="G1402" s="70"/>
      <c r="H1402" s="70"/>
      <c r="J1402" s="70"/>
      <c r="L1402" s="71"/>
      <c r="N1402" s="65"/>
    </row>
    <row r="1403" spans="1:14" ht="15" customHeight="1" x14ac:dyDescent="0.2">
      <c r="A1403" s="188"/>
      <c r="C1403" s="189"/>
      <c r="E1403" s="190"/>
      <c r="G1403" s="70"/>
      <c r="H1403" s="70"/>
      <c r="J1403" s="70"/>
      <c r="L1403" s="71"/>
      <c r="N1403" s="65"/>
    </row>
    <row r="1404" spans="1:14" ht="15" customHeight="1" x14ac:dyDescent="0.2">
      <c r="A1404" s="188"/>
      <c r="C1404" s="189"/>
      <c r="E1404" s="190"/>
      <c r="G1404" s="70"/>
      <c r="H1404" s="70"/>
      <c r="J1404" s="70"/>
      <c r="L1404" s="71"/>
      <c r="N1404" s="65"/>
    </row>
    <row r="1405" spans="1:14" ht="15" customHeight="1" x14ac:dyDescent="0.2">
      <c r="A1405" s="188"/>
      <c r="C1405" s="189"/>
      <c r="E1405" s="190"/>
      <c r="G1405" s="70"/>
      <c r="H1405" s="70"/>
      <c r="J1405" s="70"/>
      <c r="L1405" s="71"/>
      <c r="N1405" s="65"/>
    </row>
    <row r="1406" spans="1:14" ht="15" customHeight="1" x14ac:dyDescent="0.2">
      <c r="A1406" s="188"/>
      <c r="C1406" s="189"/>
      <c r="E1406" s="190"/>
      <c r="G1406" s="70"/>
      <c r="H1406" s="70"/>
      <c r="J1406" s="70"/>
      <c r="L1406" s="71"/>
      <c r="N1406" s="65"/>
    </row>
    <row r="1407" spans="1:14" ht="15" customHeight="1" x14ac:dyDescent="0.2">
      <c r="A1407" s="188"/>
      <c r="C1407" s="189"/>
      <c r="E1407" s="190"/>
      <c r="G1407" s="70"/>
      <c r="H1407" s="70"/>
      <c r="J1407" s="70"/>
      <c r="L1407" s="71"/>
      <c r="N1407" s="65"/>
    </row>
    <row r="1408" spans="1:14" ht="15" customHeight="1" x14ac:dyDescent="0.2">
      <c r="A1408" s="188"/>
      <c r="C1408" s="189"/>
      <c r="E1408" s="190"/>
      <c r="G1408" s="70"/>
      <c r="H1408" s="70"/>
      <c r="J1408" s="70"/>
      <c r="L1408" s="71"/>
      <c r="N1408" s="65"/>
    </row>
    <row r="1409" spans="1:14" ht="15" customHeight="1" x14ac:dyDescent="0.2">
      <c r="A1409" s="188"/>
      <c r="C1409" s="189"/>
      <c r="E1409" s="190"/>
      <c r="G1409" s="70"/>
      <c r="H1409" s="70"/>
      <c r="J1409" s="70"/>
      <c r="L1409" s="71"/>
      <c r="N1409" s="65"/>
    </row>
    <row r="1410" spans="1:14" ht="15" customHeight="1" x14ac:dyDescent="0.2">
      <c r="A1410" s="188"/>
      <c r="C1410" s="189"/>
      <c r="E1410" s="190"/>
      <c r="G1410" s="70"/>
      <c r="H1410" s="70"/>
      <c r="J1410" s="70"/>
      <c r="L1410" s="71"/>
      <c r="N1410" s="65"/>
    </row>
    <row r="1411" spans="1:14" ht="15" customHeight="1" x14ac:dyDescent="0.2">
      <c r="A1411" s="188"/>
      <c r="C1411" s="189"/>
      <c r="E1411" s="190"/>
      <c r="G1411" s="70"/>
      <c r="H1411" s="70"/>
      <c r="J1411" s="70"/>
      <c r="L1411" s="71"/>
      <c r="N1411" s="65"/>
    </row>
    <row r="1412" spans="1:14" ht="15" customHeight="1" x14ac:dyDescent="0.2">
      <c r="A1412" s="188"/>
      <c r="C1412" s="189"/>
      <c r="E1412" s="190"/>
      <c r="G1412" s="70"/>
      <c r="H1412" s="70"/>
      <c r="J1412" s="70"/>
      <c r="L1412" s="71"/>
      <c r="N1412" s="65"/>
    </row>
    <row r="1413" spans="1:14" ht="15" customHeight="1" x14ac:dyDescent="0.2">
      <c r="A1413" s="188"/>
      <c r="C1413" s="189"/>
      <c r="E1413" s="190"/>
      <c r="G1413" s="70"/>
      <c r="H1413" s="70"/>
      <c r="J1413" s="70"/>
      <c r="L1413" s="71"/>
      <c r="N1413" s="65"/>
    </row>
    <row r="1414" spans="1:14" ht="15" customHeight="1" x14ac:dyDescent="0.2">
      <c r="A1414" s="188"/>
      <c r="C1414" s="189"/>
      <c r="E1414" s="190"/>
      <c r="G1414" s="70"/>
      <c r="H1414" s="70"/>
      <c r="J1414" s="70"/>
      <c r="L1414" s="71"/>
      <c r="N1414" s="65"/>
    </row>
    <row r="1415" spans="1:14" ht="15" customHeight="1" x14ac:dyDescent="0.2">
      <c r="A1415" s="188"/>
      <c r="C1415" s="189"/>
      <c r="E1415" s="190"/>
      <c r="G1415" s="70"/>
      <c r="H1415" s="70"/>
      <c r="J1415" s="70"/>
      <c r="L1415" s="71"/>
      <c r="N1415" s="65"/>
    </row>
    <row r="1416" spans="1:14" ht="15" customHeight="1" x14ac:dyDescent="0.2">
      <c r="A1416" s="188"/>
      <c r="C1416" s="189"/>
      <c r="E1416" s="190"/>
      <c r="G1416" s="70"/>
      <c r="H1416" s="70"/>
      <c r="J1416" s="70"/>
      <c r="L1416" s="71"/>
      <c r="N1416" s="65"/>
    </row>
    <row r="1417" spans="1:14" ht="15" customHeight="1" x14ac:dyDescent="0.2">
      <c r="A1417" s="188"/>
      <c r="C1417" s="189"/>
      <c r="E1417" s="190"/>
      <c r="G1417" s="70"/>
      <c r="H1417" s="70"/>
      <c r="J1417" s="70"/>
      <c r="L1417" s="71"/>
      <c r="N1417" s="65"/>
    </row>
    <row r="1418" spans="1:14" ht="15" customHeight="1" x14ac:dyDescent="0.2">
      <c r="A1418" s="188"/>
      <c r="C1418" s="189"/>
      <c r="E1418" s="190"/>
      <c r="G1418" s="70"/>
      <c r="H1418" s="70"/>
      <c r="J1418" s="70"/>
      <c r="L1418" s="71"/>
      <c r="N1418" s="65"/>
    </row>
    <row r="1419" spans="1:14" ht="15" customHeight="1" x14ac:dyDescent="0.2">
      <c r="A1419" s="188"/>
      <c r="C1419" s="189"/>
      <c r="E1419" s="190"/>
      <c r="G1419" s="70"/>
      <c r="H1419" s="70"/>
      <c r="J1419" s="70"/>
      <c r="L1419" s="71"/>
      <c r="N1419" s="65"/>
    </row>
    <row r="1420" spans="1:14" ht="15" customHeight="1" x14ac:dyDescent="0.2">
      <c r="A1420" s="188"/>
      <c r="C1420" s="189"/>
      <c r="E1420" s="190"/>
      <c r="G1420" s="70"/>
      <c r="H1420" s="70"/>
      <c r="J1420" s="70"/>
      <c r="L1420" s="71"/>
      <c r="N1420" s="65"/>
    </row>
    <row r="1421" spans="1:14" ht="15" customHeight="1" x14ac:dyDescent="0.2">
      <c r="A1421" s="188"/>
      <c r="C1421" s="189"/>
      <c r="E1421" s="190"/>
      <c r="G1421" s="70"/>
      <c r="H1421" s="70"/>
      <c r="J1421" s="70"/>
      <c r="L1421" s="71"/>
      <c r="N1421" s="65"/>
    </row>
    <row r="1422" spans="1:14" ht="15" customHeight="1" x14ac:dyDescent="0.2">
      <c r="A1422" s="188"/>
      <c r="C1422" s="189"/>
      <c r="E1422" s="190"/>
      <c r="G1422" s="70"/>
      <c r="H1422" s="70"/>
      <c r="J1422" s="70"/>
      <c r="L1422" s="71"/>
      <c r="N1422" s="65"/>
    </row>
    <row r="1423" spans="1:14" ht="15" customHeight="1" x14ac:dyDescent="0.2">
      <c r="A1423" s="188"/>
      <c r="C1423" s="189"/>
      <c r="E1423" s="190"/>
      <c r="G1423" s="70"/>
      <c r="H1423" s="70"/>
      <c r="J1423" s="70"/>
      <c r="L1423" s="71"/>
      <c r="N1423" s="65"/>
    </row>
    <row r="1424" spans="1:14" ht="15" customHeight="1" x14ac:dyDescent="0.2">
      <c r="A1424" s="188"/>
      <c r="C1424" s="189"/>
      <c r="E1424" s="190"/>
      <c r="G1424" s="70"/>
      <c r="H1424" s="70"/>
      <c r="J1424" s="70"/>
      <c r="L1424" s="71"/>
      <c r="N1424" s="65"/>
    </row>
    <row r="1425" spans="1:14" ht="15" customHeight="1" x14ac:dyDescent="0.2">
      <c r="A1425" s="188"/>
      <c r="C1425" s="189"/>
      <c r="E1425" s="190"/>
      <c r="G1425" s="70"/>
      <c r="H1425" s="70"/>
      <c r="J1425" s="70"/>
      <c r="L1425" s="71"/>
      <c r="N1425" s="65"/>
    </row>
    <row r="1426" spans="1:14" ht="15" customHeight="1" x14ac:dyDescent="0.2">
      <c r="A1426" s="188"/>
      <c r="C1426" s="189"/>
      <c r="E1426" s="190"/>
      <c r="G1426" s="70"/>
      <c r="H1426" s="70"/>
      <c r="J1426" s="70"/>
      <c r="L1426" s="71"/>
      <c r="N1426" s="65"/>
    </row>
    <row r="1427" spans="1:14" ht="15" customHeight="1" x14ac:dyDescent="0.2">
      <c r="A1427" s="188"/>
      <c r="C1427" s="189"/>
      <c r="E1427" s="190"/>
      <c r="G1427" s="70"/>
      <c r="H1427" s="70"/>
      <c r="J1427" s="70"/>
      <c r="L1427" s="71"/>
      <c r="N1427" s="65"/>
    </row>
    <row r="1428" spans="1:14" ht="15" customHeight="1" x14ac:dyDescent="0.2">
      <c r="A1428" s="188"/>
      <c r="C1428" s="189"/>
      <c r="E1428" s="190"/>
      <c r="G1428" s="70"/>
      <c r="H1428" s="70"/>
      <c r="J1428" s="70"/>
      <c r="L1428" s="71"/>
      <c r="N1428" s="65"/>
    </row>
    <row r="1429" spans="1:14" ht="15" customHeight="1" x14ac:dyDescent="0.2">
      <c r="A1429" s="188"/>
      <c r="C1429" s="189"/>
      <c r="E1429" s="190"/>
      <c r="G1429" s="70"/>
      <c r="H1429" s="70"/>
      <c r="J1429" s="70"/>
      <c r="L1429" s="71"/>
      <c r="N1429" s="65"/>
    </row>
    <row r="1430" spans="1:14" ht="15" customHeight="1" x14ac:dyDescent="0.2">
      <c r="A1430" s="188"/>
      <c r="C1430" s="189"/>
      <c r="E1430" s="190"/>
      <c r="G1430" s="70"/>
      <c r="H1430" s="70"/>
      <c r="J1430" s="70"/>
      <c r="L1430" s="71"/>
      <c r="N1430" s="65"/>
    </row>
    <row r="1431" spans="1:14" ht="15" customHeight="1" x14ac:dyDescent="0.2">
      <c r="A1431" s="188"/>
      <c r="C1431" s="189"/>
      <c r="E1431" s="190"/>
      <c r="G1431" s="70"/>
      <c r="H1431" s="70"/>
      <c r="J1431" s="70"/>
      <c r="L1431" s="71"/>
      <c r="N1431" s="65"/>
    </row>
    <row r="1432" spans="1:14" ht="15" customHeight="1" x14ac:dyDescent="0.2">
      <c r="A1432" s="188"/>
      <c r="C1432" s="189"/>
      <c r="E1432" s="190"/>
      <c r="G1432" s="70"/>
      <c r="H1432" s="70"/>
      <c r="J1432" s="70"/>
      <c r="L1432" s="71"/>
      <c r="N1432" s="65"/>
    </row>
    <row r="1433" spans="1:14" ht="15" customHeight="1" x14ac:dyDescent="0.2">
      <c r="A1433" s="188"/>
      <c r="C1433" s="189"/>
      <c r="E1433" s="190"/>
      <c r="G1433" s="70"/>
      <c r="H1433" s="70"/>
      <c r="J1433" s="70"/>
      <c r="L1433" s="71"/>
      <c r="N1433" s="65"/>
    </row>
    <row r="1434" spans="1:14" ht="15" customHeight="1" x14ac:dyDescent="0.2">
      <c r="A1434" s="188"/>
      <c r="C1434" s="189"/>
      <c r="E1434" s="190"/>
      <c r="G1434" s="70"/>
      <c r="H1434" s="70"/>
      <c r="J1434" s="70"/>
      <c r="L1434" s="71"/>
      <c r="N1434" s="65"/>
    </row>
    <row r="1435" spans="1:14" ht="15" customHeight="1" x14ac:dyDescent="0.2">
      <c r="A1435" s="188"/>
      <c r="C1435" s="189"/>
      <c r="E1435" s="190"/>
      <c r="G1435" s="70"/>
      <c r="H1435" s="70"/>
      <c r="J1435" s="70"/>
      <c r="L1435" s="71"/>
      <c r="N1435" s="65"/>
    </row>
    <row r="1436" spans="1:14" ht="15" customHeight="1" x14ac:dyDescent="0.2">
      <c r="A1436" s="188"/>
      <c r="C1436" s="189"/>
      <c r="E1436" s="190"/>
      <c r="G1436" s="70"/>
      <c r="H1436" s="70"/>
      <c r="J1436" s="70"/>
      <c r="L1436" s="71"/>
      <c r="N1436" s="65"/>
    </row>
    <row r="1437" spans="1:14" ht="15" customHeight="1" x14ac:dyDescent="0.2">
      <c r="A1437" s="188"/>
      <c r="C1437" s="189"/>
      <c r="E1437" s="190"/>
      <c r="G1437" s="70"/>
      <c r="H1437" s="70"/>
      <c r="J1437" s="70"/>
      <c r="L1437" s="71"/>
      <c r="N1437" s="65"/>
    </row>
    <row r="1438" spans="1:14" ht="15" customHeight="1" x14ac:dyDescent="0.2">
      <c r="A1438" s="188"/>
      <c r="C1438" s="189"/>
      <c r="E1438" s="190"/>
      <c r="G1438" s="70"/>
      <c r="H1438" s="70"/>
      <c r="J1438" s="70"/>
      <c r="L1438" s="71"/>
      <c r="N1438" s="65"/>
    </row>
    <row r="1439" spans="1:14" ht="15" customHeight="1" x14ac:dyDescent="0.2">
      <c r="A1439" s="188"/>
      <c r="C1439" s="189"/>
      <c r="E1439" s="190"/>
      <c r="G1439" s="70"/>
      <c r="H1439" s="70"/>
      <c r="J1439" s="70"/>
      <c r="L1439" s="71"/>
      <c r="N1439" s="65"/>
    </row>
    <row r="1440" spans="1:14" ht="15" customHeight="1" x14ac:dyDescent="0.2">
      <c r="A1440" s="188"/>
      <c r="C1440" s="189"/>
      <c r="E1440" s="190"/>
      <c r="G1440" s="70"/>
      <c r="H1440" s="70"/>
      <c r="J1440" s="70"/>
      <c r="L1440" s="71"/>
      <c r="N1440" s="65"/>
    </row>
    <row r="1441" spans="1:14" ht="15" customHeight="1" x14ac:dyDescent="0.2">
      <c r="A1441" s="188"/>
      <c r="C1441" s="189"/>
      <c r="E1441" s="190"/>
      <c r="G1441" s="70"/>
      <c r="H1441" s="70"/>
      <c r="J1441" s="70"/>
      <c r="L1441" s="71"/>
      <c r="N1441" s="65"/>
    </row>
    <row r="1442" spans="1:14" ht="15" customHeight="1" x14ac:dyDescent="0.2">
      <c r="A1442" s="188"/>
      <c r="C1442" s="189"/>
      <c r="E1442" s="190"/>
      <c r="G1442" s="70"/>
      <c r="H1442" s="70"/>
      <c r="J1442" s="70"/>
      <c r="L1442" s="71"/>
      <c r="N1442" s="65"/>
    </row>
    <row r="1443" spans="1:14" ht="15" customHeight="1" x14ac:dyDescent="0.2">
      <c r="A1443" s="188"/>
      <c r="C1443" s="189"/>
      <c r="E1443" s="190"/>
      <c r="G1443" s="70"/>
      <c r="H1443" s="70"/>
      <c r="J1443" s="70"/>
      <c r="L1443" s="71"/>
      <c r="N1443" s="65"/>
    </row>
    <row r="1444" spans="1:14" ht="15" customHeight="1" x14ac:dyDescent="0.2">
      <c r="A1444" s="188"/>
      <c r="C1444" s="189"/>
      <c r="E1444" s="190"/>
      <c r="G1444" s="70"/>
      <c r="H1444" s="70"/>
      <c r="J1444" s="70"/>
      <c r="L1444" s="71"/>
      <c r="N1444" s="65"/>
    </row>
    <row r="1445" spans="1:14" ht="15" customHeight="1" x14ac:dyDescent="0.2">
      <c r="A1445" s="188"/>
      <c r="C1445" s="189"/>
      <c r="E1445" s="190"/>
      <c r="G1445" s="70"/>
      <c r="H1445" s="70"/>
      <c r="J1445" s="70"/>
      <c r="L1445" s="71"/>
      <c r="N1445" s="65"/>
    </row>
    <row r="1446" spans="1:14" ht="15" customHeight="1" x14ac:dyDescent="0.2">
      <c r="A1446" s="188"/>
      <c r="C1446" s="189"/>
      <c r="E1446" s="190"/>
      <c r="G1446" s="70"/>
      <c r="H1446" s="70"/>
      <c r="J1446" s="70"/>
      <c r="L1446" s="71"/>
      <c r="N1446" s="65"/>
    </row>
    <row r="1447" spans="1:14" ht="15" customHeight="1" x14ac:dyDescent="0.2">
      <c r="A1447" s="188"/>
      <c r="C1447" s="189"/>
      <c r="E1447" s="190"/>
      <c r="G1447" s="70"/>
      <c r="H1447" s="70"/>
      <c r="J1447" s="70"/>
      <c r="L1447" s="71"/>
      <c r="N1447" s="65"/>
    </row>
    <row r="1448" spans="1:14" ht="15" customHeight="1" x14ac:dyDescent="0.2">
      <c r="A1448" s="188"/>
      <c r="C1448" s="189"/>
      <c r="E1448" s="190"/>
      <c r="G1448" s="70"/>
      <c r="H1448" s="70"/>
      <c r="J1448" s="70"/>
      <c r="L1448" s="71"/>
      <c r="N1448" s="65"/>
    </row>
    <row r="1449" spans="1:14" ht="15" customHeight="1" x14ac:dyDescent="0.2">
      <c r="A1449" s="188"/>
      <c r="C1449" s="189"/>
      <c r="E1449" s="190"/>
      <c r="G1449" s="70"/>
      <c r="H1449" s="70"/>
      <c r="J1449" s="70"/>
      <c r="L1449" s="71"/>
      <c r="N1449" s="65"/>
    </row>
    <row r="1450" spans="1:14" ht="15" customHeight="1" x14ac:dyDescent="0.2">
      <c r="A1450" s="188"/>
      <c r="C1450" s="189"/>
      <c r="E1450" s="190"/>
      <c r="G1450" s="70"/>
      <c r="H1450" s="70"/>
      <c r="J1450" s="70"/>
      <c r="L1450" s="71"/>
      <c r="N1450" s="65"/>
    </row>
    <row r="1451" spans="1:14" ht="15" customHeight="1" x14ac:dyDescent="0.2">
      <c r="A1451" s="188"/>
      <c r="C1451" s="189"/>
      <c r="E1451" s="190"/>
      <c r="G1451" s="70"/>
      <c r="H1451" s="70"/>
      <c r="J1451" s="70"/>
      <c r="L1451" s="71"/>
      <c r="N1451" s="65"/>
    </row>
    <row r="1452" spans="1:14" ht="15" customHeight="1" x14ac:dyDescent="0.2">
      <c r="A1452" s="188"/>
      <c r="C1452" s="189"/>
      <c r="E1452" s="190"/>
      <c r="G1452" s="70"/>
      <c r="H1452" s="70"/>
      <c r="J1452" s="70"/>
      <c r="L1452" s="71"/>
      <c r="N1452" s="65"/>
    </row>
    <row r="1453" spans="1:14" ht="15" customHeight="1" x14ac:dyDescent="0.2">
      <c r="A1453" s="188"/>
      <c r="C1453" s="189"/>
      <c r="E1453" s="190"/>
      <c r="G1453" s="70"/>
      <c r="H1453" s="70"/>
      <c r="J1453" s="70"/>
      <c r="L1453" s="71"/>
      <c r="N1453" s="65"/>
    </row>
    <row r="1454" spans="1:14" ht="15" customHeight="1" x14ac:dyDescent="0.2">
      <c r="A1454" s="188"/>
      <c r="C1454" s="189"/>
      <c r="E1454" s="190"/>
      <c r="G1454" s="70"/>
      <c r="H1454" s="70"/>
      <c r="J1454" s="70"/>
      <c r="L1454" s="71"/>
      <c r="N1454" s="65"/>
    </row>
    <row r="1455" spans="1:14" ht="15" customHeight="1" x14ac:dyDescent="0.2">
      <c r="A1455" s="188"/>
      <c r="C1455" s="189"/>
      <c r="E1455" s="190"/>
      <c r="G1455" s="70"/>
      <c r="H1455" s="70"/>
      <c r="J1455" s="70"/>
      <c r="L1455" s="71"/>
      <c r="N1455" s="65"/>
    </row>
    <row r="1456" spans="1:14" ht="15" customHeight="1" x14ac:dyDescent="0.2">
      <c r="A1456" s="188"/>
      <c r="C1456" s="189"/>
      <c r="E1456" s="190"/>
      <c r="G1456" s="70"/>
      <c r="H1456" s="70"/>
      <c r="J1456" s="70"/>
      <c r="L1456" s="71"/>
      <c r="N1456" s="65"/>
    </row>
    <row r="1457" spans="1:14" ht="15" customHeight="1" x14ac:dyDescent="0.2">
      <c r="A1457" s="188"/>
      <c r="C1457" s="189"/>
      <c r="E1457" s="190"/>
      <c r="G1457" s="70"/>
      <c r="H1457" s="70"/>
      <c r="J1457" s="70"/>
      <c r="L1457" s="71"/>
      <c r="N1457" s="65"/>
    </row>
    <row r="1458" spans="1:14" ht="15" customHeight="1" x14ac:dyDescent="0.2">
      <c r="A1458" s="188"/>
      <c r="C1458" s="189"/>
      <c r="E1458" s="190"/>
      <c r="G1458" s="70"/>
      <c r="H1458" s="70"/>
      <c r="J1458" s="70"/>
      <c r="L1458" s="71"/>
      <c r="N1458" s="65"/>
    </row>
    <row r="1459" spans="1:14" ht="15" customHeight="1" x14ac:dyDescent="0.2">
      <c r="A1459" s="188"/>
      <c r="C1459" s="189"/>
      <c r="E1459" s="190"/>
      <c r="G1459" s="70"/>
      <c r="H1459" s="70"/>
      <c r="J1459" s="70"/>
      <c r="L1459" s="71"/>
      <c r="N1459" s="65"/>
    </row>
    <row r="1460" spans="1:14" ht="15" customHeight="1" x14ac:dyDescent="0.2">
      <c r="A1460" s="188"/>
      <c r="C1460" s="189"/>
      <c r="E1460" s="190"/>
      <c r="G1460" s="70"/>
      <c r="H1460" s="70"/>
      <c r="J1460" s="70"/>
      <c r="L1460" s="71"/>
      <c r="N1460" s="65"/>
    </row>
    <row r="1461" spans="1:14" ht="15" customHeight="1" x14ac:dyDescent="0.2">
      <c r="A1461" s="188"/>
      <c r="C1461" s="189"/>
      <c r="E1461" s="190"/>
      <c r="G1461" s="70"/>
      <c r="H1461" s="70"/>
      <c r="J1461" s="70"/>
      <c r="L1461" s="71"/>
      <c r="N1461" s="65"/>
    </row>
    <row r="1462" spans="1:14" ht="15" customHeight="1" x14ac:dyDescent="0.2">
      <c r="A1462" s="188"/>
      <c r="C1462" s="189"/>
      <c r="E1462" s="190"/>
      <c r="G1462" s="70"/>
      <c r="H1462" s="70"/>
      <c r="J1462" s="70"/>
      <c r="L1462" s="71"/>
      <c r="N1462" s="65"/>
    </row>
    <row r="1463" spans="1:14" ht="15" customHeight="1" x14ac:dyDescent="0.2">
      <c r="A1463" s="188"/>
      <c r="C1463" s="189"/>
      <c r="E1463" s="190"/>
      <c r="G1463" s="70"/>
      <c r="H1463" s="70"/>
      <c r="J1463" s="70"/>
      <c r="L1463" s="71"/>
      <c r="N1463" s="65"/>
    </row>
    <row r="1464" spans="1:14" ht="15" customHeight="1" x14ac:dyDescent="0.2">
      <c r="A1464" s="188"/>
      <c r="C1464" s="189"/>
      <c r="E1464" s="190"/>
      <c r="G1464" s="70"/>
      <c r="H1464" s="70"/>
      <c r="J1464" s="70"/>
      <c r="L1464" s="71"/>
      <c r="N1464" s="65"/>
    </row>
    <row r="1465" spans="1:14" ht="15" customHeight="1" x14ac:dyDescent="0.2">
      <c r="A1465" s="188"/>
      <c r="C1465" s="189"/>
      <c r="E1465" s="190"/>
      <c r="G1465" s="70"/>
      <c r="H1465" s="70"/>
      <c r="J1465" s="70"/>
      <c r="L1465" s="71"/>
      <c r="N1465" s="65"/>
    </row>
    <row r="1466" spans="1:14" ht="15" customHeight="1" x14ac:dyDescent="0.2">
      <c r="A1466" s="188"/>
      <c r="C1466" s="189"/>
      <c r="E1466" s="190"/>
      <c r="G1466" s="70"/>
      <c r="H1466" s="70"/>
      <c r="J1466" s="70"/>
      <c r="L1466" s="71"/>
      <c r="N1466" s="65"/>
    </row>
    <row r="1467" spans="1:14" ht="15" customHeight="1" x14ac:dyDescent="0.2">
      <c r="A1467" s="188"/>
      <c r="C1467" s="189"/>
      <c r="E1467" s="190"/>
      <c r="G1467" s="70"/>
      <c r="H1467" s="70"/>
      <c r="J1467" s="70"/>
      <c r="L1467" s="71"/>
      <c r="N1467" s="65"/>
    </row>
    <row r="1468" spans="1:14" ht="15" customHeight="1" x14ac:dyDescent="0.2">
      <c r="A1468" s="188"/>
      <c r="C1468" s="189"/>
      <c r="E1468" s="190"/>
      <c r="G1468" s="70"/>
      <c r="H1468" s="70"/>
      <c r="J1468" s="70"/>
      <c r="L1468" s="71"/>
      <c r="N1468" s="65"/>
    </row>
    <row r="1469" spans="1:14" ht="15" customHeight="1" x14ac:dyDescent="0.2">
      <c r="A1469" s="188"/>
      <c r="C1469" s="189"/>
      <c r="E1469" s="190"/>
      <c r="G1469" s="70"/>
      <c r="H1469" s="70"/>
      <c r="J1469" s="70"/>
      <c r="L1469" s="71"/>
      <c r="N1469" s="65"/>
    </row>
    <row r="1470" spans="1:14" ht="15" customHeight="1" x14ac:dyDescent="0.2">
      <c r="A1470" s="188"/>
      <c r="C1470" s="189"/>
      <c r="E1470" s="190"/>
      <c r="G1470" s="70"/>
      <c r="H1470" s="70"/>
      <c r="J1470" s="70"/>
      <c r="L1470" s="71"/>
      <c r="N1470" s="65"/>
    </row>
    <row r="1471" spans="1:14" ht="15" customHeight="1" x14ac:dyDescent="0.2">
      <c r="A1471" s="188"/>
      <c r="C1471" s="189"/>
      <c r="E1471" s="190"/>
      <c r="G1471" s="70"/>
      <c r="H1471" s="70"/>
      <c r="J1471" s="70"/>
      <c r="L1471" s="71"/>
      <c r="N1471" s="65"/>
    </row>
    <row r="1472" spans="1:14" ht="15" customHeight="1" x14ac:dyDescent="0.2">
      <c r="A1472" s="188"/>
      <c r="C1472" s="189"/>
      <c r="E1472" s="190"/>
      <c r="G1472" s="70"/>
      <c r="H1472" s="70"/>
      <c r="J1472" s="70"/>
      <c r="L1472" s="71"/>
      <c r="N1472" s="65"/>
    </row>
    <row r="1473" spans="1:14" ht="15" customHeight="1" x14ac:dyDescent="0.2">
      <c r="A1473" s="188"/>
      <c r="C1473" s="189"/>
      <c r="E1473" s="190"/>
      <c r="G1473" s="70"/>
      <c r="H1473" s="70"/>
      <c r="J1473" s="70"/>
      <c r="L1473" s="71"/>
      <c r="N1473" s="65"/>
    </row>
    <row r="1474" spans="1:14" ht="15" customHeight="1" x14ac:dyDescent="0.2">
      <c r="A1474" s="188"/>
      <c r="C1474" s="189"/>
      <c r="E1474" s="190"/>
      <c r="G1474" s="70"/>
      <c r="H1474" s="70"/>
      <c r="J1474" s="70"/>
      <c r="L1474" s="71"/>
      <c r="N1474" s="65"/>
    </row>
    <row r="1475" spans="1:14" ht="15" customHeight="1" x14ac:dyDescent="0.2">
      <c r="A1475" s="188"/>
      <c r="C1475" s="189"/>
      <c r="E1475" s="190"/>
      <c r="G1475" s="70"/>
      <c r="H1475" s="70"/>
      <c r="J1475" s="70"/>
      <c r="L1475" s="71"/>
      <c r="N1475" s="65"/>
    </row>
    <row r="1476" spans="1:14" ht="15" customHeight="1" x14ac:dyDescent="0.2">
      <c r="A1476" s="188"/>
      <c r="C1476" s="189"/>
      <c r="E1476" s="190"/>
      <c r="G1476" s="70"/>
      <c r="H1476" s="70"/>
      <c r="J1476" s="70"/>
      <c r="L1476" s="71"/>
      <c r="N1476" s="65"/>
    </row>
    <row r="1477" spans="1:14" ht="15" customHeight="1" x14ac:dyDescent="0.2">
      <c r="A1477" s="188"/>
      <c r="C1477" s="189"/>
      <c r="E1477" s="190"/>
      <c r="G1477" s="70"/>
      <c r="H1477" s="70"/>
      <c r="J1477" s="70"/>
      <c r="L1477" s="71"/>
      <c r="N1477" s="65"/>
    </row>
    <row r="1478" spans="1:14" ht="15" customHeight="1" x14ac:dyDescent="0.2">
      <c r="A1478" s="188"/>
      <c r="C1478" s="189"/>
      <c r="E1478" s="190"/>
      <c r="G1478" s="70"/>
      <c r="H1478" s="70"/>
      <c r="J1478" s="70"/>
      <c r="L1478" s="71"/>
      <c r="N1478" s="65"/>
    </row>
    <row r="1479" spans="1:14" ht="15" customHeight="1" x14ac:dyDescent="0.2">
      <c r="A1479" s="188"/>
      <c r="C1479" s="189"/>
      <c r="E1479" s="190"/>
      <c r="G1479" s="70"/>
      <c r="H1479" s="70"/>
      <c r="J1479" s="70"/>
      <c r="L1479" s="71"/>
      <c r="N1479" s="65"/>
    </row>
    <row r="1480" spans="1:14" ht="15" customHeight="1" x14ac:dyDescent="0.2">
      <c r="A1480" s="188"/>
      <c r="C1480" s="189"/>
      <c r="E1480" s="190"/>
      <c r="G1480" s="70"/>
      <c r="H1480" s="70"/>
      <c r="J1480" s="70"/>
      <c r="L1480" s="71"/>
      <c r="N1480" s="65"/>
    </row>
    <row r="1481" spans="1:14" ht="15" customHeight="1" x14ac:dyDescent="0.2">
      <c r="A1481" s="188"/>
      <c r="C1481" s="189"/>
      <c r="E1481" s="190"/>
      <c r="G1481" s="70"/>
      <c r="H1481" s="70"/>
      <c r="J1481" s="70"/>
      <c r="L1481" s="71"/>
      <c r="N1481" s="65"/>
    </row>
    <row r="1482" spans="1:14" ht="15" customHeight="1" x14ac:dyDescent="0.2">
      <c r="A1482" s="188"/>
      <c r="C1482" s="189"/>
      <c r="E1482" s="190"/>
      <c r="G1482" s="70"/>
      <c r="H1482" s="70"/>
      <c r="J1482" s="70"/>
      <c r="L1482" s="71"/>
      <c r="N1482" s="65"/>
    </row>
    <row r="1483" spans="1:14" ht="15" customHeight="1" x14ac:dyDescent="0.2">
      <c r="A1483" s="188"/>
      <c r="C1483" s="189"/>
      <c r="E1483" s="190"/>
      <c r="G1483" s="70"/>
      <c r="H1483" s="70"/>
      <c r="J1483" s="70"/>
      <c r="L1483" s="71"/>
      <c r="N1483" s="65"/>
    </row>
    <row r="1484" spans="1:14" ht="15" customHeight="1" x14ac:dyDescent="0.2">
      <c r="A1484" s="188"/>
      <c r="C1484" s="189"/>
      <c r="E1484" s="190"/>
      <c r="G1484" s="70"/>
      <c r="H1484" s="70"/>
      <c r="J1484" s="70"/>
      <c r="L1484" s="71"/>
      <c r="N1484" s="65"/>
    </row>
    <row r="1485" spans="1:14" ht="15" customHeight="1" x14ac:dyDescent="0.2">
      <c r="A1485" s="188"/>
      <c r="C1485" s="189"/>
      <c r="E1485" s="190"/>
      <c r="G1485" s="70"/>
      <c r="H1485" s="70"/>
      <c r="J1485" s="70"/>
      <c r="L1485" s="71"/>
      <c r="N1485" s="65"/>
    </row>
    <row r="1486" spans="1:14" ht="15" customHeight="1" x14ac:dyDescent="0.2">
      <c r="A1486" s="188"/>
      <c r="C1486" s="189"/>
      <c r="E1486" s="190"/>
      <c r="G1486" s="70"/>
      <c r="H1486" s="70"/>
      <c r="J1486" s="70"/>
      <c r="L1486" s="71"/>
      <c r="N1486" s="65"/>
    </row>
    <row r="1487" spans="1:14" ht="15" customHeight="1" x14ac:dyDescent="0.2">
      <c r="A1487" s="188"/>
      <c r="C1487" s="189"/>
      <c r="E1487" s="190"/>
      <c r="G1487" s="70"/>
      <c r="H1487" s="70"/>
      <c r="J1487" s="70"/>
      <c r="L1487" s="71"/>
      <c r="N1487" s="65"/>
    </row>
    <row r="1488" spans="1:14" ht="15" customHeight="1" x14ac:dyDescent="0.2">
      <c r="A1488" s="188"/>
      <c r="C1488" s="189"/>
      <c r="E1488" s="190"/>
      <c r="G1488" s="70"/>
      <c r="H1488" s="70"/>
      <c r="J1488" s="70"/>
      <c r="L1488" s="71"/>
      <c r="N1488" s="65"/>
    </row>
    <row r="1489" spans="1:14" ht="15" customHeight="1" x14ac:dyDescent="0.2">
      <c r="A1489" s="188"/>
      <c r="C1489" s="189"/>
      <c r="E1489" s="190"/>
      <c r="G1489" s="70"/>
      <c r="H1489" s="70"/>
      <c r="J1489" s="70"/>
      <c r="L1489" s="71"/>
      <c r="N1489" s="65"/>
    </row>
    <row r="1490" spans="1:14" ht="15" customHeight="1" x14ac:dyDescent="0.2">
      <c r="A1490" s="188"/>
      <c r="C1490" s="189"/>
      <c r="E1490" s="190"/>
      <c r="G1490" s="70"/>
      <c r="H1490" s="70"/>
      <c r="J1490" s="70"/>
      <c r="L1490" s="71"/>
      <c r="N1490" s="65"/>
    </row>
    <row r="1491" spans="1:14" ht="15" customHeight="1" x14ac:dyDescent="0.2">
      <c r="A1491" s="188"/>
      <c r="C1491" s="189"/>
      <c r="E1491" s="190"/>
      <c r="G1491" s="70"/>
      <c r="H1491" s="70"/>
      <c r="J1491" s="70"/>
      <c r="L1491" s="71"/>
      <c r="N1491" s="65"/>
    </row>
    <row r="1492" spans="1:14" ht="15" customHeight="1" x14ac:dyDescent="0.2">
      <c r="A1492" s="188"/>
      <c r="C1492" s="189"/>
      <c r="E1492" s="190"/>
      <c r="G1492" s="70"/>
      <c r="H1492" s="70"/>
      <c r="J1492" s="70"/>
      <c r="L1492" s="71"/>
      <c r="N1492" s="65"/>
    </row>
    <row r="1493" spans="1:14" ht="15" customHeight="1" x14ac:dyDescent="0.2">
      <c r="A1493" s="188"/>
      <c r="C1493" s="189"/>
      <c r="E1493" s="190"/>
      <c r="G1493" s="70"/>
      <c r="H1493" s="70"/>
      <c r="J1493" s="70"/>
      <c r="L1493" s="71"/>
      <c r="N1493" s="65"/>
    </row>
    <row r="1494" spans="1:14" ht="15" customHeight="1" x14ac:dyDescent="0.2">
      <c r="A1494" s="188"/>
      <c r="C1494" s="189"/>
      <c r="E1494" s="190"/>
      <c r="G1494" s="70"/>
      <c r="H1494" s="70"/>
      <c r="J1494" s="70"/>
      <c r="L1494" s="71"/>
      <c r="N1494" s="65"/>
    </row>
    <row r="1495" spans="1:14" ht="15" customHeight="1" x14ac:dyDescent="0.2">
      <c r="A1495" s="188"/>
      <c r="C1495" s="189"/>
      <c r="E1495" s="190"/>
      <c r="G1495" s="70"/>
      <c r="H1495" s="70"/>
      <c r="J1495" s="70"/>
      <c r="L1495" s="71"/>
      <c r="N1495" s="65"/>
    </row>
    <row r="1496" spans="1:14" ht="15" customHeight="1" x14ac:dyDescent="0.2">
      <c r="A1496" s="188"/>
      <c r="C1496" s="189"/>
      <c r="E1496" s="190"/>
      <c r="G1496" s="70"/>
      <c r="H1496" s="70"/>
      <c r="J1496" s="70"/>
      <c r="L1496" s="71"/>
      <c r="N1496" s="65"/>
    </row>
    <row r="1497" spans="1:14" ht="15" customHeight="1" x14ac:dyDescent="0.2">
      <c r="A1497" s="188"/>
      <c r="C1497" s="189"/>
      <c r="E1497" s="190"/>
      <c r="G1497" s="70"/>
      <c r="H1497" s="70"/>
      <c r="J1497" s="70"/>
      <c r="L1497" s="71"/>
      <c r="N1497" s="65"/>
    </row>
    <row r="1498" spans="1:14" ht="15" customHeight="1" x14ac:dyDescent="0.2">
      <c r="A1498" s="188"/>
      <c r="C1498" s="189"/>
      <c r="E1498" s="190"/>
      <c r="G1498" s="70"/>
      <c r="H1498" s="70"/>
      <c r="J1498" s="70"/>
      <c r="L1498" s="71"/>
      <c r="N1498" s="65"/>
    </row>
    <row r="1499" spans="1:14" ht="15" customHeight="1" x14ac:dyDescent="0.2">
      <c r="A1499" s="188"/>
      <c r="C1499" s="189"/>
      <c r="E1499" s="190"/>
      <c r="G1499" s="70"/>
      <c r="H1499" s="70"/>
      <c r="J1499" s="70"/>
      <c r="L1499" s="71"/>
      <c r="N1499" s="65"/>
    </row>
    <row r="1500" spans="1:14" ht="15" customHeight="1" x14ac:dyDescent="0.2">
      <c r="A1500" s="188"/>
      <c r="C1500" s="189"/>
      <c r="E1500" s="190"/>
      <c r="G1500" s="70"/>
      <c r="H1500" s="70"/>
      <c r="J1500" s="70"/>
      <c r="L1500" s="71"/>
      <c r="N1500" s="65"/>
    </row>
    <row r="1501" spans="1:14" ht="15" customHeight="1" x14ac:dyDescent="0.2">
      <c r="A1501" s="188"/>
      <c r="C1501" s="189"/>
      <c r="E1501" s="190"/>
      <c r="G1501" s="70"/>
      <c r="H1501" s="70"/>
      <c r="J1501" s="70"/>
      <c r="L1501" s="71"/>
      <c r="N1501" s="65"/>
    </row>
    <row r="1502" spans="1:14" ht="15" customHeight="1" x14ac:dyDescent="0.2">
      <c r="A1502" s="188"/>
      <c r="C1502" s="189"/>
      <c r="E1502" s="190"/>
      <c r="G1502" s="70"/>
      <c r="H1502" s="70"/>
      <c r="J1502" s="70"/>
      <c r="L1502" s="71"/>
      <c r="N1502" s="65"/>
    </row>
    <row r="1503" spans="1:14" ht="15" customHeight="1" x14ac:dyDescent="0.2">
      <c r="A1503" s="188"/>
      <c r="C1503" s="189"/>
      <c r="E1503" s="190"/>
      <c r="G1503" s="70"/>
      <c r="H1503" s="70"/>
      <c r="J1503" s="70"/>
      <c r="L1503" s="71"/>
      <c r="N1503" s="65"/>
    </row>
    <row r="1504" spans="1:14" ht="15" customHeight="1" x14ac:dyDescent="0.2">
      <c r="A1504" s="188"/>
      <c r="C1504" s="189"/>
      <c r="E1504" s="190"/>
      <c r="G1504" s="70"/>
      <c r="H1504" s="70"/>
      <c r="J1504" s="70"/>
      <c r="L1504" s="71"/>
      <c r="N1504" s="65"/>
    </row>
    <row r="1505" spans="1:14" ht="15" customHeight="1" x14ac:dyDescent="0.2">
      <c r="A1505" s="188"/>
      <c r="C1505" s="189"/>
      <c r="E1505" s="190"/>
      <c r="G1505" s="70"/>
      <c r="H1505" s="70"/>
      <c r="J1505" s="70"/>
      <c r="L1505" s="71"/>
      <c r="N1505" s="65"/>
    </row>
    <row r="1506" spans="1:14" ht="15" customHeight="1" x14ac:dyDescent="0.2">
      <c r="A1506" s="188"/>
      <c r="C1506" s="189"/>
      <c r="E1506" s="190"/>
      <c r="G1506" s="70"/>
      <c r="H1506" s="70"/>
      <c r="J1506" s="70"/>
      <c r="L1506" s="71"/>
      <c r="N1506" s="65"/>
    </row>
    <row r="1507" spans="1:14" ht="15" customHeight="1" x14ac:dyDescent="0.2">
      <c r="A1507" s="188"/>
      <c r="C1507" s="189"/>
      <c r="E1507" s="190"/>
      <c r="G1507" s="70"/>
      <c r="H1507" s="70"/>
      <c r="J1507" s="70"/>
      <c r="L1507" s="71"/>
      <c r="N1507" s="65"/>
    </row>
    <row r="1508" spans="1:14" ht="15" customHeight="1" x14ac:dyDescent="0.2">
      <c r="A1508" s="188"/>
      <c r="C1508" s="189"/>
      <c r="E1508" s="190"/>
      <c r="G1508" s="70"/>
      <c r="H1508" s="70"/>
      <c r="J1508" s="70"/>
      <c r="L1508" s="71"/>
      <c r="N1508" s="65"/>
    </row>
    <row r="1509" spans="1:14" ht="15" customHeight="1" x14ac:dyDescent="0.2">
      <c r="A1509" s="188"/>
      <c r="C1509" s="189"/>
      <c r="E1509" s="190"/>
      <c r="G1509" s="70"/>
      <c r="H1509" s="70"/>
      <c r="J1509" s="70"/>
      <c r="L1509" s="71"/>
      <c r="N1509" s="65"/>
    </row>
    <row r="1510" spans="1:14" ht="15" customHeight="1" x14ac:dyDescent="0.2">
      <c r="A1510" s="188"/>
      <c r="C1510" s="189"/>
      <c r="E1510" s="190"/>
      <c r="G1510" s="70"/>
      <c r="H1510" s="70"/>
      <c r="J1510" s="70"/>
      <c r="L1510" s="71"/>
      <c r="N1510" s="65"/>
    </row>
    <row r="1511" spans="1:14" ht="15" customHeight="1" x14ac:dyDescent="0.2">
      <c r="A1511" s="188"/>
      <c r="C1511" s="189"/>
      <c r="E1511" s="190"/>
      <c r="G1511" s="70"/>
      <c r="H1511" s="70"/>
      <c r="J1511" s="70"/>
      <c r="L1511" s="71"/>
      <c r="N1511" s="65"/>
    </row>
    <row r="1512" spans="1:14" ht="15" customHeight="1" x14ac:dyDescent="0.2">
      <c r="A1512" s="188"/>
      <c r="C1512" s="189"/>
      <c r="E1512" s="190"/>
      <c r="G1512" s="70"/>
      <c r="H1512" s="70"/>
      <c r="J1512" s="70"/>
      <c r="L1512" s="71"/>
      <c r="N1512" s="65"/>
    </row>
    <row r="1513" spans="1:14" ht="15" customHeight="1" x14ac:dyDescent="0.2">
      <c r="A1513" s="188"/>
      <c r="C1513" s="189"/>
      <c r="E1513" s="190"/>
      <c r="G1513" s="70"/>
      <c r="H1513" s="70"/>
      <c r="J1513" s="70"/>
      <c r="L1513" s="71"/>
      <c r="N1513" s="65"/>
    </row>
    <row r="1514" spans="1:14" ht="15" customHeight="1" x14ac:dyDescent="0.2">
      <c r="A1514" s="188"/>
      <c r="C1514" s="189"/>
      <c r="E1514" s="190"/>
      <c r="G1514" s="70"/>
      <c r="H1514" s="70"/>
      <c r="J1514" s="70"/>
      <c r="L1514" s="71"/>
      <c r="N1514" s="65"/>
    </row>
    <row r="1515" spans="1:14" ht="15" customHeight="1" x14ac:dyDescent="0.2">
      <c r="A1515" s="188"/>
      <c r="C1515" s="189"/>
      <c r="E1515" s="190"/>
      <c r="G1515" s="70"/>
      <c r="H1515" s="70"/>
      <c r="J1515" s="70"/>
      <c r="L1515" s="71"/>
      <c r="N1515" s="65"/>
    </row>
    <row r="1516" spans="1:14" ht="15" customHeight="1" x14ac:dyDescent="0.2">
      <c r="A1516" s="188"/>
      <c r="C1516" s="189"/>
      <c r="E1516" s="190"/>
      <c r="G1516" s="70"/>
      <c r="H1516" s="70"/>
      <c r="J1516" s="70"/>
      <c r="L1516" s="71"/>
      <c r="N1516" s="65"/>
    </row>
    <row r="1517" spans="1:14" ht="15" customHeight="1" x14ac:dyDescent="0.2">
      <c r="A1517" s="188"/>
      <c r="C1517" s="189"/>
      <c r="E1517" s="190"/>
      <c r="G1517" s="70"/>
      <c r="H1517" s="70"/>
      <c r="J1517" s="70"/>
      <c r="L1517" s="71"/>
      <c r="N1517" s="65"/>
    </row>
    <row r="1518" spans="1:14" ht="15" customHeight="1" x14ac:dyDescent="0.2">
      <c r="A1518" s="188"/>
      <c r="C1518" s="189"/>
      <c r="E1518" s="190"/>
      <c r="G1518" s="70"/>
      <c r="H1518" s="70"/>
      <c r="J1518" s="70"/>
      <c r="L1518" s="71"/>
      <c r="N1518" s="65"/>
    </row>
    <row r="1519" spans="1:14" ht="15" customHeight="1" x14ac:dyDescent="0.2">
      <c r="A1519" s="188"/>
      <c r="C1519" s="189"/>
      <c r="E1519" s="190"/>
      <c r="G1519" s="70"/>
      <c r="H1519" s="70"/>
      <c r="J1519" s="70"/>
      <c r="L1519" s="71"/>
      <c r="N1519" s="65"/>
    </row>
    <row r="1520" spans="1:14" ht="15" customHeight="1" x14ac:dyDescent="0.2">
      <c r="A1520" s="188"/>
      <c r="C1520" s="189"/>
      <c r="E1520" s="190"/>
      <c r="G1520" s="70"/>
      <c r="H1520" s="70"/>
      <c r="J1520" s="70"/>
      <c r="L1520" s="71"/>
      <c r="N1520" s="65"/>
    </row>
    <row r="1521" spans="1:14" ht="15" customHeight="1" x14ac:dyDescent="0.2">
      <c r="A1521" s="188"/>
      <c r="C1521" s="189"/>
      <c r="E1521" s="190"/>
      <c r="G1521" s="70"/>
      <c r="H1521" s="70"/>
      <c r="J1521" s="70"/>
      <c r="L1521" s="71"/>
      <c r="N1521" s="65"/>
    </row>
    <row r="1522" spans="1:14" ht="15" customHeight="1" x14ac:dyDescent="0.2">
      <c r="A1522" s="188"/>
      <c r="C1522" s="189"/>
      <c r="E1522" s="190"/>
      <c r="G1522" s="70"/>
      <c r="H1522" s="70"/>
      <c r="J1522" s="70"/>
      <c r="L1522" s="71"/>
      <c r="N1522" s="65"/>
    </row>
    <row r="1523" spans="1:14" ht="15" customHeight="1" x14ac:dyDescent="0.2">
      <c r="A1523" s="188"/>
      <c r="C1523" s="189"/>
      <c r="E1523" s="190"/>
      <c r="G1523" s="70"/>
      <c r="H1523" s="70"/>
      <c r="J1523" s="70"/>
      <c r="L1523" s="71"/>
      <c r="N1523" s="65"/>
    </row>
    <row r="1524" spans="1:14" ht="15" customHeight="1" x14ac:dyDescent="0.2">
      <c r="A1524" s="188"/>
      <c r="C1524" s="189"/>
      <c r="E1524" s="190"/>
      <c r="G1524" s="70"/>
      <c r="H1524" s="70"/>
      <c r="J1524" s="70"/>
      <c r="L1524" s="71"/>
      <c r="N1524" s="65"/>
    </row>
    <row r="1525" spans="1:14" ht="15" customHeight="1" x14ac:dyDescent="0.2">
      <c r="A1525" s="188"/>
      <c r="C1525" s="189"/>
      <c r="E1525" s="190"/>
      <c r="G1525" s="70"/>
      <c r="H1525" s="70"/>
      <c r="J1525" s="70"/>
      <c r="L1525" s="71"/>
      <c r="N1525" s="65"/>
    </row>
    <row r="1526" spans="1:14" ht="15" customHeight="1" x14ac:dyDescent="0.2">
      <c r="A1526" s="188"/>
      <c r="C1526" s="189"/>
      <c r="E1526" s="190"/>
      <c r="G1526" s="70"/>
      <c r="H1526" s="70"/>
      <c r="J1526" s="70"/>
      <c r="L1526" s="71"/>
      <c r="N1526" s="65"/>
    </row>
    <row r="1527" spans="1:14" ht="15" customHeight="1" x14ac:dyDescent="0.2">
      <c r="A1527" s="188"/>
      <c r="C1527" s="189"/>
      <c r="E1527" s="190"/>
      <c r="G1527" s="70"/>
      <c r="H1527" s="70"/>
      <c r="J1527" s="70"/>
      <c r="L1527" s="71"/>
      <c r="N1527" s="65"/>
    </row>
    <row r="1528" spans="1:14" ht="15" customHeight="1" x14ac:dyDescent="0.2">
      <c r="A1528" s="188"/>
      <c r="C1528" s="189"/>
      <c r="E1528" s="190"/>
      <c r="G1528" s="70"/>
      <c r="H1528" s="70"/>
      <c r="J1528" s="70"/>
      <c r="L1528" s="71"/>
      <c r="N1528" s="65"/>
    </row>
    <row r="1529" spans="1:14" ht="15" customHeight="1" x14ac:dyDescent="0.2">
      <c r="A1529" s="188"/>
      <c r="C1529" s="189"/>
      <c r="E1529" s="190"/>
      <c r="G1529" s="70"/>
      <c r="H1529" s="70"/>
      <c r="J1529" s="70"/>
      <c r="L1529" s="71"/>
      <c r="N1529" s="65"/>
    </row>
    <row r="1530" spans="1:14" ht="15" customHeight="1" x14ac:dyDescent="0.2">
      <c r="A1530" s="188"/>
      <c r="C1530" s="189"/>
      <c r="E1530" s="190"/>
      <c r="G1530" s="70"/>
      <c r="H1530" s="70"/>
      <c r="J1530" s="70"/>
      <c r="L1530" s="71"/>
      <c r="N1530" s="65"/>
    </row>
    <row r="1531" spans="1:14" ht="15" customHeight="1" x14ac:dyDescent="0.2">
      <c r="A1531" s="188"/>
      <c r="C1531" s="189"/>
      <c r="E1531" s="190"/>
      <c r="G1531" s="70"/>
      <c r="H1531" s="70"/>
      <c r="J1531" s="70"/>
      <c r="L1531" s="71"/>
      <c r="N1531" s="65"/>
    </row>
    <row r="1532" spans="1:14" ht="15" customHeight="1" x14ac:dyDescent="0.2">
      <c r="A1532" s="188"/>
      <c r="C1532" s="189"/>
      <c r="E1532" s="190"/>
      <c r="G1532" s="70"/>
      <c r="H1532" s="70"/>
      <c r="J1532" s="70"/>
      <c r="L1532" s="71"/>
      <c r="N1532" s="65"/>
    </row>
    <row r="1533" spans="1:14" ht="15" customHeight="1" x14ac:dyDescent="0.2">
      <c r="A1533" s="188"/>
      <c r="C1533" s="189"/>
      <c r="E1533" s="190"/>
      <c r="G1533" s="70"/>
      <c r="H1533" s="70"/>
      <c r="J1533" s="70"/>
      <c r="L1533" s="71"/>
      <c r="N1533" s="65"/>
    </row>
    <row r="1534" spans="1:14" ht="15" customHeight="1" x14ac:dyDescent="0.2">
      <c r="A1534" s="188"/>
      <c r="C1534" s="189"/>
      <c r="E1534" s="190"/>
      <c r="G1534" s="70"/>
      <c r="H1534" s="70"/>
      <c r="J1534" s="70"/>
      <c r="L1534" s="71"/>
      <c r="N1534" s="65"/>
    </row>
    <row r="1535" spans="1:14" ht="15" customHeight="1" x14ac:dyDescent="0.2">
      <c r="A1535" s="188"/>
      <c r="C1535" s="189"/>
      <c r="E1535" s="190"/>
      <c r="G1535" s="70"/>
      <c r="H1535" s="70"/>
      <c r="J1535" s="70"/>
      <c r="L1535" s="71"/>
      <c r="N1535" s="65"/>
    </row>
    <row r="1536" spans="1:14" ht="15" customHeight="1" x14ac:dyDescent="0.2">
      <c r="A1536" s="188"/>
      <c r="C1536" s="189"/>
      <c r="E1536" s="190"/>
      <c r="G1536" s="70"/>
      <c r="H1536" s="70"/>
      <c r="J1536" s="70"/>
      <c r="L1536" s="71"/>
      <c r="N1536" s="65"/>
    </row>
    <row r="1537" spans="1:14" ht="15" customHeight="1" x14ac:dyDescent="0.2">
      <c r="A1537" s="188"/>
      <c r="C1537" s="189"/>
      <c r="E1537" s="190"/>
      <c r="G1537" s="70"/>
      <c r="H1537" s="70"/>
      <c r="J1537" s="70"/>
      <c r="L1537" s="71"/>
      <c r="N1537" s="65"/>
    </row>
    <row r="1538" spans="1:14" ht="15" customHeight="1" x14ac:dyDescent="0.2">
      <c r="A1538" s="188"/>
      <c r="C1538" s="189"/>
      <c r="E1538" s="190"/>
      <c r="G1538" s="70"/>
      <c r="H1538" s="70"/>
      <c r="J1538" s="70"/>
      <c r="L1538" s="71"/>
      <c r="N1538" s="65"/>
    </row>
    <row r="1539" spans="1:14" ht="15" customHeight="1" x14ac:dyDescent="0.2">
      <c r="A1539" s="188"/>
      <c r="C1539" s="189"/>
      <c r="E1539" s="190"/>
      <c r="G1539" s="70"/>
      <c r="H1539" s="70"/>
      <c r="J1539" s="70"/>
      <c r="L1539" s="71"/>
      <c r="N1539" s="65"/>
    </row>
    <row r="1540" spans="1:14" ht="15" customHeight="1" x14ac:dyDescent="0.2">
      <c r="A1540" s="188"/>
      <c r="C1540" s="189"/>
      <c r="E1540" s="190"/>
      <c r="F1540" s="193">
        <f>SUM(F1541:F1554)</f>
        <v>0</v>
      </c>
      <c r="G1540" s="70"/>
      <c r="H1540" s="70"/>
      <c r="J1540" s="70"/>
      <c r="L1540" s="71"/>
      <c r="N1540" s="65"/>
    </row>
    <row r="1541" spans="1:14" ht="15" customHeight="1" x14ac:dyDescent="0.2">
      <c r="A1541" s="188"/>
      <c r="C1541" s="189"/>
      <c r="E1541" s="190"/>
      <c r="G1541" s="70"/>
      <c r="H1541" s="70"/>
      <c r="J1541" s="70"/>
      <c r="L1541" s="71"/>
      <c r="N1541" s="65"/>
    </row>
    <row r="1542" spans="1:14" ht="15" customHeight="1" x14ac:dyDescent="0.2">
      <c r="A1542" s="188"/>
      <c r="C1542" s="189"/>
      <c r="E1542" s="190"/>
      <c r="G1542" s="70"/>
      <c r="H1542" s="70"/>
      <c r="J1542" s="70"/>
      <c r="L1542" s="71"/>
      <c r="N1542" s="65"/>
    </row>
    <row r="1543" spans="1:14" ht="15" customHeight="1" x14ac:dyDescent="0.2">
      <c r="A1543" s="188"/>
      <c r="C1543" s="189"/>
      <c r="E1543" s="190"/>
      <c r="G1543" s="70"/>
      <c r="H1543" s="70"/>
      <c r="J1543" s="70"/>
      <c r="L1543" s="71"/>
      <c r="N1543" s="65"/>
    </row>
    <row r="1544" spans="1:14" ht="15" customHeight="1" x14ac:dyDescent="0.2">
      <c r="A1544" s="188"/>
      <c r="C1544" s="189"/>
      <c r="E1544" s="190"/>
      <c r="G1544" s="70"/>
      <c r="H1544" s="70"/>
      <c r="J1544" s="70"/>
      <c r="L1544" s="71"/>
      <c r="N1544" s="65"/>
    </row>
    <row r="1545" spans="1:14" ht="15" customHeight="1" x14ac:dyDescent="0.2">
      <c r="A1545" s="188"/>
      <c r="C1545" s="189"/>
      <c r="E1545" s="190"/>
      <c r="G1545" s="70"/>
      <c r="H1545" s="70"/>
      <c r="J1545" s="70"/>
      <c r="L1545" s="71"/>
      <c r="N1545" s="65"/>
    </row>
    <row r="1546" spans="1:14" ht="15" customHeight="1" x14ac:dyDescent="0.2">
      <c r="A1546" s="188"/>
      <c r="C1546" s="189"/>
      <c r="E1546" s="190"/>
      <c r="G1546" s="70"/>
      <c r="H1546" s="70"/>
      <c r="J1546" s="70"/>
      <c r="L1546" s="71"/>
      <c r="N1546" s="65"/>
    </row>
    <row r="1547" spans="1:14" ht="15" customHeight="1" x14ac:dyDescent="0.2">
      <c r="A1547" s="188"/>
      <c r="C1547" s="189"/>
      <c r="E1547" s="190"/>
      <c r="G1547" s="70"/>
      <c r="H1547" s="70"/>
      <c r="J1547" s="70"/>
      <c r="L1547" s="71"/>
      <c r="N1547" s="65"/>
    </row>
    <row r="1548" spans="1:14" ht="15" customHeight="1" x14ac:dyDescent="0.2">
      <c r="A1548" s="188"/>
      <c r="C1548" s="189"/>
      <c r="E1548" s="190"/>
      <c r="G1548" s="70"/>
      <c r="H1548" s="70"/>
      <c r="J1548" s="70"/>
      <c r="L1548" s="71"/>
      <c r="N1548" s="65"/>
    </row>
    <row r="1549" spans="1:14" ht="15" customHeight="1" x14ac:dyDescent="0.2">
      <c r="A1549" s="188"/>
      <c r="C1549" s="189"/>
      <c r="E1549" s="190"/>
      <c r="G1549" s="70"/>
      <c r="H1549" s="70"/>
      <c r="J1549" s="70"/>
      <c r="L1549" s="71"/>
      <c r="N1549" s="65"/>
    </row>
    <row r="1550" spans="1:14" ht="15" customHeight="1" x14ac:dyDescent="0.2">
      <c r="A1550" s="188"/>
      <c r="C1550" s="189"/>
      <c r="E1550" s="190"/>
      <c r="G1550" s="70"/>
      <c r="H1550" s="70"/>
      <c r="J1550" s="70"/>
      <c r="L1550" s="71"/>
      <c r="N1550" s="65"/>
    </row>
    <row r="1551" spans="1:14" ht="15" customHeight="1" x14ac:dyDescent="0.2">
      <c r="A1551" s="188"/>
      <c r="C1551" s="189"/>
      <c r="E1551" s="190"/>
      <c r="G1551" s="70"/>
      <c r="H1551" s="70"/>
      <c r="J1551" s="70"/>
      <c r="L1551" s="71"/>
      <c r="N1551" s="65"/>
    </row>
    <row r="1552" spans="1:14" ht="15" customHeight="1" x14ac:dyDescent="0.2">
      <c r="A1552" s="188"/>
      <c r="C1552" s="189"/>
      <c r="E1552" s="190"/>
      <c r="G1552" s="70"/>
      <c r="H1552" s="70"/>
      <c r="J1552" s="70"/>
      <c r="L1552" s="71"/>
      <c r="N1552" s="65"/>
    </row>
    <row r="1553" spans="1:14" ht="15" customHeight="1" x14ac:dyDescent="0.2">
      <c r="A1553" s="188"/>
      <c r="C1553" s="189"/>
      <c r="E1553" s="190"/>
      <c r="G1553" s="70"/>
      <c r="H1553" s="70"/>
      <c r="J1553" s="70"/>
      <c r="L1553" s="71"/>
      <c r="N1553" s="65"/>
    </row>
    <row r="1554" spans="1:14" ht="15" customHeight="1" x14ac:dyDescent="0.2">
      <c r="A1554" s="188"/>
      <c r="C1554" s="189"/>
      <c r="E1554" s="190"/>
      <c r="G1554" s="70"/>
      <c r="H1554" s="70"/>
      <c r="J1554" s="70"/>
      <c r="L1554" s="71"/>
      <c r="N1554" s="65"/>
    </row>
    <row r="1555" spans="1:14" ht="15" customHeight="1" x14ac:dyDescent="0.2">
      <c r="A1555" s="188"/>
      <c r="C1555" s="189"/>
      <c r="E1555" s="190"/>
      <c r="G1555" s="70"/>
      <c r="H1555" s="70"/>
      <c r="J1555" s="70"/>
      <c r="L1555" s="71"/>
      <c r="N1555" s="65"/>
    </row>
    <row r="1556" spans="1:14" ht="15" customHeight="1" x14ac:dyDescent="0.2">
      <c r="A1556" s="188"/>
      <c r="C1556" s="189"/>
      <c r="E1556" s="190"/>
      <c r="G1556" s="70"/>
      <c r="H1556" s="70"/>
      <c r="J1556" s="70"/>
      <c r="L1556" s="71"/>
      <c r="N1556" s="65"/>
    </row>
    <row r="1557" spans="1:14" ht="15" customHeight="1" x14ac:dyDescent="0.2">
      <c r="A1557" s="188"/>
      <c r="C1557" s="189"/>
      <c r="E1557" s="190"/>
      <c r="G1557" s="70"/>
      <c r="H1557" s="70"/>
      <c r="J1557" s="70"/>
      <c r="L1557" s="71"/>
      <c r="N1557" s="65"/>
    </row>
    <row r="1558" spans="1:14" ht="15" customHeight="1" x14ac:dyDescent="0.2">
      <c r="A1558" s="188"/>
      <c r="C1558" s="189"/>
      <c r="E1558" s="190"/>
      <c r="G1558" s="70"/>
      <c r="H1558" s="70"/>
      <c r="J1558" s="70"/>
      <c r="L1558" s="71"/>
      <c r="N1558" s="65"/>
    </row>
    <row r="1559" spans="1:14" ht="15" customHeight="1" x14ac:dyDescent="0.2">
      <c r="A1559" s="188"/>
      <c r="C1559" s="189"/>
      <c r="E1559" s="190"/>
      <c r="G1559" s="70"/>
      <c r="H1559" s="70"/>
      <c r="J1559" s="70"/>
      <c r="L1559" s="71"/>
      <c r="N1559" s="65"/>
    </row>
    <row r="1560" spans="1:14" ht="15" customHeight="1" x14ac:dyDescent="0.2">
      <c r="A1560" s="188"/>
      <c r="C1560" s="189"/>
      <c r="E1560" s="190"/>
      <c r="G1560" s="70"/>
      <c r="H1560" s="70"/>
      <c r="J1560" s="70"/>
      <c r="L1560" s="71"/>
      <c r="N1560" s="65"/>
    </row>
    <row r="1561" spans="1:14" ht="15" customHeight="1" x14ac:dyDescent="0.2">
      <c r="A1561" s="188"/>
      <c r="C1561" s="189"/>
      <c r="E1561" s="190"/>
      <c r="G1561" s="70"/>
      <c r="H1561" s="70"/>
      <c r="J1561" s="70"/>
      <c r="L1561" s="71"/>
      <c r="N1561" s="65"/>
    </row>
    <row r="1562" spans="1:14" ht="15" customHeight="1" x14ac:dyDescent="0.2">
      <c r="A1562" s="188"/>
      <c r="C1562" s="189"/>
      <c r="E1562" s="190"/>
      <c r="G1562" s="70"/>
      <c r="H1562" s="70"/>
      <c r="J1562" s="70"/>
      <c r="L1562" s="71"/>
      <c r="N1562" s="65"/>
    </row>
    <row r="1563" spans="1:14" ht="15" customHeight="1" x14ac:dyDescent="0.2">
      <c r="A1563" s="188"/>
      <c r="C1563" s="189"/>
      <c r="E1563" s="190"/>
      <c r="G1563" s="70"/>
      <c r="H1563" s="70"/>
      <c r="J1563" s="70"/>
      <c r="L1563" s="71"/>
      <c r="N1563" s="65"/>
    </row>
    <row r="1564" spans="1:14" ht="15" customHeight="1" x14ac:dyDescent="0.2">
      <c r="A1564" s="188"/>
      <c r="C1564" s="189"/>
      <c r="E1564" s="190"/>
      <c r="G1564" s="70"/>
      <c r="H1564" s="70"/>
      <c r="J1564" s="70"/>
      <c r="L1564" s="71"/>
      <c r="N1564" s="65"/>
    </row>
    <row r="1565" spans="1:14" ht="15" customHeight="1" x14ac:dyDescent="0.2">
      <c r="A1565" s="188"/>
      <c r="C1565" s="189"/>
      <c r="E1565" s="190"/>
      <c r="G1565" s="70"/>
      <c r="H1565" s="70"/>
      <c r="J1565" s="70"/>
      <c r="L1565" s="71"/>
      <c r="N1565" s="65"/>
    </row>
    <row r="1566" spans="1:14" ht="15" customHeight="1" x14ac:dyDescent="0.2">
      <c r="A1566" s="188"/>
      <c r="C1566" s="189"/>
      <c r="E1566" s="190"/>
      <c r="G1566" s="70"/>
      <c r="H1566" s="70"/>
      <c r="J1566" s="70"/>
      <c r="L1566" s="71"/>
      <c r="N1566" s="65"/>
    </row>
    <row r="1567" spans="1:14" ht="15" customHeight="1" x14ac:dyDescent="0.2">
      <c r="A1567" s="188"/>
      <c r="C1567" s="189"/>
      <c r="E1567" s="190"/>
      <c r="G1567" s="70"/>
      <c r="H1567" s="70"/>
      <c r="J1567" s="70"/>
      <c r="L1567" s="71"/>
      <c r="N1567" s="65"/>
    </row>
    <row r="1568" spans="1:14" ht="15" customHeight="1" x14ac:dyDescent="0.2">
      <c r="A1568" s="188"/>
      <c r="C1568" s="189"/>
      <c r="E1568" s="190"/>
      <c r="G1568" s="70"/>
      <c r="H1568" s="70"/>
      <c r="J1568" s="70"/>
      <c r="L1568" s="71"/>
      <c r="N1568" s="65"/>
    </row>
    <row r="1569" spans="1:14" ht="15" customHeight="1" x14ac:dyDescent="0.2">
      <c r="A1569" s="188"/>
      <c r="C1569" s="189"/>
      <c r="E1569" s="190"/>
      <c r="G1569" s="70"/>
      <c r="H1569" s="70"/>
      <c r="J1569" s="70"/>
      <c r="L1569" s="71"/>
      <c r="N1569" s="65"/>
    </row>
    <row r="1570" spans="1:14" ht="15" customHeight="1" x14ac:dyDescent="0.2">
      <c r="A1570" s="188"/>
      <c r="C1570" s="189"/>
      <c r="E1570" s="190"/>
      <c r="G1570" s="70"/>
      <c r="H1570" s="70"/>
      <c r="J1570" s="70"/>
      <c r="L1570" s="71"/>
      <c r="N1570" s="65"/>
    </row>
    <row r="1571" spans="1:14" ht="15" customHeight="1" x14ac:dyDescent="0.2">
      <c r="A1571" s="188"/>
      <c r="C1571" s="189"/>
      <c r="E1571" s="190"/>
      <c r="G1571" s="70"/>
      <c r="H1571" s="70"/>
      <c r="J1571" s="70"/>
      <c r="L1571" s="71"/>
      <c r="N1571" s="65"/>
    </row>
    <row r="1572" spans="1:14" ht="15" customHeight="1" x14ac:dyDescent="0.2">
      <c r="A1572" s="188"/>
      <c r="C1572" s="189"/>
      <c r="E1572" s="190"/>
      <c r="G1572" s="70"/>
      <c r="H1572" s="70"/>
      <c r="J1572" s="70"/>
      <c r="L1572" s="71"/>
      <c r="N1572" s="65"/>
    </row>
    <row r="1573" spans="1:14" ht="15" customHeight="1" x14ac:dyDescent="0.2">
      <c r="A1573" s="188"/>
      <c r="C1573" s="189"/>
      <c r="E1573" s="190"/>
      <c r="G1573" s="70"/>
      <c r="H1573" s="70"/>
      <c r="J1573" s="70"/>
      <c r="L1573" s="71"/>
      <c r="N1573" s="65"/>
    </row>
    <row r="1574" spans="1:14" ht="15" customHeight="1" x14ac:dyDescent="0.2">
      <c r="A1574" s="188"/>
      <c r="C1574" s="189"/>
      <c r="E1574" s="190"/>
      <c r="G1574" s="70"/>
      <c r="H1574" s="70"/>
      <c r="J1574" s="70"/>
      <c r="L1574" s="71"/>
      <c r="N1574" s="65"/>
    </row>
    <row r="1575" spans="1:14" ht="15" customHeight="1" x14ac:dyDescent="0.2">
      <c r="A1575" s="188"/>
      <c r="C1575" s="189"/>
      <c r="E1575" s="190"/>
      <c r="G1575" s="70"/>
      <c r="H1575" s="70"/>
      <c r="J1575" s="70"/>
      <c r="L1575" s="71"/>
      <c r="N1575" s="65"/>
    </row>
    <row r="1576" spans="1:14" ht="15" customHeight="1" x14ac:dyDescent="0.2">
      <c r="A1576" s="188"/>
      <c r="C1576" s="189"/>
      <c r="E1576" s="190"/>
      <c r="G1576" s="70"/>
      <c r="H1576" s="70"/>
      <c r="J1576" s="70"/>
      <c r="L1576" s="71"/>
      <c r="N1576" s="65"/>
    </row>
    <row r="1577" spans="1:14" ht="15" customHeight="1" x14ac:dyDescent="0.2">
      <c r="A1577" s="188"/>
      <c r="C1577" s="189"/>
      <c r="E1577" s="190"/>
      <c r="G1577" s="70"/>
      <c r="H1577" s="70"/>
      <c r="J1577" s="70"/>
      <c r="L1577" s="71"/>
      <c r="N1577" s="65"/>
    </row>
    <row r="1578" spans="1:14" ht="15" customHeight="1" x14ac:dyDescent="0.2">
      <c r="A1578" s="188"/>
      <c r="C1578" s="189"/>
      <c r="E1578" s="190"/>
      <c r="G1578" s="70"/>
      <c r="H1578" s="70"/>
      <c r="J1578" s="70"/>
      <c r="L1578" s="71"/>
      <c r="N1578" s="65"/>
    </row>
    <row r="1579" spans="1:14" ht="15" customHeight="1" x14ac:dyDescent="0.2">
      <c r="A1579" s="188"/>
      <c r="C1579" s="189"/>
      <c r="E1579" s="190"/>
      <c r="G1579" s="70"/>
      <c r="H1579" s="70"/>
      <c r="J1579" s="70"/>
      <c r="L1579" s="71"/>
      <c r="N1579" s="65"/>
    </row>
    <row r="1580" spans="1:14" ht="15" customHeight="1" x14ac:dyDescent="0.2">
      <c r="A1580" s="188"/>
      <c r="C1580" s="189"/>
      <c r="E1580" s="190"/>
      <c r="G1580" s="70"/>
      <c r="H1580" s="70"/>
      <c r="J1580" s="70"/>
      <c r="L1580" s="71"/>
      <c r="N1580" s="65"/>
    </row>
    <row r="1581" spans="1:14" ht="15" customHeight="1" x14ac:dyDescent="0.2">
      <c r="A1581" s="188"/>
      <c r="C1581" s="189"/>
      <c r="E1581" s="190"/>
      <c r="G1581" s="70"/>
      <c r="H1581" s="70"/>
      <c r="J1581" s="70"/>
      <c r="L1581" s="71"/>
      <c r="N1581" s="65"/>
    </row>
    <row r="1582" spans="1:14" ht="15" customHeight="1" x14ac:dyDescent="0.2">
      <c r="A1582" s="188"/>
      <c r="C1582" s="189"/>
      <c r="E1582" s="190"/>
      <c r="G1582" s="70"/>
      <c r="H1582" s="70"/>
      <c r="J1582" s="70"/>
      <c r="L1582" s="71"/>
      <c r="N1582" s="65"/>
    </row>
    <row r="1583" spans="1:14" ht="15" customHeight="1" x14ac:dyDescent="0.2">
      <c r="A1583" s="188"/>
      <c r="C1583" s="189"/>
      <c r="E1583" s="190"/>
      <c r="G1583" s="70"/>
      <c r="H1583" s="70"/>
      <c r="J1583" s="70"/>
      <c r="L1583" s="71"/>
      <c r="N1583" s="65"/>
    </row>
    <row r="1584" spans="1:14" ht="15" customHeight="1" x14ac:dyDescent="0.2">
      <c r="A1584" s="188"/>
      <c r="C1584" s="189"/>
      <c r="E1584" s="190"/>
      <c r="G1584" s="70"/>
      <c r="H1584" s="70"/>
      <c r="J1584" s="70"/>
      <c r="L1584" s="71"/>
      <c r="N1584" s="65"/>
    </row>
    <row r="1585" spans="1:14" ht="15" customHeight="1" x14ac:dyDescent="0.2">
      <c r="A1585" s="188"/>
      <c r="C1585" s="189"/>
      <c r="E1585" s="190"/>
      <c r="G1585" s="70"/>
      <c r="H1585" s="70"/>
      <c r="J1585" s="70"/>
      <c r="L1585" s="71"/>
      <c r="N1585" s="65"/>
    </row>
    <row r="1586" spans="1:14" ht="15" customHeight="1" x14ac:dyDescent="0.2">
      <c r="A1586" s="188"/>
      <c r="C1586" s="189"/>
      <c r="E1586" s="190"/>
      <c r="G1586" s="70"/>
      <c r="H1586" s="70"/>
      <c r="J1586" s="70"/>
      <c r="L1586" s="71"/>
      <c r="N1586" s="65"/>
    </row>
    <row r="1587" spans="1:14" ht="15" customHeight="1" x14ac:dyDescent="0.2">
      <c r="A1587" s="188"/>
      <c r="C1587" s="189"/>
      <c r="E1587" s="190"/>
      <c r="G1587" s="70"/>
      <c r="H1587" s="70"/>
      <c r="J1587" s="70"/>
      <c r="L1587" s="71"/>
      <c r="N1587" s="65"/>
    </row>
    <row r="1588" spans="1:14" ht="15" customHeight="1" x14ac:dyDescent="0.2">
      <c r="A1588" s="188"/>
      <c r="C1588" s="189"/>
      <c r="E1588" s="190"/>
      <c r="G1588" s="70"/>
      <c r="H1588" s="70"/>
      <c r="J1588" s="70"/>
      <c r="L1588" s="71"/>
      <c r="N1588" s="65"/>
    </row>
    <row r="1589" spans="1:14" ht="15" customHeight="1" x14ac:dyDescent="0.2">
      <c r="A1589" s="188"/>
      <c r="C1589" s="189"/>
      <c r="E1589" s="190"/>
      <c r="G1589" s="70"/>
      <c r="H1589" s="70"/>
      <c r="J1589" s="70"/>
      <c r="L1589" s="71"/>
      <c r="N1589" s="65"/>
    </row>
    <row r="1590" spans="1:14" ht="15" customHeight="1" x14ac:dyDescent="0.2">
      <c r="A1590" s="188"/>
      <c r="C1590" s="189"/>
      <c r="E1590" s="190"/>
      <c r="G1590" s="70"/>
      <c r="H1590" s="70"/>
      <c r="J1590" s="70"/>
      <c r="L1590" s="71"/>
      <c r="N1590" s="65"/>
    </row>
    <row r="1591" spans="1:14" ht="15" customHeight="1" x14ac:dyDescent="0.2">
      <c r="A1591" s="188"/>
      <c r="C1591" s="189"/>
      <c r="E1591" s="190"/>
      <c r="G1591" s="70"/>
      <c r="H1591" s="70"/>
      <c r="J1591" s="70"/>
      <c r="L1591" s="71"/>
      <c r="N1591" s="65"/>
    </row>
    <row r="1592" spans="1:14" ht="15" customHeight="1" x14ac:dyDescent="0.2">
      <c r="A1592" s="188"/>
      <c r="C1592" s="189"/>
      <c r="E1592" s="190"/>
      <c r="G1592" s="70"/>
      <c r="H1592" s="70"/>
      <c r="J1592" s="70"/>
      <c r="L1592" s="71"/>
      <c r="N1592" s="65"/>
    </row>
    <row r="1593" spans="1:14" ht="15" customHeight="1" x14ac:dyDescent="0.2">
      <c r="A1593" s="188"/>
      <c r="C1593" s="189"/>
      <c r="E1593" s="190"/>
      <c r="G1593" s="70"/>
      <c r="H1593" s="70"/>
      <c r="J1593" s="70"/>
      <c r="L1593" s="71"/>
      <c r="N1593" s="65"/>
    </row>
    <row r="1594" spans="1:14" ht="15" customHeight="1" x14ac:dyDescent="0.2">
      <c r="A1594" s="188"/>
      <c r="C1594" s="189"/>
      <c r="E1594" s="190"/>
      <c r="G1594" s="70"/>
      <c r="H1594" s="70"/>
      <c r="J1594" s="70"/>
      <c r="L1594" s="71"/>
      <c r="N1594" s="65"/>
    </row>
    <row r="1595" spans="1:14" ht="15" customHeight="1" x14ac:dyDescent="0.2">
      <c r="A1595" s="188"/>
      <c r="C1595" s="189"/>
      <c r="E1595" s="190"/>
      <c r="G1595" s="70"/>
      <c r="H1595" s="70"/>
      <c r="J1595" s="70"/>
      <c r="L1595" s="71"/>
      <c r="N1595" s="65"/>
    </row>
    <row r="1596" spans="1:14" ht="15" customHeight="1" x14ac:dyDescent="0.2">
      <c r="A1596" s="188"/>
      <c r="C1596" s="189"/>
      <c r="E1596" s="190"/>
      <c r="G1596" s="70"/>
      <c r="H1596" s="70"/>
      <c r="J1596" s="70"/>
      <c r="L1596" s="71"/>
      <c r="N1596" s="65"/>
    </row>
    <row r="1597" spans="1:14" ht="15" customHeight="1" x14ac:dyDescent="0.2">
      <c r="A1597" s="188"/>
      <c r="C1597" s="189"/>
      <c r="E1597" s="190"/>
      <c r="G1597" s="70"/>
      <c r="H1597" s="70"/>
      <c r="J1597" s="70"/>
      <c r="L1597" s="71"/>
      <c r="N1597" s="65"/>
    </row>
    <row r="1598" spans="1:14" ht="15" customHeight="1" x14ac:dyDescent="0.2">
      <c r="A1598" s="188"/>
      <c r="C1598" s="189"/>
      <c r="E1598" s="190"/>
      <c r="G1598" s="70"/>
      <c r="H1598" s="70"/>
      <c r="J1598" s="70"/>
      <c r="L1598" s="71"/>
      <c r="N1598" s="65"/>
    </row>
    <row r="1599" spans="1:14" ht="15" customHeight="1" x14ac:dyDescent="0.2">
      <c r="A1599" s="188"/>
      <c r="C1599" s="189"/>
      <c r="E1599" s="190"/>
      <c r="G1599" s="70"/>
      <c r="H1599" s="70"/>
      <c r="J1599" s="70"/>
      <c r="L1599" s="71"/>
      <c r="N1599" s="65"/>
    </row>
    <row r="1600" spans="1:14" ht="15" customHeight="1" x14ac:dyDescent="0.2">
      <c r="A1600" s="188"/>
      <c r="C1600" s="189"/>
      <c r="E1600" s="190"/>
      <c r="G1600" s="70"/>
      <c r="H1600" s="70"/>
      <c r="J1600" s="70"/>
      <c r="L1600" s="71"/>
      <c r="N1600" s="65"/>
    </row>
    <row r="1601" spans="1:14" ht="15" customHeight="1" x14ac:dyDescent="0.2">
      <c r="A1601" s="188"/>
      <c r="C1601" s="189"/>
      <c r="E1601" s="190"/>
      <c r="G1601" s="70"/>
      <c r="H1601" s="70"/>
      <c r="J1601" s="70"/>
      <c r="L1601" s="71"/>
      <c r="N1601" s="65"/>
    </row>
    <row r="1602" spans="1:14" ht="15" customHeight="1" x14ac:dyDescent="0.2">
      <c r="A1602" s="188"/>
      <c r="C1602" s="189"/>
      <c r="E1602" s="190"/>
      <c r="G1602" s="70"/>
      <c r="H1602" s="70"/>
      <c r="J1602" s="70"/>
      <c r="L1602" s="71"/>
      <c r="N1602" s="65"/>
    </row>
    <row r="1603" spans="1:14" ht="15" customHeight="1" x14ac:dyDescent="0.2">
      <c r="A1603" s="188"/>
      <c r="C1603" s="189"/>
      <c r="E1603" s="190"/>
      <c r="G1603" s="70"/>
      <c r="H1603" s="70"/>
      <c r="J1603" s="70"/>
      <c r="L1603" s="71"/>
      <c r="N1603" s="65"/>
    </row>
    <row r="1604" spans="1:14" ht="15" customHeight="1" x14ac:dyDescent="0.2">
      <c r="A1604" s="188"/>
      <c r="C1604" s="189"/>
      <c r="E1604" s="190"/>
      <c r="G1604" s="70"/>
      <c r="H1604" s="70"/>
      <c r="J1604" s="70"/>
      <c r="L1604" s="71"/>
      <c r="N1604" s="65"/>
    </row>
    <row r="1605" spans="1:14" ht="15" customHeight="1" x14ac:dyDescent="0.2">
      <c r="A1605" s="188"/>
      <c r="C1605" s="189"/>
      <c r="E1605" s="190"/>
      <c r="G1605" s="70"/>
      <c r="H1605" s="70"/>
      <c r="J1605" s="70"/>
      <c r="L1605" s="71"/>
      <c r="N1605" s="65"/>
    </row>
    <row r="1606" spans="1:14" ht="15" customHeight="1" x14ac:dyDescent="0.2">
      <c r="A1606" s="188"/>
      <c r="C1606" s="189"/>
      <c r="E1606" s="190"/>
      <c r="G1606" s="70"/>
      <c r="H1606" s="70"/>
      <c r="J1606" s="70"/>
      <c r="L1606" s="71"/>
      <c r="N1606" s="65"/>
    </row>
    <row r="1607" spans="1:14" ht="15" customHeight="1" x14ac:dyDescent="0.2">
      <c r="A1607" s="188"/>
      <c r="C1607" s="189"/>
      <c r="E1607" s="190"/>
      <c r="G1607" s="70"/>
      <c r="H1607" s="70"/>
      <c r="J1607" s="70"/>
      <c r="L1607" s="71"/>
      <c r="N1607" s="65"/>
    </row>
    <row r="1608" spans="1:14" ht="15" customHeight="1" x14ac:dyDescent="0.2">
      <c r="A1608" s="188"/>
      <c r="C1608" s="189"/>
      <c r="E1608" s="190"/>
      <c r="G1608" s="70"/>
      <c r="H1608" s="70"/>
      <c r="J1608" s="70"/>
      <c r="L1608" s="71"/>
      <c r="N1608" s="65"/>
    </row>
    <row r="1609" spans="1:14" ht="15" customHeight="1" x14ac:dyDescent="0.2">
      <c r="A1609" s="188"/>
      <c r="C1609" s="189"/>
      <c r="E1609" s="190"/>
      <c r="G1609" s="70"/>
      <c r="H1609" s="70"/>
      <c r="J1609" s="70"/>
      <c r="L1609" s="71"/>
      <c r="N1609" s="65"/>
    </row>
    <row r="1610" spans="1:14" ht="15" customHeight="1" x14ac:dyDescent="0.2">
      <c r="A1610" s="188"/>
      <c r="C1610" s="189"/>
      <c r="E1610" s="190"/>
      <c r="G1610" s="70"/>
      <c r="H1610" s="70"/>
      <c r="J1610" s="70"/>
      <c r="L1610" s="71"/>
      <c r="N1610" s="65"/>
    </row>
    <row r="1611" spans="1:14" ht="15" customHeight="1" x14ac:dyDescent="0.2">
      <c r="A1611" s="188"/>
      <c r="C1611" s="189"/>
      <c r="E1611" s="190"/>
      <c r="G1611" s="70"/>
      <c r="H1611" s="70"/>
      <c r="J1611" s="70"/>
      <c r="L1611" s="71"/>
      <c r="N1611" s="65"/>
    </row>
    <row r="1612" spans="1:14" ht="15" customHeight="1" x14ac:dyDescent="0.2">
      <c r="A1612" s="188"/>
      <c r="C1612" s="189"/>
      <c r="E1612" s="190"/>
      <c r="G1612" s="70"/>
      <c r="H1612" s="70"/>
      <c r="J1612" s="70"/>
      <c r="L1612" s="71"/>
      <c r="N1612" s="65"/>
    </row>
    <row r="1613" spans="1:14" ht="15" customHeight="1" x14ac:dyDescent="0.2">
      <c r="A1613" s="188"/>
      <c r="C1613" s="189"/>
      <c r="E1613" s="190"/>
      <c r="G1613" s="70"/>
      <c r="H1613" s="70"/>
      <c r="J1613" s="70"/>
      <c r="L1613" s="71"/>
      <c r="N1613" s="65"/>
    </row>
    <row r="1614" spans="1:14" ht="15" customHeight="1" x14ac:dyDescent="0.2">
      <c r="A1614" s="188"/>
      <c r="C1614" s="189"/>
      <c r="E1614" s="190"/>
      <c r="G1614" s="70"/>
      <c r="H1614" s="70"/>
      <c r="J1614" s="70"/>
      <c r="L1614" s="71"/>
      <c r="N1614" s="65"/>
    </row>
    <row r="1615" spans="1:14" ht="15" customHeight="1" x14ac:dyDescent="0.2">
      <c r="A1615" s="188"/>
      <c r="C1615" s="189"/>
      <c r="E1615" s="190"/>
      <c r="G1615" s="70"/>
      <c r="H1615" s="70"/>
      <c r="J1615" s="70"/>
      <c r="L1615" s="71"/>
      <c r="N1615" s="65"/>
    </row>
    <row r="1616" spans="1:14" ht="15" customHeight="1" x14ac:dyDescent="0.2">
      <c r="A1616" s="188"/>
      <c r="C1616" s="189"/>
      <c r="E1616" s="190"/>
      <c r="G1616" s="70"/>
      <c r="H1616" s="70"/>
      <c r="J1616" s="70"/>
      <c r="L1616" s="71"/>
      <c r="N1616" s="65"/>
    </row>
    <row r="1617" spans="1:14" ht="15" customHeight="1" x14ac:dyDescent="0.2">
      <c r="A1617" s="188"/>
      <c r="C1617" s="189"/>
      <c r="E1617" s="190"/>
      <c r="G1617" s="70"/>
      <c r="H1617" s="70"/>
      <c r="J1617" s="70"/>
      <c r="L1617" s="71"/>
      <c r="N1617" s="65"/>
    </row>
    <row r="1618" spans="1:14" ht="15" customHeight="1" x14ac:dyDescent="0.2">
      <c r="A1618" s="188"/>
      <c r="C1618" s="189"/>
      <c r="E1618" s="190"/>
      <c r="G1618" s="70"/>
      <c r="H1618" s="70"/>
      <c r="J1618" s="70"/>
      <c r="L1618" s="71"/>
      <c r="N1618" s="65"/>
    </row>
    <row r="1619" spans="1:14" ht="15" customHeight="1" x14ac:dyDescent="0.2">
      <c r="A1619" s="188"/>
      <c r="C1619" s="189"/>
      <c r="E1619" s="190"/>
      <c r="G1619" s="70"/>
      <c r="H1619" s="70"/>
      <c r="J1619" s="70"/>
      <c r="L1619" s="71"/>
      <c r="N1619" s="65"/>
    </row>
    <row r="1620" spans="1:14" ht="15" customHeight="1" x14ac:dyDescent="0.2">
      <c r="A1620" s="188"/>
      <c r="C1620" s="189"/>
      <c r="E1620" s="190"/>
      <c r="G1620" s="70"/>
      <c r="H1620" s="70"/>
      <c r="J1620" s="70"/>
      <c r="L1620" s="71"/>
      <c r="N1620" s="65"/>
    </row>
    <row r="1621" spans="1:14" ht="15" customHeight="1" x14ac:dyDescent="0.2">
      <c r="A1621" s="188"/>
      <c r="C1621" s="189"/>
      <c r="E1621" s="190"/>
      <c r="G1621" s="70"/>
      <c r="H1621" s="70"/>
      <c r="J1621" s="70"/>
      <c r="L1621" s="71"/>
      <c r="N1621" s="65"/>
    </row>
    <row r="1622" spans="1:14" ht="15" customHeight="1" x14ac:dyDescent="0.2">
      <c r="A1622" s="188"/>
      <c r="C1622" s="189"/>
      <c r="E1622" s="190"/>
      <c r="G1622" s="70"/>
      <c r="H1622" s="70"/>
      <c r="J1622" s="70"/>
      <c r="L1622" s="71"/>
      <c r="N1622" s="65"/>
    </row>
    <row r="1623" spans="1:14" ht="15" customHeight="1" x14ac:dyDescent="0.2">
      <c r="A1623" s="188"/>
      <c r="C1623" s="189"/>
      <c r="E1623" s="190"/>
      <c r="G1623" s="70"/>
      <c r="H1623" s="70"/>
      <c r="J1623" s="70"/>
      <c r="L1623" s="71"/>
      <c r="N1623" s="65"/>
    </row>
    <row r="1624" spans="1:14" ht="15" customHeight="1" x14ac:dyDescent="0.2">
      <c r="A1624" s="188"/>
      <c r="C1624" s="189"/>
      <c r="E1624" s="190"/>
      <c r="G1624" s="70"/>
      <c r="H1624" s="70"/>
      <c r="J1624" s="70"/>
      <c r="L1624" s="71"/>
      <c r="N1624" s="65"/>
    </row>
    <row r="1625" spans="1:14" ht="15" customHeight="1" x14ac:dyDescent="0.2">
      <c r="A1625" s="188"/>
      <c r="C1625" s="189"/>
      <c r="E1625" s="190"/>
      <c r="G1625" s="70"/>
      <c r="H1625" s="70"/>
      <c r="J1625" s="70"/>
      <c r="L1625" s="71"/>
      <c r="N1625" s="65"/>
    </row>
    <row r="1626" spans="1:14" ht="15" customHeight="1" x14ac:dyDescent="0.2">
      <c r="A1626" s="188"/>
      <c r="C1626" s="189"/>
      <c r="E1626" s="190"/>
      <c r="G1626" s="70"/>
      <c r="H1626" s="70"/>
      <c r="J1626" s="70"/>
      <c r="L1626" s="71"/>
      <c r="N1626" s="65"/>
    </row>
    <row r="1627" spans="1:14" ht="15" customHeight="1" x14ac:dyDescent="0.2">
      <c r="A1627" s="188"/>
      <c r="C1627" s="189"/>
      <c r="E1627" s="190"/>
      <c r="G1627" s="70"/>
      <c r="H1627" s="70"/>
      <c r="J1627" s="70"/>
      <c r="L1627" s="71"/>
      <c r="N1627" s="65"/>
    </row>
    <row r="1628" spans="1:14" ht="15" customHeight="1" x14ac:dyDescent="0.2">
      <c r="A1628" s="188"/>
      <c r="C1628" s="189"/>
      <c r="E1628" s="190"/>
      <c r="G1628" s="70"/>
      <c r="H1628" s="70"/>
      <c r="J1628" s="70"/>
      <c r="L1628" s="71"/>
      <c r="N1628" s="65"/>
    </row>
    <row r="1629" spans="1:14" ht="15" customHeight="1" x14ac:dyDescent="0.2">
      <c r="A1629" s="188"/>
      <c r="C1629" s="189"/>
      <c r="E1629" s="190"/>
      <c r="G1629" s="70"/>
      <c r="H1629" s="70"/>
      <c r="J1629" s="70"/>
      <c r="L1629" s="71"/>
      <c r="N1629" s="65"/>
    </row>
    <row r="1630" spans="1:14" ht="15" customHeight="1" x14ac:dyDescent="0.2">
      <c r="A1630" s="188"/>
      <c r="C1630" s="189"/>
      <c r="E1630" s="190"/>
      <c r="G1630" s="70"/>
      <c r="H1630" s="70"/>
      <c r="J1630" s="70"/>
      <c r="L1630" s="71"/>
      <c r="N1630" s="65"/>
    </row>
    <row r="1631" spans="1:14" ht="15" customHeight="1" x14ac:dyDescent="0.2">
      <c r="A1631" s="188"/>
      <c r="C1631" s="189"/>
      <c r="E1631" s="190"/>
      <c r="G1631" s="70"/>
      <c r="H1631" s="70"/>
      <c r="J1631" s="70"/>
      <c r="L1631" s="71"/>
      <c r="N1631" s="65"/>
    </row>
    <row r="1632" spans="1:14" ht="15" customHeight="1" x14ac:dyDescent="0.2">
      <c r="A1632" s="188"/>
      <c r="C1632" s="189"/>
      <c r="E1632" s="190"/>
      <c r="G1632" s="70"/>
      <c r="H1632" s="70"/>
      <c r="J1632" s="70"/>
      <c r="L1632" s="71"/>
      <c r="N1632" s="65"/>
    </row>
    <row r="1633" spans="1:14" ht="15" customHeight="1" x14ac:dyDescent="0.2">
      <c r="A1633" s="188"/>
      <c r="C1633" s="189"/>
      <c r="E1633" s="190"/>
      <c r="G1633" s="70"/>
      <c r="H1633" s="70"/>
      <c r="J1633" s="70"/>
      <c r="L1633" s="71"/>
      <c r="N1633" s="65"/>
    </row>
    <row r="1634" spans="1:14" ht="15" customHeight="1" x14ac:dyDescent="0.2">
      <c r="A1634" s="188"/>
      <c r="C1634" s="189"/>
      <c r="E1634" s="190"/>
      <c r="G1634" s="70"/>
      <c r="H1634" s="70"/>
      <c r="J1634" s="70"/>
      <c r="L1634" s="71"/>
      <c r="N1634" s="65"/>
    </row>
    <row r="1635" spans="1:14" ht="15" customHeight="1" x14ac:dyDescent="0.2">
      <c r="A1635" s="188"/>
      <c r="C1635" s="189"/>
      <c r="E1635" s="190"/>
      <c r="G1635" s="70"/>
      <c r="H1635" s="70"/>
      <c r="J1635" s="70"/>
      <c r="L1635" s="71"/>
      <c r="N1635" s="65"/>
    </row>
    <row r="1636" spans="1:14" ht="15" customHeight="1" x14ac:dyDescent="0.2">
      <c r="A1636" s="188"/>
      <c r="C1636" s="189"/>
      <c r="E1636" s="190"/>
      <c r="G1636" s="70"/>
      <c r="H1636" s="70"/>
      <c r="J1636" s="70"/>
      <c r="L1636" s="71"/>
      <c r="N1636" s="65"/>
    </row>
    <row r="1637" spans="1:14" ht="15" customHeight="1" x14ac:dyDescent="0.2">
      <c r="A1637" s="188"/>
      <c r="C1637" s="189"/>
      <c r="E1637" s="190"/>
      <c r="G1637" s="70"/>
      <c r="H1637" s="70"/>
      <c r="J1637" s="70"/>
      <c r="L1637" s="71"/>
      <c r="N1637" s="65"/>
    </row>
    <row r="1638" spans="1:14" ht="15" customHeight="1" x14ac:dyDescent="0.2">
      <c r="A1638" s="188"/>
      <c r="C1638" s="189"/>
      <c r="E1638" s="190"/>
      <c r="G1638" s="70"/>
      <c r="H1638" s="70"/>
      <c r="J1638" s="70"/>
      <c r="L1638" s="71"/>
      <c r="N1638" s="65"/>
    </row>
    <row r="1639" spans="1:14" ht="15" customHeight="1" x14ac:dyDescent="0.2">
      <c r="A1639" s="188"/>
      <c r="C1639" s="189"/>
      <c r="E1639" s="190"/>
      <c r="G1639" s="70"/>
      <c r="H1639" s="70"/>
      <c r="J1639" s="70"/>
      <c r="L1639" s="71"/>
      <c r="N1639" s="65"/>
    </row>
    <row r="1640" spans="1:14" ht="15" customHeight="1" x14ac:dyDescent="0.2">
      <c r="A1640" s="188"/>
      <c r="C1640" s="189"/>
      <c r="E1640" s="190"/>
      <c r="G1640" s="70"/>
      <c r="H1640" s="70"/>
      <c r="J1640" s="70"/>
      <c r="L1640" s="71"/>
      <c r="N1640" s="65"/>
    </row>
    <row r="1641" spans="1:14" ht="15" customHeight="1" x14ac:dyDescent="0.2">
      <c r="A1641" s="188"/>
      <c r="C1641" s="189"/>
      <c r="E1641" s="190"/>
      <c r="G1641" s="70"/>
      <c r="H1641" s="70"/>
      <c r="J1641" s="70"/>
      <c r="L1641" s="71"/>
      <c r="N1641" s="65"/>
    </row>
    <row r="1642" spans="1:14" ht="15" customHeight="1" x14ac:dyDescent="0.2">
      <c r="A1642" s="188"/>
      <c r="C1642" s="189"/>
      <c r="E1642" s="190"/>
      <c r="G1642" s="70"/>
      <c r="H1642" s="70"/>
      <c r="J1642" s="70"/>
      <c r="L1642" s="71"/>
      <c r="N1642" s="65"/>
    </row>
    <row r="1643" spans="1:14" ht="15" customHeight="1" x14ac:dyDescent="0.2">
      <c r="A1643" s="188"/>
      <c r="C1643" s="189"/>
      <c r="E1643" s="190"/>
      <c r="G1643" s="70"/>
      <c r="H1643" s="70"/>
      <c r="J1643" s="70"/>
      <c r="L1643" s="71"/>
      <c r="N1643" s="65"/>
    </row>
    <row r="1644" spans="1:14" ht="15" customHeight="1" x14ac:dyDescent="0.2">
      <c r="A1644" s="188"/>
      <c r="C1644" s="189"/>
      <c r="E1644" s="190"/>
      <c r="G1644" s="70"/>
      <c r="H1644" s="70"/>
      <c r="J1644" s="70"/>
      <c r="L1644" s="71"/>
      <c r="N1644" s="65"/>
    </row>
    <row r="1645" spans="1:14" ht="15" customHeight="1" x14ac:dyDescent="0.2">
      <c r="A1645" s="188"/>
      <c r="C1645" s="189"/>
      <c r="E1645" s="190"/>
      <c r="G1645" s="70"/>
      <c r="H1645" s="70"/>
      <c r="J1645" s="70"/>
      <c r="L1645" s="71"/>
      <c r="N1645" s="65"/>
    </row>
    <row r="1646" spans="1:14" ht="15" customHeight="1" x14ac:dyDescent="0.2">
      <c r="A1646" s="188"/>
      <c r="C1646" s="189"/>
      <c r="E1646" s="190"/>
      <c r="G1646" s="70"/>
      <c r="H1646" s="70"/>
      <c r="J1646" s="70"/>
      <c r="L1646" s="71"/>
      <c r="N1646" s="65"/>
    </row>
    <row r="1647" spans="1:14" ht="15" customHeight="1" x14ac:dyDescent="0.2">
      <c r="A1647" s="188"/>
      <c r="C1647" s="189"/>
      <c r="E1647" s="190"/>
      <c r="G1647" s="70"/>
      <c r="H1647" s="70"/>
      <c r="J1647" s="70"/>
      <c r="L1647" s="71"/>
      <c r="N1647" s="65"/>
    </row>
    <row r="1648" spans="1:14" ht="15" customHeight="1" x14ac:dyDescent="0.2">
      <c r="A1648" s="188"/>
      <c r="C1648" s="189"/>
      <c r="E1648" s="190"/>
      <c r="G1648" s="70"/>
      <c r="H1648" s="70"/>
      <c r="J1648" s="70"/>
      <c r="L1648" s="71"/>
      <c r="N1648" s="65"/>
    </row>
    <row r="1649" spans="1:14" ht="15" customHeight="1" x14ac:dyDescent="0.2">
      <c r="A1649" s="188"/>
      <c r="C1649" s="189"/>
      <c r="E1649" s="190"/>
      <c r="G1649" s="70"/>
      <c r="H1649" s="70"/>
      <c r="J1649" s="70"/>
      <c r="L1649" s="71"/>
      <c r="N1649" s="65"/>
    </row>
    <row r="1650" spans="1:14" ht="15" customHeight="1" x14ac:dyDescent="0.2">
      <c r="A1650" s="188"/>
      <c r="C1650" s="189"/>
      <c r="E1650" s="190"/>
      <c r="G1650" s="70"/>
      <c r="H1650" s="70"/>
      <c r="J1650" s="70"/>
      <c r="L1650" s="71"/>
      <c r="N1650" s="65"/>
    </row>
    <row r="1651" spans="1:14" ht="15" customHeight="1" x14ac:dyDescent="0.2">
      <c r="A1651" s="188"/>
      <c r="C1651" s="189"/>
      <c r="E1651" s="190"/>
      <c r="G1651" s="70"/>
      <c r="H1651" s="70"/>
      <c r="J1651" s="70"/>
      <c r="L1651" s="71"/>
      <c r="N1651" s="65"/>
    </row>
    <row r="1652" spans="1:14" ht="15" customHeight="1" x14ac:dyDescent="0.2">
      <c r="A1652" s="188"/>
      <c r="C1652" s="189"/>
      <c r="E1652" s="190"/>
      <c r="G1652" s="70"/>
      <c r="H1652" s="70"/>
      <c r="J1652" s="70"/>
      <c r="L1652" s="71"/>
      <c r="N1652" s="65"/>
    </row>
    <row r="1653" spans="1:14" ht="15" customHeight="1" x14ac:dyDescent="0.2">
      <c r="A1653" s="188"/>
      <c r="C1653" s="189"/>
      <c r="E1653" s="190"/>
      <c r="G1653" s="70"/>
      <c r="H1653" s="70"/>
      <c r="J1653" s="70"/>
      <c r="L1653" s="71"/>
      <c r="N1653" s="65"/>
    </row>
    <row r="1654" spans="1:14" ht="15" customHeight="1" x14ac:dyDescent="0.2">
      <c r="A1654" s="188"/>
      <c r="C1654" s="189"/>
      <c r="E1654" s="190"/>
      <c r="G1654" s="70"/>
      <c r="H1654" s="70"/>
      <c r="J1654" s="70"/>
      <c r="L1654" s="71"/>
      <c r="N1654" s="65"/>
    </row>
    <row r="1655" spans="1:14" ht="15" customHeight="1" x14ac:dyDescent="0.2">
      <c r="A1655" s="188"/>
      <c r="C1655" s="189"/>
      <c r="E1655" s="190"/>
      <c r="G1655" s="70"/>
      <c r="H1655" s="70"/>
      <c r="J1655" s="70"/>
      <c r="L1655" s="71"/>
      <c r="N1655" s="65"/>
    </row>
    <row r="1656" spans="1:14" ht="15" customHeight="1" x14ac:dyDescent="0.2">
      <c r="A1656" s="188"/>
      <c r="C1656" s="189"/>
      <c r="E1656" s="190"/>
      <c r="G1656" s="70"/>
      <c r="H1656" s="70"/>
      <c r="J1656" s="70"/>
      <c r="L1656" s="71"/>
      <c r="N1656" s="65"/>
    </row>
    <row r="1657" spans="1:14" ht="15" customHeight="1" x14ac:dyDescent="0.2">
      <c r="A1657" s="188"/>
      <c r="C1657" s="189"/>
      <c r="E1657" s="190"/>
      <c r="G1657" s="70"/>
      <c r="H1657" s="70"/>
      <c r="J1657" s="70"/>
      <c r="L1657" s="71"/>
      <c r="N1657" s="65"/>
    </row>
    <row r="1658" spans="1:14" ht="15" customHeight="1" x14ac:dyDescent="0.2">
      <c r="A1658" s="188"/>
      <c r="C1658" s="189"/>
      <c r="E1658" s="190"/>
      <c r="G1658" s="70"/>
      <c r="H1658" s="70"/>
      <c r="J1658" s="70"/>
      <c r="L1658" s="71"/>
      <c r="N1658" s="65"/>
    </row>
    <row r="1659" spans="1:14" ht="15" customHeight="1" x14ac:dyDescent="0.2">
      <c r="A1659" s="188"/>
      <c r="C1659" s="189"/>
      <c r="E1659" s="190"/>
      <c r="G1659" s="70"/>
      <c r="H1659" s="70"/>
      <c r="J1659" s="70"/>
      <c r="L1659" s="71"/>
      <c r="N1659" s="65"/>
    </row>
    <row r="1660" spans="1:14" ht="15" customHeight="1" x14ac:dyDescent="0.2">
      <c r="A1660" s="188"/>
      <c r="C1660" s="189"/>
      <c r="E1660" s="190"/>
      <c r="G1660" s="70"/>
      <c r="H1660" s="70"/>
      <c r="J1660" s="70"/>
      <c r="L1660" s="71"/>
      <c r="N1660" s="65"/>
    </row>
    <row r="1661" spans="1:14" ht="15" customHeight="1" x14ac:dyDescent="0.2">
      <c r="A1661" s="188"/>
      <c r="C1661" s="189"/>
      <c r="E1661" s="190"/>
      <c r="G1661" s="70"/>
      <c r="H1661" s="70"/>
      <c r="J1661" s="70"/>
      <c r="L1661" s="71"/>
      <c r="N1661" s="65"/>
    </row>
    <row r="1662" spans="1:14" ht="15" customHeight="1" x14ac:dyDescent="0.2">
      <c r="A1662" s="188"/>
      <c r="C1662" s="189"/>
      <c r="E1662" s="190"/>
      <c r="G1662" s="70"/>
      <c r="H1662" s="70"/>
      <c r="J1662" s="70"/>
      <c r="L1662" s="71"/>
      <c r="N1662" s="65"/>
    </row>
    <row r="1663" spans="1:14" ht="15" customHeight="1" x14ac:dyDescent="0.2">
      <c r="A1663" s="188"/>
      <c r="C1663" s="189"/>
      <c r="E1663" s="190"/>
      <c r="G1663" s="70"/>
      <c r="H1663" s="70"/>
      <c r="J1663" s="70"/>
      <c r="L1663" s="71"/>
      <c r="N1663" s="65"/>
    </row>
    <row r="1664" spans="1:14" ht="15" customHeight="1" x14ac:dyDescent="0.2">
      <c r="A1664" s="188"/>
      <c r="C1664" s="189"/>
      <c r="E1664" s="190"/>
      <c r="G1664" s="70"/>
      <c r="H1664" s="70"/>
      <c r="J1664" s="70"/>
      <c r="L1664" s="71"/>
      <c r="N1664" s="65"/>
    </row>
    <row r="1665" spans="1:14" ht="15" customHeight="1" x14ac:dyDescent="0.2">
      <c r="A1665" s="188"/>
      <c r="C1665" s="189"/>
      <c r="E1665" s="190"/>
      <c r="G1665" s="70"/>
      <c r="H1665" s="70"/>
      <c r="J1665" s="70"/>
      <c r="L1665" s="71"/>
      <c r="N1665" s="65"/>
    </row>
    <row r="1666" spans="1:14" ht="15" customHeight="1" x14ac:dyDescent="0.2">
      <c r="A1666" s="188"/>
      <c r="C1666" s="189"/>
      <c r="E1666" s="190"/>
      <c r="G1666" s="70"/>
      <c r="H1666" s="70"/>
      <c r="J1666" s="70"/>
      <c r="L1666" s="71"/>
      <c r="N1666" s="65"/>
    </row>
    <row r="1667" spans="1:14" ht="15" customHeight="1" x14ac:dyDescent="0.2">
      <c r="A1667" s="188"/>
      <c r="C1667" s="189"/>
      <c r="E1667" s="190"/>
      <c r="G1667" s="70"/>
      <c r="H1667" s="70"/>
      <c r="J1667" s="70"/>
      <c r="L1667" s="71"/>
      <c r="N1667" s="65"/>
    </row>
    <row r="1668" spans="1:14" ht="15" customHeight="1" x14ac:dyDescent="0.2">
      <c r="A1668" s="188"/>
      <c r="C1668" s="189"/>
      <c r="E1668" s="190"/>
      <c r="G1668" s="70"/>
      <c r="H1668" s="70"/>
      <c r="J1668" s="70"/>
      <c r="L1668" s="71"/>
      <c r="N1668" s="65"/>
    </row>
    <row r="1669" spans="1:14" ht="15" customHeight="1" x14ac:dyDescent="0.2">
      <c r="A1669" s="188"/>
      <c r="C1669" s="189"/>
      <c r="E1669" s="190"/>
      <c r="G1669" s="70"/>
      <c r="H1669" s="70"/>
      <c r="J1669" s="70"/>
      <c r="L1669" s="71"/>
      <c r="N1669" s="65"/>
    </row>
    <row r="1670" spans="1:14" ht="15" customHeight="1" x14ac:dyDescent="0.2">
      <c r="A1670" s="188"/>
      <c r="C1670" s="189"/>
      <c r="E1670" s="190"/>
      <c r="G1670" s="70"/>
      <c r="H1670" s="70"/>
      <c r="J1670" s="70"/>
      <c r="L1670" s="71"/>
      <c r="N1670" s="65"/>
    </row>
    <row r="1671" spans="1:14" ht="15" customHeight="1" x14ac:dyDescent="0.2">
      <c r="A1671" s="188"/>
      <c r="C1671" s="189"/>
      <c r="E1671" s="190"/>
      <c r="G1671" s="70"/>
      <c r="H1671" s="70"/>
      <c r="J1671" s="70"/>
      <c r="L1671" s="71"/>
      <c r="N1671" s="65"/>
    </row>
    <row r="1672" spans="1:14" ht="15" customHeight="1" x14ac:dyDescent="0.2">
      <c r="A1672" s="188"/>
      <c r="C1672" s="189"/>
      <c r="E1672" s="190"/>
      <c r="G1672" s="70"/>
      <c r="H1672" s="70"/>
      <c r="J1672" s="70"/>
      <c r="L1672" s="71"/>
      <c r="N1672" s="65"/>
    </row>
    <row r="1673" spans="1:14" ht="15" customHeight="1" x14ac:dyDescent="0.2">
      <c r="A1673" s="188"/>
      <c r="C1673" s="189"/>
      <c r="E1673" s="190"/>
      <c r="G1673" s="70"/>
      <c r="H1673" s="70"/>
      <c r="J1673" s="70"/>
      <c r="L1673" s="71"/>
      <c r="N1673" s="65"/>
    </row>
    <row r="1674" spans="1:14" ht="15" customHeight="1" x14ac:dyDescent="0.2">
      <c r="A1674" s="188"/>
      <c r="C1674" s="189"/>
      <c r="E1674" s="190"/>
      <c r="G1674" s="70"/>
      <c r="H1674" s="70"/>
      <c r="J1674" s="70"/>
      <c r="L1674" s="71"/>
      <c r="N1674" s="65"/>
    </row>
    <row r="1675" spans="1:14" ht="15" customHeight="1" x14ac:dyDescent="0.2">
      <c r="A1675" s="188"/>
      <c r="C1675" s="189"/>
      <c r="E1675" s="190"/>
      <c r="G1675" s="70"/>
      <c r="H1675" s="70"/>
      <c r="J1675" s="70"/>
      <c r="L1675" s="71"/>
      <c r="N1675" s="65"/>
    </row>
    <row r="1676" spans="1:14" ht="15" customHeight="1" x14ac:dyDescent="0.2">
      <c r="A1676" s="188"/>
      <c r="C1676" s="189"/>
      <c r="E1676" s="190"/>
      <c r="G1676" s="70"/>
      <c r="H1676" s="70"/>
      <c r="J1676" s="70"/>
      <c r="L1676" s="71"/>
      <c r="N1676" s="65"/>
    </row>
    <row r="1677" spans="1:14" ht="15" customHeight="1" x14ac:dyDescent="0.2">
      <c r="A1677" s="188"/>
      <c r="C1677" s="189"/>
      <c r="E1677" s="190"/>
      <c r="G1677" s="70"/>
      <c r="H1677" s="70"/>
      <c r="J1677" s="70"/>
      <c r="L1677" s="71"/>
      <c r="N1677" s="65"/>
    </row>
    <row r="1678" spans="1:14" ht="15" customHeight="1" x14ac:dyDescent="0.2">
      <c r="A1678" s="188"/>
      <c r="C1678" s="189"/>
      <c r="E1678" s="190"/>
      <c r="G1678" s="70"/>
      <c r="H1678" s="70"/>
      <c r="J1678" s="70"/>
      <c r="L1678" s="71"/>
      <c r="N1678" s="65"/>
    </row>
    <row r="1679" spans="1:14" ht="15" customHeight="1" x14ac:dyDescent="0.2">
      <c r="A1679" s="188"/>
      <c r="C1679" s="189"/>
      <c r="E1679" s="190"/>
      <c r="G1679" s="70"/>
      <c r="H1679" s="70"/>
      <c r="J1679" s="70"/>
      <c r="L1679" s="71"/>
      <c r="N1679" s="65"/>
    </row>
    <row r="1680" spans="1:14" ht="15" customHeight="1" x14ac:dyDescent="0.2">
      <c r="A1680" s="188"/>
      <c r="C1680" s="189"/>
      <c r="E1680" s="190"/>
      <c r="G1680" s="70"/>
      <c r="H1680" s="70"/>
      <c r="J1680" s="70"/>
      <c r="L1680" s="71"/>
      <c r="N1680" s="65"/>
    </row>
    <row r="1681" spans="1:14" ht="15" customHeight="1" x14ac:dyDescent="0.2">
      <c r="A1681" s="188"/>
      <c r="C1681" s="189"/>
      <c r="E1681" s="190"/>
      <c r="G1681" s="70"/>
      <c r="H1681" s="70"/>
      <c r="J1681" s="70"/>
      <c r="L1681" s="71"/>
      <c r="N1681" s="65"/>
    </row>
    <row r="1682" spans="1:14" ht="15" customHeight="1" x14ac:dyDescent="0.2">
      <c r="A1682" s="188"/>
      <c r="C1682" s="189"/>
      <c r="E1682" s="190"/>
      <c r="G1682" s="70"/>
      <c r="H1682" s="70"/>
      <c r="J1682" s="70"/>
      <c r="L1682" s="71"/>
      <c r="N1682" s="65"/>
    </row>
    <row r="1683" spans="1:14" ht="15" customHeight="1" x14ac:dyDescent="0.2">
      <c r="A1683" s="188"/>
      <c r="C1683" s="189"/>
      <c r="E1683" s="190"/>
      <c r="G1683" s="70"/>
      <c r="H1683" s="70"/>
      <c r="J1683" s="70"/>
      <c r="L1683" s="71"/>
      <c r="N1683" s="65"/>
    </row>
    <row r="1684" spans="1:14" ht="15" customHeight="1" x14ac:dyDescent="0.2">
      <c r="A1684" s="188"/>
      <c r="C1684" s="189"/>
      <c r="E1684" s="190"/>
      <c r="G1684" s="70"/>
      <c r="H1684" s="70"/>
      <c r="J1684" s="70"/>
      <c r="L1684" s="71"/>
      <c r="N1684" s="65"/>
    </row>
    <row r="1685" spans="1:14" ht="15" customHeight="1" x14ac:dyDescent="0.2">
      <c r="A1685" s="188"/>
      <c r="C1685" s="189"/>
      <c r="E1685" s="190"/>
      <c r="G1685" s="70"/>
      <c r="H1685" s="70"/>
      <c r="J1685" s="70"/>
      <c r="L1685" s="71"/>
      <c r="N1685" s="65"/>
    </row>
    <row r="1686" spans="1:14" ht="15" customHeight="1" x14ac:dyDescent="0.2">
      <c r="A1686" s="188"/>
      <c r="C1686" s="189"/>
      <c r="E1686" s="190"/>
      <c r="G1686" s="70"/>
      <c r="H1686" s="70"/>
      <c r="J1686" s="70"/>
      <c r="L1686" s="71"/>
      <c r="N1686" s="65"/>
    </row>
    <row r="1687" spans="1:14" ht="15" customHeight="1" x14ac:dyDescent="0.2">
      <c r="A1687" s="188"/>
      <c r="C1687" s="189"/>
      <c r="E1687" s="190"/>
      <c r="G1687" s="70"/>
      <c r="H1687" s="70"/>
      <c r="J1687" s="70"/>
      <c r="L1687" s="71"/>
      <c r="N1687" s="65"/>
    </row>
    <row r="1688" spans="1:14" ht="15" customHeight="1" x14ac:dyDescent="0.2">
      <c r="A1688" s="188"/>
      <c r="C1688" s="189"/>
      <c r="E1688" s="190"/>
      <c r="G1688" s="70"/>
      <c r="H1688" s="70"/>
      <c r="J1688" s="70"/>
      <c r="L1688" s="71"/>
      <c r="N1688" s="65"/>
    </row>
    <row r="1689" spans="1:14" ht="15" customHeight="1" x14ac:dyDescent="0.2">
      <c r="A1689" s="188"/>
      <c r="C1689" s="189"/>
      <c r="E1689" s="190"/>
      <c r="G1689" s="70"/>
      <c r="H1689" s="70"/>
      <c r="J1689" s="70"/>
      <c r="L1689" s="71"/>
      <c r="N1689" s="65"/>
    </row>
    <row r="1690" spans="1:14" ht="15" customHeight="1" x14ac:dyDescent="0.2">
      <c r="A1690" s="188"/>
      <c r="C1690" s="189"/>
      <c r="E1690" s="190"/>
      <c r="G1690" s="70"/>
      <c r="H1690" s="70"/>
      <c r="J1690" s="70"/>
      <c r="L1690" s="71"/>
      <c r="N1690" s="65"/>
    </row>
    <row r="1691" spans="1:14" ht="15" customHeight="1" x14ac:dyDescent="0.2">
      <c r="A1691" s="188"/>
      <c r="C1691" s="189"/>
      <c r="E1691" s="190"/>
      <c r="G1691" s="70"/>
      <c r="H1691" s="70"/>
      <c r="J1691" s="70"/>
      <c r="L1691" s="71"/>
      <c r="N1691" s="65"/>
    </row>
    <row r="1692" spans="1:14" ht="15" customHeight="1" x14ac:dyDescent="0.2">
      <c r="A1692" s="188"/>
      <c r="C1692" s="189"/>
      <c r="E1692" s="190"/>
      <c r="G1692" s="70"/>
      <c r="H1692" s="70"/>
      <c r="J1692" s="70"/>
      <c r="L1692" s="71"/>
      <c r="N1692" s="65"/>
    </row>
    <row r="1693" spans="1:14" ht="15" customHeight="1" x14ac:dyDescent="0.2">
      <c r="A1693" s="188"/>
      <c r="C1693" s="189"/>
      <c r="E1693" s="190"/>
      <c r="G1693" s="70"/>
      <c r="H1693" s="70"/>
      <c r="J1693" s="70"/>
      <c r="L1693" s="71"/>
      <c r="N1693" s="65"/>
    </row>
    <row r="1694" spans="1:14" ht="15" customHeight="1" x14ac:dyDescent="0.2">
      <c r="A1694" s="188"/>
      <c r="C1694" s="189"/>
      <c r="E1694" s="190"/>
      <c r="G1694" s="70"/>
      <c r="H1694" s="70"/>
      <c r="J1694" s="70"/>
      <c r="L1694" s="71"/>
      <c r="N1694" s="65"/>
    </row>
    <row r="1695" spans="1:14" ht="15" customHeight="1" x14ac:dyDescent="0.2">
      <c r="A1695" s="188"/>
      <c r="C1695" s="189"/>
      <c r="E1695" s="190"/>
      <c r="G1695" s="70"/>
      <c r="H1695" s="70"/>
      <c r="J1695" s="70"/>
      <c r="L1695" s="71"/>
      <c r="N1695" s="65"/>
    </row>
    <row r="1696" spans="1:14" ht="15" customHeight="1" x14ac:dyDescent="0.2">
      <c r="A1696" s="188"/>
      <c r="C1696" s="189"/>
      <c r="E1696" s="190"/>
      <c r="G1696" s="70"/>
      <c r="H1696" s="70"/>
      <c r="J1696" s="70"/>
      <c r="L1696" s="71"/>
      <c r="N1696" s="65"/>
    </row>
    <row r="1697" spans="1:14" ht="15" customHeight="1" x14ac:dyDescent="0.2">
      <c r="A1697" s="188"/>
      <c r="C1697" s="189"/>
      <c r="E1697" s="190"/>
      <c r="G1697" s="70"/>
      <c r="H1697" s="70"/>
      <c r="J1697" s="70"/>
      <c r="L1697" s="71"/>
      <c r="N1697" s="65"/>
    </row>
    <row r="1698" spans="1:14" ht="15" customHeight="1" x14ac:dyDescent="0.2">
      <c r="A1698" s="188"/>
      <c r="B1698" s="180"/>
      <c r="C1698" s="189"/>
      <c r="E1698" s="190"/>
      <c r="G1698" s="70"/>
      <c r="H1698" s="70"/>
      <c r="I1698" s="64"/>
      <c r="J1698" s="70"/>
      <c r="K1698" s="64"/>
      <c r="L1698" s="71"/>
      <c r="M1698" s="187"/>
      <c r="N1698" s="65"/>
    </row>
    <row r="1699" spans="1:14" ht="15" customHeight="1" x14ac:dyDescent="0.2">
      <c r="A1699" s="194"/>
      <c r="B1699" s="195"/>
      <c r="C1699" s="196"/>
      <c r="D1699" s="197"/>
      <c r="E1699" s="198"/>
      <c r="F1699" s="199"/>
      <c r="G1699" s="200"/>
      <c r="H1699" s="200"/>
      <c r="I1699" s="201"/>
      <c r="J1699" s="200"/>
      <c r="K1699" s="201"/>
      <c r="L1699" s="202"/>
      <c r="M1699" s="203"/>
      <c r="N1699" s="204"/>
    </row>
  </sheetData>
  <mergeCells count="6">
    <mergeCell ref="A5:A6"/>
    <mergeCell ref="B5:B6"/>
    <mergeCell ref="C5:D6"/>
    <mergeCell ref="E5:E6"/>
    <mergeCell ref="A1:F1"/>
    <mergeCell ref="A2:F2"/>
  </mergeCells>
  <printOptions horizontalCentered="1"/>
  <pageMargins left="0.43307086614173229" right="0.11811023622047245" top="0.23622047244094491" bottom="0.23622047244094491" header="0.15748031496062992" footer="0.15748031496062992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0000"/>
  </sheetPr>
  <dimension ref="A1:N1480"/>
  <sheetViews>
    <sheetView view="pageBreakPreview" zoomScale="90" zoomScaleNormal="85" zoomScaleSheetLayoutView="90" workbookViewId="0">
      <selection activeCell="D39" sqref="D39"/>
    </sheetView>
  </sheetViews>
  <sheetFormatPr defaultRowHeight="15" customHeight="1" x14ac:dyDescent="0.2"/>
  <cols>
    <col min="1" max="1" width="6.140625" style="294" customWidth="1"/>
    <col min="2" max="2" width="83.28515625" style="191" customWidth="1"/>
    <col min="3" max="3" width="11.28515625" style="206" customWidth="1"/>
    <col min="4" max="4" width="8.42578125" style="192" customWidth="1"/>
    <col min="5" max="5" width="14.28515625" style="183" customWidth="1"/>
    <col min="6" max="6" width="18.42578125" style="193" customWidth="1"/>
    <col min="7" max="7" width="11.5703125" style="61" hidden="1" customWidth="1"/>
    <col min="8" max="8" width="53.28515625" style="61" hidden="1" customWidth="1"/>
    <col min="9" max="10" width="0" style="61" hidden="1" customWidth="1"/>
    <col min="11" max="11" width="17.140625" style="61" hidden="1" customWidth="1"/>
    <col min="12" max="12" width="21.28515625" style="62" hidden="1" customWidth="1"/>
    <col min="13" max="13" width="14" style="62" hidden="1" customWidth="1"/>
    <col min="14" max="14" width="9.5703125" style="61" hidden="1" customWidth="1"/>
    <col min="15" max="16384" width="9.140625" style="61"/>
  </cols>
  <sheetData>
    <row r="1" spans="1:14" ht="15" customHeight="1" x14ac:dyDescent="0.2">
      <c r="A1" s="2070" t="s">
        <v>2288</v>
      </c>
      <c r="B1" s="2070"/>
      <c r="C1" s="2070"/>
      <c r="D1" s="2070"/>
      <c r="E1" s="2070"/>
      <c r="F1" s="2070"/>
    </row>
    <row r="2" spans="1:14" ht="15" customHeight="1" x14ac:dyDescent="0.2">
      <c r="A2" s="2071" t="s">
        <v>73</v>
      </c>
      <c r="B2" s="2071"/>
      <c r="C2" s="2071"/>
      <c r="D2" s="2071"/>
      <c r="E2" s="2071"/>
      <c r="F2" s="2071"/>
      <c r="N2" s="70"/>
    </row>
    <row r="3" spans="1:14" ht="15" customHeight="1" x14ac:dyDescent="0.2">
      <c r="A3" s="67"/>
      <c r="B3" s="67"/>
      <c r="C3" s="67"/>
      <c r="D3" s="67"/>
      <c r="E3" s="68"/>
      <c r="F3" s="67"/>
      <c r="N3" s="70"/>
    </row>
    <row r="4" spans="1:14" ht="15" customHeight="1" thickBot="1" x14ac:dyDescent="0.25">
      <c r="A4" s="67"/>
      <c r="B4" s="67"/>
      <c r="C4" s="67"/>
      <c r="D4" s="67"/>
      <c r="E4" s="68"/>
      <c r="F4" s="67"/>
      <c r="N4" s="70"/>
    </row>
    <row r="5" spans="1:14" ht="15" customHeight="1" x14ac:dyDescent="0.2">
      <c r="A5" s="2072" t="s">
        <v>1</v>
      </c>
      <c r="B5" s="2074" t="s">
        <v>850</v>
      </c>
      <c r="C5" s="2076" t="s">
        <v>2</v>
      </c>
      <c r="D5" s="2076"/>
      <c r="E5" s="2078" t="s">
        <v>851</v>
      </c>
      <c r="F5" s="208" t="s">
        <v>852</v>
      </c>
      <c r="J5" s="70"/>
      <c r="L5" s="71"/>
      <c r="N5" s="70"/>
    </row>
    <row r="6" spans="1:14" ht="15" customHeight="1" thickBot="1" x14ac:dyDescent="0.25">
      <c r="A6" s="2073"/>
      <c r="B6" s="2075"/>
      <c r="C6" s="2077"/>
      <c r="D6" s="2077"/>
      <c r="E6" s="2079"/>
      <c r="F6" s="425" t="s">
        <v>853</v>
      </c>
      <c r="J6" s="70"/>
      <c r="L6" s="71"/>
      <c r="N6" s="70"/>
    </row>
    <row r="7" spans="1:14" ht="15" customHeight="1" x14ac:dyDescent="0.2">
      <c r="A7" s="260"/>
      <c r="B7" s="261"/>
      <c r="C7" s="262"/>
      <c r="D7" s="262"/>
      <c r="E7" s="198"/>
      <c r="F7" s="263"/>
      <c r="J7" s="185"/>
      <c r="L7" s="264"/>
      <c r="N7" s="70"/>
    </row>
    <row r="8" spans="1:14" s="88" customFormat="1" ht="15" customHeight="1" x14ac:dyDescent="0.2">
      <c r="A8" s="248" t="s">
        <v>575</v>
      </c>
      <c r="B8" s="127" t="s">
        <v>1757</v>
      </c>
      <c r="C8" s="249">
        <f>C10+C15</f>
        <v>2</v>
      </c>
      <c r="D8" s="250" t="s">
        <v>16</v>
      </c>
      <c r="E8" s="87"/>
      <c r="F8" s="251">
        <f>F10+F15</f>
        <v>10000000</v>
      </c>
      <c r="G8" s="265"/>
      <c r="H8" s="266" t="s">
        <v>1149</v>
      </c>
      <c r="I8" s="266">
        <v>1</v>
      </c>
      <c r="J8" s="266" t="s">
        <v>16</v>
      </c>
      <c r="K8" s="266">
        <v>0</v>
      </c>
      <c r="L8" s="267">
        <v>0</v>
      </c>
      <c r="M8" s="91"/>
      <c r="N8" s="268">
        <f>L8-M8</f>
        <v>0</v>
      </c>
    </row>
    <row r="9" spans="1:14" s="218" customFormat="1" ht="15" customHeight="1" x14ac:dyDescent="0.2">
      <c r="A9" s="255"/>
      <c r="B9" s="140"/>
      <c r="C9" s="271"/>
      <c r="D9" s="245"/>
      <c r="E9" s="117"/>
      <c r="F9" s="230"/>
      <c r="G9" s="219"/>
      <c r="H9" s="272"/>
      <c r="I9" s="272"/>
      <c r="J9" s="272"/>
      <c r="K9" s="272"/>
      <c r="L9" s="232"/>
      <c r="M9" s="221"/>
      <c r="N9" s="273"/>
    </row>
    <row r="10" spans="1:14" s="88" customFormat="1" ht="15" customHeight="1" x14ac:dyDescent="0.2">
      <c r="A10" s="248" t="s">
        <v>1726</v>
      </c>
      <c r="B10" s="127" t="s">
        <v>1755</v>
      </c>
      <c r="C10" s="249">
        <f>SUM(C11:C14)</f>
        <v>1</v>
      </c>
      <c r="D10" s="250" t="s">
        <v>16</v>
      </c>
      <c r="E10" s="87"/>
      <c r="F10" s="251">
        <f>SUM(F11:F14)</f>
        <v>5000000</v>
      </c>
      <c r="G10" s="265"/>
      <c r="H10" s="266" t="s">
        <v>1149</v>
      </c>
      <c r="I10" s="266">
        <v>1</v>
      </c>
      <c r="J10" s="266" t="s">
        <v>16</v>
      </c>
      <c r="K10" s="266">
        <v>0</v>
      </c>
      <c r="L10" s="267">
        <v>0</v>
      </c>
      <c r="M10" s="91"/>
      <c r="N10" s="268">
        <f>L10-M10</f>
        <v>0</v>
      </c>
    </row>
    <row r="11" spans="1:14" s="218" customFormat="1" ht="15" customHeight="1" x14ac:dyDescent="0.2">
      <c r="A11" s="255"/>
      <c r="B11" s="140"/>
      <c r="C11" s="271"/>
      <c r="D11" s="245"/>
      <c r="E11" s="117"/>
      <c r="F11" s="230"/>
      <c r="G11" s="219"/>
      <c r="H11" s="272"/>
      <c r="I11" s="272"/>
      <c r="J11" s="272"/>
      <c r="K11" s="272"/>
      <c r="L11" s="232"/>
      <c r="M11" s="221"/>
      <c r="N11" s="273"/>
    </row>
    <row r="12" spans="1:14" s="218" customFormat="1" ht="15" customHeight="1" x14ac:dyDescent="0.2">
      <c r="A12" s="255">
        <v>1</v>
      </c>
      <c r="B12" s="140" t="s">
        <v>856</v>
      </c>
      <c r="C12" s="271"/>
      <c r="D12" s="245"/>
      <c r="E12" s="117"/>
      <c r="F12" s="230"/>
      <c r="G12" s="219"/>
      <c r="H12" s="272"/>
      <c r="I12" s="272"/>
      <c r="J12" s="272"/>
      <c r="K12" s="272"/>
      <c r="L12" s="232"/>
      <c r="M12" s="221"/>
      <c r="N12" s="273"/>
    </row>
    <row r="13" spans="1:14" s="218" customFormat="1" ht="15" customHeight="1" x14ac:dyDescent="0.2">
      <c r="A13" s="270"/>
      <c r="B13" s="115" t="str">
        <f>'DEFINITIF (APBNP)'!B627</f>
        <v xml:space="preserve">Pembangunan Jembatan Timbang Cipeuyeum Cianjur Tahap I </v>
      </c>
      <c r="C13" s="115">
        <f>'DEFINITIF (APBNP)'!C627</f>
        <v>1</v>
      </c>
      <c r="D13" s="115" t="str">
        <f>'DEFINITIF (APBNP)'!D627</f>
        <v>PKT</v>
      </c>
      <c r="E13" s="115">
        <f>'DEFINITIF (APBNP)'!E627</f>
        <v>5000000</v>
      </c>
      <c r="F13" s="230">
        <f>C13*E13</f>
        <v>5000000</v>
      </c>
      <c r="G13" s="219"/>
      <c r="H13" s="272"/>
      <c r="I13" s="272"/>
      <c r="J13" s="272"/>
      <c r="K13" s="272"/>
      <c r="L13" s="232"/>
      <c r="M13" s="221"/>
      <c r="N13" s="273"/>
    </row>
    <row r="14" spans="1:14" s="218" customFormat="1" ht="15" customHeight="1" x14ac:dyDescent="0.2">
      <c r="A14" s="255"/>
      <c r="B14" s="140"/>
      <c r="C14" s="271"/>
      <c r="D14" s="245"/>
      <c r="E14" s="117"/>
      <c r="F14" s="230"/>
      <c r="G14" s="219"/>
      <c r="H14" s="272"/>
      <c r="I14" s="272"/>
      <c r="J14" s="272"/>
      <c r="K14" s="272"/>
      <c r="L14" s="232"/>
      <c r="M14" s="221"/>
      <c r="N14" s="273"/>
    </row>
    <row r="15" spans="1:14" s="88" customFormat="1" ht="15" customHeight="1" x14ac:dyDescent="0.2">
      <c r="A15" s="248" t="s">
        <v>1729</v>
      </c>
      <c r="B15" s="127" t="s">
        <v>1756</v>
      </c>
      <c r="C15" s="249">
        <f>C17</f>
        <v>1</v>
      </c>
      <c r="D15" s="250" t="s">
        <v>16</v>
      </c>
      <c r="E15" s="87"/>
      <c r="F15" s="251">
        <f>F17</f>
        <v>5000000</v>
      </c>
      <c r="G15" s="265"/>
      <c r="H15" s="266" t="s">
        <v>1149</v>
      </c>
      <c r="I15" s="266">
        <v>1</v>
      </c>
      <c r="J15" s="266" t="s">
        <v>16</v>
      </c>
      <c r="K15" s="266">
        <v>0</v>
      </c>
      <c r="L15" s="267">
        <v>0</v>
      </c>
      <c r="M15" s="91"/>
      <c r="N15" s="268">
        <f>L15-M15</f>
        <v>0</v>
      </c>
    </row>
    <row r="16" spans="1:14" s="218" customFormat="1" ht="15" customHeight="1" x14ac:dyDescent="0.2">
      <c r="A16" s="255"/>
      <c r="B16" s="140"/>
      <c r="C16" s="271"/>
      <c r="D16" s="245"/>
      <c r="E16" s="117"/>
      <c r="F16" s="230"/>
      <c r="G16" s="219"/>
      <c r="H16" s="272"/>
      <c r="I16" s="272"/>
      <c r="J16" s="272"/>
      <c r="K16" s="272"/>
      <c r="L16" s="232"/>
      <c r="M16" s="221"/>
      <c r="N16" s="273"/>
    </row>
    <row r="17" spans="1:14" s="88" customFormat="1" ht="15" customHeight="1" x14ac:dyDescent="0.2">
      <c r="A17" s="248"/>
      <c r="B17" s="607" t="s">
        <v>1749</v>
      </c>
      <c r="C17" s="608">
        <f>C20</f>
        <v>1</v>
      </c>
      <c r="D17" s="609"/>
      <c r="E17" s="610"/>
      <c r="F17" s="611">
        <f>F20</f>
        <v>5000000</v>
      </c>
      <c r="G17" s="265"/>
      <c r="H17" s="266"/>
      <c r="I17" s="266"/>
      <c r="J17" s="266"/>
      <c r="K17" s="266"/>
      <c r="L17" s="267"/>
      <c r="M17" s="91"/>
      <c r="N17" s="268"/>
    </row>
    <row r="18" spans="1:14" s="218" customFormat="1" ht="15" customHeight="1" x14ac:dyDescent="0.2">
      <c r="A18" s="255"/>
      <c r="B18" s="140"/>
      <c r="C18" s="271"/>
      <c r="D18" s="245"/>
      <c r="E18" s="117"/>
      <c r="F18" s="230"/>
      <c r="G18" s="219"/>
      <c r="H18" s="272"/>
      <c r="I18" s="272"/>
      <c r="J18" s="272"/>
      <c r="K18" s="272"/>
      <c r="L18" s="232"/>
      <c r="M18" s="221"/>
      <c r="N18" s="273"/>
    </row>
    <row r="19" spans="1:14" s="218" customFormat="1" ht="15" customHeight="1" x14ac:dyDescent="0.2">
      <c r="A19" s="255">
        <v>1</v>
      </c>
      <c r="B19" s="140" t="s">
        <v>858</v>
      </c>
      <c r="C19" s="271"/>
      <c r="D19" s="245"/>
      <c r="E19" s="117"/>
      <c r="F19" s="230"/>
      <c r="G19" s="219"/>
      <c r="H19" s="272"/>
      <c r="I19" s="272"/>
      <c r="J19" s="272"/>
      <c r="K19" s="272"/>
      <c r="L19" s="232"/>
      <c r="M19" s="221"/>
      <c r="N19" s="273"/>
    </row>
    <row r="20" spans="1:14" s="218" customFormat="1" ht="15" customHeight="1" x14ac:dyDescent="0.2">
      <c r="A20" s="270"/>
      <c r="B20" s="115" t="str">
        <f>'DEFINITIF (APBNP)'!B785</f>
        <v>Pembangunan Jembatan Timbang Widodaren,Ngawi Thp IV</v>
      </c>
      <c r="C20" s="115">
        <f>'DEFINITIF (APBNP)'!C785</f>
        <v>1</v>
      </c>
      <c r="D20" s="115" t="str">
        <f>'DEFINITIF (APBNP)'!D785</f>
        <v>PKT</v>
      </c>
      <c r="E20" s="115">
        <f>'DEFINITIF (APBNP)'!E785</f>
        <v>5000000</v>
      </c>
      <c r="F20" s="230">
        <f>C20*E20</f>
        <v>5000000</v>
      </c>
      <c r="G20" s="219"/>
      <c r="H20" s="272"/>
      <c r="I20" s="272"/>
      <c r="J20" s="272"/>
      <c r="K20" s="272"/>
      <c r="L20" s="232"/>
      <c r="M20" s="221"/>
      <c r="N20" s="273"/>
    </row>
    <row r="21" spans="1:14" s="218" customFormat="1" ht="15" customHeight="1" x14ac:dyDescent="0.2">
      <c r="A21" s="270"/>
      <c r="B21" s="115"/>
      <c r="C21" s="115"/>
      <c r="D21" s="115"/>
      <c r="E21" s="115"/>
      <c r="F21" s="230"/>
      <c r="G21" s="219"/>
      <c r="H21" s="272"/>
      <c r="I21" s="272"/>
      <c r="J21" s="272"/>
      <c r="K21" s="272"/>
      <c r="L21" s="232"/>
      <c r="M21" s="221"/>
      <c r="N21" s="273"/>
    </row>
    <row r="22" spans="1:14" s="88" customFormat="1" ht="15" customHeight="1" x14ac:dyDescent="0.2">
      <c r="A22" s="248"/>
      <c r="B22" s="607" t="s">
        <v>1750</v>
      </c>
      <c r="C22" s="607"/>
      <c r="D22" s="607"/>
      <c r="E22" s="607"/>
      <c r="F22" s="611"/>
      <c r="G22" s="265"/>
      <c r="H22" s="266"/>
      <c r="I22" s="266"/>
      <c r="J22" s="266"/>
      <c r="K22" s="266"/>
      <c r="L22" s="267"/>
      <c r="M22" s="91"/>
      <c r="N22" s="268"/>
    </row>
    <row r="23" spans="1:14" s="279" customFormat="1" ht="15" customHeight="1" x14ac:dyDescent="0.2">
      <c r="A23" s="255"/>
      <c r="B23" s="140"/>
      <c r="C23" s="140"/>
      <c r="D23" s="140"/>
      <c r="E23" s="140"/>
      <c r="F23" s="246"/>
      <c r="G23" s="274"/>
      <c r="H23" s="275"/>
      <c r="I23" s="275"/>
      <c r="J23" s="275"/>
      <c r="K23" s="275"/>
      <c r="L23" s="276"/>
      <c r="M23" s="277"/>
      <c r="N23" s="278"/>
    </row>
    <row r="24" spans="1:14" s="218" customFormat="1" ht="15" customHeight="1" x14ac:dyDescent="0.2">
      <c r="A24" s="270"/>
      <c r="B24" s="115"/>
      <c r="C24" s="115"/>
      <c r="D24" s="115"/>
      <c r="E24" s="115"/>
      <c r="F24" s="230"/>
      <c r="G24" s="219"/>
      <c r="H24" s="272"/>
      <c r="I24" s="272"/>
      <c r="J24" s="272"/>
      <c r="K24" s="272"/>
      <c r="L24" s="232"/>
      <c r="M24" s="221"/>
      <c r="N24" s="273"/>
    </row>
    <row r="25" spans="1:14" s="218" customFormat="1" ht="15" customHeight="1" thickBot="1" x14ac:dyDescent="0.25">
      <c r="A25" s="280"/>
      <c r="B25" s="281"/>
      <c r="C25" s="282"/>
      <c r="D25" s="283"/>
      <c r="E25" s="426"/>
      <c r="F25" s="284"/>
      <c r="G25" s="219"/>
      <c r="H25" s="272"/>
      <c r="I25" s="272"/>
      <c r="J25" s="272"/>
      <c r="K25" s="272"/>
      <c r="L25" s="232"/>
      <c r="M25" s="221"/>
      <c r="N25" s="273"/>
    </row>
    <row r="26" spans="1:14" s="224" customFormat="1" ht="15" customHeight="1" x14ac:dyDescent="0.2">
      <c r="A26" s="1866"/>
      <c r="B26" s="286"/>
      <c r="C26" s="256"/>
      <c r="D26" s="285"/>
      <c r="E26" s="420"/>
      <c r="F26" s="1867"/>
      <c r="H26" s="287"/>
      <c r="I26" s="287"/>
      <c r="J26" s="287"/>
      <c r="K26" s="287"/>
      <c r="L26" s="288"/>
      <c r="M26" s="229"/>
      <c r="N26" s="259"/>
    </row>
    <row r="27" spans="1:14" s="218" customFormat="1" ht="15" customHeight="1" x14ac:dyDescent="0.2">
      <c r="A27" s="1866"/>
      <c r="B27" s="286"/>
      <c r="C27" s="256"/>
      <c r="D27" s="285"/>
      <c r="E27" s="420"/>
      <c r="F27" s="1867"/>
      <c r="G27" s="219"/>
      <c r="H27" s="289"/>
      <c r="I27" s="289"/>
      <c r="J27" s="289"/>
      <c r="K27" s="289"/>
      <c r="L27" s="290"/>
      <c r="M27" s="221"/>
      <c r="N27" s="273"/>
    </row>
    <row r="28" spans="1:14" ht="15" customHeight="1" x14ac:dyDescent="0.2">
      <c r="A28" s="2080" t="s">
        <v>1724</v>
      </c>
      <c r="B28" s="2070"/>
      <c r="C28" s="2070"/>
      <c r="D28" s="2070"/>
      <c r="E28" s="2070"/>
      <c r="F28" s="2081"/>
    </row>
    <row r="29" spans="1:14" ht="15" customHeight="1" x14ac:dyDescent="0.2">
      <c r="A29" s="2082" t="s">
        <v>1739</v>
      </c>
      <c r="B29" s="2083"/>
      <c r="C29" s="2083"/>
      <c r="D29" s="2083"/>
      <c r="E29" s="2083"/>
      <c r="F29" s="2084"/>
      <c r="N29" s="70"/>
    </row>
    <row r="30" spans="1:14" s="218" customFormat="1" ht="15" customHeight="1" thickBot="1" x14ac:dyDescent="0.25">
      <c r="A30" s="1866"/>
      <c r="B30" s="286"/>
      <c r="C30" s="256"/>
      <c r="D30" s="285"/>
      <c r="E30" s="420"/>
      <c r="F30" s="1867"/>
      <c r="G30" s="219"/>
      <c r="H30" s="272"/>
      <c r="I30" s="272"/>
      <c r="J30" s="272"/>
      <c r="K30" s="272"/>
      <c r="L30" s="232"/>
      <c r="M30" s="221"/>
      <c r="N30" s="273"/>
    </row>
    <row r="31" spans="1:14" s="218" customFormat="1" ht="15" customHeight="1" x14ac:dyDescent="0.2">
      <c r="A31" s="2072" t="s">
        <v>1</v>
      </c>
      <c r="B31" s="2074" t="s">
        <v>850</v>
      </c>
      <c r="C31" s="2076" t="s">
        <v>2</v>
      </c>
      <c r="D31" s="2076"/>
      <c r="E31" s="2078" t="s">
        <v>851</v>
      </c>
      <c r="F31" s="208" t="s">
        <v>852</v>
      </c>
      <c r="G31" s="219"/>
      <c r="H31" s="272"/>
      <c r="I31" s="272"/>
      <c r="J31" s="272"/>
      <c r="K31" s="272"/>
      <c r="L31" s="232"/>
      <c r="M31" s="221"/>
      <c r="N31" s="273"/>
    </row>
    <row r="32" spans="1:14" s="218" customFormat="1" ht="15" customHeight="1" thickBot="1" x14ac:dyDescent="0.25">
      <c r="A32" s="2073"/>
      <c r="B32" s="2075"/>
      <c r="C32" s="2077"/>
      <c r="D32" s="2077"/>
      <c r="E32" s="2079"/>
      <c r="F32" s="425" t="s">
        <v>853</v>
      </c>
      <c r="G32" s="219"/>
      <c r="H32" s="272"/>
      <c r="I32" s="272"/>
      <c r="J32" s="272"/>
      <c r="K32" s="272"/>
      <c r="L32" s="232"/>
      <c r="M32" s="221"/>
      <c r="N32" s="273"/>
    </row>
    <row r="33" spans="1:14" s="218" customFormat="1" ht="15" customHeight="1" x14ac:dyDescent="0.2">
      <c r="A33" s="427"/>
      <c r="B33" s="428"/>
      <c r="C33" s="429"/>
      <c r="D33" s="430"/>
      <c r="E33" s="431"/>
      <c r="F33" s="432"/>
      <c r="G33" s="219"/>
      <c r="H33" s="272"/>
      <c r="I33" s="272"/>
      <c r="J33" s="272"/>
      <c r="K33" s="272"/>
      <c r="L33" s="232"/>
      <c r="M33" s="221"/>
      <c r="N33" s="273"/>
    </row>
    <row r="34" spans="1:14" s="562" customFormat="1" ht="15" customHeight="1" x14ac:dyDescent="0.2">
      <c r="A34" s="248" t="s">
        <v>575</v>
      </c>
      <c r="B34" s="127" t="s">
        <v>1758</v>
      </c>
      <c r="C34" s="249">
        <f>C39</f>
        <v>2</v>
      </c>
      <c r="D34" s="250" t="s">
        <v>16</v>
      </c>
      <c r="E34" s="87"/>
      <c r="F34" s="251">
        <f>F36+F39</f>
        <v>9500000</v>
      </c>
      <c r="G34" s="558"/>
      <c r="H34" s="559" t="s">
        <v>1149</v>
      </c>
      <c r="I34" s="559">
        <v>1</v>
      </c>
      <c r="J34" s="559" t="s">
        <v>16</v>
      </c>
      <c r="K34" s="559">
        <v>0</v>
      </c>
      <c r="L34" s="276">
        <v>0</v>
      </c>
      <c r="M34" s="560"/>
      <c r="N34" s="561">
        <f>L34-M34</f>
        <v>0</v>
      </c>
    </row>
    <row r="35" spans="1:14" s="218" customFormat="1" ht="15" customHeight="1" x14ac:dyDescent="0.2">
      <c r="A35" s="255"/>
      <c r="B35" s="140"/>
      <c r="C35" s="271"/>
      <c r="D35" s="245"/>
      <c r="E35" s="117"/>
      <c r="F35" s="230"/>
      <c r="G35" s="219"/>
      <c r="H35" s="272"/>
      <c r="I35" s="272"/>
      <c r="J35" s="272"/>
      <c r="K35" s="272"/>
      <c r="L35" s="232"/>
      <c r="M35" s="221"/>
      <c r="N35" s="273"/>
    </row>
    <row r="36" spans="1:14" s="562" customFormat="1" ht="15" customHeight="1" x14ac:dyDescent="0.2">
      <c r="A36" s="248" t="s">
        <v>1726</v>
      </c>
      <c r="B36" s="127" t="s">
        <v>1759</v>
      </c>
      <c r="C36" s="249">
        <f>SUM(C37:C38)</f>
        <v>0</v>
      </c>
      <c r="D36" s="250" t="s">
        <v>16</v>
      </c>
      <c r="E36" s="87"/>
      <c r="F36" s="251">
        <f>SUM(F37:F38)</f>
        <v>0</v>
      </c>
      <c r="G36" s="558"/>
      <c r="H36" s="559" t="s">
        <v>1149</v>
      </c>
      <c r="I36" s="559">
        <v>1</v>
      </c>
      <c r="J36" s="559" t="s">
        <v>16</v>
      </c>
      <c r="K36" s="559">
        <v>0</v>
      </c>
      <c r="L36" s="276">
        <v>0</v>
      </c>
      <c r="M36" s="560"/>
      <c r="N36" s="561">
        <f>L36-M36</f>
        <v>0</v>
      </c>
    </row>
    <row r="37" spans="1:14" s="218" customFormat="1" ht="15" customHeight="1" x14ac:dyDescent="0.2">
      <c r="A37" s="255"/>
      <c r="B37" s="140"/>
      <c r="C37" s="271"/>
      <c r="D37" s="245"/>
      <c r="E37" s="117"/>
      <c r="F37" s="230"/>
      <c r="G37" s="219"/>
      <c r="H37" s="272"/>
      <c r="I37" s="272"/>
      <c r="J37" s="272"/>
      <c r="K37" s="272"/>
      <c r="L37" s="232"/>
      <c r="M37" s="221"/>
      <c r="N37" s="273"/>
    </row>
    <row r="38" spans="1:14" s="218" customFormat="1" ht="15" customHeight="1" x14ac:dyDescent="0.2">
      <c r="A38" s="255"/>
      <c r="B38" s="140"/>
      <c r="C38" s="271"/>
      <c r="D38" s="245"/>
      <c r="E38" s="117"/>
      <c r="F38" s="230"/>
      <c r="G38" s="219"/>
      <c r="H38" s="272"/>
      <c r="I38" s="272"/>
      <c r="J38" s="272"/>
      <c r="K38" s="272"/>
      <c r="L38" s="232"/>
      <c r="M38" s="221"/>
      <c r="N38" s="273"/>
    </row>
    <row r="39" spans="1:14" s="562" customFormat="1" ht="15" customHeight="1" x14ac:dyDescent="0.2">
      <c r="A39" s="248" t="s">
        <v>1729</v>
      </c>
      <c r="B39" s="127" t="s">
        <v>1760</v>
      </c>
      <c r="C39" s="249">
        <f>C41+C47</f>
        <v>2</v>
      </c>
      <c r="D39" s="250" t="s">
        <v>16</v>
      </c>
      <c r="E39" s="87"/>
      <c r="F39" s="251">
        <f>F41+F47</f>
        <v>9500000</v>
      </c>
      <c r="G39" s="558"/>
      <c r="H39" s="559" t="s">
        <v>1149</v>
      </c>
      <c r="I39" s="559">
        <v>1</v>
      </c>
      <c r="J39" s="559" t="s">
        <v>16</v>
      </c>
      <c r="K39" s="559">
        <v>0</v>
      </c>
      <c r="L39" s="276">
        <v>0</v>
      </c>
      <c r="M39" s="560"/>
      <c r="N39" s="561">
        <f>L39-M39</f>
        <v>0</v>
      </c>
    </row>
    <row r="40" spans="1:14" s="218" customFormat="1" ht="15" customHeight="1" x14ac:dyDescent="0.2">
      <c r="A40" s="255"/>
      <c r="B40" s="140"/>
      <c r="C40" s="271"/>
      <c r="D40" s="245"/>
      <c r="E40" s="117"/>
      <c r="F40" s="230"/>
      <c r="G40" s="219"/>
      <c r="H40" s="272"/>
      <c r="I40" s="272"/>
      <c r="J40" s="272"/>
      <c r="K40" s="272"/>
      <c r="L40" s="232"/>
      <c r="M40" s="221"/>
      <c r="N40" s="273"/>
    </row>
    <row r="41" spans="1:14" s="253" customFormat="1" ht="15" customHeight="1" x14ac:dyDescent="0.2">
      <c r="A41" s="248"/>
      <c r="B41" s="127" t="s">
        <v>1749</v>
      </c>
      <c r="C41" s="433">
        <f>C44</f>
        <v>1</v>
      </c>
      <c r="D41" s="250"/>
      <c r="E41" s="225"/>
      <c r="F41" s="1868">
        <f>F44</f>
        <v>2500000</v>
      </c>
      <c r="G41" s="252"/>
      <c r="H41" s="434"/>
      <c r="I41" s="434"/>
      <c r="J41" s="434"/>
      <c r="K41" s="434"/>
      <c r="L41" s="435"/>
      <c r="M41" s="254"/>
      <c r="N41" s="436"/>
    </row>
    <row r="42" spans="1:14" s="218" customFormat="1" ht="15" customHeight="1" x14ac:dyDescent="0.2">
      <c r="A42" s="255"/>
      <c r="B42" s="140"/>
      <c r="C42" s="271"/>
      <c r="D42" s="245"/>
      <c r="E42" s="117"/>
      <c r="F42" s="230"/>
      <c r="G42" s="219"/>
      <c r="H42" s="272"/>
      <c r="I42" s="272"/>
      <c r="J42" s="272"/>
      <c r="K42" s="272"/>
      <c r="L42" s="232"/>
      <c r="M42" s="221"/>
      <c r="N42" s="273"/>
    </row>
    <row r="43" spans="1:14" s="218" customFormat="1" ht="15" customHeight="1" x14ac:dyDescent="0.2">
      <c r="A43" s="255">
        <v>1</v>
      </c>
      <c r="B43" s="140" t="s">
        <v>1735</v>
      </c>
      <c r="C43" s="271"/>
      <c r="D43" s="245"/>
      <c r="E43" s="117"/>
      <c r="F43" s="230"/>
      <c r="G43" s="219"/>
      <c r="H43" s="272"/>
      <c r="I43" s="272"/>
      <c r="J43" s="272"/>
      <c r="K43" s="272"/>
      <c r="L43" s="232"/>
      <c r="M43" s="221"/>
      <c r="N43" s="273"/>
    </row>
    <row r="44" spans="1:14" s="218" customFormat="1" ht="15" customHeight="1" x14ac:dyDescent="0.2">
      <c r="A44" s="270"/>
      <c r="B44" s="115" t="str">
        <f>'DEFINITIF (APBNP)'!B1096</f>
        <v>Rehabilitasi Jembatan Timbang Anjir Serapat Kab. Kapuas Thp II (termasuk supervisi)</v>
      </c>
      <c r="C44" s="115">
        <f>'DEFINITIF (APBNP)'!C1096</f>
        <v>1</v>
      </c>
      <c r="D44" s="115" t="str">
        <f>'DEFINITIF (APBNP)'!D1096</f>
        <v>PKT</v>
      </c>
      <c r="E44" s="115">
        <f>'DEFINITIF (APBNP)'!E1096</f>
        <v>2500000</v>
      </c>
      <c r="F44" s="230">
        <f>C44*E44</f>
        <v>2500000</v>
      </c>
      <c r="G44" s="219"/>
      <c r="H44" s="272"/>
      <c r="I44" s="272"/>
      <c r="J44" s="272"/>
      <c r="K44" s="272"/>
      <c r="L44" s="232"/>
      <c r="M44" s="221"/>
      <c r="N44" s="273"/>
    </row>
    <row r="45" spans="1:14" s="218" customFormat="1" ht="15" customHeight="1" x14ac:dyDescent="0.2">
      <c r="A45" s="255"/>
      <c r="B45" s="140"/>
      <c r="C45" s="271"/>
      <c r="D45" s="245"/>
      <c r="E45" s="117"/>
      <c r="F45" s="230"/>
      <c r="G45" s="219"/>
      <c r="H45" s="272"/>
      <c r="I45" s="272"/>
      <c r="J45" s="272"/>
      <c r="K45" s="272"/>
      <c r="L45" s="232"/>
      <c r="M45" s="221"/>
      <c r="N45" s="273"/>
    </row>
    <row r="46" spans="1:14" s="218" customFormat="1" ht="15" customHeight="1" x14ac:dyDescent="0.2">
      <c r="A46" s="255"/>
      <c r="B46" s="140"/>
      <c r="C46" s="271"/>
      <c r="D46" s="245"/>
      <c r="E46" s="117"/>
      <c r="F46" s="230"/>
      <c r="G46" s="219"/>
      <c r="H46" s="272"/>
      <c r="I46" s="272"/>
      <c r="J46" s="272"/>
      <c r="K46" s="272"/>
      <c r="L46" s="232"/>
      <c r="M46" s="221"/>
      <c r="N46" s="273"/>
    </row>
    <row r="47" spans="1:14" s="253" customFormat="1" ht="15" customHeight="1" x14ac:dyDescent="0.2">
      <c r="A47" s="248"/>
      <c r="B47" s="127" t="s">
        <v>1750</v>
      </c>
      <c r="C47" s="433">
        <f>SUM(C48:C51)</f>
        <v>1</v>
      </c>
      <c r="D47" s="250"/>
      <c r="E47" s="225"/>
      <c r="F47" s="1868">
        <f>SUM(F48:F51)</f>
        <v>7000000</v>
      </c>
      <c r="G47" s="252"/>
      <c r="H47" s="434"/>
      <c r="I47" s="434"/>
      <c r="J47" s="434"/>
      <c r="K47" s="434"/>
      <c r="L47" s="435"/>
      <c r="M47" s="254"/>
      <c r="N47" s="436"/>
    </row>
    <row r="48" spans="1:14" s="218" customFormat="1" ht="15" customHeight="1" x14ac:dyDescent="0.2">
      <c r="A48" s="255"/>
      <c r="B48" s="140"/>
      <c r="C48" s="271"/>
      <c r="D48" s="245"/>
      <c r="E48" s="117"/>
      <c r="F48" s="230"/>
      <c r="G48" s="219"/>
      <c r="H48" s="272"/>
      <c r="I48" s="272"/>
      <c r="J48" s="272"/>
      <c r="K48" s="272"/>
      <c r="L48" s="232"/>
      <c r="M48" s="221"/>
      <c r="N48" s="273"/>
    </row>
    <row r="49" spans="1:14" s="218" customFormat="1" ht="15" customHeight="1" x14ac:dyDescent="0.2">
      <c r="A49" s="255">
        <v>1</v>
      </c>
      <c r="B49" s="140" t="s">
        <v>857</v>
      </c>
      <c r="C49" s="271"/>
      <c r="D49" s="245"/>
      <c r="E49" s="117"/>
      <c r="F49" s="230"/>
      <c r="G49" s="219"/>
      <c r="H49" s="272"/>
      <c r="I49" s="272"/>
      <c r="J49" s="272"/>
      <c r="K49" s="272"/>
      <c r="L49" s="232"/>
      <c r="M49" s="221"/>
      <c r="N49" s="273"/>
    </row>
    <row r="50" spans="1:14" s="218" customFormat="1" ht="15" customHeight="1" x14ac:dyDescent="0.2">
      <c r="A50" s="255"/>
      <c r="B50" s="115" t="str">
        <f>'DEFINITIF (APBNP)'!B683</f>
        <v>JT Sarang Kab. Rembang  (selesai)</v>
      </c>
      <c r="C50" s="115">
        <f>'DEFINITIF (APBNP)'!C683</f>
        <v>1</v>
      </c>
      <c r="D50" s="115" t="str">
        <f>'DEFINITIF (APBNP)'!D683</f>
        <v>PKT</v>
      </c>
      <c r="E50" s="115">
        <f>'DEFINITIF (APBNP)'!E683</f>
        <v>7000000</v>
      </c>
      <c r="F50" s="230">
        <f>C50*E50</f>
        <v>7000000</v>
      </c>
      <c r="G50" s="219"/>
      <c r="H50" s="272"/>
      <c r="I50" s="272"/>
      <c r="J50" s="272"/>
      <c r="K50" s="272"/>
      <c r="L50" s="232"/>
      <c r="M50" s="221"/>
      <c r="N50" s="273"/>
    </row>
    <row r="51" spans="1:14" s="218" customFormat="1" ht="15" customHeight="1" thickBot="1" x14ac:dyDescent="0.25">
      <c r="A51" s="437"/>
      <c r="B51" s="178"/>
      <c r="C51" s="178"/>
      <c r="D51" s="178"/>
      <c r="E51" s="178"/>
      <c r="F51" s="284"/>
      <c r="G51" s="219"/>
      <c r="H51" s="272"/>
      <c r="I51" s="272"/>
      <c r="J51" s="272"/>
      <c r="K51" s="272"/>
      <c r="L51" s="232"/>
      <c r="M51" s="221"/>
      <c r="N51" s="273"/>
    </row>
    <row r="52" spans="1:14" s="224" customFormat="1" ht="15" customHeight="1" x14ac:dyDescent="0.2">
      <c r="A52" s="1906"/>
      <c r="B52" s="1907"/>
      <c r="C52" s="1908"/>
      <c r="D52" s="1906"/>
      <c r="E52" s="1909"/>
      <c r="F52" s="1908"/>
      <c r="H52" s="287"/>
      <c r="I52" s="287"/>
      <c r="J52" s="287"/>
      <c r="K52" s="287"/>
      <c r="L52" s="288"/>
      <c r="M52" s="229"/>
      <c r="N52" s="259"/>
    </row>
    <row r="53" spans="1:14" s="224" customFormat="1" ht="15" customHeight="1" x14ac:dyDescent="0.2">
      <c r="A53" s="285"/>
      <c r="B53" s="286"/>
      <c r="C53" s="256"/>
      <c r="D53" s="285"/>
      <c r="E53" s="420"/>
      <c r="F53" s="256"/>
      <c r="H53" s="258"/>
      <c r="I53" s="258"/>
      <c r="J53" s="258"/>
      <c r="K53" s="258"/>
      <c r="L53" s="256"/>
      <c r="M53" s="229"/>
      <c r="N53" s="259"/>
    </row>
    <row r="54" spans="1:14" s="442" customFormat="1" ht="15" customHeight="1" x14ac:dyDescent="0.2">
      <c r="A54" s="1869"/>
      <c r="B54" s="438"/>
      <c r="C54" s="439"/>
      <c r="D54" s="440"/>
      <c r="E54" s="441"/>
      <c r="F54" s="1870"/>
      <c r="L54" s="443"/>
      <c r="M54" s="443"/>
    </row>
    <row r="55" spans="1:14" s="442" customFormat="1" ht="15" customHeight="1" x14ac:dyDescent="0.2">
      <c r="A55" s="1869"/>
      <c r="B55" s="438"/>
      <c r="C55" s="439"/>
      <c r="D55" s="440"/>
      <c r="E55" s="441"/>
      <c r="F55" s="1870"/>
      <c r="L55" s="443"/>
      <c r="M55" s="443"/>
    </row>
    <row r="56" spans="1:14" s="442" customFormat="1" ht="15" customHeight="1" x14ac:dyDescent="0.2">
      <c r="A56" s="1869"/>
      <c r="B56" s="438"/>
      <c r="C56" s="439"/>
      <c r="D56" s="440"/>
      <c r="E56" s="441"/>
      <c r="F56" s="1870"/>
      <c r="L56" s="443"/>
      <c r="M56" s="443"/>
    </row>
    <row r="57" spans="1:14" s="442" customFormat="1" ht="15" customHeight="1" x14ac:dyDescent="0.2">
      <c r="A57" s="1869"/>
      <c r="B57" s="438"/>
      <c r="C57" s="439"/>
      <c r="D57" s="440"/>
      <c r="E57" s="441"/>
      <c r="F57" s="1870"/>
      <c r="L57" s="443"/>
      <c r="M57" s="443"/>
    </row>
    <row r="58" spans="1:14" s="64" customFormat="1" ht="15" customHeight="1" x14ac:dyDescent="0.2">
      <c r="A58" s="1856"/>
      <c r="B58" s="180"/>
      <c r="C58" s="181"/>
      <c r="D58" s="182"/>
      <c r="E58" s="183"/>
      <c r="F58" s="1857"/>
      <c r="L58" s="187"/>
      <c r="M58" s="187"/>
    </row>
    <row r="59" spans="1:14" s="64" customFormat="1" ht="15" customHeight="1" x14ac:dyDescent="0.2">
      <c r="A59" s="1856"/>
      <c r="B59" s="180"/>
      <c r="C59" s="181"/>
      <c r="D59" s="182"/>
      <c r="E59" s="183"/>
      <c r="F59" s="1857"/>
      <c r="L59" s="187"/>
      <c r="M59" s="187"/>
    </row>
    <row r="60" spans="1:14" s="64" customFormat="1" ht="15" customHeight="1" x14ac:dyDescent="0.2">
      <c r="A60" s="1856"/>
      <c r="B60" s="180"/>
      <c r="C60" s="181"/>
      <c r="D60" s="182"/>
      <c r="E60" s="183"/>
      <c r="F60" s="1857"/>
      <c r="L60" s="187"/>
      <c r="M60" s="187"/>
    </row>
    <row r="61" spans="1:14" s="64" customFormat="1" ht="15" customHeight="1" x14ac:dyDescent="0.2">
      <c r="A61" s="1856"/>
      <c r="B61" s="180"/>
      <c r="C61" s="181"/>
      <c r="D61" s="182"/>
      <c r="E61" s="183"/>
      <c r="F61" s="1857"/>
      <c r="L61" s="187"/>
      <c r="M61" s="187"/>
    </row>
    <row r="62" spans="1:14" s="64" customFormat="1" ht="15" customHeight="1" x14ac:dyDescent="0.2">
      <c r="A62" s="1856"/>
      <c r="B62" s="180"/>
      <c r="C62" s="181"/>
      <c r="D62" s="182"/>
      <c r="E62" s="183"/>
      <c r="F62" s="1857"/>
      <c r="L62" s="187"/>
      <c r="M62" s="187"/>
    </row>
    <row r="63" spans="1:14" s="64" customFormat="1" ht="15" customHeight="1" x14ac:dyDescent="0.2">
      <c r="A63" s="1856"/>
      <c r="B63" s="180"/>
      <c r="C63" s="181"/>
      <c r="D63" s="182"/>
      <c r="E63" s="183"/>
      <c r="F63" s="1857"/>
      <c r="L63" s="187"/>
      <c r="M63" s="187"/>
    </row>
    <row r="64" spans="1:14" s="64" customFormat="1" ht="15" customHeight="1" x14ac:dyDescent="0.2">
      <c r="A64" s="1856"/>
      <c r="B64" s="180"/>
      <c r="C64" s="181"/>
      <c r="D64" s="182"/>
      <c r="E64" s="183"/>
      <c r="F64" s="1857"/>
      <c r="L64" s="187"/>
      <c r="M64" s="187"/>
    </row>
    <row r="65" spans="1:13" s="64" customFormat="1" ht="15" customHeight="1" x14ac:dyDescent="0.2">
      <c r="A65" s="1856"/>
      <c r="B65" s="180"/>
      <c r="C65" s="181"/>
      <c r="D65" s="182"/>
      <c r="E65" s="183"/>
      <c r="F65" s="1857"/>
      <c r="L65" s="187"/>
      <c r="M65" s="187"/>
    </row>
    <row r="66" spans="1:13" s="64" customFormat="1" ht="15" customHeight="1" x14ac:dyDescent="0.2">
      <c r="A66" s="1856"/>
      <c r="B66" s="180"/>
      <c r="C66" s="181"/>
      <c r="D66" s="182"/>
      <c r="E66" s="183"/>
      <c r="F66" s="1857"/>
      <c r="L66" s="187"/>
      <c r="M66" s="187"/>
    </row>
    <row r="67" spans="1:13" s="64" customFormat="1" ht="15" customHeight="1" x14ac:dyDescent="0.2">
      <c r="A67" s="1856"/>
      <c r="B67" s="180"/>
      <c r="C67" s="181"/>
      <c r="D67" s="182"/>
      <c r="E67" s="183"/>
      <c r="F67" s="1857"/>
      <c r="L67" s="187"/>
      <c r="M67" s="187"/>
    </row>
    <row r="68" spans="1:13" s="64" customFormat="1" ht="15" customHeight="1" x14ac:dyDescent="0.2">
      <c r="A68" s="1856"/>
      <c r="B68" s="180"/>
      <c r="C68" s="181"/>
      <c r="D68" s="182"/>
      <c r="E68" s="183"/>
      <c r="F68" s="1857"/>
      <c r="L68" s="187"/>
      <c r="M68" s="187"/>
    </row>
    <row r="69" spans="1:13" s="64" customFormat="1" ht="15" customHeight="1" x14ac:dyDescent="0.2">
      <c r="A69" s="1856"/>
      <c r="B69" s="180"/>
      <c r="C69" s="181"/>
      <c r="D69" s="182"/>
      <c r="E69" s="183"/>
      <c r="F69" s="1857"/>
      <c r="L69" s="187"/>
      <c r="M69" s="187"/>
    </row>
    <row r="70" spans="1:13" s="64" customFormat="1" ht="15" customHeight="1" x14ac:dyDescent="0.2">
      <c r="A70" s="1856"/>
      <c r="B70" s="180"/>
      <c r="C70" s="181"/>
      <c r="D70" s="182"/>
      <c r="E70" s="183"/>
      <c r="F70" s="1857"/>
      <c r="L70" s="187"/>
      <c r="M70" s="187"/>
    </row>
    <row r="71" spans="1:13" s="64" customFormat="1" ht="15" customHeight="1" x14ac:dyDescent="0.2">
      <c r="A71" s="1856"/>
      <c r="B71" s="180"/>
      <c r="C71" s="181"/>
      <c r="D71" s="182"/>
      <c r="E71" s="183"/>
      <c r="F71" s="1857"/>
      <c r="L71" s="187"/>
      <c r="M71" s="187"/>
    </row>
    <row r="72" spans="1:13" s="64" customFormat="1" ht="15" customHeight="1" x14ac:dyDescent="0.2">
      <c r="A72" s="1856"/>
      <c r="B72" s="180"/>
      <c r="C72" s="181"/>
      <c r="D72" s="182"/>
      <c r="E72" s="183"/>
      <c r="F72" s="1857"/>
      <c r="L72" s="187"/>
      <c r="M72" s="187"/>
    </row>
    <row r="73" spans="1:13" s="64" customFormat="1" ht="15" customHeight="1" x14ac:dyDescent="0.2">
      <c r="A73" s="1856"/>
      <c r="B73" s="180"/>
      <c r="C73" s="181"/>
      <c r="D73" s="182"/>
      <c r="E73" s="183"/>
      <c r="F73" s="1857"/>
      <c r="L73" s="187"/>
      <c r="M73" s="187"/>
    </row>
    <row r="74" spans="1:13" s="64" customFormat="1" ht="15" customHeight="1" x14ac:dyDescent="0.2">
      <c r="A74" s="1856"/>
      <c r="B74" s="180"/>
      <c r="C74" s="181"/>
      <c r="D74" s="182"/>
      <c r="E74" s="183"/>
      <c r="F74" s="1857"/>
      <c r="L74" s="187"/>
      <c r="M74" s="187"/>
    </row>
    <row r="75" spans="1:13" s="64" customFormat="1" ht="15" customHeight="1" x14ac:dyDescent="0.2">
      <c r="A75" s="1856"/>
      <c r="B75" s="180"/>
      <c r="C75" s="181"/>
      <c r="D75" s="182"/>
      <c r="E75" s="183"/>
      <c r="F75" s="1857"/>
      <c r="L75" s="187"/>
      <c r="M75" s="187"/>
    </row>
    <row r="76" spans="1:13" s="64" customFormat="1" ht="15" customHeight="1" x14ac:dyDescent="0.2">
      <c r="A76" s="1856"/>
      <c r="B76" s="180"/>
      <c r="C76" s="181"/>
      <c r="D76" s="182"/>
      <c r="E76" s="183"/>
      <c r="F76" s="1857"/>
      <c r="L76" s="187"/>
      <c r="M76" s="187"/>
    </row>
    <row r="77" spans="1:13" s="64" customFormat="1" ht="15" customHeight="1" x14ac:dyDescent="0.2">
      <c r="A77" s="1856"/>
      <c r="B77" s="180"/>
      <c r="C77" s="181"/>
      <c r="D77" s="182"/>
      <c r="E77" s="183"/>
      <c r="F77" s="1857"/>
      <c r="L77" s="187"/>
      <c r="M77" s="187"/>
    </row>
    <row r="78" spans="1:13" s="64" customFormat="1" ht="15" customHeight="1" x14ac:dyDescent="0.2">
      <c r="A78" s="1856"/>
      <c r="B78" s="180"/>
      <c r="C78" s="181"/>
      <c r="D78" s="182"/>
      <c r="E78" s="183"/>
      <c r="F78" s="1857"/>
      <c r="L78" s="187"/>
      <c r="M78" s="187"/>
    </row>
    <row r="79" spans="1:13" s="64" customFormat="1" ht="15" customHeight="1" x14ac:dyDescent="0.2">
      <c r="A79" s="1856"/>
      <c r="B79" s="180"/>
      <c r="C79" s="181"/>
      <c r="D79" s="182"/>
      <c r="E79" s="183"/>
      <c r="F79" s="1857"/>
      <c r="L79" s="187"/>
      <c r="M79" s="187"/>
    </row>
    <row r="80" spans="1:13" s="64" customFormat="1" ht="15" customHeight="1" x14ac:dyDescent="0.2">
      <c r="A80" s="1856"/>
      <c r="B80" s="180"/>
      <c r="C80" s="181"/>
      <c r="D80" s="182"/>
      <c r="E80" s="183"/>
      <c r="F80" s="1857"/>
      <c r="L80" s="187"/>
      <c r="M80" s="187"/>
    </row>
    <row r="81" spans="1:13" s="64" customFormat="1" ht="15" customHeight="1" x14ac:dyDescent="0.2">
      <c r="A81" s="1856"/>
      <c r="B81" s="180"/>
      <c r="C81" s="181"/>
      <c r="D81" s="182"/>
      <c r="E81" s="183"/>
      <c r="F81" s="1857"/>
      <c r="L81" s="187"/>
      <c r="M81" s="187"/>
    </row>
    <row r="82" spans="1:13" s="64" customFormat="1" ht="15" customHeight="1" x14ac:dyDescent="0.2">
      <c r="A82" s="1856"/>
      <c r="B82" s="180"/>
      <c r="C82" s="181"/>
      <c r="D82" s="182"/>
      <c r="E82" s="183"/>
      <c r="F82" s="1857"/>
      <c r="L82" s="187"/>
      <c r="M82" s="187"/>
    </row>
    <row r="83" spans="1:13" s="64" customFormat="1" ht="15" customHeight="1" x14ac:dyDescent="0.2">
      <c r="A83" s="1856"/>
      <c r="B83" s="180"/>
      <c r="C83" s="181"/>
      <c r="D83" s="182"/>
      <c r="E83" s="183"/>
      <c r="F83" s="1857"/>
      <c r="L83" s="187"/>
      <c r="M83" s="187"/>
    </row>
    <row r="84" spans="1:13" s="64" customFormat="1" ht="15" customHeight="1" x14ac:dyDescent="0.2">
      <c r="A84" s="1856"/>
      <c r="B84" s="180"/>
      <c r="C84" s="181"/>
      <c r="D84" s="182"/>
      <c r="E84" s="183"/>
      <c r="F84" s="1857"/>
      <c r="L84" s="187"/>
      <c r="M84" s="187"/>
    </row>
    <row r="85" spans="1:13" s="64" customFormat="1" ht="15" customHeight="1" x14ac:dyDescent="0.2">
      <c r="A85" s="1856"/>
      <c r="B85" s="180"/>
      <c r="C85" s="181"/>
      <c r="D85" s="182"/>
      <c r="E85" s="183"/>
      <c r="F85" s="1857"/>
      <c r="L85" s="187"/>
      <c r="M85" s="187"/>
    </row>
    <row r="86" spans="1:13" s="64" customFormat="1" ht="15" customHeight="1" x14ac:dyDescent="0.2">
      <c r="A86" s="1856"/>
      <c r="B86" s="180"/>
      <c r="C86" s="181"/>
      <c r="D86" s="182"/>
      <c r="E86" s="183"/>
      <c r="F86" s="1857"/>
      <c r="L86" s="187"/>
      <c r="M86" s="187"/>
    </row>
    <row r="87" spans="1:13" s="64" customFormat="1" ht="15" customHeight="1" x14ac:dyDescent="0.2">
      <c r="A87" s="1856"/>
      <c r="B87" s="180"/>
      <c r="C87" s="181"/>
      <c r="D87" s="182"/>
      <c r="E87" s="183"/>
      <c r="F87" s="1857"/>
      <c r="L87" s="187"/>
      <c r="M87" s="187"/>
    </row>
    <row r="88" spans="1:13" s="64" customFormat="1" ht="15" customHeight="1" x14ac:dyDescent="0.2">
      <c r="A88" s="1856"/>
      <c r="B88" s="180"/>
      <c r="C88" s="181"/>
      <c r="D88" s="182"/>
      <c r="E88" s="183"/>
      <c r="F88" s="1857"/>
      <c r="L88" s="187"/>
      <c r="M88" s="187"/>
    </row>
    <row r="89" spans="1:13" s="64" customFormat="1" ht="15" customHeight="1" x14ac:dyDescent="0.2">
      <c r="A89" s="1856"/>
      <c r="B89" s="180"/>
      <c r="C89" s="181"/>
      <c r="D89" s="182"/>
      <c r="E89" s="183"/>
      <c r="F89" s="1857"/>
      <c r="L89" s="187"/>
      <c r="M89" s="187"/>
    </row>
    <row r="90" spans="1:13" s="64" customFormat="1" ht="15" customHeight="1" x14ac:dyDescent="0.2">
      <c r="A90" s="1856"/>
      <c r="B90" s="180"/>
      <c r="C90" s="181"/>
      <c r="D90" s="182"/>
      <c r="E90" s="183"/>
      <c r="F90" s="1857"/>
      <c r="L90" s="187"/>
      <c r="M90" s="187"/>
    </row>
    <row r="91" spans="1:13" s="64" customFormat="1" ht="15" customHeight="1" x14ac:dyDescent="0.2">
      <c r="A91" s="1856"/>
      <c r="B91" s="180"/>
      <c r="C91" s="181"/>
      <c r="D91" s="182"/>
      <c r="E91" s="183"/>
      <c r="F91" s="1857"/>
      <c r="L91" s="187"/>
      <c r="M91" s="187"/>
    </row>
    <row r="92" spans="1:13" s="64" customFormat="1" ht="15" customHeight="1" x14ac:dyDescent="0.2">
      <c r="A92" s="1856"/>
      <c r="B92" s="180"/>
      <c r="C92" s="181"/>
      <c r="D92" s="182"/>
      <c r="E92" s="183"/>
      <c r="F92" s="1857"/>
      <c r="L92" s="187"/>
      <c r="M92" s="187"/>
    </row>
    <row r="93" spans="1:13" s="64" customFormat="1" ht="15" customHeight="1" x14ac:dyDescent="0.2">
      <c r="A93" s="1856"/>
      <c r="B93" s="180"/>
      <c r="C93" s="181"/>
      <c r="D93" s="182"/>
      <c r="E93" s="183"/>
      <c r="F93" s="1857"/>
      <c r="L93" s="187"/>
      <c r="M93" s="187"/>
    </row>
    <row r="94" spans="1:13" s="64" customFormat="1" ht="15" customHeight="1" x14ac:dyDescent="0.2">
      <c r="A94" s="1856"/>
      <c r="B94" s="180"/>
      <c r="C94" s="181"/>
      <c r="D94" s="182"/>
      <c r="E94" s="183"/>
      <c r="F94" s="1857"/>
      <c r="L94" s="187"/>
      <c r="M94" s="187"/>
    </row>
    <row r="95" spans="1:13" s="64" customFormat="1" ht="15" customHeight="1" x14ac:dyDescent="0.2">
      <c r="A95" s="1856"/>
      <c r="B95" s="180"/>
      <c r="C95" s="181"/>
      <c r="D95" s="182"/>
      <c r="E95" s="183"/>
      <c r="F95" s="1857"/>
      <c r="L95" s="187"/>
      <c r="M95" s="187"/>
    </row>
    <row r="96" spans="1:13" s="64" customFormat="1" ht="15" customHeight="1" x14ac:dyDescent="0.2">
      <c r="A96" s="1856"/>
      <c r="B96" s="180"/>
      <c r="C96" s="181"/>
      <c r="D96" s="182"/>
      <c r="E96" s="183"/>
      <c r="F96" s="1857"/>
      <c r="L96" s="187"/>
      <c r="M96" s="187"/>
    </row>
    <row r="97" spans="1:13" s="64" customFormat="1" ht="15" customHeight="1" x14ac:dyDescent="0.2">
      <c r="A97" s="1856"/>
      <c r="B97" s="180"/>
      <c r="C97" s="181"/>
      <c r="D97" s="182"/>
      <c r="E97" s="183"/>
      <c r="F97" s="1857"/>
      <c r="L97" s="187"/>
      <c r="M97" s="187"/>
    </row>
    <row r="98" spans="1:13" s="64" customFormat="1" ht="15" customHeight="1" x14ac:dyDescent="0.2">
      <c r="A98" s="1856"/>
      <c r="B98" s="180"/>
      <c r="C98" s="181"/>
      <c r="D98" s="182"/>
      <c r="E98" s="183"/>
      <c r="F98" s="1857"/>
      <c r="L98" s="187"/>
      <c r="M98" s="187"/>
    </row>
    <row r="99" spans="1:13" s="64" customFormat="1" ht="15" customHeight="1" x14ac:dyDescent="0.2">
      <c r="A99" s="1856"/>
      <c r="B99" s="180"/>
      <c r="C99" s="181"/>
      <c r="D99" s="182"/>
      <c r="E99" s="183"/>
      <c r="F99" s="1857"/>
      <c r="L99" s="187"/>
      <c r="M99" s="187"/>
    </row>
    <row r="100" spans="1:13" s="64" customFormat="1" ht="15" customHeight="1" x14ac:dyDescent="0.2">
      <c r="A100" s="1856"/>
      <c r="B100" s="180"/>
      <c r="C100" s="181"/>
      <c r="D100" s="182"/>
      <c r="E100" s="183"/>
      <c r="F100" s="1857"/>
      <c r="L100" s="187"/>
      <c r="M100" s="187"/>
    </row>
    <row r="101" spans="1:13" s="64" customFormat="1" ht="15" customHeight="1" x14ac:dyDescent="0.2">
      <c r="A101" s="1856"/>
      <c r="B101" s="180"/>
      <c r="C101" s="181"/>
      <c r="D101" s="182"/>
      <c r="E101" s="183"/>
      <c r="F101" s="1857"/>
      <c r="L101" s="187"/>
      <c r="M101" s="187"/>
    </row>
    <row r="102" spans="1:13" s="64" customFormat="1" ht="15" customHeight="1" x14ac:dyDescent="0.2">
      <c r="A102" s="1856"/>
      <c r="B102" s="180"/>
      <c r="C102" s="181"/>
      <c r="D102" s="182"/>
      <c r="E102" s="183"/>
      <c r="F102" s="1857"/>
      <c r="L102" s="187"/>
      <c r="M102" s="187"/>
    </row>
    <row r="103" spans="1:13" s="64" customFormat="1" ht="15" customHeight="1" x14ac:dyDescent="0.2">
      <c r="A103" s="1856"/>
      <c r="B103" s="180"/>
      <c r="C103" s="181"/>
      <c r="D103" s="182"/>
      <c r="E103" s="183"/>
      <c r="F103" s="1857"/>
      <c r="L103" s="187"/>
      <c r="M103" s="187"/>
    </row>
    <row r="104" spans="1:13" s="64" customFormat="1" ht="15" customHeight="1" x14ac:dyDescent="0.2">
      <c r="A104" s="1856"/>
      <c r="B104" s="180"/>
      <c r="C104" s="181"/>
      <c r="D104" s="182"/>
      <c r="E104" s="183"/>
      <c r="F104" s="1857"/>
      <c r="L104" s="187"/>
      <c r="M104" s="187"/>
    </row>
    <row r="105" spans="1:13" s="64" customFormat="1" ht="15" customHeight="1" x14ac:dyDescent="0.2">
      <c r="A105" s="1856"/>
      <c r="B105" s="180"/>
      <c r="C105" s="181"/>
      <c r="D105" s="182"/>
      <c r="E105" s="183"/>
      <c r="F105" s="1857"/>
      <c r="L105" s="187"/>
      <c r="M105" s="187"/>
    </row>
    <row r="106" spans="1:13" s="64" customFormat="1" ht="15" customHeight="1" x14ac:dyDescent="0.2">
      <c r="A106" s="1856"/>
      <c r="B106" s="180"/>
      <c r="C106" s="181"/>
      <c r="D106" s="182"/>
      <c r="E106" s="183"/>
      <c r="F106" s="1857"/>
      <c r="L106" s="187"/>
      <c r="M106" s="187"/>
    </row>
    <row r="107" spans="1:13" s="64" customFormat="1" ht="15" customHeight="1" x14ac:dyDescent="0.2">
      <c r="A107" s="1856"/>
      <c r="B107" s="180"/>
      <c r="C107" s="181"/>
      <c r="D107" s="182"/>
      <c r="E107" s="183"/>
      <c r="F107" s="1857"/>
      <c r="L107" s="187"/>
      <c r="M107" s="187"/>
    </row>
    <row r="108" spans="1:13" s="64" customFormat="1" ht="15" customHeight="1" x14ac:dyDescent="0.2">
      <c r="A108" s="1856"/>
      <c r="B108" s="180"/>
      <c r="C108" s="181"/>
      <c r="D108" s="182"/>
      <c r="E108" s="183"/>
      <c r="F108" s="1857"/>
      <c r="L108" s="187"/>
      <c r="M108" s="187"/>
    </row>
    <row r="109" spans="1:13" s="64" customFormat="1" ht="15" customHeight="1" x14ac:dyDescent="0.2">
      <c r="A109" s="1856"/>
      <c r="B109" s="180"/>
      <c r="C109" s="181"/>
      <c r="D109" s="182"/>
      <c r="E109" s="183"/>
      <c r="F109" s="1857"/>
      <c r="L109" s="187"/>
      <c r="M109" s="187"/>
    </row>
    <row r="110" spans="1:13" s="64" customFormat="1" ht="15" customHeight="1" x14ac:dyDescent="0.2">
      <c r="A110" s="1856"/>
      <c r="B110" s="180"/>
      <c r="C110" s="181"/>
      <c r="D110" s="182"/>
      <c r="E110" s="183"/>
      <c r="F110" s="1857"/>
      <c r="L110" s="187"/>
      <c r="M110" s="187"/>
    </row>
    <row r="111" spans="1:13" s="64" customFormat="1" ht="15" customHeight="1" x14ac:dyDescent="0.2">
      <c r="A111" s="1856"/>
      <c r="B111" s="180"/>
      <c r="C111" s="181"/>
      <c r="D111" s="182"/>
      <c r="E111" s="183"/>
      <c r="F111" s="1857"/>
      <c r="L111" s="187"/>
      <c r="M111" s="187"/>
    </row>
    <row r="112" spans="1:13" s="64" customFormat="1" ht="15" customHeight="1" x14ac:dyDescent="0.2">
      <c r="A112" s="1856"/>
      <c r="B112" s="180"/>
      <c r="C112" s="181"/>
      <c r="D112" s="182"/>
      <c r="E112" s="183"/>
      <c r="F112" s="1857"/>
      <c r="L112" s="187"/>
      <c r="M112" s="187"/>
    </row>
    <row r="113" spans="1:13" s="64" customFormat="1" ht="15" customHeight="1" x14ac:dyDescent="0.2">
      <c r="A113" s="1856"/>
      <c r="B113" s="180"/>
      <c r="C113" s="181"/>
      <c r="D113" s="182"/>
      <c r="E113" s="183"/>
      <c r="F113" s="1857"/>
      <c r="L113" s="187"/>
      <c r="M113" s="187"/>
    </row>
    <row r="114" spans="1:13" s="64" customFormat="1" ht="15" customHeight="1" x14ac:dyDescent="0.2">
      <c r="A114" s="1856"/>
      <c r="B114" s="180"/>
      <c r="C114" s="181"/>
      <c r="D114" s="182"/>
      <c r="E114" s="183"/>
      <c r="F114" s="1857"/>
      <c r="L114" s="187"/>
      <c r="M114" s="187"/>
    </row>
    <row r="115" spans="1:13" s="64" customFormat="1" ht="15" customHeight="1" x14ac:dyDescent="0.2">
      <c r="A115" s="1856"/>
      <c r="B115" s="180"/>
      <c r="C115" s="181"/>
      <c r="D115" s="182"/>
      <c r="E115" s="183"/>
      <c r="F115" s="1857"/>
      <c r="L115" s="187"/>
      <c r="M115" s="187"/>
    </row>
    <row r="116" spans="1:13" s="64" customFormat="1" ht="15" customHeight="1" x14ac:dyDescent="0.2">
      <c r="A116" s="1856"/>
      <c r="B116" s="180"/>
      <c r="C116" s="181"/>
      <c r="D116" s="182"/>
      <c r="E116" s="183"/>
      <c r="F116" s="1857"/>
      <c r="L116" s="187"/>
      <c r="M116" s="187"/>
    </row>
    <row r="117" spans="1:13" s="64" customFormat="1" ht="15" customHeight="1" x14ac:dyDescent="0.2">
      <c r="A117" s="1856"/>
      <c r="B117" s="180"/>
      <c r="C117" s="181"/>
      <c r="D117" s="182"/>
      <c r="E117" s="183"/>
      <c r="F117" s="1857"/>
      <c r="L117" s="187"/>
      <c r="M117" s="187"/>
    </row>
    <row r="118" spans="1:13" s="64" customFormat="1" ht="15" customHeight="1" x14ac:dyDescent="0.2">
      <c r="A118" s="1856"/>
      <c r="B118" s="180"/>
      <c r="C118" s="181"/>
      <c r="D118" s="182"/>
      <c r="E118" s="183"/>
      <c r="F118" s="1857"/>
      <c r="L118" s="187"/>
      <c r="M118" s="187"/>
    </row>
    <row r="119" spans="1:13" s="64" customFormat="1" ht="15" customHeight="1" x14ac:dyDescent="0.2">
      <c r="A119" s="1856"/>
      <c r="B119" s="180"/>
      <c r="C119" s="181"/>
      <c r="D119" s="182"/>
      <c r="E119" s="183"/>
      <c r="F119" s="1857"/>
      <c r="L119" s="187"/>
      <c r="M119" s="187"/>
    </row>
    <row r="120" spans="1:13" s="64" customFormat="1" ht="15" customHeight="1" x14ac:dyDescent="0.2">
      <c r="A120" s="1856"/>
      <c r="B120" s="180"/>
      <c r="C120" s="181"/>
      <c r="D120" s="182"/>
      <c r="E120" s="183"/>
      <c r="F120" s="1857"/>
      <c r="L120" s="187"/>
      <c r="M120" s="187"/>
    </row>
    <row r="121" spans="1:13" s="64" customFormat="1" ht="15" customHeight="1" x14ac:dyDescent="0.2">
      <c r="A121" s="1856"/>
      <c r="B121" s="180"/>
      <c r="C121" s="181"/>
      <c r="D121" s="182"/>
      <c r="E121" s="183"/>
      <c r="F121" s="1857"/>
      <c r="L121" s="187"/>
      <c r="M121" s="187"/>
    </row>
    <row r="122" spans="1:13" s="64" customFormat="1" ht="15" customHeight="1" x14ac:dyDescent="0.2">
      <c r="A122" s="1856"/>
      <c r="B122" s="180"/>
      <c r="C122" s="181"/>
      <c r="D122" s="182"/>
      <c r="E122" s="183"/>
      <c r="F122" s="1857"/>
      <c r="L122" s="187"/>
      <c r="M122" s="187"/>
    </row>
    <row r="123" spans="1:13" s="64" customFormat="1" ht="15" customHeight="1" x14ac:dyDescent="0.2">
      <c r="A123" s="1856"/>
      <c r="B123" s="180"/>
      <c r="C123" s="181"/>
      <c r="D123" s="182"/>
      <c r="E123" s="183"/>
      <c r="F123" s="1857"/>
      <c r="L123" s="187"/>
      <c r="M123" s="187"/>
    </row>
    <row r="124" spans="1:13" s="64" customFormat="1" ht="15" customHeight="1" x14ac:dyDescent="0.2">
      <c r="A124" s="1856"/>
      <c r="B124" s="180"/>
      <c r="C124" s="181"/>
      <c r="D124" s="182"/>
      <c r="E124" s="183"/>
      <c r="F124" s="1857"/>
      <c r="L124" s="187"/>
      <c r="M124" s="187"/>
    </row>
    <row r="125" spans="1:13" s="64" customFormat="1" ht="15" customHeight="1" x14ac:dyDescent="0.2">
      <c r="A125" s="1856"/>
      <c r="B125" s="180"/>
      <c r="C125" s="181"/>
      <c r="D125" s="182"/>
      <c r="E125" s="183"/>
      <c r="F125" s="1857"/>
      <c r="L125" s="187"/>
      <c r="M125" s="187"/>
    </row>
    <row r="126" spans="1:13" s="64" customFormat="1" ht="15" customHeight="1" x14ac:dyDescent="0.2">
      <c r="A126" s="1856"/>
      <c r="B126" s="180"/>
      <c r="C126" s="181"/>
      <c r="D126" s="182"/>
      <c r="E126" s="183"/>
      <c r="F126" s="1857"/>
      <c r="L126" s="187"/>
      <c r="M126" s="187"/>
    </row>
    <row r="127" spans="1:13" s="64" customFormat="1" ht="15" customHeight="1" x14ac:dyDescent="0.2">
      <c r="A127" s="1856"/>
      <c r="B127" s="180"/>
      <c r="C127" s="181"/>
      <c r="D127" s="182"/>
      <c r="E127" s="183"/>
      <c r="F127" s="1857"/>
      <c r="L127" s="187"/>
      <c r="M127" s="187"/>
    </row>
    <row r="128" spans="1:13" s="64" customFormat="1" ht="15" customHeight="1" x14ac:dyDescent="0.2">
      <c r="A128" s="1856"/>
      <c r="B128" s="180"/>
      <c r="C128" s="181"/>
      <c r="D128" s="182"/>
      <c r="E128" s="183"/>
      <c r="F128" s="1857"/>
      <c r="L128" s="187"/>
      <c r="M128" s="187"/>
    </row>
    <row r="129" spans="1:13" s="64" customFormat="1" ht="15" customHeight="1" x14ac:dyDescent="0.2">
      <c r="A129" s="1856"/>
      <c r="B129" s="180"/>
      <c r="C129" s="181"/>
      <c r="D129" s="182"/>
      <c r="E129" s="183"/>
      <c r="F129" s="1857"/>
      <c r="L129" s="187"/>
      <c r="M129" s="187"/>
    </row>
    <row r="130" spans="1:13" s="64" customFormat="1" ht="15" customHeight="1" x14ac:dyDescent="0.2">
      <c r="A130" s="1856"/>
      <c r="B130" s="180"/>
      <c r="C130" s="181"/>
      <c r="D130" s="182"/>
      <c r="E130" s="183"/>
      <c r="F130" s="1857"/>
      <c r="L130" s="187"/>
      <c r="M130" s="187"/>
    </row>
    <row r="131" spans="1:13" s="64" customFormat="1" ht="15" customHeight="1" x14ac:dyDescent="0.2">
      <c r="A131" s="1856"/>
      <c r="B131" s="180"/>
      <c r="C131" s="181"/>
      <c r="D131" s="182"/>
      <c r="E131" s="183"/>
      <c r="F131" s="1857"/>
      <c r="L131" s="187"/>
      <c r="M131" s="187"/>
    </row>
    <row r="132" spans="1:13" s="64" customFormat="1" ht="15" customHeight="1" x14ac:dyDescent="0.2">
      <c r="A132" s="1856"/>
      <c r="B132" s="180"/>
      <c r="C132" s="181"/>
      <c r="D132" s="182"/>
      <c r="E132" s="183"/>
      <c r="F132" s="1857"/>
      <c r="L132" s="187"/>
      <c r="M132" s="187"/>
    </row>
    <row r="133" spans="1:13" s="64" customFormat="1" ht="15" customHeight="1" x14ac:dyDescent="0.2">
      <c r="A133" s="1856"/>
      <c r="B133" s="180"/>
      <c r="C133" s="181"/>
      <c r="D133" s="182"/>
      <c r="E133" s="183"/>
      <c r="F133" s="1857"/>
      <c r="L133" s="187"/>
      <c r="M133" s="187"/>
    </row>
    <row r="134" spans="1:13" s="64" customFormat="1" ht="15" customHeight="1" x14ac:dyDescent="0.2">
      <c r="A134" s="1856"/>
      <c r="B134" s="180"/>
      <c r="C134" s="181"/>
      <c r="D134" s="182"/>
      <c r="E134" s="183"/>
      <c r="F134" s="1857"/>
      <c r="L134" s="187"/>
      <c r="M134" s="187"/>
    </row>
    <row r="135" spans="1:13" s="64" customFormat="1" ht="15" customHeight="1" x14ac:dyDescent="0.2">
      <c r="A135" s="1856"/>
      <c r="B135" s="180"/>
      <c r="C135" s="181"/>
      <c r="D135" s="182"/>
      <c r="E135" s="183"/>
      <c r="F135" s="1857"/>
      <c r="L135" s="187"/>
      <c r="M135" s="187"/>
    </row>
    <row r="136" spans="1:13" s="64" customFormat="1" ht="15" customHeight="1" x14ac:dyDescent="0.2">
      <c r="A136" s="1856"/>
      <c r="B136" s="180"/>
      <c r="C136" s="181"/>
      <c r="D136" s="182"/>
      <c r="E136" s="183"/>
      <c r="F136" s="1857"/>
      <c r="L136" s="187"/>
      <c r="M136" s="187"/>
    </row>
    <row r="137" spans="1:13" s="64" customFormat="1" ht="15" customHeight="1" x14ac:dyDescent="0.2">
      <c r="A137" s="1856"/>
      <c r="B137" s="180"/>
      <c r="C137" s="181"/>
      <c r="D137" s="182"/>
      <c r="E137" s="183"/>
      <c r="F137" s="1857"/>
      <c r="L137" s="187"/>
      <c r="M137" s="187"/>
    </row>
    <row r="138" spans="1:13" s="64" customFormat="1" ht="15" customHeight="1" x14ac:dyDescent="0.2">
      <c r="A138" s="1856"/>
      <c r="B138" s="180"/>
      <c r="C138" s="181"/>
      <c r="D138" s="182"/>
      <c r="E138" s="183"/>
      <c r="F138" s="1857"/>
      <c r="L138" s="187"/>
      <c r="M138" s="187"/>
    </row>
    <row r="139" spans="1:13" s="64" customFormat="1" ht="15" customHeight="1" x14ac:dyDescent="0.2">
      <c r="A139" s="1856"/>
      <c r="B139" s="180"/>
      <c r="C139" s="181"/>
      <c r="D139" s="182"/>
      <c r="E139" s="183"/>
      <c r="F139" s="1857"/>
      <c r="L139" s="187"/>
      <c r="M139" s="187"/>
    </row>
    <row r="140" spans="1:13" s="64" customFormat="1" ht="15" customHeight="1" x14ac:dyDescent="0.2">
      <c r="A140" s="1856"/>
      <c r="B140" s="180"/>
      <c r="C140" s="181"/>
      <c r="D140" s="182"/>
      <c r="E140" s="183"/>
      <c r="F140" s="1857"/>
      <c r="L140" s="187"/>
      <c r="M140" s="187"/>
    </row>
    <row r="141" spans="1:13" s="64" customFormat="1" ht="15" customHeight="1" x14ac:dyDescent="0.2">
      <c r="A141" s="1856"/>
      <c r="B141" s="180"/>
      <c r="C141" s="181"/>
      <c r="D141" s="182"/>
      <c r="E141" s="183"/>
      <c r="F141" s="1857"/>
      <c r="L141" s="187"/>
      <c r="M141" s="187"/>
    </row>
    <row r="142" spans="1:13" s="64" customFormat="1" ht="15" customHeight="1" x14ac:dyDescent="0.2">
      <c r="A142" s="1856"/>
      <c r="B142" s="180"/>
      <c r="C142" s="181"/>
      <c r="D142" s="182"/>
      <c r="E142" s="183"/>
      <c r="F142" s="1857"/>
      <c r="L142" s="187"/>
      <c r="M142" s="187"/>
    </row>
    <row r="143" spans="1:13" s="64" customFormat="1" ht="15" customHeight="1" x14ac:dyDescent="0.2">
      <c r="A143" s="1856"/>
      <c r="B143" s="180"/>
      <c r="C143" s="181"/>
      <c r="D143" s="182"/>
      <c r="E143" s="183"/>
      <c r="F143" s="1857"/>
      <c r="L143" s="187"/>
      <c r="M143" s="187"/>
    </row>
    <row r="144" spans="1:13" s="64" customFormat="1" ht="15" customHeight="1" x14ac:dyDescent="0.2">
      <c r="A144" s="1856"/>
      <c r="B144" s="180"/>
      <c r="C144" s="181"/>
      <c r="D144" s="182"/>
      <c r="E144" s="183"/>
      <c r="F144" s="1857"/>
      <c r="L144" s="187"/>
      <c r="M144" s="187"/>
    </row>
    <row r="145" spans="1:13" s="64" customFormat="1" ht="15" customHeight="1" x14ac:dyDescent="0.2">
      <c r="A145" s="1856"/>
      <c r="B145" s="180"/>
      <c r="C145" s="181"/>
      <c r="D145" s="182"/>
      <c r="E145" s="183"/>
      <c r="F145" s="1857"/>
      <c r="L145" s="187"/>
      <c r="M145" s="187"/>
    </row>
    <row r="146" spans="1:13" s="64" customFormat="1" ht="15" customHeight="1" x14ac:dyDescent="0.2">
      <c r="A146" s="1856"/>
      <c r="B146" s="180"/>
      <c r="C146" s="181"/>
      <c r="D146" s="182"/>
      <c r="E146" s="183"/>
      <c r="F146" s="1857"/>
      <c r="L146" s="187"/>
      <c r="M146" s="187"/>
    </row>
    <row r="147" spans="1:13" s="64" customFormat="1" ht="15" customHeight="1" x14ac:dyDescent="0.2">
      <c r="A147" s="1856"/>
      <c r="B147" s="180"/>
      <c r="C147" s="181"/>
      <c r="D147" s="182"/>
      <c r="E147" s="183"/>
      <c r="F147" s="1857"/>
      <c r="L147" s="187"/>
      <c r="M147" s="187"/>
    </row>
    <row r="148" spans="1:13" s="64" customFormat="1" ht="15" customHeight="1" x14ac:dyDescent="0.2">
      <c r="A148" s="1856"/>
      <c r="B148" s="180"/>
      <c r="C148" s="181"/>
      <c r="D148" s="182"/>
      <c r="E148" s="183"/>
      <c r="F148" s="1857"/>
      <c r="L148" s="187"/>
      <c r="M148" s="187"/>
    </row>
    <row r="149" spans="1:13" s="64" customFormat="1" ht="15" customHeight="1" x14ac:dyDescent="0.2">
      <c r="A149" s="1856"/>
      <c r="B149" s="180"/>
      <c r="C149" s="181"/>
      <c r="D149" s="182"/>
      <c r="E149" s="183"/>
      <c r="F149" s="1857"/>
      <c r="L149" s="187"/>
      <c r="M149" s="187"/>
    </row>
    <row r="150" spans="1:13" s="64" customFormat="1" ht="15" customHeight="1" x14ac:dyDescent="0.2">
      <c r="A150" s="1856"/>
      <c r="B150" s="180"/>
      <c r="C150" s="181"/>
      <c r="D150" s="182"/>
      <c r="E150" s="183"/>
      <c r="F150" s="1857"/>
      <c r="L150" s="187"/>
      <c r="M150" s="187"/>
    </row>
    <row r="151" spans="1:13" s="64" customFormat="1" ht="15" customHeight="1" x14ac:dyDescent="0.2">
      <c r="A151" s="1856"/>
      <c r="B151" s="180"/>
      <c r="C151" s="181"/>
      <c r="D151" s="182"/>
      <c r="E151" s="183"/>
      <c r="F151" s="1857"/>
      <c r="L151" s="187"/>
      <c r="M151" s="187"/>
    </row>
    <row r="152" spans="1:13" s="64" customFormat="1" ht="15" customHeight="1" x14ac:dyDescent="0.2">
      <c r="A152" s="1856"/>
      <c r="B152" s="180"/>
      <c r="C152" s="181"/>
      <c r="D152" s="182"/>
      <c r="E152" s="183"/>
      <c r="F152" s="1857"/>
      <c r="L152" s="187"/>
      <c r="M152" s="187"/>
    </row>
    <row r="153" spans="1:13" s="64" customFormat="1" ht="15" customHeight="1" x14ac:dyDescent="0.2">
      <c r="A153" s="1856"/>
      <c r="B153" s="180"/>
      <c r="C153" s="181"/>
      <c r="D153" s="182"/>
      <c r="E153" s="183"/>
      <c r="F153" s="1857"/>
      <c r="L153" s="187"/>
      <c r="M153" s="187"/>
    </row>
    <row r="154" spans="1:13" s="64" customFormat="1" ht="15" customHeight="1" x14ac:dyDescent="0.2">
      <c r="A154" s="1856"/>
      <c r="B154" s="180"/>
      <c r="C154" s="181"/>
      <c r="D154" s="182"/>
      <c r="E154" s="183"/>
      <c r="F154" s="1857"/>
      <c r="L154" s="187"/>
      <c r="M154" s="187"/>
    </row>
    <row r="155" spans="1:13" s="64" customFormat="1" ht="15" customHeight="1" x14ac:dyDescent="0.2">
      <c r="A155" s="1856"/>
      <c r="B155" s="180"/>
      <c r="C155" s="181"/>
      <c r="D155" s="182"/>
      <c r="E155" s="183"/>
      <c r="F155" s="1857"/>
      <c r="L155" s="187"/>
      <c r="M155" s="187"/>
    </row>
    <row r="156" spans="1:13" s="64" customFormat="1" ht="15" customHeight="1" x14ac:dyDescent="0.2">
      <c r="A156" s="1856"/>
      <c r="B156" s="180"/>
      <c r="C156" s="181"/>
      <c r="D156" s="182"/>
      <c r="E156" s="183"/>
      <c r="F156" s="1857"/>
      <c r="L156" s="187"/>
      <c r="M156" s="187"/>
    </row>
    <row r="157" spans="1:13" s="64" customFormat="1" ht="15" customHeight="1" x14ac:dyDescent="0.2">
      <c r="A157" s="1856"/>
      <c r="B157" s="180"/>
      <c r="C157" s="181"/>
      <c r="D157" s="182"/>
      <c r="E157" s="183"/>
      <c r="F157" s="1857"/>
      <c r="L157" s="187"/>
      <c r="M157" s="187"/>
    </row>
    <row r="158" spans="1:13" s="64" customFormat="1" ht="15" customHeight="1" x14ac:dyDescent="0.2">
      <c r="A158" s="1856"/>
      <c r="B158" s="180"/>
      <c r="C158" s="181"/>
      <c r="D158" s="182"/>
      <c r="E158" s="183"/>
      <c r="F158" s="1857"/>
      <c r="L158" s="187"/>
      <c r="M158" s="187"/>
    </row>
    <row r="159" spans="1:13" s="64" customFormat="1" ht="15" customHeight="1" x14ac:dyDescent="0.2">
      <c r="A159" s="1856"/>
      <c r="B159" s="180"/>
      <c r="C159" s="181"/>
      <c r="D159" s="182"/>
      <c r="E159" s="183"/>
      <c r="F159" s="1857"/>
      <c r="L159" s="187"/>
      <c r="M159" s="187"/>
    </row>
    <row r="160" spans="1:13" s="64" customFormat="1" ht="15" customHeight="1" x14ac:dyDescent="0.2">
      <c r="A160" s="1856"/>
      <c r="B160" s="180"/>
      <c r="C160" s="181"/>
      <c r="D160" s="182"/>
      <c r="E160" s="183"/>
      <c r="F160" s="1857"/>
      <c r="L160" s="187"/>
      <c r="M160" s="187"/>
    </row>
    <row r="161" spans="1:13" s="64" customFormat="1" ht="15" customHeight="1" x14ac:dyDescent="0.2">
      <c r="A161" s="1856"/>
      <c r="B161" s="180"/>
      <c r="C161" s="181"/>
      <c r="D161" s="182"/>
      <c r="E161" s="183"/>
      <c r="F161" s="1857"/>
      <c r="L161" s="187"/>
      <c r="M161" s="187"/>
    </row>
    <row r="162" spans="1:13" s="64" customFormat="1" ht="15" customHeight="1" x14ac:dyDescent="0.2">
      <c r="A162" s="1856"/>
      <c r="B162" s="180"/>
      <c r="C162" s="181"/>
      <c r="D162" s="182"/>
      <c r="E162" s="183"/>
      <c r="F162" s="1857"/>
      <c r="L162" s="187"/>
      <c r="M162" s="187"/>
    </row>
    <row r="163" spans="1:13" s="64" customFormat="1" ht="15" customHeight="1" x14ac:dyDescent="0.2">
      <c r="A163" s="1856"/>
      <c r="B163" s="180"/>
      <c r="C163" s="181"/>
      <c r="D163" s="182"/>
      <c r="E163" s="183"/>
      <c r="F163" s="1857"/>
      <c r="L163" s="187"/>
      <c r="M163" s="187"/>
    </row>
    <row r="164" spans="1:13" s="64" customFormat="1" ht="15" customHeight="1" x14ac:dyDescent="0.2">
      <c r="A164" s="1856"/>
      <c r="B164" s="180"/>
      <c r="C164" s="181"/>
      <c r="D164" s="182"/>
      <c r="E164" s="183"/>
      <c r="F164" s="1857"/>
      <c r="L164" s="187"/>
      <c r="M164" s="187"/>
    </row>
    <row r="165" spans="1:13" s="64" customFormat="1" ht="15" customHeight="1" x14ac:dyDescent="0.2">
      <c r="A165" s="1856"/>
      <c r="B165" s="180"/>
      <c r="C165" s="181"/>
      <c r="D165" s="182"/>
      <c r="E165" s="183"/>
      <c r="F165" s="1857"/>
      <c r="L165" s="187"/>
      <c r="M165" s="187"/>
    </row>
    <row r="166" spans="1:13" s="64" customFormat="1" ht="15" customHeight="1" x14ac:dyDescent="0.2">
      <c r="A166" s="1856"/>
      <c r="B166" s="180"/>
      <c r="C166" s="181"/>
      <c r="D166" s="182"/>
      <c r="E166" s="183"/>
      <c r="F166" s="1857"/>
      <c r="L166" s="187"/>
      <c r="M166" s="187"/>
    </row>
    <row r="167" spans="1:13" s="64" customFormat="1" ht="15" customHeight="1" x14ac:dyDescent="0.2">
      <c r="A167" s="1856"/>
      <c r="B167" s="180"/>
      <c r="C167" s="181"/>
      <c r="D167" s="182"/>
      <c r="E167" s="183"/>
      <c r="F167" s="1857"/>
      <c r="L167" s="187"/>
      <c r="M167" s="187"/>
    </row>
    <row r="168" spans="1:13" s="64" customFormat="1" ht="15" customHeight="1" x14ac:dyDescent="0.2">
      <c r="A168" s="1856"/>
      <c r="B168" s="180"/>
      <c r="C168" s="181"/>
      <c r="D168" s="182"/>
      <c r="E168" s="183"/>
      <c r="F168" s="1857"/>
      <c r="L168" s="187"/>
      <c r="M168" s="187"/>
    </row>
    <row r="169" spans="1:13" s="64" customFormat="1" ht="15" customHeight="1" x14ac:dyDescent="0.2">
      <c r="A169" s="1856"/>
      <c r="B169" s="180"/>
      <c r="C169" s="181"/>
      <c r="D169" s="182"/>
      <c r="E169" s="183"/>
      <c r="F169" s="1857"/>
      <c r="L169" s="187"/>
      <c r="M169" s="187"/>
    </row>
    <row r="170" spans="1:13" s="64" customFormat="1" ht="15" customHeight="1" x14ac:dyDescent="0.2">
      <c r="A170" s="1856"/>
      <c r="B170" s="180"/>
      <c r="C170" s="181"/>
      <c r="D170" s="182"/>
      <c r="E170" s="183"/>
      <c r="F170" s="1857"/>
      <c r="L170" s="187"/>
      <c r="M170" s="187"/>
    </row>
    <row r="171" spans="1:13" s="64" customFormat="1" ht="15" customHeight="1" x14ac:dyDescent="0.2">
      <c r="A171" s="1856"/>
      <c r="B171" s="180"/>
      <c r="C171" s="181"/>
      <c r="D171" s="182"/>
      <c r="E171" s="183"/>
      <c r="F171" s="1857"/>
      <c r="L171" s="187"/>
      <c r="M171" s="187"/>
    </row>
    <row r="172" spans="1:13" s="64" customFormat="1" ht="15" customHeight="1" x14ac:dyDescent="0.2">
      <c r="A172" s="1856"/>
      <c r="B172" s="180"/>
      <c r="C172" s="181"/>
      <c r="D172" s="182"/>
      <c r="E172" s="183"/>
      <c r="F172" s="1857"/>
      <c r="L172" s="187"/>
      <c r="M172" s="187"/>
    </row>
    <row r="173" spans="1:13" s="64" customFormat="1" ht="15" customHeight="1" x14ac:dyDescent="0.2">
      <c r="A173" s="1856"/>
      <c r="B173" s="180"/>
      <c r="C173" s="181"/>
      <c r="D173" s="182"/>
      <c r="E173" s="183"/>
      <c r="F173" s="1857"/>
      <c r="L173" s="187"/>
      <c r="M173" s="187"/>
    </row>
    <row r="174" spans="1:13" s="64" customFormat="1" ht="15" customHeight="1" x14ac:dyDescent="0.2">
      <c r="A174" s="1856"/>
      <c r="B174" s="180"/>
      <c r="C174" s="181"/>
      <c r="D174" s="182"/>
      <c r="E174" s="183"/>
      <c r="F174" s="1857"/>
      <c r="L174" s="187"/>
      <c r="M174" s="187"/>
    </row>
    <row r="175" spans="1:13" s="64" customFormat="1" ht="15" customHeight="1" x14ac:dyDescent="0.2">
      <c r="A175" s="1856"/>
      <c r="B175" s="180"/>
      <c r="C175" s="181"/>
      <c r="D175" s="182"/>
      <c r="E175" s="183"/>
      <c r="F175" s="1857"/>
      <c r="L175" s="187"/>
      <c r="M175" s="187"/>
    </row>
    <row r="176" spans="1:13" s="64" customFormat="1" ht="15" customHeight="1" x14ac:dyDescent="0.2">
      <c r="A176" s="1856"/>
      <c r="B176" s="180"/>
      <c r="C176" s="181"/>
      <c r="D176" s="182"/>
      <c r="E176" s="183"/>
      <c r="F176" s="1857"/>
      <c r="L176" s="187"/>
      <c r="M176" s="187"/>
    </row>
    <row r="177" spans="1:13" s="64" customFormat="1" ht="15" customHeight="1" x14ac:dyDescent="0.2">
      <c r="A177" s="1856"/>
      <c r="B177" s="180"/>
      <c r="C177" s="181"/>
      <c r="D177" s="182"/>
      <c r="E177" s="183"/>
      <c r="F177" s="1857"/>
      <c r="L177" s="187"/>
      <c r="M177" s="187"/>
    </row>
    <row r="178" spans="1:13" s="64" customFormat="1" ht="15" customHeight="1" x14ac:dyDescent="0.2">
      <c r="A178" s="1856"/>
      <c r="B178" s="180"/>
      <c r="C178" s="181"/>
      <c r="D178" s="182"/>
      <c r="E178" s="183"/>
      <c r="F178" s="1857"/>
      <c r="L178" s="187"/>
      <c r="M178" s="187"/>
    </row>
    <row r="179" spans="1:13" s="64" customFormat="1" ht="15" customHeight="1" x14ac:dyDescent="0.2">
      <c r="A179" s="1856"/>
      <c r="B179" s="180"/>
      <c r="C179" s="181"/>
      <c r="D179" s="182"/>
      <c r="E179" s="183"/>
      <c r="F179" s="1857"/>
      <c r="L179" s="187"/>
      <c r="M179" s="187"/>
    </row>
    <row r="180" spans="1:13" s="64" customFormat="1" ht="15" customHeight="1" x14ac:dyDescent="0.2">
      <c r="A180" s="1856"/>
      <c r="B180" s="180"/>
      <c r="C180" s="181"/>
      <c r="D180" s="182"/>
      <c r="E180" s="183"/>
      <c r="F180" s="1857"/>
      <c r="L180" s="187"/>
      <c r="M180" s="187"/>
    </row>
    <row r="181" spans="1:13" s="64" customFormat="1" ht="15" customHeight="1" x14ac:dyDescent="0.2">
      <c r="A181" s="1856"/>
      <c r="B181" s="180"/>
      <c r="C181" s="181"/>
      <c r="D181" s="182"/>
      <c r="E181" s="183"/>
      <c r="F181" s="1857"/>
      <c r="L181" s="187"/>
      <c r="M181" s="187"/>
    </row>
    <row r="182" spans="1:13" s="64" customFormat="1" ht="15" customHeight="1" x14ac:dyDescent="0.2">
      <c r="A182" s="1856"/>
      <c r="B182" s="180"/>
      <c r="C182" s="181"/>
      <c r="D182" s="182"/>
      <c r="E182" s="183"/>
      <c r="F182" s="1857"/>
      <c r="L182" s="187"/>
      <c r="M182" s="187"/>
    </row>
    <row r="183" spans="1:13" s="64" customFormat="1" ht="15" customHeight="1" x14ac:dyDescent="0.2">
      <c r="A183" s="1856"/>
      <c r="B183" s="180"/>
      <c r="C183" s="181"/>
      <c r="D183" s="182"/>
      <c r="E183" s="183"/>
      <c r="F183" s="1857"/>
      <c r="L183" s="187"/>
      <c r="M183" s="187"/>
    </row>
    <row r="184" spans="1:13" s="64" customFormat="1" ht="15" customHeight="1" x14ac:dyDescent="0.2">
      <c r="A184" s="1856"/>
      <c r="B184" s="180"/>
      <c r="C184" s="181"/>
      <c r="D184" s="182"/>
      <c r="E184" s="183"/>
      <c r="F184" s="1857"/>
      <c r="L184" s="187"/>
      <c r="M184" s="187"/>
    </row>
    <row r="185" spans="1:13" s="64" customFormat="1" ht="15" customHeight="1" x14ac:dyDescent="0.2">
      <c r="A185" s="1856"/>
      <c r="B185" s="180"/>
      <c r="C185" s="181"/>
      <c r="D185" s="182"/>
      <c r="E185" s="183"/>
      <c r="F185" s="1857"/>
      <c r="L185" s="187"/>
      <c r="M185" s="187"/>
    </row>
    <row r="186" spans="1:13" s="64" customFormat="1" ht="15" customHeight="1" x14ac:dyDescent="0.2">
      <c r="A186" s="1856"/>
      <c r="B186" s="180"/>
      <c r="C186" s="181"/>
      <c r="D186" s="182"/>
      <c r="E186" s="183"/>
      <c r="F186" s="1857"/>
      <c r="L186" s="187"/>
      <c r="M186" s="187"/>
    </row>
    <row r="187" spans="1:13" s="64" customFormat="1" ht="15" customHeight="1" x14ac:dyDescent="0.2">
      <c r="A187" s="1856"/>
      <c r="B187" s="180"/>
      <c r="C187" s="181"/>
      <c r="D187" s="182"/>
      <c r="E187" s="183"/>
      <c r="F187" s="1857"/>
      <c r="L187" s="187"/>
      <c r="M187" s="187"/>
    </row>
    <row r="188" spans="1:13" s="64" customFormat="1" ht="15" customHeight="1" x14ac:dyDescent="0.2">
      <c r="A188" s="1856"/>
      <c r="B188" s="180"/>
      <c r="C188" s="181"/>
      <c r="D188" s="182"/>
      <c r="E188" s="183"/>
      <c r="F188" s="1857"/>
      <c r="L188" s="187"/>
      <c r="M188" s="187"/>
    </row>
    <row r="189" spans="1:13" s="64" customFormat="1" ht="15" customHeight="1" x14ac:dyDescent="0.2">
      <c r="A189" s="1856"/>
      <c r="B189" s="180"/>
      <c r="C189" s="181"/>
      <c r="D189" s="182"/>
      <c r="E189" s="183"/>
      <c r="F189" s="1857"/>
      <c r="L189" s="187"/>
      <c r="M189" s="187"/>
    </row>
    <row r="190" spans="1:13" s="64" customFormat="1" ht="15" customHeight="1" x14ac:dyDescent="0.2">
      <c r="A190" s="1856"/>
      <c r="B190" s="180"/>
      <c r="C190" s="181"/>
      <c r="D190" s="182"/>
      <c r="E190" s="183"/>
      <c r="F190" s="1857"/>
      <c r="L190" s="187"/>
      <c r="M190" s="187"/>
    </row>
    <row r="191" spans="1:13" s="64" customFormat="1" ht="15" customHeight="1" x14ac:dyDescent="0.2">
      <c r="A191" s="1856"/>
      <c r="B191" s="180"/>
      <c r="C191" s="181"/>
      <c r="D191" s="182"/>
      <c r="E191" s="183"/>
      <c r="F191" s="1857"/>
      <c r="L191" s="187"/>
      <c r="M191" s="187"/>
    </row>
    <row r="192" spans="1:13" s="64" customFormat="1" ht="15" customHeight="1" x14ac:dyDescent="0.2">
      <c r="A192" s="1856"/>
      <c r="B192" s="180"/>
      <c r="C192" s="181"/>
      <c r="D192" s="182"/>
      <c r="E192" s="183"/>
      <c r="F192" s="1857"/>
      <c r="L192" s="187"/>
      <c r="M192" s="187"/>
    </row>
    <row r="193" spans="1:13" s="64" customFormat="1" ht="15" customHeight="1" x14ac:dyDescent="0.2">
      <c r="A193" s="1856"/>
      <c r="B193" s="180"/>
      <c r="C193" s="181"/>
      <c r="D193" s="182"/>
      <c r="E193" s="183"/>
      <c r="F193" s="1857"/>
      <c r="L193" s="187"/>
      <c r="M193" s="187"/>
    </row>
    <row r="194" spans="1:13" s="64" customFormat="1" ht="15" customHeight="1" x14ac:dyDescent="0.2">
      <c r="A194" s="1856"/>
      <c r="B194" s="180"/>
      <c r="C194" s="181"/>
      <c r="D194" s="182"/>
      <c r="E194" s="183"/>
      <c r="F194" s="1857"/>
      <c r="L194" s="187"/>
      <c r="M194" s="187"/>
    </row>
    <row r="195" spans="1:13" s="64" customFormat="1" ht="15" customHeight="1" x14ac:dyDescent="0.2">
      <c r="A195" s="1856"/>
      <c r="B195" s="180"/>
      <c r="C195" s="181"/>
      <c r="D195" s="182"/>
      <c r="E195" s="183"/>
      <c r="F195" s="1857"/>
      <c r="L195" s="187"/>
      <c r="M195" s="187"/>
    </row>
    <row r="196" spans="1:13" s="64" customFormat="1" ht="15" customHeight="1" x14ac:dyDescent="0.2">
      <c r="A196" s="1856"/>
      <c r="B196" s="180"/>
      <c r="C196" s="181"/>
      <c r="D196" s="182"/>
      <c r="E196" s="183"/>
      <c r="F196" s="1857"/>
      <c r="L196" s="187"/>
      <c r="M196" s="187"/>
    </row>
    <row r="197" spans="1:13" s="64" customFormat="1" ht="15" customHeight="1" x14ac:dyDescent="0.2">
      <c r="A197" s="1856"/>
      <c r="B197" s="180"/>
      <c r="C197" s="181"/>
      <c r="D197" s="182"/>
      <c r="E197" s="183"/>
      <c r="F197" s="1857"/>
      <c r="L197" s="187"/>
      <c r="M197" s="187"/>
    </row>
    <row r="198" spans="1:13" s="64" customFormat="1" ht="15" customHeight="1" x14ac:dyDescent="0.2">
      <c r="A198" s="1856"/>
      <c r="B198" s="180"/>
      <c r="C198" s="181"/>
      <c r="D198" s="182"/>
      <c r="E198" s="183"/>
      <c r="F198" s="1857"/>
      <c r="L198" s="187"/>
      <c r="M198" s="187"/>
    </row>
    <row r="199" spans="1:13" s="64" customFormat="1" ht="15" customHeight="1" x14ac:dyDescent="0.2">
      <c r="A199" s="1856"/>
      <c r="B199" s="180"/>
      <c r="C199" s="181"/>
      <c r="D199" s="182"/>
      <c r="E199" s="183"/>
      <c r="F199" s="1857"/>
      <c r="L199" s="187"/>
      <c r="M199" s="187"/>
    </row>
    <row r="200" spans="1:13" s="64" customFormat="1" ht="15" customHeight="1" x14ac:dyDescent="0.2">
      <c r="A200" s="1856"/>
      <c r="B200" s="180"/>
      <c r="C200" s="181"/>
      <c r="D200" s="182"/>
      <c r="E200" s="183"/>
      <c r="F200" s="1857"/>
      <c r="L200" s="187"/>
      <c r="M200" s="187"/>
    </row>
    <row r="201" spans="1:13" s="64" customFormat="1" ht="15" customHeight="1" x14ac:dyDescent="0.2">
      <c r="A201" s="1856"/>
      <c r="B201" s="180"/>
      <c r="C201" s="181"/>
      <c r="D201" s="182"/>
      <c r="E201" s="183"/>
      <c r="F201" s="1857"/>
      <c r="L201" s="187"/>
      <c r="M201" s="187"/>
    </row>
    <row r="202" spans="1:13" s="64" customFormat="1" ht="15" customHeight="1" x14ac:dyDescent="0.2">
      <c r="A202" s="1856"/>
      <c r="B202" s="180"/>
      <c r="C202" s="181"/>
      <c r="D202" s="182"/>
      <c r="E202" s="183"/>
      <c r="F202" s="1857"/>
      <c r="L202" s="187"/>
      <c r="M202" s="187"/>
    </row>
    <row r="203" spans="1:13" s="64" customFormat="1" ht="15" customHeight="1" x14ac:dyDescent="0.2">
      <c r="A203" s="1856"/>
      <c r="B203" s="180"/>
      <c r="C203" s="181"/>
      <c r="D203" s="182"/>
      <c r="E203" s="183"/>
      <c r="F203" s="1857"/>
      <c r="L203" s="187"/>
      <c r="M203" s="187"/>
    </row>
    <row r="204" spans="1:13" s="64" customFormat="1" ht="15" customHeight="1" x14ac:dyDescent="0.2">
      <c r="A204" s="1856"/>
      <c r="B204" s="180"/>
      <c r="C204" s="181"/>
      <c r="D204" s="182"/>
      <c r="E204" s="183"/>
      <c r="F204" s="1857"/>
      <c r="L204" s="187"/>
      <c r="M204" s="187"/>
    </row>
    <row r="205" spans="1:13" s="64" customFormat="1" ht="15" customHeight="1" x14ac:dyDescent="0.2">
      <c r="A205" s="1856"/>
      <c r="B205" s="180"/>
      <c r="C205" s="181"/>
      <c r="D205" s="182"/>
      <c r="E205" s="183"/>
      <c r="F205" s="1857"/>
      <c r="L205" s="187"/>
      <c r="M205" s="187"/>
    </row>
    <row r="206" spans="1:13" s="64" customFormat="1" ht="15" customHeight="1" x14ac:dyDescent="0.2">
      <c r="A206" s="1856"/>
      <c r="B206" s="180"/>
      <c r="C206" s="181"/>
      <c r="D206" s="182"/>
      <c r="E206" s="183"/>
      <c r="F206" s="1857"/>
      <c r="L206" s="187"/>
      <c r="M206" s="187"/>
    </row>
    <row r="207" spans="1:13" s="64" customFormat="1" ht="15" customHeight="1" x14ac:dyDescent="0.2">
      <c r="A207" s="1856"/>
      <c r="B207" s="180"/>
      <c r="C207" s="181"/>
      <c r="D207" s="182"/>
      <c r="E207" s="183"/>
      <c r="F207" s="1857"/>
      <c r="L207" s="187"/>
      <c r="M207" s="187"/>
    </row>
    <row r="208" spans="1:13" s="64" customFormat="1" ht="15" customHeight="1" x14ac:dyDescent="0.2">
      <c r="A208" s="1856"/>
      <c r="B208" s="180"/>
      <c r="C208" s="181"/>
      <c r="D208" s="182"/>
      <c r="E208" s="183"/>
      <c r="F208" s="1857"/>
      <c r="L208" s="187"/>
      <c r="M208" s="187"/>
    </row>
    <row r="209" spans="1:13" s="64" customFormat="1" ht="15" customHeight="1" x14ac:dyDescent="0.2">
      <c r="A209" s="1856"/>
      <c r="B209" s="180"/>
      <c r="C209" s="181"/>
      <c r="D209" s="182"/>
      <c r="E209" s="183"/>
      <c r="F209" s="1857"/>
      <c r="L209" s="187"/>
      <c r="M209" s="187"/>
    </row>
    <row r="210" spans="1:13" s="64" customFormat="1" ht="15" customHeight="1" x14ac:dyDescent="0.2">
      <c r="A210" s="1856"/>
      <c r="B210" s="180"/>
      <c r="C210" s="181"/>
      <c r="D210" s="182"/>
      <c r="E210" s="183"/>
      <c r="F210" s="1857"/>
      <c r="L210" s="187"/>
      <c r="M210" s="187"/>
    </row>
    <row r="211" spans="1:13" s="64" customFormat="1" ht="15" customHeight="1" x14ac:dyDescent="0.2">
      <c r="A211" s="1856"/>
      <c r="B211" s="180"/>
      <c r="C211" s="181"/>
      <c r="D211" s="182"/>
      <c r="E211" s="183"/>
      <c r="F211" s="1857"/>
      <c r="L211" s="187"/>
      <c r="M211" s="187"/>
    </row>
    <row r="212" spans="1:13" s="64" customFormat="1" ht="15" customHeight="1" x14ac:dyDescent="0.2">
      <c r="A212" s="1856"/>
      <c r="B212" s="180"/>
      <c r="C212" s="181"/>
      <c r="D212" s="182"/>
      <c r="E212" s="183"/>
      <c r="F212" s="1857"/>
      <c r="L212" s="187"/>
      <c r="M212" s="187"/>
    </row>
    <row r="213" spans="1:13" s="64" customFormat="1" ht="15" customHeight="1" x14ac:dyDescent="0.2">
      <c r="A213" s="1856"/>
      <c r="B213" s="180"/>
      <c r="C213" s="181"/>
      <c r="D213" s="182"/>
      <c r="E213" s="183"/>
      <c r="F213" s="1857"/>
      <c r="L213" s="187"/>
      <c r="M213" s="187"/>
    </row>
    <row r="214" spans="1:13" s="64" customFormat="1" ht="15" customHeight="1" x14ac:dyDescent="0.2">
      <c r="A214" s="1856"/>
      <c r="B214" s="180"/>
      <c r="C214" s="181"/>
      <c r="D214" s="182"/>
      <c r="E214" s="183"/>
      <c r="F214" s="1857"/>
      <c r="L214" s="187"/>
      <c r="M214" s="187"/>
    </row>
    <row r="215" spans="1:13" s="64" customFormat="1" ht="15" customHeight="1" x14ac:dyDescent="0.2">
      <c r="A215" s="1856"/>
      <c r="B215" s="180"/>
      <c r="C215" s="181"/>
      <c r="D215" s="182"/>
      <c r="E215" s="183"/>
      <c r="F215" s="1857"/>
      <c r="L215" s="187"/>
      <c r="M215" s="187"/>
    </row>
    <row r="216" spans="1:13" s="64" customFormat="1" ht="15" customHeight="1" x14ac:dyDescent="0.2">
      <c r="A216" s="1856"/>
      <c r="B216" s="180"/>
      <c r="C216" s="181"/>
      <c r="D216" s="182"/>
      <c r="E216" s="183"/>
      <c r="F216" s="1857"/>
      <c r="L216" s="187"/>
      <c r="M216" s="187"/>
    </row>
    <row r="217" spans="1:13" s="64" customFormat="1" ht="15" customHeight="1" x14ac:dyDescent="0.2">
      <c r="A217" s="1856"/>
      <c r="B217" s="180"/>
      <c r="C217" s="181"/>
      <c r="D217" s="182"/>
      <c r="E217" s="183"/>
      <c r="F217" s="1857"/>
      <c r="L217" s="187"/>
      <c r="M217" s="187"/>
    </row>
    <row r="218" spans="1:13" s="64" customFormat="1" ht="15" customHeight="1" x14ac:dyDescent="0.2">
      <c r="A218" s="1856"/>
      <c r="B218" s="180"/>
      <c r="C218" s="181"/>
      <c r="D218" s="182"/>
      <c r="E218" s="183"/>
      <c r="F218" s="1857"/>
      <c r="L218" s="187"/>
      <c r="M218" s="187"/>
    </row>
    <row r="219" spans="1:13" s="64" customFormat="1" ht="15" customHeight="1" x14ac:dyDescent="0.2">
      <c r="A219" s="1856"/>
      <c r="B219" s="180"/>
      <c r="C219" s="181"/>
      <c r="D219" s="182"/>
      <c r="E219" s="183"/>
      <c r="F219" s="1857"/>
      <c r="L219" s="187"/>
      <c r="M219" s="187"/>
    </row>
    <row r="220" spans="1:13" s="64" customFormat="1" ht="15" customHeight="1" x14ac:dyDescent="0.2">
      <c r="A220" s="1856"/>
      <c r="B220" s="180"/>
      <c r="C220" s="181"/>
      <c r="D220" s="182"/>
      <c r="E220" s="183"/>
      <c r="F220" s="1857"/>
      <c r="L220" s="187"/>
      <c r="M220" s="187"/>
    </row>
    <row r="221" spans="1:13" s="64" customFormat="1" ht="15" customHeight="1" x14ac:dyDescent="0.2">
      <c r="A221" s="1856"/>
      <c r="B221" s="180"/>
      <c r="C221" s="181"/>
      <c r="D221" s="182"/>
      <c r="E221" s="183"/>
      <c r="F221" s="1857"/>
      <c r="L221" s="187"/>
      <c r="M221" s="187"/>
    </row>
    <row r="222" spans="1:13" s="64" customFormat="1" ht="15" customHeight="1" x14ac:dyDescent="0.2">
      <c r="A222" s="1856"/>
      <c r="B222" s="180"/>
      <c r="C222" s="181"/>
      <c r="D222" s="182"/>
      <c r="E222" s="183"/>
      <c r="F222" s="1857"/>
      <c r="L222" s="187"/>
      <c r="M222" s="187"/>
    </row>
    <row r="223" spans="1:13" s="64" customFormat="1" ht="15" customHeight="1" x14ac:dyDescent="0.2">
      <c r="A223" s="1856"/>
      <c r="B223" s="180"/>
      <c r="C223" s="181"/>
      <c r="D223" s="182"/>
      <c r="E223" s="183"/>
      <c r="F223" s="1857"/>
      <c r="L223" s="187"/>
      <c r="M223" s="187"/>
    </row>
    <row r="224" spans="1:13" s="64" customFormat="1" ht="15" customHeight="1" x14ac:dyDescent="0.2">
      <c r="A224" s="1856"/>
      <c r="B224" s="180"/>
      <c r="C224" s="181"/>
      <c r="D224" s="182"/>
      <c r="E224" s="183"/>
      <c r="F224" s="1857"/>
      <c r="L224" s="187"/>
      <c r="M224" s="187"/>
    </row>
    <row r="225" spans="1:13" s="64" customFormat="1" ht="15" customHeight="1" x14ac:dyDescent="0.2">
      <c r="A225" s="1856"/>
      <c r="B225" s="180"/>
      <c r="C225" s="181"/>
      <c r="D225" s="182"/>
      <c r="E225" s="183"/>
      <c r="F225" s="1857"/>
      <c r="L225" s="187"/>
      <c r="M225" s="187"/>
    </row>
    <row r="226" spans="1:13" s="64" customFormat="1" ht="15" customHeight="1" x14ac:dyDescent="0.2">
      <c r="A226" s="1856"/>
      <c r="B226" s="180"/>
      <c r="C226" s="181"/>
      <c r="D226" s="182"/>
      <c r="E226" s="183"/>
      <c r="F226" s="1857"/>
      <c r="L226" s="187"/>
      <c r="M226" s="187"/>
    </row>
    <row r="227" spans="1:13" s="64" customFormat="1" ht="15" customHeight="1" x14ac:dyDescent="0.2">
      <c r="A227" s="1856"/>
      <c r="B227" s="180"/>
      <c r="C227" s="181"/>
      <c r="D227" s="182"/>
      <c r="E227" s="183"/>
      <c r="F227" s="1857"/>
      <c r="L227" s="187"/>
      <c r="M227" s="187"/>
    </row>
    <row r="228" spans="1:13" s="64" customFormat="1" ht="15" customHeight="1" x14ac:dyDescent="0.2">
      <c r="A228" s="1856"/>
      <c r="B228" s="180"/>
      <c r="C228" s="181"/>
      <c r="D228" s="182"/>
      <c r="E228" s="183"/>
      <c r="F228" s="1857"/>
      <c r="L228" s="187"/>
      <c r="M228" s="187"/>
    </row>
    <row r="229" spans="1:13" s="64" customFormat="1" ht="15" customHeight="1" x14ac:dyDescent="0.2">
      <c r="A229" s="1856"/>
      <c r="B229" s="180"/>
      <c r="C229" s="181"/>
      <c r="D229" s="182"/>
      <c r="E229" s="183"/>
      <c r="F229" s="1857"/>
      <c r="L229" s="187"/>
      <c r="M229" s="187"/>
    </row>
    <row r="230" spans="1:13" s="64" customFormat="1" ht="15" customHeight="1" x14ac:dyDescent="0.2">
      <c r="A230" s="1856"/>
      <c r="B230" s="180"/>
      <c r="C230" s="181"/>
      <c r="D230" s="182"/>
      <c r="E230" s="183"/>
      <c r="F230" s="1857"/>
      <c r="L230" s="187"/>
      <c r="M230" s="187"/>
    </row>
    <row r="231" spans="1:13" s="64" customFormat="1" ht="15" customHeight="1" x14ac:dyDescent="0.2">
      <c r="A231" s="1856"/>
      <c r="B231" s="180"/>
      <c r="C231" s="181"/>
      <c r="D231" s="182"/>
      <c r="E231" s="183"/>
      <c r="F231" s="1857"/>
      <c r="L231" s="187"/>
      <c r="M231" s="187"/>
    </row>
    <row r="232" spans="1:13" s="64" customFormat="1" ht="15" customHeight="1" x14ac:dyDescent="0.2">
      <c r="A232" s="1856"/>
      <c r="B232" s="180"/>
      <c r="C232" s="181"/>
      <c r="D232" s="182"/>
      <c r="E232" s="183"/>
      <c r="F232" s="1857"/>
      <c r="L232" s="187"/>
      <c r="M232" s="187"/>
    </row>
    <row r="233" spans="1:13" s="64" customFormat="1" ht="15" customHeight="1" x14ac:dyDescent="0.2">
      <c r="A233" s="1856"/>
      <c r="B233" s="180"/>
      <c r="C233" s="181"/>
      <c r="D233" s="182"/>
      <c r="E233" s="183"/>
      <c r="F233" s="1857"/>
      <c r="L233" s="187"/>
      <c r="M233" s="187"/>
    </row>
    <row r="234" spans="1:13" s="64" customFormat="1" ht="15" customHeight="1" x14ac:dyDescent="0.2">
      <c r="A234" s="1856"/>
      <c r="B234" s="180"/>
      <c r="C234" s="181"/>
      <c r="D234" s="182"/>
      <c r="E234" s="183"/>
      <c r="F234" s="1857"/>
      <c r="L234" s="187"/>
      <c r="M234" s="187"/>
    </row>
    <row r="235" spans="1:13" s="64" customFormat="1" ht="15" customHeight="1" x14ac:dyDescent="0.2">
      <c r="A235" s="1856"/>
      <c r="B235" s="180"/>
      <c r="C235" s="181"/>
      <c r="D235" s="182"/>
      <c r="E235" s="183"/>
      <c r="F235" s="1857"/>
      <c r="L235" s="187"/>
      <c r="M235" s="187"/>
    </row>
    <row r="236" spans="1:13" s="64" customFormat="1" ht="15" customHeight="1" x14ac:dyDescent="0.2">
      <c r="A236" s="1856"/>
      <c r="B236" s="180"/>
      <c r="C236" s="181"/>
      <c r="D236" s="182"/>
      <c r="E236" s="183"/>
      <c r="F236" s="1857"/>
      <c r="L236" s="187"/>
      <c r="M236" s="187"/>
    </row>
    <row r="237" spans="1:13" s="64" customFormat="1" ht="15" customHeight="1" x14ac:dyDescent="0.2">
      <c r="A237" s="1856"/>
      <c r="B237" s="180"/>
      <c r="C237" s="181"/>
      <c r="D237" s="182"/>
      <c r="E237" s="183"/>
      <c r="F237" s="1857"/>
      <c r="L237" s="187"/>
      <c r="M237" s="187"/>
    </row>
    <row r="238" spans="1:13" s="64" customFormat="1" ht="15" customHeight="1" x14ac:dyDescent="0.2">
      <c r="A238" s="1856"/>
      <c r="B238" s="180"/>
      <c r="C238" s="181"/>
      <c r="D238" s="182"/>
      <c r="E238" s="183"/>
      <c r="F238" s="1857"/>
      <c r="L238" s="187"/>
      <c r="M238" s="187"/>
    </row>
    <row r="239" spans="1:13" s="64" customFormat="1" ht="15" customHeight="1" x14ac:dyDescent="0.2">
      <c r="A239" s="1856"/>
      <c r="B239" s="180"/>
      <c r="C239" s="181"/>
      <c r="D239" s="182"/>
      <c r="E239" s="183"/>
      <c r="F239" s="1857"/>
      <c r="L239" s="187"/>
      <c r="M239" s="187"/>
    </row>
    <row r="240" spans="1:13" s="64" customFormat="1" ht="15" customHeight="1" x14ac:dyDescent="0.2">
      <c r="A240" s="1856"/>
      <c r="B240" s="180"/>
      <c r="C240" s="181"/>
      <c r="D240" s="182"/>
      <c r="E240" s="183"/>
      <c r="F240" s="1857"/>
      <c r="L240" s="187"/>
      <c r="M240" s="187"/>
    </row>
    <row r="241" spans="1:13" s="64" customFormat="1" ht="15" customHeight="1" x14ac:dyDescent="0.2">
      <c r="A241" s="1856"/>
      <c r="B241" s="180"/>
      <c r="C241" s="181"/>
      <c r="D241" s="182"/>
      <c r="E241" s="183"/>
      <c r="F241" s="1857"/>
      <c r="L241" s="187"/>
      <c r="M241" s="187"/>
    </row>
    <row r="242" spans="1:13" s="64" customFormat="1" ht="15" customHeight="1" x14ac:dyDescent="0.2">
      <c r="A242" s="1856"/>
      <c r="B242" s="180"/>
      <c r="C242" s="181"/>
      <c r="D242" s="182"/>
      <c r="E242" s="183"/>
      <c r="F242" s="1857"/>
      <c r="L242" s="187"/>
      <c r="M242" s="187"/>
    </row>
    <row r="243" spans="1:13" s="64" customFormat="1" ht="15" customHeight="1" x14ac:dyDescent="0.2">
      <c r="A243" s="1856"/>
      <c r="B243" s="180"/>
      <c r="C243" s="181"/>
      <c r="D243" s="182"/>
      <c r="E243" s="183"/>
      <c r="F243" s="1857"/>
      <c r="L243" s="187"/>
      <c r="M243" s="187"/>
    </row>
    <row r="244" spans="1:13" s="64" customFormat="1" ht="15" customHeight="1" x14ac:dyDescent="0.2">
      <c r="A244" s="1856"/>
      <c r="B244" s="180"/>
      <c r="C244" s="181"/>
      <c r="D244" s="182"/>
      <c r="E244" s="183"/>
      <c r="F244" s="1857"/>
      <c r="L244" s="187"/>
      <c r="M244" s="187"/>
    </row>
    <row r="245" spans="1:13" s="64" customFormat="1" ht="15" customHeight="1" x14ac:dyDescent="0.2">
      <c r="A245" s="1856"/>
      <c r="B245" s="180"/>
      <c r="C245" s="181"/>
      <c r="D245" s="182"/>
      <c r="E245" s="183"/>
      <c r="F245" s="1857"/>
      <c r="L245" s="187"/>
      <c r="M245" s="187"/>
    </row>
    <row r="246" spans="1:13" s="64" customFormat="1" ht="15" customHeight="1" x14ac:dyDescent="0.2">
      <c r="A246" s="1856"/>
      <c r="B246" s="180"/>
      <c r="C246" s="181"/>
      <c r="D246" s="182"/>
      <c r="E246" s="183"/>
      <c r="F246" s="1857"/>
      <c r="L246" s="187"/>
      <c r="M246" s="187"/>
    </row>
    <row r="247" spans="1:13" s="64" customFormat="1" ht="15" customHeight="1" x14ac:dyDescent="0.2">
      <c r="A247" s="1856"/>
      <c r="B247" s="180"/>
      <c r="C247" s="181"/>
      <c r="D247" s="182"/>
      <c r="E247" s="183"/>
      <c r="F247" s="1857"/>
      <c r="L247" s="187"/>
      <c r="M247" s="187"/>
    </row>
    <row r="248" spans="1:13" s="64" customFormat="1" ht="15" customHeight="1" x14ac:dyDescent="0.2">
      <c r="A248" s="1856"/>
      <c r="B248" s="180"/>
      <c r="C248" s="181"/>
      <c r="D248" s="182"/>
      <c r="E248" s="183"/>
      <c r="F248" s="1857"/>
      <c r="L248" s="187"/>
      <c r="M248" s="187"/>
    </row>
    <row r="249" spans="1:13" s="64" customFormat="1" ht="15" customHeight="1" x14ac:dyDescent="0.2">
      <c r="A249" s="1856"/>
      <c r="B249" s="180"/>
      <c r="C249" s="181"/>
      <c r="D249" s="182"/>
      <c r="E249" s="183"/>
      <c r="F249" s="1857"/>
      <c r="L249" s="187"/>
      <c r="M249" s="187"/>
    </row>
    <row r="250" spans="1:13" s="64" customFormat="1" ht="15" customHeight="1" x14ac:dyDescent="0.2">
      <c r="A250" s="1856"/>
      <c r="B250" s="180"/>
      <c r="C250" s="181"/>
      <c r="D250" s="182"/>
      <c r="E250" s="183"/>
      <c r="F250" s="1857"/>
      <c r="L250" s="187"/>
      <c r="M250" s="187"/>
    </row>
    <row r="251" spans="1:13" s="64" customFormat="1" ht="15" customHeight="1" x14ac:dyDescent="0.2">
      <c r="A251" s="1856"/>
      <c r="B251" s="180"/>
      <c r="C251" s="181"/>
      <c r="D251" s="182"/>
      <c r="E251" s="183"/>
      <c r="F251" s="1857"/>
      <c r="L251" s="187"/>
      <c r="M251" s="187"/>
    </row>
    <row r="252" spans="1:13" s="64" customFormat="1" ht="15" customHeight="1" x14ac:dyDescent="0.2">
      <c r="A252" s="1856"/>
      <c r="B252" s="180"/>
      <c r="C252" s="181"/>
      <c r="D252" s="182"/>
      <c r="E252" s="183"/>
      <c r="F252" s="1857"/>
      <c r="L252" s="187"/>
      <c r="M252" s="187"/>
    </row>
    <row r="253" spans="1:13" s="64" customFormat="1" ht="15" customHeight="1" x14ac:dyDescent="0.2">
      <c r="A253" s="1856"/>
      <c r="B253" s="180"/>
      <c r="C253" s="181"/>
      <c r="D253" s="182"/>
      <c r="E253" s="183"/>
      <c r="F253" s="1857"/>
      <c r="L253" s="187"/>
      <c r="M253" s="187"/>
    </row>
    <row r="254" spans="1:13" s="64" customFormat="1" ht="15" customHeight="1" x14ac:dyDescent="0.2">
      <c r="A254" s="1856"/>
      <c r="B254" s="180"/>
      <c r="C254" s="181"/>
      <c r="D254" s="182"/>
      <c r="E254" s="183"/>
      <c r="F254" s="1857"/>
      <c r="L254" s="187"/>
      <c r="M254" s="187"/>
    </row>
    <row r="255" spans="1:13" s="64" customFormat="1" ht="15" customHeight="1" x14ac:dyDescent="0.2">
      <c r="A255" s="1856"/>
      <c r="B255" s="180"/>
      <c r="C255" s="181"/>
      <c r="D255" s="182"/>
      <c r="E255" s="183"/>
      <c r="F255" s="1857"/>
      <c r="L255" s="187"/>
      <c r="M255" s="187"/>
    </row>
    <row r="256" spans="1:13" s="64" customFormat="1" ht="15" customHeight="1" x14ac:dyDescent="0.2">
      <c r="A256" s="1856"/>
      <c r="B256" s="180"/>
      <c r="C256" s="181"/>
      <c r="D256" s="182"/>
      <c r="E256" s="183"/>
      <c r="F256" s="1857"/>
      <c r="L256" s="187"/>
      <c r="M256" s="187"/>
    </row>
    <row r="257" spans="1:13" s="64" customFormat="1" ht="15" customHeight="1" x14ac:dyDescent="0.2">
      <c r="A257" s="1856"/>
      <c r="B257" s="180"/>
      <c r="C257" s="181"/>
      <c r="D257" s="182"/>
      <c r="E257" s="183"/>
      <c r="F257" s="1857"/>
      <c r="L257" s="187"/>
      <c r="M257" s="187"/>
    </row>
    <row r="258" spans="1:13" s="64" customFormat="1" ht="15" customHeight="1" x14ac:dyDescent="0.2">
      <c r="A258" s="1856"/>
      <c r="B258" s="180"/>
      <c r="C258" s="181"/>
      <c r="D258" s="182"/>
      <c r="E258" s="183"/>
      <c r="F258" s="1857"/>
      <c r="L258" s="187"/>
      <c r="M258" s="187"/>
    </row>
    <row r="259" spans="1:13" s="64" customFormat="1" ht="15" customHeight="1" x14ac:dyDescent="0.2">
      <c r="A259" s="1856"/>
      <c r="B259" s="180"/>
      <c r="C259" s="181"/>
      <c r="D259" s="182"/>
      <c r="E259" s="183"/>
      <c r="F259" s="1857"/>
      <c r="L259" s="187"/>
      <c r="M259" s="187"/>
    </row>
    <row r="260" spans="1:13" s="64" customFormat="1" ht="15" customHeight="1" x14ac:dyDescent="0.2">
      <c r="A260" s="1856"/>
      <c r="B260" s="180"/>
      <c r="C260" s="181"/>
      <c r="D260" s="182"/>
      <c r="E260" s="183"/>
      <c r="F260" s="1857"/>
      <c r="L260" s="187"/>
      <c r="M260" s="187"/>
    </row>
    <row r="261" spans="1:13" s="64" customFormat="1" ht="15" customHeight="1" x14ac:dyDescent="0.2">
      <c r="A261" s="1856"/>
      <c r="B261" s="180"/>
      <c r="C261" s="181"/>
      <c r="D261" s="182"/>
      <c r="E261" s="183"/>
      <c r="F261" s="1857"/>
      <c r="L261" s="187"/>
      <c r="M261" s="187"/>
    </row>
    <row r="262" spans="1:13" s="64" customFormat="1" ht="15" customHeight="1" x14ac:dyDescent="0.2">
      <c r="A262" s="1856"/>
      <c r="B262" s="180"/>
      <c r="C262" s="181"/>
      <c r="D262" s="182"/>
      <c r="E262" s="183"/>
      <c r="F262" s="1857"/>
      <c r="L262" s="187"/>
      <c r="M262" s="187"/>
    </row>
    <row r="263" spans="1:13" s="64" customFormat="1" ht="15" customHeight="1" x14ac:dyDescent="0.2">
      <c r="A263" s="1856"/>
      <c r="B263" s="180"/>
      <c r="C263" s="181"/>
      <c r="D263" s="182"/>
      <c r="E263" s="183"/>
      <c r="F263" s="1857"/>
      <c r="L263" s="187"/>
      <c r="M263" s="187"/>
    </row>
    <row r="264" spans="1:13" s="64" customFormat="1" ht="15" customHeight="1" x14ac:dyDescent="0.2">
      <c r="A264" s="1856"/>
      <c r="B264" s="180"/>
      <c r="C264" s="181"/>
      <c r="D264" s="182"/>
      <c r="E264" s="183"/>
      <c r="F264" s="1857"/>
      <c r="L264" s="187"/>
      <c r="M264" s="187"/>
    </row>
    <row r="265" spans="1:13" s="64" customFormat="1" ht="15" customHeight="1" x14ac:dyDescent="0.2">
      <c r="A265" s="1856"/>
      <c r="B265" s="180"/>
      <c r="C265" s="181"/>
      <c r="D265" s="182"/>
      <c r="E265" s="183"/>
      <c r="F265" s="1857"/>
      <c r="L265" s="187"/>
      <c r="M265" s="187"/>
    </row>
    <row r="266" spans="1:13" s="64" customFormat="1" ht="15" customHeight="1" x14ac:dyDescent="0.2">
      <c r="A266" s="1856"/>
      <c r="B266" s="180"/>
      <c r="C266" s="181"/>
      <c r="D266" s="182"/>
      <c r="E266" s="183"/>
      <c r="F266" s="1857"/>
      <c r="L266" s="187"/>
      <c r="M266" s="187"/>
    </row>
    <row r="267" spans="1:13" s="64" customFormat="1" ht="15" customHeight="1" x14ac:dyDescent="0.2">
      <c r="A267" s="1856"/>
      <c r="B267" s="180"/>
      <c r="C267" s="181"/>
      <c r="D267" s="182"/>
      <c r="E267" s="183"/>
      <c r="F267" s="1857"/>
      <c r="L267" s="187"/>
      <c r="M267" s="187"/>
    </row>
    <row r="268" spans="1:13" s="64" customFormat="1" ht="15" customHeight="1" x14ac:dyDescent="0.2">
      <c r="A268" s="1856"/>
      <c r="B268" s="180"/>
      <c r="C268" s="181"/>
      <c r="D268" s="182"/>
      <c r="E268" s="183"/>
      <c r="F268" s="1857"/>
      <c r="L268" s="187"/>
      <c r="M268" s="187"/>
    </row>
    <row r="269" spans="1:13" s="64" customFormat="1" ht="15" customHeight="1" x14ac:dyDescent="0.2">
      <c r="A269" s="1856"/>
      <c r="B269" s="180"/>
      <c r="C269" s="181"/>
      <c r="D269" s="182"/>
      <c r="E269" s="183"/>
      <c r="F269" s="1857"/>
      <c r="L269" s="187"/>
      <c r="M269" s="187"/>
    </row>
    <row r="270" spans="1:13" s="64" customFormat="1" ht="15" customHeight="1" x14ac:dyDescent="0.2">
      <c r="A270" s="1856"/>
      <c r="B270" s="180"/>
      <c r="C270" s="181"/>
      <c r="D270" s="182"/>
      <c r="E270" s="183"/>
      <c r="F270" s="1857"/>
      <c r="L270" s="187"/>
      <c r="M270" s="187"/>
    </row>
    <row r="271" spans="1:13" s="64" customFormat="1" ht="15" customHeight="1" x14ac:dyDescent="0.2">
      <c r="A271" s="1856"/>
      <c r="B271" s="180"/>
      <c r="C271" s="181"/>
      <c r="D271" s="182"/>
      <c r="E271" s="183"/>
      <c r="F271" s="1857"/>
      <c r="L271" s="187"/>
      <c r="M271" s="187"/>
    </row>
    <row r="272" spans="1:13" s="64" customFormat="1" ht="15" customHeight="1" x14ac:dyDescent="0.2">
      <c r="A272" s="1856"/>
      <c r="B272" s="180"/>
      <c r="C272" s="181"/>
      <c r="D272" s="182"/>
      <c r="E272" s="183"/>
      <c r="F272" s="1857"/>
      <c r="L272" s="187"/>
      <c r="M272" s="187"/>
    </row>
    <row r="273" spans="1:14" s="64" customFormat="1" ht="15" customHeight="1" x14ac:dyDescent="0.2">
      <c r="A273" s="1856"/>
      <c r="B273" s="180"/>
      <c r="C273" s="181"/>
      <c r="D273" s="182"/>
      <c r="E273" s="183"/>
      <c r="F273" s="1857"/>
      <c r="L273" s="187"/>
      <c r="M273" s="187"/>
    </row>
    <row r="274" spans="1:14" s="64" customFormat="1" ht="15" customHeight="1" x14ac:dyDescent="0.2">
      <c r="A274" s="1856"/>
      <c r="B274" s="180"/>
      <c r="C274" s="181"/>
      <c r="D274" s="182"/>
      <c r="E274" s="183"/>
      <c r="F274" s="1857"/>
      <c r="L274" s="187"/>
      <c r="M274" s="187"/>
    </row>
    <row r="275" spans="1:14" s="64" customFormat="1" ht="15" customHeight="1" x14ac:dyDescent="0.2">
      <c r="A275" s="1856"/>
      <c r="B275" s="180"/>
      <c r="C275" s="181"/>
      <c r="D275" s="182"/>
      <c r="E275" s="183"/>
      <c r="F275" s="1857"/>
      <c r="L275" s="187"/>
      <c r="M275" s="187"/>
    </row>
    <row r="276" spans="1:14" ht="15" customHeight="1" x14ac:dyDescent="0.2">
      <c r="A276" s="1859"/>
      <c r="B276" s="180"/>
      <c r="C276" s="189"/>
      <c r="E276" s="190"/>
      <c r="F276" s="1857"/>
      <c r="G276" s="70"/>
      <c r="H276" s="70"/>
      <c r="J276" s="70"/>
      <c r="L276" s="71"/>
      <c r="N276" s="70"/>
    </row>
    <row r="277" spans="1:14" ht="15" customHeight="1" x14ac:dyDescent="0.2">
      <c r="A277" s="1859"/>
      <c r="B277" s="180"/>
      <c r="C277" s="189"/>
      <c r="E277" s="190"/>
      <c r="F277" s="1857"/>
      <c r="G277" s="70"/>
      <c r="H277" s="70"/>
      <c r="J277" s="70"/>
      <c r="L277" s="71"/>
      <c r="N277" s="70"/>
    </row>
    <row r="278" spans="1:14" ht="15" customHeight="1" x14ac:dyDescent="0.2">
      <c r="A278" s="1859"/>
      <c r="B278" s="180"/>
      <c r="C278" s="189"/>
      <c r="E278" s="190"/>
      <c r="F278" s="1857"/>
      <c r="G278" s="70"/>
      <c r="H278" s="70"/>
      <c r="J278" s="70"/>
      <c r="L278" s="71"/>
      <c r="N278" s="70"/>
    </row>
    <row r="279" spans="1:14" ht="15" customHeight="1" x14ac:dyDescent="0.2">
      <c r="A279" s="1859"/>
      <c r="B279" s="180"/>
      <c r="C279" s="189"/>
      <c r="E279" s="190"/>
      <c r="F279" s="1857"/>
      <c r="G279" s="70"/>
      <c r="H279" s="70"/>
      <c r="J279" s="70"/>
      <c r="L279" s="71"/>
      <c r="N279" s="70"/>
    </row>
    <row r="280" spans="1:14" ht="15" customHeight="1" x14ac:dyDescent="0.2">
      <c r="A280" s="1859"/>
      <c r="B280" s="180"/>
      <c r="C280" s="189"/>
      <c r="E280" s="190"/>
      <c r="F280" s="1857"/>
      <c r="G280" s="70"/>
      <c r="H280" s="70"/>
      <c r="J280" s="70"/>
      <c r="L280" s="71"/>
      <c r="N280" s="70"/>
    </row>
    <row r="281" spans="1:14" ht="15" customHeight="1" x14ac:dyDescent="0.2">
      <c r="A281" s="1859"/>
      <c r="B281" s="180"/>
      <c r="C281" s="189"/>
      <c r="E281" s="190"/>
      <c r="F281" s="1857"/>
      <c r="G281" s="70"/>
      <c r="H281" s="70"/>
      <c r="J281" s="70"/>
      <c r="L281" s="71"/>
      <c r="N281" s="70"/>
    </row>
    <row r="282" spans="1:14" ht="15" customHeight="1" x14ac:dyDescent="0.2">
      <c r="A282" s="1859"/>
      <c r="B282" s="180"/>
      <c r="C282" s="189"/>
      <c r="E282" s="190"/>
      <c r="F282" s="1857"/>
      <c r="G282" s="70"/>
      <c r="H282" s="70"/>
      <c r="J282" s="70"/>
      <c r="L282" s="71"/>
      <c r="N282" s="70"/>
    </row>
    <row r="283" spans="1:14" ht="15" customHeight="1" x14ac:dyDescent="0.2">
      <c r="A283" s="1859"/>
      <c r="B283" s="180"/>
      <c r="C283" s="189"/>
      <c r="E283" s="190"/>
      <c r="F283" s="1857"/>
      <c r="G283" s="70"/>
      <c r="H283" s="70"/>
      <c r="J283" s="70"/>
      <c r="L283" s="71"/>
      <c r="N283" s="70"/>
    </row>
    <row r="284" spans="1:14" ht="15" customHeight="1" x14ac:dyDescent="0.2">
      <c r="A284" s="1859"/>
      <c r="B284" s="180"/>
      <c r="C284" s="189"/>
      <c r="E284" s="190"/>
      <c r="F284" s="1857"/>
      <c r="G284" s="70"/>
      <c r="H284" s="70"/>
      <c r="J284" s="70"/>
      <c r="L284" s="71"/>
      <c r="N284" s="70"/>
    </row>
    <row r="285" spans="1:14" ht="15" customHeight="1" x14ac:dyDescent="0.2">
      <c r="A285" s="1859"/>
      <c r="B285" s="180"/>
      <c r="C285" s="189"/>
      <c r="E285" s="190"/>
      <c r="F285" s="1857"/>
      <c r="G285" s="70"/>
      <c r="H285" s="70"/>
      <c r="J285" s="70"/>
      <c r="L285" s="71"/>
      <c r="N285" s="70"/>
    </row>
    <row r="286" spans="1:14" ht="15" customHeight="1" x14ac:dyDescent="0.2">
      <c r="A286" s="1859"/>
      <c r="B286" s="180"/>
      <c r="C286" s="189"/>
      <c r="E286" s="190"/>
      <c r="F286" s="1857"/>
      <c r="G286" s="70"/>
      <c r="H286" s="70"/>
      <c r="J286" s="70"/>
      <c r="L286" s="71"/>
      <c r="N286" s="70"/>
    </row>
    <row r="287" spans="1:14" ht="15" customHeight="1" x14ac:dyDescent="0.2">
      <c r="A287" s="1859"/>
      <c r="B287" s="180"/>
      <c r="C287" s="189"/>
      <c r="E287" s="190"/>
      <c r="F287" s="1857"/>
      <c r="G287" s="70"/>
      <c r="H287" s="70"/>
      <c r="J287" s="70"/>
      <c r="L287" s="71"/>
      <c r="N287" s="70"/>
    </row>
    <row r="288" spans="1:14" ht="15" customHeight="1" x14ac:dyDescent="0.2">
      <c r="A288" s="1859"/>
      <c r="B288" s="180"/>
      <c r="C288" s="189"/>
      <c r="E288" s="190"/>
      <c r="F288" s="1857"/>
      <c r="G288" s="70"/>
      <c r="H288" s="70"/>
      <c r="J288" s="70"/>
      <c r="L288" s="71"/>
      <c r="N288" s="70"/>
    </row>
    <row r="289" spans="1:14" ht="15" customHeight="1" x14ac:dyDescent="0.2">
      <c r="A289" s="1859"/>
      <c r="B289" s="180"/>
      <c r="C289" s="189"/>
      <c r="E289" s="190"/>
      <c r="F289" s="1857"/>
      <c r="G289" s="70"/>
      <c r="H289" s="70"/>
      <c r="J289" s="70"/>
      <c r="L289" s="71"/>
      <c r="N289" s="70"/>
    </row>
    <row r="290" spans="1:14" ht="15" customHeight="1" x14ac:dyDescent="0.2">
      <c r="A290" s="1859"/>
      <c r="B290" s="180"/>
      <c r="C290" s="189"/>
      <c r="E290" s="190"/>
      <c r="F290" s="1857"/>
      <c r="G290" s="70"/>
      <c r="H290" s="70"/>
      <c r="J290" s="70"/>
      <c r="L290" s="71"/>
      <c r="N290" s="70"/>
    </row>
    <row r="291" spans="1:14" ht="15" customHeight="1" x14ac:dyDescent="0.2">
      <c r="A291" s="1859"/>
      <c r="B291" s="180"/>
      <c r="C291" s="189"/>
      <c r="E291" s="190"/>
      <c r="F291" s="1857"/>
      <c r="G291" s="70"/>
      <c r="H291" s="70"/>
      <c r="J291" s="70"/>
      <c r="L291" s="71"/>
      <c r="N291" s="70"/>
    </row>
    <row r="292" spans="1:14" ht="15" customHeight="1" x14ac:dyDescent="0.2">
      <c r="A292" s="1859"/>
      <c r="B292" s="180"/>
      <c r="C292" s="189"/>
      <c r="E292" s="190"/>
      <c r="F292" s="1857"/>
      <c r="G292" s="70"/>
      <c r="H292" s="70"/>
      <c r="J292" s="70"/>
      <c r="L292" s="71"/>
      <c r="N292" s="70"/>
    </row>
    <row r="293" spans="1:14" ht="15" customHeight="1" x14ac:dyDescent="0.2">
      <c r="A293" s="1859"/>
      <c r="B293" s="180"/>
      <c r="C293" s="189"/>
      <c r="E293" s="190"/>
      <c r="F293" s="1857"/>
      <c r="G293" s="70"/>
      <c r="H293" s="70"/>
      <c r="J293" s="70"/>
      <c r="L293" s="71"/>
      <c r="N293" s="70"/>
    </row>
    <row r="294" spans="1:14" ht="15" customHeight="1" x14ac:dyDescent="0.2">
      <c r="A294" s="1859"/>
      <c r="B294" s="180"/>
      <c r="C294" s="189"/>
      <c r="E294" s="190"/>
      <c r="F294" s="1857"/>
      <c r="G294" s="70"/>
      <c r="H294" s="70"/>
      <c r="J294" s="70"/>
      <c r="L294" s="71"/>
      <c r="N294" s="70"/>
    </row>
    <row r="295" spans="1:14" ht="15" customHeight="1" x14ac:dyDescent="0.2">
      <c r="A295" s="1859"/>
      <c r="B295" s="180"/>
      <c r="C295" s="189"/>
      <c r="E295" s="190"/>
      <c r="F295" s="1857"/>
      <c r="G295" s="70"/>
      <c r="H295" s="70"/>
      <c r="J295" s="70"/>
      <c r="L295" s="71"/>
      <c r="N295" s="70"/>
    </row>
    <row r="296" spans="1:14" ht="15" customHeight="1" x14ac:dyDescent="0.2">
      <c r="A296" s="1859"/>
      <c r="B296" s="180"/>
      <c r="C296" s="189"/>
      <c r="E296" s="190"/>
      <c r="F296" s="1857"/>
      <c r="G296" s="70"/>
      <c r="H296" s="70"/>
      <c r="J296" s="70"/>
      <c r="L296" s="71"/>
      <c r="N296" s="70"/>
    </row>
    <row r="297" spans="1:14" ht="15" customHeight="1" x14ac:dyDescent="0.2">
      <c r="A297" s="1859"/>
      <c r="B297" s="180"/>
      <c r="C297" s="189"/>
      <c r="E297" s="190"/>
      <c r="F297" s="1857"/>
      <c r="G297" s="70"/>
      <c r="H297" s="70"/>
      <c r="J297" s="70"/>
      <c r="L297" s="71"/>
      <c r="N297" s="70"/>
    </row>
    <row r="298" spans="1:14" ht="15" customHeight="1" x14ac:dyDescent="0.2">
      <c r="A298" s="1859"/>
      <c r="B298" s="180"/>
      <c r="C298" s="189"/>
      <c r="E298" s="190"/>
      <c r="F298" s="1857"/>
      <c r="G298" s="70"/>
      <c r="H298" s="70"/>
      <c r="J298" s="70"/>
      <c r="L298" s="71"/>
      <c r="N298" s="70"/>
    </row>
    <row r="299" spans="1:14" ht="15" customHeight="1" x14ac:dyDescent="0.2">
      <c r="A299" s="1859"/>
      <c r="B299" s="180"/>
      <c r="C299" s="189"/>
      <c r="E299" s="190"/>
      <c r="F299" s="1857"/>
      <c r="G299" s="70"/>
      <c r="H299" s="70"/>
      <c r="J299" s="70"/>
      <c r="L299" s="71"/>
      <c r="N299" s="70"/>
    </row>
    <row r="300" spans="1:14" ht="15" customHeight="1" x14ac:dyDescent="0.2">
      <c r="A300" s="1859"/>
      <c r="B300" s="180"/>
      <c r="C300" s="189"/>
      <c r="E300" s="190"/>
      <c r="F300" s="1857"/>
      <c r="G300" s="70"/>
      <c r="H300" s="70"/>
      <c r="J300" s="70"/>
      <c r="L300" s="71"/>
      <c r="N300" s="70"/>
    </row>
    <row r="301" spans="1:14" ht="15" customHeight="1" x14ac:dyDescent="0.2">
      <c r="A301" s="1859"/>
      <c r="B301" s="180"/>
      <c r="C301" s="189"/>
      <c r="E301" s="190"/>
      <c r="F301" s="1857"/>
      <c r="G301" s="70"/>
      <c r="H301" s="70"/>
      <c r="J301" s="70"/>
      <c r="L301" s="71"/>
      <c r="N301" s="70"/>
    </row>
    <row r="302" spans="1:14" ht="15" customHeight="1" x14ac:dyDescent="0.2">
      <c r="A302" s="1859"/>
      <c r="B302" s="180"/>
      <c r="C302" s="189"/>
      <c r="E302" s="190"/>
      <c r="F302" s="1857"/>
      <c r="G302" s="70"/>
      <c r="H302" s="70"/>
      <c r="J302" s="70"/>
      <c r="L302" s="71"/>
      <c r="N302" s="70"/>
    </row>
    <row r="303" spans="1:14" ht="15" customHeight="1" x14ac:dyDescent="0.2">
      <c r="A303" s="1859"/>
      <c r="B303" s="180"/>
      <c r="C303" s="189"/>
      <c r="E303" s="190"/>
      <c r="F303" s="1857"/>
      <c r="G303" s="70"/>
      <c r="H303" s="70"/>
      <c r="J303" s="70"/>
      <c r="L303" s="71"/>
      <c r="N303" s="70"/>
    </row>
    <row r="304" spans="1:14" ht="15" customHeight="1" x14ac:dyDescent="0.2">
      <c r="A304" s="1859"/>
      <c r="B304" s="180"/>
      <c r="C304" s="189"/>
      <c r="E304" s="190"/>
      <c r="F304" s="1857"/>
      <c r="G304" s="70"/>
      <c r="H304" s="70"/>
      <c r="J304" s="70"/>
      <c r="L304" s="71"/>
      <c r="N304" s="70"/>
    </row>
    <row r="305" spans="1:14" ht="15" customHeight="1" x14ac:dyDescent="0.2">
      <c r="A305" s="1859"/>
      <c r="B305" s="180"/>
      <c r="C305" s="189"/>
      <c r="E305" s="190"/>
      <c r="F305" s="1857"/>
      <c r="G305" s="70"/>
      <c r="H305" s="70"/>
      <c r="J305" s="70"/>
      <c r="L305" s="71"/>
      <c r="N305" s="70"/>
    </row>
    <row r="306" spans="1:14" ht="15" customHeight="1" x14ac:dyDescent="0.2">
      <c r="A306" s="1859"/>
      <c r="B306" s="180"/>
      <c r="C306" s="189"/>
      <c r="E306" s="190"/>
      <c r="F306" s="1857"/>
      <c r="G306" s="70"/>
      <c r="H306" s="70"/>
      <c r="J306" s="70"/>
      <c r="L306" s="71"/>
      <c r="N306" s="70"/>
    </row>
    <row r="307" spans="1:14" ht="15" customHeight="1" x14ac:dyDescent="0.2">
      <c r="A307" s="1859"/>
      <c r="B307" s="180"/>
      <c r="C307" s="189"/>
      <c r="E307" s="190"/>
      <c r="F307" s="1857"/>
      <c r="G307" s="70"/>
      <c r="H307" s="70"/>
      <c r="J307" s="70"/>
      <c r="L307" s="71"/>
      <c r="N307" s="70"/>
    </row>
    <row r="308" spans="1:14" ht="15" customHeight="1" x14ac:dyDescent="0.2">
      <c r="A308" s="1859"/>
      <c r="B308" s="180"/>
      <c r="C308" s="189"/>
      <c r="E308" s="190"/>
      <c r="F308" s="1857"/>
      <c r="G308" s="70"/>
      <c r="H308" s="70"/>
      <c r="J308" s="70"/>
      <c r="L308" s="71"/>
      <c r="N308" s="70"/>
    </row>
    <row r="309" spans="1:14" ht="15" customHeight="1" x14ac:dyDescent="0.2">
      <c r="A309" s="1859"/>
      <c r="B309" s="180"/>
      <c r="C309" s="189"/>
      <c r="E309" s="190"/>
      <c r="F309" s="1857"/>
      <c r="G309" s="70"/>
      <c r="H309" s="70"/>
      <c r="J309" s="70"/>
      <c r="L309" s="71"/>
      <c r="N309" s="70"/>
    </row>
    <row r="310" spans="1:14" ht="15" customHeight="1" x14ac:dyDescent="0.2">
      <c r="A310" s="1859"/>
      <c r="B310" s="180"/>
      <c r="C310" s="189"/>
      <c r="E310" s="190"/>
      <c r="F310" s="1857"/>
      <c r="G310" s="70"/>
      <c r="H310" s="70"/>
      <c r="J310" s="70"/>
      <c r="L310" s="71"/>
      <c r="N310" s="70"/>
    </row>
    <row r="311" spans="1:14" ht="15" customHeight="1" x14ac:dyDescent="0.2">
      <c r="A311" s="1859"/>
      <c r="B311" s="180"/>
      <c r="C311" s="189"/>
      <c r="E311" s="190"/>
      <c r="F311" s="1857"/>
      <c r="G311" s="70"/>
      <c r="H311" s="70"/>
      <c r="J311" s="70"/>
      <c r="L311" s="71"/>
      <c r="N311" s="70"/>
    </row>
    <row r="312" spans="1:14" ht="15" customHeight="1" x14ac:dyDescent="0.2">
      <c r="A312" s="1859"/>
      <c r="B312" s="180"/>
      <c r="C312" s="189"/>
      <c r="E312" s="190"/>
      <c r="F312" s="1857"/>
      <c r="G312" s="70"/>
      <c r="H312" s="70"/>
      <c r="J312" s="70"/>
      <c r="L312" s="71"/>
      <c r="N312" s="70"/>
    </row>
    <row r="313" spans="1:14" ht="15" customHeight="1" x14ac:dyDescent="0.2">
      <c r="A313" s="1859"/>
      <c r="B313" s="180"/>
      <c r="C313" s="189"/>
      <c r="E313" s="190"/>
      <c r="F313" s="1857"/>
      <c r="G313" s="70"/>
      <c r="H313" s="70"/>
      <c r="J313" s="70"/>
      <c r="L313" s="71"/>
      <c r="N313" s="70"/>
    </row>
    <row r="314" spans="1:14" ht="15" customHeight="1" x14ac:dyDescent="0.2">
      <c r="A314" s="1859"/>
      <c r="B314" s="180"/>
      <c r="C314" s="189"/>
      <c r="E314" s="190"/>
      <c r="F314" s="1857"/>
      <c r="G314" s="70"/>
      <c r="H314" s="70"/>
      <c r="J314" s="70"/>
      <c r="L314" s="71"/>
      <c r="N314" s="70"/>
    </row>
    <row r="315" spans="1:14" ht="15" customHeight="1" x14ac:dyDescent="0.2">
      <c r="A315" s="1859"/>
      <c r="B315" s="180"/>
      <c r="C315" s="189"/>
      <c r="E315" s="190"/>
      <c r="F315" s="1857"/>
      <c r="G315" s="70"/>
      <c r="H315" s="70"/>
      <c r="J315" s="70"/>
      <c r="L315" s="71"/>
      <c r="N315" s="70"/>
    </row>
    <row r="316" spans="1:14" ht="15" customHeight="1" x14ac:dyDescent="0.2">
      <c r="A316" s="1859"/>
      <c r="B316" s="180"/>
      <c r="C316" s="189"/>
      <c r="E316" s="190"/>
      <c r="F316" s="1857"/>
      <c r="G316" s="70"/>
      <c r="H316" s="70"/>
      <c r="J316" s="70"/>
      <c r="L316" s="71"/>
      <c r="N316" s="70"/>
    </row>
    <row r="317" spans="1:14" ht="15" customHeight="1" x14ac:dyDescent="0.2">
      <c r="A317" s="1859"/>
      <c r="B317" s="180"/>
      <c r="C317" s="189"/>
      <c r="E317" s="190"/>
      <c r="F317" s="1857"/>
      <c r="G317" s="70"/>
      <c r="H317" s="70"/>
      <c r="J317" s="70"/>
      <c r="L317" s="71"/>
      <c r="N317" s="70"/>
    </row>
    <row r="318" spans="1:14" ht="15" customHeight="1" x14ac:dyDescent="0.2">
      <c r="A318" s="1859"/>
      <c r="B318" s="180"/>
      <c r="C318" s="189"/>
      <c r="E318" s="190"/>
      <c r="F318" s="1857"/>
      <c r="G318" s="70"/>
      <c r="H318" s="70"/>
      <c r="J318" s="70"/>
      <c r="L318" s="71"/>
      <c r="N318" s="70"/>
    </row>
    <row r="319" spans="1:14" ht="15" customHeight="1" x14ac:dyDescent="0.2">
      <c r="A319" s="1859"/>
      <c r="B319" s="180"/>
      <c r="C319" s="189"/>
      <c r="E319" s="190"/>
      <c r="F319" s="1857"/>
      <c r="G319" s="70"/>
      <c r="H319" s="70"/>
      <c r="J319" s="70"/>
      <c r="L319" s="71"/>
      <c r="N319" s="70"/>
    </row>
    <row r="320" spans="1:14" ht="15" customHeight="1" x14ac:dyDescent="0.2">
      <c r="A320" s="1859"/>
      <c r="B320" s="180"/>
      <c r="C320" s="189"/>
      <c r="E320" s="190"/>
      <c r="F320" s="1857"/>
      <c r="G320" s="70"/>
      <c r="H320" s="70"/>
      <c r="J320" s="70"/>
      <c r="L320" s="71"/>
      <c r="N320" s="70"/>
    </row>
    <row r="321" spans="1:14" ht="15" customHeight="1" x14ac:dyDescent="0.2">
      <c r="A321" s="1859"/>
      <c r="B321" s="180"/>
      <c r="C321" s="189"/>
      <c r="E321" s="190"/>
      <c r="F321" s="1857"/>
      <c r="G321" s="70"/>
      <c r="H321" s="70"/>
      <c r="J321" s="70"/>
      <c r="L321" s="71"/>
      <c r="N321" s="70"/>
    </row>
    <row r="322" spans="1:14" ht="15" customHeight="1" x14ac:dyDescent="0.2">
      <c r="A322" s="1859"/>
      <c r="B322" s="180"/>
      <c r="C322" s="189"/>
      <c r="E322" s="190"/>
      <c r="F322" s="1857"/>
      <c r="G322" s="70"/>
      <c r="H322" s="70"/>
      <c r="J322" s="70"/>
      <c r="L322" s="71"/>
      <c r="N322" s="70"/>
    </row>
    <row r="323" spans="1:14" ht="15" customHeight="1" x14ac:dyDescent="0.2">
      <c r="A323" s="1859"/>
      <c r="B323" s="180"/>
      <c r="C323" s="189"/>
      <c r="E323" s="190"/>
      <c r="F323" s="1857"/>
      <c r="G323" s="70"/>
      <c r="H323" s="70"/>
      <c r="J323" s="70"/>
      <c r="L323" s="71"/>
      <c r="N323" s="70"/>
    </row>
    <row r="324" spans="1:14" ht="15" customHeight="1" x14ac:dyDescent="0.2">
      <c r="A324" s="1859"/>
      <c r="B324" s="180"/>
      <c r="C324" s="189"/>
      <c r="E324" s="190"/>
      <c r="F324" s="1857"/>
      <c r="G324" s="70"/>
      <c r="H324" s="70"/>
      <c r="J324" s="70"/>
      <c r="L324" s="71"/>
      <c r="N324" s="70"/>
    </row>
    <row r="325" spans="1:14" ht="15" customHeight="1" x14ac:dyDescent="0.2">
      <c r="A325" s="1859"/>
      <c r="B325" s="180"/>
      <c r="C325" s="189"/>
      <c r="E325" s="190"/>
      <c r="F325" s="1857"/>
      <c r="G325" s="70"/>
      <c r="H325" s="70"/>
      <c r="J325" s="70"/>
      <c r="L325" s="71"/>
      <c r="N325" s="70"/>
    </row>
    <row r="326" spans="1:14" ht="15" customHeight="1" x14ac:dyDescent="0.2">
      <c r="A326" s="1859"/>
      <c r="B326" s="180"/>
      <c r="C326" s="189"/>
      <c r="E326" s="190"/>
      <c r="F326" s="1857"/>
      <c r="G326" s="70"/>
      <c r="H326" s="70"/>
      <c r="J326" s="70"/>
      <c r="L326" s="71"/>
      <c r="N326" s="70"/>
    </row>
    <row r="327" spans="1:14" ht="15" customHeight="1" x14ac:dyDescent="0.2">
      <c r="A327" s="1859"/>
      <c r="B327" s="180"/>
      <c r="C327" s="189"/>
      <c r="E327" s="190"/>
      <c r="F327" s="1857"/>
      <c r="G327" s="70"/>
      <c r="H327" s="70"/>
      <c r="J327" s="70"/>
      <c r="L327" s="71"/>
      <c r="N327" s="70"/>
    </row>
    <row r="328" spans="1:14" ht="15" customHeight="1" x14ac:dyDescent="0.2">
      <c r="A328" s="1859"/>
      <c r="B328" s="180"/>
      <c r="C328" s="189"/>
      <c r="E328" s="190"/>
      <c r="F328" s="1857"/>
      <c r="G328" s="70"/>
      <c r="H328" s="70"/>
      <c r="J328" s="70"/>
      <c r="L328" s="71"/>
      <c r="N328" s="70"/>
    </row>
    <row r="329" spans="1:14" ht="15" customHeight="1" x14ac:dyDescent="0.2">
      <c r="A329" s="1859"/>
      <c r="B329" s="180"/>
      <c r="C329" s="189"/>
      <c r="E329" s="190"/>
      <c r="F329" s="1857"/>
      <c r="G329" s="70"/>
      <c r="H329" s="70"/>
      <c r="J329" s="70"/>
      <c r="L329" s="71"/>
      <c r="N329" s="70"/>
    </row>
    <row r="330" spans="1:14" ht="15" customHeight="1" x14ac:dyDescent="0.2">
      <c r="A330" s="1859"/>
      <c r="B330" s="180"/>
      <c r="C330" s="189"/>
      <c r="E330" s="190"/>
      <c r="F330" s="1857"/>
      <c r="G330" s="70"/>
      <c r="H330" s="70"/>
      <c r="J330" s="70"/>
      <c r="L330" s="71"/>
      <c r="N330" s="70"/>
    </row>
    <row r="331" spans="1:14" ht="15" customHeight="1" x14ac:dyDescent="0.2">
      <c r="A331" s="1859"/>
      <c r="B331" s="180"/>
      <c r="C331" s="189"/>
      <c r="E331" s="190"/>
      <c r="F331" s="1857"/>
      <c r="G331" s="70"/>
      <c r="H331" s="70"/>
      <c r="J331" s="70"/>
      <c r="L331" s="71"/>
      <c r="N331" s="70"/>
    </row>
    <row r="332" spans="1:14" ht="15" customHeight="1" x14ac:dyDescent="0.2">
      <c r="A332" s="1859"/>
      <c r="B332" s="180"/>
      <c r="C332" s="189"/>
      <c r="E332" s="190"/>
      <c r="F332" s="1857"/>
      <c r="G332" s="70"/>
      <c r="H332" s="70"/>
      <c r="J332" s="70"/>
      <c r="L332" s="71"/>
      <c r="N332" s="70"/>
    </row>
    <row r="333" spans="1:14" ht="15" customHeight="1" x14ac:dyDescent="0.2">
      <c r="A333" s="1859"/>
      <c r="B333" s="180"/>
      <c r="C333" s="189"/>
      <c r="E333" s="190"/>
      <c r="F333" s="1857"/>
      <c r="G333" s="70"/>
      <c r="H333" s="70"/>
      <c r="J333" s="70"/>
      <c r="L333" s="71"/>
      <c r="N333" s="70"/>
    </row>
    <row r="334" spans="1:14" ht="15" customHeight="1" x14ac:dyDescent="0.2">
      <c r="A334" s="1859"/>
      <c r="B334" s="180"/>
      <c r="C334" s="189"/>
      <c r="E334" s="190"/>
      <c r="F334" s="1857"/>
      <c r="G334" s="70"/>
      <c r="H334" s="70"/>
      <c r="J334" s="70"/>
      <c r="L334" s="71"/>
      <c r="N334" s="70"/>
    </row>
    <row r="335" spans="1:14" ht="15" customHeight="1" x14ac:dyDescent="0.2">
      <c r="A335" s="1859"/>
      <c r="B335" s="180"/>
      <c r="C335" s="189"/>
      <c r="E335" s="190"/>
      <c r="F335" s="1857"/>
      <c r="G335" s="70"/>
      <c r="H335" s="70"/>
      <c r="J335" s="70"/>
      <c r="L335" s="71"/>
      <c r="N335" s="70"/>
    </row>
    <row r="336" spans="1:14" ht="15" customHeight="1" x14ac:dyDescent="0.2">
      <c r="A336" s="1859"/>
      <c r="B336" s="180"/>
      <c r="C336" s="189"/>
      <c r="E336" s="190"/>
      <c r="F336" s="1857"/>
      <c r="G336" s="70"/>
      <c r="H336" s="70"/>
      <c r="J336" s="70"/>
      <c r="L336" s="71"/>
      <c r="N336" s="70"/>
    </row>
    <row r="337" spans="1:14" ht="15" customHeight="1" x14ac:dyDescent="0.2">
      <c r="A337" s="1859"/>
      <c r="B337" s="180"/>
      <c r="C337" s="189"/>
      <c r="E337" s="190"/>
      <c r="F337" s="1857"/>
      <c r="G337" s="70"/>
      <c r="H337" s="70"/>
      <c r="J337" s="70"/>
      <c r="L337" s="71"/>
      <c r="N337" s="70"/>
    </row>
    <row r="338" spans="1:14" ht="15" customHeight="1" x14ac:dyDescent="0.2">
      <c r="A338" s="1859"/>
      <c r="B338" s="180"/>
      <c r="C338" s="189"/>
      <c r="E338" s="190"/>
      <c r="F338" s="1857"/>
      <c r="G338" s="70"/>
      <c r="H338" s="70"/>
      <c r="J338" s="70"/>
      <c r="L338" s="71"/>
      <c r="N338" s="70"/>
    </row>
    <row r="339" spans="1:14" ht="15" customHeight="1" x14ac:dyDescent="0.2">
      <c r="A339" s="1859"/>
      <c r="B339" s="180"/>
      <c r="C339" s="189"/>
      <c r="E339" s="190"/>
      <c r="F339" s="1857"/>
      <c r="G339" s="70"/>
      <c r="H339" s="70"/>
      <c r="J339" s="70"/>
      <c r="L339" s="71"/>
      <c r="N339" s="70"/>
    </row>
    <row r="340" spans="1:14" ht="15" customHeight="1" x14ac:dyDescent="0.2">
      <c r="A340" s="1859"/>
      <c r="B340" s="180"/>
      <c r="C340" s="189"/>
      <c r="E340" s="190"/>
      <c r="F340" s="1857"/>
      <c r="G340" s="70"/>
      <c r="H340" s="70"/>
      <c r="J340" s="70"/>
      <c r="L340" s="71"/>
      <c r="N340" s="70"/>
    </row>
    <row r="341" spans="1:14" ht="15" customHeight="1" x14ac:dyDescent="0.2">
      <c r="A341" s="1859"/>
      <c r="B341" s="180"/>
      <c r="C341" s="189"/>
      <c r="E341" s="190"/>
      <c r="F341" s="1857"/>
      <c r="G341" s="70"/>
      <c r="H341" s="70"/>
      <c r="J341" s="70"/>
      <c r="L341" s="71"/>
      <c r="N341" s="70"/>
    </row>
    <row r="342" spans="1:14" ht="15" customHeight="1" x14ac:dyDescent="0.2">
      <c r="A342" s="1859"/>
      <c r="B342" s="180"/>
      <c r="C342" s="189"/>
      <c r="E342" s="190"/>
      <c r="F342" s="1857"/>
      <c r="G342" s="70"/>
      <c r="H342" s="70"/>
      <c r="J342" s="70"/>
      <c r="L342" s="71"/>
      <c r="N342" s="70"/>
    </row>
    <row r="343" spans="1:14" ht="15" customHeight="1" x14ac:dyDescent="0.2">
      <c r="A343" s="1859"/>
      <c r="B343" s="180"/>
      <c r="C343" s="189"/>
      <c r="E343" s="190"/>
      <c r="F343" s="1857"/>
      <c r="G343" s="70"/>
      <c r="H343" s="70"/>
      <c r="J343" s="70"/>
      <c r="L343" s="71"/>
      <c r="N343" s="70"/>
    </row>
    <row r="344" spans="1:14" ht="15" customHeight="1" x14ac:dyDescent="0.2">
      <c r="A344" s="1859"/>
      <c r="B344" s="180"/>
      <c r="C344" s="189"/>
      <c r="E344" s="190"/>
      <c r="F344" s="1857"/>
      <c r="G344" s="70"/>
      <c r="H344" s="70"/>
      <c r="J344" s="70"/>
      <c r="L344" s="71"/>
      <c r="N344" s="70"/>
    </row>
    <row r="345" spans="1:14" ht="15" customHeight="1" thickBot="1" x14ac:dyDescent="0.25">
      <c r="A345" s="1860"/>
      <c r="B345" s="1861"/>
      <c r="C345" s="1862"/>
      <c r="D345" s="1871"/>
      <c r="E345" s="1864"/>
      <c r="F345" s="1865"/>
      <c r="G345" s="70"/>
      <c r="H345" s="70"/>
      <c r="J345" s="70"/>
      <c r="L345" s="71"/>
      <c r="N345" s="70"/>
    </row>
    <row r="346" spans="1:14" ht="15" customHeight="1" x14ac:dyDescent="0.2">
      <c r="A346" s="292"/>
      <c r="C346" s="189"/>
      <c r="E346" s="190"/>
      <c r="G346" s="70"/>
      <c r="H346" s="70"/>
      <c r="J346" s="70"/>
      <c r="L346" s="71"/>
      <c r="N346" s="70"/>
    </row>
    <row r="347" spans="1:14" ht="15" customHeight="1" x14ac:dyDescent="0.2">
      <c r="A347" s="292"/>
      <c r="C347" s="189"/>
      <c r="E347" s="190"/>
      <c r="G347" s="70"/>
      <c r="H347" s="70"/>
      <c r="J347" s="70"/>
      <c r="L347" s="71"/>
      <c r="N347" s="70"/>
    </row>
    <row r="348" spans="1:14" ht="15" customHeight="1" x14ac:dyDescent="0.2">
      <c r="A348" s="292"/>
      <c r="C348" s="189"/>
      <c r="E348" s="190"/>
      <c r="G348" s="70"/>
      <c r="H348" s="70"/>
      <c r="J348" s="70"/>
      <c r="L348" s="71"/>
      <c r="N348" s="70"/>
    </row>
    <row r="349" spans="1:14" ht="15" customHeight="1" x14ac:dyDescent="0.2">
      <c r="A349" s="292"/>
      <c r="C349" s="189"/>
      <c r="E349" s="190"/>
      <c r="G349" s="70"/>
      <c r="H349" s="70"/>
      <c r="J349" s="70"/>
      <c r="L349" s="71"/>
      <c r="N349" s="70"/>
    </row>
    <row r="350" spans="1:14" ht="15" customHeight="1" x14ac:dyDescent="0.2">
      <c r="A350" s="292"/>
      <c r="C350" s="189"/>
      <c r="E350" s="190"/>
      <c r="G350" s="70"/>
      <c r="H350" s="70"/>
      <c r="J350" s="70"/>
      <c r="L350" s="71"/>
      <c r="N350" s="70"/>
    </row>
    <row r="351" spans="1:14" ht="15" customHeight="1" x14ac:dyDescent="0.2">
      <c r="A351" s="292"/>
      <c r="C351" s="189"/>
      <c r="E351" s="190"/>
      <c r="G351" s="70"/>
      <c r="H351" s="70"/>
      <c r="J351" s="70"/>
      <c r="L351" s="71"/>
      <c r="N351" s="70"/>
    </row>
    <row r="352" spans="1:14" ht="15" customHeight="1" x14ac:dyDescent="0.2">
      <c r="A352" s="292"/>
      <c r="C352" s="189"/>
      <c r="E352" s="190"/>
      <c r="G352" s="70"/>
      <c r="H352" s="70"/>
      <c r="J352" s="70"/>
      <c r="L352" s="71"/>
      <c r="N352" s="70"/>
    </row>
    <row r="353" spans="1:14" ht="15" customHeight="1" x14ac:dyDescent="0.2">
      <c r="A353" s="292"/>
      <c r="C353" s="189"/>
      <c r="E353" s="190"/>
      <c r="G353" s="70"/>
      <c r="H353" s="70"/>
      <c r="J353" s="70"/>
      <c r="L353" s="71"/>
      <c r="N353" s="70"/>
    </row>
    <row r="354" spans="1:14" ht="15" customHeight="1" x14ac:dyDescent="0.2">
      <c r="A354" s="292"/>
      <c r="C354" s="189"/>
      <c r="E354" s="190"/>
      <c r="G354" s="70"/>
      <c r="H354" s="70"/>
      <c r="J354" s="70"/>
      <c r="L354" s="71"/>
      <c r="N354" s="70"/>
    </row>
    <row r="355" spans="1:14" ht="15" customHeight="1" x14ac:dyDescent="0.2">
      <c r="A355" s="292"/>
      <c r="C355" s="189"/>
      <c r="E355" s="190"/>
      <c r="G355" s="70"/>
      <c r="H355" s="70"/>
      <c r="J355" s="70"/>
      <c r="L355" s="71"/>
      <c r="N355" s="70"/>
    </row>
    <row r="356" spans="1:14" ht="15" customHeight="1" x14ac:dyDescent="0.2">
      <c r="A356" s="292"/>
      <c r="C356" s="189"/>
      <c r="E356" s="190"/>
      <c r="G356" s="70"/>
      <c r="H356" s="70"/>
      <c r="J356" s="70"/>
      <c r="L356" s="71"/>
      <c r="N356" s="70"/>
    </row>
    <row r="357" spans="1:14" ht="15" customHeight="1" x14ac:dyDescent="0.2">
      <c r="A357" s="292"/>
      <c r="C357" s="189"/>
      <c r="E357" s="190"/>
      <c r="G357" s="70"/>
      <c r="H357" s="70"/>
      <c r="J357" s="70"/>
      <c r="L357" s="71"/>
      <c r="N357" s="70"/>
    </row>
    <row r="358" spans="1:14" ht="15" customHeight="1" x14ac:dyDescent="0.2">
      <c r="A358" s="292"/>
      <c r="C358" s="189"/>
      <c r="E358" s="190"/>
      <c r="G358" s="70"/>
      <c r="H358" s="70"/>
      <c r="J358" s="70"/>
      <c r="L358" s="71"/>
      <c r="N358" s="70"/>
    </row>
    <row r="359" spans="1:14" ht="15" customHeight="1" x14ac:dyDescent="0.2">
      <c r="A359" s="292"/>
      <c r="C359" s="189"/>
      <c r="E359" s="190"/>
      <c r="G359" s="70"/>
      <c r="H359" s="70"/>
      <c r="J359" s="70"/>
      <c r="L359" s="71"/>
      <c r="N359" s="70"/>
    </row>
    <row r="360" spans="1:14" ht="15" customHeight="1" x14ac:dyDescent="0.2">
      <c r="A360" s="292"/>
      <c r="C360" s="189"/>
      <c r="E360" s="190"/>
      <c r="G360" s="70"/>
      <c r="H360" s="70"/>
      <c r="J360" s="70"/>
      <c r="L360" s="71"/>
      <c r="N360" s="70"/>
    </row>
    <row r="361" spans="1:14" ht="15" customHeight="1" x14ac:dyDescent="0.2">
      <c r="A361" s="292"/>
      <c r="C361" s="189"/>
      <c r="E361" s="190"/>
      <c r="G361" s="70"/>
      <c r="H361" s="70"/>
      <c r="J361" s="70"/>
      <c r="L361" s="71"/>
      <c r="N361" s="70"/>
    </row>
    <row r="362" spans="1:14" ht="15" customHeight="1" x14ac:dyDescent="0.2">
      <c r="A362" s="292"/>
      <c r="C362" s="189"/>
      <c r="E362" s="190"/>
      <c r="G362" s="70"/>
      <c r="H362" s="70"/>
      <c r="J362" s="70"/>
      <c r="L362" s="71"/>
      <c r="N362" s="70"/>
    </row>
    <row r="363" spans="1:14" ht="15" customHeight="1" x14ac:dyDescent="0.2">
      <c r="A363" s="292"/>
      <c r="C363" s="189"/>
      <c r="E363" s="190"/>
      <c r="G363" s="70"/>
      <c r="H363" s="70"/>
      <c r="J363" s="70"/>
      <c r="L363" s="71"/>
      <c r="N363" s="70"/>
    </row>
    <row r="364" spans="1:14" ht="15" customHeight="1" x14ac:dyDescent="0.2">
      <c r="A364" s="292"/>
      <c r="C364" s="189"/>
      <c r="E364" s="190"/>
      <c r="G364" s="70"/>
      <c r="H364" s="70"/>
      <c r="J364" s="70"/>
      <c r="L364" s="71"/>
      <c r="N364" s="70"/>
    </row>
    <row r="365" spans="1:14" ht="15" customHeight="1" x14ac:dyDescent="0.2">
      <c r="A365" s="292"/>
      <c r="C365" s="189"/>
      <c r="E365" s="190"/>
      <c r="G365" s="70"/>
      <c r="H365" s="70"/>
      <c r="J365" s="70"/>
      <c r="L365" s="71"/>
      <c r="N365" s="70"/>
    </row>
    <row r="366" spans="1:14" ht="15" customHeight="1" x14ac:dyDescent="0.2">
      <c r="A366" s="292"/>
      <c r="C366" s="189"/>
      <c r="E366" s="190"/>
      <c r="G366" s="70"/>
      <c r="H366" s="70"/>
      <c r="J366" s="70"/>
      <c r="L366" s="71"/>
      <c r="N366" s="70"/>
    </row>
    <row r="367" spans="1:14" ht="15" customHeight="1" x14ac:dyDescent="0.2">
      <c r="A367" s="292"/>
      <c r="C367" s="189"/>
      <c r="E367" s="190"/>
      <c r="G367" s="70"/>
      <c r="H367" s="70"/>
      <c r="J367" s="70"/>
      <c r="L367" s="71"/>
      <c r="N367" s="70"/>
    </row>
    <row r="368" spans="1:14" ht="15" customHeight="1" x14ac:dyDescent="0.2">
      <c r="A368" s="292"/>
      <c r="C368" s="189"/>
      <c r="E368" s="190"/>
      <c r="G368" s="70"/>
      <c r="H368" s="70"/>
      <c r="J368" s="70"/>
      <c r="L368" s="71"/>
      <c r="N368" s="70"/>
    </row>
    <row r="369" spans="1:14" ht="15" customHeight="1" x14ac:dyDescent="0.2">
      <c r="A369" s="292"/>
      <c r="C369" s="189"/>
      <c r="E369" s="190"/>
      <c r="G369" s="70"/>
      <c r="H369" s="70"/>
      <c r="J369" s="70"/>
      <c r="L369" s="71"/>
      <c r="N369" s="70"/>
    </row>
    <row r="370" spans="1:14" ht="15" customHeight="1" x14ac:dyDescent="0.2">
      <c r="A370" s="292"/>
      <c r="C370" s="189"/>
      <c r="E370" s="190"/>
      <c r="G370" s="70"/>
      <c r="H370" s="70"/>
      <c r="J370" s="70"/>
      <c r="L370" s="71"/>
      <c r="N370" s="70"/>
    </row>
    <row r="371" spans="1:14" ht="15" customHeight="1" x14ac:dyDescent="0.2">
      <c r="A371" s="292"/>
      <c r="C371" s="189"/>
      <c r="E371" s="190"/>
      <c r="G371" s="70"/>
      <c r="H371" s="70"/>
      <c r="J371" s="70"/>
      <c r="L371" s="71"/>
      <c r="N371" s="70"/>
    </row>
    <row r="372" spans="1:14" ht="15" customHeight="1" x14ac:dyDescent="0.2">
      <c r="A372" s="292"/>
      <c r="C372" s="189"/>
      <c r="E372" s="190"/>
      <c r="G372" s="70"/>
      <c r="H372" s="70"/>
      <c r="J372" s="70"/>
      <c r="L372" s="71"/>
      <c r="N372" s="70"/>
    </row>
    <row r="373" spans="1:14" ht="15" customHeight="1" x14ac:dyDescent="0.2">
      <c r="A373" s="292"/>
      <c r="C373" s="189"/>
      <c r="E373" s="190"/>
      <c r="G373" s="70"/>
      <c r="H373" s="70"/>
      <c r="J373" s="70"/>
      <c r="L373" s="71"/>
      <c r="N373" s="70"/>
    </row>
    <row r="374" spans="1:14" ht="15" customHeight="1" x14ac:dyDescent="0.2">
      <c r="A374" s="292"/>
      <c r="C374" s="189"/>
      <c r="E374" s="190"/>
      <c r="G374" s="70"/>
      <c r="H374" s="70"/>
      <c r="J374" s="70"/>
      <c r="L374" s="71"/>
      <c r="N374" s="70"/>
    </row>
    <row r="375" spans="1:14" ht="15" customHeight="1" x14ac:dyDescent="0.2">
      <c r="A375" s="292"/>
      <c r="C375" s="189"/>
      <c r="E375" s="190"/>
      <c r="G375" s="70"/>
      <c r="H375" s="70"/>
      <c r="J375" s="70"/>
      <c r="L375" s="71"/>
      <c r="N375" s="70"/>
    </row>
    <row r="376" spans="1:14" ht="15" customHeight="1" x14ac:dyDescent="0.2">
      <c r="A376" s="292"/>
      <c r="C376" s="189"/>
      <c r="E376" s="190"/>
      <c r="G376" s="70"/>
      <c r="H376" s="70"/>
      <c r="J376" s="70"/>
      <c r="L376" s="71"/>
      <c r="N376" s="70"/>
    </row>
    <row r="377" spans="1:14" ht="15" customHeight="1" x14ac:dyDescent="0.2">
      <c r="A377" s="292"/>
      <c r="C377" s="189"/>
      <c r="E377" s="190"/>
      <c r="G377" s="70"/>
      <c r="H377" s="70"/>
      <c r="J377" s="70"/>
      <c r="L377" s="71"/>
      <c r="N377" s="70"/>
    </row>
    <row r="378" spans="1:14" ht="15" customHeight="1" x14ac:dyDescent="0.2">
      <c r="A378" s="292"/>
      <c r="C378" s="189"/>
      <c r="E378" s="190"/>
      <c r="G378" s="70"/>
      <c r="H378" s="70"/>
      <c r="J378" s="70"/>
      <c r="L378" s="71"/>
      <c r="N378" s="70"/>
    </row>
    <row r="379" spans="1:14" ht="15" customHeight="1" x14ac:dyDescent="0.2">
      <c r="A379" s="292"/>
      <c r="C379" s="189"/>
      <c r="E379" s="190"/>
      <c r="G379" s="70"/>
      <c r="H379" s="70"/>
      <c r="J379" s="70"/>
      <c r="L379" s="71"/>
      <c r="N379" s="70"/>
    </row>
    <row r="380" spans="1:14" ht="15" customHeight="1" x14ac:dyDescent="0.2">
      <c r="A380" s="292"/>
      <c r="C380" s="189"/>
      <c r="E380" s="190"/>
      <c r="G380" s="70"/>
      <c r="H380" s="70"/>
      <c r="J380" s="70"/>
      <c r="L380" s="71"/>
      <c r="N380" s="70"/>
    </row>
    <row r="381" spans="1:14" ht="15" customHeight="1" x14ac:dyDescent="0.2">
      <c r="A381" s="292"/>
      <c r="C381" s="189"/>
      <c r="E381" s="190"/>
      <c r="G381" s="70"/>
      <c r="H381" s="70"/>
      <c r="J381" s="70"/>
      <c r="L381" s="71"/>
      <c r="N381" s="70"/>
    </row>
    <row r="382" spans="1:14" ht="15" customHeight="1" x14ac:dyDescent="0.2">
      <c r="A382" s="292"/>
      <c r="C382" s="189"/>
      <c r="E382" s="190"/>
      <c r="G382" s="70"/>
      <c r="H382" s="70"/>
      <c r="J382" s="70"/>
      <c r="L382" s="71"/>
      <c r="N382" s="70"/>
    </row>
    <row r="383" spans="1:14" ht="15" customHeight="1" x14ac:dyDescent="0.2">
      <c r="A383" s="292"/>
      <c r="C383" s="189"/>
      <c r="E383" s="190"/>
      <c r="G383" s="70"/>
      <c r="H383" s="70"/>
      <c r="J383" s="70"/>
      <c r="L383" s="71"/>
      <c r="N383" s="70"/>
    </row>
    <row r="384" spans="1:14" ht="15" customHeight="1" x14ac:dyDescent="0.2">
      <c r="A384" s="292"/>
      <c r="C384" s="189"/>
      <c r="E384" s="190"/>
      <c r="G384" s="70"/>
      <c r="H384" s="70"/>
      <c r="J384" s="70"/>
      <c r="L384" s="71"/>
      <c r="N384" s="70"/>
    </row>
    <row r="385" spans="1:14" ht="15" customHeight="1" x14ac:dyDescent="0.2">
      <c r="A385" s="292"/>
      <c r="C385" s="189"/>
      <c r="E385" s="190"/>
      <c r="G385" s="70"/>
      <c r="H385" s="70"/>
      <c r="J385" s="70"/>
      <c r="L385" s="71"/>
      <c r="N385" s="70"/>
    </row>
    <row r="386" spans="1:14" ht="15" customHeight="1" x14ac:dyDescent="0.2">
      <c r="A386" s="292"/>
      <c r="C386" s="189"/>
      <c r="E386" s="190"/>
      <c r="G386" s="70"/>
      <c r="H386" s="70"/>
      <c r="J386" s="70"/>
      <c r="L386" s="71"/>
      <c r="N386" s="70"/>
    </row>
    <row r="387" spans="1:14" ht="15" customHeight="1" x14ac:dyDescent="0.2">
      <c r="A387" s="292"/>
      <c r="C387" s="189"/>
      <c r="E387" s="190"/>
      <c r="G387" s="70"/>
      <c r="H387" s="70"/>
      <c r="J387" s="70"/>
      <c r="L387" s="71"/>
      <c r="N387" s="70"/>
    </row>
    <row r="388" spans="1:14" ht="15" customHeight="1" x14ac:dyDescent="0.2">
      <c r="A388" s="292"/>
      <c r="C388" s="189"/>
      <c r="E388" s="190"/>
      <c r="G388" s="70"/>
      <c r="H388" s="70"/>
      <c r="J388" s="70"/>
      <c r="L388" s="71"/>
      <c r="N388" s="70"/>
    </row>
    <row r="389" spans="1:14" ht="15" customHeight="1" x14ac:dyDescent="0.2">
      <c r="A389" s="292"/>
      <c r="C389" s="189"/>
      <c r="E389" s="190"/>
      <c r="G389" s="70"/>
      <c r="H389" s="70"/>
      <c r="J389" s="70"/>
      <c r="L389" s="71"/>
      <c r="N389" s="70"/>
    </row>
    <row r="390" spans="1:14" ht="15" customHeight="1" x14ac:dyDescent="0.2">
      <c r="A390" s="292"/>
      <c r="C390" s="189"/>
      <c r="E390" s="190"/>
      <c r="G390" s="70"/>
      <c r="H390" s="70"/>
      <c r="J390" s="70"/>
      <c r="L390" s="71"/>
      <c r="N390" s="70"/>
    </row>
    <row r="391" spans="1:14" ht="15" customHeight="1" x14ac:dyDescent="0.2">
      <c r="A391" s="292"/>
      <c r="C391" s="189"/>
      <c r="E391" s="190"/>
      <c r="G391" s="70"/>
      <c r="H391" s="70"/>
      <c r="J391" s="70"/>
      <c r="L391" s="71"/>
      <c r="N391" s="70"/>
    </row>
    <row r="392" spans="1:14" ht="15" customHeight="1" x14ac:dyDescent="0.2">
      <c r="A392" s="292"/>
      <c r="C392" s="189"/>
      <c r="E392" s="190"/>
      <c r="G392" s="70"/>
      <c r="H392" s="70"/>
      <c r="J392" s="70"/>
      <c r="L392" s="71"/>
      <c r="N392" s="70"/>
    </row>
    <row r="393" spans="1:14" ht="15" customHeight="1" x14ac:dyDescent="0.2">
      <c r="A393" s="292"/>
      <c r="C393" s="189"/>
      <c r="E393" s="190"/>
      <c r="G393" s="70"/>
      <c r="H393" s="70"/>
      <c r="J393" s="70"/>
      <c r="L393" s="71"/>
      <c r="N393" s="70"/>
    </row>
    <row r="394" spans="1:14" ht="15" customHeight="1" x14ac:dyDescent="0.2">
      <c r="A394" s="292"/>
      <c r="C394" s="189"/>
      <c r="E394" s="190"/>
      <c r="G394" s="70"/>
      <c r="H394" s="70"/>
      <c r="J394" s="70"/>
      <c r="L394" s="71"/>
      <c r="N394" s="70"/>
    </row>
    <row r="395" spans="1:14" ht="15" customHeight="1" x14ac:dyDescent="0.2">
      <c r="A395" s="292"/>
      <c r="C395" s="189"/>
      <c r="E395" s="190"/>
      <c r="G395" s="70"/>
      <c r="H395" s="70"/>
      <c r="J395" s="70"/>
      <c r="L395" s="71"/>
      <c r="N395" s="70"/>
    </row>
    <row r="396" spans="1:14" ht="15" customHeight="1" x14ac:dyDescent="0.2">
      <c r="A396" s="292"/>
      <c r="C396" s="189"/>
      <c r="E396" s="190"/>
      <c r="G396" s="70"/>
      <c r="H396" s="70"/>
      <c r="J396" s="70"/>
      <c r="L396" s="71"/>
      <c r="N396" s="70"/>
    </row>
    <row r="397" spans="1:14" ht="15" customHeight="1" x14ac:dyDescent="0.2">
      <c r="A397" s="292"/>
      <c r="C397" s="189"/>
      <c r="E397" s="190"/>
      <c r="G397" s="70"/>
      <c r="H397" s="70"/>
      <c r="J397" s="70"/>
      <c r="L397" s="71"/>
      <c r="N397" s="70"/>
    </row>
    <row r="398" spans="1:14" ht="15" customHeight="1" x14ac:dyDescent="0.2">
      <c r="A398" s="292"/>
      <c r="C398" s="189"/>
      <c r="E398" s="190"/>
      <c r="G398" s="70"/>
      <c r="H398" s="70"/>
      <c r="J398" s="70"/>
      <c r="L398" s="71"/>
      <c r="N398" s="70"/>
    </row>
    <row r="399" spans="1:14" ht="15" customHeight="1" x14ac:dyDescent="0.2">
      <c r="A399" s="292"/>
      <c r="C399" s="189"/>
      <c r="E399" s="190"/>
      <c r="G399" s="70"/>
      <c r="H399" s="70"/>
      <c r="J399" s="70"/>
      <c r="L399" s="71"/>
      <c r="N399" s="70"/>
    </row>
    <row r="400" spans="1:14" ht="15" customHeight="1" x14ac:dyDescent="0.2">
      <c r="A400" s="292"/>
      <c r="C400" s="189"/>
      <c r="E400" s="190"/>
      <c r="G400" s="70"/>
      <c r="H400" s="70"/>
      <c r="J400" s="70"/>
      <c r="L400" s="71"/>
      <c r="N400" s="70"/>
    </row>
    <row r="401" spans="1:14" ht="15" customHeight="1" x14ac:dyDescent="0.2">
      <c r="A401" s="292"/>
      <c r="C401" s="189"/>
      <c r="E401" s="190"/>
      <c r="G401" s="70"/>
      <c r="H401" s="70"/>
      <c r="J401" s="70"/>
      <c r="L401" s="71"/>
      <c r="N401" s="70"/>
    </row>
    <row r="402" spans="1:14" ht="15" customHeight="1" x14ac:dyDescent="0.2">
      <c r="A402" s="292"/>
      <c r="C402" s="189"/>
      <c r="E402" s="190"/>
      <c r="G402" s="70"/>
      <c r="H402" s="70"/>
      <c r="J402" s="70"/>
      <c r="L402" s="71"/>
      <c r="N402" s="70"/>
    </row>
    <row r="403" spans="1:14" ht="15" customHeight="1" x14ac:dyDescent="0.2">
      <c r="A403" s="292"/>
      <c r="C403" s="189"/>
      <c r="E403" s="190"/>
      <c r="G403" s="70"/>
      <c r="H403" s="70"/>
      <c r="J403" s="70"/>
      <c r="L403" s="71"/>
      <c r="N403" s="70"/>
    </row>
    <row r="404" spans="1:14" ht="15" customHeight="1" x14ac:dyDescent="0.2">
      <c r="A404" s="292"/>
      <c r="C404" s="189"/>
      <c r="E404" s="190"/>
      <c r="G404" s="70"/>
      <c r="H404" s="70"/>
      <c r="J404" s="70"/>
      <c r="L404" s="71"/>
      <c r="N404" s="70"/>
    </row>
    <row r="405" spans="1:14" ht="15" customHeight="1" x14ac:dyDescent="0.2">
      <c r="A405" s="292"/>
      <c r="C405" s="189"/>
      <c r="E405" s="190"/>
      <c r="G405" s="70"/>
      <c r="H405" s="70"/>
      <c r="J405" s="70"/>
      <c r="L405" s="71"/>
      <c r="N405" s="70"/>
    </row>
    <row r="406" spans="1:14" ht="15" customHeight="1" x14ac:dyDescent="0.2">
      <c r="A406" s="292"/>
      <c r="C406" s="189"/>
      <c r="E406" s="190"/>
      <c r="G406" s="70"/>
      <c r="H406" s="70"/>
      <c r="J406" s="70"/>
      <c r="L406" s="71"/>
      <c r="N406" s="70"/>
    </row>
    <row r="407" spans="1:14" ht="15" customHeight="1" x14ac:dyDescent="0.2">
      <c r="A407" s="292"/>
      <c r="C407" s="189"/>
      <c r="E407" s="190"/>
      <c r="G407" s="70"/>
      <c r="H407" s="70"/>
      <c r="J407" s="70"/>
      <c r="L407" s="71"/>
      <c r="N407" s="70"/>
    </row>
    <row r="408" spans="1:14" ht="15" customHeight="1" x14ac:dyDescent="0.2">
      <c r="A408" s="292"/>
      <c r="C408" s="189"/>
      <c r="E408" s="190"/>
      <c r="G408" s="70"/>
      <c r="H408" s="70"/>
      <c r="J408" s="70"/>
      <c r="L408" s="71"/>
      <c r="N408" s="70"/>
    </row>
    <row r="409" spans="1:14" ht="15" customHeight="1" x14ac:dyDescent="0.2">
      <c r="A409" s="292"/>
      <c r="C409" s="189"/>
      <c r="E409" s="190"/>
      <c r="G409" s="70"/>
      <c r="H409" s="70"/>
      <c r="J409" s="70"/>
      <c r="L409" s="71"/>
      <c r="N409" s="70"/>
    </row>
    <row r="410" spans="1:14" ht="15" customHeight="1" x14ac:dyDescent="0.2">
      <c r="A410" s="292"/>
      <c r="C410" s="189"/>
      <c r="E410" s="190"/>
      <c r="G410" s="70"/>
      <c r="H410" s="70"/>
      <c r="J410" s="70"/>
      <c r="L410" s="71"/>
      <c r="N410" s="70"/>
    </row>
    <row r="411" spans="1:14" ht="15" customHeight="1" x14ac:dyDescent="0.2">
      <c r="A411" s="292"/>
      <c r="C411" s="189"/>
      <c r="E411" s="190"/>
      <c r="G411" s="70"/>
      <c r="H411" s="70"/>
      <c r="J411" s="70"/>
      <c r="L411" s="71"/>
      <c r="N411" s="70"/>
    </row>
    <row r="412" spans="1:14" ht="15" customHeight="1" x14ac:dyDescent="0.2">
      <c r="A412" s="292"/>
      <c r="C412" s="189"/>
      <c r="E412" s="190"/>
      <c r="G412" s="70"/>
      <c r="H412" s="70"/>
      <c r="J412" s="70"/>
      <c r="L412" s="71"/>
      <c r="N412" s="70"/>
    </row>
    <row r="413" spans="1:14" ht="15" customHeight="1" x14ac:dyDescent="0.2">
      <c r="A413" s="292"/>
      <c r="C413" s="189"/>
      <c r="E413" s="190"/>
      <c r="G413" s="70"/>
      <c r="H413" s="70"/>
      <c r="J413" s="70"/>
      <c r="L413" s="71"/>
      <c r="N413" s="70"/>
    </row>
    <row r="414" spans="1:14" ht="15" customHeight="1" x14ac:dyDescent="0.2">
      <c r="A414" s="292"/>
      <c r="C414" s="189"/>
      <c r="E414" s="190"/>
      <c r="G414" s="70"/>
      <c r="H414" s="70"/>
      <c r="J414" s="70"/>
      <c r="L414" s="71"/>
      <c r="N414" s="70"/>
    </row>
    <row r="415" spans="1:14" ht="15" customHeight="1" x14ac:dyDescent="0.2">
      <c r="A415" s="292"/>
      <c r="C415" s="189"/>
      <c r="E415" s="190"/>
      <c r="G415" s="70"/>
      <c r="H415" s="70"/>
      <c r="J415" s="70"/>
      <c r="L415" s="71"/>
      <c r="N415" s="70"/>
    </row>
    <row r="416" spans="1:14" ht="15" customHeight="1" x14ac:dyDescent="0.2">
      <c r="A416" s="292"/>
      <c r="C416" s="189"/>
      <c r="E416" s="190"/>
      <c r="G416" s="70"/>
      <c r="H416" s="70"/>
      <c r="J416" s="70"/>
      <c r="L416" s="71"/>
      <c r="N416" s="70"/>
    </row>
    <row r="417" spans="1:14" ht="15" customHeight="1" x14ac:dyDescent="0.2">
      <c r="A417" s="292"/>
      <c r="C417" s="189"/>
      <c r="E417" s="190"/>
      <c r="G417" s="70"/>
      <c r="H417" s="70"/>
      <c r="J417" s="70"/>
      <c r="L417" s="71"/>
      <c r="N417" s="70"/>
    </row>
    <row r="418" spans="1:14" ht="15" customHeight="1" x14ac:dyDescent="0.2">
      <c r="A418" s="292"/>
      <c r="C418" s="189"/>
      <c r="E418" s="190"/>
      <c r="G418" s="70"/>
      <c r="H418" s="70"/>
      <c r="J418" s="70"/>
      <c r="L418" s="71"/>
      <c r="N418" s="70"/>
    </row>
    <row r="419" spans="1:14" ht="15" customHeight="1" x14ac:dyDescent="0.2">
      <c r="A419" s="292"/>
      <c r="C419" s="189"/>
      <c r="E419" s="190"/>
      <c r="G419" s="70"/>
      <c r="H419" s="70"/>
      <c r="J419" s="70"/>
      <c r="L419" s="71"/>
      <c r="N419" s="70"/>
    </row>
    <row r="420" spans="1:14" ht="15" customHeight="1" x14ac:dyDescent="0.2">
      <c r="A420" s="292"/>
      <c r="C420" s="189"/>
      <c r="E420" s="190"/>
      <c r="G420" s="70"/>
      <c r="H420" s="70"/>
      <c r="J420" s="70"/>
      <c r="L420" s="71"/>
      <c r="N420" s="70"/>
    </row>
    <row r="421" spans="1:14" ht="15" customHeight="1" x14ac:dyDescent="0.2">
      <c r="A421" s="292"/>
      <c r="C421" s="189"/>
      <c r="E421" s="190"/>
      <c r="G421" s="70"/>
      <c r="H421" s="70"/>
      <c r="J421" s="70"/>
      <c r="L421" s="71"/>
      <c r="N421" s="70"/>
    </row>
    <row r="422" spans="1:14" ht="15" customHeight="1" x14ac:dyDescent="0.2">
      <c r="A422" s="292"/>
      <c r="C422" s="189"/>
      <c r="E422" s="190"/>
      <c r="G422" s="70"/>
      <c r="H422" s="70"/>
      <c r="J422" s="70"/>
      <c r="L422" s="71"/>
      <c r="N422" s="70"/>
    </row>
    <row r="423" spans="1:14" ht="15" customHeight="1" x14ac:dyDescent="0.2">
      <c r="A423" s="292"/>
      <c r="C423" s="189"/>
      <c r="E423" s="190"/>
      <c r="G423" s="70"/>
      <c r="H423" s="70"/>
      <c r="J423" s="70"/>
      <c r="L423" s="71"/>
      <c r="N423" s="70"/>
    </row>
    <row r="424" spans="1:14" ht="15" customHeight="1" x14ac:dyDescent="0.2">
      <c r="A424" s="292"/>
      <c r="C424" s="189"/>
      <c r="E424" s="190"/>
      <c r="G424" s="70"/>
      <c r="H424" s="70"/>
      <c r="J424" s="70"/>
      <c r="L424" s="71"/>
      <c r="N424" s="70"/>
    </row>
    <row r="425" spans="1:14" ht="15" customHeight="1" x14ac:dyDescent="0.2">
      <c r="A425" s="292"/>
      <c r="C425" s="189"/>
      <c r="E425" s="190"/>
      <c r="G425" s="70"/>
      <c r="H425" s="70"/>
      <c r="J425" s="70"/>
      <c r="L425" s="71"/>
      <c r="N425" s="70"/>
    </row>
    <row r="426" spans="1:14" ht="15" customHeight="1" x14ac:dyDescent="0.2">
      <c r="A426" s="292"/>
      <c r="C426" s="189"/>
      <c r="E426" s="190"/>
      <c r="G426" s="70"/>
      <c r="H426" s="70"/>
      <c r="J426" s="70"/>
      <c r="L426" s="71"/>
      <c r="N426" s="70"/>
    </row>
    <row r="427" spans="1:14" ht="15" customHeight="1" x14ac:dyDescent="0.2">
      <c r="A427" s="292"/>
      <c r="C427" s="189"/>
      <c r="E427" s="190"/>
      <c r="G427" s="70"/>
      <c r="H427" s="70"/>
      <c r="J427" s="70"/>
      <c r="L427" s="71"/>
      <c r="N427" s="70"/>
    </row>
    <row r="428" spans="1:14" ht="15" customHeight="1" x14ac:dyDescent="0.2">
      <c r="A428" s="292"/>
      <c r="C428" s="189"/>
      <c r="E428" s="190"/>
      <c r="G428" s="70"/>
      <c r="H428" s="70"/>
      <c r="J428" s="70"/>
      <c r="L428" s="71"/>
      <c r="N428" s="70"/>
    </row>
    <row r="429" spans="1:14" ht="15" customHeight="1" x14ac:dyDescent="0.2">
      <c r="A429" s="292"/>
      <c r="C429" s="189"/>
      <c r="E429" s="190"/>
      <c r="G429" s="70"/>
      <c r="H429" s="70"/>
      <c r="J429" s="70"/>
      <c r="L429" s="71"/>
      <c r="N429" s="70"/>
    </row>
    <row r="430" spans="1:14" ht="15" customHeight="1" x14ac:dyDescent="0.2">
      <c r="A430" s="292"/>
      <c r="C430" s="189"/>
      <c r="E430" s="190"/>
      <c r="G430" s="70"/>
      <c r="H430" s="70"/>
      <c r="J430" s="70"/>
      <c r="L430" s="71"/>
      <c r="N430" s="70"/>
    </row>
    <row r="431" spans="1:14" ht="15" customHeight="1" x14ac:dyDescent="0.2">
      <c r="A431" s="292"/>
      <c r="C431" s="189"/>
      <c r="E431" s="190"/>
      <c r="G431" s="70"/>
      <c r="H431" s="70"/>
      <c r="J431" s="70"/>
      <c r="L431" s="71"/>
      <c r="N431" s="70"/>
    </row>
    <row r="432" spans="1:14" ht="15" customHeight="1" x14ac:dyDescent="0.2">
      <c r="A432" s="292"/>
      <c r="C432" s="189"/>
      <c r="E432" s="190"/>
      <c r="G432" s="70"/>
      <c r="H432" s="70"/>
      <c r="J432" s="70"/>
      <c r="L432" s="71"/>
      <c r="N432" s="70"/>
    </row>
    <row r="433" spans="1:14" ht="15" customHeight="1" x14ac:dyDescent="0.2">
      <c r="A433" s="292"/>
      <c r="C433" s="189"/>
      <c r="E433" s="190"/>
      <c r="G433" s="70"/>
      <c r="H433" s="70"/>
      <c r="J433" s="70"/>
      <c r="L433" s="71"/>
      <c r="N433" s="70"/>
    </row>
    <row r="434" spans="1:14" ht="15" customHeight="1" x14ac:dyDescent="0.2">
      <c r="A434" s="292"/>
      <c r="C434" s="189"/>
      <c r="E434" s="190"/>
      <c r="G434" s="70"/>
      <c r="H434" s="70"/>
      <c r="J434" s="70"/>
      <c r="L434" s="71"/>
      <c r="N434" s="70"/>
    </row>
    <row r="435" spans="1:14" ht="15" customHeight="1" x14ac:dyDescent="0.2">
      <c r="A435" s="292"/>
      <c r="C435" s="189"/>
      <c r="E435" s="190"/>
      <c r="G435" s="70"/>
      <c r="H435" s="70"/>
      <c r="J435" s="70"/>
      <c r="L435" s="71"/>
      <c r="N435" s="70"/>
    </row>
    <row r="436" spans="1:14" ht="15" customHeight="1" x14ac:dyDescent="0.2">
      <c r="A436" s="292"/>
      <c r="C436" s="189"/>
      <c r="E436" s="190"/>
      <c r="G436" s="70"/>
      <c r="H436" s="70"/>
      <c r="J436" s="70"/>
      <c r="L436" s="71"/>
      <c r="N436" s="70"/>
    </row>
    <row r="437" spans="1:14" ht="15" customHeight="1" x14ac:dyDescent="0.2">
      <c r="A437" s="292"/>
      <c r="C437" s="189"/>
      <c r="E437" s="190"/>
      <c r="G437" s="70"/>
      <c r="H437" s="70"/>
      <c r="J437" s="70"/>
      <c r="L437" s="71"/>
      <c r="N437" s="70"/>
    </row>
    <row r="438" spans="1:14" ht="15" customHeight="1" x14ac:dyDescent="0.2">
      <c r="A438" s="292"/>
      <c r="C438" s="189"/>
      <c r="E438" s="190"/>
      <c r="G438" s="70"/>
      <c r="H438" s="70"/>
      <c r="J438" s="70"/>
      <c r="L438" s="71"/>
      <c r="N438" s="70"/>
    </row>
    <row r="439" spans="1:14" ht="15" customHeight="1" x14ac:dyDescent="0.2">
      <c r="A439" s="292"/>
      <c r="C439" s="189"/>
      <c r="E439" s="190"/>
      <c r="G439" s="70"/>
      <c r="H439" s="70"/>
      <c r="J439" s="70"/>
      <c r="L439" s="71"/>
      <c r="N439" s="70"/>
    </row>
    <row r="440" spans="1:14" ht="15" customHeight="1" x14ac:dyDescent="0.2">
      <c r="A440" s="292"/>
      <c r="C440" s="189"/>
      <c r="E440" s="190"/>
      <c r="G440" s="70"/>
      <c r="H440" s="70"/>
      <c r="J440" s="70"/>
      <c r="L440" s="71"/>
      <c r="N440" s="70"/>
    </row>
    <row r="441" spans="1:14" ht="15" customHeight="1" x14ac:dyDescent="0.2">
      <c r="A441" s="292"/>
      <c r="C441" s="189"/>
      <c r="E441" s="190"/>
      <c r="G441" s="70"/>
      <c r="H441" s="70"/>
      <c r="J441" s="70"/>
      <c r="L441" s="71"/>
      <c r="N441" s="70"/>
    </row>
    <row r="442" spans="1:14" ht="15" customHeight="1" x14ac:dyDescent="0.2">
      <c r="A442" s="292"/>
      <c r="C442" s="189"/>
      <c r="E442" s="190"/>
      <c r="G442" s="70"/>
      <c r="H442" s="70"/>
      <c r="J442" s="70"/>
      <c r="L442" s="71"/>
      <c r="N442" s="70"/>
    </row>
    <row r="443" spans="1:14" ht="15" customHeight="1" x14ac:dyDescent="0.2">
      <c r="A443" s="292"/>
      <c r="C443" s="189"/>
      <c r="E443" s="190"/>
      <c r="G443" s="70"/>
      <c r="H443" s="70"/>
      <c r="J443" s="70"/>
      <c r="L443" s="71"/>
      <c r="N443" s="70"/>
    </row>
    <row r="444" spans="1:14" ht="15" customHeight="1" x14ac:dyDescent="0.2">
      <c r="A444" s="292"/>
      <c r="C444" s="189"/>
      <c r="E444" s="190"/>
      <c r="G444" s="70"/>
      <c r="H444" s="70"/>
      <c r="J444" s="70"/>
      <c r="L444" s="71"/>
      <c r="N444" s="70"/>
    </row>
    <row r="445" spans="1:14" ht="15" customHeight="1" x14ac:dyDescent="0.2">
      <c r="A445" s="292"/>
      <c r="C445" s="189"/>
      <c r="E445" s="190"/>
      <c r="G445" s="70"/>
      <c r="H445" s="70"/>
      <c r="J445" s="70"/>
      <c r="L445" s="71"/>
      <c r="N445" s="70"/>
    </row>
    <row r="446" spans="1:14" ht="15" customHeight="1" x14ac:dyDescent="0.2">
      <c r="A446" s="292"/>
      <c r="C446" s="189"/>
      <c r="E446" s="190"/>
      <c r="G446" s="70"/>
      <c r="H446" s="70"/>
      <c r="J446" s="70"/>
      <c r="L446" s="71"/>
      <c r="N446" s="70"/>
    </row>
    <row r="447" spans="1:14" ht="15" customHeight="1" x14ac:dyDescent="0.2">
      <c r="A447" s="292"/>
      <c r="C447" s="189"/>
      <c r="E447" s="190"/>
      <c r="G447" s="70"/>
      <c r="H447" s="70"/>
      <c r="J447" s="70"/>
      <c r="L447" s="71"/>
      <c r="N447" s="70"/>
    </row>
    <row r="448" spans="1:14" ht="15" customHeight="1" x14ac:dyDescent="0.2">
      <c r="A448" s="292"/>
      <c r="C448" s="189"/>
      <c r="E448" s="190"/>
      <c r="G448" s="70"/>
      <c r="H448" s="70"/>
      <c r="J448" s="70"/>
      <c r="L448" s="71"/>
      <c r="N448" s="70"/>
    </row>
    <row r="449" spans="1:14" ht="15" customHeight="1" x14ac:dyDescent="0.2">
      <c r="A449" s="292"/>
      <c r="C449" s="189"/>
      <c r="E449" s="190"/>
      <c r="G449" s="70"/>
      <c r="H449" s="70"/>
      <c r="J449" s="70"/>
      <c r="L449" s="71"/>
      <c r="N449" s="70"/>
    </row>
    <row r="450" spans="1:14" ht="15" customHeight="1" x14ac:dyDescent="0.2">
      <c r="A450" s="292"/>
      <c r="C450" s="189"/>
      <c r="E450" s="190"/>
      <c r="G450" s="70"/>
      <c r="H450" s="70"/>
      <c r="J450" s="70"/>
      <c r="L450" s="71"/>
      <c r="N450" s="70"/>
    </row>
    <row r="451" spans="1:14" ht="15" customHeight="1" x14ac:dyDescent="0.2">
      <c r="A451" s="292"/>
      <c r="C451" s="189"/>
      <c r="E451" s="190"/>
      <c r="G451" s="70"/>
      <c r="H451" s="70"/>
      <c r="J451" s="70"/>
      <c r="L451" s="71"/>
      <c r="N451" s="70"/>
    </row>
    <row r="452" spans="1:14" ht="15" customHeight="1" x14ac:dyDescent="0.2">
      <c r="A452" s="292"/>
      <c r="C452" s="189"/>
      <c r="E452" s="190"/>
      <c r="G452" s="70"/>
      <c r="H452" s="70"/>
      <c r="J452" s="70"/>
      <c r="L452" s="71"/>
      <c r="N452" s="70"/>
    </row>
    <row r="453" spans="1:14" ht="15" customHeight="1" x14ac:dyDescent="0.2">
      <c r="A453" s="292"/>
      <c r="C453" s="189"/>
      <c r="E453" s="190"/>
      <c r="G453" s="70"/>
      <c r="H453" s="70"/>
      <c r="J453" s="70"/>
      <c r="L453" s="71"/>
      <c r="N453" s="70"/>
    </row>
    <row r="454" spans="1:14" ht="15" customHeight="1" x14ac:dyDescent="0.2">
      <c r="A454" s="292"/>
      <c r="C454" s="189"/>
      <c r="E454" s="190"/>
      <c r="G454" s="70"/>
      <c r="H454" s="70"/>
      <c r="J454" s="70"/>
      <c r="L454" s="71"/>
      <c r="N454" s="70"/>
    </row>
    <row r="455" spans="1:14" ht="15" customHeight="1" x14ac:dyDescent="0.2">
      <c r="A455" s="292"/>
      <c r="C455" s="189"/>
      <c r="E455" s="190"/>
      <c r="G455" s="70"/>
      <c r="H455" s="70"/>
      <c r="J455" s="70"/>
      <c r="L455" s="71"/>
      <c r="N455" s="70"/>
    </row>
    <row r="456" spans="1:14" ht="15" customHeight="1" x14ac:dyDescent="0.2">
      <c r="A456" s="292"/>
      <c r="C456" s="189"/>
      <c r="E456" s="190"/>
      <c r="G456" s="70"/>
      <c r="H456" s="70"/>
      <c r="J456" s="70"/>
      <c r="L456" s="71"/>
      <c r="N456" s="70"/>
    </row>
    <row r="457" spans="1:14" ht="15" customHeight="1" x14ac:dyDescent="0.2">
      <c r="A457" s="292"/>
      <c r="C457" s="189"/>
      <c r="E457" s="190"/>
      <c r="G457" s="70"/>
      <c r="H457" s="70"/>
      <c r="J457" s="70"/>
      <c r="L457" s="71"/>
      <c r="N457" s="70"/>
    </row>
    <row r="458" spans="1:14" ht="15" customHeight="1" x14ac:dyDescent="0.2">
      <c r="A458" s="292"/>
      <c r="C458" s="189"/>
      <c r="E458" s="190"/>
      <c r="G458" s="70"/>
      <c r="H458" s="70"/>
      <c r="J458" s="70"/>
      <c r="L458" s="71"/>
      <c r="N458" s="70"/>
    </row>
    <row r="459" spans="1:14" ht="15" customHeight="1" x14ac:dyDescent="0.2">
      <c r="A459" s="292"/>
      <c r="C459" s="189"/>
      <c r="E459" s="190"/>
      <c r="G459" s="70"/>
      <c r="H459" s="70"/>
      <c r="J459" s="70"/>
      <c r="L459" s="71"/>
      <c r="N459" s="70"/>
    </row>
    <row r="460" spans="1:14" ht="15" customHeight="1" x14ac:dyDescent="0.2">
      <c r="A460" s="292"/>
      <c r="C460" s="189"/>
      <c r="E460" s="190"/>
      <c r="G460" s="70"/>
      <c r="H460" s="70"/>
      <c r="J460" s="70"/>
      <c r="L460" s="71"/>
      <c r="N460" s="70"/>
    </row>
    <row r="461" spans="1:14" ht="15" customHeight="1" x14ac:dyDescent="0.2">
      <c r="A461" s="292"/>
      <c r="C461" s="189"/>
      <c r="E461" s="190"/>
      <c r="G461" s="70"/>
      <c r="H461" s="70"/>
      <c r="J461" s="70"/>
      <c r="L461" s="71"/>
      <c r="N461" s="70"/>
    </row>
    <row r="462" spans="1:14" ht="15" customHeight="1" x14ac:dyDescent="0.2">
      <c r="A462" s="292"/>
      <c r="C462" s="189"/>
      <c r="E462" s="190"/>
      <c r="G462" s="70"/>
      <c r="H462" s="70"/>
      <c r="J462" s="70"/>
      <c r="L462" s="71"/>
      <c r="N462" s="70"/>
    </row>
    <row r="463" spans="1:14" ht="15" customHeight="1" x14ac:dyDescent="0.2">
      <c r="A463" s="292"/>
      <c r="C463" s="189"/>
      <c r="E463" s="190"/>
      <c r="G463" s="70"/>
      <c r="H463" s="70"/>
      <c r="J463" s="70"/>
      <c r="L463" s="71"/>
      <c r="N463" s="70"/>
    </row>
    <row r="464" spans="1:14" ht="15" customHeight="1" x14ac:dyDescent="0.2">
      <c r="A464" s="292"/>
      <c r="C464" s="189"/>
      <c r="E464" s="190"/>
      <c r="G464" s="70"/>
      <c r="H464" s="70"/>
      <c r="J464" s="70"/>
      <c r="L464" s="71"/>
      <c r="N464" s="70"/>
    </row>
    <row r="465" spans="1:14" ht="15" customHeight="1" x14ac:dyDescent="0.2">
      <c r="A465" s="292"/>
      <c r="C465" s="189"/>
      <c r="E465" s="190"/>
      <c r="G465" s="70"/>
      <c r="H465" s="70"/>
      <c r="J465" s="70"/>
      <c r="L465" s="71"/>
      <c r="N465" s="70"/>
    </row>
    <row r="466" spans="1:14" ht="15" customHeight="1" x14ac:dyDescent="0.2">
      <c r="A466" s="292"/>
      <c r="C466" s="189"/>
      <c r="E466" s="190"/>
      <c r="G466" s="70"/>
      <c r="H466" s="70"/>
      <c r="J466" s="70"/>
      <c r="L466" s="71"/>
      <c r="N466" s="70"/>
    </row>
    <row r="467" spans="1:14" ht="15" customHeight="1" x14ac:dyDescent="0.2">
      <c r="A467" s="292"/>
      <c r="C467" s="189"/>
      <c r="E467" s="190"/>
      <c r="G467" s="70"/>
      <c r="H467" s="70"/>
      <c r="J467" s="70"/>
      <c r="L467" s="71"/>
      <c r="N467" s="70"/>
    </row>
    <row r="468" spans="1:14" ht="15" customHeight="1" x14ac:dyDescent="0.2">
      <c r="A468" s="292"/>
      <c r="C468" s="189"/>
      <c r="E468" s="190"/>
      <c r="G468" s="70"/>
      <c r="H468" s="70"/>
      <c r="J468" s="70"/>
      <c r="L468" s="71"/>
      <c r="N468" s="70"/>
    </row>
    <row r="469" spans="1:14" ht="15" customHeight="1" x14ac:dyDescent="0.2">
      <c r="A469" s="292"/>
      <c r="C469" s="189"/>
      <c r="E469" s="190"/>
      <c r="G469" s="70"/>
      <c r="H469" s="70"/>
      <c r="J469" s="70"/>
      <c r="L469" s="71"/>
      <c r="N469" s="70"/>
    </row>
    <row r="470" spans="1:14" ht="15" customHeight="1" x14ac:dyDescent="0.2">
      <c r="A470" s="292"/>
      <c r="C470" s="189"/>
      <c r="E470" s="190"/>
      <c r="G470" s="70"/>
      <c r="H470" s="70"/>
      <c r="J470" s="70"/>
      <c r="L470" s="71"/>
      <c r="N470" s="70"/>
    </row>
    <row r="471" spans="1:14" ht="15" customHeight="1" x14ac:dyDescent="0.2">
      <c r="A471" s="292"/>
      <c r="C471" s="189"/>
      <c r="E471" s="190"/>
      <c r="G471" s="70"/>
      <c r="H471" s="70"/>
      <c r="J471" s="70"/>
      <c r="L471" s="71"/>
      <c r="N471" s="70"/>
    </row>
    <row r="472" spans="1:14" ht="15" customHeight="1" x14ac:dyDescent="0.2">
      <c r="A472" s="292"/>
      <c r="C472" s="189"/>
      <c r="E472" s="190"/>
      <c r="G472" s="70"/>
      <c r="H472" s="70"/>
      <c r="J472" s="70"/>
      <c r="L472" s="71"/>
      <c r="N472" s="70"/>
    </row>
    <row r="473" spans="1:14" ht="15" customHeight="1" x14ac:dyDescent="0.2">
      <c r="A473" s="292"/>
      <c r="C473" s="189"/>
      <c r="E473" s="190"/>
      <c r="G473" s="70"/>
      <c r="H473" s="70"/>
      <c r="J473" s="70"/>
      <c r="L473" s="71"/>
      <c r="N473" s="70"/>
    </row>
    <row r="474" spans="1:14" ht="15" customHeight="1" x14ac:dyDescent="0.2">
      <c r="A474" s="292"/>
      <c r="C474" s="189"/>
      <c r="E474" s="190"/>
      <c r="G474" s="70"/>
      <c r="H474" s="70"/>
      <c r="J474" s="70"/>
      <c r="L474" s="71"/>
      <c r="N474" s="70"/>
    </row>
    <row r="475" spans="1:14" ht="15" customHeight="1" x14ac:dyDescent="0.2">
      <c r="A475" s="292"/>
      <c r="C475" s="189"/>
      <c r="E475" s="190"/>
      <c r="G475" s="70"/>
      <c r="H475" s="70"/>
      <c r="J475" s="70"/>
      <c r="L475" s="71"/>
      <c r="N475" s="70"/>
    </row>
    <row r="476" spans="1:14" ht="15" customHeight="1" x14ac:dyDescent="0.2">
      <c r="A476" s="292"/>
      <c r="C476" s="189"/>
      <c r="E476" s="190"/>
      <c r="G476" s="70"/>
      <c r="H476" s="70"/>
      <c r="J476" s="70"/>
      <c r="L476" s="71"/>
      <c r="N476" s="70"/>
    </row>
    <row r="477" spans="1:14" ht="15" customHeight="1" x14ac:dyDescent="0.2">
      <c r="A477" s="292"/>
      <c r="C477" s="189"/>
      <c r="E477" s="190"/>
      <c r="G477" s="70"/>
      <c r="H477" s="70"/>
      <c r="J477" s="70"/>
      <c r="L477" s="71"/>
      <c r="N477" s="70"/>
    </row>
    <row r="478" spans="1:14" ht="15" customHeight="1" x14ac:dyDescent="0.2">
      <c r="A478" s="292"/>
      <c r="C478" s="189"/>
      <c r="E478" s="190"/>
      <c r="G478" s="70"/>
      <c r="H478" s="70"/>
      <c r="J478" s="70"/>
      <c r="L478" s="71"/>
      <c r="N478" s="70"/>
    </row>
    <row r="479" spans="1:14" ht="15" customHeight="1" x14ac:dyDescent="0.2">
      <c r="A479" s="292"/>
      <c r="C479" s="189"/>
      <c r="E479" s="190"/>
      <c r="G479" s="70"/>
      <c r="H479" s="70"/>
      <c r="J479" s="70"/>
      <c r="L479" s="71"/>
      <c r="N479" s="70"/>
    </row>
    <row r="480" spans="1:14" ht="15" customHeight="1" x14ac:dyDescent="0.2">
      <c r="A480" s="292"/>
      <c r="C480" s="189"/>
      <c r="E480" s="190"/>
      <c r="G480" s="70"/>
      <c r="H480" s="70"/>
      <c r="J480" s="70"/>
      <c r="L480" s="71"/>
      <c r="N480" s="70"/>
    </row>
    <row r="481" spans="1:14" ht="15" customHeight="1" x14ac:dyDescent="0.2">
      <c r="A481" s="292"/>
      <c r="C481" s="189"/>
      <c r="E481" s="190"/>
      <c r="G481" s="70"/>
      <c r="H481" s="70"/>
      <c r="J481" s="70"/>
      <c r="L481" s="71"/>
      <c r="N481" s="70"/>
    </row>
    <row r="482" spans="1:14" ht="15" customHeight="1" x14ac:dyDescent="0.2">
      <c r="A482" s="292"/>
      <c r="C482" s="189"/>
      <c r="E482" s="190"/>
      <c r="G482" s="70"/>
      <c r="H482" s="70"/>
      <c r="J482" s="70"/>
      <c r="L482" s="71"/>
      <c r="N482" s="70"/>
    </row>
    <row r="483" spans="1:14" ht="15" customHeight="1" x14ac:dyDescent="0.2">
      <c r="A483" s="292"/>
      <c r="C483" s="189"/>
      <c r="E483" s="190"/>
      <c r="G483" s="70"/>
      <c r="H483" s="70"/>
      <c r="J483" s="70"/>
      <c r="L483" s="71"/>
      <c r="N483" s="70"/>
    </row>
    <row r="484" spans="1:14" ht="15" customHeight="1" x14ac:dyDescent="0.2">
      <c r="A484" s="292"/>
      <c r="C484" s="189"/>
      <c r="E484" s="190"/>
      <c r="G484" s="70"/>
      <c r="H484" s="70"/>
      <c r="J484" s="70"/>
      <c r="L484" s="71"/>
      <c r="N484" s="70"/>
    </row>
    <row r="485" spans="1:14" ht="15" customHeight="1" x14ac:dyDescent="0.2">
      <c r="A485" s="292"/>
      <c r="C485" s="189"/>
      <c r="E485" s="190"/>
      <c r="G485" s="70"/>
      <c r="H485" s="70"/>
      <c r="J485" s="70"/>
      <c r="L485" s="71"/>
      <c r="N485" s="70"/>
    </row>
    <row r="486" spans="1:14" ht="15" customHeight="1" x14ac:dyDescent="0.2">
      <c r="A486" s="292"/>
      <c r="C486" s="189"/>
      <c r="E486" s="190"/>
      <c r="G486" s="70"/>
      <c r="H486" s="70"/>
      <c r="J486" s="70"/>
      <c r="L486" s="71"/>
      <c r="N486" s="70"/>
    </row>
    <row r="487" spans="1:14" ht="15" customHeight="1" x14ac:dyDescent="0.2">
      <c r="A487" s="292"/>
      <c r="C487" s="189"/>
      <c r="E487" s="190"/>
      <c r="G487" s="70"/>
      <c r="H487" s="70"/>
      <c r="J487" s="70"/>
      <c r="L487" s="71"/>
      <c r="N487" s="70"/>
    </row>
    <row r="488" spans="1:14" ht="15" customHeight="1" x14ac:dyDescent="0.2">
      <c r="A488" s="292"/>
      <c r="C488" s="189"/>
      <c r="E488" s="190"/>
      <c r="G488" s="70"/>
      <c r="H488" s="70"/>
      <c r="J488" s="70"/>
      <c r="L488" s="71"/>
      <c r="N488" s="70"/>
    </row>
    <row r="489" spans="1:14" ht="15" customHeight="1" x14ac:dyDescent="0.2">
      <c r="A489" s="292"/>
      <c r="C489" s="189"/>
      <c r="E489" s="190"/>
      <c r="G489" s="70"/>
      <c r="H489" s="70"/>
      <c r="J489" s="70"/>
      <c r="L489" s="71"/>
      <c r="N489" s="70"/>
    </row>
    <row r="490" spans="1:14" ht="15" customHeight="1" x14ac:dyDescent="0.2">
      <c r="A490" s="292"/>
      <c r="C490" s="189"/>
      <c r="E490" s="190"/>
      <c r="G490" s="70"/>
      <c r="H490" s="70"/>
      <c r="J490" s="70"/>
      <c r="L490" s="71"/>
      <c r="N490" s="70"/>
    </row>
    <row r="491" spans="1:14" ht="15" customHeight="1" x14ac:dyDescent="0.2">
      <c r="A491" s="292"/>
      <c r="C491" s="189"/>
      <c r="E491" s="190"/>
      <c r="G491" s="70"/>
      <c r="H491" s="70"/>
      <c r="J491" s="70"/>
      <c r="L491" s="71"/>
      <c r="N491" s="70"/>
    </row>
    <row r="492" spans="1:14" ht="15" customHeight="1" x14ac:dyDescent="0.2">
      <c r="A492" s="292"/>
      <c r="C492" s="189"/>
      <c r="E492" s="190"/>
      <c r="G492" s="70"/>
      <c r="H492" s="70"/>
      <c r="J492" s="70"/>
      <c r="L492" s="71"/>
      <c r="N492" s="70"/>
    </row>
    <row r="493" spans="1:14" ht="15" customHeight="1" x14ac:dyDescent="0.2">
      <c r="A493" s="292"/>
      <c r="C493" s="189"/>
      <c r="E493" s="190"/>
      <c r="G493" s="70"/>
      <c r="H493" s="70"/>
      <c r="J493" s="70"/>
      <c r="L493" s="71"/>
      <c r="N493" s="70"/>
    </row>
    <row r="494" spans="1:14" ht="15" customHeight="1" x14ac:dyDescent="0.2">
      <c r="A494" s="292"/>
      <c r="C494" s="189"/>
      <c r="E494" s="190"/>
      <c r="G494" s="70"/>
      <c r="H494" s="70"/>
      <c r="J494" s="70"/>
      <c r="L494" s="71"/>
      <c r="N494" s="70"/>
    </row>
    <row r="495" spans="1:14" ht="15" customHeight="1" x14ac:dyDescent="0.2">
      <c r="A495" s="292"/>
      <c r="C495" s="189"/>
      <c r="E495" s="190"/>
      <c r="G495" s="70"/>
      <c r="H495" s="70"/>
      <c r="J495" s="70"/>
      <c r="L495" s="71"/>
      <c r="N495" s="70"/>
    </row>
    <row r="496" spans="1:14" ht="15" customHeight="1" x14ac:dyDescent="0.2">
      <c r="A496" s="292"/>
      <c r="C496" s="189"/>
      <c r="E496" s="190"/>
      <c r="G496" s="70"/>
      <c r="H496" s="70"/>
      <c r="J496" s="70"/>
      <c r="L496" s="71"/>
      <c r="N496" s="70"/>
    </row>
    <row r="497" spans="1:14" ht="15" customHeight="1" x14ac:dyDescent="0.2">
      <c r="A497" s="292"/>
      <c r="C497" s="189"/>
      <c r="E497" s="190"/>
      <c r="G497" s="70"/>
      <c r="H497" s="70"/>
      <c r="J497" s="70"/>
      <c r="L497" s="71"/>
      <c r="N497" s="70"/>
    </row>
    <row r="498" spans="1:14" ht="15" customHeight="1" x14ac:dyDescent="0.2">
      <c r="A498" s="292"/>
      <c r="C498" s="189"/>
      <c r="E498" s="190"/>
      <c r="G498" s="70"/>
      <c r="H498" s="70"/>
      <c r="J498" s="70"/>
      <c r="L498" s="71"/>
      <c r="N498" s="70"/>
    </row>
    <row r="499" spans="1:14" ht="15" customHeight="1" x14ac:dyDescent="0.2">
      <c r="A499" s="292"/>
      <c r="C499" s="189"/>
      <c r="E499" s="190"/>
      <c r="G499" s="70"/>
      <c r="H499" s="70"/>
      <c r="J499" s="70"/>
      <c r="L499" s="71"/>
      <c r="N499" s="70"/>
    </row>
    <row r="500" spans="1:14" ht="15" customHeight="1" x14ac:dyDescent="0.2">
      <c r="A500" s="292"/>
      <c r="C500" s="189"/>
      <c r="E500" s="190"/>
      <c r="G500" s="70"/>
      <c r="H500" s="70"/>
      <c r="J500" s="70"/>
      <c r="L500" s="71"/>
      <c r="N500" s="70"/>
    </row>
    <row r="501" spans="1:14" ht="15" customHeight="1" x14ac:dyDescent="0.2">
      <c r="A501" s="292"/>
      <c r="C501" s="189"/>
      <c r="E501" s="190"/>
      <c r="G501" s="70"/>
      <c r="H501" s="70"/>
      <c r="J501" s="70"/>
      <c r="L501" s="71"/>
      <c r="N501" s="70"/>
    </row>
    <row r="502" spans="1:14" ht="15" customHeight="1" x14ac:dyDescent="0.2">
      <c r="A502" s="292"/>
      <c r="C502" s="189"/>
      <c r="E502" s="190"/>
      <c r="G502" s="70"/>
      <c r="H502" s="70"/>
      <c r="J502" s="70"/>
      <c r="L502" s="71"/>
      <c r="N502" s="70"/>
    </row>
    <row r="503" spans="1:14" ht="15" customHeight="1" x14ac:dyDescent="0.2">
      <c r="A503" s="292"/>
      <c r="C503" s="189"/>
      <c r="E503" s="190"/>
      <c r="G503" s="70"/>
      <c r="H503" s="70"/>
      <c r="J503" s="70"/>
      <c r="L503" s="71"/>
      <c r="N503" s="70"/>
    </row>
    <row r="504" spans="1:14" ht="15" customHeight="1" x14ac:dyDescent="0.2">
      <c r="A504" s="292"/>
      <c r="C504" s="189"/>
      <c r="E504" s="190"/>
      <c r="G504" s="70"/>
      <c r="H504" s="70"/>
      <c r="J504" s="70"/>
      <c r="L504" s="71"/>
      <c r="N504" s="70"/>
    </row>
    <row r="505" spans="1:14" ht="15" customHeight="1" x14ac:dyDescent="0.2">
      <c r="A505" s="292"/>
      <c r="C505" s="189"/>
      <c r="E505" s="190"/>
      <c r="G505" s="70"/>
      <c r="H505" s="70"/>
      <c r="J505" s="70"/>
      <c r="L505" s="71"/>
      <c r="N505" s="70"/>
    </row>
    <row r="506" spans="1:14" ht="15" customHeight="1" x14ac:dyDescent="0.2">
      <c r="A506" s="292"/>
      <c r="C506" s="189"/>
      <c r="E506" s="190"/>
      <c r="G506" s="70"/>
      <c r="H506" s="70"/>
      <c r="J506" s="70"/>
      <c r="L506" s="71"/>
      <c r="N506" s="70"/>
    </row>
    <row r="507" spans="1:14" ht="15" customHeight="1" x14ac:dyDescent="0.2">
      <c r="A507" s="292"/>
      <c r="C507" s="189"/>
      <c r="E507" s="190"/>
      <c r="G507" s="70"/>
      <c r="H507" s="70"/>
      <c r="J507" s="70"/>
      <c r="L507" s="71"/>
      <c r="N507" s="70"/>
    </row>
    <row r="508" spans="1:14" ht="15" customHeight="1" x14ac:dyDescent="0.2">
      <c r="A508" s="292"/>
      <c r="C508" s="189"/>
      <c r="E508" s="190"/>
      <c r="G508" s="70"/>
      <c r="H508" s="70"/>
      <c r="J508" s="70"/>
      <c r="L508" s="71"/>
      <c r="N508" s="70"/>
    </row>
    <row r="509" spans="1:14" ht="15" customHeight="1" x14ac:dyDescent="0.2">
      <c r="A509" s="292"/>
      <c r="C509" s="189"/>
      <c r="E509" s="190"/>
      <c r="G509" s="70"/>
      <c r="H509" s="70"/>
      <c r="J509" s="70"/>
      <c r="L509" s="71"/>
      <c r="N509" s="70"/>
    </row>
    <row r="510" spans="1:14" ht="15" customHeight="1" x14ac:dyDescent="0.2">
      <c r="A510" s="292"/>
      <c r="C510" s="189"/>
      <c r="E510" s="190"/>
      <c r="G510" s="70"/>
      <c r="H510" s="70"/>
      <c r="J510" s="70"/>
      <c r="L510" s="71"/>
      <c r="N510" s="70"/>
    </row>
    <row r="511" spans="1:14" ht="15" customHeight="1" x14ac:dyDescent="0.2">
      <c r="A511" s="292"/>
      <c r="C511" s="189"/>
      <c r="E511" s="190"/>
      <c r="G511" s="70"/>
      <c r="H511" s="70"/>
      <c r="J511" s="70"/>
      <c r="L511" s="71"/>
      <c r="N511" s="70"/>
    </row>
    <row r="512" spans="1:14" ht="15" customHeight="1" x14ac:dyDescent="0.2">
      <c r="A512" s="292"/>
      <c r="C512" s="189"/>
      <c r="E512" s="190"/>
      <c r="G512" s="70"/>
      <c r="H512" s="70"/>
      <c r="J512" s="70"/>
      <c r="L512" s="71"/>
      <c r="N512" s="70"/>
    </row>
    <row r="513" spans="1:14" ht="15" customHeight="1" x14ac:dyDescent="0.2">
      <c r="A513" s="292"/>
      <c r="C513" s="189"/>
      <c r="E513" s="190"/>
      <c r="G513" s="70"/>
      <c r="H513" s="70"/>
      <c r="J513" s="70"/>
      <c r="L513" s="71"/>
      <c r="N513" s="70"/>
    </row>
    <row r="514" spans="1:14" ht="15" customHeight="1" x14ac:dyDescent="0.2">
      <c r="A514" s="292"/>
      <c r="C514" s="189"/>
      <c r="E514" s="190"/>
      <c r="G514" s="70"/>
      <c r="H514" s="70"/>
      <c r="J514" s="70"/>
      <c r="L514" s="71"/>
      <c r="N514" s="70"/>
    </row>
    <row r="515" spans="1:14" ht="15" customHeight="1" x14ac:dyDescent="0.2">
      <c r="A515" s="292"/>
      <c r="C515" s="189"/>
      <c r="E515" s="190"/>
      <c r="G515" s="70"/>
      <c r="H515" s="70"/>
      <c r="J515" s="70"/>
      <c r="L515" s="71"/>
      <c r="N515" s="70"/>
    </row>
    <row r="516" spans="1:14" ht="15" customHeight="1" x14ac:dyDescent="0.2">
      <c r="A516" s="292"/>
      <c r="C516" s="189"/>
      <c r="E516" s="190"/>
      <c r="G516" s="70"/>
      <c r="H516" s="70"/>
      <c r="J516" s="70"/>
      <c r="L516" s="71"/>
      <c r="N516" s="70"/>
    </row>
    <row r="517" spans="1:14" ht="15" customHeight="1" x14ac:dyDescent="0.2">
      <c r="A517" s="292"/>
      <c r="C517" s="189"/>
      <c r="E517" s="190"/>
      <c r="G517" s="70"/>
      <c r="H517" s="70"/>
      <c r="J517" s="70"/>
      <c r="L517" s="71"/>
      <c r="N517" s="70"/>
    </row>
    <row r="518" spans="1:14" ht="15" customHeight="1" x14ac:dyDescent="0.2">
      <c r="A518" s="292"/>
      <c r="C518" s="189"/>
      <c r="E518" s="190"/>
      <c r="G518" s="70"/>
      <c r="H518" s="70"/>
      <c r="J518" s="70"/>
      <c r="L518" s="71"/>
      <c r="N518" s="70"/>
    </row>
    <row r="519" spans="1:14" ht="15" customHeight="1" x14ac:dyDescent="0.2">
      <c r="A519" s="292"/>
      <c r="C519" s="189"/>
      <c r="E519" s="190"/>
      <c r="G519" s="70"/>
      <c r="H519" s="70"/>
      <c r="J519" s="70"/>
      <c r="L519" s="71"/>
      <c r="N519" s="70"/>
    </row>
    <row r="520" spans="1:14" ht="15" customHeight="1" x14ac:dyDescent="0.2">
      <c r="A520" s="292"/>
      <c r="C520" s="189"/>
      <c r="E520" s="190"/>
      <c r="G520" s="70"/>
      <c r="H520" s="70"/>
      <c r="J520" s="70"/>
      <c r="L520" s="71"/>
      <c r="N520" s="70"/>
    </row>
    <row r="521" spans="1:14" ht="15" customHeight="1" x14ac:dyDescent="0.2">
      <c r="A521" s="292"/>
      <c r="C521" s="189"/>
      <c r="E521" s="190"/>
      <c r="G521" s="70"/>
      <c r="H521" s="70"/>
      <c r="J521" s="70"/>
      <c r="L521" s="71"/>
      <c r="N521" s="70"/>
    </row>
    <row r="522" spans="1:14" ht="15" customHeight="1" x14ac:dyDescent="0.2">
      <c r="A522" s="292"/>
      <c r="C522" s="189"/>
      <c r="E522" s="190"/>
      <c r="G522" s="70"/>
      <c r="H522" s="70"/>
      <c r="J522" s="70"/>
      <c r="L522" s="71"/>
      <c r="N522" s="70"/>
    </row>
    <row r="523" spans="1:14" ht="15" customHeight="1" x14ac:dyDescent="0.2">
      <c r="A523" s="292"/>
      <c r="C523" s="189"/>
      <c r="E523" s="190"/>
      <c r="G523" s="70"/>
      <c r="H523" s="70"/>
      <c r="J523" s="70"/>
      <c r="L523" s="71"/>
      <c r="N523" s="70"/>
    </row>
    <row r="524" spans="1:14" ht="15" customHeight="1" x14ac:dyDescent="0.2">
      <c r="A524" s="292"/>
      <c r="C524" s="189"/>
      <c r="E524" s="190"/>
      <c r="G524" s="70"/>
      <c r="H524" s="70"/>
      <c r="J524" s="70"/>
      <c r="L524" s="71"/>
      <c r="N524" s="70"/>
    </row>
    <row r="525" spans="1:14" ht="15" customHeight="1" x14ac:dyDescent="0.2">
      <c r="A525" s="292"/>
      <c r="C525" s="189"/>
      <c r="E525" s="190"/>
      <c r="G525" s="70"/>
      <c r="H525" s="70"/>
      <c r="J525" s="70"/>
      <c r="L525" s="71"/>
      <c r="N525" s="70"/>
    </row>
    <row r="526" spans="1:14" ht="15" customHeight="1" x14ac:dyDescent="0.2">
      <c r="A526" s="292"/>
      <c r="C526" s="189"/>
      <c r="E526" s="190"/>
      <c r="G526" s="70"/>
      <c r="H526" s="70"/>
      <c r="J526" s="70"/>
      <c r="L526" s="71"/>
      <c r="N526" s="70"/>
    </row>
    <row r="527" spans="1:14" ht="15" customHeight="1" x14ac:dyDescent="0.2">
      <c r="A527" s="292"/>
      <c r="C527" s="189"/>
      <c r="E527" s="190"/>
      <c r="G527" s="70"/>
      <c r="H527" s="70"/>
      <c r="J527" s="70"/>
      <c r="L527" s="71"/>
      <c r="N527" s="70"/>
    </row>
    <row r="528" spans="1:14" ht="15" customHeight="1" x14ac:dyDescent="0.2">
      <c r="A528" s="292"/>
      <c r="C528" s="189"/>
      <c r="E528" s="190"/>
      <c r="G528" s="70"/>
      <c r="H528" s="70"/>
      <c r="J528" s="70"/>
      <c r="L528" s="71"/>
      <c r="N528" s="70"/>
    </row>
    <row r="529" spans="1:14" ht="15" customHeight="1" x14ac:dyDescent="0.2">
      <c r="A529" s="292"/>
      <c r="C529" s="189"/>
      <c r="E529" s="190"/>
      <c r="G529" s="70"/>
      <c r="H529" s="70"/>
      <c r="J529" s="70"/>
      <c r="L529" s="71"/>
      <c r="N529" s="70"/>
    </row>
    <row r="530" spans="1:14" ht="15" customHeight="1" x14ac:dyDescent="0.2">
      <c r="A530" s="292"/>
      <c r="C530" s="189"/>
      <c r="E530" s="190"/>
      <c r="G530" s="70"/>
      <c r="H530" s="70"/>
      <c r="J530" s="70"/>
      <c r="L530" s="71"/>
      <c r="N530" s="70"/>
    </row>
    <row r="531" spans="1:14" ht="15" customHeight="1" x14ac:dyDescent="0.2">
      <c r="A531" s="292"/>
      <c r="C531" s="189"/>
      <c r="E531" s="190"/>
      <c r="G531" s="70"/>
      <c r="H531" s="70"/>
      <c r="J531" s="70"/>
      <c r="L531" s="71"/>
      <c r="N531" s="70"/>
    </row>
    <row r="532" spans="1:14" ht="15" customHeight="1" x14ac:dyDescent="0.2">
      <c r="A532" s="292"/>
      <c r="C532" s="189"/>
      <c r="E532" s="190"/>
      <c r="G532" s="70"/>
      <c r="H532" s="70"/>
      <c r="J532" s="70"/>
      <c r="L532" s="71"/>
      <c r="N532" s="70"/>
    </row>
    <row r="533" spans="1:14" ht="15" customHeight="1" x14ac:dyDescent="0.2">
      <c r="A533" s="292"/>
      <c r="C533" s="189"/>
      <c r="E533" s="190"/>
      <c r="G533" s="70"/>
      <c r="H533" s="70"/>
      <c r="J533" s="70"/>
      <c r="L533" s="71"/>
      <c r="N533" s="70"/>
    </row>
    <row r="534" spans="1:14" ht="15" customHeight="1" x14ac:dyDescent="0.2">
      <c r="A534" s="292"/>
      <c r="C534" s="189"/>
      <c r="E534" s="190"/>
      <c r="G534" s="70"/>
      <c r="H534" s="70"/>
      <c r="J534" s="70"/>
      <c r="L534" s="71"/>
      <c r="N534" s="70"/>
    </row>
    <row r="535" spans="1:14" ht="15" customHeight="1" x14ac:dyDescent="0.2">
      <c r="A535" s="292"/>
      <c r="C535" s="189"/>
      <c r="E535" s="190"/>
      <c r="G535" s="70"/>
      <c r="H535" s="70"/>
      <c r="J535" s="70"/>
      <c r="L535" s="71"/>
      <c r="N535" s="70"/>
    </row>
    <row r="536" spans="1:14" ht="15" customHeight="1" x14ac:dyDescent="0.2">
      <c r="A536" s="292"/>
      <c r="C536" s="189"/>
      <c r="E536" s="190"/>
      <c r="G536" s="70"/>
      <c r="H536" s="70"/>
      <c r="J536" s="70"/>
      <c r="L536" s="71"/>
      <c r="N536" s="70"/>
    </row>
    <row r="537" spans="1:14" ht="15" customHeight="1" x14ac:dyDescent="0.2">
      <c r="A537" s="292"/>
      <c r="C537" s="189"/>
      <c r="E537" s="190"/>
      <c r="G537" s="70"/>
      <c r="H537" s="70"/>
      <c r="J537" s="70"/>
      <c r="L537" s="71"/>
      <c r="N537" s="70"/>
    </row>
    <row r="538" spans="1:14" ht="15" customHeight="1" x14ac:dyDescent="0.2">
      <c r="A538" s="292"/>
      <c r="C538" s="189"/>
      <c r="E538" s="190"/>
      <c r="G538" s="70"/>
      <c r="H538" s="70"/>
      <c r="J538" s="70"/>
      <c r="L538" s="71"/>
      <c r="N538" s="70"/>
    </row>
    <row r="539" spans="1:14" ht="15" customHeight="1" x14ac:dyDescent="0.2">
      <c r="A539" s="292"/>
      <c r="C539" s="189"/>
      <c r="E539" s="190"/>
      <c r="G539" s="70"/>
      <c r="H539" s="70"/>
      <c r="J539" s="70"/>
      <c r="L539" s="71"/>
      <c r="N539" s="70"/>
    </row>
    <row r="540" spans="1:14" ht="15" customHeight="1" x14ac:dyDescent="0.2">
      <c r="A540" s="292"/>
      <c r="C540" s="189"/>
      <c r="E540" s="190"/>
      <c r="G540" s="70"/>
      <c r="H540" s="70"/>
      <c r="J540" s="70"/>
      <c r="L540" s="71"/>
      <c r="N540" s="70"/>
    </row>
    <row r="541" spans="1:14" ht="15" customHeight="1" x14ac:dyDescent="0.2">
      <c r="A541" s="292"/>
      <c r="C541" s="189"/>
      <c r="E541" s="190"/>
      <c r="G541" s="70"/>
      <c r="H541" s="70"/>
      <c r="J541" s="70"/>
      <c r="L541" s="71"/>
      <c r="N541" s="70"/>
    </row>
    <row r="542" spans="1:14" ht="15" customHeight="1" x14ac:dyDescent="0.2">
      <c r="A542" s="292"/>
      <c r="C542" s="189"/>
      <c r="E542" s="190"/>
      <c r="G542" s="70"/>
      <c r="H542" s="70"/>
      <c r="J542" s="70"/>
      <c r="L542" s="71"/>
      <c r="N542" s="70"/>
    </row>
    <row r="543" spans="1:14" ht="15" customHeight="1" x14ac:dyDescent="0.2">
      <c r="A543" s="292"/>
      <c r="C543" s="189"/>
      <c r="E543" s="190"/>
      <c r="G543" s="70"/>
      <c r="H543" s="70"/>
      <c r="J543" s="70"/>
      <c r="L543" s="71"/>
      <c r="N543" s="70"/>
    </row>
    <row r="544" spans="1:14" ht="15" customHeight="1" x14ac:dyDescent="0.2">
      <c r="A544" s="292"/>
      <c r="C544" s="189"/>
      <c r="E544" s="190"/>
      <c r="G544" s="70"/>
      <c r="H544" s="70"/>
      <c r="J544" s="70"/>
      <c r="L544" s="71"/>
      <c r="N544" s="70"/>
    </row>
    <row r="545" spans="1:14" ht="15" customHeight="1" x14ac:dyDescent="0.2">
      <c r="A545" s="292"/>
      <c r="C545" s="189"/>
      <c r="E545" s="190"/>
      <c r="G545" s="70"/>
      <c r="H545" s="70"/>
      <c r="J545" s="70"/>
      <c r="L545" s="71"/>
      <c r="N545" s="70"/>
    </row>
    <row r="546" spans="1:14" ht="15" customHeight="1" x14ac:dyDescent="0.2">
      <c r="A546" s="292"/>
      <c r="C546" s="189"/>
      <c r="E546" s="190"/>
      <c r="G546" s="70"/>
      <c r="H546" s="70"/>
      <c r="J546" s="70"/>
      <c r="L546" s="71"/>
      <c r="N546" s="70"/>
    </row>
    <row r="547" spans="1:14" ht="15" customHeight="1" x14ac:dyDescent="0.2">
      <c r="A547" s="292"/>
      <c r="C547" s="189"/>
      <c r="E547" s="190"/>
      <c r="G547" s="70"/>
      <c r="H547" s="70"/>
      <c r="J547" s="70"/>
      <c r="L547" s="71"/>
      <c r="N547" s="70"/>
    </row>
    <row r="548" spans="1:14" ht="15" customHeight="1" x14ac:dyDescent="0.2">
      <c r="A548" s="292"/>
      <c r="C548" s="189"/>
      <c r="E548" s="190"/>
      <c r="G548" s="70"/>
      <c r="H548" s="70"/>
      <c r="J548" s="70"/>
      <c r="L548" s="71"/>
      <c r="N548" s="70"/>
    </row>
    <row r="549" spans="1:14" ht="15" customHeight="1" x14ac:dyDescent="0.2">
      <c r="A549" s="292"/>
      <c r="C549" s="189"/>
      <c r="E549" s="190"/>
      <c r="G549" s="70"/>
      <c r="H549" s="70"/>
      <c r="J549" s="70"/>
      <c r="L549" s="71"/>
      <c r="N549" s="70"/>
    </row>
    <row r="550" spans="1:14" ht="15" customHeight="1" x14ac:dyDescent="0.2">
      <c r="A550" s="292"/>
      <c r="C550" s="189"/>
      <c r="E550" s="190"/>
      <c r="G550" s="70"/>
      <c r="H550" s="70"/>
      <c r="J550" s="70"/>
      <c r="L550" s="71"/>
      <c r="N550" s="70"/>
    </row>
    <row r="551" spans="1:14" ht="15" customHeight="1" x14ac:dyDescent="0.2">
      <c r="A551" s="292"/>
      <c r="C551" s="189"/>
      <c r="E551" s="190"/>
      <c r="G551" s="70"/>
      <c r="H551" s="70"/>
      <c r="J551" s="70"/>
      <c r="L551" s="71"/>
      <c r="N551" s="70"/>
    </row>
    <row r="552" spans="1:14" ht="15" customHeight="1" x14ac:dyDescent="0.2">
      <c r="A552" s="292"/>
      <c r="C552" s="189"/>
      <c r="E552" s="190"/>
      <c r="G552" s="70"/>
      <c r="H552" s="70"/>
      <c r="J552" s="70"/>
      <c r="L552" s="71"/>
      <c r="N552" s="70"/>
    </row>
    <row r="553" spans="1:14" ht="15" customHeight="1" x14ac:dyDescent="0.2">
      <c r="A553" s="292"/>
      <c r="C553" s="189"/>
      <c r="E553" s="190"/>
      <c r="G553" s="70"/>
      <c r="H553" s="70"/>
      <c r="J553" s="70"/>
      <c r="L553" s="71"/>
      <c r="N553" s="70"/>
    </row>
    <row r="554" spans="1:14" ht="15" customHeight="1" x14ac:dyDescent="0.2">
      <c r="A554" s="292"/>
      <c r="C554" s="189"/>
      <c r="E554" s="190"/>
      <c r="G554" s="70"/>
      <c r="H554" s="70"/>
      <c r="J554" s="70"/>
      <c r="L554" s="71"/>
      <c r="N554" s="70"/>
    </row>
    <row r="555" spans="1:14" ht="15" customHeight="1" x14ac:dyDescent="0.2">
      <c r="A555" s="292"/>
      <c r="C555" s="189"/>
      <c r="E555" s="190"/>
      <c r="G555" s="70"/>
      <c r="H555" s="70"/>
      <c r="J555" s="70"/>
      <c r="L555" s="71"/>
      <c r="N555" s="70"/>
    </row>
    <row r="556" spans="1:14" ht="15" customHeight="1" x14ac:dyDescent="0.2">
      <c r="A556" s="292"/>
      <c r="C556" s="189"/>
      <c r="E556" s="190"/>
      <c r="G556" s="70"/>
      <c r="H556" s="70"/>
      <c r="J556" s="70"/>
      <c r="L556" s="71"/>
      <c r="N556" s="70"/>
    </row>
    <row r="557" spans="1:14" ht="15" customHeight="1" x14ac:dyDescent="0.2">
      <c r="A557" s="292"/>
      <c r="C557" s="189"/>
      <c r="E557" s="190"/>
      <c r="G557" s="70"/>
      <c r="H557" s="70"/>
      <c r="J557" s="70"/>
      <c r="L557" s="71"/>
      <c r="N557" s="70"/>
    </row>
    <row r="558" spans="1:14" ht="15" customHeight="1" x14ac:dyDescent="0.2">
      <c r="A558" s="292"/>
      <c r="C558" s="189"/>
      <c r="E558" s="190"/>
      <c r="G558" s="70"/>
      <c r="H558" s="70"/>
      <c r="J558" s="70"/>
      <c r="L558" s="71"/>
      <c r="N558" s="70"/>
    </row>
    <row r="559" spans="1:14" ht="15" customHeight="1" x14ac:dyDescent="0.2">
      <c r="A559" s="292"/>
      <c r="C559" s="189"/>
      <c r="E559" s="190"/>
      <c r="G559" s="70"/>
      <c r="H559" s="70"/>
      <c r="J559" s="70"/>
      <c r="L559" s="71"/>
      <c r="N559" s="70"/>
    </row>
    <row r="560" spans="1:14" ht="15" customHeight="1" x14ac:dyDescent="0.2">
      <c r="A560" s="292"/>
      <c r="C560" s="189"/>
      <c r="E560" s="190"/>
      <c r="G560" s="70"/>
      <c r="H560" s="70"/>
      <c r="J560" s="70"/>
      <c r="L560" s="71"/>
      <c r="N560" s="70"/>
    </row>
    <row r="561" spans="1:14" ht="15" customHeight="1" x14ac:dyDescent="0.2">
      <c r="A561" s="292"/>
      <c r="C561" s="189"/>
      <c r="E561" s="190"/>
      <c r="G561" s="70"/>
      <c r="H561" s="70"/>
      <c r="J561" s="70"/>
      <c r="L561" s="71"/>
      <c r="N561" s="70"/>
    </row>
    <row r="562" spans="1:14" ht="15" customHeight="1" x14ac:dyDescent="0.2">
      <c r="A562" s="292"/>
      <c r="C562" s="189"/>
      <c r="E562" s="190"/>
      <c r="G562" s="70"/>
      <c r="H562" s="70"/>
      <c r="J562" s="70"/>
      <c r="L562" s="71"/>
      <c r="N562" s="70"/>
    </row>
    <row r="563" spans="1:14" ht="15" customHeight="1" x14ac:dyDescent="0.2">
      <c r="A563" s="292"/>
      <c r="C563" s="189"/>
      <c r="E563" s="190"/>
      <c r="G563" s="70"/>
      <c r="H563" s="70"/>
      <c r="J563" s="70"/>
      <c r="L563" s="71"/>
      <c r="N563" s="70"/>
    </row>
    <row r="564" spans="1:14" ht="15" customHeight="1" x14ac:dyDescent="0.2">
      <c r="A564" s="292"/>
      <c r="C564" s="189"/>
      <c r="E564" s="190"/>
      <c r="G564" s="70"/>
      <c r="H564" s="70"/>
      <c r="J564" s="70"/>
      <c r="L564" s="71"/>
      <c r="N564" s="70"/>
    </row>
    <row r="565" spans="1:14" ht="15" customHeight="1" x14ac:dyDescent="0.2">
      <c r="A565" s="292"/>
      <c r="C565" s="189"/>
      <c r="E565" s="190"/>
      <c r="G565" s="70"/>
      <c r="H565" s="70"/>
      <c r="J565" s="70"/>
      <c r="L565" s="71"/>
      <c r="N565" s="70"/>
    </row>
    <row r="566" spans="1:14" ht="15" customHeight="1" x14ac:dyDescent="0.2">
      <c r="A566" s="292"/>
      <c r="C566" s="189"/>
      <c r="E566" s="190"/>
      <c r="G566" s="70"/>
      <c r="H566" s="70"/>
      <c r="J566" s="70"/>
      <c r="L566" s="71"/>
      <c r="N566" s="70"/>
    </row>
    <row r="567" spans="1:14" ht="15" customHeight="1" x14ac:dyDescent="0.2">
      <c r="A567" s="292"/>
      <c r="C567" s="189"/>
      <c r="E567" s="190"/>
      <c r="G567" s="70"/>
      <c r="H567" s="70"/>
      <c r="J567" s="70"/>
      <c r="L567" s="71"/>
      <c r="N567" s="70"/>
    </row>
    <row r="568" spans="1:14" ht="15" customHeight="1" x14ac:dyDescent="0.2">
      <c r="A568" s="292"/>
      <c r="C568" s="189"/>
      <c r="E568" s="190"/>
      <c r="G568" s="70"/>
      <c r="H568" s="70"/>
      <c r="J568" s="70"/>
      <c r="L568" s="71"/>
      <c r="N568" s="70"/>
    </row>
    <row r="569" spans="1:14" ht="15" customHeight="1" x14ac:dyDescent="0.2">
      <c r="A569" s="292"/>
      <c r="C569" s="189"/>
      <c r="E569" s="190"/>
      <c r="G569" s="70"/>
      <c r="H569" s="70"/>
      <c r="J569" s="70"/>
      <c r="L569" s="71"/>
      <c r="N569" s="70"/>
    </row>
    <row r="570" spans="1:14" ht="15" customHeight="1" x14ac:dyDescent="0.2">
      <c r="A570" s="292"/>
      <c r="C570" s="189"/>
      <c r="E570" s="190"/>
      <c r="G570" s="70"/>
      <c r="H570" s="70"/>
      <c r="J570" s="70"/>
      <c r="L570" s="71"/>
      <c r="N570" s="70"/>
    </row>
    <row r="571" spans="1:14" ht="15" customHeight="1" x14ac:dyDescent="0.2">
      <c r="A571" s="292"/>
      <c r="C571" s="189"/>
      <c r="E571" s="190"/>
      <c r="G571" s="70"/>
      <c r="H571" s="70"/>
      <c r="J571" s="70"/>
      <c r="L571" s="71"/>
      <c r="N571" s="70"/>
    </row>
    <row r="572" spans="1:14" ht="15" customHeight="1" x14ac:dyDescent="0.2">
      <c r="A572" s="292"/>
      <c r="C572" s="189"/>
      <c r="E572" s="190"/>
      <c r="G572" s="70"/>
      <c r="H572" s="70"/>
      <c r="J572" s="70"/>
      <c r="L572" s="71"/>
      <c r="N572" s="70"/>
    </row>
    <row r="573" spans="1:14" ht="15" customHeight="1" x14ac:dyDescent="0.2">
      <c r="A573" s="292"/>
      <c r="C573" s="189"/>
      <c r="E573" s="190"/>
      <c r="G573" s="70"/>
      <c r="H573" s="70"/>
      <c r="J573" s="70"/>
      <c r="L573" s="71"/>
      <c r="N573" s="70"/>
    </row>
    <row r="574" spans="1:14" ht="15" customHeight="1" x14ac:dyDescent="0.2">
      <c r="A574" s="292"/>
      <c r="C574" s="189"/>
      <c r="E574" s="190"/>
      <c r="G574" s="70"/>
      <c r="H574" s="70"/>
      <c r="J574" s="70"/>
      <c r="L574" s="71"/>
      <c r="N574" s="70"/>
    </row>
    <row r="575" spans="1:14" ht="15" customHeight="1" x14ac:dyDescent="0.2">
      <c r="A575" s="292"/>
      <c r="C575" s="189"/>
      <c r="E575" s="190"/>
      <c r="G575" s="70"/>
      <c r="H575" s="70"/>
      <c r="J575" s="70"/>
      <c r="L575" s="71"/>
      <c r="N575" s="70"/>
    </row>
    <row r="576" spans="1:14" ht="15" customHeight="1" x14ac:dyDescent="0.2">
      <c r="A576" s="292"/>
      <c r="C576" s="189"/>
      <c r="E576" s="190"/>
      <c r="G576" s="70"/>
      <c r="H576" s="70"/>
      <c r="J576" s="70"/>
      <c r="L576" s="71"/>
      <c r="N576" s="70"/>
    </row>
    <row r="577" spans="1:14" ht="15" customHeight="1" x14ac:dyDescent="0.2">
      <c r="A577" s="292"/>
      <c r="C577" s="189"/>
      <c r="E577" s="190"/>
      <c r="G577" s="70"/>
      <c r="H577" s="70"/>
      <c r="J577" s="70"/>
      <c r="L577" s="71"/>
      <c r="N577" s="70"/>
    </row>
    <row r="578" spans="1:14" ht="15" customHeight="1" x14ac:dyDescent="0.2">
      <c r="A578" s="292"/>
      <c r="C578" s="189"/>
      <c r="E578" s="190"/>
      <c r="G578" s="70"/>
      <c r="H578" s="70"/>
      <c r="J578" s="70"/>
      <c r="L578" s="71"/>
      <c r="N578" s="70"/>
    </row>
    <row r="579" spans="1:14" ht="15" customHeight="1" x14ac:dyDescent="0.2">
      <c r="A579" s="292"/>
      <c r="C579" s="189"/>
      <c r="E579" s="190"/>
      <c r="G579" s="70"/>
      <c r="H579" s="70"/>
      <c r="J579" s="70"/>
      <c r="L579" s="71"/>
      <c r="N579" s="70"/>
    </row>
    <row r="580" spans="1:14" ht="15" customHeight="1" x14ac:dyDescent="0.2">
      <c r="A580" s="292"/>
      <c r="C580" s="189"/>
      <c r="E580" s="190"/>
      <c r="G580" s="70"/>
      <c r="H580" s="70"/>
      <c r="J580" s="70"/>
      <c r="L580" s="71"/>
      <c r="N580" s="70"/>
    </row>
    <row r="581" spans="1:14" ht="15" customHeight="1" x14ac:dyDescent="0.2">
      <c r="A581" s="292"/>
      <c r="C581" s="189"/>
      <c r="E581" s="190"/>
      <c r="G581" s="70"/>
      <c r="H581" s="70"/>
      <c r="J581" s="70"/>
      <c r="L581" s="71"/>
      <c r="N581" s="70"/>
    </row>
    <row r="582" spans="1:14" ht="15" customHeight="1" x14ac:dyDescent="0.2">
      <c r="A582" s="292"/>
      <c r="C582" s="189"/>
      <c r="E582" s="190"/>
      <c r="G582" s="70"/>
      <c r="H582" s="70"/>
      <c r="J582" s="70"/>
      <c r="L582" s="71"/>
      <c r="N582" s="70"/>
    </row>
    <row r="583" spans="1:14" ht="15" customHeight="1" x14ac:dyDescent="0.2">
      <c r="A583" s="292"/>
      <c r="C583" s="189"/>
      <c r="E583" s="190"/>
      <c r="G583" s="70"/>
      <c r="H583" s="70"/>
      <c r="J583" s="70"/>
      <c r="L583" s="71"/>
      <c r="N583" s="70"/>
    </row>
    <row r="584" spans="1:14" ht="15" customHeight="1" x14ac:dyDescent="0.2">
      <c r="A584" s="292"/>
      <c r="C584" s="189"/>
      <c r="E584" s="190"/>
      <c r="G584" s="70"/>
      <c r="H584" s="70"/>
      <c r="J584" s="70"/>
      <c r="L584" s="71"/>
      <c r="N584" s="70"/>
    </row>
    <row r="585" spans="1:14" ht="15" customHeight="1" x14ac:dyDescent="0.2">
      <c r="A585" s="292"/>
      <c r="C585" s="189"/>
      <c r="E585" s="190"/>
      <c r="G585" s="70"/>
      <c r="H585" s="70"/>
      <c r="J585" s="70"/>
      <c r="L585" s="71"/>
      <c r="N585" s="70"/>
    </row>
    <row r="586" spans="1:14" ht="15" customHeight="1" x14ac:dyDescent="0.2">
      <c r="A586" s="292"/>
      <c r="C586" s="189"/>
      <c r="E586" s="190"/>
      <c r="G586" s="70"/>
      <c r="H586" s="70"/>
      <c r="J586" s="70"/>
      <c r="L586" s="71"/>
      <c r="N586" s="70"/>
    </row>
    <row r="587" spans="1:14" ht="15" customHeight="1" x14ac:dyDescent="0.2">
      <c r="A587" s="292"/>
      <c r="C587" s="189"/>
      <c r="E587" s="190"/>
      <c r="G587" s="70"/>
      <c r="H587" s="70"/>
      <c r="J587" s="70"/>
      <c r="L587" s="71"/>
      <c r="N587" s="70"/>
    </row>
    <row r="588" spans="1:14" ht="15" customHeight="1" x14ac:dyDescent="0.2">
      <c r="A588" s="292"/>
      <c r="C588" s="189"/>
      <c r="E588" s="190"/>
      <c r="G588" s="70"/>
      <c r="H588" s="70"/>
      <c r="J588" s="70"/>
      <c r="L588" s="71"/>
      <c r="N588" s="70"/>
    </row>
    <row r="589" spans="1:14" ht="15" customHeight="1" x14ac:dyDescent="0.2">
      <c r="A589" s="292"/>
      <c r="C589" s="189"/>
      <c r="E589" s="190"/>
      <c r="G589" s="70"/>
      <c r="H589" s="70"/>
      <c r="J589" s="70"/>
      <c r="L589" s="71"/>
      <c r="N589" s="70"/>
    </row>
    <row r="590" spans="1:14" ht="15" customHeight="1" x14ac:dyDescent="0.2">
      <c r="A590" s="292"/>
      <c r="C590" s="189"/>
      <c r="E590" s="190"/>
      <c r="G590" s="70"/>
      <c r="H590" s="70"/>
      <c r="J590" s="70"/>
      <c r="L590" s="71"/>
      <c r="N590" s="70"/>
    </row>
    <row r="591" spans="1:14" ht="15" customHeight="1" x14ac:dyDescent="0.2">
      <c r="A591" s="292"/>
      <c r="C591" s="189"/>
      <c r="E591" s="190"/>
      <c r="G591" s="70"/>
      <c r="H591" s="70"/>
      <c r="J591" s="70"/>
      <c r="L591" s="71"/>
      <c r="N591" s="70"/>
    </row>
    <row r="592" spans="1:14" ht="15" customHeight="1" x14ac:dyDescent="0.2">
      <c r="A592" s="292"/>
      <c r="C592" s="189"/>
      <c r="E592" s="190"/>
      <c r="G592" s="70"/>
      <c r="H592" s="70"/>
      <c r="J592" s="70"/>
      <c r="L592" s="71"/>
      <c r="N592" s="70"/>
    </row>
    <row r="593" spans="1:14" ht="15" customHeight="1" x14ac:dyDescent="0.2">
      <c r="A593" s="292"/>
      <c r="C593" s="189"/>
      <c r="E593" s="190"/>
      <c r="G593" s="70"/>
      <c r="H593" s="70"/>
      <c r="J593" s="70"/>
      <c r="L593" s="71"/>
      <c r="N593" s="70"/>
    </row>
    <row r="594" spans="1:14" ht="15" customHeight="1" x14ac:dyDescent="0.2">
      <c r="A594" s="292"/>
      <c r="C594" s="189"/>
      <c r="E594" s="190"/>
      <c r="G594" s="70"/>
      <c r="H594" s="70"/>
      <c r="J594" s="70"/>
      <c r="L594" s="71"/>
      <c r="N594" s="70"/>
    </row>
    <row r="595" spans="1:14" ht="15" customHeight="1" x14ac:dyDescent="0.2">
      <c r="A595" s="292"/>
      <c r="C595" s="189"/>
      <c r="E595" s="190"/>
      <c r="G595" s="70"/>
      <c r="H595" s="70"/>
      <c r="J595" s="70"/>
      <c r="L595" s="71"/>
      <c r="N595" s="70"/>
    </row>
    <row r="596" spans="1:14" ht="15" customHeight="1" x14ac:dyDescent="0.2">
      <c r="A596" s="292"/>
      <c r="C596" s="189"/>
      <c r="E596" s="190"/>
      <c r="G596" s="70"/>
      <c r="H596" s="70"/>
      <c r="J596" s="70"/>
      <c r="L596" s="71"/>
      <c r="N596" s="70"/>
    </row>
    <row r="597" spans="1:14" ht="15" customHeight="1" x14ac:dyDescent="0.2">
      <c r="A597" s="292"/>
      <c r="C597" s="189"/>
      <c r="E597" s="190"/>
      <c r="G597" s="70"/>
      <c r="H597" s="70"/>
      <c r="J597" s="70"/>
      <c r="L597" s="71"/>
      <c r="N597" s="70"/>
    </row>
    <row r="598" spans="1:14" ht="15" customHeight="1" x14ac:dyDescent="0.2">
      <c r="A598" s="292"/>
      <c r="C598" s="189"/>
      <c r="E598" s="190"/>
      <c r="G598" s="70"/>
      <c r="H598" s="70"/>
      <c r="J598" s="70"/>
      <c r="L598" s="71"/>
      <c r="N598" s="70"/>
    </row>
    <row r="599" spans="1:14" ht="15" customHeight="1" x14ac:dyDescent="0.2">
      <c r="A599" s="292"/>
      <c r="C599" s="189"/>
      <c r="E599" s="190"/>
      <c r="G599" s="70"/>
      <c r="H599" s="70"/>
      <c r="J599" s="70"/>
      <c r="L599" s="71"/>
      <c r="N599" s="70"/>
    </row>
    <row r="600" spans="1:14" ht="15" customHeight="1" x14ac:dyDescent="0.2">
      <c r="A600" s="292"/>
      <c r="C600" s="189"/>
      <c r="E600" s="190"/>
      <c r="G600" s="70"/>
      <c r="H600" s="70"/>
      <c r="J600" s="70"/>
      <c r="L600" s="71"/>
      <c r="N600" s="70"/>
    </row>
    <row r="601" spans="1:14" ht="15" customHeight="1" x14ac:dyDescent="0.2">
      <c r="A601" s="292"/>
      <c r="C601" s="189"/>
      <c r="E601" s="190"/>
      <c r="G601" s="70"/>
      <c r="H601" s="70"/>
      <c r="J601" s="70"/>
      <c r="L601" s="71"/>
      <c r="N601" s="70"/>
    </row>
    <row r="602" spans="1:14" ht="15" customHeight="1" x14ac:dyDescent="0.2">
      <c r="A602" s="292"/>
      <c r="C602" s="189"/>
      <c r="E602" s="190"/>
      <c r="G602" s="70"/>
      <c r="H602" s="70"/>
      <c r="J602" s="70"/>
      <c r="L602" s="71"/>
      <c r="N602" s="70"/>
    </row>
    <row r="603" spans="1:14" ht="15" customHeight="1" x14ac:dyDescent="0.2">
      <c r="A603" s="292"/>
      <c r="C603" s="189"/>
      <c r="E603" s="190"/>
      <c r="G603" s="70"/>
      <c r="H603" s="70"/>
      <c r="J603" s="70"/>
      <c r="L603" s="71"/>
      <c r="N603" s="70"/>
    </row>
    <row r="604" spans="1:14" ht="15" customHeight="1" x14ac:dyDescent="0.2">
      <c r="A604" s="292"/>
      <c r="C604" s="189"/>
      <c r="E604" s="190"/>
      <c r="G604" s="70"/>
      <c r="H604" s="70"/>
      <c r="J604" s="70"/>
      <c r="L604" s="71"/>
      <c r="N604" s="70"/>
    </row>
    <row r="605" spans="1:14" ht="15" customHeight="1" x14ac:dyDescent="0.2">
      <c r="A605" s="292"/>
      <c r="C605" s="189"/>
      <c r="E605" s="190"/>
      <c r="G605" s="70"/>
      <c r="H605" s="70"/>
      <c r="J605" s="70"/>
      <c r="L605" s="71"/>
      <c r="N605" s="70"/>
    </row>
    <row r="606" spans="1:14" ht="15" customHeight="1" x14ac:dyDescent="0.2">
      <c r="A606" s="292"/>
      <c r="C606" s="189"/>
      <c r="E606" s="190"/>
      <c r="G606" s="70"/>
      <c r="H606" s="70"/>
      <c r="J606" s="70"/>
      <c r="L606" s="71"/>
      <c r="N606" s="70"/>
    </row>
    <row r="607" spans="1:14" ht="15" customHeight="1" x14ac:dyDescent="0.2">
      <c r="A607" s="292"/>
      <c r="C607" s="189"/>
      <c r="E607" s="190"/>
      <c r="G607" s="70"/>
      <c r="H607" s="70"/>
      <c r="J607" s="70"/>
      <c r="L607" s="71"/>
      <c r="N607" s="70"/>
    </row>
    <row r="608" spans="1:14" ht="15" customHeight="1" x14ac:dyDescent="0.2">
      <c r="A608" s="292"/>
      <c r="C608" s="189"/>
      <c r="E608" s="190"/>
      <c r="G608" s="70"/>
      <c r="H608" s="70"/>
      <c r="J608" s="70"/>
      <c r="L608" s="71"/>
      <c r="N608" s="70"/>
    </row>
    <row r="609" spans="1:14" ht="15" customHeight="1" x14ac:dyDescent="0.2">
      <c r="A609" s="292"/>
      <c r="C609" s="189"/>
      <c r="E609" s="190"/>
      <c r="G609" s="70"/>
      <c r="H609" s="70"/>
      <c r="J609" s="70"/>
      <c r="L609" s="71"/>
      <c r="N609" s="70"/>
    </row>
    <row r="610" spans="1:14" ht="15" customHeight="1" x14ac:dyDescent="0.2">
      <c r="A610" s="292"/>
      <c r="C610" s="189"/>
      <c r="E610" s="190"/>
      <c r="G610" s="70"/>
      <c r="H610" s="70"/>
      <c r="J610" s="70"/>
      <c r="L610" s="71"/>
      <c r="N610" s="70"/>
    </row>
    <row r="611" spans="1:14" ht="15" customHeight="1" x14ac:dyDescent="0.2">
      <c r="A611" s="292"/>
      <c r="C611" s="189"/>
      <c r="E611" s="190"/>
      <c r="G611" s="70"/>
      <c r="H611" s="70"/>
      <c r="J611" s="70"/>
      <c r="L611" s="71"/>
      <c r="N611" s="70"/>
    </row>
    <row r="612" spans="1:14" ht="15" customHeight="1" x14ac:dyDescent="0.2">
      <c r="A612" s="292"/>
      <c r="C612" s="189"/>
      <c r="E612" s="190"/>
      <c r="G612" s="70"/>
      <c r="H612" s="70"/>
      <c r="J612" s="70"/>
      <c r="L612" s="71"/>
      <c r="N612" s="70"/>
    </row>
    <row r="613" spans="1:14" ht="15" customHeight="1" x14ac:dyDescent="0.2">
      <c r="A613" s="292"/>
      <c r="C613" s="189"/>
      <c r="E613" s="190"/>
      <c r="G613" s="70"/>
      <c r="H613" s="70"/>
      <c r="J613" s="70"/>
      <c r="L613" s="71"/>
      <c r="N613" s="70"/>
    </row>
    <row r="614" spans="1:14" ht="15" customHeight="1" x14ac:dyDescent="0.2">
      <c r="A614" s="292"/>
      <c r="C614" s="189"/>
      <c r="E614" s="190"/>
      <c r="G614" s="70"/>
      <c r="H614" s="70"/>
      <c r="J614" s="70"/>
      <c r="L614" s="71"/>
      <c r="N614" s="70"/>
    </row>
    <row r="615" spans="1:14" ht="15" customHeight="1" x14ac:dyDescent="0.2">
      <c r="A615" s="292"/>
      <c r="C615" s="189"/>
      <c r="E615" s="190"/>
      <c r="G615" s="70"/>
      <c r="H615" s="70"/>
      <c r="J615" s="70"/>
      <c r="L615" s="71"/>
      <c r="N615" s="70"/>
    </row>
    <row r="616" spans="1:14" ht="15" customHeight="1" x14ac:dyDescent="0.2">
      <c r="A616" s="292"/>
      <c r="C616" s="189"/>
      <c r="E616" s="190"/>
      <c r="G616" s="70"/>
      <c r="H616" s="70"/>
      <c r="J616" s="70"/>
      <c r="L616" s="71"/>
      <c r="N616" s="70"/>
    </row>
    <row r="617" spans="1:14" ht="15" customHeight="1" x14ac:dyDescent="0.2">
      <c r="A617" s="292"/>
      <c r="C617" s="189"/>
      <c r="E617" s="190"/>
      <c r="G617" s="70"/>
      <c r="H617" s="70"/>
      <c r="J617" s="70"/>
      <c r="L617" s="71"/>
      <c r="N617" s="70"/>
    </row>
    <row r="618" spans="1:14" ht="15" customHeight="1" x14ac:dyDescent="0.2">
      <c r="A618" s="292"/>
      <c r="C618" s="189"/>
      <c r="E618" s="190"/>
      <c r="G618" s="70"/>
      <c r="H618" s="70"/>
      <c r="J618" s="70"/>
      <c r="L618" s="71"/>
      <c r="N618" s="70"/>
    </row>
    <row r="619" spans="1:14" ht="15" customHeight="1" x14ac:dyDescent="0.2">
      <c r="A619" s="292"/>
      <c r="C619" s="189"/>
      <c r="E619" s="190"/>
      <c r="G619" s="70"/>
      <c r="H619" s="70"/>
      <c r="J619" s="70"/>
      <c r="L619" s="71"/>
      <c r="N619" s="70"/>
    </row>
    <row r="620" spans="1:14" ht="15" customHeight="1" x14ac:dyDescent="0.2">
      <c r="A620" s="292"/>
      <c r="C620" s="189"/>
      <c r="E620" s="190"/>
      <c r="G620" s="70"/>
      <c r="H620" s="70"/>
      <c r="J620" s="70"/>
      <c r="L620" s="71"/>
      <c r="N620" s="70"/>
    </row>
    <row r="621" spans="1:14" ht="15" customHeight="1" x14ac:dyDescent="0.2">
      <c r="A621" s="292"/>
      <c r="C621" s="189"/>
      <c r="E621" s="190"/>
      <c r="G621" s="70"/>
      <c r="H621" s="70"/>
      <c r="J621" s="70"/>
      <c r="L621" s="71"/>
      <c r="N621" s="70"/>
    </row>
    <row r="622" spans="1:14" ht="15" customHeight="1" x14ac:dyDescent="0.2">
      <c r="A622" s="292"/>
      <c r="C622" s="189"/>
      <c r="E622" s="190"/>
      <c r="G622" s="70"/>
      <c r="H622" s="70"/>
      <c r="J622" s="70"/>
      <c r="L622" s="71"/>
      <c r="N622" s="70"/>
    </row>
    <row r="623" spans="1:14" ht="15" customHeight="1" x14ac:dyDescent="0.2">
      <c r="A623" s="292"/>
      <c r="C623" s="189"/>
      <c r="E623" s="190"/>
      <c r="G623" s="70"/>
      <c r="H623" s="70"/>
      <c r="J623" s="70"/>
      <c r="L623" s="71"/>
      <c r="N623" s="70"/>
    </row>
    <row r="624" spans="1:14" ht="15" customHeight="1" x14ac:dyDescent="0.2">
      <c r="A624" s="292"/>
      <c r="C624" s="189"/>
      <c r="E624" s="190"/>
      <c r="G624" s="70"/>
      <c r="H624" s="70"/>
      <c r="J624" s="70"/>
      <c r="L624" s="71"/>
      <c r="N624" s="70"/>
    </row>
    <row r="625" spans="1:14" ht="15" customHeight="1" x14ac:dyDescent="0.2">
      <c r="A625" s="292"/>
      <c r="C625" s="189"/>
      <c r="E625" s="190"/>
      <c r="G625" s="70"/>
      <c r="H625" s="70"/>
      <c r="J625" s="70"/>
      <c r="L625" s="71"/>
      <c r="N625" s="70"/>
    </row>
    <row r="626" spans="1:14" ht="15" customHeight="1" x14ac:dyDescent="0.2">
      <c r="A626" s="292"/>
      <c r="C626" s="189"/>
      <c r="E626" s="190"/>
      <c r="G626" s="70"/>
      <c r="H626" s="70"/>
      <c r="J626" s="70"/>
      <c r="L626" s="71"/>
      <c r="N626" s="70"/>
    </row>
    <row r="627" spans="1:14" ht="15" customHeight="1" x14ac:dyDescent="0.2">
      <c r="A627" s="292"/>
      <c r="C627" s="189"/>
      <c r="E627" s="190"/>
      <c r="G627" s="70"/>
      <c r="H627" s="70"/>
      <c r="J627" s="70"/>
      <c r="L627" s="71"/>
      <c r="N627" s="70"/>
    </row>
    <row r="628" spans="1:14" ht="15" customHeight="1" x14ac:dyDescent="0.2">
      <c r="A628" s="292"/>
      <c r="C628" s="189"/>
      <c r="E628" s="190"/>
      <c r="G628" s="70"/>
      <c r="H628" s="70"/>
      <c r="J628" s="70"/>
      <c r="L628" s="71"/>
      <c r="N628" s="70"/>
    </row>
    <row r="629" spans="1:14" ht="15" customHeight="1" x14ac:dyDescent="0.2">
      <c r="A629" s="292"/>
      <c r="C629" s="189"/>
      <c r="E629" s="190"/>
      <c r="G629" s="70"/>
      <c r="H629" s="70"/>
      <c r="J629" s="70"/>
      <c r="L629" s="71"/>
      <c r="N629" s="70"/>
    </row>
    <row r="630" spans="1:14" ht="15" customHeight="1" x14ac:dyDescent="0.2">
      <c r="A630" s="292"/>
      <c r="C630" s="189"/>
      <c r="E630" s="190"/>
      <c r="G630" s="70"/>
      <c r="H630" s="70"/>
      <c r="J630" s="70"/>
      <c r="L630" s="71"/>
      <c r="N630" s="70"/>
    </row>
    <row r="631" spans="1:14" ht="15" customHeight="1" x14ac:dyDescent="0.2">
      <c r="A631" s="292"/>
      <c r="C631" s="189"/>
      <c r="E631" s="190"/>
      <c r="G631" s="70"/>
      <c r="H631" s="70"/>
      <c r="J631" s="70"/>
      <c r="L631" s="71"/>
      <c r="N631" s="70"/>
    </row>
    <row r="632" spans="1:14" ht="15" customHeight="1" x14ac:dyDescent="0.2">
      <c r="A632" s="292"/>
      <c r="C632" s="189"/>
      <c r="E632" s="190"/>
      <c r="G632" s="70"/>
      <c r="H632" s="70"/>
      <c r="J632" s="70"/>
      <c r="L632" s="71"/>
      <c r="N632" s="70"/>
    </row>
    <row r="633" spans="1:14" ht="15" customHeight="1" x14ac:dyDescent="0.2">
      <c r="A633" s="292"/>
      <c r="C633" s="189"/>
      <c r="E633" s="190"/>
      <c r="G633" s="70"/>
      <c r="H633" s="70"/>
      <c r="J633" s="70"/>
      <c r="L633" s="71"/>
      <c r="N633" s="70"/>
    </row>
    <row r="634" spans="1:14" ht="15" customHeight="1" x14ac:dyDescent="0.2">
      <c r="A634" s="292"/>
      <c r="C634" s="189"/>
      <c r="E634" s="190"/>
      <c r="G634" s="70"/>
      <c r="H634" s="70"/>
      <c r="J634" s="70"/>
      <c r="L634" s="71"/>
      <c r="N634" s="70"/>
    </row>
    <row r="635" spans="1:14" ht="15" customHeight="1" x14ac:dyDescent="0.2">
      <c r="A635" s="292"/>
      <c r="C635" s="189"/>
      <c r="E635" s="190"/>
      <c r="G635" s="70"/>
      <c r="H635" s="70"/>
      <c r="J635" s="70"/>
      <c r="L635" s="71"/>
      <c r="N635" s="70"/>
    </row>
    <row r="636" spans="1:14" ht="15" customHeight="1" x14ac:dyDescent="0.2">
      <c r="A636" s="292"/>
      <c r="C636" s="189"/>
      <c r="E636" s="190"/>
      <c r="G636" s="70"/>
      <c r="H636" s="70"/>
      <c r="J636" s="70"/>
      <c r="L636" s="71"/>
      <c r="N636" s="70"/>
    </row>
    <row r="637" spans="1:14" ht="15" customHeight="1" x14ac:dyDescent="0.2">
      <c r="A637" s="292"/>
      <c r="C637" s="189"/>
      <c r="E637" s="190"/>
      <c r="G637" s="70"/>
      <c r="H637" s="70"/>
      <c r="J637" s="70"/>
      <c r="L637" s="71"/>
      <c r="N637" s="70"/>
    </row>
    <row r="638" spans="1:14" ht="15" customHeight="1" x14ac:dyDescent="0.2">
      <c r="A638" s="292"/>
      <c r="C638" s="189"/>
      <c r="E638" s="190"/>
      <c r="G638" s="70"/>
      <c r="H638" s="70"/>
      <c r="J638" s="70"/>
      <c r="L638" s="71"/>
      <c r="N638" s="70"/>
    </row>
    <row r="639" spans="1:14" ht="15" customHeight="1" x14ac:dyDescent="0.2">
      <c r="A639" s="292"/>
      <c r="C639" s="189"/>
      <c r="E639" s="190"/>
      <c r="G639" s="70"/>
      <c r="H639" s="70"/>
      <c r="J639" s="70"/>
      <c r="L639" s="71"/>
      <c r="N639" s="70"/>
    </row>
    <row r="640" spans="1:14" ht="15" customHeight="1" x14ac:dyDescent="0.2">
      <c r="A640" s="292"/>
      <c r="C640" s="189"/>
      <c r="E640" s="190"/>
      <c r="G640" s="70"/>
      <c r="H640" s="70"/>
      <c r="J640" s="70"/>
      <c r="L640" s="71"/>
      <c r="N640" s="70"/>
    </row>
    <row r="641" spans="1:14" ht="15" customHeight="1" x14ac:dyDescent="0.2">
      <c r="A641" s="292"/>
      <c r="C641" s="189"/>
      <c r="E641" s="190"/>
      <c r="G641" s="70"/>
      <c r="H641" s="70"/>
      <c r="J641" s="70"/>
      <c r="L641" s="71"/>
      <c r="N641" s="70"/>
    </row>
    <row r="642" spans="1:14" ht="15" customHeight="1" x14ac:dyDescent="0.2">
      <c r="A642" s="292"/>
      <c r="C642" s="189"/>
      <c r="E642" s="190"/>
      <c r="G642" s="70"/>
      <c r="H642" s="70"/>
      <c r="J642" s="70"/>
      <c r="L642" s="71"/>
      <c r="N642" s="70"/>
    </row>
    <row r="643" spans="1:14" ht="15" customHeight="1" x14ac:dyDescent="0.2">
      <c r="A643" s="292"/>
      <c r="C643" s="189"/>
      <c r="E643" s="190"/>
      <c r="G643" s="70"/>
      <c r="H643" s="70"/>
      <c r="J643" s="70"/>
      <c r="L643" s="71"/>
      <c r="N643" s="70"/>
    </row>
    <row r="644" spans="1:14" ht="15" customHeight="1" x14ac:dyDescent="0.2">
      <c r="A644" s="292"/>
      <c r="C644" s="189"/>
      <c r="E644" s="190"/>
      <c r="G644" s="70"/>
      <c r="H644" s="70"/>
      <c r="J644" s="70"/>
      <c r="L644" s="71"/>
      <c r="N644" s="70"/>
    </row>
    <row r="645" spans="1:14" ht="15" customHeight="1" x14ac:dyDescent="0.2">
      <c r="A645" s="292"/>
      <c r="C645" s="189"/>
      <c r="E645" s="190"/>
      <c r="G645" s="70"/>
      <c r="H645" s="70"/>
      <c r="J645" s="70"/>
      <c r="L645" s="71"/>
      <c r="N645" s="70"/>
    </row>
    <row r="646" spans="1:14" ht="15" customHeight="1" x14ac:dyDescent="0.2">
      <c r="A646" s="292"/>
      <c r="C646" s="189"/>
      <c r="E646" s="190"/>
      <c r="G646" s="70"/>
      <c r="H646" s="70"/>
      <c r="J646" s="70"/>
      <c r="L646" s="71"/>
      <c r="N646" s="70"/>
    </row>
    <row r="647" spans="1:14" ht="15" customHeight="1" x14ac:dyDescent="0.2">
      <c r="A647" s="292"/>
      <c r="C647" s="189"/>
      <c r="E647" s="190"/>
      <c r="G647" s="70"/>
      <c r="H647" s="70"/>
      <c r="J647" s="70"/>
      <c r="L647" s="71"/>
      <c r="N647" s="70"/>
    </row>
    <row r="648" spans="1:14" ht="15" customHeight="1" x14ac:dyDescent="0.2">
      <c r="A648" s="292"/>
      <c r="C648" s="189"/>
      <c r="E648" s="190"/>
      <c r="G648" s="70"/>
      <c r="H648" s="70"/>
      <c r="J648" s="70"/>
      <c r="L648" s="71"/>
      <c r="N648" s="70"/>
    </row>
    <row r="649" spans="1:14" ht="15" customHeight="1" x14ac:dyDescent="0.2">
      <c r="A649" s="292"/>
      <c r="C649" s="189"/>
      <c r="E649" s="190"/>
      <c r="G649" s="70"/>
      <c r="H649" s="70"/>
      <c r="J649" s="70"/>
      <c r="L649" s="71"/>
      <c r="N649" s="70"/>
    </row>
    <row r="650" spans="1:14" ht="15" customHeight="1" x14ac:dyDescent="0.2">
      <c r="A650" s="292"/>
      <c r="C650" s="189"/>
      <c r="E650" s="190"/>
      <c r="G650" s="70"/>
      <c r="H650" s="70"/>
      <c r="J650" s="70"/>
      <c r="L650" s="71"/>
      <c r="N650" s="70"/>
    </row>
    <row r="651" spans="1:14" ht="15" customHeight="1" x14ac:dyDescent="0.2">
      <c r="A651" s="292"/>
      <c r="C651" s="189"/>
      <c r="E651" s="190"/>
      <c r="G651" s="70"/>
      <c r="H651" s="70"/>
      <c r="J651" s="70"/>
      <c r="L651" s="71"/>
      <c r="N651" s="70"/>
    </row>
    <row r="652" spans="1:14" ht="15" customHeight="1" x14ac:dyDescent="0.2">
      <c r="A652" s="292"/>
      <c r="C652" s="189"/>
      <c r="E652" s="190"/>
      <c r="G652" s="70"/>
      <c r="H652" s="70"/>
      <c r="J652" s="70"/>
      <c r="L652" s="71"/>
      <c r="N652" s="70"/>
    </row>
    <row r="653" spans="1:14" ht="15" customHeight="1" x14ac:dyDescent="0.2">
      <c r="A653" s="292"/>
      <c r="C653" s="189"/>
      <c r="E653" s="190"/>
      <c r="G653" s="70"/>
      <c r="H653" s="70"/>
      <c r="J653" s="70"/>
      <c r="L653" s="71"/>
      <c r="N653" s="70"/>
    </row>
    <row r="654" spans="1:14" ht="15" customHeight="1" x14ac:dyDescent="0.2">
      <c r="A654" s="292"/>
      <c r="C654" s="189"/>
      <c r="E654" s="190"/>
      <c r="G654" s="70"/>
      <c r="H654" s="70"/>
      <c r="J654" s="70"/>
      <c r="L654" s="71"/>
      <c r="N654" s="70"/>
    </row>
    <row r="655" spans="1:14" ht="15" customHeight="1" x14ac:dyDescent="0.2">
      <c r="A655" s="292"/>
      <c r="C655" s="189"/>
      <c r="E655" s="190"/>
      <c r="G655" s="70"/>
      <c r="H655" s="70"/>
      <c r="J655" s="70"/>
      <c r="L655" s="71"/>
      <c r="N655" s="70"/>
    </row>
    <row r="656" spans="1:14" ht="15" customHeight="1" x14ac:dyDescent="0.2">
      <c r="A656" s="292"/>
      <c r="C656" s="189"/>
      <c r="E656" s="190"/>
      <c r="G656" s="70"/>
      <c r="H656" s="70"/>
      <c r="J656" s="70"/>
      <c r="L656" s="71"/>
      <c r="N656" s="70"/>
    </row>
    <row r="657" spans="1:14" ht="15" customHeight="1" x14ac:dyDescent="0.2">
      <c r="A657" s="292"/>
      <c r="C657" s="189"/>
      <c r="E657" s="190"/>
      <c r="G657" s="70"/>
      <c r="H657" s="70"/>
      <c r="J657" s="70"/>
      <c r="L657" s="71"/>
      <c r="N657" s="70"/>
    </row>
    <row r="658" spans="1:14" ht="15" customHeight="1" x14ac:dyDescent="0.2">
      <c r="A658" s="292"/>
      <c r="C658" s="189"/>
      <c r="E658" s="190"/>
      <c r="G658" s="70"/>
      <c r="H658" s="70"/>
      <c r="J658" s="70"/>
      <c r="L658" s="71"/>
      <c r="N658" s="70"/>
    </row>
    <row r="659" spans="1:14" ht="15" customHeight="1" x14ac:dyDescent="0.2">
      <c r="A659" s="292"/>
      <c r="C659" s="189"/>
      <c r="E659" s="190"/>
      <c r="G659" s="70"/>
      <c r="H659" s="70"/>
      <c r="J659" s="70"/>
      <c r="L659" s="71"/>
      <c r="N659" s="70"/>
    </row>
    <row r="660" spans="1:14" ht="15" customHeight="1" x14ac:dyDescent="0.2">
      <c r="A660" s="292"/>
      <c r="C660" s="189"/>
      <c r="E660" s="190"/>
      <c r="G660" s="70"/>
      <c r="H660" s="70"/>
      <c r="J660" s="70"/>
      <c r="L660" s="71"/>
      <c r="N660" s="70"/>
    </row>
    <row r="661" spans="1:14" ht="15" customHeight="1" x14ac:dyDescent="0.2">
      <c r="A661" s="292"/>
      <c r="C661" s="189"/>
      <c r="E661" s="190"/>
      <c r="G661" s="70"/>
      <c r="H661" s="70"/>
      <c r="J661" s="70"/>
      <c r="L661" s="71"/>
      <c r="N661" s="70"/>
    </row>
    <row r="662" spans="1:14" ht="15" customHeight="1" x14ac:dyDescent="0.2">
      <c r="A662" s="292"/>
      <c r="C662" s="189"/>
      <c r="E662" s="190"/>
      <c r="G662" s="70"/>
      <c r="H662" s="70"/>
      <c r="J662" s="70"/>
      <c r="L662" s="71"/>
      <c r="N662" s="70"/>
    </row>
    <row r="663" spans="1:14" ht="15" customHeight="1" x14ac:dyDescent="0.2">
      <c r="A663" s="292"/>
      <c r="C663" s="189"/>
      <c r="E663" s="190"/>
      <c r="G663" s="70"/>
      <c r="H663" s="70"/>
      <c r="J663" s="70"/>
      <c r="L663" s="71"/>
      <c r="N663" s="70"/>
    </row>
    <row r="664" spans="1:14" ht="15" customHeight="1" x14ac:dyDescent="0.2">
      <c r="A664" s="292"/>
      <c r="C664" s="189"/>
      <c r="E664" s="190"/>
      <c r="G664" s="70"/>
      <c r="H664" s="70"/>
      <c r="J664" s="70"/>
      <c r="L664" s="71"/>
      <c r="N664" s="70"/>
    </row>
    <row r="665" spans="1:14" ht="15" customHeight="1" x14ac:dyDescent="0.2">
      <c r="A665" s="292"/>
      <c r="C665" s="189"/>
      <c r="E665" s="190"/>
      <c r="G665" s="70"/>
      <c r="H665" s="70"/>
      <c r="J665" s="70"/>
      <c r="L665" s="71"/>
      <c r="N665" s="70"/>
    </row>
    <row r="666" spans="1:14" ht="15" customHeight="1" x14ac:dyDescent="0.2">
      <c r="A666" s="292"/>
      <c r="C666" s="189"/>
      <c r="E666" s="190"/>
      <c r="G666" s="70"/>
      <c r="H666" s="70"/>
      <c r="J666" s="70"/>
      <c r="L666" s="71"/>
      <c r="N666" s="70"/>
    </row>
    <row r="667" spans="1:14" ht="15" customHeight="1" x14ac:dyDescent="0.2">
      <c r="A667" s="292"/>
      <c r="C667" s="189"/>
      <c r="E667" s="190"/>
      <c r="G667" s="70"/>
      <c r="H667" s="70"/>
      <c r="J667" s="70"/>
      <c r="L667" s="71"/>
      <c r="N667" s="70"/>
    </row>
    <row r="668" spans="1:14" ht="15" customHeight="1" x14ac:dyDescent="0.2">
      <c r="A668" s="292"/>
      <c r="C668" s="189"/>
      <c r="E668" s="190"/>
      <c r="G668" s="70"/>
      <c r="H668" s="70"/>
      <c r="J668" s="70"/>
      <c r="L668" s="71"/>
      <c r="N668" s="70"/>
    </row>
    <row r="669" spans="1:14" ht="15" customHeight="1" x14ac:dyDescent="0.2">
      <c r="A669" s="292"/>
      <c r="C669" s="189"/>
      <c r="E669" s="190"/>
      <c r="G669" s="70"/>
      <c r="H669" s="70"/>
      <c r="J669" s="70"/>
      <c r="L669" s="71"/>
      <c r="N669" s="70"/>
    </row>
    <row r="670" spans="1:14" ht="15" customHeight="1" x14ac:dyDescent="0.2">
      <c r="A670" s="292"/>
      <c r="C670" s="189"/>
      <c r="E670" s="190"/>
      <c r="G670" s="70"/>
      <c r="H670" s="70"/>
      <c r="J670" s="70"/>
      <c r="L670" s="71"/>
      <c r="N670" s="70"/>
    </row>
    <row r="671" spans="1:14" ht="15" customHeight="1" x14ac:dyDescent="0.2">
      <c r="A671" s="292"/>
      <c r="C671" s="189"/>
      <c r="E671" s="190"/>
      <c r="G671" s="70"/>
      <c r="H671" s="70"/>
      <c r="J671" s="70"/>
      <c r="L671" s="71"/>
      <c r="N671" s="70"/>
    </row>
    <row r="672" spans="1:14" ht="15" customHeight="1" x14ac:dyDescent="0.2">
      <c r="A672" s="292"/>
      <c r="C672" s="189"/>
      <c r="E672" s="190"/>
      <c r="G672" s="70"/>
      <c r="H672" s="70"/>
      <c r="J672" s="70"/>
      <c r="L672" s="71"/>
      <c r="N672" s="70"/>
    </row>
    <row r="673" spans="1:14" ht="15" customHeight="1" x14ac:dyDescent="0.2">
      <c r="A673" s="292"/>
      <c r="C673" s="189"/>
      <c r="E673" s="190"/>
      <c r="G673" s="70"/>
      <c r="H673" s="70"/>
      <c r="J673" s="70"/>
      <c r="L673" s="71"/>
      <c r="N673" s="70"/>
    </row>
    <row r="674" spans="1:14" ht="15" customHeight="1" x14ac:dyDescent="0.2">
      <c r="A674" s="292"/>
      <c r="C674" s="189"/>
      <c r="E674" s="190"/>
      <c r="G674" s="70"/>
      <c r="H674" s="70"/>
      <c r="J674" s="70"/>
      <c r="L674" s="71"/>
      <c r="N674" s="70"/>
    </row>
    <row r="675" spans="1:14" ht="15" customHeight="1" x14ac:dyDescent="0.2">
      <c r="A675" s="292"/>
      <c r="C675" s="189"/>
      <c r="E675" s="190"/>
      <c r="G675" s="70"/>
      <c r="H675" s="70"/>
      <c r="J675" s="70"/>
      <c r="L675" s="71"/>
      <c r="N675" s="70"/>
    </row>
    <row r="676" spans="1:14" ht="15" customHeight="1" x14ac:dyDescent="0.2">
      <c r="A676" s="292"/>
      <c r="C676" s="189"/>
      <c r="E676" s="190"/>
      <c r="G676" s="70"/>
      <c r="H676" s="70"/>
      <c r="J676" s="70"/>
      <c r="L676" s="71"/>
      <c r="N676" s="70"/>
    </row>
    <row r="677" spans="1:14" ht="15" customHeight="1" x14ac:dyDescent="0.2">
      <c r="A677" s="292"/>
      <c r="C677" s="189"/>
      <c r="E677" s="190"/>
      <c r="G677" s="70"/>
      <c r="H677" s="70"/>
      <c r="J677" s="70"/>
      <c r="L677" s="71"/>
      <c r="N677" s="70"/>
    </row>
    <row r="678" spans="1:14" ht="15" customHeight="1" x14ac:dyDescent="0.2">
      <c r="A678" s="292"/>
      <c r="C678" s="189"/>
      <c r="E678" s="190"/>
      <c r="G678" s="70"/>
      <c r="H678" s="70"/>
      <c r="J678" s="70"/>
      <c r="L678" s="71"/>
      <c r="N678" s="70"/>
    </row>
    <row r="679" spans="1:14" ht="15" customHeight="1" x14ac:dyDescent="0.2">
      <c r="A679" s="292"/>
      <c r="C679" s="189"/>
      <c r="E679" s="190"/>
      <c r="G679" s="70"/>
      <c r="H679" s="70"/>
      <c r="J679" s="70"/>
      <c r="L679" s="71"/>
      <c r="N679" s="70"/>
    </row>
    <row r="680" spans="1:14" ht="15" customHeight="1" x14ac:dyDescent="0.2">
      <c r="A680" s="292"/>
      <c r="C680" s="189"/>
      <c r="E680" s="190"/>
      <c r="G680" s="70"/>
      <c r="H680" s="70"/>
      <c r="J680" s="70"/>
      <c r="L680" s="71"/>
      <c r="N680" s="70"/>
    </row>
    <row r="681" spans="1:14" ht="15" customHeight="1" x14ac:dyDescent="0.2">
      <c r="A681" s="292"/>
      <c r="C681" s="189"/>
      <c r="E681" s="190"/>
      <c r="G681" s="70"/>
      <c r="H681" s="70"/>
      <c r="J681" s="70"/>
      <c r="L681" s="71"/>
      <c r="N681" s="70"/>
    </row>
    <row r="682" spans="1:14" ht="15" customHeight="1" x14ac:dyDescent="0.2">
      <c r="A682" s="292"/>
      <c r="C682" s="189"/>
      <c r="E682" s="190"/>
      <c r="G682" s="70"/>
      <c r="H682" s="70"/>
      <c r="J682" s="70"/>
      <c r="L682" s="71"/>
      <c r="N682" s="70"/>
    </row>
    <row r="683" spans="1:14" ht="15" customHeight="1" x14ac:dyDescent="0.2">
      <c r="A683" s="292"/>
      <c r="C683" s="189"/>
      <c r="E683" s="190"/>
      <c r="G683" s="70"/>
      <c r="H683" s="70"/>
      <c r="J683" s="70"/>
      <c r="L683" s="71"/>
      <c r="N683" s="70"/>
    </row>
    <row r="684" spans="1:14" ht="15" customHeight="1" x14ac:dyDescent="0.2">
      <c r="A684" s="292"/>
      <c r="C684" s="189"/>
      <c r="E684" s="190"/>
      <c r="G684" s="70"/>
      <c r="H684" s="70"/>
      <c r="J684" s="70"/>
      <c r="L684" s="71"/>
      <c r="N684" s="70"/>
    </row>
    <row r="685" spans="1:14" ht="15" customHeight="1" x14ac:dyDescent="0.2">
      <c r="A685" s="292"/>
      <c r="C685" s="189"/>
      <c r="E685" s="190"/>
      <c r="G685" s="70"/>
      <c r="H685" s="70"/>
      <c r="J685" s="70"/>
      <c r="L685" s="71"/>
      <c r="N685" s="70"/>
    </row>
    <row r="686" spans="1:14" ht="15" customHeight="1" x14ac:dyDescent="0.2">
      <c r="A686" s="292"/>
      <c r="C686" s="189"/>
      <c r="E686" s="190"/>
      <c r="G686" s="70"/>
      <c r="H686" s="70"/>
      <c r="J686" s="70"/>
      <c r="L686" s="71"/>
      <c r="N686" s="70"/>
    </row>
    <row r="687" spans="1:14" ht="15" customHeight="1" x14ac:dyDescent="0.2">
      <c r="A687" s="292"/>
      <c r="C687" s="189"/>
      <c r="E687" s="190"/>
      <c r="G687" s="70"/>
      <c r="H687" s="70"/>
      <c r="J687" s="70"/>
      <c r="L687" s="71"/>
      <c r="N687" s="70"/>
    </row>
    <row r="688" spans="1:14" ht="15" customHeight="1" x14ac:dyDescent="0.2">
      <c r="A688" s="292"/>
      <c r="C688" s="189"/>
      <c r="E688" s="190"/>
      <c r="G688" s="70"/>
      <c r="H688" s="70"/>
      <c r="J688" s="70"/>
      <c r="L688" s="71"/>
      <c r="N688" s="70"/>
    </row>
    <row r="689" spans="1:14" ht="15" customHeight="1" x14ac:dyDescent="0.2">
      <c r="A689" s="292"/>
      <c r="C689" s="189"/>
      <c r="E689" s="190"/>
      <c r="G689" s="70"/>
      <c r="H689" s="70"/>
      <c r="J689" s="70"/>
      <c r="L689" s="71"/>
      <c r="N689" s="70"/>
    </row>
    <row r="690" spans="1:14" ht="15" customHeight="1" x14ac:dyDescent="0.2">
      <c r="A690" s="292"/>
      <c r="C690" s="189"/>
      <c r="E690" s="190"/>
      <c r="G690" s="70"/>
      <c r="H690" s="70"/>
      <c r="J690" s="70"/>
      <c r="L690" s="71"/>
      <c r="N690" s="70"/>
    </row>
    <row r="691" spans="1:14" ht="15" customHeight="1" x14ac:dyDescent="0.2">
      <c r="A691" s="292"/>
      <c r="C691" s="189"/>
      <c r="E691" s="190"/>
      <c r="G691" s="70"/>
      <c r="H691" s="70"/>
      <c r="J691" s="70"/>
      <c r="L691" s="71"/>
      <c r="N691" s="70"/>
    </row>
    <row r="692" spans="1:14" ht="15" customHeight="1" x14ac:dyDescent="0.2">
      <c r="A692" s="292"/>
      <c r="C692" s="189"/>
      <c r="E692" s="190"/>
      <c r="G692" s="70"/>
      <c r="H692" s="70"/>
      <c r="J692" s="70"/>
      <c r="L692" s="71"/>
      <c r="N692" s="70"/>
    </row>
    <row r="693" spans="1:14" ht="15" customHeight="1" x14ac:dyDescent="0.2">
      <c r="A693" s="292"/>
      <c r="C693" s="189"/>
      <c r="E693" s="190"/>
      <c r="G693" s="70"/>
      <c r="H693" s="70"/>
      <c r="J693" s="70"/>
      <c r="L693" s="71"/>
      <c r="N693" s="70"/>
    </row>
    <row r="694" spans="1:14" ht="15" customHeight="1" x14ac:dyDescent="0.2">
      <c r="A694" s="292"/>
      <c r="C694" s="189"/>
      <c r="E694" s="190"/>
      <c r="G694" s="70"/>
      <c r="H694" s="70"/>
      <c r="J694" s="70"/>
      <c r="L694" s="71"/>
      <c r="N694" s="70"/>
    </row>
    <row r="695" spans="1:14" ht="15" customHeight="1" x14ac:dyDescent="0.2">
      <c r="A695" s="292"/>
      <c r="C695" s="189"/>
      <c r="E695" s="190"/>
      <c r="G695" s="70"/>
      <c r="H695" s="70"/>
      <c r="J695" s="70"/>
      <c r="L695" s="71"/>
      <c r="N695" s="70"/>
    </row>
    <row r="696" spans="1:14" ht="15" customHeight="1" x14ac:dyDescent="0.2">
      <c r="A696" s="292"/>
      <c r="C696" s="189"/>
      <c r="E696" s="190"/>
      <c r="G696" s="70"/>
      <c r="H696" s="70"/>
      <c r="J696" s="70"/>
      <c r="L696" s="71"/>
      <c r="N696" s="70"/>
    </row>
    <row r="697" spans="1:14" ht="15" customHeight="1" x14ac:dyDescent="0.2">
      <c r="A697" s="292"/>
      <c r="C697" s="189"/>
      <c r="E697" s="190"/>
      <c r="G697" s="70"/>
      <c r="H697" s="70"/>
      <c r="J697" s="70"/>
      <c r="L697" s="71"/>
      <c r="N697" s="70"/>
    </row>
    <row r="698" spans="1:14" ht="15" customHeight="1" x14ac:dyDescent="0.2">
      <c r="A698" s="292"/>
      <c r="C698" s="189"/>
      <c r="E698" s="190"/>
      <c r="G698" s="70"/>
      <c r="H698" s="70"/>
      <c r="J698" s="70"/>
      <c r="L698" s="71"/>
      <c r="N698" s="70"/>
    </row>
    <row r="699" spans="1:14" ht="15" customHeight="1" x14ac:dyDescent="0.2">
      <c r="A699" s="292"/>
      <c r="C699" s="189"/>
      <c r="E699" s="190"/>
      <c r="G699" s="70"/>
      <c r="H699" s="70"/>
      <c r="J699" s="70"/>
      <c r="L699" s="71"/>
      <c r="N699" s="70"/>
    </row>
    <row r="700" spans="1:14" ht="15" customHeight="1" x14ac:dyDescent="0.2">
      <c r="A700" s="292"/>
      <c r="C700" s="189"/>
      <c r="E700" s="190"/>
      <c r="G700" s="70"/>
      <c r="H700" s="70"/>
      <c r="J700" s="70"/>
      <c r="L700" s="71"/>
      <c r="N700" s="70"/>
    </row>
    <row r="701" spans="1:14" ht="15" customHeight="1" x14ac:dyDescent="0.2">
      <c r="A701" s="292"/>
      <c r="C701" s="189"/>
      <c r="E701" s="190"/>
      <c r="G701" s="70"/>
      <c r="H701" s="70"/>
      <c r="J701" s="70"/>
      <c r="L701" s="71"/>
      <c r="N701" s="70"/>
    </row>
    <row r="702" spans="1:14" ht="15" customHeight="1" x14ac:dyDescent="0.2">
      <c r="A702" s="292"/>
      <c r="C702" s="189"/>
      <c r="E702" s="190"/>
      <c r="G702" s="70"/>
      <c r="H702" s="70"/>
      <c r="J702" s="70"/>
      <c r="L702" s="71"/>
      <c r="N702" s="70"/>
    </row>
    <row r="703" spans="1:14" ht="15" customHeight="1" x14ac:dyDescent="0.2">
      <c r="A703" s="292"/>
      <c r="C703" s="189"/>
      <c r="E703" s="190"/>
      <c r="G703" s="70"/>
      <c r="H703" s="70"/>
      <c r="J703" s="70"/>
      <c r="L703" s="71"/>
      <c r="N703" s="70"/>
    </row>
    <row r="704" spans="1:14" ht="15" customHeight="1" x14ac:dyDescent="0.2">
      <c r="A704" s="292"/>
      <c r="C704" s="189"/>
      <c r="E704" s="190"/>
      <c r="G704" s="70"/>
      <c r="H704" s="70"/>
      <c r="J704" s="70"/>
      <c r="L704" s="71"/>
      <c r="N704" s="70"/>
    </row>
    <row r="705" spans="1:14" ht="15" customHeight="1" x14ac:dyDescent="0.2">
      <c r="A705" s="292"/>
      <c r="C705" s="189"/>
      <c r="E705" s="190"/>
      <c r="G705" s="70"/>
      <c r="H705" s="70"/>
      <c r="J705" s="70"/>
      <c r="L705" s="71"/>
      <c r="N705" s="70"/>
    </row>
    <row r="706" spans="1:14" ht="15" customHeight="1" x14ac:dyDescent="0.2">
      <c r="A706" s="292"/>
      <c r="C706" s="189"/>
      <c r="E706" s="190"/>
      <c r="G706" s="70"/>
      <c r="H706" s="70"/>
      <c r="J706" s="70"/>
      <c r="L706" s="71"/>
      <c r="N706" s="70"/>
    </row>
    <row r="707" spans="1:14" ht="15" customHeight="1" x14ac:dyDescent="0.2">
      <c r="A707" s="292"/>
      <c r="C707" s="189"/>
      <c r="E707" s="190"/>
      <c r="G707" s="70"/>
      <c r="H707" s="70"/>
      <c r="J707" s="70"/>
      <c r="L707" s="71"/>
      <c r="N707" s="70"/>
    </row>
    <row r="708" spans="1:14" ht="15" customHeight="1" x14ac:dyDescent="0.2">
      <c r="A708" s="292"/>
      <c r="C708" s="189"/>
      <c r="E708" s="190"/>
      <c r="G708" s="70"/>
      <c r="H708" s="70"/>
      <c r="J708" s="70"/>
      <c r="L708" s="71"/>
      <c r="N708" s="70"/>
    </row>
    <row r="709" spans="1:14" ht="15" customHeight="1" x14ac:dyDescent="0.2">
      <c r="A709" s="292"/>
      <c r="C709" s="189"/>
      <c r="E709" s="190"/>
      <c r="G709" s="70"/>
      <c r="H709" s="70"/>
      <c r="J709" s="70"/>
      <c r="L709" s="71"/>
      <c r="N709" s="70"/>
    </row>
    <row r="710" spans="1:14" ht="15" customHeight="1" x14ac:dyDescent="0.2">
      <c r="A710" s="292"/>
      <c r="C710" s="189"/>
      <c r="E710" s="190"/>
      <c r="G710" s="70"/>
      <c r="H710" s="70"/>
      <c r="J710" s="70"/>
      <c r="L710" s="71"/>
      <c r="N710" s="70"/>
    </row>
    <row r="711" spans="1:14" ht="15" customHeight="1" x14ac:dyDescent="0.2">
      <c r="A711" s="292"/>
      <c r="C711" s="189"/>
      <c r="E711" s="190"/>
      <c r="G711" s="70"/>
      <c r="H711" s="70"/>
      <c r="J711" s="70"/>
      <c r="L711" s="71"/>
      <c r="N711" s="70"/>
    </row>
    <row r="712" spans="1:14" ht="15" customHeight="1" x14ac:dyDescent="0.2">
      <c r="A712" s="292"/>
      <c r="C712" s="189"/>
      <c r="E712" s="190"/>
      <c r="G712" s="70"/>
      <c r="H712" s="70"/>
      <c r="J712" s="70"/>
      <c r="L712" s="71"/>
      <c r="N712" s="70"/>
    </row>
    <row r="713" spans="1:14" ht="15" customHeight="1" x14ac:dyDescent="0.2">
      <c r="A713" s="292"/>
      <c r="C713" s="189"/>
      <c r="E713" s="190"/>
      <c r="G713" s="70"/>
      <c r="H713" s="70"/>
      <c r="J713" s="70"/>
      <c r="L713" s="71"/>
      <c r="N713" s="70"/>
    </row>
    <row r="714" spans="1:14" ht="15" customHeight="1" x14ac:dyDescent="0.2">
      <c r="A714" s="292"/>
      <c r="C714" s="189"/>
      <c r="E714" s="190"/>
      <c r="G714" s="70"/>
      <c r="H714" s="70"/>
      <c r="J714" s="70"/>
      <c r="L714" s="71"/>
      <c r="N714" s="70"/>
    </row>
    <row r="715" spans="1:14" ht="15" customHeight="1" x14ac:dyDescent="0.2">
      <c r="A715" s="292"/>
      <c r="C715" s="189"/>
      <c r="E715" s="190"/>
      <c r="G715" s="70"/>
      <c r="H715" s="70"/>
      <c r="J715" s="70"/>
      <c r="L715" s="71"/>
      <c r="N715" s="70"/>
    </row>
    <row r="716" spans="1:14" ht="15" customHeight="1" x14ac:dyDescent="0.2">
      <c r="A716" s="292"/>
      <c r="C716" s="189"/>
      <c r="E716" s="190"/>
      <c r="G716" s="70"/>
      <c r="H716" s="70"/>
      <c r="J716" s="70"/>
      <c r="L716" s="71"/>
      <c r="N716" s="70"/>
    </row>
    <row r="717" spans="1:14" ht="15" customHeight="1" x14ac:dyDescent="0.2">
      <c r="A717" s="292"/>
      <c r="C717" s="189"/>
      <c r="E717" s="190"/>
      <c r="G717" s="70"/>
      <c r="H717" s="70"/>
      <c r="J717" s="70"/>
      <c r="L717" s="71"/>
      <c r="N717" s="70"/>
    </row>
    <row r="718" spans="1:14" ht="15" customHeight="1" x14ac:dyDescent="0.2">
      <c r="A718" s="292"/>
      <c r="C718" s="189"/>
      <c r="E718" s="190"/>
      <c r="G718" s="70"/>
      <c r="H718" s="70"/>
      <c r="J718" s="70"/>
      <c r="L718" s="71"/>
      <c r="N718" s="70"/>
    </row>
    <row r="719" spans="1:14" ht="15" customHeight="1" x14ac:dyDescent="0.2">
      <c r="A719" s="292"/>
      <c r="C719" s="189"/>
      <c r="E719" s="190"/>
      <c r="G719" s="70"/>
      <c r="H719" s="70"/>
      <c r="J719" s="70"/>
      <c r="L719" s="71"/>
      <c r="N719" s="70"/>
    </row>
    <row r="720" spans="1:14" ht="15" customHeight="1" x14ac:dyDescent="0.2">
      <c r="A720" s="292"/>
      <c r="C720" s="189"/>
      <c r="E720" s="190"/>
      <c r="G720" s="70"/>
      <c r="H720" s="70"/>
      <c r="J720" s="70"/>
      <c r="L720" s="71"/>
      <c r="N720" s="70"/>
    </row>
    <row r="721" spans="1:14" ht="15" customHeight="1" x14ac:dyDescent="0.2">
      <c r="A721" s="292"/>
      <c r="C721" s="189"/>
      <c r="E721" s="190"/>
      <c r="G721" s="70"/>
      <c r="H721" s="70"/>
      <c r="J721" s="70"/>
      <c r="L721" s="71"/>
      <c r="N721" s="70"/>
    </row>
    <row r="722" spans="1:14" ht="15" customHeight="1" x14ac:dyDescent="0.2">
      <c r="A722" s="292"/>
      <c r="C722" s="189"/>
      <c r="E722" s="190"/>
      <c r="G722" s="70"/>
      <c r="H722" s="70"/>
      <c r="J722" s="70"/>
      <c r="L722" s="71"/>
      <c r="N722" s="70"/>
    </row>
    <row r="723" spans="1:14" ht="15" customHeight="1" x14ac:dyDescent="0.2">
      <c r="A723" s="292"/>
      <c r="C723" s="189"/>
      <c r="E723" s="190"/>
      <c r="G723" s="70"/>
      <c r="H723" s="70"/>
      <c r="J723" s="70"/>
      <c r="L723" s="71"/>
      <c r="N723" s="70"/>
    </row>
    <row r="724" spans="1:14" ht="15" customHeight="1" x14ac:dyDescent="0.2">
      <c r="A724" s="292"/>
      <c r="C724" s="189"/>
      <c r="E724" s="190"/>
      <c r="G724" s="70"/>
      <c r="H724" s="70"/>
      <c r="J724" s="70"/>
      <c r="L724" s="71"/>
      <c r="N724" s="70"/>
    </row>
    <row r="725" spans="1:14" ht="15" customHeight="1" x14ac:dyDescent="0.2">
      <c r="A725" s="292"/>
      <c r="C725" s="189"/>
      <c r="E725" s="190"/>
      <c r="G725" s="70"/>
      <c r="H725" s="70"/>
      <c r="J725" s="70"/>
      <c r="L725" s="71"/>
      <c r="N725" s="70"/>
    </row>
    <row r="726" spans="1:14" ht="15" customHeight="1" x14ac:dyDescent="0.2">
      <c r="A726" s="292"/>
      <c r="C726" s="189"/>
      <c r="E726" s="190"/>
      <c r="G726" s="70"/>
      <c r="H726" s="70"/>
      <c r="J726" s="70"/>
      <c r="L726" s="71"/>
      <c r="N726" s="70"/>
    </row>
    <row r="727" spans="1:14" ht="15" customHeight="1" x14ac:dyDescent="0.2">
      <c r="A727" s="292"/>
      <c r="C727" s="189"/>
      <c r="E727" s="190"/>
      <c r="G727" s="70"/>
      <c r="H727" s="70"/>
      <c r="J727" s="70"/>
      <c r="L727" s="71"/>
      <c r="N727" s="70"/>
    </row>
    <row r="728" spans="1:14" ht="15" customHeight="1" x14ac:dyDescent="0.2">
      <c r="A728" s="292"/>
      <c r="C728" s="189"/>
      <c r="E728" s="190"/>
      <c r="G728" s="70"/>
      <c r="H728" s="70"/>
      <c r="J728" s="70"/>
      <c r="L728" s="71"/>
      <c r="N728" s="70"/>
    </row>
    <row r="729" spans="1:14" ht="15" customHeight="1" x14ac:dyDescent="0.2">
      <c r="A729" s="292"/>
      <c r="C729" s="189"/>
      <c r="E729" s="190"/>
      <c r="G729" s="70"/>
      <c r="H729" s="70"/>
      <c r="J729" s="70"/>
      <c r="L729" s="71"/>
      <c r="N729" s="70"/>
    </row>
    <row r="730" spans="1:14" ht="15" customHeight="1" x14ac:dyDescent="0.2">
      <c r="A730" s="292"/>
      <c r="C730" s="189"/>
      <c r="E730" s="190"/>
      <c r="G730" s="70"/>
      <c r="H730" s="70"/>
      <c r="J730" s="70"/>
      <c r="L730" s="71"/>
      <c r="N730" s="70"/>
    </row>
    <row r="731" spans="1:14" ht="15" customHeight="1" x14ac:dyDescent="0.2">
      <c r="A731" s="292"/>
      <c r="C731" s="189"/>
      <c r="E731" s="190"/>
      <c r="G731" s="70"/>
      <c r="H731" s="70"/>
      <c r="J731" s="70"/>
      <c r="L731" s="71"/>
      <c r="N731" s="70"/>
    </row>
    <row r="732" spans="1:14" ht="15" customHeight="1" x14ac:dyDescent="0.2">
      <c r="A732" s="292"/>
      <c r="C732" s="189"/>
      <c r="E732" s="190"/>
      <c r="G732" s="70"/>
      <c r="H732" s="70"/>
      <c r="J732" s="70"/>
      <c r="L732" s="71"/>
      <c r="N732" s="70"/>
    </row>
    <row r="733" spans="1:14" ht="15" customHeight="1" x14ac:dyDescent="0.2">
      <c r="A733" s="292"/>
      <c r="C733" s="189"/>
      <c r="E733" s="190"/>
      <c r="G733" s="70"/>
      <c r="H733" s="70"/>
      <c r="J733" s="70"/>
      <c r="L733" s="71"/>
      <c r="N733" s="70"/>
    </row>
    <row r="734" spans="1:14" ht="15" customHeight="1" x14ac:dyDescent="0.2">
      <c r="A734" s="292"/>
      <c r="C734" s="189"/>
      <c r="E734" s="190"/>
      <c r="G734" s="70"/>
      <c r="H734" s="70"/>
      <c r="J734" s="70"/>
      <c r="L734" s="71"/>
      <c r="N734" s="70"/>
    </row>
    <row r="735" spans="1:14" ht="15" customHeight="1" x14ac:dyDescent="0.2">
      <c r="A735" s="292"/>
      <c r="C735" s="189"/>
      <c r="E735" s="190"/>
      <c r="G735" s="70"/>
      <c r="H735" s="70"/>
      <c r="J735" s="70"/>
      <c r="L735" s="71"/>
      <c r="N735" s="70"/>
    </row>
    <row r="736" spans="1:14" ht="15" customHeight="1" x14ac:dyDescent="0.2">
      <c r="A736" s="292"/>
      <c r="C736" s="189"/>
      <c r="E736" s="190"/>
      <c r="G736" s="70"/>
      <c r="H736" s="70"/>
      <c r="J736" s="70"/>
      <c r="L736" s="71"/>
      <c r="N736" s="70"/>
    </row>
    <row r="737" spans="1:14" ht="15" customHeight="1" x14ac:dyDescent="0.2">
      <c r="A737" s="292"/>
      <c r="C737" s="189"/>
      <c r="E737" s="190"/>
      <c r="G737" s="70"/>
      <c r="H737" s="70"/>
      <c r="J737" s="70"/>
      <c r="L737" s="71"/>
      <c r="N737" s="70"/>
    </row>
    <row r="738" spans="1:14" ht="15" customHeight="1" x14ac:dyDescent="0.2">
      <c r="A738" s="292"/>
      <c r="C738" s="189"/>
      <c r="E738" s="190"/>
      <c r="G738" s="70"/>
      <c r="H738" s="70"/>
      <c r="J738" s="70"/>
      <c r="L738" s="71"/>
      <c r="N738" s="70"/>
    </row>
    <row r="739" spans="1:14" ht="15" customHeight="1" x14ac:dyDescent="0.2">
      <c r="A739" s="292"/>
      <c r="C739" s="189"/>
      <c r="E739" s="190"/>
      <c r="G739" s="70"/>
      <c r="H739" s="70"/>
      <c r="J739" s="70"/>
      <c r="L739" s="71"/>
      <c r="N739" s="70"/>
    </row>
    <row r="740" spans="1:14" ht="15" customHeight="1" x14ac:dyDescent="0.2">
      <c r="A740" s="292"/>
      <c r="C740" s="189"/>
      <c r="E740" s="190"/>
      <c r="G740" s="70"/>
      <c r="H740" s="70"/>
      <c r="J740" s="70"/>
      <c r="L740" s="71"/>
      <c r="N740" s="70"/>
    </row>
    <row r="741" spans="1:14" ht="15" customHeight="1" x14ac:dyDescent="0.2">
      <c r="A741" s="292"/>
      <c r="C741" s="189"/>
      <c r="E741" s="190"/>
      <c r="G741" s="70"/>
      <c r="H741" s="70"/>
      <c r="J741" s="70"/>
      <c r="L741" s="71"/>
      <c r="N741" s="70"/>
    </row>
    <row r="742" spans="1:14" ht="15" customHeight="1" x14ac:dyDescent="0.2">
      <c r="A742" s="292"/>
      <c r="C742" s="189"/>
      <c r="E742" s="190"/>
      <c r="G742" s="70"/>
      <c r="H742" s="70"/>
      <c r="J742" s="70"/>
      <c r="L742" s="71"/>
      <c r="N742" s="70"/>
    </row>
    <row r="743" spans="1:14" ht="15" customHeight="1" x14ac:dyDescent="0.2">
      <c r="A743" s="292"/>
      <c r="C743" s="189"/>
      <c r="E743" s="190"/>
      <c r="G743" s="70"/>
      <c r="H743" s="70"/>
      <c r="J743" s="70"/>
      <c r="L743" s="71"/>
      <c r="N743" s="70"/>
    </row>
    <row r="744" spans="1:14" ht="15" customHeight="1" x14ac:dyDescent="0.2">
      <c r="A744" s="292"/>
      <c r="C744" s="189"/>
      <c r="E744" s="190"/>
      <c r="G744" s="70"/>
      <c r="H744" s="70"/>
      <c r="J744" s="70"/>
      <c r="L744" s="71"/>
      <c r="N744" s="70"/>
    </row>
    <row r="745" spans="1:14" ht="15" customHeight="1" x14ac:dyDescent="0.2">
      <c r="A745" s="292"/>
      <c r="C745" s="189"/>
      <c r="E745" s="190"/>
      <c r="G745" s="70"/>
      <c r="H745" s="70"/>
      <c r="J745" s="70"/>
      <c r="L745" s="71"/>
      <c r="N745" s="70"/>
    </row>
    <row r="746" spans="1:14" ht="15" customHeight="1" x14ac:dyDescent="0.2">
      <c r="A746" s="292"/>
      <c r="C746" s="189"/>
      <c r="E746" s="190"/>
      <c r="G746" s="70"/>
      <c r="H746" s="70"/>
      <c r="J746" s="70"/>
      <c r="L746" s="71"/>
      <c r="N746" s="70"/>
    </row>
    <row r="747" spans="1:14" ht="15" customHeight="1" x14ac:dyDescent="0.2">
      <c r="A747" s="292"/>
      <c r="C747" s="189"/>
      <c r="E747" s="190"/>
      <c r="G747" s="70"/>
      <c r="H747" s="70"/>
      <c r="J747" s="70"/>
      <c r="L747" s="71"/>
      <c r="N747" s="70"/>
    </row>
    <row r="748" spans="1:14" ht="15" customHeight="1" x14ac:dyDescent="0.2">
      <c r="A748" s="292"/>
      <c r="C748" s="189"/>
      <c r="E748" s="190"/>
      <c r="G748" s="70"/>
      <c r="H748" s="70"/>
      <c r="J748" s="70"/>
      <c r="L748" s="71"/>
      <c r="N748" s="70"/>
    </row>
    <row r="749" spans="1:14" ht="15" customHeight="1" x14ac:dyDescent="0.2">
      <c r="A749" s="292"/>
      <c r="C749" s="189"/>
      <c r="E749" s="190"/>
      <c r="G749" s="70"/>
      <c r="H749" s="70"/>
      <c r="J749" s="70"/>
      <c r="L749" s="71"/>
      <c r="N749" s="70"/>
    </row>
    <row r="750" spans="1:14" ht="15" customHeight="1" x14ac:dyDescent="0.2">
      <c r="A750" s="292"/>
      <c r="C750" s="189"/>
      <c r="E750" s="190"/>
      <c r="G750" s="70"/>
      <c r="H750" s="70"/>
      <c r="J750" s="70"/>
      <c r="L750" s="71"/>
      <c r="N750" s="70"/>
    </row>
    <row r="751" spans="1:14" ht="15" customHeight="1" x14ac:dyDescent="0.2">
      <c r="A751" s="292"/>
      <c r="C751" s="189"/>
      <c r="E751" s="190"/>
      <c r="G751" s="70"/>
      <c r="H751" s="70"/>
      <c r="J751" s="70"/>
      <c r="L751" s="71"/>
      <c r="N751" s="70"/>
    </row>
    <row r="752" spans="1:14" ht="15" customHeight="1" x14ac:dyDescent="0.2">
      <c r="A752" s="292"/>
      <c r="C752" s="189"/>
      <c r="E752" s="190"/>
      <c r="G752" s="70"/>
      <c r="H752" s="70"/>
      <c r="J752" s="70"/>
      <c r="L752" s="71"/>
      <c r="N752" s="70"/>
    </row>
    <row r="753" spans="1:14" ht="15" customHeight="1" x14ac:dyDescent="0.2">
      <c r="A753" s="292"/>
      <c r="C753" s="189"/>
      <c r="E753" s="190"/>
      <c r="G753" s="70"/>
      <c r="H753" s="70"/>
      <c r="J753" s="70"/>
      <c r="L753" s="71"/>
      <c r="N753" s="70"/>
    </row>
    <row r="754" spans="1:14" ht="15" customHeight="1" x14ac:dyDescent="0.2">
      <c r="A754" s="292"/>
      <c r="C754" s="189"/>
      <c r="E754" s="190"/>
      <c r="G754" s="70"/>
      <c r="H754" s="70"/>
      <c r="J754" s="70"/>
      <c r="L754" s="71"/>
      <c r="N754" s="70"/>
    </row>
    <row r="755" spans="1:14" ht="15" customHeight="1" x14ac:dyDescent="0.2">
      <c r="A755" s="292"/>
      <c r="C755" s="189"/>
      <c r="E755" s="190"/>
      <c r="G755" s="70"/>
      <c r="H755" s="70"/>
      <c r="J755" s="70"/>
      <c r="L755" s="71"/>
      <c r="N755" s="70"/>
    </row>
    <row r="756" spans="1:14" ht="15" customHeight="1" x14ac:dyDescent="0.2">
      <c r="A756" s="292"/>
      <c r="C756" s="189"/>
      <c r="E756" s="190"/>
      <c r="G756" s="70"/>
      <c r="H756" s="70"/>
      <c r="J756" s="70"/>
      <c r="L756" s="71"/>
      <c r="N756" s="70"/>
    </row>
    <row r="757" spans="1:14" ht="15" customHeight="1" x14ac:dyDescent="0.2">
      <c r="A757" s="292"/>
      <c r="C757" s="189"/>
      <c r="E757" s="190"/>
      <c r="G757" s="70"/>
      <c r="H757" s="70"/>
      <c r="J757" s="70"/>
      <c r="L757" s="71"/>
      <c r="N757" s="70"/>
    </row>
    <row r="758" spans="1:14" ht="15" customHeight="1" x14ac:dyDescent="0.2">
      <c r="A758" s="292"/>
      <c r="C758" s="189"/>
      <c r="E758" s="190"/>
      <c r="G758" s="70"/>
      <c r="H758" s="70"/>
      <c r="J758" s="70"/>
      <c r="L758" s="71"/>
      <c r="N758" s="70"/>
    </row>
    <row r="759" spans="1:14" ht="15" customHeight="1" x14ac:dyDescent="0.2">
      <c r="A759" s="292"/>
      <c r="C759" s="189"/>
      <c r="E759" s="190"/>
      <c r="G759" s="70"/>
      <c r="H759" s="70"/>
      <c r="J759" s="70"/>
      <c r="L759" s="71"/>
      <c r="N759" s="70"/>
    </row>
    <row r="760" spans="1:14" ht="15" customHeight="1" x14ac:dyDescent="0.2">
      <c r="A760" s="292"/>
      <c r="C760" s="189"/>
      <c r="E760" s="190"/>
      <c r="G760" s="70"/>
      <c r="H760" s="70"/>
      <c r="J760" s="70"/>
      <c r="L760" s="71"/>
      <c r="N760" s="70"/>
    </row>
    <row r="761" spans="1:14" ht="15" customHeight="1" x14ac:dyDescent="0.2">
      <c r="A761" s="292"/>
      <c r="C761" s="189"/>
      <c r="E761" s="190"/>
      <c r="G761" s="70"/>
      <c r="H761" s="70"/>
      <c r="J761" s="70"/>
      <c r="L761" s="71"/>
      <c r="N761" s="70"/>
    </row>
    <row r="762" spans="1:14" ht="15" customHeight="1" x14ac:dyDescent="0.2">
      <c r="A762" s="292"/>
      <c r="C762" s="189"/>
      <c r="E762" s="190"/>
      <c r="G762" s="70"/>
      <c r="H762" s="70"/>
      <c r="J762" s="70"/>
      <c r="L762" s="71"/>
      <c r="N762" s="70"/>
    </row>
    <row r="763" spans="1:14" ht="15" customHeight="1" x14ac:dyDescent="0.2">
      <c r="A763" s="292"/>
      <c r="C763" s="189"/>
      <c r="E763" s="190"/>
      <c r="G763" s="70"/>
      <c r="H763" s="70"/>
      <c r="J763" s="70"/>
      <c r="L763" s="71"/>
      <c r="N763" s="70"/>
    </row>
    <row r="764" spans="1:14" ht="15" customHeight="1" x14ac:dyDescent="0.2">
      <c r="A764" s="292"/>
      <c r="C764" s="189"/>
      <c r="E764" s="190"/>
      <c r="G764" s="70"/>
      <c r="H764" s="70"/>
      <c r="J764" s="70"/>
      <c r="L764" s="71"/>
      <c r="N764" s="70"/>
    </row>
    <row r="765" spans="1:14" ht="15" customHeight="1" x14ac:dyDescent="0.2">
      <c r="A765" s="292"/>
      <c r="C765" s="189"/>
      <c r="E765" s="190"/>
      <c r="G765" s="70"/>
      <c r="H765" s="70"/>
      <c r="J765" s="70"/>
      <c r="L765" s="71"/>
      <c r="N765" s="70"/>
    </row>
    <row r="766" spans="1:14" ht="15" customHeight="1" x14ac:dyDescent="0.2">
      <c r="A766" s="292"/>
      <c r="C766" s="189"/>
      <c r="E766" s="190"/>
      <c r="G766" s="70"/>
      <c r="H766" s="70"/>
      <c r="J766" s="70"/>
      <c r="L766" s="71"/>
      <c r="N766" s="70"/>
    </row>
    <row r="767" spans="1:14" ht="15" customHeight="1" x14ac:dyDescent="0.2">
      <c r="A767" s="292"/>
      <c r="C767" s="189"/>
      <c r="E767" s="190"/>
      <c r="G767" s="70"/>
      <c r="H767" s="70"/>
      <c r="J767" s="70"/>
      <c r="L767" s="71"/>
      <c r="N767" s="70"/>
    </row>
    <row r="768" spans="1:14" ht="15" customHeight="1" x14ac:dyDescent="0.2">
      <c r="A768" s="292"/>
      <c r="C768" s="189"/>
      <c r="E768" s="190"/>
      <c r="G768" s="70"/>
      <c r="H768" s="70"/>
      <c r="J768" s="70"/>
      <c r="L768" s="71"/>
      <c r="N768" s="70"/>
    </row>
    <row r="769" spans="1:14" ht="15" customHeight="1" x14ac:dyDescent="0.2">
      <c r="A769" s="292"/>
      <c r="C769" s="189"/>
      <c r="E769" s="190"/>
      <c r="G769" s="70"/>
      <c r="H769" s="70"/>
      <c r="J769" s="70"/>
      <c r="L769" s="71"/>
      <c r="N769" s="70"/>
    </row>
    <row r="770" spans="1:14" ht="15" customHeight="1" x14ac:dyDescent="0.2">
      <c r="A770" s="292"/>
      <c r="C770" s="189"/>
      <c r="E770" s="190"/>
      <c r="G770" s="70"/>
      <c r="H770" s="70"/>
      <c r="J770" s="70"/>
      <c r="L770" s="71"/>
      <c r="N770" s="70"/>
    </row>
    <row r="771" spans="1:14" ht="15" customHeight="1" x14ac:dyDescent="0.2">
      <c r="A771" s="292"/>
      <c r="C771" s="189"/>
      <c r="E771" s="190"/>
      <c r="G771" s="70"/>
      <c r="H771" s="70"/>
      <c r="J771" s="70"/>
      <c r="L771" s="71"/>
      <c r="N771" s="70"/>
    </row>
    <row r="772" spans="1:14" ht="15" customHeight="1" x14ac:dyDescent="0.2">
      <c r="A772" s="292"/>
      <c r="C772" s="189"/>
      <c r="E772" s="190"/>
      <c r="G772" s="70"/>
      <c r="H772" s="70"/>
      <c r="J772" s="70"/>
      <c r="L772" s="71"/>
      <c r="N772" s="70"/>
    </row>
    <row r="773" spans="1:14" ht="15" customHeight="1" x14ac:dyDescent="0.2">
      <c r="A773" s="292"/>
      <c r="C773" s="189"/>
      <c r="E773" s="190"/>
      <c r="G773" s="70"/>
      <c r="H773" s="70"/>
      <c r="J773" s="70"/>
      <c r="L773" s="71"/>
      <c r="N773" s="70"/>
    </row>
    <row r="774" spans="1:14" ht="15" customHeight="1" x14ac:dyDescent="0.2">
      <c r="A774" s="292"/>
      <c r="C774" s="189"/>
      <c r="E774" s="190"/>
      <c r="G774" s="70"/>
      <c r="H774" s="70"/>
      <c r="J774" s="70"/>
      <c r="L774" s="71"/>
      <c r="N774" s="70"/>
    </row>
    <row r="775" spans="1:14" ht="15" customHeight="1" x14ac:dyDescent="0.2">
      <c r="A775" s="292"/>
      <c r="C775" s="189"/>
      <c r="E775" s="190"/>
      <c r="G775" s="70"/>
      <c r="H775" s="70"/>
      <c r="J775" s="70"/>
      <c r="L775" s="71"/>
      <c r="N775" s="70"/>
    </row>
    <row r="776" spans="1:14" ht="15" customHeight="1" x14ac:dyDescent="0.2">
      <c r="A776" s="292"/>
      <c r="C776" s="189"/>
      <c r="E776" s="190"/>
      <c r="G776" s="70"/>
      <c r="H776" s="70"/>
      <c r="J776" s="70"/>
      <c r="L776" s="71"/>
      <c r="N776" s="70"/>
    </row>
    <row r="777" spans="1:14" ht="15" customHeight="1" x14ac:dyDescent="0.2">
      <c r="A777" s="292"/>
      <c r="C777" s="189"/>
      <c r="E777" s="190"/>
      <c r="G777" s="70"/>
      <c r="H777" s="70"/>
      <c r="J777" s="70"/>
      <c r="L777" s="71"/>
      <c r="N777" s="70"/>
    </row>
    <row r="778" spans="1:14" ht="15" customHeight="1" x14ac:dyDescent="0.2">
      <c r="A778" s="292"/>
      <c r="C778" s="189"/>
      <c r="E778" s="190"/>
      <c r="G778" s="70"/>
      <c r="H778" s="70"/>
      <c r="J778" s="70"/>
      <c r="L778" s="71"/>
      <c r="N778" s="70"/>
    </row>
    <row r="779" spans="1:14" ht="15" customHeight="1" x14ac:dyDescent="0.2">
      <c r="A779" s="292"/>
      <c r="C779" s="189"/>
      <c r="E779" s="190"/>
      <c r="G779" s="70"/>
      <c r="H779" s="70"/>
      <c r="J779" s="70"/>
      <c r="L779" s="71"/>
      <c r="N779" s="70"/>
    </row>
    <row r="780" spans="1:14" ht="15" customHeight="1" x14ac:dyDescent="0.2">
      <c r="A780" s="292"/>
      <c r="C780" s="189"/>
      <c r="E780" s="190"/>
      <c r="G780" s="70"/>
      <c r="H780" s="70"/>
      <c r="J780" s="70"/>
      <c r="L780" s="71"/>
      <c r="N780" s="70"/>
    </row>
    <row r="781" spans="1:14" ht="15" customHeight="1" x14ac:dyDescent="0.2">
      <c r="A781" s="292"/>
      <c r="C781" s="189"/>
      <c r="E781" s="190"/>
      <c r="G781" s="70"/>
      <c r="H781" s="70"/>
      <c r="J781" s="70"/>
      <c r="L781" s="71"/>
      <c r="N781" s="70"/>
    </row>
    <row r="782" spans="1:14" ht="15" customHeight="1" x14ac:dyDescent="0.2">
      <c r="A782" s="292"/>
      <c r="C782" s="189"/>
      <c r="E782" s="190"/>
      <c r="G782" s="70"/>
      <c r="H782" s="70"/>
      <c r="J782" s="70"/>
      <c r="L782" s="71"/>
      <c r="N782" s="70"/>
    </row>
    <row r="783" spans="1:14" ht="15" customHeight="1" x14ac:dyDescent="0.2">
      <c r="A783" s="292"/>
      <c r="C783" s="189"/>
      <c r="E783" s="190"/>
      <c r="G783" s="70"/>
      <c r="H783" s="70"/>
      <c r="J783" s="70"/>
      <c r="L783" s="71"/>
      <c r="N783" s="70"/>
    </row>
    <row r="784" spans="1:14" ht="15" customHeight="1" x14ac:dyDescent="0.2">
      <c r="A784" s="292"/>
      <c r="C784" s="189"/>
      <c r="E784" s="190"/>
      <c r="G784" s="70"/>
      <c r="H784" s="70"/>
      <c r="J784" s="70"/>
      <c r="L784" s="71"/>
      <c r="N784" s="70"/>
    </row>
    <row r="785" spans="1:14" ht="15" customHeight="1" x14ac:dyDescent="0.2">
      <c r="A785" s="292"/>
      <c r="C785" s="189"/>
      <c r="E785" s="190"/>
      <c r="G785" s="70"/>
      <c r="H785" s="70"/>
      <c r="J785" s="70"/>
      <c r="L785" s="71"/>
      <c r="N785" s="70"/>
    </row>
    <row r="786" spans="1:14" ht="15" customHeight="1" x14ac:dyDescent="0.2">
      <c r="A786" s="292"/>
      <c r="C786" s="189"/>
      <c r="E786" s="190"/>
      <c r="G786" s="70"/>
      <c r="H786" s="70"/>
      <c r="J786" s="70"/>
      <c r="L786" s="71"/>
      <c r="N786" s="70"/>
    </row>
    <row r="787" spans="1:14" ht="15" customHeight="1" x14ac:dyDescent="0.2">
      <c r="A787" s="292"/>
      <c r="C787" s="189"/>
      <c r="E787" s="190"/>
      <c r="G787" s="70"/>
      <c r="H787" s="70"/>
      <c r="J787" s="70"/>
      <c r="L787" s="71"/>
      <c r="N787" s="70"/>
    </row>
    <row r="788" spans="1:14" ht="15" customHeight="1" x14ac:dyDescent="0.2">
      <c r="A788" s="292"/>
      <c r="C788" s="189"/>
      <c r="E788" s="190"/>
      <c r="G788" s="70"/>
      <c r="H788" s="70"/>
      <c r="J788" s="70"/>
      <c r="L788" s="71"/>
      <c r="N788" s="70"/>
    </row>
    <row r="789" spans="1:14" ht="15" customHeight="1" x14ac:dyDescent="0.2">
      <c r="A789" s="292"/>
      <c r="C789" s="189"/>
      <c r="E789" s="190"/>
      <c r="G789" s="70"/>
      <c r="H789" s="70"/>
      <c r="J789" s="70"/>
      <c r="L789" s="71"/>
      <c r="N789" s="70"/>
    </row>
    <row r="790" spans="1:14" ht="15" customHeight="1" x14ac:dyDescent="0.2">
      <c r="A790" s="292"/>
      <c r="C790" s="189"/>
      <c r="E790" s="190"/>
      <c r="G790" s="70"/>
      <c r="H790" s="70"/>
      <c r="J790" s="70"/>
      <c r="L790" s="71"/>
      <c r="N790" s="70"/>
    </row>
    <row r="791" spans="1:14" ht="15" customHeight="1" x14ac:dyDescent="0.2">
      <c r="A791" s="292"/>
      <c r="C791" s="189"/>
      <c r="E791" s="190"/>
      <c r="G791" s="70"/>
      <c r="H791" s="70"/>
      <c r="J791" s="70"/>
      <c r="L791" s="71"/>
      <c r="N791" s="70"/>
    </row>
    <row r="792" spans="1:14" ht="15" customHeight="1" x14ac:dyDescent="0.2">
      <c r="A792" s="292"/>
      <c r="C792" s="189"/>
      <c r="E792" s="190"/>
      <c r="G792" s="70"/>
      <c r="H792" s="70"/>
      <c r="J792" s="70"/>
      <c r="L792" s="71"/>
      <c r="N792" s="70"/>
    </row>
    <row r="793" spans="1:14" ht="15" customHeight="1" x14ac:dyDescent="0.2">
      <c r="A793" s="292"/>
      <c r="C793" s="189"/>
      <c r="E793" s="190"/>
      <c r="G793" s="70"/>
      <c r="H793" s="70"/>
      <c r="J793" s="70"/>
      <c r="L793" s="71"/>
      <c r="N793" s="70"/>
    </row>
    <row r="794" spans="1:14" ht="15" customHeight="1" x14ac:dyDescent="0.2">
      <c r="A794" s="292"/>
      <c r="C794" s="189"/>
      <c r="E794" s="190"/>
      <c r="G794" s="70"/>
      <c r="H794" s="70"/>
      <c r="J794" s="70"/>
      <c r="L794" s="71"/>
      <c r="N794" s="70"/>
    </row>
    <row r="795" spans="1:14" ht="15" customHeight="1" x14ac:dyDescent="0.2">
      <c r="A795" s="292"/>
      <c r="C795" s="189"/>
      <c r="E795" s="190"/>
      <c r="G795" s="70"/>
      <c r="H795" s="70"/>
      <c r="J795" s="70"/>
      <c r="L795" s="71"/>
      <c r="N795" s="70"/>
    </row>
    <row r="796" spans="1:14" ht="15" customHeight="1" x14ac:dyDescent="0.2">
      <c r="A796" s="292"/>
      <c r="C796" s="189"/>
      <c r="E796" s="190"/>
      <c r="G796" s="70"/>
      <c r="H796" s="70"/>
      <c r="J796" s="70"/>
      <c r="L796" s="71"/>
      <c r="N796" s="70"/>
    </row>
    <row r="797" spans="1:14" ht="15" customHeight="1" x14ac:dyDescent="0.2">
      <c r="A797" s="292"/>
      <c r="C797" s="189"/>
      <c r="E797" s="190"/>
      <c r="G797" s="70"/>
      <c r="H797" s="70"/>
      <c r="J797" s="70"/>
      <c r="L797" s="71"/>
      <c r="N797" s="70"/>
    </row>
    <row r="798" spans="1:14" ht="15" customHeight="1" x14ac:dyDescent="0.2">
      <c r="A798" s="292"/>
      <c r="C798" s="189"/>
      <c r="E798" s="190"/>
      <c r="G798" s="70"/>
      <c r="H798" s="70"/>
      <c r="J798" s="70"/>
      <c r="L798" s="71"/>
      <c r="N798" s="70"/>
    </row>
    <row r="799" spans="1:14" ht="15" customHeight="1" x14ac:dyDescent="0.2">
      <c r="A799" s="292"/>
      <c r="C799" s="189"/>
      <c r="E799" s="190"/>
      <c r="G799" s="70"/>
      <c r="H799" s="70"/>
      <c r="J799" s="70"/>
      <c r="L799" s="71"/>
      <c r="N799" s="70"/>
    </row>
    <row r="800" spans="1:14" ht="15" customHeight="1" x14ac:dyDescent="0.2">
      <c r="A800" s="292"/>
      <c r="C800" s="189"/>
      <c r="E800" s="190"/>
      <c r="G800" s="70"/>
      <c r="H800" s="70"/>
      <c r="J800" s="70"/>
      <c r="L800" s="71"/>
      <c r="N800" s="70"/>
    </row>
    <row r="801" spans="1:14" ht="15" customHeight="1" x14ac:dyDescent="0.2">
      <c r="A801" s="292"/>
      <c r="C801" s="189"/>
      <c r="E801" s="190"/>
      <c r="G801" s="70"/>
      <c r="H801" s="70"/>
      <c r="J801" s="70"/>
      <c r="L801" s="71"/>
      <c r="N801" s="70"/>
    </row>
    <row r="802" spans="1:14" ht="15" customHeight="1" x14ac:dyDescent="0.2">
      <c r="A802" s="292"/>
      <c r="C802" s="189"/>
      <c r="E802" s="190"/>
      <c r="G802" s="70"/>
      <c r="H802" s="70"/>
      <c r="J802" s="70"/>
      <c r="L802" s="71"/>
      <c r="N802" s="70"/>
    </row>
    <row r="803" spans="1:14" ht="15" customHeight="1" x14ac:dyDescent="0.2">
      <c r="A803" s="292"/>
      <c r="C803" s="189"/>
      <c r="E803" s="190"/>
      <c r="G803" s="70"/>
      <c r="H803" s="70"/>
      <c r="J803" s="70"/>
      <c r="L803" s="71"/>
      <c r="N803" s="70"/>
    </row>
    <row r="804" spans="1:14" ht="15" customHeight="1" x14ac:dyDescent="0.2">
      <c r="A804" s="292"/>
      <c r="C804" s="189"/>
      <c r="E804" s="190"/>
      <c r="G804" s="70"/>
      <c r="H804" s="70"/>
      <c r="J804" s="70"/>
      <c r="L804" s="71"/>
      <c r="N804" s="70"/>
    </row>
    <row r="805" spans="1:14" ht="15" customHeight="1" x14ac:dyDescent="0.2">
      <c r="A805" s="292"/>
      <c r="C805" s="189"/>
      <c r="E805" s="190"/>
      <c r="G805" s="70"/>
      <c r="H805" s="70"/>
      <c r="J805" s="70"/>
      <c r="L805" s="71"/>
      <c r="N805" s="70"/>
    </row>
    <row r="806" spans="1:14" ht="15" customHeight="1" x14ac:dyDescent="0.2">
      <c r="A806" s="292"/>
      <c r="C806" s="189"/>
      <c r="E806" s="190"/>
      <c r="G806" s="70"/>
      <c r="H806" s="70"/>
      <c r="J806" s="70"/>
      <c r="L806" s="71"/>
      <c r="N806" s="70"/>
    </row>
    <row r="807" spans="1:14" ht="15" customHeight="1" x14ac:dyDescent="0.2">
      <c r="A807" s="292"/>
      <c r="C807" s="189"/>
      <c r="E807" s="190"/>
      <c r="G807" s="70"/>
      <c r="H807" s="70"/>
      <c r="J807" s="70"/>
      <c r="L807" s="71"/>
      <c r="N807" s="70"/>
    </row>
    <row r="808" spans="1:14" ht="15" customHeight="1" x14ac:dyDescent="0.2">
      <c r="A808" s="292"/>
      <c r="C808" s="189"/>
      <c r="E808" s="190"/>
      <c r="G808" s="70"/>
      <c r="H808" s="70"/>
      <c r="J808" s="70"/>
      <c r="L808" s="71"/>
      <c r="N808" s="70"/>
    </row>
    <row r="809" spans="1:14" ht="15" customHeight="1" x14ac:dyDescent="0.2">
      <c r="A809" s="292"/>
      <c r="C809" s="189"/>
      <c r="E809" s="190"/>
      <c r="G809" s="70"/>
      <c r="H809" s="70"/>
      <c r="J809" s="70"/>
      <c r="L809" s="71"/>
      <c r="N809" s="70"/>
    </row>
    <row r="810" spans="1:14" ht="15" customHeight="1" x14ac:dyDescent="0.2">
      <c r="A810" s="292"/>
      <c r="C810" s="189"/>
      <c r="E810" s="190"/>
      <c r="G810" s="70"/>
      <c r="H810" s="70"/>
      <c r="J810" s="70"/>
      <c r="L810" s="71"/>
      <c r="N810" s="70"/>
    </row>
    <row r="811" spans="1:14" ht="15" customHeight="1" x14ac:dyDescent="0.2">
      <c r="A811" s="292"/>
      <c r="C811" s="189"/>
      <c r="E811" s="190"/>
      <c r="G811" s="70"/>
      <c r="H811" s="70"/>
      <c r="J811" s="70"/>
      <c r="L811" s="71"/>
      <c r="N811" s="70"/>
    </row>
    <row r="812" spans="1:14" ht="15" customHeight="1" x14ac:dyDescent="0.2">
      <c r="A812" s="292"/>
      <c r="C812" s="189"/>
      <c r="E812" s="190"/>
      <c r="G812" s="70"/>
      <c r="H812" s="70"/>
      <c r="J812" s="70"/>
      <c r="L812" s="71"/>
      <c r="N812" s="70"/>
    </row>
    <row r="813" spans="1:14" ht="15" customHeight="1" x14ac:dyDescent="0.2">
      <c r="A813" s="292"/>
      <c r="C813" s="189"/>
      <c r="E813" s="190"/>
      <c r="G813" s="70"/>
      <c r="H813" s="70"/>
      <c r="J813" s="70"/>
      <c r="L813" s="71"/>
      <c r="N813" s="70"/>
    </row>
    <row r="814" spans="1:14" ht="15" customHeight="1" x14ac:dyDescent="0.2">
      <c r="A814" s="292"/>
      <c r="C814" s="189"/>
      <c r="E814" s="190"/>
      <c r="G814" s="70"/>
      <c r="H814" s="70"/>
      <c r="J814" s="70"/>
      <c r="L814" s="71"/>
      <c r="N814" s="70"/>
    </row>
    <row r="815" spans="1:14" ht="15" customHeight="1" x14ac:dyDescent="0.2">
      <c r="A815" s="292"/>
      <c r="C815" s="189"/>
      <c r="E815" s="190"/>
      <c r="G815" s="70"/>
      <c r="H815" s="70"/>
      <c r="J815" s="70"/>
      <c r="L815" s="71"/>
      <c r="N815" s="70"/>
    </row>
    <row r="816" spans="1:14" ht="15" customHeight="1" x14ac:dyDescent="0.2">
      <c r="A816" s="292"/>
      <c r="C816" s="189"/>
      <c r="E816" s="190"/>
      <c r="G816" s="70"/>
      <c r="H816" s="70"/>
      <c r="J816" s="70"/>
      <c r="L816" s="71"/>
      <c r="N816" s="70"/>
    </row>
    <row r="817" spans="1:14" ht="15" customHeight="1" x14ac:dyDescent="0.2">
      <c r="A817" s="292"/>
      <c r="C817" s="189"/>
      <c r="E817" s="190"/>
      <c r="G817" s="70"/>
      <c r="H817" s="70"/>
      <c r="J817" s="70"/>
      <c r="L817" s="71"/>
      <c r="N817" s="70"/>
    </row>
    <row r="818" spans="1:14" ht="15" customHeight="1" x14ac:dyDescent="0.2">
      <c r="A818" s="292"/>
      <c r="C818" s="189"/>
      <c r="E818" s="190"/>
      <c r="G818" s="70"/>
      <c r="H818" s="70"/>
      <c r="J818" s="70"/>
      <c r="L818" s="71"/>
      <c r="N818" s="70"/>
    </row>
    <row r="819" spans="1:14" ht="15" customHeight="1" x14ac:dyDescent="0.2">
      <c r="A819" s="292"/>
      <c r="C819" s="189"/>
      <c r="E819" s="190"/>
      <c r="G819" s="70"/>
      <c r="H819" s="70"/>
      <c r="J819" s="70"/>
      <c r="L819" s="71"/>
      <c r="N819" s="70"/>
    </row>
    <row r="820" spans="1:14" ht="15" customHeight="1" x14ac:dyDescent="0.2">
      <c r="A820" s="292"/>
      <c r="C820" s="189"/>
      <c r="E820" s="190"/>
      <c r="G820" s="70"/>
      <c r="H820" s="70"/>
      <c r="J820" s="70"/>
      <c r="L820" s="71"/>
      <c r="N820" s="70"/>
    </row>
    <row r="821" spans="1:14" ht="15" customHeight="1" x14ac:dyDescent="0.2">
      <c r="A821" s="292"/>
      <c r="C821" s="189"/>
      <c r="E821" s="190"/>
      <c r="G821" s="70"/>
      <c r="H821" s="70"/>
      <c r="J821" s="70"/>
      <c r="L821" s="71"/>
      <c r="N821" s="70"/>
    </row>
    <row r="822" spans="1:14" ht="15" customHeight="1" x14ac:dyDescent="0.2">
      <c r="A822" s="292"/>
      <c r="C822" s="189"/>
      <c r="E822" s="190"/>
      <c r="G822" s="70"/>
      <c r="H822" s="70"/>
      <c r="J822" s="70"/>
      <c r="L822" s="71"/>
      <c r="N822" s="70"/>
    </row>
    <row r="823" spans="1:14" ht="15" customHeight="1" x14ac:dyDescent="0.2">
      <c r="A823" s="292"/>
      <c r="C823" s="189"/>
      <c r="E823" s="190"/>
      <c r="G823" s="70"/>
      <c r="H823" s="70"/>
      <c r="J823" s="70"/>
      <c r="L823" s="71"/>
      <c r="N823" s="70"/>
    </row>
    <row r="824" spans="1:14" ht="15" customHeight="1" x14ac:dyDescent="0.2">
      <c r="A824" s="292"/>
      <c r="C824" s="189"/>
      <c r="E824" s="190"/>
      <c r="G824" s="70"/>
      <c r="H824" s="70"/>
      <c r="J824" s="70"/>
      <c r="L824" s="71"/>
      <c r="N824" s="70"/>
    </row>
    <row r="825" spans="1:14" ht="15" customHeight="1" x14ac:dyDescent="0.2">
      <c r="A825" s="292"/>
      <c r="C825" s="189"/>
      <c r="E825" s="190"/>
      <c r="G825" s="70"/>
      <c r="H825" s="70"/>
      <c r="J825" s="70"/>
      <c r="L825" s="71"/>
      <c r="N825" s="70"/>
    </row>
    <row r="826" spans="1:14" ht="15" customHeight="1" x14ac:dyDescent="0.2">
      <c r="A826" s="292"/>
      <c r="C826" s="189"/>
      <c r="E826" s="190"/>
      <c r="G826" s="70"/>
      <c r="H826" s="70"/>
      <c r="J826" s="70"/>
      <c r="L826" s="71"/>
      <c r="N826" s="70"/>
    </row>
    <row r="827" spans="1:14" ht="15" customHeight="1" x14ac:dyDescent="0.2">
      <c r="A827" s="292"/>
      <c r="C827" s="189"/>
      <c r="E827" s="190"/>
      <c r="G827" s="70"/>
      <c r="H827" s="70"/>
      <c r="J827" s="70"/>
      <c r="L827" s="71"/>
      <c r="N827" s="70"/>
    </row>
    <row r="828" spans="1:14" ht="15" customHeight="1" x14ac:dyDescent="0.2">
      <c r="A828" s="292"/>
      <c r="C828" s="189"/>
      <c r="E828" s="190"/>
      <c r="G828" s="70"/>
      <c r="H828" s="70"/>
      <c r="J828" s="70"/>
      <c r="L828" s="71"/>
      <c r="N828" s="70"/>
    </row>
    <row r="829" spans="1:14" ht="15" customHeight="1" x14ac:dyDescent="0.2">
      <c r="A829" s="292"/>
      <c r="C829" s="189"/>
      <c r="E829" s="190"/>
      <c r="G829" s="70"/>
      <c r="H829" s="70"/>
      <c r="J829" s="70"/>
      <c r="L829" s="71"/>
      <c r="N829" s="70"/>
    </row>
    <row r="830" spans="1:14" ht="15" customHeight="1" x14ac:dyDescent="0.2">
      <c r="A830" s="292"/>
      <c r="C830" s="189"/>
      <c r="E830" s="190"/>
      <c r="G830" s="70"/>
      <c r="H830" s="70"/>
      <c r="J830" s="70"/>
      <c r="L830" s="71"/>
      <c r="N830" s="70"/>
    </row>
    <row r="831" spans="1:14" ht="15" customHeight="1" x14ac:dyDescent="0.2">
      <c r="A831" s="292"/>
      <c r="C831" s="189"/>
      <c r="E831" s="190"/>
      <c r="G831" s="70"/>
      <c r="H831" s="70"/>
      <c r="J831" s="70"/>
      <c r="L831" s="71"/>
      <c r="N831" s="70"/>
    </row>
    <row r="832" spans="1:14" ht="15" customHeight="1" x14ac:dyDescent="0.2">
      <c r="A832" s="292"/>
      <c r="C832" s="189"/>
      <c r="E832" s="190"/>
      <c r="G832" s="70"/>
      <c r="H832" s="70"/>
      <c r="J832" s="70"/>
      <c r="L832" s="71"/>
      <c r="N832" s="70"/>
    </row>
    <row r="833" spans="1:14" ht="15" customHeight="1" x14ac:dyDescent="0.2">
      <c r="A833" s="292"/>
      <c r="C833" s="189"/>
      <c r="E833" s="190"/>
      <c r="G833" s="70"/>
      <c r="H833" s="70"/>
      <c r="J833" s="70"/>
      <c r="L833" s="71"/>
      <c r="N833" s="70"/>
    </row>
    <row r="834" spans="1:14" ht="15" customHeight="1" x14ac:dyDescent="0.2">
      <c r="A834" s="292"/>
      <c r="C834" s="189"/>
      <c r="E834" s="190"/>
      <c r="G834" s="70"/>
      <c r="H834" s="70"/>
      <c r="J834" s="70"/>
      <c r="L834" s="71"/>
      <c r="N834" s="70"/>
    </row>
    <row r="835" spans="1:14" ht="15" customHeight="1" x14ac:dyDescent="0.2">
      <c r="A835" s="292"/>
      <c r="C835" s="189"/>
      <c r="E835" s="190"/>
      <c r="G835" s="70"/>
      <c r="H835" s="70"/>
      <c r="J835" s="70"/>
      <c r="L835" s="71"/>
      <c r="N835" s="70"/>
    </row>
    <row r="836" spans="1:14" ht="15" customHeight="1" x14ac:dyDescent="0.2">
      <c r="A836" s="292"/>
      <c r="C836" s="189"/>
      <c r="E836" s="190"/>
      <c r="G836" s="70"/>
      <c r="H836" s="70"/>
      <c r="J836" s="70"/>
      <c r="L836" s="71"/>
      <c r="N836" s="70"/>
    </row>
    <row r="837" spans="1:14" ht="15" customHeight="1" x14ac:dyDescent="0.2">
      <c r="A837" s="292"/>
      <c r="C837" s="189"/>
      <c r="E837" s="190"/>
      <c r="G837" s="70"/>
      <c r="H837" s="70"/>
      <c r="J837" s="70"/>
      <c r="L837" s="71"/>
      <c r="N837" s="70"/>
    </row>
    <row r="838" spans="1:14" ht="15" customHeight="1" x14ac:dyDescent="0.2">
      <c r="A838" s="292"/>
      <c r="C838" s="189"/>
      <c r="E838" s="190"/>
      <c r="G838" s="70"/>
      <c r="H838" s="70"/>
      <c r="J838" s="70"/>
      <c r="L838" s="71"/>
      <c r="N838" s="70"/>
    </row>
    <row r="839" spans="1:14" ht="15" customHeight="1" x14ac:dyDescent="0.2">
      <c r="A839" s="292"/>
      <c r="C839" s="189"/>
      <c r="E839" s="190"/>
      <c r="G839" s="70"/>
      <c r="H839" s="70"/>
      <c r="J839" s="70"/>
      <c r="L839" s="71"/>
      <c r="N839" s="70"/>
    </row>
    <row r="840" spans="1:14" ht="15" customHeight="1" x14ac:dyDescent="0.2">
      <c r="A840" s="292"/>
      <c r="C840" s="189"/>
      <c r="E840" s="190"/>
      <c r="G840" s="70"/>
      <c r="H840" s="70"/>
      <c r="J840" s="70"/>
      <c r="L840" s="71"/>
      <c r="N840" s="70"/>
    </row>
    <row r="841" spans="1:14" ht="15" customHeight="1" x14ac:dyDescent="0.2">
      <c r="A841" s="292"/>
      <c r="C841" s="189"/>
      <c r="E841" s="190"/>
      <c r="G841" s="70"/>
      <c r="H841" s="70"/>
      <c r="J841" s="70"/>
      <c r="L841" s="71"/>
      <c r="N841" s="70"/>
    </row>
    <row r="842" spans="1:14" ht="15" customHeight="1" x14ac:dyDescent="0.2">
      <c r="A842" s="292"/>
      <c r="C842" s="189"/>
      <c r="E842" s="190"/>
      <c r="G842" s="70"/>
      <c r="H842" s="70"/>
      <c r="J842" s="70"/>
      <c r="L842" s="71"/>
      <c r="N842" s="70"/>
    </row>
    <row r="843" spans="1:14" ht="15" customHeight="1" x14ac:dyDescent="0.2">
      <c r="A843" s="292"/>
      <c r="C843" s="189"/>
      <c r="E843" s="190"/>
      <c r="G843" s="70"/>
      <c r="H843" s="70"/>
      <c r="J843" s="70"/>
      <c r="L843" s="71"/>
      <c r="N843" s="70"/>
    </row>
    <row r="844" spans="1:14" ht="15" customHeight="1" x14ac:dyDescent="0.2">
      <c r="A844" s="292"/>
      <c r="C844" s="189"/>
      <c r="E844" s="190"/>
      <c r="G844" s="70"/>
      <c r="H844" s="70"/>
      <c r="J844" s="70"/>
      <c r="L844" s="71"/>
      <c r="N844" s="70"/>
    </row>
    <row r="845" spans="1:14" ht="15" customHeight="1" x14ac:dyDescent="0.2">
      <c r="A845" s="292"/>
      <c r="C845" s="189"/>
      <c r="E845" s="190"/>
      <c r="G845" s="70"/>
      <c r="H845" s="70"/>
      <c r="J845" s="70"/>
      <c r="L845" s="71"/>
      <c r="N845" s="70"/>
    </row>
    <row r="846" spans="1:14" ht="15" customHeight="1" x14ac:dyDescent="0.2">
      <c r="A846" s="292"/>
      <c r="C846" s="189"/>
      <c r="E846" s="190"/>
      <c r="G846" s="70"/>
      <c r="H846" s="70"/>
      <c r="J846" s="70"/>
      <c r="L846" s="71"/>
      <c r="N846" s="70"/>
    </row>
    <row r="847" spans="1:14" ht="15" customHeight="1" x14ac:dyDescent="0.2">
      <c r="A847" s="292"/>
      <c r="C847" s="189"/>
      <c r="E847" s="190"/>
      <c r="G847" s="70"/>
      <c r="H847" s="70"/>
      <c r="J847" s="70"/>
      <c r="L847" s="71"/>
      <c r="N847" s="70"/>
    </row>
    <row r="848" spans="1:14" ht="15" customHeight="1" x14ac:dyDescent="0.2">
      <c r="A848" s="292"/>
      <c r="C848" s="189"/>
      <c r="E848" s="190"/>
      <c r="G848" s="70"/>
      <c r="H848" s="70"/>
      <c r="J848" s="70"/>
      <c r="L848" s="71"/>
      <c r="N848" s="70"/>
    </row>
    <row r="849" spans="1:14" ht="15" customHeight="1" x14ac:dyDescent="0.2">
      <c r="A849" s="292"/>
      <c r="C849" s="189"/>
      <c r="E849" s="190"/>
      <c r="G849" s="70"/>
      <c r="H849" s="70"/>
      <c r="J849" s="70"/>
      <c r="L849" s="71"/>
      <c r="N849" s="70"/>
    </row>
    <row r="850" spans="1:14" ht="15" customHeight="1" x14ac:dyDescent="0.2">
      <c r="A850" s="292"/>
      <c r="C850" s="189"/>
      <c r="E850" s="190"/>
      <c r="G850" s="70"/>
      <c r="H850" s="70"/>
      <c r="J850" s="70"/>
      <c r="L850" s="71"/>
      <c r="N850" s="70"/>
    </row>
    <row r="851" spans="1:14" ht="15" customHeight="1" x14ac:dyDescent="0.2">
      <c r="A851" s="292"/>
      <c r="C851" s="189"/>
      <c r="E851" s="190"/>
      <c r="G851" s="70"/>
      <c r="H851" s="70"/>
      <c r="J851" s="70"/>
      <c r="L851" s="71"/>
      <c r="N851" s="70"/>
    </row>
    <row r="852" spans="1:14" ht="15" customHeight="1" x14ac:dyDescent="0.2">
      <c r="A852" s="292"/>
      <c r="C852" s="189"/>
      <c r="E852" s="190"/>
      <c r="G852" s="70"/>
      <c r="H852" s="70"/>
      <c r="J852" s="70"/>
      <c r="L852" s="71"/>
      <c r="N852" s="70"/>
    </row>
    <row r="853" spans="1:14" ht="15" customHeight="1" x14ac:dyDescent="0.2">
      <c r="A853" s="292"/>
      <c r="C853" s="189"/>
      <c r="E853" s="190"/>
      <c r="G853" s="70"/>
      <c r="H853" s="70"/>
      <c r="J853" s="70"/>
      <c r="L853" s="71"/>
      <c r="N853" s="70"/>
    </row>
    <row r="854" spans="1:14" ht="15" customHeight="1" x14ac:dyDescent="0.2">
      <c r="A854" s="292"/>
      <c r="C854" s="189"/>
      <c r="E854" s="190"/>
      <c r="G854" s="70"/>
      <c r="H854" s="70"/>
      <c r="J854" s="70"/>
      <c r="L854" s="71"/>
      <c r="N854" s="70"/>
    </row>
    <row r="855" spans="1:14" ht="15" customHeight="1" x14ac:dyDescent="0.2">
      <c r="A855" s="292"/>
      <c r="C855" s="189"/>
      <c r="E855" s="190"/>
      <c r="G855" s="70"/>
      <c r="H855" s="70"/>
      <c r="J855" s="70"/>
      <c r="L855" s="71"/>
      <c r="N855" s="70"/>
    </row>
    <row r="856" spans="1:14" ht="15" customHeight="1" x14ac:dyDescent="0.2">
      <c r="A856" s="292"/>
      <c r="C856" s="189"/>
      <c r="E856" s="190"/>
      <c r="G856" s="70"/>
      <c r="H856" s="70"/>
      <c r="J856" s="70"/>
      <c r="L856" s="71"/>
      <c r="N856" s="70"/>
    </row>
    <row r="857" spans="1:14" ht="15" customHeight="1" x14ac:dyDescent="0.2">
      <c r="A857" s="292"/>
      <c r="C857" s="189"/>
      <c r="E857" s="190"/>
      <c r="G857" s="70"/>
      <c r="H857" s="70"/>
      <c r="J857" s="70"/>
      <c r="L857" s="71"/>
      <c r="N857" s="70"/>
    </row>
    <row r="858" spans="1:14" ht="15" customHeight="1" x14ac:dyDescent="0.2">
      <c r="A858" s="292"/>
      <c r="C858" s="189"/>
      <c r="E858" s="190"/>
      <c r="G858" s="70"/>
      <c r="H858" s="70"/>
      <c r="J858" s="70"/>
      <c r="L858" s="71"/>
      <c r="N858" s="70"/>
    </row>
    <row r="859" spans="1:14" ht="15" customHeight="1" x14ac:dyDescent="0.2">
      <c r="A859" s="292"/>
      <c r="C859" s="189"/>
      <c r="E859" s="190"/>
      <c r="G859" s="70"/>
      <c r="H859" s="70"/>
      <c r="J859" s="70"/>
      <c r="L859" s="71"/>
      <c r="N859" s="70"/>
    </row>
    <row r="860" spans="1:14" ht="15" customHeight="1" x14ac:dyDescent="0.2">
      <c r="A860" s="292"/>
      <c r="C860" s="189"/>
      <c r="E860" s="190"/>
      <c r="G860" s="70"/>
      <c r="H860" s="70"/>
      <c r="J860" s="70"/>
      <c r="L860" s="71"/>
      <c r="N860" s="70"/>
    </row>
    <row r="861" spans="1:14" ht="15" customHeight="1" x14ac:dyDescent="0.2">
      <c r="A861" s="292"/>
      <c r="C861" s="189"/>
      <c r="E861" s="190"/>
      <c r="G861" s="70"/>
      <c r="H861" s="70"/>
      <c r="J861" s="70"/>
      <c r="L861" s="71"/>
      <c r="N861" s="70"/>
    </row>
    <row r="862" spans="1:14" ht="15" customHeight="1" x14ac:dyDescent="0.2">
      <c r="A862" s="292"/>
      <c r="C862" s="189"/>
      <c r="E862" s="190"/>
      <c r="G862" s="70"/>
      <c r="H862" s="70"/>
      <c r="J862" s="70"/>
      <c r="L862" s="71"/>
      <c r="N862" s="70"/>
    </row>
    <row r="863" spans="1:14" ht="15" customHeight="1" x14ac:dyDescent="0.2">
      <c r="A863" s="292"/>
      <c r="C863" s="189"/>
      <c r="E863" s="190"/>
      <c r="G863" s="70"/>
      <c r="H863" s="70"/>
      <c r="J863" s="70"/>
      <c r="L863" s="71"/>
      <c r="N863" s="70"/>
    </row>
    <row r="864" spans="1:14" ht="15" customHeight="1" x14ac:dyDescent="0.2">
      <c r="A864" s="292"/>
      <c r="C864" s="189"/>
      <c r="E864" s="190"/>
      <c r="G864" s="70"/>
      <c r="H864" s="70"/>
      <c r="J864" s="70"/>
      <c r="L864" s="71"/>
      <c r="N864" s="70"/>
    </row>
    <row r="865" spans="1:14" ht="15" customHeight="1" x14ac:dyDescent="0.2">
      <c r="A865" s="292"/>
      <c r="C865" s="189"/>
      <c r="E865" s="190"/>
      <c r="G865" s="70"/>
      <c r="H865" s="70"/>
      <c r="J865" s="70"/>
      <c r="L865" s="71"/>
      <c r="N865" s="70"/>
    </row>
    <row r="866" spans="1:14" ht="15" customHeight="1" x14ac:dyDescent="0.2">
      <c r="A866" s="292"/>
      <c r="C866" s="189"/>
      <c r="E866" s="190"/>
      <c r="G866" s="70"/>
      <c r="H866" s="70"/>
      <c r="J866" s="70"/>
      <c r="L866" s="71"/>
      <c r="N866" s="70"/>
    </row>
    <row r="867" spans="1:14" ht="15" customHeight="1" x14ac:dyDescent="0.2">
      <c r="A867" s="292"/>
      <c r="C867" s="189"/>
      <c r="E867" s="190"/>
      <c r="G867" s="70"/>
      <c r="H867" s="70"/>
      <c r="J867" s="70"/>
      <c r="L867" s="71"/>
      <c r="N867" s="70"/>
    </row>
    <row r="868" spans="1:14" ht="15" customHeight="1" x14ac:dyDescent="0.2">
      <c r="A868" s="292"/>
      <c r="C868" s="189"/>
      <c r="E868" s="190"/>
      <c r="G868" s="70"/>
      <c r="H868" s="70"/>
      <c r="J868" s="70"/>
      <c r="L868" s="71"/>
      <c r="N868" s="70"/>
    </row>
    <row r="869" spans="1:14" ht="15" customHeight="1" x14ac:dyDescent="0.2">
      <c r="A869" s="292"/>
      <c r="C869" s="189"/>
      <c r="E869" s="190"/>
      <c r="G869" s="70"/>
      <c r="H869" s="70"/>
      <c r="J869" s="70"/>
      <c r="L869" s="71"/>
      <c r="N869" s="70"/>
    </row>
    <row r="870" spans="1:14" ht="15" customHeight="1" x14ac:dyDescent="0.2">
      <c r="A870" s="292"/>
      <c r="C870" s="189"/>
      <c r="E870" s="190"/>
      <c r="G870" s="70"/>
      <c r="H870" s="70"/>
      <c r="J870" s="70"/>
      <c r="L870" s="71"/>
      <c r="N870" s="70"/>
    </row>
    <row r="871" spans="1:14" ht="15" customHeight="1" x14ac:dyDescent="0.2">
      <c r="A871" s="292"/>
      <c r="C871" s="189"/>
      <c r="E871" s="190"/>
      <c r="G871" s="70"/>
      <c r="H871" s="70"/>
      <c r="J871" s="70"/>
      <c r="L871" s="71"/>
      <c r="N871" s="70"/>
    </row>
    <row r="872" spans="1:14" ht="15" customHeight="1" x14ac:dyDescent="0.2">
      <c r="A872" s="292"/>
      <c r="C872" s="189"/>
      <c r="E872" s="190"/>
      <c r="G872" s="70"/>
      <c r="H872" s="70"/>
      <c r="J872" s="70"/>
      <c r="L872" s="71"/>
      <c r="N872" s="70"/>
    </row>
    <row r="873" spans="1:14" ht="15" customHeight="1" x14ac:dyDescent="0.2">
      <c r="A873" s="292"/>
      <c r="C873" s="189"/>
      <c r="E873" s="190"/>
      <c r="G873" s="70"/>
      <c r="H873" s="70"/>
      <c r="J873" s="70"/>
      <c r="L873" s="71"/>
      <c r="N873" s="70"/>
    </row>
    <row r="874" spans="1:14" ht="15" customHeight="1" x14ac:dyDescent="0.2">
      <c r="A874" s="292"/>
      <c r="C874" s="189"/>
      <c r="E874" s="190"/>
      <c r="G874" s="70"/>
      <c r="H874" s="70"/>
      <c r="J874" s="70"/>
      <c r="L874" s="71"/>
      <c r="N874" s="70"/>
    </row>
    <row r="875" spans="1:14" ht="15" customHeight="1" x14ac:dyDescent="0.2">
      <c r="A875" s="292"/>
      <c r="C875" s="189"/>
      <c r="E875" s="190"/>
      <c r="G875" s="70"/>
      <c r="H875" s="70"/>
      <c r="J875" s="70"/>
      <c r="L875" s="71"/>
      <c r="N875" s="70"/>
    </row>
    <row r="876" spans="1:14" ht="15" customHeight="1" x14ac:dyDescent="0.2">
      <c r="A876" s="292"/>
      <c r="C876" s="189"/>
      <c r="E876" s="190"/>
      <c r="G876" s="70"/>
      <c r="H876" s="70"/>
      <c r="J876" s="70"/>
      <c r="L876" s="71"/>
      <c r="N876" s="70"/>
    </row>
    <row r="877" spans="1:14" ht="15" customHeight="1" x14ac:dyDescent="0.2">
      <c r="A877" s="292"/>
      <c r="C877" s="189"/>
      <c r="E877" s="190"/>
      <c r="G877" s="70"/>
      <c r="H877" s="70"/>
      <c r="J877" s="70"/>
      <c r="L877" s="71"/>
      <c r="N877" s="70"/>
    </row>
    <row r="878" spans="1:14" ht="15" customHeight="1" x14ac:dyDescent="0.2">
      <c r="A878" s="292"/>
      <c r="C878" s="189"/>
      <c r="E878" s="190"/>
      <c r="G878" s="70"/>
      <c r="H878" s="70"/>
      <c r="J878" s="70"/>
      <c r="L878" s="71"/>
      <c r="N878" s="70"/>
    </row>
    <row r="879" spans="1:14" ht="15" customHeight="1" x14ac:dyDescent="0.2">
      <c r="A879" s="292"/>
      <c r="C879" s="189"/>
      <c r="E879" s="190"/>
      <c r="G879" s="70"/>
      <c r="H879" s="70"/>
      <c r="J879" s="70"/>
      <c r="L879" s="71"/>
      <c r="N879" s="70"/>
    </row>
    <row r="880" spans="1:14" ht="15" customHeight="1" x14ac:dyDescent="0.2">
      <c r="A880" s="292"/>
      <c r="C880" s="189"/>
      <c r="E880" s="190"/>
      <c r="G880" s="70"/>
      <c r="H880" s="70"/>
      <c r="J880" s="70"/>
      <c r="L880" s="71"/>
      <c r="N880" s="70"/>
    </row>
    <row r="881" spans="1:14" ht="15" customHeight="1" x14ac:dyDescent="0.2">
      <c r="A881" s="292"/>
      <c r="C881" s="189"/>
      <c r="E881" s="190"/>
      <c r="G881" s="70"/>
      <c r="H881" s="70"/>
      <c r="J881" s="70"/>
      <c r="L881" s="71"/>
      <c r="N881" s="70"/>
    </row>
    <row r="882" spans="1:14" ht="15" customHeight="1" x14ac:dyDescent="0.2">
      <c r="A882" s="292"/>
      <c r="C882" s="189"/>
      <c r="E882" s="190"/>
      <c r="G882" s="70"/>
      <c r="H882" s="70"/>
      <c r="J882" s="70"/>
      <c r="L882" s="71"/>
      <c r="N882" s="70"/>
    </row>
    <row r="883" spans="1:14" ht="15" customHeight="1" x14ac:dyDescent="0.2">
      <c r="A883" s="292"/>
      <c r="C883" s="189"/>
      <c r="E883" s="190"/>
      <c r="G883" s="70"/>
      <c r="H883" s="70"/>
      <c r="J883" s="70"/>
      <c r="L883" s="71"/>
      <c r="N883" s="70"/>
    </row>
    <row r="884" spans="1:14" ht="15" customHeight="1" x14ac:dyDescent="0.2">
      <c r="A884" s="292"/>
      <c r="C884" s="189"/>
      <c r="E884" s="190"/>
      <c r="G884" s="70"/>
      <c r="H884" s="70"/>
      <c r="J884" s="70"/>
      <c r="L884" s="71"/>
      <c r="N884" s="70"/>
    </row>
    <row r="885" spans="1:14" ht="15" customHeight="1" x14ac:dyDescent="0.2">
      <c r="A885" s="292"/>
      <c r="C885" s="189"/>
      <c r="E885" s="190"/>
      <c r="G885" s="70"/>
      <c r="H885" s="70"/>
      <c r="J885" s="70"/>
      <c r="L885" s="71"/>
      <c r="N885" s="70"/>
    </row>
    <row r="886" spans="1:14" ht="15" customHeight="1" x14ac:dyDescent="0.2">
      <c r="A886" s="292"/>
      <c r="C886" s="189"/>
      <c r="E886" s="190"/>
      <c r="G886" s="70"/>
      <c r="H886" s="70"/>
      <c r="J886" s="70"/>
      <c r="L886" s="71"/>
      <c r="N886" s="70"/>
    </row>
    <row r="887" spans="1:14" ht="15" customHeight="1" x14ac:dyDescent="0.2">
      <c r="A887" s="292"/>
      <c r="C887" s="189"/>
      <c r="E887" s="190"/>
      <c r="G887" s="70"/>
      <c r="H887" s="70"/>
      <c r="J887" s="70"/>
      <c r="L887" s="71"/>
      <c r="N887" s="70"/>
    </row>
    <row r="888" spans="1:14" ht="15" customHeight="1" x14ac:dyDescent="0.2">
      <c r="A888" s="292"/>
      <c r="C888" s="189"/>
      <c r="E888" s="190"/>
      <c r="G888" s="70"/>
      <c r="H888" s="70"/>
      <c r="J888" s="70"/>
      <c r="L888" s="71"/>
      <c r="N888" s="70"/>
    </row>
    <row r="889" spans="1:14" ht="15" customHeight="1" x14ac:dyDescent="0.2">
      <c r="A889" s="292"/>
      <c r="C889" s="189"/>
      <c r="E889" s="190"/>
      <c r="G889" s="70"/>
      <c r="H889" s="70"/>
      <c r="J889" s="70"/>
      <c r="L889" s="71"/>
      <c r="N889" s="70"/>
    </row>
    <row r="890" spans="1:14" ht="15" customHeight="1" x14ac:dyDescent="0.2">
      <c r="A890" s="292"/>
      <c r="C890" s="189"/>
      <c r="E890" s="190"/>
      <c r="G890" s="70"/>
      <c r="H890" s="70"/>
      <c r="J890" s="70"/>
      <c r="L890" s="71"/>
      <c r="N890" s="70"/>
    </row>
    <row r="891" spans="1:14" ht="15" customHeight="1" x14ac:dyDescent="0.2">
      <c r="A891" s="292"/>
      <c r="C891" s="189"/>
      <c r="E891" s="190"/>
      <c r="G891" s="70"/>
      <c r="H891" s="70"/>
      <c r="J891" s="70"/>
      <c r="L891" s="71"/>
      <c r="N891" s="70"/>
    </row>
    <row r="892" spans="1:14" ht="15" customHeight="1" x14ac:dyDescent="0.2">
      <c r="A892" s="292"/>
      <c r="C892" s="189"/>
      <c r="E892" s="190"/>
      <c r="G892" s="70"/>
      <c r="H892" s="70"/>
      <c r="J892" s="70"/>
      <c r="L892" s="71"/>
      <c r="N892" s="70"/>
    </row>
    <row r="893" spans="1:14" ht="15" customHeight="1" x14ac:dyDescent="0.2">
      <c r="A893" s="292"/>
      <c r="C893" s="189"/>
      <c r="E893" s="190"/>
      <c r="G893" s="70"/>
      <c r="H893" s="70"/>
      <c r="J893" s="70"/>
      <c r="L893" s="71"/>
      <c r="N893" s="70"/>
    </row>
    <row r="894" spans="1:14" ht="15" customHeight="1" x14ac:dyDescent="0.2">
      <c r="A894" s="292"/>
      <c r="C894" s="189"/>
      <c r="E894" s="190"/>
      <c r="G894" s="70"/>
      <c r="H894" s="70"/>
      <c r="J894" s="70"/>
      <c r="L894" s="71"/>
      <c r="N894" s="70"/>
    </row>
    <row r="895" spans="1:14" ht="15" customHeight="1" x14ac:dyDescent="0.2">
      <c r="A895" s="292"/>
      <c r="C895" s="189"/>
      <c r="E895" s="190"/>
      <c r="G895" s="70"/>
      <c r="H895" s="70"/>
      <c r="J895" s="70"/>
      <c r="L895" s="71"/>
      <c r="N895" s="70"/>
    </row>
    <row r="896" spans="1:14" ht="15" customHeight="1" x14ac:dyDescent="0.2">
      <c r="A896" s="292"/>
      <c r="C896" s="189"/>
      <c r="E896" s="190"/>
      <c r="G896" s="70"/>
      <c r="H896" s="70"/>
      <c r="J896" s="70"/>
      <c r="L896" s="71"/>
      <c r="N896" s="70"/>
    </row>
    <row r="897" spans="1:14" ht="15" customHeight="1" x14ac:dyDescent="0.2">
      <c r="A897" s="292"/>
      <c r="C897" s="189"/>
      <c r="E897" s="190"/>
      <c r="G897" s="70"/>
      <c r="H897" s="70"/>
      <c r="J897" s="70"/>
      <c r="L897" s="71"/>
      <c r="N897" s="70"/>
    </row>
    <row r="898" spans="1:14" ht="15" customHeight="1" x14ac:dyDescent="0.2">
      <c r="A898" s="292"/>
      <c r="C898" s="189"/>
      <c r="E898" s="190"/>
      <c r="G898" s="70"/>
      <c r="H898" s="70"/>
      <c r="J898" s="70"/>
      <c r="L898" s="71"/>
      <c r="N898" s="70"/>
    </row>
    <row r="899" spans="1:14" ht="15" customHeight="1" x14ac:dyDescent="0.2">
      <c r="A899" s="292"/>
      <c r="C899" s="189"/>
      <c r="E899" s="190"/>
      <c r="G899" s="70"/>
      <c r="H899" s="70"/>
      <c r="J899" s="70"/>
      <c r="L899" s="71"/>
      <c r="N899" s="70"/>
    </row>
    <row r="900" spans="1:14" ht="15" customHeight="1" x14ac:dyDescent="0.2">
      <c r="A900" s="292"/>
      <c r="C900" s="189"/>
      <c r="E900" s="190"/>
      <c r="G900" s="70"/>
      <c r="H900" s="70"/>
      <c r="J900" s="70"/>
      <c r="L900" s="71"/>
      <c r="N900" s="70"/>
    </row>
    <row r="901" spans="1:14" ht="15" customHeight="1" x14ac:dyDescent="0.2">
      <c r="A901" s="292"/>
      <c r="C901" s="189"/>
      <c r="E901" s="190"/>
      <c r="G901" s="70"/>
      <c r="H901" s="70"/>
      <c r="J901" s="70"/>
      <c r="L901" s="71"/>
      <c r="N901" s="70"/>
    </row>
    <row r="902" spans="1:14" ht="15" customHeight="1" x14ac:dyDescent="0.2">
      <c r="A902" s="292"/>
      <c r="C902" s="189"/>
      <c r="E902" s="190"/>
      <c r="G902" s="70"/>
      <c r="H902" s="70"/>
      <c r="J902" s="70"/>
      <c r="L902" s="71"/>
      <c r="N902" s="70"/>
    </row>
    <row r="903" spans="1:14" ht="15" customHeight="1" x14ac:dyDescent="0.2">
      <c r="A903" s="292"/>
      <c r="C903" s="189"/>
      <c r="E903" s="190"/>
      <c r="G903" s="70"/>
      <c r="H903" s="70"/>
      <c r="J903" s="70"/>
      <c r="L903" s="71"/>
      <c r="N903" s="70"/>
    </row>
    <row r="904" spans="1:14" ht="15" customHeight="1" x14ac:dyDescent="0.2">
      <c r="A904" s="292"/>
      <c r="C904" s="189"/>
      <c r="E904" s="190"/>
      <c r="G904" s="70"/>
      <c r="H904" s="70"/>
      <c r="J904" s="70"/>
      <c r="L904" s="71"/>
      <c r="N904" s="70"/>
    </row>
    <row r="905" spans="1:14" ht="15" customHeight="1" x14ac:dyDescent="0.2">
      <c r="A905" s="292"/>
      <c r="C905" s="189"/>
      <c r="E905" s="190"/>
      <c r="G905" s="70"/>
      <c r="H905" s="70"/>
      <c r="J905" s="70"/>
      <c r="L905" s="71"/>
      <c r="N905" s="70"/>
    </row>
    <row r="906" spans="1:14" ht="15" customHeight="1" x14ac:dyDescent="0.2">
      <c r="A906" s="292"/>
      <c r="C906" s="189"/>
      <c r="E906" s="190"/>
      <c r="G906" s="70"/>
      <c r="H906" s="70"/>
      <c r="J906" s="70"/>
      <c r="L906" s="71"/>
      <c r="N906" s="70"/>
    </row>
    <row r="907" spans="1:14" ht="15" customHeight="1" x14ac:dyDescent="0.2">
      <c r="A907" s="292"/>
      <c r="C907" s="189"/>
      <c r="E907" s="190"/>
      <c r="G907" s="70"/>
      <c r="H907" s="70"/>
      <c r="J907" s="70"/>
      <c r="L907" s="71"/>
      <c r="N907" s="70"/>
    </row>
    <row r="908" spans="1:14" ht="15" customHeight="1" x14ac:dyDescent="0.2">
      <c r="A908" s="292"/>
      <c r="C908" s="189"/>
      <c r="E908" s="190"/>
      <c r="G908" s="70"/>
      <c r="H908" s="70"/>
      <c r="J908" s="70"/>
      <c r="L908" s="71"/>
      <c r="N908" s="70"/>
    </row>
    <row r="909" spans="1:14" ht="15" customHeight="1" x14ac:dyDescent="0.2">
      <c r="A909" s="292"/>
      <c r="C909" s="189"/>
      <c r="E909" s="190"/>
      <c r="G909" s="70"/>
      <c r="H909" s="70"/>
      <c r="J909" s="70"/>
      <c r="L909" s="71"/>
      <c r="N909" s="70"/>
    </row>
    <row r="910" spans="1:14" ht="15" customHeight="1" x14ac:dyDescent="0.2">
      <c r="A910" s="292"/>
      <c r="C910" s="189"/>
      <c r="E910" s="190"/>
      <c r="G910" s="70"/>
      <c r="H910" s="70"/>
      <c r="J910" s="70"/>
      <c r="L910" s="71"/>
      <c r="N910" s="70"/>
    </row>
    <row r="911" spans="1:14" ht="15" customHeight="1" x14ac:dyDescent="0.2">
      <c r="A911" s="292"/>
      <c r="C911" s="189"/>
      <c r="E911" s="190"/>
      <c r="G911" s="70"/>
      <c r="H911" s="70"/>
      <c r="J911" s="70"/>
      <c r="L911" s="71"/>
      <c r="N911" s="70"/>
    </row>
    <row r="912" spans="1:14" ht="15" customHeight="1" x14ac:dyDescent="0.2">
      <c r="A912" s="292"/>
      <c r="C912" s="189"/>
      <c r="E912" s="190"/>
      <c r="G912" s="70"/>
      <c r="H912" s="70"/>
      <c r="J912" s="70"/>
      <c r="L912" s="71"/>
      <c r="N912" s="70"/>
    </row>
    <row r="913" spans="1:14" ht="15" customHeight="1" x14ac:dyDescent="0.2">
      <c r="A913" s="292"/>
      <c r="C913" s="189"/>
      <c r="E913" s="190"/>
      <c r="G913" s="70"/>
      <c r="H913" s="70"/>
      <c r="J913" s="70"/>
      <c r="L913" s="71"/>
      <c r="N913" s="70"/>
    </row>
    <row r="914" spans="1:14" ht="15" customHeight="1" x14ac:dyDescent="0.2">
      <c r="A914" s="292"/>
      <c r="C914" s="189"/>
      <c r="E914" s="190"/>
      <c r="G914" s="70"/>
      <c r="H914" s="70"/>
      <c r="J914" s="70"/>
      <c r="L914" s="71"/>
      <c r="N914" s="70"/>
    </row>
    <row r="915" spans="1:14" ht="15" customHeight="1" x14ac:dyDescent="0.2">
      <c r="A915" s="292"/>
      <c r="C915" s="189"/>
      <c r="E915" s="190"/>
      <c r="G915" s="70"/>
      <c r="H915" s="70"/>
      <c r="J915" s="70"/>
      <c r="L915" s="71"/>
      <c r="N915" s="70"/>
    </row>
    <row r="916" spans="1:14" ht="15" customHeight="1" x14ac:dyDescent="0.2">
      <c r="A916" s="292"/>
      <c r="C916" s="189"/>
      <c r="E916" s="190"/>
      <c r="G916" s="70"/>
      <c r="H916" s="70"/>
      <c r="J916" s="70"/>
      <c r="L916" s="71"/>
      <c r="N916" s="70"/>
    </row>
    <row r="917" spans="1:14" ht="15" customHeight="1" x14ac:dyDescent="0.2">
      <c r="A917" s="292"/>
      <c r="C917" s="189"/>
      <c r="E917" s="190"/>
      <c r="G917" s="70"/>
      <c r="H917" s="70"/>
      <c r="J917" s="70"/>
      <c r="L917" s="71"/>
      <c r="N917" s="70"/>
    </row>
    <row r="918" spans="1:14" ht="15" customHeight="1" x14ac:dyDescent="0.2">
      <c r="A918" s="292"/>
      <c r="C918" s="189"/>
      <c r="E918" s="190"/>
      <c r="G918" s="70"/>
      <c r="H918" s="70"/>
      <c r="J918" s="70"/>
      <c r="L918" s="71"/>
      <c r="N918" s="70"/>
    </row>
    <row r="919" spans="1:14" ht="15" customHeight="1" x14ac:dyDescent="0.2">
      <c r="A919" s="292"/>
      <c r="C919" s="189"/>
      <c r="E919" s="190"/>
      <c r="G919" s="70"/>
      <c r="H919" s="70"/>
      <c r="J919" s="70"/>
      <c r="L919" s="71"/>
      <c r="N919" s="70"/>
    </row>
    <row r="920" spans="1:14" ht="15" customHeight="1" x14ac:dyDescent="0.2">
      <c r="A920" s="292"/>
      <c r="C920" s="189"/>
      <c r="E920" s="190"/>
      <c r="G920" s="70"/>
      <c r="H920" s="70"/>
      <c r="J920" s="70"/>
      <c r="L920" s="71"/>
      <c r="N920" s="70"/>
    </row>
    <row r="921" spans="1:14" ht="15" customHeight="1" x14ac:dyDescent="0.2">
      <c r="A921" s="292"/>
      <c r="C921" s="189"/>
      <c r="E921" s="190"/>
      <c r="G921" s="70"/>
      <c r="H921" s="70"/>
      <c r="J921" s="70"/>
      <c r="L921" s="71"/>
      <c r="N921" s="70"/>
    </row>
    <row r="922" spans="1:14" ht="15" customHeight="1" x14ac:dyDescent="0.2">
      <c r="A922" s="292"/>
      <c r="C922" s="189"/>
      <c r="E922" s="190"/>
      <c r="G922" s="70"/>
      <c r="H922" s="70"/>
      <c r="J922" s="70"/>
      <c r="L922" s="71"/>
      <c r="N922" s="70"/>
    </row>
    <row r="923" spans="1:14" ht="15" customHeight="1" x14ac:dyDescent="0.2">
      <c r="A923" s="292"/>
      <c r="C923" s="189"/>
      <c r="E923" s="190"/>
      <c r="G923" s="70"/>
      <c r="H923" s="70"/>
      <c r="J923" s="70"/>
      <c r="L923" s="71"/>
      <c r="N923" s="70"/>
    </row>
    <row r="924" spans="1:14" ht="15" customHeight="1" x14ac:dyDescent="0.2">
      <c r="A924" s="292"/>
      <c r="C924" s="189"/>
      <c r="E924" s="190"/>
      <c r="G924" s="70"/>
      <c r="H924" s="70"/>
      <c r="J924" s="70"/>
      <c r="L924" s="71"/>
      <c r="N924" s="70"/>
    </row>
    <row r="925" spans="1:14" ht="15" customHeight="1" x14ac:dyDescent="0.2">
      <c r="A925" s="292"/>
      <c r="C925" s="189"/>
      <c r="E925" s="190"/>
      <c r="G925" s="70"/>
      <c r="H925" s="70"/>
      <c r="J925" s="70"/>
      <c r="L925" s="71"/>
      <c r="N925" s="70"/>
    </row>
    <row r="926" spans="1:14" ht="15" customHeight="1" x14ac:dyDescent="0.2">
      <c r="A926" s="292"/>
      <c r="C926" s="189"/>
      <c r="E926" s="190"/>
      <c r="G926" s="70"/>
      <c r="H926" s="70"/>
      <c r="J926" s="70"/>
      <c r="L926" s="71"/>
      <c r="N926" s="70"/>
    </row>
    <row r="927" spans="1:14" ht="15" customHeight="1" x14ac:dyDescent="0.2">
      <c r="A927" s="292"/>
      <c r="C927" s="189"/>
      <c r="E927" s="190"/>
      <c r="G927" s="70"/>
      <c r="H927" s="70"/>
      <c r="J927" s="70"/>
      <c r="L927" s="71"/>
      <c r="N927" s="70"/>
    </row>
    <row r="928" spans="1:14" ht="15" customHeight="1" x14ac:dyDescent="0.2">
      <c r="A928" s="292"/>
      <c r="C928" s="189"/>
      <c r="E928" s="190"/>
      <c r="G928" s="70"/>
      <c r="H928" s="70"/>
      <c r="J928" s="70"/>
      <c r="L928" s="71"/>
      <c r="N928" s="70"/>
    </row>
    <row r="929" spans="1:14" ht="15" customHeight="1" x14ac:dyDescent="0.2">
      <c r="A929" s="292"/>
      <c r="C929" s="189"/>
      <c r="E929" s="190"/>
      <c r="G929" s="70"/>
      <c r="H929" s="70"/>
      <c r="J929" s="70"/>
      <c r="L929" s="71"/>
      <c r="N929" s="70"/>
    </row>
    <row r="930" spans="1:14" ht="15" customHeight="1" x14ac:dyDescent="0.2">
      <c r="A930" s="292"/>
      <c r="C930" s="189"/>
      <c r="E930" s="190"/>
      <c r="G930" s="70"/>
      <c r="H930" s="70"/>
      <c r="J930" s="70"/>
      <c r="L930" s="71"/>
      <c r="N930" s="70"/>
    </row>
    <row r="931" spans="1:14" ht="15" customHeight="1" x14ac:dyDescent="0.2">
      <c r="A931" s="292"/>
      <c r="C931" s="189"/>
      <c r="E931" s="190"/>
      <c r="G931" s="70"/>
      <c r="H931" s="70"/>
      <c r="J931" s="70"/>
      <c r="L931" s="71"/>
      <c r="N931" s="70"/>
    </row>
    <row r="932" spans="1:14" ht="15" customHeight="1" x14ac:dyDescent="0.2">
      <c r="A932" s="292"/>
      <c r="C932" s="189"/>
      <c r="E932" s="190"/>
      <c r="G932" s="70"/>
      <c r="H932" s="70"/>
      <c r="J932" s="70"/>
      <c r="L932" s="71"/>
      <c r="N932" s="70"/>
    </row>
    <row r="933" spans="1:14" ht="15" customHeight="1" x14ac:dyDescent="0.2">
      <c r="A933" s="292"/>
      <c r="C933" s="189"/>
      <c r="E933" s="190"/>
      <c r="G933" s="70"/>
      <c r="H933" s="70"/>
      <c r="J933" s="70"/>
      <c r="L933" s="71"/>
      <c r="N933" s="70"/>
    </row>
    <row r="934" spans="1:14" ht="15" customHeight="1" x14ac:dyDescent="0.2">
      <c r="A934" s="292"/>
      <c r="C934" s="189"/>
      <c r="E934" s="190"/>
      <c r="G934" s="70"/>
      <c r="H934" s="70"/>
      <c r="J934" s="70"/>
      <c r="L934" s="71"/>
      <c r="N934" s="70"/>
    </row>
    <row r="935" spans="1:14" ht="15" customHeight="1" x14ac:dyDescent="0.2">
      <c r="A935" s="292"/>
      <c r="C935" s="189"/>
      <c r="E935" s="190"/>
      <c r="G935" s="70"/>
      <c r="H935" s="70"/>
      <c r="J935" s="70"/>
      <c r="L935" s="71"/>
      <c r="N935" s="70"/>
    </row>
    <row r="936" spans="1:14" ht="15" customHeight="1" x14ac:dyDescent="0.2">
      <c r="A936" s="292"/>
      <c r="C936" s="189"/>
      <c r="E936" s="190"/>
      <c r="G936" s="70"/>
      <c r="H936" s="70"/>
      <c r="J936" s="70"/>
      <c r="L936" s="71"/>
      <c r="N936" s="70"/>
    </row>
    <row r="937" spans="1:14" ht="15" customHeight="1" x14ac:dyDescent="0.2">
      <c r="A937" s="292"/>
      <c r="C937" s="189"/>
      <c r="E937" s="190"/>
      <c r="G937" s="70"/>
      <c r="H937" s="70"/>
      <c r="J937" s="70"/>
      <c r="L937" s="71"/>
      <c r="N937" s="70"/>
    </row>
    <row r="938" spans="1:14" ht="15" customHeight="1" x14ac:dyDescent="0.2">
      <c r="A938" s="292"/>
      <c r="C938" s="189"/>
      <c r="E938" s="190"/>
      <c r="G938" s="70"/>
      <c r="H938" s="70"/>
      <c r="J938" s="70"/>
      <c r="L938" s="71"/>
      <c r="N938" s="70"/>
    </row>
    <row r="939" spans="1:14" ht="15" customHeight="1" x14ac:dyDescent="0.2">
      <c r="A939" s="292"/>
      <c r="C939" s="189"/>
      <c r="E939" s="190"/>
      <c r="G939" s="70"/>
      <c r="H939" s="70"/>
      <c r="J939" s="70"/>
      <c r="L939" s="71"/>
      <c r="N939" s="70"/>
    </row>
    <row r="940" spans="1:14" ht="15" customHeight="1" x14ac:dyDescent="0.2">
      <c r="A940" s="292"/>
      <c r="C940" s="189"/>
      <c r="E940" s="190"/>
      <c r="G940" s="70"/>
      <c r="H940" s="70"/>
      <c r="J940" s="70"/>
      <c r="L940" s="71"/>
      <c r="N940" s="70"/>
    </row>
    <row r="941" spans="1:14" ht="15" customHeight="1" x14ac:dyDescent="0.2">
      <c r="A941" s="292"/>
      <c r="C941" s="189"/>
      <c r="E941" s="190"/>
      <c r="G941" s="70"/>
      <c r="H941" s="70"/>
      <c r="J941" s="70"/>
      <c r="L941" s="71"/>
      <c r="N941" s="70"/>
    </row>
    <row r="942" spans="1:14" ht="15" customHeight="1" x14ac:dyDescent="0.2">
      <c r="A942" s="292"/>
      <c r="C942" s="189"/>
      <c r="E942" s="190"/>
      <c r="G942" s="70"/>
      <c r="H942" s="70"/>
      <c r="J942" s="70"/>
      <c r="L942" s="71"/>
      <c r="N942" s="70"/>
    </row>
    <row r="943" spans="1:14" ht="15" customHeight="1" x14ac:dyDescent="0.2">
      <c r="A943" s="292"/>
      <c r="C943" s="189"/>
      <c r="E943" s="190"/>
      <c r="G943" s="70"/>
      <c r="H943" s="70"/>
      <c r="J943" s="70"/>
      <c r="L943" s="71"/>
      <c r="N943" s="70"/>
    </row>
    <row r="944" spans="1:14" ht="15" customHeight="1" x14ac:dyDescent="0.2">
      <c r="A944" s="292"/>
      <c r="C944" s="189"/>
      <c r="E944" s="190"/>
      <c r="G944" s="70"/>
      <c r="H944" s="70"/>
      <c r="J944" s="70"/>
      <c r="L944" s="71"/>
      <c r="N944" s="70"/>
    </row>
    <row r="945" spans="1:14" ht="15" customHeight="1" x14ac:dyDescent="0.2">
      <c r="A945" s="292"/>
      <c r="C945" s="189"/>
      <c r="E945" s="190"/>
      <c r="G945" s="70"/>
      <c r="H945" s="70"/>
      <c r="J945" s="70"/>
      <c r="L945" s="71"/>
      <c r="N945" s="70"/>
    </row>
    <row r="946" spans="1:14" ht="15" customHeight="1" x14ac:dyDescent="0.2">
      <c r="A946" s="292"/>
      <c r="C946" s="189"/>
      <c r="E946" s="190"/>
      <c r="G946" s="70"/>
      <c r="H946" s="70"/>
      <c r="J946" s="70"/>
      <c r="L946" s="71"/>
      <c r="N946" s="70"/>
    </row>
    <row r="947" spans="1:14" ht="15" customHeight="1" x14ac:dyDescent="0.2">
      <c r="A947" s="292"/>
      <c r="C947" s="189"/>
      <c r="E947" s="190"/>
      <c r="G947" s="70"/>
      <c r="H947" s="70"/>
      <c r="J947" s="70"/>
      <c r="L947" s="71"/>
      <c r="N947" s="70"/>
    </row>
    <row r="948" spans="1:14" ht="15" customHeight="1" x14ac:dyDescent="0.2">
      <c r="A948" s="292"/>
      <c r="C948" s="189"/>
      <c r="E948" s="190"/>
      <c r="G948" s="70"/>
      <c r="H948" s="70"/>
      <c r="J948" s="70"/>
      <c r="L948" s="71"/>
      <c r="N948" s="70"/>
    </row>
    <row r="949" spans="1:14" ht="15" customHeight="1" x14ac:dyDescent="0.2">
      <c r="A949" s="292"/>
      <c r="C949" s="189"/>
      <c r="E949" s="190"/>
      <c r="G949" s="70"/>
      <c r="H949" s="70"/>
      <c r="J949" s="70"/>
      <c r="L949" s="71"/>
      <c r="N949" s="70"/>
    </row>
    <row r="950" spans="1:14" ht="15" customHeight="1" x14ac:dyDescent="0.2">
      <c r="A950" s="292"/>
      <c r="C950" s="189"/>
      <c r="E950" s="190"/>
      <c r="G950" s="70"/>
      <c r="H950" s="70"/>
      <c r="J950" s="70"/>
      <c r="L950" s="71"/>
      <c r="N950" s="70"/>
    </row>
    <row r="951" spans="1:14" ht="15" customHeight="1" x14ac:dyDescent="0.2">
      <c r="A951" s="292"/>
      <c r="C951" s="189"/>
      <c r="E951" s="190"/>
      <c r="G951" s="70"/>
      <c r="H951" s="70"/>
      <c r="J951" s="70"/>
      <c r="L951" s="71"/>
      <c r="N951" s="70"/>
    </row>
    <row r="952" spans="1:14" ht="15" customHeight="1" x14ac:dyDescent="0.2">
      <c r="A952" s="292"/>
      <c r="C952" s="189"/>
      <c r="E952" s="190"/>
      <c r="G952" s="70"/>
      <c r="H952" s="70"/>
      <c r="J952" s="70"/>
      <c r="L952" s="71"/>
      <c r="N952" s="70"/>
    </row>
    <row r="953" spans="1:14" ht="15" customHeight="1" x14ac:dyDescent="0.2">
      <c r="A953" s="292"/>
      <c r="C953" s="189"/>
      <c r="E953" s="190"/>
      <c r="G953" s="70"/>
      <c r="H953" s="70"/>
      <c r="J953" s="70"/>
      <c r="L953" s="71"/>
      <c r="N953" s="70"/>
    </row>
    <row r="954" spans="1:14" ht="15" customHeight="1" x14ac:dyDescent="0.2">
      <c r="A954" s="292"/>
      <c r="C954" s="189"/>
      <c r="E954" s="190"/>
      <c r="G954" s="70"/>
      <c r="H954" s="70"/>
      <c r="J954" s="70"/>
      <c r="L954" s="71"/>
      <c r="N954" s="70"/>
    </row>
    <row r="955" spans="1:14" ht="15" customHeight="1" x14ac:dyDescent="0.2">
      <c r="A955" s="292"/>
      <c r="C955" s="189"/>
      <c r="E955" s="190"/>
      <c r="G955" s="70"/>
      <c r="H955" s="70"/>
      <c r="J955" s="70"/>
      <c r="L955" s="71"/>
      <c r="N955" s="70"/>
    </row>
    <row r="956" spans="1:14" ht="15" customHeight="1" x14ac:dyDescent="0.2">
      <c r="A956" s="292"/>
      <c r="C956" s="189"/>
      <c r="E956" s="190"/>
      <c r="G956" s="70"/>
      <c r="H956" s="70"/>
      <c r="J956" s="70"/>
      <c r="L956" s="71"/>
      <c r="N956" s="70"/>
    </row>
    <row r="957" spans="1:14" ht="15" customHeight="1" x14ac:dyDescent="0.2">
      <c r="A957" s="292"/>
      <c r="C957" s="189"/>
      <c r="E957" s="190"/>
      <c r="G957" s="70"/>
      <c r="H957" s="70"/>
      <c r="J957" s="70"/>
      <c r="L957" s="71"/>
      <c r="N957" s="70"/>
    </row>
    <row r="958" spans="1:14" ht="15" customHeight="1" x14ac:dyDescent="0.2">
      <c r="A958" s="292"/>
      <c r="C958" s="189"/>
      <c r="E958" s="190"/>
      <c r="G958" s="70"/>
      <c r="H958" s="70"/>
      <c r="J958" s="70"/>
      <c r="L958" s="71"/>
      <c r="N958" s="70"/>
    </row>
    <row r="959" spans="1:14" ht="15" customHeight="1" x14ac:dyDescent="0.2">
      <c r="A959" s="292"/>
      <c r="C959" s="189"/>
      <c r="E959" s="190"/>
      <c r="G959" s="70"/>
      <c r="H959" s="70"/>
      <c r="J959" s="70"/>
      <c r="L959" s="71"/>
      <c r="N959" s="70"/>
    </row>
    <row r="960" spans="1:14" ht="15" customHeight="1" x14ac:dyDescent="0.2">
      <c r="A960" s="292"/>
      <c r="C960" s="189"/>
      <c r="E960" s="190"/>
      <c r="G960" s="70"/>
      <c r="H960" s="70"/>
      <c r="J960" s="70"/>
      <c r="L960" s="71"/>
      <c r="N960" s="70"/>
    </row>
    <row r="961" spans="1:14" ht="15" customHeight="1" x14ac:dyDescent="0.2">
      <c r="A961" s="292"/>
      <c r="C961" s="189"/>
      <c r="E961" s="190"/>
      <c r="G961" s="70"/>
      <c r="H961" s="70"/>
      <c r="J961" s="70"/>
      <c r="L961" s="71"/>
      <c r="N961" s="70"/>
    </row>
    <row r="962" spans="1:14" ht="15" customHeight="1" x14ac:dyDescent="0.2">
      <c r="A962" s="292"/>
      <c r="C962" s="189"/>
      <c r="E962" s="190"/>
      <c r="G962" s="70"/>
      <c r="H962" s="70"/>
      <c r="J962" s="70"/>
      <c r="L962" s="71"/>
      <c r="N962" s="70"/>
    </row>
    <row r="963" spans="1:14" ht="15" customHeight="1" x14ac:dyDescent="0.2">
      <c r="A963" s="292"/>
      <c r="C963" s="189"/>
      <c r="E963" s="190"/>
      <c r="G963" s="70"/>
      <c r="H963" s="70"/>
      <c r="J963" s="70"/>
      <c r="L963" s="71"/>
      <c r="N963" s="70"/>
    </row>
    <row r="964" spans="1:14" ht="15" customHeight="1" x14ac:dyDescent="0.2">
      <c r="A964" s="292"/>
      <c r="C964" s="189"/>
      <c r="E964" s="190"/>
      <c r="G964" s="70"/>
      <c r="H964" s="70"/>
      <c r="J964" s="70"/>
      <c r="L964" s="71"/>
      <c r="N964" s="70"/>
    </row>
    <row r="965" spans="1:14" ht="15" customHeight="1" x14ac:dyDescent="0.2">
      <c r="A965" s="292"/>
      <c r="C965" s="189"/>
      <c r="E965" s="190"/>
      <c r="G965" s="70"/>
      <c r="H965" s="70"/>
      <c r="J965" s="70"/>
      <c r="L965" s="71"/>
      <c r="N965" s="70"/>
    </row>
    <row r="966" spans="1:14" ht="15" customHeight="1" x14ac:dyDescent="0.2">
      <c r="A966" s="292"/>
      <c r="C966" s="189"/>
      <c r="E966" s="190"/>
      <c r="G966" s="70"/>
      <c r="H966" s="70"/>
      <c r="J966" s="70"/>
      <c r="L966" s="71"/>
      <c r="N966" s="70"/>
    </row>
    <row r="967" spans="1:14" ht="15" customHeight="1" x14ac:dyDescent="0.2">
      <c r="A967" s="292"/>
      <c r="C967" s="189"/>
      <c r="E967" s="190"/>
      <c r="G967" s="70"/>
      <c r="H967" s="70"/>
      <c r="J967" s="70"/>
      <c r="L967" s="71"/>
      <c r="N967" s="70"/>
    </row>
    <row r="968" spans="1:14" ht="15" customHeight="1" x14ac:dyDescent="0.2">
      <c r="A968" s="292"/>
      <c r="C968" s="189"/>
      <c r="E968" s="190"/>
      <c r="G968" s="70"/>
      <c r="H968" s="70"/>
      <c r="J968" s="70"/>
      <c r="L968" s="71"/>
      <c r="N968" s="70"/>
    </row>
    <row r="969" spans="1:14" ht="15" customHeight="1" x14ac:dyDescent="0.2">
      <c r="A969" s="292"/>
      <c r="C969" s="189"/>
      <c r="E969" s="190"/>
      <c r="G969" s="70"/>
      <c r="H969" s="70"/>
      <c r="J969" s="70"/>
      <c r="L969" s="71"/>
      <c r="N969" s="70"/>
    </row>
    <row r="970" spans="1:14" ht="15" customHeight="1" x14ac:dyDescent="0.2">
      <c r="A970" s="292"/>
      <c r="C970" s="189"/>
      <c r="E970" s="190"/>
      <c r="G970" s="70"/>
      <c r="H970" s="70"/>
      <c r="J970" s="70"/>
      <c r="L970" s="71"/>
      <c r="N970" s="70"/>
    </row>
    <row r="971" spans="1:14" ht="15" customHeight="1" x14ac:dyDescent="0.2">
      <c r="A971" s="292"/>
      <c r="C971" s="189"/>
      <c r="E971" s="190"/>
      <c r="G971" s="70"/>
      <c r="H971" s="70"/>
      <c r="J971" s="70"/>
      <c r="L971" s="71"/>
      <c r="N971" s="70"/>
    </row>
    <row r="972" spans="1:14" ht="15" customHeight="1" x14ac:dyDescent="0.2">
      <c r="A972" s="292"/>
      <c r="C972" s="189"/>
      <c r="E972" s="190"/>
      <c r="G972" s="70"/>
      <c r="H972" s="70"/>
      <c r="J972" s="70"/>
      <c r="L972" s="71"/>
      <c r="N972" s="70"/>
    </row>
    <row r="973" spans="1:14" ht="15" customHeight="1" x14ac:dyDescent="0.2">
      <c r="A973" s="292"/>
      <c r="C973" s="189"/>
      <c r="E973" s="190"/>
      <c r="G973" s="70"/>
      <c r="H973" s="70"/>
      <c r="J973" s="70"/>
      <c r="L973" s="71"/>
      <c r="N973" s="70"/>
    </row>
    <row r="974" spans="1:14" ht="15" customHeight="1" x14ac:dyDescent="0.2">
      <c r="A974" s="292"/>
      <c r="C974" s="189"/>
      <c r="E974" s="190"/>
      <c r="G974" s="70"/>
      <c r="H974" s="70"/>
      <c r="J974" s="70"/>
      <c r="L974" s="71"/>
      <c r="N974" s="70"/>
    </row>
    <row r="975" spans="1:14" ht="15" customHeight="1" x14ac:dyDescent="0.2">
      <c r="A975" s="292"/>
      <c r="C975" s="189"/>
      <c r="E975" s="190"/>
      <c r="G975" s="70"/>
      <c r="H975" s="70"/>
      <c r="J975" s="70"/>
      <c r="L975" s="71"/>
      <c r="N975" s="70"/>
    </row>
    <row r="976" spans="1:14" ht="15" customHeight="1" x14ac:dyDescent="0.2">
      <c r="A976" s="292"/>
      <c r="C976" s="189"/>
      <c r="E976" s="190"/>
      <c r="G976" s="70"/>
      <c r="H976" s="70"/>
      <c r="J976" s="70"/>
      <c r="L976" s="71"/>
      <c r="N976" s="70"/>
    </row>
    <row r="977" spans="1:14" ht="15" customHeight="1" x14ac:dyDescent="0.2">
      <c r="A977" s="292"/>
      <c r="C977" s="189"/>
      <c r="E977" s="190"/>
      <c r="G977" s="70"/>
      <c r="H977" s="70"/>
      <c r="J977" s="70"/>
      <c r="L977" s="71"/>
      <c r="N977" s="70"/>
    </row>
    <row r="978" spans="1:14" ht="15" customHeight="1" x14ac:dyDescent="0.2">
      <c r="A978" s="292"/>
      <c r="C978" s="189"/>
      <c r="E978" s="190"/>
      <c r="G978" s="70"/>
      <c r="H978" s="70"/>
      <c r="J978" s="70"/>
      <c r="L978" s="71"/>
      <c r="N978" s="70"/>
    </row>
    <row r="979" spans="1:14" ht="15" customHeight="1" x14ac:dyDescent="0.2">
      <c r="A979" s="292"/>
      <c r="C979" s="189"/>
      <c r="E979" s="190"/>
      <c r="G979" s="70"/>
      <c r="H979" s="70"/>
      <c r="J979" s="70"/>
      <c r="L979" s="71"/>
      <c r="N979" s="70"/>
    </row>
    <row r="980" spans="1:14" ht="15" customHeight="1" x14ac:dyDescent="0.2">
      <c r="A980" s="292"/>
      <c r="C980" s="189"/>
      <c r="E980" s="190"/>
      <c r="G980" s="70"/>
      <c r="H980" s="70"/>
      <c r="J980" s="70"/>
      <c r="L980" s="71"/>
      <c r="N980" s="70"/>
    </row>
    <row r="981" spans="1:14" ht="15" customHeight="1" x14ac:dyDescent="0.2">
      <c r="A981" s="292"/>
      <c r="C981" s="189"/>
      <c r="E981" s="190"/>
      <c r="G981" s="70"/>
      <c r="H981" s="70"/>
      <c r="J981" s="70"/>
      <c r="L981" s="71"/>
      <c r="N981" s="70"/>
    </row>
    <row r="982" spans="1:14" ht="15" customHeight="1" x14ac:dyDescent="0.2">
      <c r="A982" s="292"/>
      <c r="C982" s="189"/>
      <c r="E982" s="190"/>
      <c r="G982" s="70"/>
      <c r="H982" s="70"/>
      <c r="J982" s="70"/>
      <c r="L982" s="71"/>
      <c r="N982" s="70"/>
    </row>
    <row r="983" spans="1:14" ht="15" customHeight="1" x14ac:dyDescent="0.2">
      <c r="A983" s="292"/>
      <c r="C983" s="189"/>
      <c r="E983" s="190"/>
      <c r="G983" s="70"/>
      <c r="H983" s="70"/>
      <c r="J983" s="70"/>
      <c r="L983" s="71"/>
      <c r="N983" s="70"/>
    </row>
    <row r="984" spans="1:14" ht="15" customHeight="1" x14ac:dyDescent="0.2">
      <c r="A984" s="292"/>
      <c r="C984" s="189"/>
      <c r="E984" s="190"/>
      <c r="G984" s="70"/>
      <c r="H984" s="70"/>
      <c r="J984" s="70"/>
      <c r="L984" s="71"/>
      <c r="N984" s="70"/>
    </row>
    <row r="985" spans="1:14" ht="15" customHeight="1" x14ac:dyDescent="0.2">
      <c r="A985" s="292"/>
      <c r="C985" s="189"/>
      <c r="E985" s="190"/>
      <c r="G985" s="70"/>
      <c r="H985" s="70"/>
      <c r="J985" s="70"/>
      <c r="L985" s="71"/>
      <c r="N985" s="70"/>
    </row>
    <row r="986" spans="1:14" ht="15" customHeight="1" x14ac:dyDescent="0.2">
      <c r="A986" s="292"/>
      <c r="C986" s="189"/>
      <c r="E986" s="190"/>
      <c r="G986" s="70"/>
      <c r="H986" s="70"/>
      <c r="J986" s="70"/>
      <c r="L986" s="71"/>
      <c r="N986" s="70"/>
    </row>
    <row r="987" spans="1:14" ht="15" customHeight="1" x14ac:dyDescent="0.2">
      <c r="A987" s="292"/>
      <c r="C987" s="189"/>
      <c r="E987" s="190"/>
      <c r="G987" s="70"/>
      <c r="H987" s="70"/>
      <c r="J987" s="70"/>
      <c r="L987" s="71"/>
      <c r="N987" s="70"/>
    </row>
    <row r="988" spans="1:14" ht="15" customHeight="1" x14ac:dyDescent="0.2">
      <c r="A988" s="292"/>
      <c r="C988" s="189"/>
      <c r="E988" s="190"/>
      <c r="G988" s="70"/>
      <c r="H988" s="70"/>
      <c r="J988" s="70"/>
      <c r="L988" s="71"/>
      <c r="N988" s="70"/>
    </row>
    <row r="989" spans="1:14" ht="15" customHeight="1" x14ac:dyDescent="0.2">
      <c r="A989" s="292"/>
      <c r="C989" s="189"/>
      <c r="E989" s="190"/>
      <c r="G989" s="70"/>
      <c r="H989" s="70"/>
      <c r="J989" s="70"/>
      <c r="L989" s="71"/>
      <c r="N989" s="70"/>
    </row>
    <row r="990" spans="1:14" ht="15" customHeight="1" x14ac:dyDescent="0.2">
      <c r="A990" s="292"/>
      <c r="C990" s="189"/>
      <c r="E990" s="190"/>
      <c r="G990" s="70"/>
      <c r="H990" s="70"/>
      <c r="J990" s="70"/>
      <c r="L990" s="71"/>
      <c r="N990" s="70"/>
    </row>
    <row r="991" spans="1:14" ht="15" customHeight="1" x14ac:dyDescent="0.2">
      <c r="A991" s="292"/>
      <c r="C991" s="189"/>
      <c r="E991" s="190"/>
      <c r="G991" s="70"/>
      <c r="H991" s="70"/>
      <c r="J991" s="70"/>
      <c r="L991" s="71"/>
      <c r="N991" s="70"/>
    </row>
    <row r="992" spans="1:14" ht="15" customHeight="1" x14ac:dyDescent="0.2">
      <c r="A992" s="292"/>
      <c r="C992" s="189"/>
      <c r="E992" s="190"/>
      <c r="G992" s="70"/>
      <c r="H992" s="70"/>
      <c r="J992" s="70"/>
      <c r="L992" s="71"/>
      <c r="N992" s="70"/>
    </row>
    <row r="993" spans="1:14" ht="15" customHeight="1" x14ac:dyDescent="0.2">
      <c r="A993" s="292"/>
      <c r="C993" s="189"/>
      <c r="E993" s="190"/>
      <c r="G993" s="70"/>
      <c r="H993" s="70"/>
      <c r="J993" s="70"/>
      <c r="L993" s="71"/>
      <c r="N993" s="70"/>
    </row>
    <row r="994" spans="1:14" ht="15" customHeight="1" x14ac:dyDescent="0.2">
      <c r="A994" s="292"/>
      <c r="C994" s="189"/>
      <c r="E994" s="190"/>
      <c r="G994" s="70"/>
      <c r="H994" s="70"/>
      <c r="J994" s="70"/>
      <c r="L994" s="71"/>
      <c r="N994" s="70"/>
    </row>
    <row r="995" spans="1:14" ht="15" customHeight="1" x14ac:dyDescent="0.2">
      <c r="A995" s="292"/>
      <c r="C995" s="189"/>
      <c r="E995" s="190"/>
      <c r="G995" s="70"/>
      <c r="H995" s="70"/>
      <c r="J995" s="70"/>
      <c r="L995" s="71"/>
      <c r="N995" s="70"/>
    </row>
    <row r="996" spans="1:14" ht="15" customHeight="1" x14ac:dyDescent="0.2">
      <c r="A996" s="292"/>
      <c r="C996" s="189"/>
      <c r="E996" s="190"/>
      <c r="G996" s="70"/>
      <c r="H996" s="70"/>
      <c r="J996" s="70"/>
      <c r="L996" s="71"/>
      <c r="N996" s="70"/>
    </row>
    <row r="997" spans="1:14" ht="15" customHeight="1" x14ac:dyDescent="0.2">
      <c r="A997" s="292"/>
      <c r="C997" s="189"/>
      <c r="E997" s="190"/>
      <c r="G997" s="70"/>
      <c r="H997" s="70"/>
      <c r="J997" s="70"/>
      <c r="L997" s="71"/>
      <c r="N997" s="70"/>
    </row>
    <row r="998" spans="1:14" ht="15" customHeight="1" x14ac:dyDescent="0.2">
      <c r="A998" s="292"/>
      <c r="C998" s="189"/>
      <c r="E998" s="190"/>
      <c r="G998" s="70"/>
      <c r="H998" s="70"/>
      <c r="J998" s="70"/>
      <c r="L998" s="71"/>
      <c r="N998" s="70"/>
    </row>
    <row r="999" spans="1:14" ht="15" customHeight="1" x14ac:dyDescent="0.2">
      <c r="A999" s="292"/>
      <c r="C999" s="189"/>
      <c r="E999" s="190"/>
      <c r="G999" s="70"/>
      <c r="H999" s="70"/>
      <c r="J999" s="70"/>
      <c r="L999" s="71"/>
      <c r="N999" s="70"/>
    </row>
    <row r="1000" spans="1:14" ht="15" customHeight="1" x14ac:dyDescent="0.2">
      <c r="A1000" s="292"/>
      <c r="C1000" s="189"/>
      <c r="E1000" s="190"/>
      <c r="G1000" s="70"/>
      <c r="H1000" s="70"/>
      <c r="J1000" s="70"/>
      <c r="L1000" s="71"/>
      <c r="N1000" s="70"/>
    </row>
    <row r="1001" spans="1:14" ht="15" customHeight="1" x14ac:dyDescent="0.2">
      <c r="A1001" s="292"/>
      <c r="C1001" s="189"/>
      <c r="E1001" s="190"/>
      <c r="G1001" s="70"/>
      <c r="H1001" s="70"/>
      <c r="J1001" s="70"/>
      <c r="L1001" s="71"/>
      <c r="N1001" s="70"/>
    </row>
    <row r="1002" spans="1:14" ht="15" customHeight="1" x14ac:dyDescent="0.2">
      <c r="A1002" s="292"/>
      <c r="C1002" s="189"/>
      <c r="E1002" s="190"/>
      <c r="G1002" s="70"/>
      <c r="H1002" s="70"/>
      <c r="J1002" s="70"/>
      <c r="L1002" s="71"/>
      <c r="N1002" s="70"/>
    </row>
    <row r="1003" spans="1:14" ht="15" customHeight="1" x14ac:dyDescent="0.2">
      <c r="A1003" s="292"/>
      <c r="C1003" s="189"/>
      <c r="E1003" s="190"/>
      <c r="G1003" s="70"/>
      <c r="H1003" s="70"/>
      <c r="J1003" s="70"/>
      <c r="L1003" s="71"/>
      <c r="N1003" s="70"/>
    </row>
    <row r="1004" spans="1:14" ht="15" customHeight="1" x14ac:dyDescent="0.2">
      <c r="A1004" s="292"/>
      <c r="C1004" s="189"/>
      <c r="E1004" s="190"/>
      <c r="G1004" s="70"/>
      <c r="H1004" s="70"/>
      <c r="J1004" s="70"/>
      <c r="L1004" s="71"/>
      <c r="N1004" s="70"/>
    </row>
    <row r="1005" spans="1:14" ht="15" customHeight="1" x14ac:dyDescent="0.2">
      <c r="A1005" s="292"/>
      <c r="C1005" s="189"/>
      <c r="E1005" s="190"/>
      <c r="G1005" s="70"/>
      <c r="H1005" s="70"/>
      <c r="J1005" s="70"/>
      <c r="L1005" s="71"/>
      <c r="N1005" s="70"/>
    </row>
    <row r="1006" spans="1:14" ht="15" customHeight="1" x14ac:dyDescent="0.2">
      <c r="A1006" s="292"/>
      <c r="C1006" s="189"/>
      <c r="E1006" s="190"/>
      <c r="G1006" s="70"/>
      <c r="H1006" s="70"/>
      <c r="J1006" s="70"/>
      <c r="L1006" s="71"/>
      <c r="N1006" s="70"/>
    </row>
    <row r="1007" spans="1:14" ht="15" customHeight="1" x14ac:dyDescent="0.2">
      <c r="A1007" s="292"/>
      <c r="C1007" s="189"/>
      <c r="E1007" s="190"/>
      <c r="G1007" s="70"/>
      <c r="H1007" s="70"/>
      <c r="J1007" s="70"/>
      <c r="L1007" s="71"/>
      <c r="N1007" s="70"/>
    </row>
    <row r="1008" spans="1:14" ht="15" customHeight="1" x14ac:dyDescent="0.2">
      <c r="A1008" s="292"/>
      <c r="C1008" s="189"/>
      <c r="E1008" s="190"/>
      <c r="G1008" s="70"/>
      <c r="H1008" s="70"/>
      <c r="J1008" s="70"/>
      <c r="L1008" s="71"/>
      <c r="N1008" s="70"/>
    </row>
    <row r="1009" spans="1:14" ht="15" customHeight="1" x14ac:dyDescent="0.2">
      <c r="A1009" s="292"/>
      <c r="C1009" s="189"/>
      <c r="E1009" s="190"/>
      <c r="G1009" s="70"/>
      <c r="H1009" s="70"/>
      <c r="J1009" s="70"/>
      <c r="L1009" s="71"/>
      <c r="N1009" s="70"/>
    </row>
    <row r="1010" spans="1:14" ht="15" customHeight="1" x14ac:dyDescent="0.2">
      <c r="A1010" s="292"/>
      <c r="C1010" s="189"/>
      <c r="E1010" s="190"/>
      <c r="G1010" s="70"/>
      <c r="H1010" s="70"/>
      <c r="J1010" s="70"/>
      <c r="L1010" s="71"/>
      <c r="N1010" s="70"/>
    </row>
    <row r="1011" spans="1:14" ht="15" customHeight="1" x14ac:dyDescent="0.2">
      <c r="A1011" s="292"/>
      <c r="C1011" s="189"/>
      <c r="E1011" s="190"/>
      <c r="G1011" s="70"/>
      <c r="H1011" s="70"/>
      <c r="J1011" s="70"/>
      <c r="L1011" s="71"/>
      <c r="N1011" s="70"/>
    </row>
    <row r="1012" spans="1:14" ht="15" customHeight="1" x14ac:dyDescent="0.2">
      <c r="A1012" s="292"/>
      <c r="C1012" s="189"/>
      <c r="E1012" s="190"/>
      <c r="G1012" s="70"/>
      <c r="H1012" s="70"/>
      <c r="J1012" s="70"/>
      <c r="L1012" s="71"/>
      <c r="N1012" s="70"/>
    </row>
    <row r="1013" spans="1:14" ht="15" customHeight="1" x14ac:dyDescent="0.2">
      <c r="A1013" s="292"/>
      <c r="C1013" s="189"/>
      <c r="E1013" s="190"/>
      <c r="G1013" s="70"/>
      <c r="H1013" s="70"/>
      <c r="J1013" s="70"/>
      <c r="L1013" s="71"/>
      <c r="N1013" s="70"/>
    </row>
    <row r="1014" spans="1:14" ht="15" customHeight="1" x14ac:dyDescent="0.2">
      <c r="A1014" s="292"/>
      <c r="C1014" s="189"/>
      <c r="E1014" s="190"/>
      <c r="G1014" s="70"/>
      <c r="H1014" s="70"/>
      <c r="J1014" s="70"/>
      <c r="L1014" s="71"/>
      <c r="N1014" s="70"/>
    </row>
    <row r="1015" spans="1:14" ht="15" customHeight="1" x14ac:dyDescent="0.2">
      <c r="A1015" s="292"/>
      <c r="C1015" s="189"/>
      <c r="E1015" s="190"/>
      <c r="G1015" s="70"/>
      <c r="H1015" s="70"/>
      <c r="J1015" s="70"/>
      <c r="L1015" s="71"/>
      <c r="N1015" s="70"/>
    </row>
    <row r="1016" spans="1:14" ht="15" customHeight="1" x14ac:dyDescent="0.2">
      <c r="A1016" s="292"/>
      <c r="C1016" s="189"/>
      <c r="E1016" s="190"/>
      <c r="G1016" s="70"/>
      <c r="H1016" s="70"/>
      <c r="J1016" s="70"/>
      <c r="L1016" s="71"/>
      <c r="N1016" s="70"/>
    </row>
    <row r="1017" spans="1:14" ht="15" customHeight="1" x14ac:dyDescent="0.2">
      <c r="A1017" s="292"/>
      <c r="C1017" s="189"/>
      <c r="E1017" s="190"/>
      <c r="G1017" s="70"/>
      <c r="H1017" s="70"/>
      <c r="J1017" s="70"/>
      <c r="L1017" s="71"/>
      <c r="N1017" s="70"/>
    </row>
    <row r="1018" spans="1:14" ht="15" customHeight="1" x14ac:dyDescent="0.2">
      <c r="A1018" s="292"/>
      <c r="C1018" s="189"/>
      <c r="E1018" s="190"/>
      <c r="G1018" s="70"/>
      <c r="H1018" s="70"/>
      <c r="J1018" s="70"/>
      <c r="L1018" s="71"/>
      <c r="N1018" s="70"/>
    </row>
    <row r="1019" spans="1:14" ht="15" customHeight="1" x14ac:dyDescent="0.2">
      <c r="A1019" s="292"/>
      <c r="C1019" s="189"/>
      <c r="E1019" s="190"/>
      <c r="G1019" s="70"/>
      <c r="H1019" s="70"/>
      <c r="J1019" s="70"/>
      <c r="L1019" s="71"/>
      <c r="N1019" s="70"/>
    </row>
    <row r="1020" spans="1:14" ht="15" customHeight="1" x14ac:dyDescent="0.2">
      <c r="A1020" s="292"/>
      <c r="C1020" s="189"/>
      <c r="E1020" s="190"/>
      <c r="G1020" s="70"/>
      <c r="H1020" s="70"/>
      <c r="J1020" s="70"/>
      <c r="L1020" s="71"/>
      <c r="N1020" s="70"/>
    </row>
    <row r="1021" spans="1:14" ht="15" customHeight="1" x14ac:dyDescent="0.2">
      <c r="A1021" s="292"/>
      <c r="C1021" s="189"/>
      <c r="E1021" s="190"/>
      <c r="G1021" s="70"/>
      <c r="H1021" s="70"/>
      <c r="J1021" s="70"/>
      <c r="L1021" s="71"/>
      <c r="N1021" s="70"/>
    </row>
    <row r="1022" spans="1:14" ht="15" customHeight="1" x14ac:dyDescent="0.2">
      <c r="A1022" s="292"/>
      <c r="C1022" s="189"/>
      <c r="E1022" s="190"/>
      <c r="G1022" s="70"/>
      <c r="H1022" s="70"/>
      <c r="J1022" s="70"/>
      <c r="L1022" s="71"/>
      <c r="N1022" s="70"/>
    </row>
    <row r="1023" spans="1:14" ht="15" customHeight="1" x14ac:dyDescent="0.2">
      <c r="A1023" s="292"/>
      <c r="C1023" s="189"/>
      <c r="E1023" s="190"/>
      <c r="G1023" s="70"/>
      <c r="H1023" s="70"/>
      <c r="J1023" s="70"/>
      <c r="L1023" s="71"/>
      <c r="N1023" s="70"/>
    </row>
    <row r="1024" spans="1:14" ht="15" customHeight="1" x14ac:dyDescent="0.2">
      <c r="A1024" s="292"/>
      <c r="C1024" s="189"/>
      <c r="E1024" s="190"/>
      <c r="G1024" s="70"/>
      <c r="H1024" s="70"/>
      <c r="J1024" s="70"/>
      <c r="L1024" s="71"/>
      <c r="N1024" s="70"/>
    </row>
    <row r="1025" spans="1:14" ht="15" customHeight="1" x14ac:dyDescent="0.2">
      <c r="A1025" s="292"/>
      <c r="C1025" s="189"/>
      <c r="E1025" s="190"/>
      <c r="G1025" s="70"/>
      <c r="H1025" s="70"/>
      <c r="J1025" s="70"/>
      <c r="L1025" s="71"/>
      <c r="N1025" s="70"/>
    </row>
    <row r="1026" spans="1:14" ht="15" customHeight="1" x14ac:dyDescent="0.2">
      <c r="A1026" s="292"/>
      <c r="C1026" s="189"/>
      <c r="E1026" s="190"/>
      <c r="G1026" s="70"/>
      <c r="H1026" s="70"/>
      <c r="J1026" s="70"/>
      <c r="L1026" s="71"/>
      <c r="N1026" s="70"/>
    </row>
    <row r="1027" spans="1:14" ht="15" customHeight="1" x14ac:dyDescent="0.2">
      <c r="A1027" s="292"/>
      <c r="C1027" s="189"/>
      <c r="E1027" s="190"/>
      <c r="G1027" s="70"/>
      <c r="H1027" s="70"/>
      <c r="J1027" s="70"/>
      <c r="L1027" s="71"/>
      <c r="N1027" s="70"/>
    </row>
    <row r="1028" spans="1:14" ht="15" customHeight="1" x14ac:dyDescent="0.2">
      <c r="A1028" s="292"/>
      <c r="C1028" s="189"/>
      <c r="E1028" s="190"/>
      <c r="G1028" s="70"/>
      <c r="H1028" s="70"/>
      <c r="J1028" s="70"/>
      <c r="L1028" s="71"/>
      <c r="N1028" s="70"/>
    </row>
    <row r="1029" spans="1:14" ht="15" customHeight="1" x14ac:dyDescent="0.2">
      <c r="A1029" s="292"/>
      <c r="C1029" s="189"/>
      <c r="E1029" s="190"/>
      <c r="G1029" s="70"/>
      <c r="H1029" s="70"/>
      <c r="J1029" s="70"/>
      <c r="L1029" s="71"/>
      <c r="N1029" s="70"/>
    </row>
    <row r="1030" spans="1:14" ht="15" customHeight="1" x14ac:dyDescent="0.2">
      <c r="A1030" s="292"/>
      <c r="C1030" s="189"/>
      <c r="E1030" s="190"/>
      <c r="G1030" s="70"/>
      <c r="H1030" s="70"/>
      <c r="J1030" s="70"/>
      <c r="L1030" s="71"/>
      <c r="N1030" s="70"/>
    </row>
    <row r="1031" spans="1:14" ht="15" customHeight="1" x14ac:dyDescent="0.2">
      <c r="A1031" s="292"/>
      <c r="C1031" s="189"/>
      <c r="E1031" s="190"/>
      <c r="G1031" s="70"/>
      <c r="H1031" s="70"/>
      <c r="J1031" s="70"/>
      <c r="L1031" s="71"/>
      <c r="N1031" s="70"/>
    </row>
    <row r="1032" spans="1:14" ht="15" customHeight="1" x14ac:dyDescent="0.2">
      <c r="A1032" s="292"/>
      <c r="C1032" s="189"/>
      <c r="E1032" s="190"/>
      <c r="G1032" s="70"/>
      <c r="H1032" s="70"/>
      <c r="J1032" s="70"/>
      <c r="L1032" s="71"/>
      <c r="N1032" s="70"/>
    </row>
    <row r="1033" spans="1:14" ht="15" customHeight="1" x14ac:dyDescent="0.2">
      <c r="A1033" s="292"/>
      <c r="C1033" s="189"/>
      <c r="E1033" s="190"/>
      <c r="G1033" s="70"/>
      <c r="H1033" s="70"/>
      <c r="J1033" s="70"/>
      <c r="L1033" s="71"/>
      <c r="N1033" s="70"/>
    </row>
    <row r="1034" spans="1:14" ht="15" customHeight="1" x14ac:dyDescent="0.2">
      <c r="A1034" s="292"/>
      <c r="C1034" s="189"/>
      <c r="E1034" s="190"/>
      <c r="G1034" s="70"/>
      <c r="H1034" s="70"/>
      <c r="J1034" s="70"/>
      <c r="L1034" s="71"/>
      <c r="N1034" s="70"/>
    </row>
    <row r="1035" spans="1:14" ht="15" customHeight="1" x14ac:dyDescent="0.2">
      <c r="A1035" s="292"/>
      <c r="C1035" s="189"/>
      <c r="E1035" s="190"/>
      <c r="G1035" s="70"/>
      <c r="H1035" s="70"/>
      <c r="J1035" s="70"/>
      <c r="L1035" s="71"/>
      <c r="N1035" s="70"/>
    </row>
    <row r="1036" spans="1:14" ht="15" customHeight="1" x14ac:dyDescent="0.2">
      <c r="A1036" s="292"/>
      <c r="C1036" s="189"/>
      <c r="E1036" s="190"/>
      <c r="G1036" s="70"/>
      <c r="H1036" s="70"/>
      <c r="J1036" s="70"/>
      <c r="L1036" s="71"/>
      <c r="N1036" s="70"/>
    </row>
    <row r="1037" spans="1:14" ht="15" customHeight="1" x14ac:dyDescent="0.2">
      <c r="A1037" s="292"/>
      <c r="C1037" s="189"/>
      <c r="E1037" s="190"/>
      <c r="G1037" s="70"/>
      <c r="H1037" s="70"/>
      <c r="J1037" s="70"/>
      <c r="L1037" s="71"/>
      <c r="N1037" s="70"/>
    </row>
    <row r="1038" spans="1:14" ht="15" customHeight="1" x14ac:dyDescent="0.2">
      <c r="A1038" s="292"/>
      <c r="C1038" s="189"/>
      <c r="E1038" s="190"/>
      <c r="G1038" s="70"/>
      <c r="H1038" s="70"/>
      <c r="J1038" s="70"/>
      <c r="L1038" s="71"/>
      <c r="N1038" s="70"/>
    </row>
    <row r="1039" spans="1:14" ht="15" customHeight="1" x14ac:dyDescent="0.2">
      <c r="A1039" s="292"/>
      <c r="C1039" s="189"/>
      <c r="E1039" s="190"/>
      <c r="G1039" s="70"/>
      <c r="H1039" s="70"/>
      <c r="J1039" s="70"/>
      <c r="L1039" s="71"/>
      <c r="N1039" s="70"/>
    </row>
    <row r="1040" spans="1:14" ht="15" customHeight="1" x14ac:dyDescent="0.2">
      <c r="A1040" s="292"/>
      <c r="C1040" s="189"/>
      <c r="E1040" s="190"/>
      <c r="G1040" s="70"/>
      <c r="H1040" s="70"/>
      <c r="J1040" s="70"/>
      <c r="L1040" s="71"/>
      <c r="N1040" s="70"/>
    </row>
    <row r="1041" spans="1:14" ht="15" customHeight="1" x14ac:dyDescent="0.2">
      <c r="A1041" s="292"/>
      <c r="C1041" s="189"/>
      <c r="E1041" s="190"/>
      <c r="G1041" s="70"/>
      <c r="H1041" s="70"/>
      <c r="J1041" s="70"/>
      <c r="L1041" s="71"/>
      <c r="N1041" s="70"/>
    </row>
    <row r="1042" spans="1:14" ht="15" customHeight="1" x14ac:dyDescent="0.2">
      <c r="A1042" s="292"/>
      <c r="C1042" s="189"/>
      <c r="E1042" s="190"/>
      <c r="G1042" s="70"/>
      <c r="H1042" s="70"/>
      <c r="J1042" s="70"/>
      <c r="L1042" s="71"/>
      <c r="N1042" s="70"/>
    </row>
    <row r="1043" spans="1:14" ht="15" customHeight="1" x14ac:dyDescent="0.2">
      <c r="A1043" s="292"/>
      <c r="C1043" s="189"/>
      <c r="E1043" s="190"/>
      <c r="G1043" s="70"/>
      <c r="H1043" s="70"/>
      <c r="J1043" s="70"/>
      <c r="L1043" s="71"/>
      <c r="N1043" s="70"/>
    </row>
    <row r="1044" spans="1:14" ht="15" customHeight="1" x14ac:dyDescent="0.2">
      <c r="A1044" s="292"/>
      <c r="C1044" s="189"/>
      <c r="E1044" s="190"/>
      <c r="G1044" s="70"/>
      <c r="H1044" s="70"/>
      <c r="J1044" s="70"/>
      <c r="L1044" s="71"/>
      <c r="N1044" s="70"/>
    </row>
    <row r="1045" spans="1:14" ht="15" customHeight="1" x14ac:dyDescent="0.2">
      <c r="A1045" s="292"/>
      <c r="C1045" s="189"/>
      <c r="E1045" s="190"/>
      <c r="G1045" s="70"/>
      <c r="H1045" s="70"/>
      <c r="J1045" s="70"/>
      <c r="L1045" s="71"/>
      <c r="N1045" s="70"/>
    </row>
    <row r="1046" spans="1:14" ht="15" customHeight="1" x14ac:dyDescent="0.2">
      <c r="A1046" s="292"/>
      <c r="C1046" s="189"/>
      <c r="E1046" s="190"/>
      <c r="G1046" s="70"/>
      <c r="H1046" s="70"/>
      <c r="J1046" s="70"/>
      <c r="L1046" s="71"/>
      <c r="N1046" s="70"/>
    </row>
    <row r="1047" spans="1:14" ht="15" customHeight="1" x14ac:dyDescent="0.2">
      <c r="A1047" s="292"/>
      <c r="C1047" s="189"/>
      <c r="E1047" s="190"/>
      <c r="G1047" s="70"/>
      <c r="H1047" s="70"/>
      <c r="J1047" s="70"/>
      <c r="L1047" s="71"/>
      <c r="N1047" s="70"/>
    </row>
    <row r="1048" spans="1:14" ht="15" customHeight="1" x14ac:dyDescent="0.2">
      <c r="A1048" s="292"/>
      <c r="C1048" s="189"/>
      <c r="E1048" s="190"/>
      <c r="G1048" s="70"/>
      <c r="H1048" s="70"/>
      <c r="J1048" s="70"/>
      <c r="L1048" s="71"/>
      <c r="N1048" s="70"/>
    </row>
    <row r="1049" spans="1:14" ht="15" customHeight="1" x14ac:dyDescent="0.2">
      <c r="A1049" s="292"/>
      <c r="C1049" s="189"/>
      <c r="E1049" s="190"/>
      <c r="G1049" s="70"/>
      <c r="H1049" s="70"/>
      <c r="J1049" s="70"/>
      <c r="L1049" s="71"/>
      <c r="N1049" s="70"/>
    </row>
    <row r="1050" spans="1:14" ht="15" customHeight="1" x14ac:dyDescent="0.2">
      <c r="A1050" s="292"/>
      <c r="C1050" s="189"/>
      <c r="E1050" s="190"/>
      <c r="G1050" s="70"/>
      <c r="H1050" s="70"/>
      <c r="J1050" s="70"/>
      <c r="L1050" s="71"/>
      <c r="N1050" s="70"/>
    </row>
    <row r="1051" spans="1:14" ht="15" customHeight="1" x14ac:dyDescent="0.2">
      <c r="A1051" s="292"/>
      <c r="C1051" s="189"/>
      <c r="E1051" s="190"/>
      <c r="G1051" s="70"/>
      <c r="H1051" s="70"/>
      <c r="J1051" s="70"/>
      <c r="L1051" s="71"/>
      <c r="N1051" s="70"/>
    </row>
    <row r="1052" spans="1:14" ht="15" customHeight="1" x14ac:dyDescent="0.2">
      <c r="A1052" s="292"/>
      <c r="C1052" s="189"/>
      <c r="E1052" s="190"/>
      <c r="G1052" s="70"/>
      <c r="H1052" s="70"/>
      <c r="J1052" s="70"/>
      <c r="L1052" s="71"/>
      <c r="N1052" s="70"/>
    </row>
    <row r="1053" spans="1:14" ht="15" customHeight="1" x14ac:dyDescent="0.2">
      <c r="A1053" s="292"/>
      <c r="C1053" s="189"/>
      <c r="E1053" s="190"/>
      <c r="G1053" s="70"/>
      <c r="H1053" s="70"/>
      <c r="J1053" s="70"/>
      <c r="L1053" s="71"/>
      <c r="N1053" s="70"/>
    </row>
    <row r="1054" spans="1:14" ht="15" customHeight="1" x14ac:dyDescent="0.2">
      <c r="A1054" s="292"/>
      <c r="C1054" s="189"/>
      <c r="E1054" s="190"/>
      <c r="G1054" s="70"/>
      <c r="H1054" s="70"/>
      <c r="J1054" s="70"/>
      <c r="L1054" s="71"/>
      <c r="N1054" s="70"/>
    </row>
    <row r="1055" spans="1:14" ht="15" customHeight="1" x14ac:dyDescent="0.2">
      <c r="A1055" s="292"/>
      <c r="C1055" s="189"/>
      <c r="E1055" s="190"/>
      <c r="G1055" s="70"/>
      <c r="H1055" s="70"/>
      <c r="J1055" s="70"/>
      <c r="L1055" s="71"/>
      <c r="N1055" s="70"/>
    </row>
    <row r="1056" spans="1:14" ht="15" customHeight="1" x14ac:dyDescent="0.2">
      <c r="A1056" s="292"/>
      <c r="C1056" s="189"/>
      <c r="E1056" s="190"/>
      <c r="G1056" s="70"/>
      <c r="H1056" s="70"/>
      <c r="J1056" s="70"/>
      <c r="L1056" s="71"/>
      <c r="N1056" s="70"/>
    </row>
    <row r="1057" spans="1:14" ht="15" customHeight="1" x14ac:dyDescent="0.2">
      <c r="A1057" s="292"/>
      <c r="C1057" s="189"/>
      <c r="E1057" s="190"/>
      <c r="G1057" s="70"/>
      <c r="H1057" s="70"/>
      <c r="J1057" s="70"/>
      <c r="L1057" s="71"/>
      <c r="N1057" s="70"/>
    </row>
    <row r="1058" spans="1:14" ht="15" customHeight="1" x14ac:dyDescent="0.2">
      <c r="A1058" s="292"/>
      <c r="C1058" s="189"/>
      <c r="E1058" s="190"/>
      <c r="G1058" s="70"/>
      <c r="H1058" s="70"/>
      <c r="J1058" s="70"/>
      <c r="L1058" s="71"/>
      <c r="N1058" s="70"/>
    </row>
    <row r="1059" spans="1:14" ht="15" customHeight="1" x14ac:dyDescent="0.2">
      <c r="A1059" s="292"/>
      <c r="C1059" s="189"/>
      <c r="E1059" s="190"/>
      <c r="G1059" s="70"/>
      <c r="H1059" s="70"/>
      <c r="J1059" s="70"/>
      <c r="L1059" s="71"/>
      <c r="N1059" s="70"/>
    </row>
    <row r="1060" spans="1:14" ht="15" customHeight="1" x14ac:dyDescent="0.2">
      <c r="A1060" s="292"/>
      <c r="C1060" s="189"/>
      <c r="E1060" s="190"/>
      <c r="G1060" s="70"/>
      <c r="H1060" s="70"/>
      <c r="J1060" s="70"/>
      <c r="L1060" s="71"/>
      <c r="N1060" s="70"/>
    </row>
    <row r="1061" spans="1:14" ht="15" customHeight="1" x14ac:dyDescent="0.2">
      <c r="A1061" s="292"/>
      <c r="C1061" s="189"/>
      <c r="E1061" s="190"/>
      <c r="G1061" s="70"/>
      <c r="H1061" s="70"/>
      <c r="J1061" s="70"/>
      <c r="L1061" s="71"/>
      <c r="N1061" s="70"/>
    </row>
    <row r="1062" spans="1:14" ht="15" customHeight="1" x14ac:dyDescent="0.2">
      <c r="A1062" s="292"/>
      <c r="C1062" s="189"/>
      <c r="E1062" s="190"/>
      <c r="G1062" s="70"/>
      <c r="H1062" s="70"/>
      <c r="J1062" s="70"/>
      <c r="L1062" s="71"/>
      <c r="N1062" s="70"/>
    </row>
    <row r="1063" spans="1:14" ht="15" customHeight="1" x14ac:dyDescent="0.2">
      <c r="A1063" s="292"/>
      <c r="C1063" s="189"/>
      <c r="E1063" s="190"/>
      <c r="G1063" s="70"/>
      <c r="H1063" s="70"/>
      <c r="J1063" s="70"/>
      <c r="L1063" s="71"/>
      <c r="N1063" s="70"/>
    </row>
    <row r="1064" spans="1:14" ht="15" customHeight="1" x14ac:dyDescent="0.2">
      <c r="A1064" s="292"/>
      <c r="C1064" s="189"/>
      <c r="E1064" s="190"/>
      <c r="G1064" s="70"/>
      <c r="H1064" s="70"/>
      <c r="J1064" s="70"/>
      <c r="L1064" s="71"/>
      <c r="N1064" s="70"/>
    </row>
    <row r="1065" spans="1:14" ht="15" customHeight="1" x14ac:dyDescent="0.2">
      <c r="A1065" s="292"/>
      <c r="C1065" s="189"/>
      <c r="E1065" s="190"/>
      <c r="G1065" s="70"/>
      <c r="H1065" s="70"/>
      <c r="J1065" s="70"/>
      <c r="L1065" s="71"/>
      <c r="N1065" s="70"/>
    </row>
    <row r="1066" spans="1:14" ht="15" customHeight="1" x14ac:dyDescent="0.2">
      <c r="A1066" s="292"/>
      <c r="C1066" s="189"/>
      <c r="E1066" s="190"/>
      <c r="G1066" s="70"/>
      <c r="H1066" s="70"/>
      <c r="J1066" s="70"/>
      <c r="L1066" s="71"/>
      <c r="N1066" s="70"/>
    </row>
    <row r="1067" spans="1:14" ht="15" customHeight="1" x14ac:dyDescent="0.2">
      <c r="A1067" s="292"/>
      <c r="C1067" s="189"/>
      <c r="E1067" s="190"/>
      <c r="G1067" s="70"/>
      <c r="H1067" s="70"/>
      <c r="J1067" s="70"/>
      <c r="L1067" s="71"/>
      <c r="N1067" s="70"/>
    </row>
    <row r="1068" spans="1:14" ht="15" customHeight="1" x14ac:dyDescent="0.2">
      <c r="A1068" s="292"/>
      <c r="C1068" s="189"/>
      <c r="E1068" s="190"/>
      <c r="G1068" s="70"/>
      <c r="H1068" s="70"/>
      <c r="J1068" s="70"/>
      <c r="L1068" s="71"/>
      <c r="N1068" s="70"/>
    </row>
    <row r="1069" spans="1:14" ht="15" customHeight="1" x14ac:dyDescent="0.2">
      <c r="A1069" s="292"/>
      <c r="C1069" s="189"/>
      <c r="E1069" s="190"/>
      <c r="G1069" s="70"/>
      <c r="H1069" s="70"/>
      <c r="J1069" s="70"/>
      <c r="L1069" s="71"/>
      <c r="N1069" s="70"/>
    </row>
    <row r="1070" spans="1:14" ht="15" customHeight="1" x14ac:dyDescent="0.2">
      <c r="A1070" s="292"/>
      <c r="C1070" s="189"/>
      <c r="E1070" s="190"/>
      <c r="G1070" s="70"/>
      <c r="H1070" s="70"/>
      <c r="J1070" s="70"/>
      <c r="L1070" s="71"/>
      <c r="N1070" s="70"/>
    </row>
    <row r="1071" spans="1:14" ht="15" customHeight="1" x14ac:dyDescent="0.2">
      <c r="A1071" s="292"/>
      <c r="C1071" s="189"/>
      <c r="E1071" s="190"/>
      <c r="G1071" s="70"/>
      <c r="H1071" s="70"/>
      <c r="J1071" s="70"/>
      <c r="L1071" s="71"/>
      <c r="N1071" s="70"/>
    </row>
    <row r="1072" spans="1:14" ht="15" customHeight="1" x14ac:dyDescent="0.2">
      <c r="A1072" s="292"/>
      <c r="C1072" s="189"/>
      <c r="E1072" s="190"/>
      <c r="G1072" s="70"/>
      <c r="H1072" s="70"/>
      <c r="J1072" s="70"/>
      <c r="L1072" s="71"/>
      <c r="N1072" s="70"/>
    </row>
    <row r="1073" spans="1:14" ht="15" customHeight="1" x14ac:dyDescent="0.2">
      <c r="A1073" s="292"/>
      <c r="C1073" s="189"/>
      <c r="E1073" s="190"/>
      <c r="G1073" s="70"/>
      <c r="H1073" s="70"/>
      <c r="J1073" s="70"/>
      <c r="L1073" s="71"/>
      <c r="N1073" s="70"/>
    </row>
    <row r="1074" spans="1:14" ht="15" customHeight="1" x14ac:dyDescent="0.2">
      <c r="A1074" s="292"/>
      <c r="C1074" s="189"/>
      <c r="E1074" s="190"/>
      <c r="G1074" s="70"/>
      <c r="H1074" s="70"/>
      <c r="J1074" s="70"/>
      <c r="L1074" s="71"/>
      <c r="N1074" s="70"/>
    </row>
    <row r="1075" spans="1:14" ht="15" customHeight="1" x14ac:dyDescent="0.2">
      <c r="A1075" s="292"/>
      <c r="C1075" s="189"/>
      <c r="E1075" s="190"/>
      <c r="G1075" s="70"/>
      <c r="H1075" s="70"/>
      <c r="J1075" s="70"/>
      <c r="L1075" s="71"/>
      <c r="N1075" s="70"/>
    </row>
    <row r="1076" spans="1:14" ht="15" customHeight="1" x14ac:dyDescent="0.2">
      <c r="A1076" s="292"/>
      <c r="C1076" s="189"/>
      <c r="E1076" s="190"/>
      <c r="G1076" s="70"/>
      <c r="H1076" s="70"/>
      <c r="J1076" s="70"/>
      <c r="L1076" s="71"/>
      <c r="N1076" s="70"/>
    </row>
    <row r="1077" spans="1:14" ht="15" customHeight="1" x14ac:dyDescent="0.2">
      <c r="A1077" s="292"/>
      <c r="C1077" s="189"/>
      <c r="E1077" s="190"/>
      <c r="G1077" s="70"/>
      <c r="H1077" s="70"/>
      <c r="J1077" s="70"/>
      <c r="L1077" s="71"/>
      <c r="N1077" s="70"/>
    </row>
    <row r="1078" spans="1:14" ht="15" customHeight="1" x14ac:dyDescent="0.2">
      <c r="A1078" s="292"/>
      <c r="C1078" s="189"/>
      <c r="E1078" s="190"/>
      <c r="G1078" s="70"/>
      <c r="H1078" s="70"/>
      <c r="J1078" s="70"/>
      <c r="L1078" s="71"/>
      <c r="N1078" s="70"/>
    </row>
    <row r="1079" spans="1:14" ht="15" customHeight="1" x14ac:dyDescent="0.2">
      <c r="A1079" s="292"/>
      <c r="C1079" s="189"/>
      <c r="E1079" s="190"/>
      <c r="G1079" s="70"/>
      <c r="H1079" s="70"/>
      <c r="J1079" s="70"/>
      <c r="L1079" s="71"/>
      <c r="N1079" s="70"/>
    </row>
    <row r="1080" spans="1:14" ht="15" customHeight="1" x14ac:dyDescent="0.2">
      <c r="A1080" s="292"/>
      <c r="C1080" s="189"/>
      <c r="E1080" s="190"/>
      <c r="G1080" s="70"/>
      <c r="H1080" s="70"/>
      <c r="J1080" s="70"/>
      <c r="L1080" s="71"/>
      <c r="N1080" s="70"/>
    </row>
    <row r="1081" spans="1:14" ht="15" customHeight="1" x14ac:dyDescent="0.2">
      <c r="A1081" s="292"/>
      <c r="C1081" s="189"/>
      <c r="E1081" s="190"/>
      <c r="G1081" s="70"/>
      <c r="H1081" s="70"/>
      <c r="J1081" s="70"/>
      <c r="L1081" s="71"/>
      <c r="N1081" s="70"/>
    </row>
    <row r="1082" spans="1:14" ht="15" customHeight="1" x14ac:dyDescent="0.2">
      <c r="A1082" s="292"/>
      <c r="C1082" s="189"/>
      <c r="E1082" s="190"/>
      <c r="G1082" s="70"/>
      <c r="H1082" s="70"/>
      <c r="J1082" s="70"/>
      <c r="L1082" s="71"/>
      <c r="N1082" s="70"/>
    </row>
    <row r="1083" spans="1:14" ht="15" customHeight="1" x14ac:dyDescent="0.2">
      <c r="A1083" s="292"/>
      <c r="C1083" s="189"/>
      <c r="E1083" s="190"/>
      <c r="G1083" s="70"/>
      <c r="H1083" s="70"/>
      <c r="J1083" s="70"/>
      <c r="L1083" s="71"/>
      <c r="N1083" s="70"/>
    </row>
    <row r="1084" spans="1:14" ht="15" customHeight="1" x14ac:dyDescent="0.2">
      <c r="A1084" s="292"/>
      <c r="C1084" s="189"/>
      <c r="E1084" s="190"/>
      <c r="G1084" s="70"/>
      <c r="H1084" s="70"/>
      <c r="J1084" s="70"/>
      <c r="L1084" s="71"/>
      <c r="N1084" s="70"/>
    </row>
    <row r="1085" spans="1:14" ht="15" customHeight="1" x14ac:dyDescent="0.2">
      <c r="A1085" s="292"/>
      <c r="C1085" s="189"/>
      <c r="E1085" s="190"/>
      <c r="G1085" s="70"/>
      <c r="H1085" s="70"/>
      <c r="J1085" s="70"/>
      <c r="L1085" s="71"/>
      <c r="N1085" s="70"/>
    </row>
    <row r="1086" spans="1:14" ht="15" customHeight="1" x14ac:dyDescent="0.2">
      <c r="A1086" s="292"/>
      <c r="C1086" s="189"/>
      <c r="E1086" s="190"/>
      <c r="G1086" s="70"/>
      <c r="H1086" s="70"/>
      <c r="J1086" s="70"/>
      <c r="L1086" s="71"/>
      <c r="N1086" s="70"/>
    </row>
    <row r="1087" spans="1:14" ht="15" customHeight="1" x14ac:dyDescent="0.2">
      <c r="A1087" s="292"/>
      <c r="C1087" s="189"/>
      <c r="E1087" s="190"/>
      <c r="G1087" s="70"/>
      <c r="H1087" s="70"/>
      <c r="J1087" s="70"/>
      <c r="L1087" s="71"/>
      <c r="N1087" s="70"/>
    </row>
    <row r="1088" spans="1:14" ht="15" customHeight="1" x14ac:dyDescent="0.2">
      <c r="A1088" s="292"/>
      <c r="C1088" s="189"/>
      <c r="E1088" s="190"/>
      <c r="G1088" s="70"/>
      <c r="H1088" s="70"/>
      <c r="J1088" s="70"/>
      <c r="L1088" s="71"/>
      <c r="N1088" s="70"/>
    </row>
    <row r="1089" spans="1:14" ht="15" customHeight="1" x14ac:dyDescent="0.2">
      <c r="A1089" s="292"/>
      <c r="C1089" s="189"/>
      <c r="E1089" s="190"/>
      <c r="G1089" s="70"/>
      <c r="H1089" s="70"/>
      <c r="J1089" s="70"/>
      <c r="L1089" s="71"/>
      <c r="N1089" s="70"/>
    </row>
    <row r="1090" spans="1:14" ht="15" customHeight="1" x14ac:dyDescent="0.2">
      <c r="A1090" s="292"/>
      <c r="C1090" s="189"/>
      <c r="E1090" s="190"/>
      <c r="G1090" s="70"/>
      <c r="H1090" s="70"/>
      <c r="J1090" s="70"/>
      <c r="L1090" s="71"/>
      <c r="N1090" s="70"/>
    </row>
    <row r="1091" spans="1:14" ht="15" customHeight="1" x14ac:dyDescent="0.2">
      <c r="A1091" s="292"/>
      <c r="C1091" s="189"/>
      <c r="E1091" s="190"/>
      <c r="G1091" s="70"/>
      <c r="H1091" s="70"/>
      <c r="J1091" s="70"/>
      <c r="L1091" s="71"/>
      <c r="N1091" s="70"/>
    </row>
    <row r="1092" spans="1:14" ht="15" customHeight="1" x14ac:dyDescent="0.2">
      <c r="A1092" s="292"/>
      <c r="C1092" s="189"/>
      <c r="E1092" s="190"/>
      <c r="G1092" s="70"/>
      <c r="H1092" s="70"/>
      <c r="J1092" s="70"/>
      <c r="L1092" s="71"/>
      <c r="N1092" s="70"/>
    </row>
    <row r="1093" spans="1:14" ht="15" customHeight="1" x14ac:dyDescent="0.2">
      <c r="A1093" s="292"/>
      <c r="C1093" s="189"/>
      <c r="E1093" s="190"/>
      <c r="G1093" s="70"/>
      <c r="H1093" s="70"/>
      <c r="J1093" s="70"/>
      <c r="L1093" s="71"/>
      <c r="N1093" s="70"/>
    </row>
    <row r="1094" spans="1:14" ht="15" customHeight="1" x14ac:dyDescent="0.2">
      <c r="A1094" s="292"/>
      <c r="C1094" s="189"/>
      <c r="E1094" s="190"/>
      <c r="G1094" s="70"/>
      <c r="H1094" s="70"/>
      <c r="J1094" s="70"/>
      <c r="L1094" s="71"/>
      <c r="N1094" s="70"/>
    </row>
    <row r="1095" spans="1:14" ht="15" customHeight="1" x14ac:dyDescent="0.2">
      <c r="A1095" s="292"/>
      <c r="C1095" s="189"/>
      <c r="E1095" s="190"/>
      <c r="G1095" s="70"/>
      <c r="H1095" s="70"/>
      <c r="J1095" s="70"/>
      <c r="L1095" s="71"/>
      <c r="N1095" s="70"/>
    </row>
    <row r="1096" spans="1:14" ht="15" customHeight="1" x14ac:dyDescent="0.2">
      <c r="A1096" s="292"/>
      <c r="C1096" s="189"/>
      <c r="E1096" s="190"/>
      <c r="G1096" s="70"/>
      <c r="H1096" s="70"/>
      <c r="J1096" s="70"/>
      <c r="L1096" s="71"/>
      <c r="N1096" s="70"/>
    </row>
    <row r="1097" spans="1:14" ht="15" customHeight="1" x14ac:dyDescent="0.2">
      <c r="A1097" s="292"/>
      <c r="C1097" s="189"/>
      <c r="E1097" s="190"/>
      <c r="G1097" s="70"/>
      <c r="H1097" s="70"/>
      <c r="J1097" s="70"/>
      <c r="L1097" s="71"/>
      <c r="N1097" s="70"/>
    </row>
    <row r="1098" spans="1:14" ht="15" customHeight="1" x14ac:dyDescent="0.2">
      <c r="A1098" s="292"/>
      <c r="C1098" s="189"/>
      <c r="E1098" s="190"/>
      <c r="G1098" s="70"/>
      <c r="H1098" s="70"/>
      <c r="J1098" s="70"/>
      <c r="L1098" s="71"/>
      <c r="N1098" s="70"/>
    </row>
    <row r="1099" spans="1:14" ht="15" customHeight="1" x14ac:dyDescent="0.2">
      <c r="A1099" s="292"/>
      <c r="C1099" s="189"/>
      <c r="E1099" s="190"/>
      <c r="G1099" s="70"/>
      <c r="H1099" s="70"/>
      <c r="J1099" s="70"/>
      <c r="L1099" s="71"/>
      <c r="N1099" s="70"/>
    </row>
    <row r="1100" spans="1:14" ht="15" customHeight="1" x14ac:dyDescent="0.2">
      <c r="A1100" s="292"/>
      <c r="C1100" s="189"/>
      <c r="E1100" s="190"/>
      <c r="G1100" s="70"/>
      <c r="H1100" s="70"/>
      <c r="J1100" s="70"/>
      <c r="L1100" s="71"/>
      <c r="N1100" s="70"/>
    </row>
    <row r="1101" spans="1:14" ht="15" customHeight="1" x14ac:dyDescent="0.2">
      <c r="A1101" s="292"/>
      <c r="C1101" s="189"/>
      <c r="E1101" s="190"/>
      <c r="G1101" s="70"/>
      <c r="H1101" s="70"/>
      <c r="J1101" s="70"/>
      <c r="L1101" s="71"/>
      <c r="N1101" s="70"/>
    </row>
    <row r="1102" spans="1:14" ht="15" customHeight="1" x14ac:dyDescent="0.2">
      <c r="A1102" s="292"/>
      <c r="C1102" s="189"/>
      <c r="E1102" s="190"/>
      <c r="G1102" s="70"/>
      <c r="H1102" s="70"/>
      <c r="J1102" s="70"/>
      <c r="L1102" s="71"/>
      <c r="N1102" s="70"/>
    </row>
    <row r="1103" spans="1:14" ht="15" customHeight="1" x14ac:dyDescent="0.2">
      <c r="A1103" s="292"/>
      <c r="C1103" s="189"/>
      <c r="E1103" s="190"/>
      <c r="G1103" s="70"/>
      <c r="H1103" s="70"/>
      <c r="J1103" s="70"/>
      <c r="L1103" s="71"/>
      <c r="N1103" s="70"/>
    </row>
    <row r="1104" spans="1:14" ht="15" customHeight="1" x14ac:dyDescent="0.2">
      <c r="A1104" s="292"/>
      <c r="C1104" s="189"/>
      <c r="E1104" s="190"/>
      <c r="G1104" s="70"/>
      <c r="H1104" s="70"/>
      <c r="J1104" s="70"/>
      <c r="L1104" s="71"/>
      <c r="N1104" s="70"/>
    </row>
    <row r="1105" spans="1:14" ht="15" customHeight="1" x14ac:dyDescent="0.2">
      <c r="A1105" s="292"/>
      <c r="C1105" s="189"/>
      <c r="E1105" s="190"/>
      <c r="G1105" s="70"/>
      <c r="H1105" s="70"/>
      <c r="J1105" s="70"/>
      <c r="L1105" s="71"/>
      <c r="N1105" s="70"/>
    </row>
    <row r="1106" spans="1:14" ht="15" customHeight="1" x14ac:dyDescent="0.2">
      <c r="A1106" s="292"/>
      <c r="C1106" s="189"/>
      <c r="E1106" s="190"/>
      <c r="G1106" s="70"/>
      <c r="H1106" s="70"/>
      <c r="J1106" s="70"/>
      <c r="L1106" s="71"/>
      <c r="N1106" s="70"/>
    </row>
    <row r="1107" spans="1:14" ht="15" customHeight="1" x14ac:dyDescent="0.2">
      <c r="A1107" s="292"/>
      <c r="C1107" s="189"/>
      <c r="E1107" s="190"/>
      <c r="G1107" s="70"/>
      <c r="H1107" s="70"/>
      <c r="J1107" s="70"/>
      <c r="L1107" s="71"/>
      <c r="N1107" s="70"/>
    </row>
    <row r="1108" spans="1:14" ht="15" customHeight="1" x14ac:dyDescent="0.2">
      <c r="A1108" s="292"/>
      <c r="C1108" s="189"/>
      <c r="E1108" s="190"/>
      <c r="G1108" s="70"/>
      <c r="H1108" s="70"/>
      <c r="J1108" s="70"/>
      <c r="L1108" s="71"/>
      <c r="N1108" s="70"/>
    </row>
    <row r="1109" spans="1:14" ht="15" customHeight="1" x14ac:dyDescent="0.2">
      <c r="A1109" s="292"/>
      <c r="C1109" s="189"/>
      <c r="E1109" s="190"/>
      <c r="G1109" s="70"/>
      <c r="H1109" s="70"/>
      <c r="J1109" s="70"/>
      <c r="L1109" s="71"/>
      <c r="N1109" s="70"/>
    </row>
    <row r="1110" spans="1:14" ht="15" customHeight="1" x14ac:dyDescent="0.2">
      <c r="A1110" s="292"/>
      <c r="C1110" s="189"/>
      <c r="E1110" s="190"/>
      <c r="G1110" s="70"/>
      <c r="H1110" s="70"/>
      <c r="J1110" s="70"/>
      <c r="L1110" s="71"/>
      <c r="N1110" s="70"/>
    </row>
    <row r="1111" spans="1:14" ht="15" customHeight="1" x14ac:dyDescent="0.2">
      <c r="A1111" s="292"/>
      <c r="C1111" s="189"/>
      <c r="E1111" s="190"/>
      <c r="G1111" s="70"/>
      <c r="H1111" s="70"/>
      <c r="J1111" s="70"/>
      <c r="L1111" s="71"/>
      <c r="N1111" s="70"/>
    </row>
    <row r="1112" spans="1:14" ht="15" customHeight="1" x14ac:dyDescent="0.2">
      <c r="A1112" s="292"/>
      <c r="C1112" s="189"/>
      <c r="E1112" s="190"/>
      <c r="G1112" s="70"/>
      <c r="H1112" s="70"/>
      <c r="J1112" s="70"/>
      <c r="L1112" s="71"/>
      <c r="N1112" s="70"/>
    </row>
    <row r="1113" spans="1:14" ht="15" customHeight="1" x14ac:dyDescent="0.2">
      <c r="A1113" s="292"/>
      <c r="C1113" s="189"/>
      <c r="E1113" s="190"/>
      <c r="G1113" s="70"/>
      <c r="H1113" s="70"/>
      <c r="J1113" s="70"/>
      <c r="L1113" s="71"/>
      <c r="N1113" s="70"/>
    </row>
    <row r="1114" spans="1:14" ht="15" customHeight="1" x14ac:dyDescent="0.2">
      <c r="A1114" s="292"/>
      <c r="C1114" s="189"/>
      <c r="E1114" s="190"/>
      <c r="G1114" s="70"/>
      <c r="H1114" s="70"/>
      <c r="J1114" s="70"/>
      <c r="L1114" s="71"/>
      <c r="N1114" s="70"/>
    </row>
    <row r="1115" spans="1:14" ht="15" customHeight="1" x14ac:dyDescent="0.2">
      <c r="A1115" s="292"/>
      <c r="C1115" s="189"/>
      <c r="E1115" s="190"/>
      <c r="G1115" s="70"/>
      <c r="H1115" s="70"/>
      <c r="J1115" s="70"/>
      <c r="L1115" s="71"/>
      <c r="N1115" s="70"/>
    </row>
    <row r="1116" spans="1:14" ht="15" customHeight="1" x14ac:dyDescent="0.2">
      <c r="A1116" s="292"/>
      <c r="C1116" s="189"/>
      <c r="E1116" s="190"/>
      <c r="G1116" s="70"/>
      <c r="H1116" s="70"/>
      <c r="J1116" s="70"/>
      <c r="L1116" s="71"/>
      <c r="N1116" s="70"/>
    </row>
    <row r="1117" spans="1:14" ht="15" customHeight="1" x14ac:dyDescent="0.2">
      <c r="A1117" s="292"/>
      <c r="C1117" s="189"/>
      <c r="E1117" s="190"/>
      <c r="G1117" s="70"/>
      <c r="H1117" s="70"/>
      <c r="J1117" s="70"/>
      <c r="L1117" s="71"/>
      <c r="N1117" s="70"/>
    </row>
    <row r="1118" spans="1:14" ht="15" customHeight="1" x14ac:dyDescent="0.2">
      <c r="A1118" s="292"/>
      <c r="C1118" s="189"/>
      <c r="E1118" s="190"/>
      <c r="G1118" s="70"/>
      <c r="H1118" s="70"/>
      <c r="J1118" s="70"/>
      <c r="L1118" s="71"/>
      <c r="N1118" s="70"/>
    </row>
    <row r="1119" spans="1:14" ht="15" customHeight="1" x14ac:dyDescent="0.2">
      <c r="A1119" s="292"/>
      <c r="C1119" s="189"/>
      <c r="E1119" s="190"/>
      <c r="G1119" s="70"/>
      <c r="H1119" s="70"/>
      <c r="J1119" s="70"/>
      <c r="L1119" s="71"/>
      <c r="N1119" s="70"/>
    </row>
    <row r="1120" spans="1:14" ht="15" customHeight="1" x14ac:dyDescent="0.2">
      <c r="A1120" s="292"/>
      <c r="C1120" s="189"/>
      <c r="E1120" s="190"/>
      <c r="G1120" s="70"/>
      <c r="H1120" s="70"/>
      <c r="J1120" s="70"/>
      <c r="L1120" s="71"/>
      <c r="N1120" s="70"/>
    </row>
    <row r="1121" spans="1:14" ht="15" customHeight="1" x14ac:dyDescent="0.2">
      <c r="A1121" s="292"/>
      <c r="C1121" s="189"/>
      <c r="E1121" s="190"/>
      <c r="G1121" s="70"/>
      <c r="H1121" s="70"/>
      <c r="J1121" s="70"/>
      <c r="L1121" s="71"/>
      <c r="N1121" s="70"/>
    </row>
    <row r="1122" spans="1:14" ht="15" customHeight="1" x14ac:dyDescent="0.2">
      <c r="A1122" s="292"/>
      <c r="C1122" s="189"/>
      <c r="E1122" s="190"/>
      <c r="G1122" s="70"/>
      <c r="H1122" s="70"/>
      <c r="J1122" s="70"/>
      <c r="L1122" s="71"/>
      <c r="N1122" s="70"/>
    </row>
    <row r="1123" spans="1:14" ht="15" customHeight="1" x14ac:dyDescent="0.2">
      <c r="A1123" s="292"/>
      <c r="C1123" s="189"/>
      <c r="E1123" s="190"/>
      <c r="G1123" s="70"/>
      <c r="H1123" s="70"/>
      <c r="J1123" s="70"/>
      <c r="L1123" s="71"/>
      <c r="N1123" s="70"/>
    </row>
    <row r="1124" spans="1:14" ht="15" customHeight="1" x14ac:dyDescent="0.2">
      <c r="A1124" s="292"/>
      <c r="C1124" s="189"/>
      <c r="E1124" s="190"/>
      <c r="G1124" s="70"/>
      <c r="H1124" s="70"/>
      <c r="J1124" s="70"/>
      <c r="L1124" s="71"/>
      <c r="N1124" s="70"/>
    </row>
    <row r="1125" spans="1:14" ht="15" customHeight="1" x14ac:dyDescent="0.2">
      <c r="A1125" s="292"/>
      <c r="C1125" s="189"/>
      <c r="E1125" s="190"/>
      <c r="G1125" s="70"/>
      <c r="H1125" s="70"/>
      <c r="J1125" s="70"/>
      <c r="L1125" s="71"/>
      <c r="N1125" s="70"/>
    </row>
    <row r="1126" spans="1:14" ht="15" customHeight="1" x14ac:dyDescent="0.2">
      <c r="A1126" s="292"/>
      <c r="C1126" s="189"/>
      <c r="E1126" s="190"/>
      <c r="G1126" s="70"/>
      <c r="H1126" s="70"/>
      <c r="J1126" s="70"/>
      <c r="L1126" s="71"/>
      <c r="N1126" s="70"/>
    </row>
    <row r="1127" spans="1:14" ht="15" customHeight="1" x14ac:dyDescent="0.2">
      <c r="A1127" s="292"/>
      <c r="C1127" s="189"/>
      <c r="E1127" s="190"/>
      <c r="G1127" s="70"/>
      <c r="H1127" s="70"/>
      <c r="J1127" s="70"/>
      <c r="L1127" s="71"/>
      <c r="N1127" s="70"/>
    </row>
    <row r="1128" spans="1:14" ht="15" customHeight="1" x14ac:dyDescent="0.2">
      <c r="A1128" s="292"/>
      <c r="C1128" s="189"/>
      <c r="E1128" s="190"/>
      <c r="G1128" s="70"/>
      <c r="H1128" s="70"/>
      <c r="J1128" s="70"/>
      <c r="L1128" s="71"/>
      <c r="N1128" s="70"/>
    </row>
    <row r="1129" spans="1:14" ht="15" customHeight="1" x14ac:dyDescent="0.2">
      <c r="A1129" s="292"/>
      <c r="C1129" s="189"/>
      <c r="E1129" s="190"/>
      <c r="G1129" s="70"/>
      <c r="H1129" s="70"/>
      <c r="J1129" s="70"/>
      <c r="L1129" s="71"/>
      <c r="N1129" s="70"/>
    </row>
    <row r="1130" spans="1:14" ht="15" customHeight="1" x14ac:dyDescent="0.2">
      <c r="A1130" s="292"/>
      <c r="C1130" s="189"/>
      <c r="E1130" s="190"/>
      <c r="G1130" s="70"/>
      <c r="H1130" s="70"/>
      <c r="J1130" s="70"/>
      <c r="L1130" s="71"/>
      <c r="N1130" s="70"/>
    </row>
    <row r="1131" spans="1:14" ht="15" customHeight="1" x14ac:dyDescent="0.2">
      <c r="A1131" s="292"/>
      <c r="C1131" s="189"/>
      <c r="E1131" s="190"/>
      <c r="G1131" s="70"/>
      <c r="H1131" s="70"/>
      <c r="J1131" s="70"/>
      <c r="L1131" s="71"/>
      <c r="N1131" s="70"/>
    </row>
    <row r="1132" spans="1:14" ht="15" customHeight="1" x14ac:dyDescent="0.2">
      <c r="A1132" s="292"/>
      <c r="C1132" s="189"/>
      <c r="E1132" s="190"/>
      <c r="G1132" s="70"/>
      <c r="H1132" s="70"/>
      <c r="J1132" s="70"/>
      <c r="L1132" s="71"/>
      <c r="N1132" s="70"/>
    </row>
    <row r="1133" spans="1:14" ht="15" customHeight="1" x14ac:dyDescent="0.2">
      <c r="A1133" s="292"/>
      <c r="C1133" s="189"/>
      <c r="E1133" s="190"/>
      <c r="G1133" s="70"/>
      <c r="H1133" s="70"/>
      <c r="J1133" s="70"/>
      <c r="L1133" s="71"/>
      <c r="N1133" s="70"/>
    </row>
    <row r="1134" spans="1:14" ht="15" customHeight="1" x14ac:dyDescent="0.2">
      <c r="A1134" s="292"/>
      <c r="C1134" s="189"/>
      <c r="E1134" s="190"/>
      <c r="G1134" s="70"/>
      <c r="H1134" s="70"/>
      <c r="J1134" s="70"/>
      <c r="L1134" s="71"/>
      <c r="N1134" s="70"/>
    </row>
    <row r="1135" spans="1:14" ht="15" customHeight="1" x14ac:dyDescent="0.2">
      <c r="A1135" s="292"/>
      <c r="C1135" s="189"/>
      <c r="E1135" s="190"/>
      <c r="G1135" s="70"/>
      <c r="H1135" s="70"/>
      <c r="J1135" s="70"/>
      <c r="L1135" s="71"/>
      <c r="N1135" s="70"/>
    </row>
    <row r="1136" spans="1:14" ht="15" customHeight="1" x14ac:dyDescent="0.2">
      <c r="A1136" s="292"/>
      <c r="C1136" s="189"/>
      <c r="E1136" s="190"/>
      <c r="G1136" s="70"/>
      <c r="H1136" s="70"/>
      <c r="J1136" s="70"/>
      <c r="L1136" s="71"/>
      <c r="N1136" s="70"/>
    </row>
    <row r="1137" spans="1:14" ht="15" customHeight="1" x14ac:dyDescent="0.2">
      <c r="A1137" s="292"/>
      <c r="C1137" s="189"/>
      <c r="E1137" s="190"/>
      <c r="G1137" s="70"/>
      <c r="H1137" s="70"/>
      <c r="J1137" s="70"/>
      <c r="L1137" s="71"/>
      <c r="N1137" s="70"/>
    </row>
    <row r="1138" spans="1:14" ht="15" customHeight="1" x14ac:dyDescent="0.2">
      <c r="A1138" s="292"/>
      <c r="C1138" s="189"/>
      <c r="E1138" s="190"/>
      <c r="G1138" s="70"/>
      <c r="H1138" s="70"/>
      <c r="J1138" s="70"/>
      <c r="L1138" s="71"/>
      <c r="N1138" s="70"/>
    </row>
    <row r="1139" spans="1:14" ht="15" customHeight="1" x14ac:dyDescent="0.2">
      <c r="A1139" s="292"/>
      <c r="C1139" s="189"/>
      <c r="E1139" s="190"/>
      <c r="G1139" s="70"/>
      <c r="H1139" s="70"/>
      <c r="J1139" s="70"/>
      <c r="L1139" s="71"/>
      <c r="N1139" s="70"/>
    </row>
    <row r="1140" spans="1:14" ht="15" customHeight="1" x14ac:dyDescent="0.2">
      <c r="A1140" s="292"/>
      <c r="C1140" s="189"/>
      <c r="E1140" s="190"/>
      <c r="G1140" s="70"/>
      <c r="H1140" s="70"/>
      <c r="J1140" s="70"/>
      <c r="L1140" s="71"/>
      <c r="N1140" s="70"/>
    </row>
    <row r="1141" spans="1:14" ht="15" customHeight="1" x14ac:dyDescent="0.2">
      <c r="A1141" s="292"/>
      <c r="C1141" s="189"/>
      <c r="E1141" s="190"/>
      <c r="G1141" s="70"/>
      <c r="H1141" s="70"/>
      <c r="J1141" s="70"/>
      <c r="L1141" s="71"/>
      <c r="N1141" s="70"/>
    </row>
    <row r="1142" spans="1:14" ht="15" customHeight="1" x14ac:dyDescent="0.2">
      <c r="A1142" s="292"/>
      <c r="C1142" s="189"/>
      <c r="E1142" s="190"/>
      <c r="G1142" s="70"/>
      <c r="H1142" s="70"/>
      <c r="J1142" s="70"/>
      <c r="L1142" s="71"/>
      <c r="N1142" s="70"/>
    </row>
    <row r="1143" spans="1:14" ht="15" customHeight="1" x14ac:dyDescent="0.2">
      <c r="A1143" s="292"/>
      <c r="C1143" s="189"/>
      <c r="E1143" s="190"/>
      <c r="G1143" s="70"/>
      <c r="H1143" s="70"/>
      <c r="J1143" s="70"/>
      <c r="L1143" s="71"/>
      <c r="N1143" s="70"/>
    </row>
    <row r="1144" spans="1:14" ht="15" customHeight="1" x14ac:dyDescent="0.2">
      <c r="A1144" s="292"/>
      <c r="C1144" s="189"/>
      <c r="E1144" s="190"/>
      <c r="G1144" s="70"/>
      <c r="H1144" s="70"/>
      <c r="J1144" s="70"/>
      <c r="L1144" s="71"/>
      <c r="N1144" s="70"/>
    </row>
    <row r="1145" spans="1:14" ht="15" customHeight="1" x14ac:dyDescent="0.2">
      <c r="A1145" s="292"/>
      <c r="C1145" s="189"/>
      <c r="E1145" s="190"/>
      <c r="G1145" s="70"/>
      <c r="H1145" s="70"/>
      <c r="J1145" s="70"/>
      <c r="L1145" s="71"/>
      <c r="N1145" s="70"/>
    </row>
    <row r="1146" spans="1:14" ht="15" customHeight="1" x14ac:dyDescent="0.2">
      <c r="A1146" s="292"/>
      <c r="C1146" s="189"/>
      <c r="E1146" s="190"/>
      <c r="G1146" s="70"/>
      <c r="H1146" s="70"/>
      <c r="J1146" s="70"/>
      <c r="L1146" s="71"/>
      <c r="N1146" s="70"/>
    </row>
    <row r="1147" spans="1:14" ht="15" customHeight="1" x14ac:dyDescent="0.2">
      <c r="A1147" s="292"/>
      <c r="C1147" s="189"/>
      <c r="E1147" s="190"/>
      <c r="G1147" s="70"/>
      <c r="H1147" s="70"/>
      <c r="J1147" s="70"/>
      <c r="L1147" s="71"/>
      <c r="N1147" s="70"/>
    </row>
    <row r="1148" spans="1:14" ht="15" customHeight="1" x14ac:dyDescent="0.2">
      <c r="A1148" s="292"/>
      <c r="C1148" s="189"/>
      <c r="E1148" s="190"/>
      <c r="G1148" s="70"/>
      <c r="H1148" s="70"/>
      <c r="J1148" s="70"/>
      <c r="L1148" s="71"/>
      <c r="N1148" s="70"/>
    </row>
    <row r="1149" spans="1:14" ht="15" customHeight="1" x14ac:dyDescent="0.2">
      <c r="A1149" s="292"/>
      <c r="C1149" s="189"/>
      <c r="E1149" s="190"/>
      <c r="G1149" s="70"/>
      <c r="H1149" s="70"/>
      <c r="J1149" s="70"/>
      <c r="L1149" s="71"/>
      <c r="N1149" s="70"/>
    </row>
    <row r="1150" spans="1:14" ht="15" customHeight="1" x14ac:dyDescent="0.2">
      <c r="A1150" s="292"/>
      <c r="C1150" s="189"/>
      <c r="E1150" s="190"/>
      <c r="G1150" s="70"/>
      <c r="H1150" s="70"/>
      <c r="J1150" s="70"/>
      <c r="L1150" s="71"/>
      <c r="N1150" s="70"/>
    </row>
    <row r="1151" spans="1:14" ht="15" customHeight="1" x14ac:dyDescent="0.2">
      <c r="A1151" s="292"/>
      <c r="C1151" s="189"/>
      <c r="E1151" s="190"/>
      <c r="G1151" s="70"/>
      <c r="H1151" s="70"/>
      <c r="J1151" s="70"/>
      <c r="L1151" s="71"/>
      <c r="N1151" s="70"/>
    </row>
    <row r="1152" spans="1:14" ht="15" customHeight="1" x14ac:dyDescent="0.2">
      <c r="A1152" s="292"/>
      <c r="C1152" s="189"/>
      <c r="E1152" s="190"/>
      <c r="G1152" s="70"/>
      <c r="H1152" s="70"/>
      <c r="J1152" s="70"/>
      <c r="L1152" s="71"/>
      <c r="N1152" s="70"/>
    </row>
    <row r="1153" spans="1:14" ht="15" customHeight="1" x14ac:dyDescent="0.2">
      <c r="A1153" s="292"/>
      <c r="C1153" s="189"/>
      <c r="E1153" s="190"/>
      <c r="G1153" s="70"/>
      <c r="H1153" s="70"/>
      <c r="J1153" s="70"/>
      <c r="L1153" s="71"/>
      <c r="N1153" s="70"/>
    </row>
    <row r="1154" spans="1:14" ht="15" customHeight="1" x14ac:dyDescent="0.2">
      <c r="A1154" s="292"/>
      <c r="C1154" s="189"/>
      <c r="E1154" s="190"/>
      <c r="G1154" s="70"/>
      <c r="H1154" s="70"/>
      <c r="J1154" s="70"/>
      <c r="L1154" s="71"/>
      <c r="N1154" s="70"/>
    </row>
    <row r="1155" spans="1:14" ht="15" customHeight="1" x14ac:dyDescent="0.2">
      <c r="A1155" s="292"/>
      <c r="C1155" s="189"/>
      <c r="E1155" s="190"/>
      <c r="G1155" s="70"/>
      <c r="H1155" s="70"/>
      <c r="J1155" s="70"/>
      <c r="L1155" s="71"/>
      <c r="N1155" s="70"/>
    </row>
    <row r="1156" spans="1:14" ht="15" customHeight="1" x14ac:dyDescent="0.2">
      <c r="A1156" s="292"/>
      <c r="C1156" s="189"/>
      <c r="E1156" s="190"/>
      <c r="G1156" s="70"/>
      <c r="H1156" s="70"/>
      <c r="J1156" s="70"/>
      <c r="L1156" s="71"/>
      <c r="N1156" s="70"/>
    </row>
    <row r="1157" spans="1:14" ht="15" customHeight="1" x14ac:dyDescent="0.2">
      <c r="A1157" s="292"/>
      <c r="C1157" s="189"/>
      <c r="E1157" s="190"/>
      <c r="G1157" s="70"/>
      <c r="H1157" s="70"/>
      <c r="J1157" s="70"/>
      <c r="L1157" s="71"/>
      <c r="N1157" s="70"/>
    </row>
    <row r="1158" spans="1:14" ht="15" customHeight="1" x14ac:dyDescent="0.2">
      <c r="A1158" s="292"/>
      <c r="C1158" s="189"/>
      <c r="E1158" s="190"/>
      <c r="G1158" s="70"/>
      <c r="H1158" s="70"/>
      <c r="J1158" s="70"/>
      <c r="L1158" s="71"/>
      <c r="N1158" s="70"/>
    </row>
    <row r="1159" spans="1:14" ht="15" customHeight="1" x14ac:dyDescent="0.2">
      <c r="A1159" s="292"/>
      <c r="C1159" s="189"/>
      <c r="E1159" s="190"/>
      <c r="G1159" s="70"/>
      <c r="H1159" s="70"/>
      <c r="J1159" s="70"/>
      <c r="L1159" s="71"/>
      <c r="N1159" s="70"/>
    </row>
    <row r="1160" spans="1:14" ht="15" customHeight="1" x14ac:dyDescent="0.2">
      <c r="A1160" s="292"/>
      <c r="C1160" s="189"/>
      <c r="E1160" s="190"/>
      <c r="G1160" s="70"/>
      <c r="H1160" s="70"/>
      <c r="J1160" s="70"/>
      <c r="L1160" s="71"/>
      <c r="N1160" s="70"/>
    </row>
    <row r="1161" spans="1:14" ht="15" customHeight="1" x14ac:dyDescent="0.2">
      <c r="A1161" s="292"/>
      <c r="C1161" s="189"/>
      <c r="E1161" s="190"/>
      <c r="G1161" s="70"/>
      <c r="H1161" s="70"/>
      <c r="J1161" s="70"/>
      <c r="L1161" s="71"/>
      <c r="N1161" s="70"/>
    </row>
    <row r="1162" spans="1:14" ht="15" customHeight="1" x14ac:dyDescent="0.2">
      <c r="A1162" s="292"/>
      <c r="C1162" s="189"/>
      <c r="E1162" s="190"/>
      <c r="G1162" s="70"/>
      <c r="H1162" s="70"/>
      <c r="J1162" s="70"/>
      <c r="L1162" s="71"/>
      <c r="N1162" s="70"/>
    </row>
    <row r="1163" spans="1:14" ht="15" customHeight="1" x14ac:dyDescent="0.2">
      <c r="A1163" s="292"/>
      <c r="C1163" s="189"/>
      <c r="E1163" s="190"/>
      <c r="G1163" s="70"/>
      <c r="H1163" s="70"/>
      <c r="J1163" s="70"/>
      <c r="L1163" s="71"/>
      <c r="N1163" s="70"/>
    </row>
    <row r="1164" spans="1:14" ht="15" customHeight="1" x14ac:dyDescent="0.2">
      <c r="A1164" s="292"/>
      <c r="C1164" s="189"/>
      <c r="E1164" s="190"/>
      <c r="G1164" s="70"/>
      <c r="H1164" s="70"/>
      <c r="J1164" s="70"/>
      <c r="L1164" s="71"/>
      <c r="N1164" s="70"/>
    </row>
    <row r="1165" spans="1:14" ht="15" customHeight="1" x14ac:dyDescent="0.2">
      <c r="A1165" s="292"/>
      <c r="C1165" s="189"/>
      <c r="E1165" s="190"/>
      <c r="G1165" s="70"/>
      <c r="H1165" s="70"/>
      <c r="J1165" s="70"/>
      <c r="L1165" s="71"/>
      <c r="N1165" s="70"/>
    </row>
    <row r="1166" spans="1:14" ht="15" customHeight="1" x14ac:dyDescent="0.2">
      <c r="A1166" s="292"/>
      <c r="C1166" s="189"/>
      <c r="E1166" s="190"/>
      <c r="G1166" s="70"/>
      <c r="H1166" s="70"/>
      <c r="J1166" s="70"/>
      <c r="L1166" s="71"/>
      <c r="N1166" s="70"/>
    </row>
    <row r="1167" spans="1:14" ht="15" customHeight="1" x14ac:dyDescent="0.2">
      <c r="A1167" s="292"/>
      <c r="C1167" s="189"/>
      <c r="E1167" s="190"/>
      <c r="G1167" s="70"/>
      <c r="H1167" s="70"/>
      <c r="J1167" s="70"/>
      <c r="L1167" s="71"/>
      <c r="N1167" s="70"/>
    </row>
    <row r="1168" spans="1:14" ht="15" customHeight="1" x14ac:dyDescent="0.2">
      <c r="A1168" s="292"/>
      <c r="C1168" s="189"/>
      <c r="E1168" s="190"/>
      <c r="G1168" s="70"/>
      <c r="H1168" s="70"/>
      <c r="J1168" s="70"/>
      <c r="L1168" s="71"/>
      <c r="N1168" s="70"/>
    </row>
    <row r="1169" spans="1:14" ht="15" customHeight="1" x14ac:dyDescent="0.2">
      <c r="A1169" s="292"/>
      <c r="C1169" s="189"/>
      <c r="E1169" s="190"/>
      <c r="G1169" s="70"/>
      <c r="H1169" s="70"/>
      <c r="J1169" s="70"/>
      <c r="L1169" s="71"/>
      <c r="N1169" s="70"/>
    </row>
    <row r="1170" spans="1:14" ht="15" customHeight="1" x14ac:dyDescent="0.2">
      <c r="A1170" s="292"/>
      <c r="C1170" s="189"/>
      <c r="E1170" s="190"/>
      <c r="G1170" s="70"/>
      <c r="H1170" s="70"/>
      <c r="J1170" s="70"/>
      <c r="L1170" s="71"/>
      <c r="N1170" s="70"/>
    </row>
    <row r="1171" spans="1:14" ht="15" customHeight="1" x14ac:dyDescent="0.2">
      <c r="A1171" s="292"/>
      <c r="C1171" s="189"/>
      <c r="E1171" s="190"/>
      <c r="G1171" s="70"/>
      <c r="H1171" s="70"/>
      <c r="J1171" s="70"/>
      <c r="L1171" s="71"/>
      <c r="N1171" s="70"/>
    </row>
    <row r="1172" spans="1:14" ht="15" customHeight="1" x14ac:dyDescent="0.2">
      <c r="A1172" s="292"/>
      <c r="C1172" s="189"/>
      <c r="E1172" s="190"/>
      <c r="G1172" s="70"/>
      <c r="H1172" s="70"/>
      <c r="J1172" s="70"/>
      <c r="L1172" s="71"/>
      <c r="N1172" s="70"/>
    </row>
    <row r="1173" spans="1:14" ht="15" customHeight="1" x14ac:dyDescent="0.2">
      <c r="A1173" s="292"/>
      <c r="C1173" s="189"/>
      <c r="E1173" s="190"/>
      <c r="G1173" s="70"/>
      <c r="H1173" s="70"/>
      <c r="J1173" s="70"/>
      <c r="L1173" s="71"/>
      <c r="N1173" s="70"/>
    </row>
    <row r="1174" spans="1:14" ht="15" customHeight="1" x14ac:dyDescent="0.2">
      <c r="A1174" s="292"/>
      <c r="C1174" s="189"/>
      <c r="E1174" s="190"/>
      <c r="G1174" s="70"/>
      <c r="H1174" s="70"/>
      <c r="J1174" s="70"/>
      <c r="L1174" s="71"/>
      <c r="N1174" s="70"/>
    </row>
    <row r="1175" spans="1:14" ht="15" customHeight="1" x14ac:dyDescent="0.2">
      <c r="A1175" s="292"/>
      <c r="C1175" s="189"/>
      <c r="E1175" s="190"/>
      <c r="G1175" s="70"/>
      <c r="H1175" s="70"/>
      <c r="J1175" s="70"/>
      <c r="L1175" s="71"/>
      <c r="N1175" s="70"/>
    </row>
    <row r="1176" spans="1:14" ht="15" customHeight="1" x14ac:dyDescent="0.2">
      <c r="A1176" s="292"/>
      <c r="C1176" s="189"/>
      <c r="E1176" s="190"/>
      <c r="G1176" s="70"/>
      <c r="H1176" s="70"/>
      <c r="J1176" s="70"/>
      <c r="L1176" s="71"/>
      <c r="N1176" s="70"/>
    </row>
    <row r="1177" spans="1:14" ht="15" customHeight="1" x14ac:dyDescent="0.2">
      <c r="A1177" s="292"/>
      <c r="C1177" s="189"/>
      <c r="E1177" s="190"/>
      <c r="G1177" s="70"/>
      <c r="H1177" s="70"/>
      <c r="J1177" s="70"/>
      <c r="L1177" s="71"/>
      <c r="N1177" s="70"/>
    </row>
    <row r="1178" spans="1:14" ht="15" customHeight="1" x14ac:dyDescent="0.2">
      <c r="A1178" s="292"/>
      <c r="C1178" s="189"/>
      <c r="E1178" s="190"/>
      <c r="G1178" s="70"/>
      <c r="H1178" s="70"/>
      <c r="J1178" s="70"/>
      <c r="L1178" s="71"/>
      <c r="N1178" s="70"/>
    </row>
    <row r="1179" spans="1:14" ht="15" customHeight="1" x14ac:dyDescent="0.2">
      <c r="A1179" s="292"/>
      <c r="C1179" s="189"/>
      <c r="E1179" s="190"/>
      <c r="G1179" s="70"/>
      <c r="H1179" s="70"/>
      <c r="J1179" s="70"/>
      <c r="L1179" s="71"/>
      <c r="N1179" s="70"/>
    </row>
    <row r="1180" spans="1:14" ht="15" customHeight="1" x14ac:dyDescent="0.2">
      <c r="A1180" s="292"/>
      <c r="C1180" s="189"/>
      <c r="E1180" s="190"/>
      <c r="G1180" s="70"/>
      <c r="H1180" s="70"/>
      <c r="J1180" s="70"/>
      <c r="L1180" s="71"/>
      <c r="N1180" s="70"/>
    </row>
    <row r="1181" spans="1:14" ht="15" customHeight="1" x14ac:dyDescent="0.2">
      <c r="A1181" s="292"/>
      <c r="C1181" s="189"/>
      <c r="E1181" s="190"/>
      <c r="G1181" s="70"/>
      <c r="H1181" s="70"/>
      <c r="J1181" s="70"/>
      <c r="L1181" s="71"/>
      <c r="N1181" s="70"/>
    </row>
    <row r="1182" spans="1:14" ht="15" customHeight="1" x14ac:dyDescent="0.2">
      <c r="A1182" s="292"/>
      <c r="C1182" s="189"/>
      <c r="E1182" s="190"/>
      <c r="G1182" s="70"/>
      <c r="H1182" s="70"/>
      <c r="J1182" s="70"/>
      <c r="L1182" s="71"/>
      <c r="N1182" s="70"/>
    </row>
    <row r="1183" spans="1:14" ht="15" customHeight="1" x14ac:dyDescent="0.2">
      <c r="A1183" s="292"/>
      <c r="C1183" s="189"/>
      <c r="E1183" s="190"/>
      <c r="G1183" s="70"/>
      <c r="H1183" s="70"/>
      <c r="J1183" s="70"/>
      <c r="L1183" s="71"/>
      <c r="N1183" s="70"/>
    </row>
    <row r="1184" spans="1:14" ht="15" customHeight="1" x14ac:dyDescent="0.2">
      <c r="A1184" s="292"/>
      <c r="C1184" s="189"/>
      <c r="E1184" s="190"/>
      <c r="G1184" s="70"/>
      <c r="H1184" s="70"/>
      <c r="J1184" s="70"/>
      <c r="L1184" s="71"/>
      <c r="N1184" s="70"/>
    </row>
    <row r="1185" spans="1:14" ht="15" customHeight="1" x14ac:dyDescent="0.2">
      <c r="A1185" s="292"/>
      <c r="C1185" s="189"/>
      <c r="E1185" s="190"/>
      <c r="G1185" s="70"/>
      <c r="H1185" s="70"/>
      <c r="J1185" s="70"/>
      <c r="L1185" s="71"/>
      <c r="N1185" s="70"/>
    </row>
    <row r="1186" spans="1:14" ht="15" customHeight="1" x14ac:dyDescent="0.2">
      <c r="A1186" s="292"/>
      <c r="C1186" s="189"/>
      <c r="E1186" s="190"/>
      <c r="G1186" s="70"/>
      <c r="H1186" s="70"/>
      <c r="J1186" s="70"/>
      <c r="L1186" s="71"/>
      <c r="N1186" s="70"/>
    </row>
    <row r="1187" spans="1:14" ht="15" customHeight="1" x14ac:dyDescent="0.2">
      <c r="A1187" s="292"/>
      <c r="C1187" s="189"/>
      <c r="E1187" s="190"/>
      <c r="G1187" s="70"/>
      <c r="H1187" s="70"/>
      <c r="J1187" s="70"/>
      <c r="L1187" s="71"/>
      <c r="N1187" s="70"/>
    </row>
    <row r="1188" spans="1:14" ht="15" customHeight="1" x14ac:dyDescent="0.2">
      <c r="A1188" s="292"/>
      <c r="C1188" s="189"/>
      <c r="E1188" s="190"/>
      <c r="G1188" s="70"/>
      <c r="H1188" s="70"/>
      <c r="J1188" s="70"/>
      <c r="L1188" s="71"/>
      <c r="N1188" s="70"/>
    </row>
    <row r="1189" spans="1:14" ht="15" customHeight="1" x14ac:dyDescent="0.2">
      <c r="A1189" s="292"/>
      <c r="C1189" s="189"/>
      <c r="E1189" s="190"/>
      <c r="G1189" s="70"/>
      <c r="H1189" s="70"/>
      <c r="J1189" s="70"/>
      <c r="L1189" s="71"/>
      <c r="N1189" s="70"/>
    </row>
    <row r="1190" spans="1:14" ht="15" customHeight="1" x14ac:dyDescent="0.2">
      <c r="A1190" s="292"/>
      <c r="C1190" s="189"/>
      <c r="E1190" s="190"/>
      <c r="G1190" s="70"/>
      <c r="H1190" s="70"/>
      <c r="J1190" s="70"/>
      <c r="L1190" s="71"/>
      <c r="N1190" s="70"/>
    </row>
    <row r="1191" spans="1:14" ht="15" customHeight="1" x14ac:dyDescent="0.2">
      <c r="A1191" s="292"/>
      <c r="C1191" s="189"/>
      <c r="E1191" s="190"/>
      <c r="G1191" s="70"/>
      <c r="H1191" s="70"/>
      <c r="J1191" s="70"/>
      <c r="L1191" s="71"/>
      <c r="N1191" s="70"/>
    </row>
    <row r="1192" spans="1:14" ht="15" customHeight="1" x14ac:dyDescent="0.2">
      <c r="A1192" s="292"/>
      <c r="C1192" s="189"/>
      <c r="E1192" s="190"/>
      <c r="G1192" s="70"/>
      <c r="H1192" s="70"/>
      <c r="J1192" s="70"/>
      <c r="L1192" s="71"/>
      <c r="N1192" s="70"/>
    </row>
    <row r="1193" spans="1:14" ht="15" customHeight="1" x14ac:dyDescent="0.2">
      <c r="A1193" s="292"/>
      <c r="C1193" s="189"/>
      <c r="E1193" s="190"/>
      <c r="G1193" s="70"/>
      <c r="H1193" s="70"/>
      <c r="J1193" s="70"/>
      <c r="L1193" s="71"/>
      <c r="N1193" s="70"/>
    </row>
    <row r="1194" spans="1:14" ht="15" customHeight="1" x14ac:dyDescent="0.2">
      <c r="A1194" s="292"/>
      <c r="C1194" s="189"/>
      <c r="E1194" s="190"/>
      <c r="G1194" s="70"/>
      <c r="H1194" s="70"/>
      <c r="J1194" s="70"/>
      <c r="L1194" s="71"/>
      <c r="N1194" s="70"/>
    </row>
    <row r="1195" spans="1:14" ht="15" customHeight="1" x14ac:dyDescent="0.2">
      <c r="A1195" s="292"/>
      <c r="C1195" s="189"/>
      <c r="E1195" s="190"/>
      <c r="G1195" s="70"/>
      <c r="H1195" s="70"/>
      <c r="J1195" s="70"/>
      <c r="L1195" s="71"/>
      <c r="N1195" s="70"/>
    </row>
    <row r="1196" spans="1:14" ht="15" customHeight="1" x14ac:dyDescent="0.2">
      <c r="A1196" s="292"/>
      <c r="C1196" s="189"/>
      <c r="E1196" s="190"/>
      <c r="G1196" s="70"/>
      <c r="H1196" s="70"/>
      <c r="J1196" s="70"/>
      <c r="L1196" s="71"/>
      <c r="N1196" s="70"/>
    </row>
    <row r="1197" spans="1:14" ht="15" customHeight="1" x14ac:dyDescent="0.2">
      <c r="A1197" s="292"/>
      <c r="C1197" s="189"/>
      <c r="E1197" s="190"/>
      <c r="G1197" s="70"/>
      <c r="H1197" s="70"/>
      <c r="J1197" s="70"/>
      <c r="L1197" s="71"/>
      <c r="N1197" s="70"/>
    </row>
    <row r="1198" spans="1:14" ht="15" customHeight="1" x14ac:dyDescent="0.2">
      <c r="A1198" s="292"/>
      <c r="C1198" s="189"/>
      <c r="E1198" s="190"/>
      <c r="G1198" s="70"/>
      <c r="H1198" s="70"/>
      <c r="J1198" s="70"/>
      <c r="L1198" s="71"/>
      <c r="N1198" s="70"/>
    </row>
    <row r="1199" spans="1:14" ht="15" customHeight="1" x14ac:dyDescent="0.2">
      <c r="A1199" s="292"/>
      <c r="C1199" s="189"/>
      <c r="E1199" s="190"/>
      <c r="G1199" s="70"/>
      <c r="H1199" s="70"/>
      <c r="J1199" s="70"/>
      <c r="L1199" s="71"/>
      <c r="N1199" s="70"/>
    </row>
    <row r="1200" spans="1:14" ht="15" customHeight="1" x14ac:dyDescent="0.2">
      <c r="A1200" s="292"/>
      <c r="C1200" s="189"/>
      <c r="E1200" s="190"/>
      <c r="G1200" s="70"/>
      <c r="H1200" s="70"/>
      <c r="J1200" s="70"/>
      <c r="L1200" s="71"/>
      <c r="N1200" s="70"/>
    </row>
    <row r="1201" spans="1:14" ht="15" customHeight="1" x14ac:dyDescent="0.2">
      <c r="A1201" s="292"/>
      <c r="C1201" s="189"/>
      <c r="E1201" s="190"/>
      <c r="G1201" s="70"/>
      <c r="H1201" s="70"/>
      <c r="J1201" s="70"/>
      <c r="L1201" s="71"/>
      <c r="N1201" s="70"/>
    </row>
    <row r="1202" spans="1:14" ht="15" customHeight="1" x14ac:dyDescent="0.2">
      <c r="A1202" s="292"/>
      <c r="C1202" s="189"/>
      <c r="E1202" s="190"/>
      <c r="G1202" s="70"/>
      <c r="H1202" s="70"/>
      <c r="J1202" s="70"/>
      <c r="L1202" s="71"/>
      <c r="N1202" s="70"/>
    </row>
    <row r="1203" spans="1:14" ht="15" customHeight="1" x14ac:dyDescent="0.2">
      <c r="A1203" s="292"/>
      <c r="C1203" s="189"/>
      <c r="E1203" s="190"/>
      <c r="G1203" s="70"/>
      <c r="H1203" s="70"/>
      <c r="J1203" s="70"/>
      <c r="L1203" s="71"/>
      <c r="N1203" s="70"/>
    </row>
    <row r="1204" spans="1:14" ht="15" customHeight="1" x14ac:dyDescent="0.2">
      <c r="A1204" s="292"/>
      <c r="C1204" s="189"/>
      <c r="E1204" s="190"/>
      <c r="G1204" s="70"/>
      <c r="H1204" s="70"/>
      <c r="J1204" s="70"/>
      <c r="L1204" s="71"/>
      <c r="N1204" s="70"/>
    </row>
    <row r="1205" spans="1:14" ht="15" customHeight="1" x14ac:dyDescent="0.2">
      <c r="A1205" s="292"/>
      <c r="C1205" s="189"/>
      <c r="E1205" s="190"/>
      <c r="G1205" s="70"/>
      <c r="H1205" s="70"/>
      <c r="J1205" s="70"/>
      <c r="L1205" s="71"/>
      <c r="N1205" s="70"/>
    </row>
    <row r="1206" spans="1:14" ht="15" customHeight="1" x14ac:dyDescent="0.2">
      <c r="A1206" s="292"/>
      <c r="C1206" s="189"/>
      <c r="E1206" s="190"/>
      <c r="G1206" s="70"/>
      <c r="H1206" s="70"/>
      <c r="J1206" s="70"/>
      <c r="L1206" s="71"/>
      <c r="N1206" s="70"/>
    </row>
    <row r="1207" spans="1:14" ht="15" customHeight="1" x14ac:dyDescent="0.2">
      <c r="A1207" s="292"/>
      <c r="C1207" s="189"/>
      <c r="E1207" s="190"/>
      <c r="G1207" s="70"/>
      <c r="H1207" s="70"/>
      <c r="J1207" s="70"/>
      <c r="L1207" s="71"/>
      <c r="N1207" s="70"/>
    </row>
    <row r="1208" spans="1:14" ht="15" customHeight="1" x14ac:dyDescent="0.2">
      <c r="A1208" s="292"/>
      <c r="C1208" s="189"/>
      <c r="E1208" s="190"/>
      <c r="G1208" s="70"/>
      <c r="H1208" s="70"/>
      <c r="J1208" s="70"/>
      <c r="L1208" s="71"/>
      <c r="N1208" s="70"/>
    </row>
    <row r="1209" spans="1:14" ht="15" customHeight="1" x14ac:dyDescent="0.2">
      <c r="A1209" s="292"/>
      <c r="C1209" s="189"/>
      <c r="E1209" s="190"/>
      <c r="G1209" s="70"/>
      <c r="H1209" s="70"/>
      <c r="J1209" s="70"/>
      <c r="L1209" s="71"/>
      <c r="N1209" s="70"/>
    </row>
    <row r="1210" spans="1:14" ht="15" customHeight="1" x14ac:dyDescent="0.2">
      <c r="A1210" s="292"/>
      <c r="C1210" s="189"/>
      <c r="E1210" s="190"/>
      <c r="G1210" s="70"/>
      <c r="H1210" s="70"/>
      <c r="J1210" s="70"/>
      <c r="L1210" s="71"/>
      <c r="N1210" s="70"/>
    </row>
    <row r="1211" spans="1:14" ht="15" customHeight="1" x14ac:dyDescent="0.2">
      <c r="A1211" s="292"/>
      <c r="C1211" s="189"/>
      <c r="E1211" s="190"/>
      <c r="G1211" s="70"/>
      <c r="H1211" s="70"/>
      <c r="J1211" s="70"/>
      <c r="L1211" s="71"/>
      <c r="N1211" s="70"/>
    </row>
    <row r="1212" spans="1:14" ht="15" customHeight="1" x14ac:dyDescent="0.2">
      <c r="A1212" s="292"/>
      <c r="C1212" s="189"/>
      <c r="E1212" s="190"/>
      <c r="G1212" s="70"/>
      <c r="H1212" s="70"/>
      <c r="J1212" s="70"/>
      <c r="L1212" s="71"/>
      <c r="N1212" s="70"/>
    </row>
    <row r="1213" spans="1:14" ht="15" customHeight="1" x14ac:dyDescent="0.2">
      <c r="A1213" s="292"/>
      <c r="C1213" s="189"/>
      <c r="E1213" s="190"/>
      <c r="G1213" s="70"/>
      <c r="H1213" s="70"/>
      <c r="J1213" s="70"/>
      <c r="L1213" s="71"/>
      <c r="N1213" s="70"/>
    </row>
    <row r="1214" spans="1:14" ht="15" customHeight="1" x14ac:dyDescent="0.2">
      <c r="A1214" s="292"/>
      <c r="C1214" s="189"/>
      <c r="E1214" s="190"/>
      <c r="G1214" s="70"/>
      <c r="H1214" s="70"/>
      <c r="J1214" s="70"/>
      <c r="L1214" s="71"/>
      <c r="N1214" s="70"/>
    </row>
    <row r="1215" spans="1:14" ht="15" customHeight="1" x14ac:dyDescent="0.2">
      <c r="A1215" s="292"/>
      <c r="C1215" s="189"/>
      <c r="E1215" s="190"/>
      <c r="G1215" s="70"/>
      <c r="H1215" s="70"/>
      <c r="J1215" s="70"/>
      <c r="L1215" s="71"/>
      <c r="N1215" s="70"/>
    </row>
    <row r="1216" spans="1:14" ht="15" customHeight="1" x14ac:dyDescent="0.2">
      <c r="A1216" s="292"/>
      <c r="C1216" s="189"/>
      <c r="E1216" s="190"/>
      <c r="G1216" s="70"/>
      <c r="H1216" s="70"/>
      <c r="J1216" s="70"/>
      <c r="L1216" s="71"/>
      <c r="N1216" s="70"/>
    </row>
    <row r="1217" spans="1:14" ht="15" customHeight="1" x14ac:dyDescent="0.2">
      <c r="A1217" s="292"/>
      <c r="C1217" s="189"/>
      <c r="E1217" s="190"/>
      <c r="G1217" s="70"/>
      <c r="H1217" s="70"/>
      <c r="J1217" s="70"/>
      <c r="L1217" s="71"/>
      <c r="N1217" s="70"/>
    </row>
    <row r="1218" spans="1:14" ht="15" customHeight="1" x14ac:dyDescent="0.2">
      <c r="A1218" s="292"/>
      <c r="C1218" s="189"/>
      <c r="E1218" s="190"/>
      <c r="G1218" s="70"/>
      <c r="H1218" s="70"/>
      <c r="J1218" s="70"/>
      <c r="L1218" s="71"/>
      <c r="N1218" s="70"/>
    </row>
    <row r="1219" spans="1:14" ht="15" customHeight="1" x14ac:dyDescent="0.2">
      <c r="A1219" s="292"/>
      <c r="C1219" s="189"/>
      <c r="E1219" s="190"/>
      <c r="G1219" s="70"/>
      <c r="H1219" s="70"/>
      <c r="J1219" s="70"/>
      <c r="L1219" s="71"/>
      <c r="N1219" s="70"/>
    </row>
    <row r="1220" spans="1:14" ht="15" customHeight="1" x14ac:dyDescent="0.2">
      <c r="A1220" s="292"/>
      <c r="C1220" s="189"/>
      <c r="E1220" s="190"/>
      <c r="G1220" s="70"/>
      <c r="H1220" s="70"/>
      <c r="J1220" s="70"/>
      <c r="L1220" s="71"/>
      <c r="N1220" s="70"/>
    </row>
    <row r="1221" spans="1:14" ht="15" customHeight="1" x14ac:dyDescent="0.2">
      <c r="A1221" s="292"/>
      <c r="C1221" s="189"/>
      <c r="E1221" s="190"/>
      <c r="G1221" s="70"/>
      <c r="H1221" s="70"/>
      <c r="J1221" s="70"/>
      <c r="L1221" s="71"/>
      <c r="N1221" s="70"/>
    </row>
    <row r="1222" spans="1:14" ht="15" customHeight="1" x14ac:dyDescent="0.2">
      <c r="A1222" s="292"/>
      <c r="C1222" s="189"/>
      <c r="E1222" s="190"/>
      <c r="G1222" s="70"/>
      <c r="H1222" s="70"/>
      <c r="J1222" s="70"/>
      <c r="L1222" s="71"/>
      <c r="N1222" s="70"/>
    </row>
    <row r="1223" spans="1:14" ht="15" customHeight="1" x14ac:dyDescent="0.2">
      <c r="A1223" s="292"/>
      <c r="C1223" s="189"/>
      <c r="E1223" s="190"/>
      <c r="G1223" s="70"/>
      <c r="H1223" s="70"/>
      <c r="J1223" s="70"/>
      <c r="L1223" s="71"/>
      <c r="N1223" s="70"/>
    </row>
    <row r="1224" spans="1:14" ht="15" customHeight="1" x14ac:dyDescent="0.2">
      <c r="A1224" s="292"/>
      <c r="C1224" s="189"/>
      <c r="E1224" s="190"/>
      <c r="G1224" s="70"/>
      <c r="H1224" s="70"/>
      <c r="J1224" s="70"/>
      <c r="L1224" s="71"/>
      <c r="N1224" s="70"/>
    </row>
    <row r="1225" spans="1:14" ht="15" customHeight="1" x14ac:dyDescent="0.2">
      <c r="A1225" s="292"/>
      <c r="C1225" s="189"/>
      <c r="E1225" s="190"/>
      <c r="G1225" s="70"/>
      <c r="H1225" s="70"/>
      <c r="J1225" s="70"/>
      <c r="L1225" s="71"/>
      <c r="N1225" s="70"/>
    </row>
    <row r="1226" spans="1:14" ht="15" customHeight="1" x14ac:dyDescent="0.2">
      <c r="A1226" s="292"/>
      <c r="C1226" s="189"/>
      <c r="E1226" s="190"/>
      <c r="G1226" s="70"/>
      <c r="H1226" s="70"/>
      <c r="J1226" s="70"/>
      <c r="L1226" s="71"/>
      <c r="N1226" s="70"/>
    </row>
    <row r="1227" spans="1:14" ht="15" customHeight="1" x14ac:dyDescent="0.2">
      <c r="A1227" s="292"/>
      <c r="C1227" s="189"/>
      <c r="E1227" s="190"/>
      <c r="G1227" s="70"/>
      <c r="H1227" s="70"/>
      <c r="J1227" s="70"/>
      <c r="L1227" s="71"/>
      <c r="N1227" s="70"/>
    </row>
    <row r="1228" spans="1:14" ht="15" customHeight="1" x14ac:dyDescent="0.2">
      <c r="A1228" s="292"/>
      <c r="C1228" s="189"/>
      <c r="E1228" s="190"/>
      <c r="G1228" s="70"/>
      <c r="H1228" s="70"/>
      <c r="J1228" s="70"/>
      <c r="L1228" s="71"/>
      <c r="N1228" s="70"/>
    </row>
    <row r="1229" spans="1:14" ht="15" customHeight="1" x14ac:dyDescent="0.2">
      <c r="A1229" s="292"/>
      <c r="C1229" s="189"/>
      <c r="E1229" s="190"/>
      <c r="G1229" s="70"/>
      <c r="H1229" s="70"/>
      <c r="J1229" s="70"/>
      <c r="L1229" s="71"/>
      <c r="N1229" s="70"/>
    </row>
    <row r="1230" spans="1:14" ht="15" customHeight="1" x14ac:dyDescent="0.2">
      <c r="A1230" s="292"/>
      <c r="C1230" s="189"/>
      <c r="E1230" s="190"/>
      <c r="G1230" s="70"/>
      <c r="H1230" s="70"/>
      <c r="J1230" s="70"/>
      <c r="L1230" s="71"/>
      <c r="N1230" s="70"/>
    </row>
    <row r="1231" spans="1:14" ht="15" customHeight="1" x14ac:dyDescent="0.2">
      <c r="A1231" s="292"/>
      <c r="C1231" s="189"/>
      <c r="E1231" s="190"/>
      <c r="G1231" s="70"/>
      <c r="H1231" s="70"/>
      <c r="J1231" s="70"/>
      <c r="L1231" s="71"/>
      <c r="N1231" s="70"/>
    </row>
    <row r="1232" spans="1:14" ht="15" customHeight="1" x14ac:dyDescent="0.2">
      <c r="A1232" s="292"/>
      <c r="C1232" s="189"/>
      <c r="E1232" s="190"/>
      <c r="G1232" s="70"/>
      <c r="H1232" s="70"/>
      <c r="J1232" s="70"/>
      <c r="L1232" s="71"/>
      <c r="N1232" s="70"/>
    </row>
    <row r="1233" spans="1:14" ht="15" customHeight="1" x14ac:dyDescent="0.2">
      <c r="A1233" s="292"/>
      <c r="C1233" s="189"/>
      <c r="E1233" s="190"/>
      <c r="G1233" s="70"/>
      <c r="H1233" s="70"/>
      <c r="J1233" s="70"/>
      <c r="L1233" s="71"/>
      <c r="N1233" s="70"/>
    </row>
    <row r="1234" spans="1:14" ht="15" customHeight="1" x14ac:dyDescent="0.2">
      <c r="A1234" s="292"/>
      <c r="C1234" s="189"/>
      <c r="E1234" s="190"/>
      <c r="G1234" s="70"/>
      <c r="H1234" s="70"/>
      <c r="J1234" s="70"/>
      <c r="L1234" s="71"/>
      <c r="N1234" s="70"/>
    </row>
    <row r="1235" spans="1:14" ht="15" customHeight="1" x14ac:dyDescent="0.2">
      <c r="A1235" s="292"/>
      <c r="C1235" s="189"/>
      <c r="E1235" s="190"/>
      <c r="G1235" s="70"/>
      <c r="H1235" s="70"/>
      <c r="J1235" s="70"/>
      <c r="L1235" s="71"/>
      <c r="N1235" s="70"/>
    </row>
    <row r="1236" spans="1:14" ht="15" customHeight="1" x14ac:dyDescent="0.2">
      <c r="A1236" s="292"/>
      <c r="C1236" s="189"/>
      <c r="E1236" s="190"/>
      <c r="G1236" s="70"/>
      <c r="H1236" s="70"/>
      <c r="J1236" s="70"/>
      <c r="L1236" s="71"/>
      <c r="N1236" s="70"/>
    </row>
    <row r="1237" spans="1:14" ht="15" customHeight="1" x14ac:dyDescent="0.2">
      <c r="A1237" s="292"/>
      <c r="C1237" s="189"/>
      <c r="E1237" s="190"/>
      <c r="G1237" s="70"/>
      <c r="H1237" s="70"/>
      <c r="J1237" s="70"/>
      <c r="L1237" s="71"/>
      <c r="N1237" s="70"/>
    </row>
    <row r="1238" spans="1:14" ht="15" customHeight="1" x14ac:dyDescent="0.2">
      <c r="A1238" s="292"/>
      <c r="C1238" s="189"/>
      <c r="E1238" s="190"/>
      <c r="G1238" s="70"/>
      <c r="H1238" s="70"/>
      <c r="J1238" s="70"/>
      <c r="L1238" s="71"/>
      <c r="N1238" s="70"/>
    </row>
    <row r="1239" spans="1:14" ht="15" customHeight="1" x14ac:dyDescent="0.2">
      <c r="A1239" s="292"/>
      <c r="C1239" s="189"/>
      <c r="E1239" s="190"/>
      <c r="G1239" s="70"/>
      <c r="H1239" s="70"/>
      <c r="J1239" s="70"/>
      <c r="L1239" s="71"/>
      <c r="N1239" s="70"/>
    </row>
    <row r="1240" spans="1:14" ht="15" customHeight="1" x14ac:dyDescent="0.2">
      <c r="A1240" s="292"/>
      <c r="C1240" s="189"/>
      <c r="E1240" s="190"/>
      <c r="G1240" s="70"/>
      <c r="H1240" s="70"/>
      <c r="J1240" s="70"/>
      <c r="L1240" s="71"/>
      <c r="N1240" s="70"/>
    </row>
    <row r="1241" spans="1:14" ht="15" customHeight="1" x14ac:dyDescent="0.2">
      <c r="A1241" s="292"/>
      <c r="C1241" s="189"/>
      <c r="E1241" s="190"/>
      <c r="G1241" s="70"/>
      <c r="H1241" s="70"/>
      <c r="J1241" s="70"/>
      <c r="L1241" s="71"/>
      <c r="N1241" s="70"/>
    </row>
    <row r="1242" spans="1:14" ht="15" customHeight="1" x14ac:dyDescent="0.2">
      <c r="A1242" s="292"/>
      <c r="C1242" s="189"/>
      <c r="E1242" s="190"/>
      <c r="G1242" s="70"/>
      <c r="H1242" s="70"/>
      <c r="J1242" s="70"/>
      <c r="L1242" s="71"/>
      <c r="N1242" s="70"/>
    </row>
    <row r="1243" spans="1:14" ht="15" customHeight="1" x14ac:dyDescent="0.2">
      <c r="A1243" s="292"/>
      <c r="C1243" s="189"/>
      <c r="E1243" s="190"/>
      <c r="G1243" s="70"/>
      <c r="H1243" s="70"/>
      <c r="J1243" s="70"/>
      <c r="L1243" s="71"/>
      <c r="N1243" s="70"/>
    </row>
    <row r="1244" spans="1:14" ht="15" customHeight="1" x14ac:dyDescent="0.2">
      <c r="A1244" s="292"/>
      <c r="C1244" s="189"/>
      <c r="E1244" s="190"/>
      <c r="G1244" s="70"/>
      <c r="H1244" s="70"/>
      <c r="J1244" s="70"/>
      <c r="L1244" s="71"/>
      <c r="N1244" s="70"/>
    </row>
    <row r="1245" spans="1:14" ht="15" customHeight="1" x14ac:dyDescent="0.2">
      <c r="A1245" s="292"/>
      <c r="C1245" s="189"/>
      <c r="E1245" s="190"/>
      <c r="G1245" s="70"/>
      <c r="H1245" s="70"/>
      <c r="J1245" s="70"/>
      <c r="L1245" s="71"/>
      <c r="N1245" s="70"/>
    </row>
    <row r="1246" spans="1:14" ht="15" customHeight="1" x14ac:dyDescent="0.2">
      <c r="A1246" s="292"/>
      <c r="C1246" s="189"/>
      <c r="E1246" s="190"/>
      <c r="G1246" s="70"/>
      <c r="H1246" s="70"/>
      <c r="J1246" s="70"/>
      <c r="L1246" s="71"/>
      <c r="N1246" s="70"/>
    </row>
    <row r="1247" spans="1:14" ht="15" customHeight="1" x14ac:dyDescent="0.2">
      <c r="A1247" s="292"/>
      <c r="C1247" s="189"/>
      <c r="E1247" s="190"/>
      <c r="G1247" s="70"/>
      <c r="H1247" s="70"/>
      <c r="J1247" s="70"/>
      <c r="L1247" s="71"/>
      <c r="N1247" s="70"/>
    </row>
    <row r="1248" spans="1:14" ht="15" customHeight="1" x14ac:dyDescent="0.2">
      <c r="A1248" s="292"/>
      <c r="C1248" s="189"/>
      <c r="E1248" s="190"/>
      <c r="G1248" s="70"/>
      <c r="H1248" s="70"/>
      <c r="J1248" s="70"/>
      <c r="L1248" s="71"/>
      <c r="N1248" s="70"/>
    </row>
    <row r="1249" spans="1:14" ht="15" customHeight="1" x14ac:dyDescent="0.2">
      <c r="A1249" s="292"/>
      <c r="C1249" s="189"/>
      <c r="E1249" s="190"/>
      <c r="G1249" s="70"/>
      <c r="H1249" s="70"/>
      <c r="J1249" s="70"/>
      <c r="L1249" s="71"/>
      <c r="N1249" s="70"/>
    </row>
    <row r="1250" spans="1:14" ht="15" customHeight="1" x14ac:dyDescent="0.2">
      <c r="A1250" s="292"/>
      <c r="C1250" s="189"/>
      <c r="E1250" s="190"/>
      <c r="G1250" s="70"/>
      <c r="H1250" s="70"/>
      <c r="J1250" s="70"/>
      <c r="L1250" s="71"/>
      <c r="N1250" s="70"/>
    </row>
    <row r="1251" spans="1:14" ht="15" customHeight="1" x14ac:dyDescent="0.2">
      <c r="A1251" s="292"/>
      <c r="C1251" s="189"/>
      <c r="E1251" s="190"/>
      <c r="G1251" s="70"/>
      <c r="H1251" s="70"/>
      <c r="J1251" s="70"/>
      <c r="L1251" s="71"/>
      <c r="N1251" s="70"/>
    </row>
    <row r="1252" spans="1:14" ht="15" customHeight="1" x14ac:dyDescent="0.2">
      <c r="A1252" s="292"/>
      <c r="C1252" s="189"/>
      <c r="E1252" s="190"/>
      <c r="G1252" s="70"/>
      <c r="H1252" s="70"/>
      <c r="J1252" s="70"/>
      <c r="L1252" s="71"/>
      <c r="N1252" s="70"/>
    </row>
    <row r="1253" spans="1:14" ht="15" customHeight="1" x14ac:dyDescent="0.2">
      <c r="A1253" s="292"/>
      <c r="C1253" s="189"/>
      <c r="E1253" s="190"/>
      <c r="G1253" s="70"/>
      <c r="H1253" s="70"/>
      <c r="J1253" s="70"/>
      <c r="L1253" s="71"/>
      <c r="N1253" s="70"/>
    </row>
    <row r="1254" spans="1:14" ht="15" customHeight="1" x14ac:dyDescent="0.2">
      <c r="A1254" s="292"/>
      <c r="C1254" s="189"/>
      <c r="E1254" s="190"/>
      <c r="G1254" s="70"/>
      <c r="H1254" s="70"/>
      <c r="J1254" s="70"/>
      <c r="L1254" s="71"/>
      <c r="N1254" s="70"/>
    </row>
    <row r="1255" spans="1:14" ht="15" customHeight="1" x14ac:dyDescent="0.2">
      <c r="A1255" s="292"/>
      <c r="C1255" s="189"/>
      <c r="E1255" s="190"/>
      <c r="G1255" s="70"/>
      <c r="H1255" s="70"/>
      <c r="J1255" s="70"/>
      <c r="L1255" s="71"/>
      <c r="N1255" s="70"/>
    </row>
    <row r="1256" spans="1:14" ht="15" customHeight="1" x14ac:dyDescent="0.2">
      <c r="A1256" s="292"/>
      <c r="C1256" s="189"/>
      <c r="E1256" s="190"/>
      <c r="G1256" s="70"/>
      <c r="H1256" s="70"/>
      <c r="J1256" s="70"/>
      <c r="L1256" s="71"/>
      <c r="N1256" s="70"/>
    </row>
    <row r="1257" spans="1:14" ht="15" customHeight="1" x14ac:dyDescent="0.2">
      <c r="A1257" s="292"/>
      <c r="C1257" s="189"/>
      <c r="E1257" s="190"/>
      <c r="G1257" s="70"/>
      <c r="H1257" s="70"/>
      <c r="J1257" s="70"/>
      <c r="L1257" s="71"/>
      <c r="N1257" s="70"/>
    </row>
    <row r="1258" spans="1:14" ht="15" customHeight="1" x14ac:dyDescent="0.2">
      <c r="A1258" s="292"/>
      <c r="C1258" s="189"/>
      <c r="E1258" s="190"/>
      <c r="G1258" s="70"/>
      <c r="H1258" s="70"/>
      <c r="J1258" s="70"/>
      <c r="L1258" s="71"/>
      <c r="N1258" s="70"/>
    </row>
    <row r="1259" spans="1:14" ht="15" customHeight="1" x14ac:dyDescent="0.2">
      <c r="A1259" s="292"/>
      <c r="C1259" s="189"/>
      <c r="E1259" s="190"/>
      <c r="G1259" s="70"/>
      <c r="H1259" s="70"/>
      <c r="J1259" s="70"/>
      <c r="L1259" s="71"/>
      <c r="N1259" s="70"/>
    </row>
    <row r="1260" spans="1:14" ht="15" customHeight="1" x14ac:dyDescent="0.2">
      <c r="A1260" s="292"/>
      <c r="C1260" s="189"/>
      <c r="E1260" s="190"/>
      <c r="G1260" s="70"/>
      <c r="H1260" s="70"/>
      <c r="J1260" s="70"/>
      <c r="L1260" s="71"/>
      <c r="N1260" s="70"/>
    </row>
    <row r="1261" spans="1:14" ht="15" customHeight="1" x14ac:dyDescent="0.2">
      <c r="A1261" s="292"/>
      <c r="C1261" s="189"/>
      <c r="E1261" s="190"/>
      <c r="G1261" s="70"/>
      <c r="H1261" s="70"/>
      <c r="J1261" s="70"/>
      <c r="L1261" s="71"/>
      <c r="N1261" s="70"/>
    </row>
    <row r="1262" spans="1:14" ht="15" customHeight="1" x14ac:dyDescent="0.2">
      <c r="A1262" s="292"/>
      <c r="C1262" s="189"/>
      <c r="E1262" s="190"/>
      <c r="G1262" s="70"/>
      <c r="H1262" s="70"/>
      <c r="J1262" s="70"/>
      <c r="L1262" s="71"/>
      <c r="N1262" s="70"/>
    </row>
    <row r="1263" spans="1:14" ht="15" customHeight="1" x14ac:dyDescent="0.2">
      <c r="A1263" s="292"/>
      <c r="C1263" s="189"/>
      <c r="E1263" s="190"/>
      <c r="G1263" s="70"/>
      <c r="H1263" s="70"/>
      <c r="J1263" s="70"/>
      <c r="L1263" s="71"/>
      <c r="N1263" s="70"/>
    </row>
    <row r="1264" spans="1:14" ht="15" customHeight="1" x14ac:dyDescent="0.2">
      <c r="A1264" s="292"/>
      <c r="C1264" s="189"/>
      <c r="E1264" s="190"/>
      <c r="G1264" s="70"/>
      <c r="H1264" s="70"/>
      <c r="J1264" s="70"/>
      <c r="L1264" s="71"/>
      <c r="N1264" s="70"/>
    </row>
    <row r="1265" spans="1:14" ht="15" customHeight="1" x14ac:dyDescent="0.2">
      <c r="A1265" s="292"/>
      <c r="C1265" s="189"/>
      <c r="E1265" s="190"/>
      <c r="G1265" s="70"/>
      <c r="H1265" s="70"/>
      <c r="J1265" s="70"/>
      <c r="L1265" s="71"/>
      <c r="N1265" s="70"/>
    </row>
    <row r="1266" spans="1:14" ht="15" customHeight="1" x14ac:dyDescent="0.2">
      <c r="A1266" s="292"/>
      <c r="C1266" s="189"/>
      <c r="E1266" s="190"/>
      <c r="G1266" s="70"/>
      <c r="H1266" s="70"/>
      <c r="J1266" s="70"/>
      <c r="L1266" s="71"/>
      <c r="N1266" s="70"/>
    </row>
    <row r="1267" spans="1:14" ht="15" customHeight="1" x14ac:dyDescent="0.2">
      <c r="A1267" s="292"/>
      <c r="C1267" s="189"/>
      <c r="E1267" s="190"/>
      <c r="G1267" s="70"/>
      <c r="H1267" s="70"/>
      <c r="J1267" s="70"/>
      <c r="L1267" s="71"/>
      <c r="N1267" s="70"/>
    </row>
    <row r="1268" spans="1:14" ht="15" customHeight="1" x14ac:dyDescent="0.2">
      <c r="A1268" s="292"/>
      <c r="C1268" s="189"/>
      <c r="E1268" s="190"/>
      <c r="G1268" s="70"/>
      <c r="H1268" s="70"/>
      <c r="J1268" s="70"/>
      <c r="L1268" s="71"/>
      <c r="N1268" s="70"/>
    </row>
    <row r="1269" spans="1:14" ht="15" customHeight="1" x14ac:dyDescent="0.2">
      <c r="A1269" s="292"/>
      <c r="C1269" s="189"/>
      <c r="E1269" s="190"/>
      <c r="G1269" s="70"/>
      <c r="H1269" s="70"/>
      <c r="J1269" s="70"/>
      <c r="L1269" s="71"/>
      <c r="N1269" s="70"/>
    </row>
    <row r="1270" spans="1:14" ht="15" customHeight="1" x14ac:dyDescent="0.2">
      <c r="A1270" s="292"/>
      <c r="C1270" s="189"/>
      <c r="E1270" s="190"/>
      <c r="G1270" s="70"/>
      <c r="H1270" s="70"/>
      <c r="J1270" s="70"/>
      <c r="L1270" s="71"/>
      <c r="N1270" s="70"/>
    </row>
    <row r="1271" spans="1:14" ht="15" customHeight="1" x14ac:dyDescent="0.2">
      <c r="A1271" s="292"/>
      <c r="C1271" s="189"/>
      <c r="E1271" s="190"/>
      <c r="G1271" s="70"/>
      <c r="H1271" s="70"/>
      <c r="J1271" s="70"/>
      <c r="L1271" s="71"/>
      <c r="N1271" s="70"/>
    </row>
    <row r="1272" spans="1:14" ht="15" customHeight="1" x14ac:dyDescent="0.2">
      <c r="A1272" s="292"/>
      <c r="C1272" s="189"/>
      <c r="E1272" s="190"/>
      <c r="G1272" s="70"/>
      <c r="H1272" s="70"/>
      <c r="J1272" s="70"/>
      <c r="L1272" s="71"/>
      <c r="N1272" s="70"/>
    </row>
    <row r="1273" spans="1:14" ht="15" customHeight="1" x14ac:dyDescent="0.2">
      <c r="A1273" s="292"/>
      <c r="C1273" s="189"/>
      <c r="E1273" s="190"/>
      <c r="G1273" s="70"/>
      <c r="H1273" s="70"/>
      <c r="J1273" s="70"/>
      <c r="L1273" s="71"/>
      <c r="N1273" s="70"/>
    </row>
    <row r="1274" spans="1:14" ht="15" customHeight="1" x14ac:dyDescent="0.2">
      <c r="A1274" s="292"/>
      <c r="C1274" s="189"/>
      <c r="E1274" s="190"/>
      <c r="G1274" s="70"/>
      <c r="H1274" s="70"/>
      <c r="J1274" s="70"/>
      <c r="L1274" s="71"/>
      <c r="N1274" s="70"/>
    </row>
    <row r="1275" spans="1:14" ht="15" customHeight="1" x14ac:dyDescent="0.2">
      <c r="A1275" s="292"/>
      <c r="C1275" s="189"/>
      <c r="E1275" s="190"/>
      <c r="G1275" s="70"/>
      <c r="H1275" s="70"/>
      <c r="J1275" s="70"/>
      <c r="L1275" s="71"/>
      <c r="N1275" s="70"/>
    </row>
    <row r="1276" spans="1:14" ht="15" customHeight="1" x14ac:dyDescent="0.2">
      <c r="A1276" s="292"/>
      <c r="C1276" s="189"/>
      <c r="E1276" s="190"/>
      <c r="G1276" s="70"/>
      <c r="H1276" s="70"/>
      <c r="J1276" s="70"/>
      <c r="L1276" s="71"/>
      <c r="N1276" s="70"/>
    </row>
    <row r="1277" spans="1:14" ht="15" customHeight="1" x14ac:dyDescent="0.2">
      <c r="A1277" s="292"/>
      <c r="C1277" s="189"/>
      <c r="E1277" s="190"/>
      <c r="G1277" s="70"/>
      <c r="H1277" s="70"/>
      <c r="J1277" s="70"/>
      <c r="L1277" s="71"/>
      <c r="N1277" s="70"/>
    </row>
    <row r="1278" spans="1:14" ht="15" customHeight="1" x14ac:dyDescent="0.2">
      <c r="A1278" s="292"/>
      <c r="C1278" s="189"/>
      <c r="E1278" s="190"/>
      <c r="G1278" s="70"/>
      <c r="H1278" s="70"/>
      <c r="J1278" s="70"/>
      <c r="L1278" s="71"/>
      <c r="N1278" s="70"/>
    </row>
    <row r="1279" spans="1:14" ht="15" customHeight="1" x14ac:dyDescent="0.2">
      <c r="A1279" s="292"/>
      <c r="C1279" s="189"/>
      <c r="E1279" s="190"/>
      <c r="G1279" s="70"/>
      <c r="H1279" s="70"/>
      <c r="J1279" s="70"/>
      <c r="L1279" s="71"/>
      <c r="N1279" s="70"/>
    </row>
    <row r="1280" spans="1:14" ht="15" customHeight="1" x14ac:dyDescent="0.2">
      <c r="A1280" s="292"/>
      <c r="C1280" s="189"/>
      <c r="E1280" s="190"/>
      <c r="G1280" s="70"/>
      <c r="H1280" s="70"/>
      <c r="J1280" s="70"/>
      <c r="L1280" s="71"/>
      <c r="N1280" s="70"/>
    </row>
    <row r="1281" spans="1:14" ht="15" customHeight="1" x14ac:dyDescent="0.2">
      <c r="A1281" s="292"/>
      <c r="C1281" s="189"/>
      <c r="E1281" s="190"/>
      <c r="G1281" s="70"/>
      <c r="H1281" s="70"/>
      <c r="J1281" s="70"/>
      <c r="L1281" s="71"/>
      <c r="N1281" s="70"/>
    </row>
    <row r="1282" spans="1:14" ht="15" customHeight="1" x14ac:dyDescent="0.2">
      <c r="A1282" s="292"/>
      <c r="C1282" s="189"/>
      <c r="E1282" s="190"/>
      <c r="G1282" s="70"/>
      <c r="H1282" s="70"/>
      <c r="J1282" s="70"/>
      <c r="L1282" s="71"/>
      <c r="N1282" s="70"/>
    </row>
    <row r="1283" spans="1:14" ht="15" customHeight="1" x14ac:dyDescent="0.2">
      <c r="A1283" s="292"/>
      <c r="C1283" s="189"/>
      <c r="E1283" s="190"/>
      <c r="G1283" s="70"/>
      <c r="H1283" s="70"/>
      <c r="J1283" s="70"/>
      <c r="L1283" s="71"/>
      <c r="N1283" s="70"/>
    </row>
    <row r="1284" spans="1:14" ht="15" customHeight="1" x14ac:dyDescent="0.2">
      <c r="A1284" s="292"/>
      <c r="C1284" s="189"/>
      <c r="E1284" s="190"/>
      <c r="G1284" s="70"/>
      <c r="H1284" s="70"/>
      <c r="J1284" s="70"/>
      <c r="L1284" s="71"/>
      <c r="N1284" s="70"/>
    </row>
    <row r="1285" spans="1:14" ht="15" customHeight="1" x14ac:dyDescent="0.2">
      <c r="A1285" s="292"/>
      <c r="C1285" s="189"/>
      <c r="E1285" s="190"/>
      <c r="G1285" s="70"/>
      <c r="H1285" s="70"/>
      <c r="J1285" s="70"/>
      <c r="L1285" s="71"/>
      <c r="N1285" s="70"/>
    </row>
    <row r="1286" spans="1:14" ht="15" customHeight="1" x14ac:dyDescent="0.2">
      <c r="A1286" s="292"/>
      <c r="C1286" s="189"/>
      <c r="E1286" s="190"/>
      <c r="G1286" s="70"/>
      <c r="H1286" s="70"/>
      <c r="J1286" s="70"/>
      <c r="L1286" s="71"/>
      <c r="N1286" s="70"/>
    </row>
    <row r="1287" spans="1:14" ht="15" customHeight="1" x14ac:dyDescent="0.2">
      <c r="A1287" s="292"/>
      <c r="C1287" s="189"/>
      <c r="E1287" s="190"/>
      <c r="G1287" s="70"/>
      <c r="H1287" s="70"/>
      <c r="J1287" s="70"/>
      <c r="L1287" s="71"/>
      <c r="N1287" s="70"/>
    </row>
    <row r="1288" spans="1:14" ht="15" customHeight="1" x14ac:dyDescent="0.2">
      <c r="A1288" s="292"/>
      <c r="C1288" s="189"/>
      <c r="E1288" s="190"/>
      <c r="G1288" s="70"/>
      <c r="H1288" s="70"/>
      <c r="J1288" s="70"/>
      <c r="L1288" s="71"/>
      <c r="N1288" s="70"/>
    </row>
    <row r="1289" spans="1:14" ht="15" customHeight="1" x14ac:dyDescent="0.2">
      <c r="A1289" s="292"/>
      <c r="C1289" s="189"/>
      <c r="E1289" s="190"/>
      <c r="G1289" s="70"/>
      <c r="H1289" s="70"/>
      <c r="J1289" s="70"/>
      <c r="L1289" s="71"/>
      <c r="N1289" s="70"/>
    </row>
    <row r="1290" spans="1:14" ht="15" customHeight="1" x14ac:dyDescent="0.2">
      <c r="A1290" s="292"/>
      <c r="C1290" s="189"/>
      <c r="E1290" s="190"/>
      <c r="G1290" s="70"/>
      <c r="H1290" s="70"/>
      <c r="J1290" s="70"/>
      <c r="L1290" s="71"/>
      <c r="N1290" s="70"/>
    </row>
    <row r="1291" spans="1:14" ht="15" customHeight="1" x14ac:dyDescent="0.2">
      <c r="A1291" s="292"/>
      <c r="C1291" s="189"/>
      <c r="E1291" s="190"/>
      <c r="G1291" s="70"/>
      <c r="H1291" s="70"/>
      <c r="J1291" s="70"/>
      <c r="L1291" s="71"/>
      <c r="N1291" s="70"/>
    </row>
    <row r="1292" spans="1:14" ht="15" customHeight="1" x14ac:dyDescent="0.2">
      <c r="A1292" s="292"/>
      <c r="C1292" s="189"/>
      <c r="E1292" s="190"/>
      <c r="G1292" s="70"/>
      <c r="H1292" s="70"/>
      <c r="J1292" s="70"/>
      <c r="L1292" s="71"/>
      <c r="N1292" s="70"/>
    </row>
    <row r="1293" spans="1:14" ht="15" customHeight="1" x14ac:dyDescent="0.2">
      <c r="A1293" s="292"/>
      <c r="C1293" s="189"/>
      <c r="E1293" s="190"/>
      <c r="G1293" s="70"/>
      <c r="H1293" s="70"/>
      <c r="J1293" s="70"/>
      <c r="L1293" s="71"/>
      <c r="N1293" s="70"/>
    </row>
    <row r="1294" spans="1:14" ht="15" customHeight="1" x14ac:dyDescent="0.2">
      <c r="A1294" s="292"/>
      <c r="C1294" s="189"/>
      <c r="E1294" s="190"/>
      <c r="G1294" s="70"/>
      <c r="H1294" s="70"/>
      <c r="J1294" s="70"/>
      <c r="L1294" s="71"/>
      <c r="N1294" s="70"/>
    </row>
    <row r="1295" spans="1:14" ht="15" customHeight="1" x14ac:dyDescent="0.2">
      <c r="A1295" s="292"/>
      <c r="C1295" s="189"/>
      <c r="E1295" s="190"/>
      <c r="G1295" s="70"/>
      <c r="H1295" s="70"/>
      <c r="J1295" s="70"/>
      <c r="L1295" s="71"/>
      <c r="N1295" s="70"/>
    </row>
    <row r="1296" spans="1:14" ht="15" customHeight="1" x14ac:dyDescent="0.2">
      <c r="A1296" s="292"/>
      <c r="C1296" s="189"/>
      <c r="E1296" s="190"/>
      <c r="G1296" s="70"/>
      <c r="H1296" s="70"/>
      <c r="J1296" s="70"/>
      <c r="L1296" s="71"/>
      <c r="N1296" s="70"/>
    </row>
    <row r="1297" spans="1:14" ht="15" customHeight="1" x14ac:dyDescent="0.2">
      <c r="A1297" s="292"/>
      <c r="C1297" s="189"/>
      <c r="E1297" s="190"/>
      <c r="G1297" s="70"/>
      <c r="H1297" s="70"/>
      <c r="J1297" s="70"/>
      <c r="L1297" s="71"/>
      <c r="N1297" s="70"/>
    </row>
    <row r="1298" spans="1:14" ht="15" customHeight="1" x14ac:dyDescent="0.2">
      <c r="A1298" s="292"/>
      <c r="C1298" s="189"/>
      <c r="E1298" s="190"/>
      <c r="G1298" s="70"/>
      <c r="H1298" s="70"/>
      <c r="J1298" s="70"/>
      <c r="L1298" s="71"/>
      <c r="N1298" s="70"/>
    </row>
    <row r="1299" spans="1:14" ht="15" customHeight="1" x14ac:dyDescent="0.2">
      <c r="A1299" s="292"/>
      <c r="C1299" s="189"/>
      <c r="E1299" s="190"/>
      <c r="G1299" s="70"/>
      <c r="H1299" s="70"/>
      <c r="J1299" s="70"/>
      <c r="L1299" s="71"/>
      <c r="N1299" s="70"/>
    </row>
    <row r="1300" spans="1:14" ht="15" customHeight="1" x14ac:dyDescent="0.2">
      <c r="A1300" s="292"/>
      <c r="C1300" s="189"/>
      <c r="E1300" s="190"/>
      <c r="G1300" s="70"/>
      <c r="H1300" s="70"/>
      <c r="J1300" s="70"/>
      <c r="L1300" s="71"/>
      <c r="N1300" s="70"/>
    </row>
    <row r="1301" spans="1:14" ht="15" customHeight="1" x14ac:dyDescent="0.2">
      <c r="A1301" s="292"/>
      <c r="C1301" s="189"/>
      <c r="E1301" s="190"/>
      <c r="G1301" s="70"/>
      <c r="H1301" s="70"/>
      <c r="J1301" s="70"/>
      <c r="L1301" s="71"/>
      <c r="N1301" s="70"/>
    </row>
    <row r="1302" spans="1:14" ht="15" customHeight="1" x14ac:dyDescent="0.2">
      <c r="A1302" s="292"/>
      <c r="C1302" s="189"/>
      <c r="E1302" s="190"/>
      <c r="G1302" s="70"/>
      <c r="H1302" s="70"/>
      <c r="J1302" s="70"/>
      <c r="L1302" s="71"/>
      <c r="N1302" s="70"/>
    </row>
    <row r="1303" spans="1:14" ht="15" customHeight="1" x14ac:dyDescent="0.2">
      <c r="A1303" s="292"/>
      <c r="C1303" s="189"/>
      <c r="E1303" s="190"/>
      <c r="G1303" s="70"/>
      <c r="H1303" s="70"/>
      <c r="J1303" s="70"/>
      <c r="L1303" s="71"/>
      <c r="N1303" s="70"/>
    </row>
    <row r="1304" spans="1:14" ht="15" customHeight="1" x14ac:dyDescent="0.2">
      <c r="A1304" s="292"/>
      <c r="C1304" s="189"/>
      <c r="E1304" s="190"/>
      <c r="G1304" s="70"/>
      <c r="H1304" s="70"/>
      <c r="J1304" s="70"/>
      <c r="L1304" s="71"/>
      <c r="N1304" s="70"/>
    </row>
    <row r="1305" spans="1:14" ht="15" customHeight="1" x14ac:dyDescent="0.2">
      <c r="A1305" s="292"/>
      <c r="C1305" s="189"/>
      <c r="E1305" s="190"/>
      <c r="G1305" s="70"/>
      <c r="H1305" s="70"/>
      <c r="J1305" s="70"/>
      <c r="L1305" s="71"/>
      <c r="N1305" s="70"/>
    </row>
    <row r="1306" spans="1:14" ht="15" customHeight="1" x14ac:dyDescent="0.2">
      <c r="A1306" s="292"/>
      <c r="C1306" s="189"/>
      <c r="E1306" s="190"/>
      <c r="G1306" s="70"/>
      <c r="H1306" s="70"/>
      <c r="J1306" s="70"/>
      <c r="L1306" s="71"/>
      <c r="N1306" s="70"/>
    </row>
    <row r="1307" spans="1:14" ht="15" customHeight="1" x14ac:dyDescent="0.2">
      <c r="A1307" s="292"/>
      <c r="C1307" s="189"/>
      <c r="E1307" s="190"/>
      <c r="G1307" s="70"/>
      <c r="H1307" s="70"/>
      <c r="J1307" s="70"/>
      <c r="L1307" s="71"/>
      <c r="N1307" s="70"/>
    </row>
    <row r="1308" spans="1:14" ht="15" customHeight="1" x14ac:dyDescent="0.2">
      <c r="A1308" s="292"/>
      <c r="C1308" s="189"/>
      <c r="E1308" s="190"/>
      <c r="G1308" s="70"/>
      <c r="H1308" s="70"/>
      <c r="J1308" s="70"/>
      <c r="L1308" s="71"/>
      <c r="N1308" s="70"/>
    </row>
    <row r="1309" spans="1:14" ht="15" customHeight="1" x14ac:dyDescent="0.2">
      <c r="A1309" s="292"/>
      <c r="C1309" s="189"/>
      <c r="E1309" s="190"/>
      <c r="G1309" s="70"/>
      <c r="H1309" s="70"/>
      <c r="J1309" s="70"/>
      <c r="L1309" s="71"/>
      <c r="N1309" s="70"/>
    </row>
    <row r="1310" spans="1:14" ht="15" customHeight="1" x14ac:dyDescent="0.2">
      <c r="A1310" s="292"/>
      <c r="C1310" s="189"/>
      <c r="E1310" s="190"/>
      <c r="G1310" s="70"/>
      <c r="H1310" s="70"/>
      <c r="J1310" s="70"/>
      <c r="L1310" s="71"/>
      <c r="N1310" s="70"/>
    </row>
    <row r="1311" spans="1:14" ht="15" customHeight="1" x14ac:dyDescent="0.2">
      <c r="A1311" s="292"/>
      <c r="C1311" s="189"/>
      <c r="E1311" s="190"/>
      <c r="G1311" s="70"/>
      <c r="H1311" s="70"/>
      <c r="J1311" s="70"/>
      <c r="L1311" s="71"/>
      <c r="N1311" s="70"/>
    </row>
    <row r="1312" spans="1:14" ht="15" customHeight="1" x14ac:dyDescent="0.2">
      <c r="A1312" s="292"/>
      <c r="C1312" s="189"/>
      <c r="E1312" s="190"/>
      <c r="G1312" s="70"/>
      <c r="H1312" s="70"/>
      <c r="J1312" s="70"/>
      <c r="L1312" s="71"/>
      <c r="N1312" s="70"/>
    </row>
    <row r="1313" spans="1:14" ht="15" customHeight="1" x14ac:dyDescent="0.2">
      <c r="A1313" s="292"/>
      <c r="C1313" s="189"/>
      <c r="E1313" s="190"/>
      <c r="G1313" s="70"/>
      <c r="H1313" s="70"/>
      <c r="J1313" s="70"/>
      <c r="L1313" s="71"/>
      <c r="N1313" s="70"/>
    </row>
    <row r="1314" spans="1:14" ht="15" customHeight="1" x14ac:dyDescent="0.2">
      <c r="A1314" s="292"/>
      <c r="C1314" s="189"/>
      <c r="E1314" s="190"/>
      <c r="G1314" s="70"/>
      <c r="H1314" s="70"/>
      <c r="J1314" s="70"/>
      <c r="L1314" s="71"/>
      <c r="N1314" s="70"/>
    </row>
    <row r="1315" spans="1:14" ht="15" customHeight="1" x14ac:dyDescent="0.2">
      <c r="A1315" s="292"/>
      <c r="C1315" s="189"/>
      <c r="E1315" s="190"/>
      <c r="G1315" s="70"/>
      <c r="H1315" s="70"/>
      <c r="J1315" s="70"/>
      <c r="L1315" s="71"/>
      <c r="N1315" s="70"/>
    </row>
    <row r="1316" spans="1:14" ht="15" customHeight="1" x14ac:dyDescent="0.2">
      <c r="A1316" s="292"/>
      <c r="C1316" s="189"/>
      <c r="E1316" s="190"/>
      <c r="G1316" s="70"/>
      <c r="H1316" s="70"/>
      <c r="J1316" s="70"/>
      <c r="L1316" s="71"/>
      <c r="N1316" s="70"/>
    </row>
    <row r="1317" spans="1:14" ht="15" customHeight="1" x14ac:dyDescent="0.2">
      <c r="A1317" s="292"/>
      <c r="C1317" s="189"/>
      <c r="E1317" s="190"/>
      <c r="G1317" s="70"/>
      <c r="H1317" s="70"/>
      <c r="J1317" s="70"/>
      <c r="L1317" s="71"/>
      <c r="N1317" s="70"/>
    </row>
    <row r="1318" spans="1:14" ht="15" customHeight="1" x14ac:dyDescent="0.2">
      <c r="A1318" s="292"/>
      <c r="C1318" s="189"/>
      <c r="E1318" s="190"/>
      <c r="G1318" s="70"/>
      <c r="H1318" s="70"/>
      <c r="J1318" s="70"/>
      <c r="L1318" s="71"/>
      <c r="N1318" s="70"/>
    </row>
    <row r="1319" spans="1:14" ht="15" customHeight="1" x14ac:dyDescent="0.2">
      <c r="A1319" s="292"/>
      <c r="C1319" s="189"/>
      <c r="E1319" s="190"/>
      <c r="G1319" s="70"/>
      <c r="H1319" s="70"/>
      <c r="J1319" s="70"/>
      <c r="L1319" s="71"/>
      <c r="N1319" s="70"/>
    </row>
    <row r="1320" spans="1:14" ht="15" customHeight="1" x14ac:dyDescent="0.2">
      <c r="A1320" s="292"/>
      <c r="C1320" s="189"/>
      <c r="E1320" s="190"/>
      <c r="G1320" s="70"/>
      <c r="H1320" s="70"/>
      <c r="J1320" s="70"/>
      <c r="L1320" s="71"/>
      <c r="N1320" s="70"/>
    </row>
    <row r="1321" spans="1:14" ht="15" customHeight="1" x14ac:dyDescent="0.2">
      <c r="A1321" s="292"/>
      <c r="C1321" s="189"/>
      <c r="E1321" s="190"/>
      <c r="F1321" s="193">
        <f>SUM(F1322:F1335)</f>
        <v>0</v>
      </c>
      <c r="G1321" s="70"/>
      <c r="H1321" s="70"/>
      <c r="J1321" s="70"/>
      <c r="L1321" s="71"/>
      <c r="N1321" s="70"/>
    </row>
    <row r="1322" spans="1:14" ht="15" customHeight="1" x14ac:dyDescent="0.2">
      <c r="A1322" s="292"/>
      <c r="C1322" s="189"/>
      <c r="E1322" s="190"/>
      <c r="G1322" s="70"/>
      <c r="H1322" s="70"/>
      <c r="J1322" s="70"/>
      <c r="L1322" s="71"/>
      <c r="N1322" s="70"/>
    </row>
    <row r="1323" spans="1:14" ht="15" customHeight="1" x14ac:dyDescent="0.2">
      <c r="A1323" s="292"/>
      <c r="C1323" s="189"/>
      <c r="E1323" s="190"/>
      <c r="G1323" s="70"/>
      <c r="H1323" s="70"/>
      <c r="J1323" s="70"/>
      <c r="L1323" s="71"/>
      <c r="N1323" s="70"/>
    </row>
    <row r="1324" spans="1:14" ht="15" customHeight="1" x14ac:dyDescent="0.2">
      <c r="A1324" s="292"/>
      <c r="C1324" s="189"/>
      <c r="E1324" s="190"/>
      <c r="G1324" s="70"/>
      <c r="H1324" s="70"/>
      <c r="J1324" s="70"/>
      <c r="L1324" s="71"/>
      <c r="N1324" s="70"/>
    </row>
    <row r="1325" spans="1:14" ht="15" customHeight="1" x14ac:dyDescent="0.2">
      <c r="A1325" s="292"/>
      <c r="C1325" s="189"/>
      <c r="E1325" s="190"/>
      <c r="G1325" s="70"/>
      <c r="H1325" s="70"/>
      <c r="J1325" s="70"/>
      <c r="L1325" s="71"/>
      <c r="N1325" s="70"/>
    </row>
    <row r="1326" spans="1:14" ht="15" customHeight="1" x14ac:dyDescent="0.2">
      <c r="A1326" s="292"/>
      <c r="C1326" s="189"/>
      <c r="E1326" s="190"/>
      <c r="G1326" s="70"/>
      <c r="H1326" s="70"/>
      <c r="J1326" s="70"/>
      <c r="L1326" s="71"/>
      <c r="N1326" s="70"/>
    </row>
    <row r="1327" spans="1:14" ht="15" customHeight="1" x14ac:dyDescent="0.2">
      <c r="A1327" s="292"/>
      <c r="C1327" s="189"/>
      <c r="E1327" s="190"/>
      <c r="G1327" s="70"/>
      <c r="H1327" s="70"/>
      <c r="J1327" s="70"/>
      <c r="L1327" s="71"/>
      <c r="N1327" s="70"/>
    </row>
    <row r="1328" spans="1:14" ht="15" customHeight="1" x14ac:dyDescent="0.2">
      <c r="A1328" s="292"/>
      <c r="C1328" s="189"/>
      <c r="E1328" s="190"/>
      <c r="G1328" s="70"/>
      <c r="H1328" s="70"/>
      <c r="J1328" s="70"/>
      <c r="L1328" s="71"/>
      <c r="N1328" s="70"/>
    </row>
    <row r="1329" spans="1:14" ht="15" customHeight="1" x14ac:dyDescent="0.2">
      <c r="A1329" s="292"/>
      <c r="C1329" s="189"/>
      <c r="E1329" s="190"/>
      <c r="G1329" s="70"/>
      <c r="H1329" s="70"/>
      <c r="J1329" s="70"/>
      <c r="L1329" s="71"/>
      <c r="N1329" s="70"/>
    </row>
    <row r="1330" spans="1:14" ht="15" customHeight="1" x14ac:dyDescent="0.2">
      <c r="A1330" s="292"/>
      <c r="C1330" s="189"/>
      <c r="E1330" s="190"/>
      <c r="G1330" s="70"/>
      <c r="H1330" s="70"/>
      <c r="J1330" s="70"/>
      <c r="L1330" s="71"/>
      <c r="N1330" s="70"/>
    </row>
    <row r="1331" spans="1:14" ht="15" customHeight="1" x14ac:dyDescent="0.2">
      <c r="A1331" s="292"/>
      <c r="C1331" s="189"/>
      <c r="E1331" s="190"/>
      <c r="G1331" s="70"/>
      <c r="H1331" s="70"/>
      <c r="J1331" s="70"/>
      <c r="L1331" s="71"/>
      <c r="N1331" s="70"/>
    </row>
    <row r="1332" spans="1:14" ht="15" customHeight="1" x14ac:dyDescent="0.2">
      <c r="A1332" s="292"/>
      <c r="C1332" s="189"/>
      <c r="E1332" s="190"/>
      <c r="G1332" s="70"/>
      <c r="H1332" s="70"/>
      <c r="J1332" s="70"/>
      <c r="L1332" s="71"/>
      <c r="N1332" s="70"/>
    </row>
    <row r="1333" spans="1:14" ht="15" customHeight="1" x14ac:dyDescent="0.2">
      <c r="A1333" s="292"/>
      <c r="C1333" s="189"/>
      <c r="E1333" s="190"/>
      <c r="G1333" s="70"/>
      <c r="H1333" s="70"/>
      <c r="J1333" s="70"/>
      <c r="L1333" s="71"/>
      <c r="N1333" s="70"/>
    </row>
    <row r="1334" spans="1:14" ht="15" customHeight="1" x14ac:dyDescent="0.2">
      <c r="A1334" s="292"/>
      <c r="C1334" s="189"/>
      <c r="E1334" s="190"/>
      <c r="G1334" s="70"/>
      <c r="H1334" s="70"/>
      <c r="J1334" s="70"/>
      <c r="L1334" s="71"/>
      <c r="N1334" s="70"/>
    </row>
    <row r="1335" spans="1:14" ht="15" customHeight="1" x14ac:dyDescent="0.2">
      <c r="A1335" s="292"/>
      <c r="C1335" s="189"/>
      <c r="E1335" s="190"/>
      <c r="G1335" s="70"/>
      <c r="H1335" s="70"/>
      <c r="J1335" s="70"/>
      <c r="L1335" s="71"/>
      <c r="N1335" s="70"/>
    </row>
    <row r="1336" spans="1:14" ht="15" customHeight="1" x14ac:dyDescent="0.2">
      <c r="A1336" s="292"/>
      <c r="C1336" s="189"/>
      <c r="E1336" s="190"/>
      <c r="G1336" s="70"/>
      <c r="H1336" s="70"/>
      <c r="J1336" s="70"/>
      <c r="L1336" s="71"/>
      <c r="N1336" s="70"/>
    </row>
    <row r="1337" spans="1:14" ht="15" customHeight="1" x14ac:dyDescent="0.2">
      <c r="A1337" s="292"/>
      <c r="C1337" s="189"/>
      <c r="E1337" s="190"/>
      <c r="G1337" s="70"/>
      <c r="H1337" s="70"/>
      <c r="J1337" s="70"/>
      <c r="L1337" s="71"/>
      <c r="N1337" s="70"/>
    </row>
    <row r="1338" spans="1:14" ht="15" customHeight="1" x14ac:dyDescent="0.2">
      <c r="A1338" s="292"/>
      <c r="C1338" s="189"/>
      <c r="E1338" s="190"/>
      <c r="G1338" s="70"/>
      <c r="H1338" s="70"/>
      <c r="J1338" s="70"/>
      <c r="L1338" s="71"/>
      <c r="N1338" s="70"/>
    </row>
    <row r="1339" spans="1:14" ht="15" customHeight="1" x14ac:dyDescent="0.2">
      <c r="A1339" s="292"/>
      <c r="C1339" s="189"/>
      <c r="E1339" s="190"/>
      <c r="G1339" s="70"/>
      <c r="H1339" s="70"/>
      <c r="J1339" s="70"/>
      <c r="L1339" s="71"/>
      <c r="N1339" s="70"/>
    </row>
    <row r="1340" spans="1:14" ht="15" customHeight="1" x14ac:dyDescent="0.2">
      <c r="A1340" s="292"/>
      <c r="C1340" s="189"/>
      <c r="E1340" s="190"/>
      <c r="G1340" s="70"/>
      <c r="H1340" s="70"/>
      <c r="J1340" s="70"/>
      <c r="L1340" s="71"/>
      <c r="N1340" s="70"/>
    </row>
    <row r="1341" spans="1:14" ht="15" customHeight="1" x14ac:dyDescent="0.2">
      <c r="A1341" s="292"/>
      <c r="C1341" s="189"/>
      <c r="E1341" s="190"/>
      <c r="G1341" s="70"/>
      <c r="H1341" s="70"/>
      <c r="J1341" s="70"/>
      <c r="L1341" s="71"/>
      <c r="N1341" s="70"/>
    </row>
    <row r="1342" spans="1:14" ht="15" customHeight="1" x14ac:dyDescent="0.2">
      <c r="A1342" s="292"/>
      <c r="C1342" s="189"/>
      <c r="E1342" s="190"/>
      <c r="G1342" s="70"/>
      <c r="H1342" s="70"/>
      <c r="J1342" s="70"/>
      <c r="L1342" s="71"/>
      <c r="N1342" s="70"/>
    </row>
    <row r="1343" spans="1:14" ht="15" customHeight="1" x14ac:dyDescent="0.2">
      <c r="A1343" s="292"/>
      <c r="C1343" s="189"/>
      <c r="E1343" s="190"/>
      <c r="G1343" s="70"/>
      <c r="H1343" s="70"/>
      <c r="J1343" s="70"/>
      <c r="L1343" s="71"/>
      <c r="N1343" s="70"/>
    </row>
    <row r="1344" spans="1:14" ht="15" customHeight="1" x14ac:dyDescent="0.2">
      <c r="A1344" s="292"/>
      <c r="C1344" s="189"/>
      <c r="E1344" s="190"/>
      <c r="G1344" s="70"/>
      <c r="H1344" s="70"/>
      <c r="J1344" s="70"/>
      <c r="L1344" s="71"/>
      <c r="N1344" s="70"/>
    </row>
    <row r="1345" spans="1:14" ht="15" customHeight="1" x14ac:dyDescent="0.2">
      <c r="A1345" s="292"/>
      <c r="C1345" s="189"/>
      <c r="E1345" s="190"/>
      <c r="G1345" s="70"/>
      <c r="H1345" s="70"/>
      <c r="J1345" s="70"/>
      <c r="L1345" s="71"/>
      <c r="N1345" s="70"/>
    </row>
    <row r="1346" spans="1:14" ht="15" customHeight="1" x14ac:dyDescent="0.2">
      <c r="A1346" s="292"/>
      <c r="C1346" s="189"/>
      <c r="E1346" s="190"/>
      <c r="G1346" s="70"/>
      <c r="H1346" s="70"/>
      <c r="J1346" s="70"/>
      <c r="L1346" s="71"/>
      <c r="N1346" s="70"/>
    </row>
    <row r="1347" spans="1:14" ht="15" customHeight="1" x14ac:dyDescent="0.2">
      <c r="A1347" s="292"/>
      <c r="C1347" s="189"/>
      <c r="E1347" s="190"/>
      <c r="G1347" s="70"/>
      <c r="H1347" s="70"/>
      <c r="J1347" s="70"/>
      <c r="L1347" s="71"/>
      <c r="N1347" s="70"/>
    </row>
    <row r="1348" spans="1:14" ht="15" customHeight="1" x14ac:dyDescent="0.2">
      <c r="A1348" s="292"/>
      <c r="C1348" s="189"/>
      <c r="E1348" s="190"/>
      <c r="G1348" s="70"/>
      <c r="H1348" s="70"/>
      <c r="J1348" s="70"/>
      <c r="L1348" s="71"/>
      <c r="N1348" s="70"/>
    </row>
    <row r="1349" spans="1:14" ht="15" customHeight="1" x14ac:dyDescent="0.2">
      <c r="A1349" s="292"/>
      <c r="C1349" s="189"/>
      <c r="E1349" s="190"/>
      <c r="G1349" s="70"/>
      <c r="H1349" s="70"/>
      <c r="J1349" s="70"/>
      <c r="L1349" s="71"/>
      <c r="N1349" s="70"/>
    </row>
    <row r="1350" spans="1:14" ht="15" customHeight="1" x14ac:dyDescent="0.2">
      <c r="A1350" s="292"/>
      <c r="C1350" s="189"/>
      <c r="E1350" s="190"/>
      <c r="G1350" s="70"/>
      <c r="H1350" s="70"/>
      <c r="J1350" s="70"/>
      <c r="L1350" s="71"/>
      <c r="N1350" s="70"/>
    </row>
    <row r="1351" spans="1:14" ht="15" customHeight="1" x14ac:dyDescent="0.2">
      <c r="A1351" s="292"/>
      <c r="C1351" s="189"/>
      <c r="E1351" s="190"/>
      <c r="G1351" s="70"/>
      <c r="H1351" s="70"/>
      <c r="J1351" s="70"/>
      <c r="L1351" s="71"/>
      <c r="N1351" s="70"/>
    </row>
    <row r="1352" spans="1:14" ht="15" customHeight="1" x14ac:dyDescent="0.2">
      <c r="A1352" s="292"/>
      <c r="C1352" s="189"/>
      <c r="E1352" s="190"/>
      <c r="G1352" s="70"/>
      <c r="H1352" s="70"/>
      <c r="J1352" s="70"/>
      <c r="L1352" s="71"/>
      <c r="N1352" s="70"/>
    </row>
    <row r="1353" spans="1:14" ht="15" customHeight="1" x14ac:dyDescent="0.2">
      <c r="A1353" s="292"/>
      <c r="C1353" s="189"/>
      <c r="E1353" s="190"/>
      <c r="G1353" s="70"/>
      <c r="H1353" s="70"/>
      <c r="J1353" s="70"/>
      <c r="L1353" s="71"/>
      <c r="N1353" s="70"/>
    </row>
    <row r="1354" spans="1:14" ht="15" customHeight="1" x14ac:dyDescent="0.2">
      <c r="A1354" s="292"/>
      <c r="C1354" s="189"/>
      <c r="E1354" s="190"/>
      <c r="G1354" s="70"/>
      <c r="H1354" s="70"/>
      <c r="J1354" s="70"/>
      <c r="L1354" s="71"/>
      <c r="N1354" s="70"/>
    </row>
    <row r="1355" spans="1:14" ht="15" customHeight="1" x14ac:dyDescent="0.2">
      <c r="A1355" s="292"/>
      <c r="C1355" s="189"/>
      <c r="E1355" s="190"/>
      <c r="G1355" s="70"/>
      <c r="H1355" s="70"/>
      <c r="J1355" s="70"/>
      <c r="L1355" s="71"/>
      <c r="N1355" s="70"/>
    </row>
    <row r="1356" spans="1:14" ht="15" customHeight="1" x14ac:dyDescent="0.2">
      <c r="A1356" s="292"/>
      <c r="C1356" s="189"/>
      <c r="E1356" s="190"/>
      <c r="G1356" s="70"/>
      <c r="H1356" s="70"/>
      <c r="J1356" s="70"/>
      <c r="L1356" s="71"/>
      <c r="N1356" s="70"/>
    </row>
    <row r="1357" spans="1:14" ht="15" customHeight="1" x14ac:dyDescent="0.2">
      <c r="A1357" s="292"/>
      <c r="C1357" s="189"/>
      <c r="E1357" s="190"/>
      <c r="G1357" s="70"/>
      <c r="H1357" s="70"/>
      <c r="J1357" s="70"/>
      <c r="L1357" s="71"/>
      <c r="N1357" s="70"/>
    </row>
    <row r="1358" spans="1:14" ht="15" customHeight="1" x14ac:dyDescent="0.2">
      <c r="A1358" s="292"/>
      <c r="C1358" s="189"/>
      <c r="E1358" s="190"/>
      <c r="G1358" s="70"/>
      <c r="H1358" s="70"/>
      <c r="J1358" s="70"/>
      <c r="L1358" s="71"/>
      <c r="N1358" s="70"/>
    </row>
    <row r="1359" spans="1:14" ht="15" customHeight="1" x14ac:dyDescent="0.2">
      <c r="A1359" s="292"/>
      <c r="C1359" s="189"/>
      <c r="E1359" s="190"/>
      <c r="G1359" s="70"/>
      <c r="H1359" s="70"/>
      <c r="J1359" s="70"/>
      <c r="L1359" s="71"/>
      <c r="N1359" s="70"/>
    </row>
    <row r="1360" spans="1:14" ht="15" customHeight="1" x14ac:dyDescent="0.2">
      <c r="A1360" s="292"/>
      <c r="C1360" s="189"/>
      <c r="E1360" s="190"/>
      <c r="G1360" s="70"/>
      <c r="H1360" s="70"/>
      <c r="J1360" s="70"/>
      <c r="L1360" s="71"/>
      <c r="N1360" s="70"/>
    </row>
    <row r="1361" spans="1:14" ht="15" customHeight="1" x14ac:dyDescent="0.2">
      <c r="A1361" s="292"/>
      <c r="C1361" s="189"/>
      <c r="E1361" s="190"/>
      <c r="G1361" s="70"/>
      <c r="H1361" s="70"/>
      <c r="J1361" s="70"/>
      <c r="L1361" s="71"/>
      <c r="N1361" s="70"/>
    </row>
    <row r="1362" spans="1:14" ht="15" customHeight="1" x14ac:dyDescent="0.2">
      <c r="A1362" s="292"/>
      <c r="C1362" s="189"/>
      <c r="E1362" s="190"/>
      <c r="G1362" s="70"/>
      <c r="H1362" s="70"/>
      <c r="J1362" s="70"/>
      <c r="L1362" s="71"/>
      <c r="N1362" s="70"/>
    </row>
    <row r="1363" spans="1:14" ht="15" customHeight="1" x14ac:dyDescent="0.2">
      <c r="A1363" s="292"/>
      <c r="C1363" s="189"/>
      <c r="E1363" s="190"/>
      <c r="G1363" s="70"/>
      <c r="H1363" s="70"/>
      <c r="J1363" s="70"/>
      <c r="L1363" s="71"/>
      <c r="N1363" s="70"/>
    </row>
    <row r="1364" spans="1:14" ht="15" customHeight="1" x14ac:dyDescent="0.2">
      <c r="A1364" s="292"/>
      <c r="C1364" s="189"/>
      <c r="E1364" s="190"/>
      <c r="G1364" s="70"/>
      <c r="H1364" s="70"/>
      <c r="J1364" s="70"/>
      <c r="L1364" s="71"/>
      <c r="N1364" s="70"/>
    </row>
    <row r="1365" spans="1:14" ht="15" customHeight="1" x14ac:dyDescent="0.2">
      <c r="A1365" s="292"/>
      <c r="C1365" s="189"/>
      <c r="E1365" s="190"/>
      <c r="G1365" s="70"/>
      <c r="H1365" s="70"/>
      <c r="J1365" s="70"/>
      <c r="L1365" s="71"/>
      <c r="N1365" s="70"/>
    </row>
    <row r="1366" spans="1:14" ht="15" customHeight="1" x14ac:dyDescent="0.2">
      <c r="A1366" s="292"/>
      <c r="C1366" s="189"/>
      <c r="E1366" s="190"/>
      <c r="G1366" s="70"/>
      <c r="H1366" s="70"/>
      <c r="J1366" s="70"/>
      <c r="L1366" s="71"/>
      <c r="N1366" s="70"/>
    </row>
    <row r="1367" spans="1:14" ht="15" customHeight="1" x14ac:dyDescent="0.2">
      <c r="A1367" s="292"/>
      <c r="C1367" s="189"/>
      <c r="E1367" s="190"/>
      <c r="G1367" s="70"/>
      <c r="H1367" s="70"/>
      <c r="J1367" s="70"/>
      <c r="L1367" s="71"/>
      <c r="N1367" s="70"/>
    </row>
    <row r="1368" spans="1:14" ht="15" customHeight="1" x14ac:dyDescent="0.2">
      <c r="A1368" s="292"/>
      <c r="C1368" s="189"/>
      <c r="E1368" s="190"/>
      <c r="G1368" s="70"/>
      <c r="H1368" s="70"/>
      <c r="J1368" s="70"/>
      <c r="L1368" s="71"/>
      <c r="N1368" s="70"/>
    </row>
    <row r="1369" spans="1:14" ht="15" customHeight="1" x14ac:dyDescent="0.2">
      <c r="A1369" s="292"/>
      <c r="C1369" s="189"/>
      <c r="E1369" s="190"/>
      <c r="G1369" s="70"/>
      <c r="H1369" s="70"/>
      <c r="J1369" s="70"/>
      <c r="L1369" s="71"/>
      <c r="N1369" s="70"/>
    </row>
    <row r="1370" spans="1:14" ht="15" customHeight="1" x14ac:dyDescent="0.2">
      <c r="A1370" s="292"/>
      <c r="C1370" s="189"/>
      <c r="E1370" s="190"/>
      <c r="G1370" s="70"/>
      <c r="H1370" s="70"/>
      <c r="J1370" s="70"/>
      <c r="L1370" s="71"/>
      <c r="N1370" s="70"/>
    </row>
    <row r="1371" spans="1:14" ht="15" customHeight="1" x14ac:dyDescent="0.2">
      <c r="A1371" s="292"/>
      <c r="C1371" s="189"/>
      <c r="E1371" s="190"/>
      <c r="G1371" s="70"/>
      <c r="H1371" s="70"/>
      <c r="J1371" s="70"/>
      <c r="L1371" s="71"/>
      <c r="N1371" s="70"/>
    </row>
    <row r="1372" spans="1:14" ht="15" customHeight="1" x14ac:dyDescent="0.2">
      <c r="A1372" s="292"/>
      <c r="C1372" s="189"/>
      <c r="E1372" s="190"/>
      <c r="G1372" s="70"/>
      <c r="H1372" s="70"/>
      <c r="J1372" s="70"/>
      <c r="L1372" s="71"/>
      <c r="N1372" s="70"/>
    </row>
    <row r="1373" spans="1:14" ht="15" customHeight="1" x14ac:dyDescent="0.2">
      <c r="A1373" s="292"/>
      <c r="C1373" s="189"/>
      <c r="E1373" s="190"/>
      <c r="G1373" s="70"/>
      <c r="H1373" s="70"/>
      <c r="J1373" s="70"/>
      <c r="L1373" s="71"/>
      <c r="N1373" s="70"/>
    </row>
    <row r="1374" spans="1:14" ht="15" customHeight="1" x14ac:dyDescent="0.2">
      <c r="A1374" s="292"/>
      <c r="C1374" s="189"/>
      <c r="E1374" s="190"/>
      <c r="G1374" s="70"/>
      <c r="H1374" s="70"/>
      <c r="J1374" s="70"/>
      <c r="L1374" s="71"/>
      <c r="N1374" s="70"/>
    </row>
    <row r="1375" spans="1:14" ht="15" customHeight="1" x14ac:dyDescent="0.2">
      <c r="A1375" s="292"/>
      <c r="C1375" s="189"/>
      <c r="E1375" s="190"/>
      <c r="G1375" s="70"/>
      <c r="H1375" s="70"/>
      <c r="J1375" s="70"/>
      <c r="L1375" s="71"/>
      <c r="N1375" s="70"/>
    </row>
    <row r="1376" spans="1:14" ht="15" customHeight="1" x14ac:dyDescent="0.2">
      <c r="A1376" s="292"/>
      <c r="C1376" s="189"/>
      <c r="E1376" s="190"/>
      <c r="G1376" s="70"/>
      <c r="H1376" s="70"/>
      <c r="J1376" s="70"/>
      <c r="L1376" s="71"/>
      <c r="N1376" s="70"/>
    </row>
    <row r="1377" spans="1:14" ht="15" customHeight="1" x14ac:dyDescent="0.2">
      <c r="A1377" s="292"/>
      <c r="C1377" s="189"/>
      <c r="E1377" s="190"/>
      <c r="G1377" s="70"/>
      <c r="H1377" s="70"/>
      <c r="J1377" s="70"/>
      <c r="L1377" s="71"/>
      <c r="N1377" s="70"/>
    </row>
    <row r="1378" spans="1:14" ht="15" customHeight="1" x14ac:dyDescent="0.2">
      <c r="A1378" s="292"/>
      <c r="C1378" s="189"/>
      <c r="E1378" s="190"/>
      <c r="G1378" s="70"/>
      <c r="H1378" s="70"/>
      <c r="J1378" s="70"/>
      <c r="L1378" s="71"/>
      <c r="N1378" s="70"/>
    </row>
    <row r="1379" spans="1:14" ht="15" customHeight="1" x14ac:dyDescent="0.2">
      <c r="A1379" s="292"/>
      <c r="C1379" s="189"/>
      <c r="E1379" s="190"/>
      <c r="G1379" s="70"/>
      <c r="H1379" s="70"/>
      <c r="J1379" s="70"/>
      <c r="L1379" s="71"/>
      <c r="N1379" s="70"/>
    </row>
    <row r="1380" spans="1:14" ht="15" customHeight="1" x14ac:dyDescent="0.2">
      <c r="A1380" s="292"/>
      <c r="C1380" s="189"/>
      <c r="E1380" s="190"/>
      <c r="G1380" s="70"/>
      <c r="H1380" s="70"/>
      <c r="J1380" s="70"/>
      <c r="L1380" s="71"/>
      <c r="N1380" s="70"/>
    </row>
    <row r="1381" spans="1:14" ht="15" customHeight="1" x14ac:dyDescent="0.2">
      <c r="A1381" s="292"/>
      <c r="C1381" s="189"/>
      <c r="E1381" s="190"/>
      <c r="G1381" s="70"/>
      <c r="H1381" s="70"/>
      <c r="J1381" s="70"/>
      <c r="L1381" s="71"/>
      <c r="N1381" s="70"/>
    </row>
    <row r="1382" spans="1:14" ht="15" customHeight="1" x14ac:dyDescent="0.2">
      <c r="A1382" s="292"/>
      <c r="C1382" s="189"/>
      <c r="E1382" s="190"/>
      <c r="G1382" s="70"/>
      <c r="H1382" s="70"/>
      <c r="J1382" s="70"/>
      <c r="L1382" s="71"/>
      <c r="N1382" s="70"/>
    </row>
    <row r="1383" spans="1:14" ht="15" customHeight="1" x14ac:dyDescent="0.2">
      <c r="A1383" s="292"/>
      <c r="C1383" s="189"/>
      <c r="E1383" s="190"/>
      <c r="G1383" s="70"/>
      <c r="H1383" s="70"/>
      <c r="J1383" s="70"/>
      <c r="L1383" s="71"/>
      <c r="N1383" s="70"/>
    </row>
    <row r="1384" spans="1:14" ht="15" customHeight="1" x14ac:dyDescent="0.2">
      <c r="A1384" s="292"/>
      <c r="C1384" s="189"/>
      <c r="E1384" s="190"/>
      <c r="G1384" s="70"/>
      <c r="H1384" s="70"/>
      <c r="J1384" s="70"/>
      <c r="L1384" s="71"/>
      <c r="N1384" s="70"/>
    </row>
    <row r="1385" spans="1:14" ht="15" customHeight="1" x14ac:dyDescent="0.2">
      <c r="A1385" s="292"/>
      <c r="C1385" s="189"/>
      <c r="E1385" s="190"/>
      <c r="G1385" s="70"/>
      <c r="H1385" s="70"/>
      <c r="J1385" s="70"/>
      <c r="L1385" s="71"/>
      <c r="N1385" s="70"/>
    </row>
    <row r="1386" spans="1:14" ht="15" customHeight="1" x14ac:dyDescent="0.2">
      <c r="A1386" s="292"/>
      <c r="C1386" s="189"/>
      <c r="E1386" s="190"/>
      <c r="G1386" s="70"/>
      <c r="H1386" s="70"/>
      <c r="J1386" s="70"/>
      <c r="L1386" s="71"/>
      <c r="N1386" s="70"/>
    </row>
    <row r="1387" spans="1:14" ht="15" customHeight="1" x14ac:dyDescent="0.2">
      <c r="A1387" s="292"/>
      <c r="C1387" s="189"/>
      <c r="E1387" s="190"/>
      <c r="G1387" s="70"/>
      <c r="H1387" s="70"/>
      <c r="J1387" s="70"/>
      <c r="L1387" s="71"/>
      <c r="N1387" s="70"/>
    </row>
    <row r="1388" spans="1:14" ht="15" customHeight="1" x14ac:dyDescent="0.2">
      <c r="A1388" s="292"/>
      <c r="C1388" s="189"/>
      <c r="E1388" s="190"/>
      <c r="G1388" s="70"/>
      <c r="H1388" s="70"/>
      <c r="J1388" s="70"/>
      <c r="L1388" s="71"/>
      <c r="N1388" s="70"/>
    </row>
    <row r="1389" spans="1:14" ht="15" customHeight="1" x14ac:dyDescent="0.2">
      <c r="A1389" s="292"/>
      <c r="C1389" s="189"/>
      <c r="E1389" s="190"/>
      <c r="G1389" s="70"/>
      <c r="H1389" s="70"/>
      <c r="J1389" s="70"/>
      <c r="L1389" s="71"/>
      <c r="N1389" s="70"/>
    </row>
    <row r="1390" spans="1:14" ht="15" customHeight="1" x14ac:dyDescent="0.2">
      <c r="A1390" s="292"/>
      <c r="C1390" s="189"/>
      <c r="E1390" s="190"/>
      <c r="G1390" s="70"/>
      <c r="H1390" s="70"/>
      <c r="J1390" s="70"/>
      <c r="L1390" s="71"/>
      <c r="N1390" s="70"/>
    </row>
    <row r="1391" spans="1:14" ht="15" customHeight="1" x14ac:dyDescent="0.2">
      <c r="A1391" s="292"/>
      <c r="C1391" s="189"/>
      <c r="E1391" s="190"/>
      <c r="G1391" s="70"/>
      <c r="H1391" s="70"/>
      <c r="J1391" s="70"/>
      <c r="L1391" s="71"/>
      <c r="N1391" s="70"/>
    </row>
    <row r="1392" spans="1:14" ht="15" customHeight="1" x14ac:dyDescent="0.2">
      <c r="A1392" s="292"/>
      <c r="C1392" s="189"/>
      <c r="E1392" s="190"/>
      <c r="G1392" s="70"/>
      <c r="H1392" s="70"/>
      <c r="J1392" s="70"/>
      <c r="L1392" s="71"/>
      <c r="N1392" s="70"/>
    </row>
    <row r="1393" spans="1:14" ht="15" customHeight="1" x14ac:dyDescent="0.2">
      <c r="A1393" s="292"/>
      <c r="C1393" s="189"/>
      <c r="E1393" s="190"/>
      <c r="G1393" s="70"/>
      <c r="H1393" s="70"/>
      <c r="J1393" s="70"/>
      <c r="L1393" s="71"/>
      <c r="N1393" s="70"/>
    </row>
    <row r="1394" spans="1:14" ht="15" customHeight="1" x14ac:dyDescent="0.2">
      <c r="A1394" s="292"/>
      <c r="C1394" s="189"/>
      <c r="E1394" s="190"/>
      <c r="G1394" s="70"/>
      <c r="H1394" s="70"/>
      <c r="J1394" s="70"/>
      <c r="L1394" s="71"/>
      <c r="N1394" s="70"/>
    </row>
    <row r="1395" spans="1:14" ht="15" customHeight="1" x14ac:dyDescent="0.2">
      <c r="A1395" s="292"/>
      <c r="C1395" s="189"/>
      <c r="E1395" s="190"/>
      <c r="G1395" s="70"/>
      <c r="H1395" s="70"/>
      <c r="J1395" s="70"/>
      <c r="L1395" s="71"/>
      <c r="N1395" s="70"/>
    </row>
    <row r="1396" spans="1:14" ht="15" customHeight="1" x14ac:dyDescent="0.2">
      <c r="A1396" s="292"/>
      <c r="C1396" s="189"/>
      <c r="E1396" s="190"/>
      <c r="G1396" s="70"/>
      <c r="H1396" s="70"/>
      <c r="J1396" s="70"/>
      <c r="L1396" s="71"/>
      <c r="N1396" s="70"/>
    </row>
    <row r="1397" spans="1:14" ht="15" customHeight="1" x14ac:dyDescent="0.2">
      <c r="A1397" s="292"/>
      <c r="C1397" s="189"/>
      <c r="E1397" s="190"/>
      <c r="G1397" s="70"/>
      <c r="H1397" s="70"/>
      <c r="J1397" s="70"/>
      <c r="L1397" s="71"/>
      <c r="N1397" s="70"/>
    </row>
    <row r="1398" spans="1:14" ht="15" customHeight="1" x14ac:dyDescent="0.2">
      <c r="A1398" s="292"/>
      <c r="C1398" s="189"/>
      <c r="E1398" s="190"/>
      <c r="G1398" s="70"/>
      <c r="H1398" s="70"/>
      <c r="J1398" s="70"/>
      <c r="L1398" s="71"/>
      <c r="N1398" s="70"/>
    </row>
    <row r="1399" spans="1:14" ht="15" customHeight="1" x14ac:dyDescent="0.2">
      <c r="A1399" s="292"/>
      <c r="C1399" s="189"/>
      <c r="E1399" s="190"/>
      <c r="G1399" s="70"/>
      <c r="H1399" s="70"/>
      <c r="J1399" s="70"/>
      <c r="L1399" s="71"/>
      <c r="N1399" s="70"/>
    </row>
    <row r="1400" spans="1:14" ht="15" customHeight="1" x14ac:dyDescent="0.2">
      <c r="A1400" s="292"/>
      <c r="C1400" s="189"/>
      <c r="E1400" s="190"/>
      <c r="G1400" s="70"/>
      <c r="H1400" s="70"/>
      <c r="J1400" s="70"/>
      <c r="L1400" s="71"/>
      <c r="N1400" s="70"/>
    </row>
    <row r="1401" spans="1:14" ht="15" customHeight="1" x14ac:dyDescent="0.2">
      <c r="A1401" s="292"/>
      <c r="C1401" s="189"/>
      <c r="E1401" s="190"/>
      <c r="G1401" s="70"/>
      <c r="H1401" s="70"/>
      <c r="J1401" s="70"/>
      <c r="L1401" s="71"/>
      <c r="N1401" s="70"/>
    </row>
    <row r="1402" spans="1:14" ht="15" customHeight="1" x14ac:dyDescent="0.2">
      <c r="A1402" s="292"/>
      <c r="C1402" s="189"/>
      <c r="E1402" s="190"/>
      <c r="G1402" s="70"/>
      <c r="H1402" s="70"/>
      <c r="J1402" s="70"/>
      <c r="L1402" s="71"/>
      <c r="N1402" s="70"/>
    </row>
    <row r="1403" spans="1:14" ht="15" customHeight="1" x14ac:dyDescent="0.2">
      <c r="A1403" s="292"/>
      <c r="C1403" s="189"/>
      <c r="E1403" s="190"/>
      <c r="G1403" s="70"/>
      <c r="H1403" s="70"/>
      <c r="J1403" s="70"/>
      <c r="L1403" s="71"/>
      <c r="N1403" s="70"/>
    </row>
    <row r="1404" spans="1:14" ht="15" customHeight="1" x14ac:dyDescent="0.2">
      <c r="A1404" s="292"/>
      <c r="C1404" s="189"/>
      <c r="E1404" s="190"/>
      <c r="G1404" s="70"/>
      <c r="H1404" s="70"/>
      <c r="J1404" s="70"/>
      <c r="L1404" s="71"/>
      <c r="N1404" s="70"/>
    </row>
    <row r="1405" spans="1:14" ht="15" customHeight="1" x14ac:dyDescent="0.2">
      <c r="A1405" s="292"/>
      <c r="C1405" s="189"/>
      <c r="E1405" s="190"/>
      <c r="G1405" s="70"/>
      <c r="H1405" s="70"/>
      <c r="J1405" s="70"/>
      <c r="L1405" s="71"/>
      <c r="N1405" s="70"/>
    </row>
    <row r="1406" spans="1:14" ht="15" customHeight="1" x14ac:dyDescent="0.2">
      <c r="A1406" s="292"/>
      <c r="C1406" s="189"/>
      <c r="E1406" s="190"/>
      <c r="G1406" s="70"/>
      <c r="H1406" s="70"/>
      <c r="J1406" s="70"/>
      <c r="L1406" s="71"/>
      <c r="N1406" s="70"/>
    </row>
    <row r="1407" spans="1:14" ht="15" customHeight="1" x14ac:dyDescent="0.2">
      <c r="A1407" s="292"/>
      <c r="C1407" s="189"/>
      <c r="E1407" s="190"/>
      <c r="G1407" s="70"/>
      <c r="H1407" s="70"/>
      <c r="J1407" s="70"/>
      <c r="L1407" s="71"/>
      <c r="N1407" s="70"/>
    </row>
    <row r="1408" spans="1:14" ht="15" customHeight="1" x14ac:dyDescent="0.2">
      <c r="A1408" s="292"/>
      <c r="C1408" s="189"/>
      <c r="E1408" s="190"/>
      <c r="G1408" s="70"/>
      <c r="H1408" s="70"/>
      <c r="J1408" s="70"/>
      <c r="L1408" s="71"/>
      <c r="N1408" s="70"/>
    </row>
    <row r="1409" spans="1:14" ht="15" customHeight="1" x14ac:dyDescent="0.2">
      <c r="A1409" s="292"/>
      <c r="C1409" s="189"/>
      <c r="E1409" s="190"/>
      <c r="G1409" s="70"/>
      <c r="H1409" s="70"/>
      <c r="J1409" s="70"/>
      <c r="L1409" s="71"/>
      <c r="N1409" s="70"/>
    </row>
    <row r="1410" spans="1:14" ht="15" customHeight="1" x14ac:dyDescent="0.2">
      <c r="A1410" s="292"/>
      <c r="C1410" s="189"/>
      <c r="E1410" s="190"/>
      <c r="G1410" s="70"/>
      <c r="H1410" s="70"/>
      <c r="J1410" s="70"/>
      <c r="L1410" s="71"/>
      <c r="N1410" s="70"/>
    </row>
    <row r="1411" spans="1:14" ht="15" customHeight="1" x14ac:dyDescent="0.2">
      <c r="A1411" s="292"/>
      <c r="C1411" s="189"/>
      <c r="E1411" s="190"/>
      <c r="G1411" s="70"/>
      <c r="H1411" s="70"/>
      <c r="J1411" s="70"/>
      <c r="L1411" s="71"/>
      <c r="N1411" s="70"/>
    </row>
    <row r="1412" spans="1:14" ht="15" customHeight="1" x14ac:dyDescent="0.2">
      <c r="A1412" s="292"/>
      <c r="C1412" s="189"/>
      <c r="E1412" s="190"/>
      <c r="G1412" s="70"/>
      <c r="H1412" s="70"/>
      <c r="J1412" s="70"/>
      <c r="L1412" s="71"/>
      <c r="N1412" s="70"/>
    </row>
    <row r="1413" spans="1:14" ht="15" customHeight="1" x14ac:dyDescent="0.2">
      <c r="A1413" s="292"/>
      <c r="C1413" s="189"/>
      <c r="E1413" s="190"/>
      <c r="G1413" s="70"/>
      <c r="H1413" s="70"/>
      <c r="J1413" s="70"/>
      <c r="L1413" s="71"/>
      <c r="N1413" s="70"/>
    </row>
    <row r="1414" spans="1:14" ht="15" customHeight="1" x14ac:dyDescent="0.2">
      <c r="A1414" s="292"/>
      <c r="C1414" s="189"/>
      <c r="E1414" s="190"/>
      <c r="G1414" s="70"/>
      <c r="H1414" s="70"/>
      <c r="J1414" s="70"/>
      <c r="L1414" s="71"/>
      <c r="N1414" s="70"/>
    </row>
    <row r="1415" spans="1:14" ht="15" customHeight="1" x14ac:dyDescent="0.2">
      <c r="A1415" s="292"/>
      <c r="C1415" s="189"/>
      <c r="E1415" s="190"/>
      <c r="G1415" s="70"/>
      <c r="H1415" s="70"/>
      <c r="J1415" s="70"/>
      <c r="L1415" s="71"/>
      <c r="N1415" s="70"/>
    </row>
    <row r="1416" spans="1:14" ht="15" customHeight="1" x14ac:dyDescent="0.2">
      <c r="A1416" s="292"/>
      <c r="C1416" s="189"/>
      <c r="E1416" s="190"/>
      <c r="G1416" s="70"/>
      <c r="H1416" s="70"/>
      <c r="J1416" s="70"/>
      <c r="L1416" s="71"/>
      <c r="N1416" s="70"/>
    </row>
    <row r="1417" spans="1:14" ht="15" customHeight="1" x14ac:dyDescent="0.2">
      <c r="A1417" s="292"/>
      <c r="C1417" s="189"/>
      <c r="E1417" s="190"/>
      <c r="G1417" s="70"/>
      <c r="H1417" s="70"/>
      <c r="J1417" s="70"/>
      <c r="L1417" s="71"/>
      <c r="N1417" s="70"/>
    </row>
    <row r="1418" spans="1:14" ht="15" customHeight="1" x14ac:dyDescent="0.2">
      <c r="A1418" s="292"/>
      <c r="C1418" s="189"/>
      <c r="E1418" s="190"/>
      <c r="G1418" s="70"/>
      <c r="H1418" s="70"/>
      <c r="J1418" s="70"/>
      <c r="L1418" s="71"/>
      <c r="N1418" s="70"/>
    </row>
    <row r="1419" spans="1:14" ht="15" customHeight="1" x14ac:dyDescent="0.2">
      <c r="A1419" s="292"/>
      <c r="C1419" s="189"/>
      <c r="E1419" s="190"/>
      <c r="G1419" s="70"/>
      <c r="H1419" s="70"/>
      <c r="J1419" s="70"/>
      <c r="L1419" s="71"/>
      <c r="N1419" s="70"/>
    </row>
    <row r="1420" spans="1:14" ht="15" customHeight="1" x14ac:dyDescent="0.2">
      <c r="A1420" s="292"/>
      <c r="C1420" s="189"/>
      <c r="E1420" s="190"/>
      <c r="G1420" s="70"/>
      <c r="H1420" s="70"/>
      <c r="J1420" s="70"/>
      <c r="L1420" s="71"/>
      <c r="N1420" s="70"/>
    </row>
    <row r="1421" spans="1:14" ht="15" customHeight="1" x14ac:dyDescent="0.2">
      <c r="A1421" s="292"/>
      <c r="C1421" s="189"/>
      <c r="E1421" s="190"/>
      <c r="G1421" s="70"/>
      <c r="H1421" s="70"/>
      <c r="J1421" s="70"/>
      <c r="L1421" s="71"/>
      <c r="N1421" s="70"/>
    </row>
    <row r="1422" spans="1:14" ht="15" customHeight="1" x14ac:dyDescent="0.2">
      <c r="A1422" s="292"/>
      <c r="C1422" s="189"/>
      <c r="E1422" s="190"/>
      <c r="G1422" s="70"/>
      <c r="H1422" s="70"/>
      <c r="J1422" s="70"/>
      <c r="L1422" s="71"/>
      <c r="N1422" s="70"/>
    </row>
    <row r="1423" spans="1:14" ht="15" customHeight="1" x14ac:dyDescent="0.2">
      <c r="A1423" s="292"/>
      <c r="C1423" s="189"/>
      <c r="E1423" s="190"/>
      <c r="G1423" s="70"/>
      <c r="H1423" s="70"/>
      <c r="J1423" s="70"/>
      <c r="L1423" s="71"/>
      <c r="N1423" s="70"/>
    </row>
    <row r="1424" spans="1:14" ht="15" customHeight="1" x14ac:dyDescent="0.2">
      <c r="A1424" s="292"/>
      <c r="C1424" s="189"/>
      <c r="E1424" s="190"/>
      <c r="G1424" s="70"/>
      <c r="H1424" s="70"/>
      <c r="J1424" s="70"/>
      <c r="L1424" s="71"/>
      <c r="N1424" s="70"/>
    </row>
    <row r="1425" spans="1:14" ht="15" customHeight="1" x14ac:dyDescent="0.2">
      <c r="A1425" s="292"/>
      <c r="C1425" s="189"/>
      <c r="E1425" s="190"/>
      <c r="G1425" s="70"/>
      <c r="H1425" s="70"/>
      <c r="J1425" s="70"/>
      <c r="L1425" s="71"/>
      <c r="N1425" s="70"/>
    </row>
    <row r="1426" spans="1:14" ht="15" customHeight="1" x14ac:dyDescent="0.2">
      <c r="A1426" s="292"/>
      <c r="C1426" s="189"/>
      <c r="E1426" s="190"/>
      <c r="G1426" s="70"/>
      <c r="H1426" s="70"/>
      <c r="J1426" s="70"/>
      <c r="L1426" s="71"/>
      <c r="N1426" s="70"/>
    </row>
    <row r="1427" spans="1:14" ht="15" customHeight="1" x14ac:dyDescent="0.2">
      <c r="A1427" s="292"/>
      <c r="C1427" s="189"/>
      <c r="E1427" s="190"/>
      <c r="G1427" s="70"/>
      <c r="H1427" s="70"/>
      <c r="J1427" s="70"/>
      <c r="L1427" s="71"/>
      <c r="N1427" s="70"/>
    </row>
    <row r="1428" spans="1:14" ht="15" customHeight="1" x14ac:dyDescent="0.2">
      <c r="A1428" s="292"/>
      <c r="C1428" s="189"/>
      <c r="E1428" s="190"/>
      <c r="G1428" s="70"/>
      <c r="H1428" s="70"/>
      <c r="J1428" s="70"/>
      <c r="L1428" s="71"/>
      <c r="N1428" s="70"/>
    </row>
    <row r="1429" spans="1:14" ht="15" customHeight="1" x14ac:dyDescent="0.2">
      <c r="A1429" s="292"/>
      <c r="C1429" s="189"/>
      <c r="E1429" s="190"/>
      <c r="G1429" s="70"/>
      <c r="H1429" s="70"/>
      <c r="J1429" s="70"/>
      <c r="L1429" s="71"/>
      <c r="N1429" s="70"/>
    </row>
    <row r="1430" spans="1:14" ht="15" customHeight="1" x14ac:dyDescent="0.2">
      <c r="A1430" s="292"/>
      <c r="C1430" s="189"/>
      <c r="E1430" s="190"/>
      <c r="G1430" s="70"/>
      <c r="H1430" s="70"/>
      <c r="J1430" s="70"/>
      <c r="L1430" s="71"/>
      <c r="N1430" s="70"/>
    </row>
    <row r="1431" spans="1:14" ht="15" customHeight="1" x14ac:dyDescent="0.2">
      <c r="A1431" s="292"/>
      <c r="C1431" s="189"/>
      <c r="E1431" s="190"/>
      <c r="G1431" s="70"/>
      <c r="H1431" s="70"/>
      <c r="J1431" s="70"/>
      <c r="L1431" s="71"/>
      <c r="N1431" s="70"/>
    </row>
    <row r="1432" spans="1:14" ht="15" customHeight="1" x14ac:dyDescent="0.2">
      <c r="A1432" s="292"/>
      <c r="C1432" s="189"/>
      <c r="E1432" s="190"/>
      <c r="G1432" s="70"/>
      <c r="H1432" s="70"/>
      <c r="J1432" s="70"/>
      <c r="L1432" s="71"/>
      <c r="N1432" s="70"/>
    </row>
    <row r="1433" spans="1:14" ht="15" customHeight="1" x14ac:dyDescent="0.2">
      <c r="A1433" s="292"/>
      <c r="C1433" s="189"/>
      <c r="E1433" s="190"/>
      <c r="G1433" s="70"/>
      <c r="H1433" s="70"/>
      <c r="J1433" s="70"/>
      <c r="L1433" s="71"/>
      <c r="N1433" s="70"/>
    </row>
    <row r="1434" spans="1:14" ht="15" customHeight="1" x14ac:dyDescent="0.2">
      <c r="A1434" s="292"/>
      <c r="C1434" s="189"/>
      <c r="E1434" s="190"/>
      <c r="G1434" s="70"/>
      <c r="H1434" s="70"/>
      <c r="J1434" s="70"/>
      <c r="L1434" s="71"/>
      <c r="N1434" s="70"/>
    </row>
    <row r="1435" spans="1:14" ht="15" customHeight="1" x14ac:dyDescent="0.2">
      <c r="A1435" s="292"/>
      <c r="C1435" s="189"/>
      <c r="E1435" s="190"/>
      <c r="G1435" s="70"/>
      <c r="H1435" s="70"/>
      <c r="J1435" s="70"/>
      <c r="L1435" s="71"/>
      <c r="N1435" s="70"/>
    </row>
    <row r="1436" spans="1:14" ht="15" customHeight="1" x14ac:dyDescent="0.2">
      <c r="A1436" s="292"/>
      <c r="C1436" s="189"/>
      <c r="E1436" s="190"/>
      <c r="G1436" s="70"/>
      <c r="H1436" s="70"/>
      <c r="J1436" s="70"/>
      <c r="L1436" s="71"/>
      <c r="N1436" s="70"/>
    </row>
    <row r="1437" spans="1:14" ht="15" customHeight="1" x14ac:dyDescent="0.2">
      <c r="A1437" s="292"/>
      <c r="C1437" s="189"/>
      <c r="E1437" s="190"/>
      <c r="G1437" s="70"/>
      <c r="H1437" s="70"/>
      <c r="J1437" s="70"/>
      <c r="L1437" s="71"/>
      <c r="N1437" s="70"/>
    </row>
    <row r="1438" spans="1:14" ht="15" customHeight="1" x14ac:dyDescent="0.2">
      <c r="A1438" s="292"/>
      <c r="C1438" s="189"/>
      <c r="E1438" s="190"/>
      <c r="G1438" s="70"/>
      <c r="H1438" s="70"/>
      <c r="J1438" s="70"/>
      <c r="L1438" s="71"/>
      <c r="N1438" s="70"/>
    </row>
    <row r="1439" spans="1:14" ht="15" customHeight="1" x14ac:dyDescent="0.2">
      <c r="A1439" s="292"/>
      <c r="C1439" s="189"/>
      <c r="E1439" s="190"/>
      <c r="G1439" s="70"/>
      <c r="H1439" s="70"/>
      <c r="J1439" s="70"/>
      <c r="L1439" s="71"/>
      <c r="N1439" s="70"/>
    </row>
    <row r="1440" spans="1:14" ht="15" customHeight="1" x14ac:dyDescent="0.2">
      <c r="A1440" s="292"/>
      <c r="C1440" s="189"/>
      <c r="E1440" s="190"/>
      <c r="G1440" s="70"/>
      <c r="H1440" s="70"/>
      <c r="J1440" s="70"/>
      <c r="L1440" s="71"/>
      <c r="N1440" s="70"/>
    </row>
    <row r="1441" spans="1:14" ht="15" customHeight="1" x14ac:dyDescent="0.2">
      <c r="A1441" s="292"/>
      <c r="C1441" s="189"/>
      <c r="E1441" s="190"/>
      <c r="G1441" s="70"/>
      <c r="H1441" s="70"/>
      <c r="J1441" s="70"/>
      <c r="L1441" s="71"/>
      <c r="N1441" s="70"/>
    </row>
    <row r="1442" spans="1:14" ht="15" customHeight="1" x14ac:dyDescent="0.2">
      <c r="A1442" s="292"/>
      <c r="C1442" s="189"/>
      <c r="E1442" s="190"/>
      <c r="G1442" s="70"/>
      <c r="H1442" s="70"/>
      <c r="J1442" s="70"/>
      <c r="L1442" s="71"/>
      <c r="N1442" s="70"/>
    </row>
    <row r="1443" spans="1:14" ht="15" customHeight="1" x14ac:dyDescent="0.2">
      <c r="A1443" s="292"/>
      <c r="C1443" s="189"/>
      <c r="E1443" s="190"/>
      <c r="G1443" s="70"/>
      <c r="H1443" s="70"/>
      <c r="J1443" s="70"/>
      <c r="L1443" s="71"/>
      <c r="N1443" s="70"/>
    </row>
    <row r="1444" spans="1:14" ht="15" customHeight="1" x14ac:dyDescent="0.2">
      <c r="A1444" s="292"/>
      <c r="C1444" s="189"/>
      <c r="E1444" s="190"/>
      <c r="G1444" s="70"/>
      <c r="H1444" s="70"/>
      <c r="J1444" s="70"/>
      <c r="L1444" s="71"/>
      <c r="N1444" s="70"/>
    </row>
    <row r="1445" spans="1:14" ht="15" customHeight="1" x14ac:dyDescent="0.2">
      <c r="A1445" s="292"/>
      <c r="C1445" s="189"/>
      <c r="E1445" s="190"/>
      <c r="G1445" s="70"/>
      <c r="H1445" s="70"/>
      <c r="J1445" s="70"/>
      <c r="L1445" s="71"/>
      <c r="N1445" s="70"/>
    </row>
    <row r="1446" spans="1:14" ht="15" customHeight="1" x14ac:dyDescent="0.2">
      <c r="A1446" s="292"/>
      <c r="C1446" s="189"/>
      <c r="E1446" s="190"/>
      <c r="G1446" s="70"/>
      <c r="H1446" s="70"/>
      <c r="J1446" s="70"/>
      <c r="L1446" s="71"/>
      <c r="N1446" s="70"/>
    </row>
    <row r="1447" spans="1:14" ht="15" customHeight="1" x14ac:dyDescent="0.2">
      <c r="A1447" s="292"/>
      <c r="C1447" s="189"/>
      <c r="E1447" s="190"/>
      <c r="G1447" s="70"/>
      <c r="H1447" s="70"/>
      <c r="J1447" s="70"/>
      <c r="L1447" s="71"/>
      <c r="N1447" s="70"/>
    </row>
    <row r="1448" spans="1:14" ht="15" customHeight="1" x14ac:dyDescent="0.2">
      <c r="A1448" s="292"/>
      <c r="C1448" s="189"/>
      <c r="E1448" s="190"/>
      <c r="G1448" s="70"/>
      <c r="H1448" s="70"/>
      <c r="J1448" s="70"/>
      <c r="L1448" s="71"/>
      <c r="N1448" s="70"/>
    </row>
    <row r="1449" spans="1:14" ht="15" customHeight="1" x14ac:dyDescent="0.2">
      <c r="A1449" s="292"/>
      <c r="C1449" s="189"/>
      <c r="E1449" s="190"/>
      <c r="G1449" s="70"/>
      <c r="H1449" s="70"/>
      <c r="J1449" s="70"/>
      <c r="L1449" s="71"/>
      <c r="N1449" s="70"/>
    </row>
    <row r="1450" spans="1:14" ht="15" customHeight="1" x14ac:dyDescent="0.2">
      <c r="A1450" s="292"/>
      <c r="C1450" s="189"/>
      <c r="E1450" s="190"/>
      <c r="G1450" s="70"/>
      <c r="H1450" s="70"/>
      <c r="J1450" s="70"/>
      <c r="L1450" s="71"/>
      <c r="N1450" s="70"/>
    </row>
    <row r="1451" spans="1:14" ht="15" customHeight="1" x14ac:dyDescent="0.2">
      <c r="A1451" s="292"/>
      <c r="C1451" s="189"/>
      <c r="E1451" s="190"/>
      <c r="G1451" s="70"/>
      <c r="H1451" s="70"/>
      <c r="J1451" s="70"/>
      <c r="L1451" s="71"/>
      <c r="N1451" s="70"/>
    </row>
    <row r="1452" spans="1:14" ht="15" customHeight="1" x14ac:dyDescent="0.2">
      <c r="A1452" s="292"/>
      <c r="C1452" s="189"/>
      <c r="E1452" s="190"/>
      <c r="G1452" s="70"/>
      <c r="H1452" s="70"/>
      <c r="J1452" s="70"/>
      <c r="L1452" s="71"/>
      <c r="N1452" s="70"/>
    </row>
    <row r="1453" spans="1:14" ht="15" customHeight="1" x14ac:dyDescent="0.2">
      <c r="A1453" s="292"/>
      <c r="C1453" s="189"/>
      <c r="E1453" s="190"/>
      <c r="G1453" s="70"/>
      <c r="H1453" s="70"/>
      <c r="J1453" s="70"/>
      <c r="L1453" s="71"/>
      <c r="N1453" s="70"/>
    </row>
    <row r="1454" spans="1:14" ht="15" customHeight="1" x14ac:dyDescent="0.2">
      <c r="A1454" s="292"/>
      <c r="C1454" s="189"/>
      <c r="E1454" s="190"/>
      <c r="G1454" s="70"/>
      <c r="H1454" s="70"/>
      <c r="J1454" s="70"/>
      <c r="L1454" s="71"/>
      <c r="N1454" s="70"/>
    </row>
    <row r="1455" spans="1:14" ht="15" customHeight="1" x14ac:dyDescent="0.2">
      <c r="A1455" s="292"/>
      <c r="C1455" s="189"/>
      <c r="E1455" s="190"/>
      <c r="G1455" s="70"/>
      <c r="H1455" s="70"/>
      <c r="J1455" s="70"/>
      <c r="L1455" s="71"/>
      <c r="N1455" s="70"/>
    </row>
    <row r="1456" spans="1:14" ht="15" customHeight="1" x14ac:dyDescent="0.2">
      <c r="A1456" s="292"/>
      <c r="C1456" s="189"/>
      <c r="E1456" s="190"/>
      <c r="G1456" s="70"/>
      <c r="H1456" s="70"/>
      <c r="J1456" s="70"/>
      <c r="L1456" s="71"/>
      <c r="N1456" s="70"/>
    </row>
    <row r="1457" spans="1:14" ht="15" customHeight="1" x14ac:dyDescent="0.2">
      <c r="A1457" s="292"/>
      <c r="C1457" s="189"/>
      <c r="E1457" s="190"/>
      <c r="G1457" s="70"/>
      <c r="H1457" s="70"/>
      <c r="J1457" s="70"/>
      <c r="L1457" s="71"/>
      <c r="N1457" s="70"/>
    </row>
    <row r="1458" spans="1:14" ht="15" customHeight="1" x14ac:dyDescent="0.2">
      <c r="A1458" s="292"/>
      <c r="C1458" s="189"/>
      <c r="E1458" s="190"/>
      <c r="G1458" s="70"/>
      <c r="H1458" s="70"/>
      <c r="J1458" s="70"/>
      <c r="L1458" s="71"/>
      <c r="N1458" s="70"/>
    </row>
    <row r="1459" spans="1:14" ht="15" customHeight="1" x14ac:dyDescent="0.2">
      <c r="A1459" s="292"/>
      <c r="C1459" s="189"/>
      <c r="E1459" s="190"/>
      <c r="G1459" s="70"/>
      <c r="H1459" s="70"/>
      <c r="J1459" s="70"/>
      <c r="L1459" s="71"/>
      <c r="N1459" s="70"/>
    </row>
    <row r="1460" spans="1:14" ht="15" customHeight="1" x14ac:dyDescent="0.2">
      <c r="A1460" s="292"/>
      <c r="C1460" s="189"/>
      <c r="E1460" s="190"/>
      <c r="G1460" s="70"/>
      <c r="H1460" s="70"/>
      <c r="J1460" s="70"/>
      <c r="L1460" s="71"/>
      <c r="N1460" s="70"/>
    </row>
    <row r="1461" spans="1:14" ht="15" customHeight="1" x14ac:dyDescent="0.2">
      <c r="A1461" s="292"/>
      <c r="C1461" s="189"/>
      <c r="E1461" s="190"/>
      <c r="G1461" s="70"/>
      <c r="H1461" s="70"/>
      <c r="J1461" s="70"/>
      <c r="L1461" s="71"/>
      <c r="N1461" s="70"/>
    </row>
    <row r="1462" spans="1:14" ht="15" customHeight="1" x14ac:dyDescent="0.2">
      <c r="A1462" s="292"/>
      <c r="C1462" s="189"/>
      <c r="E1462" s="190"/>
      <c r="G1462" s="70"/>
      <c r="H1462" s="70"/>
      <c r="J1462" s="70"/>
      <c r="L1462" s="71"/>
      <c r="N1462" s="70"/>
    </row>
    <row r="1463" spans="1:14" ht="15" customHeight="1" x14ac:dyDescent="0.2">
      <c r="A1463" s="292"/>
      <c r="C1463" s="189"/>
      <c r="E1463" s="190"/>
      <c r="G1463" s="70"/>
      <c r="H1463" s="70"/>
      <c r="J1463" s="70"/>
      <c r="L1463" s="71"/>
      <c r="N1463" s="70"/>
    </row>
    <row r="1464" spans="1:14" ht="15" customHeight="1" x14ac:dyDescent="0.2">
      <c r="A1464" s="292"/>
      <c r="C1464" s="189"/>
      <c r="E1464" s="190"/>
      <c r="G1464" s="70"/>
      <c r="H1464" s="70"/>
      <c r="J1464" s="70"/>
      <c r="L1464" s="71"/>
      <c r="N1464" s="70"/>
    </row>
    <row r="1465" spans="1:14" ht="15" customHeight="1" x14ac:dyDescent="0.2">
      <c r="A1465" s="292"/>
      <c r="C1465" s="189"/>
      <c r="E1465" s="190"/>
      <c r="G1465" s="70"/>
      <c r="H1465" s="70"/>
      <c r="J1465" s="70"/>
      <c r="L1465" s="71"/>
      <c r="N1465" s="70"/>
    </row>
    <row r="1466" spans="1:14" ht="15" customHeight="1" x14ac:dyDescent="0.2">
      <c r="A1466" s="292"/>
      <c r="C1466" s="189"/>
      <c r="E1466" s="190"/>
      <c r="G1466" s="70"/>
      <c r="H1466" s="70"/>
      <c r="J1466" s="70"/>
      <c r="L1466" s="71"/>
      <c r="N1466" s="70"/>
    </row>
    <row r="1467" spans="1:14" ht="15" customHeight="1" x14ac:dyDescent="0.2">
      <c r="A1467" s="292"/>
      <c r="C1467" s="189"/>
      <c r="E1467" s="190"/>
      <c r="G1467" s="70"/>
      <c r="H1467" s="70"/>
      <c r="J1467" s="70"/>
      <c r="L1467" s="71"/>
      <c r="N1467" s="70"/>
    </row>
    <row r="1468" spans="1:14" ht="15" customHeight="1" x14ac:dyDescent="0.2">
      <c r="A1468" s="292"/>
      <c r="C1468" s="189"/>
      <c r="E1468" s="190"/>
      <c r="G1468" s="70"/>
      <c r="H1468" s="70"/>
      <c r="J1468" s="70"/>
      <c r="L1468" s="71"/>
      <c r="N1468" s="70"/>
    </row>
    <row r="1469" spans="1:14" ht="15" customHeight="1" x14ac:dyDescent="0.2">
      <c r="A1469" s="292"/>
      <c r="C1469" s="189"/>
      <c r="E1469" s="190"/>
      <c r="G1469" s="70"/>
      <c r="H1469" s="70"/>
      <c r="J1469" s="70"/>
      <c r="L1469" s="71"/>
      <c r="N1469" s="70"/>
    </row>
    <row r="1470" spans="1:14" ht="15" customHeight="1" x14ac:dyDescent="0.2">
      <c r="A1470" s="292"/>
      <c r="C1470" s="189"/>
      <c r="E1470" s="190"/>
      <c r="G1470" s="70"/>
      <c r="H1470" s="70"/>
      <c r="J1470" s="70"/>
      <c r="L1470" s="71"/>
      <c r="N1470" s="70"/>
    </row>
    <row r="1471" spans="1:14" ht="15" customHeight="1" x14ac:dyDescent="0.2">
      <c r="A1471" s="292"/>
      <c r="C1471" s="189"/>
      <c r="E1471" s="190"/>
      <c r="G1471" s="70"/>
      <c r="H1471" s="70"/>
      <c r="J1471" s="70"/>
      <c r="L1471" s="71"/>
      <c r="N1471" s="70"/>
    </row>
    <row r="1472" spans="1:14" ht="15" customHeight="1" x14ac:dyDescent="0.2">
      <c r="A1472" s="292"/>
      <c r="C1472" s="189"/>
      <c r="E1472" s="190"/>
      <c r="G1472" s="70"/>
      <c r="H1472" s="70"/>
      <c r="J1472" s="70"/>
      <c r="L1472" s="71"/>
      <c r="N1472" s="70"/>
    </row>
    <row r="1473" spans="1:14" ht="15" customHeight="1" x14ac:dyDescent="0.2">
      <c r="A1473" s="292"/>
      <c r="C1473" s="189"/>
      <c r="E1473" s="190"/>
      <c r="G1473" s="70"/>
      <c r="H1473" s="70"/>
      <c r="J1473" s="70"/>
      <c r="L1473" s="71"/>
      <c r="N1473" s="70"/>
    </row>
    <row r="1474" spans="1:14" ht="15" customHeight="1" x14ac:dyDescent="0.2">
      <c r="A1474" s="292"/>
      <c r="C1474" s="189"/>
      <c r="E1474" s="190"/>
      <c r="G1474" s="70"/>
      <c r="H1474" s="70"/>
      <c r="J1474" s="70"/>
      <c r="L1474" s="71"/>
      <c r="N1474" s="70"/>
    </row>
    <row r="1475" spans="1:14" ht="15" customHeight="1" x14ac:dyDescent="0.2">
      <c r="A1475" s="292"/>
      <c r="C1475" s="189"/>
      <c r="E1475" s="190"/>
      <c r="G1475" s="70"/>
      <c r="H1475" s="70"/>
      <c r="J1475" s="70"/>
      <c r="L1475" s="71"/>
      <c r="N1475" s="70"/>
    </row>
    <row r="1476" spans="1:14" ht="15" customHeight="1" x14ac:dyDescent="0.2">
      <c r="A1476" s="292"/>
      <c r="C1476" s="189"/>
      <c r="E1476" s="190"/>
      <c r="G1476" s="70"/>
      <c r="H1476" s="70"/>
      <c r="J1476" s="70"/>
      <c r="L1476" s="71"/>
      <c r="N1476" s="70"/>
    </row>
    <row r="1477" spans="1:14" ht="15" customHeight="1" x14ac:dyDescent="0.2">
      <c r="A1477" s="292"/>
      <c r="C1477" s="189"/>
      <c r="E1477" s="190"/>
      <c r="G1477" s="70"/>
      <c r="H1477" s="70"/>
      <c r="J1477" s="70"/>
      <c r="L1477" s="71"/>
      <c r="N1477" s="70"/>
    </row>
    <row r="1478" spans="1:14" ht="15" customHeight="1" x14ac:dyDescent="0.2">
      <c r="A1478" s="292"/>
      <c r="C1478" s="189"/>
      <c r="E1478" s="190"/>
      <c r="G1478" s="70"/>
      <c r="H1478" s="70"/>
      <c r="J1478" s="70"/>
      <c r="L1478" s="71"/>
      <c r="N1478" s="70"/>
    </row>
    <row r="1479" spans="1:14" ht="15" customHeight="1" x14ac:dyDescent="0.2">
      <c r="A1479" s="292"/>
      <c r="B1479" s="180"/>
      <c r="C1479" s="189"/>
      <c r="E1479" s="190"/>
      <c r="G1479" s="70"/>
      <c r="H1479" s="70"/>
      <c r="I1479" s="64"/>
      <c r="J1479" s="70"/>
      <c r="K1479" s="64"/>
      <c r="L1479" s="71"/>
      <c r="M1479" s="187"/>
      <c r="N1479" s="70"/>
    </row>
    <row r="1480" spans="1:14" ht="15" customHeight="1" x14ac:dyDescent="0.2">
      <c r="A1480" s="293"/>
      <c r="B1480" s="195"/>
      <c r="C1480" s="196"/>
      <c r="D1480" s="197"/>
      <c r="E1480" s="198"/>
      <c r="F1480" s="199"/>
      <c r="G1480" s="200"/>
      <c r="H1480" s="200"/>
      <c r="I1480" s="201"/>
      <c r="J1480" s="200"/>
      <c r="K1480" s="201"/>
      <c r="L1480" s="202"/>
      <c r="M1480" s="203"/>
      <c r="N1480" s="200"/>
    </row>
  </sheetData>
  <mergeCells count="12">
    <mergeCell ref="A31:A32"/>
    <mergeCell ref="B31:B32"/>
    <mergeCell ref="C31:D32"/>
    <mergeCell ref="E31:E32"/>
    <mergeCell ref="A28:F28"/>
    <mergeCell ref="A29:F29"/>
    <mergeCell ref="A1:F1"/>
    <mergeCell ref="A2:F2"/>
    <mergeCell ref="A5:A6"/>
    <mergeCell ref="B5:B6"/>
    <mergeCell ref="C5:D6"/>
    <mergeCell ref="E5:E6"/>
  </mergeCells>
  <printOptions horizontalCentered="1"/>
  <pageMargins left="0.43307086614173229" right="0.11811023622047245" top="0.23622047244094491" bottom="0.23622047244094491" header="0.15748031496062992" footer="0.15748031496062992"/>
  <pageSetup paperSize="9" scale="6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0000"/>
    <pageSetUpPr fitToPage="1"/>
  </sheetPr>
  <dimension ref="A1:R1896"/>
  <sheetViews>
    <sheetView view="pageBreakPreview" zoomScale="85" zoomScaleNormal="85" zoomScaleSheetLayoutView="85" workbookViewId="0">
      <selection activeCell="S10" sqref="S10"/>
    </sheetView>
  </sheetViews>
  <sheetFormatPr defaultColWidth="8.42578125" defaultRowHeight="15" customHeight="1" x14ac:dyDescent="0.2"/>
  <cols>
    <col min="1" max="1" width="6.140625" style="418" customWidth="1"/>
    <col min="2" max="2" width="83.28515625" style="405" customWidth="1"/>
    <col min="3" max="3" width="11.28515625" style="419" customWidth="1"/>
    <col min="4" max="4" width="11.28515625" style="406" customWidth="1"/>
    <col min="5" max="5" width="14.28515625" style="399" customWidth="1"/>
    <col min="6" max="6" width="18.42578125" style="407" customWidth="1"/>
    <col min="7" max="7" width="11.5703125" style="295" hidden="1" customWidth="1"/>
    <col min="8" max="8" width="53.28515625" style="295" hidden="1" customWidth="1"/>
    <col min="9" max="10" width="0" style="295" hidden="1" customWidth="1"/>
    <col min="11" max="11" width="17.140625" style="295" hidden="1" customWidth="1"/>
    <col min="12" max="12" width="21.28515625" style="296" hidden="1" customWidth="1"/>
    <col min="13" max="13" width="14" style="296" hidden="1" customWidth="1"/>
    <col min="14" max="14" width="9.5703125" style="295" hidden="1" customWidth="1"/>
    <col min="15" max="15" width="17.85546875" style="61" hidden="1" customWidth="1"/>
    <col min="16" max="16" width="17.7109375" style="63" hidden="1" customWidth="1"/>
    <col min="17" max="17" width="37.85546875" style="63" hidden="1" customWidth="1"/>
    <col min="18" max="18" width="20" style="295" customWidth="1"/>
    <col min="19" max="252" width="9.140625" style="295" customWidth="1"/>
    <col min="253" max="253" width="6.140625" style="295" customWidth="1"/>
    <col min="254" max="254" width="83.28515625" style="295" customWidth="1"/>
    <col min="255" max="255" width="11.28515625" style="295" customWidth="1"/>
    <col min="256" max="16384" width="8.42578125" style="295"/>
  </cols>
  <sheetData>
    <row r="1" spans="1:18" ht="15" customHeight="1" x14ac:dyDescent="0.2">
      <c r="A1" s="2086" t="s">
        <v>2288</v>
      </c>
      <c r="B1" s="2086"/>
      <c r="C1" s="2086"/>
      <c r="D1" s="2086"/>
      <c r="E1" s="2086"/>
      <c r="F1" s="2086"/>
    </row>
    <row r="2" spans="1:18" ht="15" customHeight="1" x14ac:dyDescent="0.2">
      <c r="A2" s="2087" t="s">
        <v>859</v>
      </c>
      <c r="B2" s="2087"/>
      <c r="C2" s="2087"/>
      <c r="D2" s="2087"/>
      <c r="E2" s="2087"/>
      <c r="F2" s="2087"/>
      <c r="N2" s="297"/>
      <c r="O2" s="64"/>
    </row>
    <row r="3" spans="1:18" ht="15" customHeight="1" x14ac:dyDescent="0.2">
      <c r="A3" s="298"/>
      <c r="B3" s="298"/>
      <c r="C3" s="298"/>
      <c r="D3" s="298"/>
      <c r="E3" s="299"/>
      <c r="F3" s="298"/>
      <c r="N3" s="297"/>
      <c r="O3" s="64"/>
    </row>
    <row r="4" spans="1:18" ht="15" customHeight="1" thickBot="1" x14ac:dyDescent="0.25">
      <c r="A4" s="298"/>
      <c r="B4" s="298"/>
      <c r="C4" s="298"/>
      <c r="D4" s="298"/>
      <c r="E4" s="299"/>
      <c r="F4" s="298"/>
      <c r="N4" s="297"/>
      <c r="O4" s="64"/>
    </row>
    <row r="5" spans="1:18" s="301" customFormat="1" ht="15" customHeight="1" x14ac:dyDescent="0.2">
      <c r="A5" s="2088" t="s">
        <v>1</v>
      </c>
      <c r="B5" s="2090" t="s">
        <v>850</v>
      </c>
      <c r="C5" s="2092" t="s">
        <v>2</v>
      </c>
      <c r="D5" s="2093"/>
      <c r="E5" s="2096" t="s">
        <v>851</v>
      </c>
      <c r="F5" s="300" t="s">
        <v>852</v>
      </c>
      <c r="J5" s="302"/>
      <c r="L5" s="303"/>
      <c r="M5" s="304"/>
      <c r="N5" s="302"/>
      <c r="O5" s="64"/>
      <c r="P5" s="63"/>
      <c r="Q5" s="63"/>
    </row>
    <row r="6" spans="1:18" s="301" customFormat="1" ht="15" customHeight="1" thickBot="1" x14ac:dyDescent="0.25">
      <c r="A6" s="2089"/>
      <c r="B6" s="2091"/>
      <c r="C6" s="2094"/>
      <c r="D6" s="2095"/>
      <c r="E6" s="2097"/>
      <c r="F6" s="305" t="s">
        <v>853</v>
      </c>
      <c r="J6" s="302"/>
      <c r="L6" s="303"/>
      <c r="M6" s="304"/>
      <c r="N6" s="302"/>
      <c r="O6" s="64"/>
      <c r="P6" s="63"/>
      <c r="Q6" s="63"/>
    </row>
    <row r="7" spans="1:18" ht="15" customHeight="1" thickTop="1" thickBot="1" x14ac:dyDescent="0.25">
      <c r="A7" s="306"/>
      <c r="B7" s="307"/>
      <c r="C7" s="308"/>
      <c r="D7" s="309"/>
      <c r="E7" s="308"/>
      <c r="F7" s="310"/>
      <c r="G7" s="311"/>
      <c r="H7" s="297"/>
      <c r="J7" s="297"/>
      <c r="L7" s="312"/>
      <c r="N7" s="297"/>
      <c r="O7" s="209" t="s">
        <v>11</v>
      </c>
      <c r="P7" s="73" t="s">
        <v>1745</v>
      </c>
      <c r="Q7" s="73" t="s">
        <v>1667</v>
      </c>
    </row>
    <row r="8" spans="1:18" s="321" customFormat="1" ht="15" customHeight="1" thickBot="1" x14ac:dyDescent="0.25">
      <c r="A8" s="313" t="s">
        <v>575</v>
      </c>
      <c r="B8" s="314" t="s">
        <v>1730</v>
      </c>
      <c r="C8" s="315">
        <f>C10+C337</f>
        <v>230</v>
      </c>
      <c r="D8" s="316" t="s">
        <v>860</v>
      </c>
      <c r="E8" s="317"/>
      <c r="F8" s="318">
        <f>F10+F337</f>
        <v>482629754.60000002</v>
      </c>
      <c r="G8" s="319"/>
      <c r="H8" s="320"/>
      <c r="J8" s="322"/>
      <c r="L8" s="323"/>
      <c r="M8" s="324"/>
      <c r="N8" s="322"/>
      <c r="O8" s="210"/>
      <c r="P8" s="211"/>
      <c r="Q8" s="269"/>
    </row>
    <row r="9" spans="1:18" ht="15" customHeight="1" thickBot="1" x14ac:dyDescent="0.25">
      <c r="A9" s="306"/>
      <c r="B9" s="307"/>
      <c r="C9" s="308"/>
      <c r="D9" s="309"/>
      <c r="E9" s="308"/>
      <c r="F9" s="310"/>
      <c r="G9" s="311"/>
      <c r="H9" s="297"/>
      <c r="J9" s="297"/>
      <c r="L9" s="312"/>
      <c r="N9" s="297"/>
      <c r="O9" s="212"/>
      <c r="P9" s="213"/>
      <c r="Q9" s="214"/>
    </row>
    <row r="10" spans="1:18" s="333" customFormat="1" ht="15" customHeight="1" thickBot="1" x14ac:dyDescent="0.25">
      <c r="A10" s="325" t="s">
        <v>1726</v>
      </c>
      <c r="B10" s="326" t="s">
        <v>1727</v>
      </c>
      <c r="C10" s="327">
        <f>C12+C19+C28+C37+C52+C60+C70+C74+C85+C93+C101+C115+C126+C135+C143+C166+C173+C180+C195+C207+C223+C232+C242+C248+C254+C267+C277+C286+C298+C307+C315+C321+C332</f>
        <v>224</v>
      </c>
      <c r="D10" s="328" t="s">
        <v>860</v>
      </c>
      <c r="E10" s="329"/>
      <c r="F10" s="330">
        <f>F12+F19+F28+F37+F52+F60+F70+F74+F85+F93+F101+F115+F126+F135+F143+F166+F173+F180+F195+F207+F223+F232+F242+F248+F254+F267+F277+F286+F298+F307+F315+F321+F332</f>
        <v>456929754.60000002</v>
      </c>
      <c r="G10" s="331"/>
      <c r="H10" s="332"/>
      <c r="J10" s="334"/>
      <c r="L10" s="335"/>
      <c r="M10" s="336"/>
      <c r="N10" s="334"/>
      <c r="O10" s="215">
        <f>F10</f>
        <v>456929754.60000002</v>
      </c>
      <c r="P10" s="216" t="e">
        <f>'DEFINITIF (APBNP)'!#REF!</f>
        <v>#REF!</v>
      </c>
      <c r="Q10" s="337" t="e">
        <f>O10-P10</f>
        <v>#REF!</v>
      </c>
      <c r="R10" s="658"/>
    </row>
    <row r="11" spans="1:18" s="346" customFormat="1" ht="15" customHeight="1" x14ac:dyDescent="0.2">
      <c r="A11" s="338"/>
      <c r="B11" s="339"/>
      <c r="C11" s="340"/>
      <c r="D11" s="341"/>
      <c r="E11" s="342"/>
      <c r="F11" s="343"/>
      <c r="G11" s="344"/>
      <c r="H11" s="345"/>
      <c r="J11" s="347"/>
      <c r="L11" s="340"/>
      <c r="M11" s="348"/>
      <c r="N11" s="347"/>
      <c r="O11" s="212"/>
      <c r="P11" s="213"/>
      <c r="Q11" s="223"/>
      <c r="R11" s="659"/>
    </row>
    <row r="12" spans="1:18" s="355" customFormat="1" ht="15" customHeight="1" x14ac:dyDescent="0.2">
      <c r="A12" s="349">
        <v>1</v>
      </c>
      <c r="B12" s="350" t="s">
        <v>758</v>
      </c>
      <c r="C12" s="350">
        <f>SUM(C13:C17)</f>
        <v>5</v>
      </c>
      <c r="D12" s="351"/>
      <c r="E12" s="351"/>
      <c r="F12" s="352">
        <f>SUM(F13:F17)</f>
        <v>7478685</v>
      </c>
      <c r="G12" s="353"/>
      <c r="H12" s="354"/>
      <c r="J12" s="354"/>
      <c r="L12" s="356"/>
      <c r="M12" s="357"/>
      <c r="N12" s="354"/>
      <c r="O12" s="215">
        <f>F12</f>
        <v>7478685</v>
      </c>
      <c r="P12" s="216">
        <f>O12-F12</f>
        <v>0</v>
      </c>
      <c r="Q12" s="223"/>
    </row>
    <row r="13" spans="1:18" s="363" customFormat="1" ht="15" customHeight="1" x14ac:dyDescent="0.2">
      <c r="A13" s="358"/>
      <c r="B13" s="359" t="str">
        <f>'DEFINITIF (APBNP)'!B14</f>
        <v>Km.0 -Kota Sabang</v>
      </c>
      <c r="C13" s="359">
        <f>'DEFINITIF (APBNP)'!C14</f>
        <v>1</v>
      </c>
      <c r="D13" s="359" t="str">
        <f>'DEFINITIF (APBNP)'!D14</f>
        <v>PKT</v>
      </c>
      <c r="E13" s="359">
        <f>'DEFINITIF (APBNP)'!E14</f>
        <v>1114400</v>
      </c>
      <c r="F13" s="360">
        <f t="shared" ref="F13:F58" si="0">C13*E13</f>
        <v>1114400</v>
      </c>
      <c r="G13" s="361"/>
      <c r="H13" s="362"/>
      <c r="J13" s="362"/>
      <c r="L13" s="364"/>
      <c r="M13" s="365"/>
      <c r="N13" s="362"/>
      <c r="O13" s="212"/>
      <c r="P13" s="213"/>
      <c r="Q13" s="223"/>
    </row>
    <row r="14" spans="1:18" s="363" customFormat="1" ht="15" customHeight="1" x14ac:dyDescent="0.2">
      <c r="A14" s="358"/>
      <c r="B14" s="359" t="str">
        <f>'DEFINITIF (APBNP)'!B15</f>
        <v>Lintas Ujong Drien-Sp Peut (Kab. Nagan Raya)</v>
      </c>
      <c r="C14" s="359">
        <f>'DEFINITIF (APBNP)'!C15</f>
        <v>1</v>
      </c>
      <c r="D14" s="359" t="str">
        <f>'DEFINITIF (APBNP)'!D15</f>
        <v>PKT</v>
      </c>
      <c r="E14" s="359">
        <f>'DEFINITIF (APBNP)'!E15</f>
        <v>1678980</v>
      </c>
      <c r="F14" s="360">
        <f t="shared" si="0"/>
        <v>1678980</v>
      </c>
      <c r="G14" s="361"/>
      <c r="H14" s="362"/>
      <c r="J14" s="362"/>
      <c r="L14" s="364"/>
      <c r="M14" s="365"/>
      <c r="N14" s="362"/>
      <c r="O14" s="215"/>
      <c r="P14" s="216"/>
      <c r="Q14" s="223"/>
    </row>
    <row r="15" spans="1:18" s="363" customFormat="1" ht="15" customHeight="1" x14ac:dyDescent="0.2">
      <c r="A15" s="358"/>
      <c r="B15" s="359" t="str">
        <f>'DEFINITIF (APBNP)'!B16</f>
        <v>Berandeh Alue, Kab Pidie Jaya</v>
      </c>
      <c r="C15" s="359">
        <f>'DEFINITIF (APBNP)'!C16</f>
        <v>1</v>
      </c>
      <c r="D15" s="359" t="str">
        <f>'DEFINITIF (APBNP)'!D16</f>
        <v>PKT</v>
      </c>
      <c r="E15" s="359">
        <f>'DEFINITIF (APBNP)'!E16</f>
        <v>1296162</v>
      </c>
      <c r="F15" s="360">
        <f t="shared" si="0"/>
        <v>1296162</v>
      </c>
      <c r="G15" s="361"/>
      <c r="H15" s="362"/>
      <c r="J15" s="362"/>
      <c r="L15" s="364"/>
      <c r="M15" s="365"/>
      <c r="N15" s="362"/>
      <c r="O15" s="212"/>
      <c r="P15" s="213"/>
      <c r="Q15" s="223"/>
    </row>
    <row r="16" spans="1:18" s="363" customFormat="1" ht="15" customHeight="1" x14ac:dyDescent="0.2">
      <c r="A16" s="358"/>
      <c r="B16" s="359" t="str">
        <f>'DEFINITIF (APBNP)'!B17</f>
        <v>Durian Rampak-Keude Siblah</v>
      </c>
      <c r="C16" s="359">
        <f>'DEFINITIF (APBNP)'!C17</f>
        <v>1</v>
      </c>
      <c r="D16" s="359" t="str">
        <f>'DEFINITIF (APBNP)'!D17</f>
        <v>PKT</v>
      </c>
      <c r="E16" s="359">
        <f>'DEFINITIF (APBNP)'!E17</f>
        <v>1710207</v>
      </c>
      <c r="F16" s="360">
        <f t="shared" si="0"/>
        <v>1710207</v>
      </c>
      <c r="G16" s="361"/>
      <c r="H16" s="362"/>
      <c r="J16" s="362"/>
      <c r="L16" s="364"/>
      <c r="M16" s="365"/>
      <c r="N16" s="362"/>
      <c r="O16" s="215"/>
      <c r="P16" s="216"/>
      <c r="Q16" s="223"/>
    </row>
    <row r="17" spans="1:17" s="363" customFormat="1" ht="15" customHeight="1" x14ac:dyDescent="0.2">
      <c r="A17" s="358"/>
      <c r="B17" s="359" t="str">
        <f>'DEFINITIF (APBNP)'!B18</f>
        <v>Sp3 Lhok Pawoh-Labuhan Haji</v>
      </c>
      <c r="C17" s="359">
        <f>'DEFINITIF (APBNP)'!C18</f>
        <v>1</v>
      </c>
      <c r="D17" s="359" t="str">
        <f>'DEFINITIF (APBNP)'!D18</f>
        <v>PKT</v>
      </c>
      <c r="E17" s="359">
        <f>'DEFINITIF (APBNP)'!E18</f>
        <v>1678936</v>
      </c>
      <c r="F17" s="360">
        <f t="shared" si="0"/>
        <v>1678936</v>
      </c>
      <c r="G17" s="361"/>
      <c r="H17" s="366"/>
      <c r="J17" s="366"/>
      <c r="L17" s="364"/>
      <c r="M17" s="365"/>
      <c r="N17" s="366"/>
      <c r="O17" s="212"/>
      <c r="P17" s="213"/>
      <c r="Q17" s="223"/>
    </row>
    <row r="18" spans="1:17" s="363" customFormat="1" ht="15" customHeight="1" x14ac:dyDescent="0.2">
      <c r="A18" s="358"/>
      <c r="B18" s="359">
        <f>'DEFINITIF (APBNP)'!B19</f>
        <v>0</v>
      </c>
      <c r="C18" s="359"/>
      <c r="D18" s="359"/>
      <c r="E18" s="359"/>
      <c r="F18" s="360"/>
      <c r="G18" s="361"/>
      <c r="H18" s="366"/>
      <c r="J18" s="366"/>
      <c r="L18" s="364"/>
      <c r="M18" s="365"/>
      <c r="N18" s="366"/>
      <c r="O18" s="215"/>
      <c r="P18" s="216"/>
      <c r="Q18" s="223"/>
    </row>
    <row r="19" spans="1:17" s="355" customFormat="1" ht="15" customHeight="1" x14ac:dyDescent="0.2">
      <c r="A19" s="349">
        <v>2</v>
      </c>
      <c r="B19" s="350" t="s">
        <v>861</v>
      </c>
      <c r="C19" s="350">
        <f>SUM(C20:C26)</f>
        <v>6</v>
      </c>
      <c r="D19" s="351"/>
      <c r="E19" s="351"/>
      <c r="F19" s="352">
        <f>SUM(F20:F26)</f>
        <v>9779580</v>
      </c>
      <c r="G19" s="353"/>
      <c r="H19" s="354"/>
      <c r="J19" s="354"/>
      <c r="L19" s="356"/>
      <c r="M19" s="357"/>
      <c r="N19" s="354"/>
      <c r="O19" s="212">
        <f>F19</f>
        <v>9779580</v>
      </c>
      <c r="P19" s="216">
        <f>O19-F19</f>
        <v>0</v>
      </c>
      <c r="Q19" s="223"/>
    </row>
    <row r="20" spans="1:17" s="363" customFormat="1" ht="15" customHeight="1" x14ac:dyDescent="0.2">
      <c r="A20" s="358"/>
      <c r="B20" s="367" t="str">
        <f>'DEFINITIF (APBNP)'!B62</f>
        <v>- Kisaran - Aek Kanopan</v>
      </c>
      <c r="C20" s="367">
        <f>'DEFINITIF (APBNP)'!C62</f>
        <v>1</v>
      </c>
      <c r="D20" s="367" t="str">
        <f>'DEFINITIF (APBNP)'!D62</f>
        <v>Pkt</v>
      </c>
      <c r="E20" s="367">
        <f>'DEFINITIF (APBNP)'!E62</f>
        <v>2059025</v>
      </c>
      <c r="F20" s="360">
        <f t="shared" si="0"/>
        <v>2059025</v>
      </c>
      <c r="G20" s="361"/>
      <c r="H20" s="368"/>
      <c r="J20" s="362"/>
      <c r="L20" s="364"/>
      <c r="M20" s="365"/>
      <c r="N20" s="362"/>
      <c r="O20" s="212"/>
      <c r="P20" s="213"/>
      <c r="Q20" s="214"/>
    </row>
    <row r="21" spans="1:17" s="363" customFormat="1" ht="15" customHeight="1" x14ac:dyDescent="0.2">
      <c r="A21" s="358"/>
      <c r="B21" s="367" t="str">
        <f>'DEFINITIF (APBNP)'!B63</f>
        <v>- Aek Kanopan - R. Parapat</v>
      </c>
      <c r="C21" s="367">
        <f>'DEFINITIF (APBNP)'!C63</f>
        <v>1</v>
      </c>
      <c r="D21" s="367" t="str">
        <f>'DEFINITIF (APBNP)'!D63</f>
        <v>Pkt</v>
      </c>
      <c r="E21" s="367">
        <f>'DEFINITIF (APBNP)'!E63</f>
        <v>1275274</v>
      </c>
      <c r="F21" s="360">
        <f t="shared" si="0"/>
        <v>1275274</v>
      </c>
      <c r="G21" s="361"/>
      <c r="H21" s="368"/>
      <c r="J21" s="362"/>
      <c r="L21" s="364"/>
      <c r="M21" s="365"/>
      <c r="N21" s="362"/>
      <c r="O21" s="212"/>
      <c r="P21" s="213"/>
      <c r="Q21" s="214"/>
    </row>
    <row r="22" spans="1:17" s="363" customFormat="1" ht="15" customHeight="1" x14ac:dyDescent="0.2">
      <c r="A22" s="358"/>
      <c r="B22" s="367" t="str">
        <f>'DEFINITIF (APBNP)'!B64</f>
        <v>- R.Parapat - Kota Pinang</v>
      </c>
      <c r="C22" s="367">
        <f>'DEFINITIF (APBNP)'!C64</f>
        <v>1</v>
      </c>
      <c r="D22" s="367" t="str">
        <f>'DEFINITIF (APBNP)'!D64</f>
        <v>Pkt</v>
      </c>
      <c r="E22" s="367">
        <f>'DEFINITIF (APBNP)'!E64</f>
        <v>2172703</v>
      </c>
      <c r="F22" s="360">
        <f t="shared" si="0"/>
        <v>2172703</v>
      </c>
      <c r="G22" s="361"/>
      <c r="H22" s="368"/>
      <c r="J22" s="362"/>
      <c r="L22" s="364"/>
      <c r="M22" s="365"/>
      <c r="N22" s="362"/>
      <c r="O22" s="212"/>
      <c r="P22" s="213"/>
      <c r="Q22" s="214"/>
    </row>
    <row r="23" spans="1:17" s="363" customFormat="1" ht="15" customHeight="1" x14ac:dyDescent="0.2">
      <c r="A23" s="358"/>
      <c r="B23" s="367" t="str">
        <f>'DEFINITIF (APBNP)'!B65</f>
        <v>- Kota Pinang - Bts Riau</v>
      </c>
      <c r="C23" s="367">
        <f>'DEFINITIF (APBNP)'!C65</f>
        <v>1</v>
      </c>
      <c r="D23" s="367" t="str">
        <f>'DEFINITIF (APBNP)'!D65</f>
        <v>Pkt</v>
      </c>
      <c r="E23" s="367">
        <f>'DEFINITIF (APBNP)'!E65</f>
        <v>2030525</v>
      </c>
      <c r="F23" s="360">
        <f t="shared" si="0"/>
        <v>2030525</v>
      </c>
      <c r="G23" s="361"/>
      <c r="H23" s="368"/>
      <c r="J23" s="362"/>
      <c r="L23" s="364"/>
      <c r="M23" s="365"/>
      <c r="N23" s="362"/>
      <c r="O23" s="212"/>
      <c r="P23" s="213"/>
      <c r="Q23" s="214"/>
    </row>
    <row r="24" spans="1:17" s="363" customFormat="1" ht="15" customHeight="1" x14ac:dyDescent="0.2">
      <c r="A24" s="358"/>
      <c r="B24" s="367" t="str">
        <f>'DEFINITIF (APBNP)'!B66</f>
        <v>Padang sidempuan - Penyambungan</v>
      </c>
      <c r="C24" s="367">
        <f>'DEFINITIF (APBNP)'!C66</f>
        <v>1</v>
      </c>
      <c r="D24" s="367" t="str">
        <f>'DEFINITIF (APBNP)'!D66</f>
        <v>Pkt</v>
      </c>
      <c r="E24" s="367">
        <f>'DEFINITIF (APBNP)'!E66</f>
        <v>2242053</v>
      </c>
      <c r="F24" s="360">
        <f t="shared" si="0"/>
        <v>2242053</v>
      </c>
      <c r="G24" s="361"/>
      <c r="H24" s="368"/>
      <c r="J24" s="362"/>
      <c r="L24" s="364"/>
      <c r="M24" s="365"/>
      <c r="N24" s="362"/>
      <c r="O24" s="212"/>
      <c r="P24" s="213"/>
      <c r="Q24" s="214"/>
    </row>
    <row r="25" spans="1:17" s="363" customFormat="1" ht="15" customHeight="1" x14ac:dyDescent="0.2">
      <c r="A25" s="358"/>
      <c r="B25" s="367" t="str">
        <f>'DEFINITIF (APBNP)'!B67</f>
        <v>Penyambungan - Bts. Sumbar</v>
      </c>
      <c r="C25" s="367">
        <f>'DEFINITIF (APBNP)'!C67</f>
        <v>1</v>
      </c>
      <c r="D25" s="367" t="str">
        <f>'DEFINITIF (APBNP)'!D67</f>
        <v>PKT</v>
      </c>
      <c r="E25" s="367">
        <f>'DEFINITIF (APBNP)'!E67</f>
        <v>1000000</v>
      </c>
      <c r="F25" s="360"/>
      <c r="G25" s="361"/>
      <c r="H25" s="369"/>
      <c r="J25" s="366"/>
      <c r="L25" s="364"/>
      <c r="M25" s="365"/>
      <c r="N25" s="366"/>
      <c r="O25" s="212"/>
      <c r="P25" s="213"/>
      <c r="Q25" s="214"/>
    </row>
    <row r="26" spans="1:17" s="363" customFormat="1" ht="15" customHeight="1" x14ac:dyDescent="0.2">
      <c r="A26" s="358"/>
      <c r="B26" s="367">
        <f>'DEFINITIF (APBNP)'!B68</f>
        <v>0</v>
      </c>
      <c r="C26" s="367">
        <f>'DEFINITIF (APBNP)'!C68</f>
        <v>0</v>
      </c>
      <c r="D26" s="367">
        <f>'DEFINITIF (APBNP)'!D68</f>
        <v>0</v>
      </c>
      <c r="E26" s="367">
        <f>'DEFINITIF (APBNP)'!E68</f>
        <v>0</v>
      </c>
      <c r="F26" s="360">
        <f t="shared" si="0"/>
        <v>0</v>
      </c>
      <c r="G26" s="361"/>
      <c r="H26" s="369"/>
      <c r="J26" s="366"/>
      <c r="L26" s="364"/>
      <c r="M26" s="365"/>
      <c r="N26" s="366"/>
      <c r="O26" s="212"/>
      <c r="P26" s="213"/>
      <c r="Q26" s="214"/>
    </row>
    <row r="27" spans="1:17" s="363" customFormat="1" ht="15" customHeight="1" x14ac:dyDescent="0.2">
      <c r="A27" s="358"/>
      <c r="B27" s="367"/>
      <c r="C27" s="367"/>
      <c r="D27" s="367"/>
      <c r="E27" s="367"/>
      <c r="F27" s="360"/>
      <c r="G27" s="361"/>
      <c r="H27" s="369"/>
      <c r="J27" s="366"/>
      <c r="L27" s="364"/>
      <c r="M27" s="365"/>
      <c r="N27" s="366"/>
      <c r="O27" s="212"/>
      <c r="P27" s="213"/>
      <c r="Q27" s="214"/>
    </row>
    <row r="28" spans="1:17" s="355" customFormat="1" ht="15" customHeight="1" x14ac:dyDescent="0.2">
      <c r="A28" s="349">
        <v>3</v>
      </c>
      <c r="B28" s="350" t="s">
        <v>862</v>
      </c>
      <c r="C28" s="350">
        <f>SUM(C29:C35)</f>
        <v>7</v>
      </c>
      <c r="D28" s="351"/>
      <c r="E28" s="351"/>
      <c r="F28" s="352">
        <f>SUM(F29:F35)</f>
        <v>14231162</v>
      </c>
      <c r="G28" s="353"/>
      <c r="H28" s="354"/>
      <c r="J28" s="354"/>
      <c r="L28" s="356"/>
      <c r="M28" s="357"/>
      <c r="N28" s="354"/>
      <c r="O28" s="212">
        <f>F28</f>
        <v>14231162</v>
      </c>
      <c r="P28" s="216">
        <f>O28-F28</f>
        <v>0</v>
      </c>
      <c r="Q28" s="214"/>
    </row>
    <row r="29" spans="1:17" s="363" customFormat="1" ht="15" customHeight="1" x14ac:dyDescent="0.2">
      <c r="A29" s="358"/>
      <c r="B29" s="367" t="str">
        <f>'DEFINITIF (APBNP)'!B113</f>
        <v>Jalan Nasional Bukittinggi - Batas Riau</v>
      </c>
      <c r="C29" s="367">
        <f>'DEFINITIF (APBNP)'!C113</f>
        <v>1</v>
      </c>
      <c r="D29" s="367" t="str">
        <f>'DEFINITIF (APBNP)'!D113</f>
        <v>PKT</v>
      </c>
      <c r="E29" s="367">
        <f>'DEFINITIF (APBNP)'!E113</f>
        <v>1739012</v>
      </c>
      <c r="F29" s="360">
        <f t="shared" si="0"/>
        <v>1739012</v>
      </c>
      <c r="G29" s="361"/>
      <c r="H29" s="362"/>
      <c r="J29" s="362"/>
      <c r="L29" s="364"/>
      <c r="M29" s="365"/>
      <c r="N29" s="362"/>
      <c r="O29" s="212"/>
      <c r="P29" s="213"/>
      <c r="Q29" s="214"/>
    </row>
    <row r="30" spans="1:17" s="363" customFormat="1" ht="15" customHeight="1" thickBot="1" x14ac:dyDescent="0.25">
      <c r="A30" s="1881"/>
      <c r="B30" s="1882" t="str">
        <f>'DEFINITIF (APBNP)'!B114</f>
        <v>Jalan Nasional Bukittinggi - Batas Sumut</v>
      </c>
      <c r="C30" s="1882">
        <f>'DEFINITIF (APBNP)'!C114</f>
        <v>1</v>
      </c>
      <c r="D30" s="1882" t="str">
        <f>'DEFINITIF (APBNP)'!D114</f>
        <v>PKT</v>
      </c>
      <c r="E30" s="1882">
        <f>'DEFINITIF (APBNP)'!E114</f>
        <v>1091472</v>
      </c>
      <c r="F30" s="1883">
        <f t="shared" si="0"/>
        <v>1091472</v>
      </c>
      <c r="G30" s="361"/>
      <c r="H30" s="362"/>
      <c r="J30" s="362"/>
      <c r="L30" s="364"/>
      <c r="M30" s="365"/>
      <c r="N30" s="362"/>
      <c r="O30" s="212"/>
      <c r="P30" s="213"/>
      <c r="Q30" s="214"/>
    </row>
    <row r="31" spans="1:17" s="363" customFormat="1" ht="15" customHeight="1" x14ac:dyDescent="0.2">
      <c r="A31" s="389"/>
      <c r="B31" s="390" t="str">
        <f>'DEFINITIF (APBNP)'!B115</f>
        <v>Jalan Nasional Padang - Bukittinggi</v>
      </c>
      <c r="C31" s="390">
        <f>'DEFINITIF (APBNP)'!C115</f>
        <v>1</v>
      </c>
      <c r="D31" s="390" t="str">
        <f>'DEFINITIF (APBNP)'!D115</f>
        <v>PKT</v>
      </c>
      <c r="E31" s="390">
        <f>'DEFINITIF (APBNP)'!E115</f>
        <v>2417786</v>
      </c>
      <c r="F31" s="391">
        <f t="shared" si="0"/>
        <v>2417786</v>
      </c>
      <c r="G31" s="361"/>
      <c r="H31" s="362"/>
      <c r="J31" s="362"/>
      <c r="L31" s="364"/>
      <c r="M31" s="365"/>
      <c r="N31" s="362"/>
      <c r="O31" s="212"/>
      <c r="P31" s="213"/>
      <c r="Q31" s="214"/>
    </row>
    <row r="32" spans="1:17" s="363" customFormat="1" ht="15" customHeight="1" thickBot="1" x14ac:dyDescent="0.25">
      <c r="A32" s="1843"/>
      <c r="B32" s="1933" t="str">
        <f>'DEFINITIF (APBNP)'!B116</f>
        <v>Jalan Nasional Padang - Solok</v>
      </c>
      <c r="C32" s="1933">
        <f>'DEFINITIF (APBNP)'!C116</f>
        <v>1</v>
      </c>
      <c r="D32" s="1933" t="str">
        <f>'DEFINITIF (APBNP)'!D116</f>
        <v>PKT</v>
      </c>
      <c r="E32" s="1933">
        <f>'DEFINITIF (APBNP)'!E116</f>
        <v>855932</v>
      </c>
      <c r="F32" s="600">
        <f t="shared" si="0"/>
        <v>855932</v>
      </c>
      <c r="G32" s="361"/>
      <c r="H32" s="362"/>
      <c r="J32" s="362"/>
      <c r="L32" s="364"/>
      <c r="M32" s="365"/>
      <c r="N32" s="362"/>
      <c r="O32" s="212"/>
      <c r="P32" s="213"/>
      <c r="Q32" s="214"/>
    </row>
    <row r="33" spans="1:17" s="363" customFormat="1" ht="15" customHeight="1" x14ac:dyDescent="0.2">
      <c r="A33" s="1888"/>
      <c r="B33" s="1889" t="str">
        <f>'DEFINITIF (APBNP)'!B117</f>
        <v>Jalan Nasional Solok - Kiliran Jao</v>
      </c>
      <c r="C33" s="1889">
        <f>'DEFINITIF (APBNP)'!C117</f>
        <v>1</v>
      </c>
      <c r="D33" s="1889" t="str">
        <f>'DEFINITIF (APBNP)'!D117</f>
        <v>PKT</v>
      </c>
      <c r="E33" s="1889">
        <f>'DEFINITIF (APBNP)'!E117</f>
        <v>2511527</v>
      </c>
      <c r="F33" s="1890">
        <f t="shared" si="0"/>
        <v>2511527</v>
      </c>
      <c r="G33" s="361"/>
      <c r="H33" s="362"/>
      <c r="J33" s="362"/>
      <c r="L33" s="364"/>
      <c r="M33" s="365"/>
      <c r="N33" s="362"/>
      <c r="O33" s="212"/>
      <c r="P33" s="213"/>
      <c r="Q33" s="214"/>
    </row>
    <row r="34" spans="1:17" s="363" customFormat="1" ht="15" customHeight="1" x14ac:dyDescent="0.2">
      <c r="A34" s="358"/>
      <c r="B34" s="367" t="str">
        <f>'DEFINITIF (APBNP)'!B118</f>
        <v>Jalan Nasional Kiliran Jao - Batas Jambi</v>
      </c>
      <c r="C34" s="367">
        <f>'DEFINITIF (APBNP)'!C118</f>
        <v>1</v>
      </c>
      <c r="D34" s="367" t="str">
        <f>'DEFINITIF (APBNP)'!D118</f>
        <v>PKT</v>
      </c>
      <c r="E34" s="367">
        <f>'DEFINITIF (APBNP)'!E118</f>
        <v>2836975</v>
      </c>
      <c r="F34" s="360">
        <f t="shared" si="0"/>
        <v>2836975</v>
      </c>
      <c r="G34" s="361"/>
      <c r="H34" s="366"/>
      <c r="J34" s="366"/>
      <c r="L34" s="364"/>
      <c r="M34" s="365"/>
      <c r="N34" s="366"/>
      <c r="O34" s="228"/>
      <c r="P34" s="213"/>
      <c r="Q34" s="214"/>
    </row>
    <row r="35" spans="1:17" s="363" customFormat="1" ht="15" customHeight="1" x14ac:dyDescent="0.2">
      <c r="A35" s="358"/>
      <c r="B35" s="367" t="str">
        <f>'DEFINITIF (APBNP)'!B119</f>
        <v>Jalan Nasional Lubuk Selasih - Batas Jambi (Kerinci)</v>
      </c>
      <c r="C35" s="367">
        <f>'DEFINITIF (APBNP)'!C119</f>
        <v>1</v>
      </c>
      <c r="D35" s="367" t="str">
        <f>'DEFINITIF (APBNP)'!D119</f>
        <v>PKT</v>
      </c>
      <c r="E35" s="367">
        <f>'DEFINITIF (APBNP)'!E119</f>
        <v>2778458</v>
      </c>
      <c r="F35" s="360">
        <f t="shared" si="0"/>
        <v>2778458</v>
      </c>
      <c r="G35" s="361"/>
      <c r="H35" s="366"/>
      <c r="J35" s="366"/>
      <c r="L35" s="364"/>
      <c r="M35" s="365"/>
      <c r="N35" s="366"/>
      <c r="O35" s="228"/>
      <c r="P35" s="213"/>
      <c r="Q35" s="214"/>
    </row>
    <row r="36" spans="1:17" s="363" customFormat="1" ht="15" customHeight="1" x14ac:dyDescent="0.2">
      <c r="A36" s="358"/>
      <c r="B36" s="367">
        <f>'DEFINITIF (APBNP)'!B122</f>
        <v>0</v>
      </c>
      <c r="C36" s="367">
        <f>'DEFINITIF (APBNP)'!C122</f>
        <v>0</v>
      </c>
      <c r="D36" s="367">
        <f>'DEFINITIF (APBNP)'!D122</f>
        <v>0</v>
      </c>
      <c r="E36" s="367">
        <f>'DEFINITIF (APBNP)'!E122</f>
        <v>0</v>
      </c>
      <c r="F36" s="360"/>
      <c r="G36" s="361"/>
      <c r="H36" s="366"/>
      <c r="J36" s="366"/>
      <c r="L36" s="364"/>
      <c r="M36" s="365"/>
      <c r="N36" s="366"/>
      <c r="O36" s="72"/>
      <c r="P36" s="73"/>
      <c r="Q36" s="73"/>
    </row>
    <row r="37" spans="1:17" s="355" customFormat="1" ht="15" customHeight="1" x14ac:dyDescent="0.2">
      <c r="A37" s="349">
        <v>4</v>
      </c>
      <c r="B37" s="350" t="s">
        <v>765</v>
      </c>
      <c r="C37" s="350">
        <f>SUM(C38:C50)</f>
        <v>11</v>
      </c>
      <c r="D37" s="351"/>
      <c r="E37" s="351"/>
      <c r="F37" s="352">
        <f>SUM(F38:F50)</f>
        <v>33000000</v>
      </c>
      <c r="G37" s="353"/>
      <c r="H37" s="354"/>
      <c r="J37" s="354"/>
      <c r="L37" s="356"/>
      <c r="M37" s="357"/>
      <c r="N37" s="354"/>
      <c r="O37" s="387">
        <f>F37</f>
        <v>33000000</v>
      </c>
      <c r="P37" s="216">
        <f>O37-F37</f>
        <v>0</v>
      </c>
      <c r="Q37" s="73"/>
    </row>
    <row r="38" spans="1:17" s="363" customFormat="1" ht="15" customHeight="1" x14ac:dyDescent="0.2">
      <c r="A38" s="358"/>
      <c r="B38" s="367" t="str">
        <f>'DEFINITIF (APBNP)'!B174</f>
        <v>Kuala Cinaku-Rumbai Jaya-Bagan Jaya</v>
      </c>
      <c r="C38" s="367">
        <f>'DEFINITIF (APBNP)'!C174</f>
        <v>1</v>
      </c>
      <c r="D38" s="367" t="str">
        <f>'DEFINITIF (APBNP)'!D174</f>
        <v>PKT</v>
      </c>
      <c r="E38" s="367">
        <f>'DEFINITIF (APBNP)'!E174</f>
        <v>3500000</v>
      </c>
      <c r="F38" s="360">
        <f t="shared" si="0"/>
        <v>3500000</v>
      </c>
      <c r="G38" s="361"/>
      <c r="H38" s="362"/>
      <c r="J38" s="362"/>
      <c r="L38" s="364"/>
      <c r="M38" s="365"/>
      <c r="N38" s="362"/>
      <c r="O38" s="72"/>
      <c r="P38" s="73"/>
      <c r="Q38" s="73"/>
    </row>
    <row r="39" spans="1:17" s="363" customFormat="1" ht="15" customHeight="1" x14ac:dyDescent="0.2">
      <c r="A39" s="358"/>
      <c r="B39" s="367" t="str">
        <f>'DEFINITIF (APBNP)'!B175</f>
        <v>Simpang Balam-Simpang Batang-Bts Kota Dumai</v>
      </c>
      <c r="C39" s="367">
        <f>'DEFINITIF (APBNP)'!C175</f>
        <v>1</v>
      </c>
      <c r="D39" s="367" t="str">
        <f>'DEFINITIF (APBNP)'!D175</f>
        <v>PKT</v>
      </c>
      <c r="E39" s="367">
        <f>'DEFINITIF (APBNP)'!E175</f>
        <v>3500000</v>
      </c>
      <c r="F39" s="360">
        <f t="shared" si="0"/>
        <v>3500000</v>
      </c>
      <c r="G39" s="361"/>
      <c r="H39" s="362"/>
      <c r="J39" s="362"/>
      <c r="L39" s="364"/>
      <c r="M39" s="365"/>
      <c r="N39" s="362"/>
      <c r="O39" s="72"/>
      <c r="P39" s="73"/>
      <c r="Q39" s="73"/>
    </row>
    <row r="40" spans="1:17" s="363" customFormat="1" ht="15" customHeight="1" x14ac:dyDescent="0.2">
      <c r="A40" s="358"/>
      <c r="B40" s="367" t="str">
        <f>'DEFINITIF (APBNP)'!B176</f>
        <v>Simpang Batang-Simpang Kulin</v>
      </c>
      <c r="C40" s="367">
        <f>'DEFINITIF (APBNP)'!C176</f>
        <v>1</v>
      </c>
      <c r="D40" s="367" t="str">
        <f>'DEFINITIF (APBNP)'!D176</f>
        <v>PKT</v>
      </c>
      <c r="E40" s="367">
        <f>'DEFINITIF (APBNP)'!E176</f>
        <v>3500000</v>
      </c>
      <c r="F40" s="360">
        <f t="shared" si="0"/>
        <v>3500000</v>
      </c>
      <c r="G40" s="361"/>
      <c r="H40" s="362"/>
      <c r="J40" s="362"/>
      <c r="L40" s="364"/>
      <c r="M40" s="365"/>
      <c r="N40" s="362"/>
      <c r="O40" s="72"/>
      <c r="P40" s="73"/>
      <c r="Q40" s="73"/>
    </row>
    <row r="41" spans="1:17" s="363" customFormat="1" ht="15" customHeight="1" x14ac:dyDescent="0.2">
      <c r="A41" s="358"/>
      <c r="B41" s="367" t="str">
        <f>'DEFINITIF (APBNP)'!B177</f>
        <v>Duri-Kandis</v>
      </c>
      <c r="C41" s="367">
        <f>'DEFINITIF (APBNP)'!C177</f>
        <v>1</v>
      </c>
      <c r="D41" s="367" t="str">
        <f>'DEFINITIF (APBNP)'!D177</f>
        <v>PKT</v>
      </c>
      <c r="E41" s="367">
        <f>'DEFINITIF (APBNP)'!E177</f>
        <v>3500000</v>
      </c>
      <c r="F41" s="360">
        <f t="shared" si="0"/>
        <v>3500000</v>
      </c>
      <c r="G41" s="361"/>
      <c r="H41" s="362"/>
      <c r="J41" s="362"/>
      <c r="L41" s="364"/>
      <c r="M41" s="365"/>
      <c r="N41" s="362"/>
      <c r="O41" s="72"/>
      <c r="P41" s="73"/>
      <c r="Q41" s="73"/>
    </row>
    <row r="42" spans="1:17" s="363" customFormat="1" ht="27" customHeight="1" x14ac:dyDescent="0.2">
      <c r="A42" s="358"/>
      <c r="B42" s="367" t="str">
        <f>'DEFINITIF (APBNP)'!B178</f>
        <v>Bts Kota Pekanbaru-Sp Lago-Pangkalan Kerinci</v>
      </c>
      <c r="C42" s="367">
        <f>'DEFINITIF (APBNP)'!C178</f>
        <v>1</v>
      </c>
      <c r="D42" s="367" t="str">
        <f>'DEFINITIF (APBNP)'!D178</f>
        <v>PKT</v>
      </c>
      <c r="E42" s="367">
        <f>'DEFINITIF (APBNP)'!E178</f>
        <v>3500000</v>
      </c>
      <c r="F42" s="360">
        <f t="shared" si="0"/>
        <v>3500000</v>
      </c>
      <c r="G42" s="361"/>
      <c r="H42" s="366"/>
      <c r="J42" s="366"/>
      <c r="L42" s="364"/>
      <c r="M42" s="365"/>
      <c r="N42" s="366"/>
      <c r="O42" s="72"/>
      <c r="P42" s="73"/>
      <c r="Q42" s="73"/>
    </row>
    <row r="43" spans="1:17" s="363" customFormat="1" ht="27" customHeight="1" x14ac:dyDescent="0.2">
      <c r="A43" s="358"/>
      <c r="B43" s="367" t="str">
        <f>'DEFINITIF (APBNP)'!B179</f>
        <v>Bts Kota Pekanbaru-Minas-Kandis</v>
      </c>
      <c r="C43" s="367">
        <f>'DEFINITIF (APBNP)'!C179</f>
        <v>1</v>
      </c>
      <c r="D43" s="367" t="str">
        <f>'DEFINITIF (APBNP)'!D179</f>
        <v>PKT</v>
      </c>
      <c r="E43" s="367">
        <f>'DEFINITIF (APBNP)'!E179</f>
        <v>3500000</v>
      </c>
      <c r="F43" s="360">
        <f t="shared" si="0"/>
        <v>3500000</v>
      </c>
      <c r="G43" s="361"/>
      <c r="H43" s="366"/>
      <c r="J43" s="366"/>
      <c r="L43" s="364"/>
      <c r="M43" s="365"/>
      <c r="N43" s="366"/>
      <c r="O43" s="72"/>
      <c r="P43" s="73"/>
      <c r="Q43" s="73"/>
    </row>
    <row r="44" spans="1:17" s="363" customFormat="1" ht="27" customHeight="1" x14ac:dyDescent="0.2">
      <c r="A44" s="358"/>
      <c r="B44" s="367" t="str">
        <f>'DEFINITIF (APBNP)'!B180</f>
        <v>Bts Kota Pekanbaru-Lipat Kain</v>
      </c>
      <c r="C44" s="367">
        <f>'DEFINITIF (APBNP)'!C180</f>
        <v>1</v>
      </c>
      <c r="D44" s="367" t="str">
        <f>'DEFINITIF (APBNP)'!D180</f>
        <v>PKT</v>
      </c>
      <c r="E44" s="367">
        <f>'DEFINITIF (APBNP)'!E180</f>
        <v>3500000</v>
      </c>
      <c r="F44" s="360">
        <f t="shared" si="0"/>
        <v>3500000</v>
      </c>
      <c r="G44" s="361"/>
      <c r="H44" s="366"/>
      <c r="J44" s="366"/>
      <c r="L44" s="364"/>
      <c r="M44" s="365"/>
      <c r="N44" s="366"/>
      <c r="O44" s="72"/>
      <c r="P44" s="73"/>
      <c r="Q44" s="73"/>
    </row>
    <row r="45" spans="1:17" s="363" customFormat="1" ht="27" customHeight="1" x14ac:dyDescent="0.2">
      <c r="A45" s="358"/>
      <c r="B45" s="367" t="str">
        <f>'DEFINITIF (APBNP)'!B181</f>
        <v>Lipat Kain-Teluk Kuantan</v>
      </c>
      <c r="C45" s="367">
        <f>'DEFINITIF (APBNP)'!C181</f>
        <v>1</v>
      </c>
      <c r="D45" s="367" t="str">
        <f>'DEFINITIF (APBNP)'!D181</f>
        <v>PKT</v>
      </c>
      <c r="E45" s="367">
        <f>'DEFINITIF (APBNP)'!E181</f>
        <v>2500000</v>
      </c>
      <c r="F45" s="360">
        <f t="shared" si="0"/>
        <v>2500000</v>
      </c>
      <c r="G45" s="361"/>
      <c r="H45" s="366"/>
      <c r="J45" s="366"/>
      <c r="L45" s="364"/>
      <c r="M45" s="365"/>
      <c r="N45" s="366"/>
      <c r="O45" s="72"/>
      <c r="P45" s="73"/>
      <c r="Q45" s="73"/>
    </row>
    <row r="46" spans="1:17" s="363" customFormat="1" ht="27" customHeight="1" x14ac:dyDescent="0.2">
      <c r="A46" s="358"/>
      <c r="B46" s="367" t="str">
        <f>'DEFINITIF (APBNP)'!B182</f>
        <v>Teluk Kuantan-Lubuk Jambi-Bts Sumbar</v>
      </c>
      <c r="C46" s="367">
        <f>'DEFINITIF (APBNP)'!C182</f>
        <v>1</v>
      </c>
      <c r="D46" s="367" t="str">
        <f>'DEFINITIF (APBNP)'!D182</f>
        <v>PKT</v>
      </c>
      <c r="E46" s="367">
        <f>'DEFINITIF (APBNP)'!E182</f>
        <v>2500000</v>
      </c>
      <c r="F46" s="360">
        <f t="shared" si="0"/>
        <v>2500000</v>
      </c>
      <c r="G46" s="361"/>
      <c r="H46" s="366"/>
      <c r="J46" s="366"/>
      <c r="L46" s="364"/>
      <c r="M46" s="365"/>
      <c r="N46" s="366"/>
      <c r="O46" s="72"/>
      <c r="P46" s="73"/>
      <c r="Q46" s="73"/>
    </row>
    <row r="47" spans="1:17" s="363" customFormat="1" ht="27" customHeight="1" x14ac:dyDescent="0.2">
      <c r="A47" s="358"/>
      <c r="B47" s="367" t="str">
        <f>'DEFINITIF (APBNP)'!B184</f>
        <v>Perbaikan DRK (Jl Raya Pekanbaru-Minas, Jl.Simpang Japura-Pematang Reba, Jl Kota Pangkalan Kerinci-Sorek I, Jl Sikijang-Sp Lago, Jl Soetta-Bukit Kapur))</v>
      </c>
      <c r="C47" s="367">
        <f>'DEFINITIF (APBNP)'!C184</f>
        <v>1</v>
      </c>
      <c r="D47" s="367" t="str">
        <f>'DEFINITIF (APBNP)'!D184</f>
        <v>PKT</v>
      </c>
      <c r="E47" s="367">
        <f>'DEFINITIF (APBNP)'!E184</f>
        <v>2500000</v>
      </c>
      <c r="F47" s="360">
        <f t="shared" si="0"/>
        <v>2500000</v>
      </c>
      <c r="G47" s="361"/>
      <c r="H47" s="366"/>
      <c r="J47" s="366"/>
      <c r="L47" s="364"/>
      <c r="M47" s="365"/>
      <c r="N47" s="366"/>
      <c r="O47" s="72"/>
      <c r="P47" s="73"/>
      <c r="Q47" s="73"/>
    </row>
    <row r="48" spans="1:17" s="363" customFormat="1" ht="15" customHeight="1" x14ac:dyDescent="0.2">
      <c r="A48" s="358"/>
      <c r="B48" s="367">
        <f>'DEFINITIF (APBNP)'!B187</f>
        <v>0</v>
      </c>
      <c r="C48" s="367"/>
      <c r="D48" s="367"/>
      <c r="E48" s="367"/>
      <c r="F48" s="360"/>
      <c r="G48" s="361"/>
      <c r="H48" s="366"/>
      <c r="J48" s="366"/>
      <c r="L48" s="364"/>
      <c r="M48" s="365"/>
      <c r="N48" s="366"/>
      <c r="O48" s="72"/>
      <c r="P48" s="73"/>
      <c r="Q48" s="73"/>
    </row>
    <row r="49" spans="1:17" s="363" customFormat="1" ht="15" customHeight="1" x14ac:dyDescent="0.2">
      <c r="A49" s="358"/>
      <c r="B49" s="367" t="str">
        <f>'DEFINITIF (APBNP)'!B188</f>
        <v>PENINGKATAN KINERJA JALAN NASIONAL DI WILAYAH PERKOTAAN</v>
      </c>
      <c r="C49" s="367"/>
      <c r="D49" s="367"/>
      <c r="E49" s="367"/>
      <c r="F49" s="360"/>
      <c r="G49" s="361"/>
      <c r="H49" s="366"/>
      <c r="J49" s="366"/>
      <c r="L49" s="364"/>
      <c r="M49" s="365"/>
      <c r="N49" s="366"/>
      <c r="O49" s="72"/>
      <c r="P49" s="73"/>
      <c r="Q49" s="73"/>
    </row>
    <row r="50" spans="1:17" s="363" customFormat="1" ht="15" customHeight="1" x14ac:dyDescent="0.2">
      <c r="A50" s="358"/>
      <c r="B50" s="367" t="str">
        <f>'DEFINITIF (APBNP)'!B189</f>
        <v>Jalan Nasional di Wilayah Perkotaan Pekanbaru</v>
      </c>
      <c r="C50" s="367">
        <f>'DEFINITIF (APBNP)'!C189</f>
        <v>1</v>
      </c>
      <c r="D50" s="367" t="str">
        <f>'DEFINITIF (APBNP)'!D189</f>
        <v>PKT</v>
      </c>
      <c r="E50" s="367">
        <f>'DEFINITIF (APBNP)'!E189</f>
        <v>1000000</v>
      </c>
      <c r="F50" s="360">
        <f t="shared" si="0"/>
        <v>1000000</v>
      </c>
      <c r="G50" s="361"/>
      <c r="H50" s="366"/>
      <c r="J50" s="366"/>
      <c r="L50" s="364"/>
      <c r="M50" s="365"/>
      <c r="N50" s="366"/>
      <c r="O50" s="72"/>
      <c r="P50" s="73"/>
      <c r="Q50" s="73"/>
    </row>
    <row r="51" spans="1:17" s="363" customFormat="1" ht="15" customHeight="1" thickBot="1" x14ac:dyDescent="0.25">
      <c r="A51" s="1843"/>
      <c r="B51" s="1933"/>
      <c r="C51" s="1933"/>
      <c r="D51" s="1933"/>
      <c r="E51" s="1933"/>
      <c r="F51" s="600"/>
      <c r="G51" s="361"/>
      <c r="H51" s="366"/>
      <c r="J51" s="366"/>
      <c r="L51" s="364"/>
      <c r="M51" s="365"/>
      <c r="N51" s="366"/>
      <c r="O51" s="72"/>
      <c r="P51" s="73"/>
      <c r="Q51" s="73"/>
    </row>
    <row r="52" spans="1:17" s="355" customFormat="1" ht="15" customHeight="1" x14ac:dyDescent="0.2">
      <c r="A52" s="1904">
        <v>5</v>
      </c>
      <c r="B52" s="1905" t="s">
        <v>863</v>
      </c>
      <c r="C52" s="1905">
        <f>SUM(C53:C58)</f>
        <v>3</v>
      </c>
      <c r="D52" s="1904"/>
      <c r="E52" s="1904"/>
      <c r="F52" s="1905">
        <f>SUM(F53:F58)</f>
        <v>3327691</v>
      </c>
      <c r="G52" s="370">
        <f>SUM(A52:F52)</f>
        <v>3327699</v>
      </c>
      <c r="H52" s="354"/>
      <c r="J52" s="354"/>
      <c r="L52" s="356"/>
      <c r="M52" s="357"/>
      <c r="N52" s="354"/>
      <c r="O52" s="387">
        <f>F52</f>
        <v>3327691</v>
      </c>
      <c r="P52" s="216">
        <f>O52-F52</f>
        <v>0</v>
      </c>
      <c r="Q52" s="73"/>
    </row>
    <row r="53" spans="1:17" s="363" customFormat="1" ht="15" customHeight="1" x14ac:dyDescent="0.2">
      <c r="A53" s="393"/>
      <c r="B53" s="394" t="str">
        <f>'DEFINITIF (APBNP)'!B230</f>
        <v>Ruas Jalan Nasional Kota Tanjungpinang (Termasuk Supervisi)</v>
      </c>
      <c r="C53" s="394">
        <f>'DEFINITIF (APBNP)'!C230</f>
        <v>1</v>
      </c>
      <c r="D53" s="394" t="str">
        <f>'DEFINITIF (APBNP)'!D230</f>
        <v>Pkt</v>
      </c>
      <c r="E53" s="394">
        <f>'DEFINITIF (APBNP)'!E230</f>
        <v>901924</v>
      </c>
      <c r="F53" s="395">
        <f t="shared" si="0"/>
        <v>901924</v>
      </c>
      <c r="G53" s="361"/>
      <c r="H53" s="362"/>
      <c r="J53" s="362"/>
      <c r="L53" s="364"/>
      <c r="M53" s="365"/>
      <c r="N53" s="362"/>
      <c r="O53" s="72"/>
      <c r="P53" s="73"/>
      <c r="Q53" s="73"/>
    </row>
    <row r="54" spans="1:17" s="363" customFormat="1" ht="15" customHeight="1" x14ac:dyDescent="0.2">
      <c r="A54" s="1888"/>
      <c r="B54" s="1889" t="str">
        <f>'DEFINITIF (APBNP)'!B231</f>
        <v>Ruas Jalan Nasional Kabupaten Karimun (Termasuk Supervisi)</v>
      </c>
      <c r="C54" s="1889">
        <f>'DEFINITIF (APBNP)'!C231</f>
        <v>1</v>
      </c>
      <c r="D54" s="1889" t="str">
        <f>'DEFINITIF (APBNP)'!D231</f>
        <v>Pkt</v>
      </c>
      <c r="E54" s="1889">
        <f>'DEFINITIF (APBNP)'!E231</f>
        <v>1216464</v>
      </c>
      <c r="F54" s="1890">
        <f t="shared" si="0"/>
        <v>1216464</v>
      </c>
      <c r="G54" s="361"/>
      <c r="H54" s="362"/>
      <c r="J54" s="362"/>
      <c r="L54" s="364"/>
      <c r="M54" s="365"/>
      <c r="N54" s="362"/>
      <c r="O54" s="72"/>
      <c r="P54" s="73"/>
      <c r="Q54" s="73"/>
    </row>
    <row r="55" spans="1:17" s="363" customFormat="1" ht="15" customHeight="1" x14ac:dyDescent="0.2">
      <c r="A55" s="358"/>
      <c r="B55" s="367">
        <f>'DEFINITIF (APBNP)'!B232</f>
        <v>0</v>
      </c>
      <c r="C55" s="367">
        <f>'DEFINITIF (APBNP)'!C232</f>
        <v>0</v>
      </c>
      <c r="D55" s="367">
        <f>'DEFINITIF (APBNP)'!D232</f>
        <v>0</v>
      </c>
      <c r="E55" s="367">
        <f>'DEFINITIF (APBNP)'!E232</f>
        <v>0</v>
      </c>
      <c r="F55" s="360">
        <f t="shared" si="0"/>
        <v>0</v>
      </c>
      <c r="G55" s="361"/>
      <c r="H55" s="362"/>
      <c r="J55" s="362"/>
      <c r="L55" s="364"/>
      <c r="M55" s="365"/>
      <c r="N55" s="362"/>
      <c r="O55" s="72"/>
      <c r="P55" s="73"/>
      <c r="Q55" s="73"/>
    </row>
    <row r="56" spans="1:17" s="363" customFormat="1" ht="15" customHeight="1" x14ac:dyDescent="0.2">
      <c r="A56" s="358"/>
      <c r="B56" s="367" t="str">
        <f>'DEFINITIF (APBNP)'!B233</f>
        <v>PENINGKATAN KINERJA JALAN NASIONAL DI WILAYAH PERKOTAAN</v>
      </c>
      <c r="C56" s="367">
        <f>'DEFINITIF (APBNP)'!C233</f>
        <v>0</v>
      </c>
      <c r="D56" s="367">
        <f>'DEFINITIF (APBNP)'!D233</f>
        <v>0</v>
      </c>
      <c r="E56" s="367">
        <f>'DEFINITIF (APBNP)'!E233</f>
        <v>0</v>
      </c>
      <c r="F56" s="360"/>
      <c r="G56" s="361"/>
      <c r="H56" s="362"/>
      <c r="J56" s="362"/>
      <c r="L56" s="364"/>
      <c r="M56" s="365"/>
      <c r="N56" s="362"/>
      <c r="O56" s="72"/>
      <c r="P56" s="73"/>
      <c r="Q56" s="73"/>
    </row>
    <row r="57" spans="1:17" s="363" customFormat="1" ht="15" customHeight="1" x14ac:dyDescent="0.2">
      <c r="A57" s="358"/>
      <c r="B57" s="367" t="str">
        <f>'DEFINITIF (APBNP)'!B234</f>
        <v>Ruas Jalan Nasional Kota Batam (Termasuk Supervisi)</v>
      </c>
      <c r="C57" s="367">
        <f>'DEFINITIF (APBNP)'!C234</f>
        <v>1</v>
      </c>
      <c r="D57" s="367" t="str">
        <f>'DEFINITIF (APBNP)'!D234</f>
        <v>Pkt</v>
      </c>
      <c r="E57" s="367">
        <f>'DEFINITIF (APBNP)'!E234</f>
        <v>1209303</v>
      </c>
      <c r="F57" s="360">
        <f t="shared" si="0"/>
        <v>1209303</v>
      </c>
      <c r="G57" s="361"/>
      <c r="H57" s="362"/>
      <c r="J57" s="362"/>
      <c r="L57" s="364"/>
      <c r="M57" s="365"/>
      <c r="N57" s="362"/>
      <c r="O57" s="72"/>
      <c r="P57" s="73"/>
      <c r="Q57" s="73"/>
    </row>
    <row r="58" spans="1:17" s="363" customFormat="1" ht="15" customHeight="1" x14ac:dyDescent="0.2">
      <c r="A58" s="358"/>
      <c r="B58" s="367">
        <f>'DEFINITIF (APBNP)'!B235</f>
        <v>0</v>
      </c>
      <c r="C58" s="367">
        <f>'DEFINITIF (APBNP)'!C235</f>
        <v>0</v>
      </c>
      <c r="D58" s="367">
        <f>'DEFINITIF (APBNP)'!D235</f>
        <v>0</v>
      </c>
      <c r="E58" s="367">
        <f>'DEFINITIF (APBNP)'!E235</f>
        <v>0</v>
      </c>
      <c r="F58" s="360">
        <f t="shared" si="0"/>
        <v>0</v>
      </c>
      <c r="G58" s="361"/>
      <c r="H58" s="362"/>
      <c r="J58" s="362"/>
      <c r="L58" s="364"/>
      <c r="M58" s="365"/>
      <c r="N58" s="362"/>
      <c r="O58" s="72"/>
      <c r="P58" s="73"/>
      <c r="Q58" s="73"/>
    </row>
    <row r="59" spans="1:17" s="363" customFormat="1" ht="15" customHeight="1" x14ac:dyDescent="0.2">
      <c r="A59" s="358"/>
      <c r="B59" s="367"/>
      <c r="C59" s="367"/>
      <c r="D59" s="367"/>
      <c r="E59" s="367"/>
      <c r="F59" s="360"/>
      <c r="G59" s="361"/>
      <c r="H59" s="362"/>
      <c r="J59" s="362"/>
      <c r="L59" s="364"/>
      <c r="M59" s="365"/>
      <c r="N59" s="362"/>
      <c r="O59" s="72"/>
      <c r="P59" s="73"/>
      <c r="Q59" s="73"/>
    </row>
    <row r="60" spans="1:17" s="355" customFormat="1" ht="15" customHeight="1" x14ac:dyDescent="0.2">
      <c r="A60" s="349">
        <v>6</v>
      </c>
      <c r="B60" s="350" t="s">
        <v>769</v>
      </c>
      <c r="C60" s="350">
        <f>SUM(C61:C68)</f>
        <v>6</v>
      </c>
      <c r="D60" s="351"/>
      <c r="E60" s="351"/>
      <c r="F60" s="352">
        <f>SUM(F61:F68)</f>
        <v>10245584</v>
      </c>
      <c r="G60" s="370">
        <f>SUM(A60:F60)</f>
        <v>10245596</v>
      </c>
      <c r="H60" s="354"/>
      <c r="J60" s="354"/>
      <c r="L60" s="356"/>
      <c r="M60" s="357"/>
      <c r="N60" s="354"/>
      <c r="O60" s="387">
        <f>F60</f>
        <v>10245584</v>
      </c>
      <c r="P60" s="216">
        <f>O60-F60</f>
        <v>0</v>
      </c>
      <c r="Q60" s="73"/>
    </row>
    <row r="61" spans="1:17" s="363" customFormat="1" ht="15" customHeight="1" x14ac:dyDescent="0.2">
      <c r="A61" s="358"/>
      <c r="B61" s="367" t="str">
        <f>'DEFINITIF (APBNP)'!B281</f>
        <v>Bts.Kab.Tanjab-Sp.Tuan   ( termasuk supervisi )</v>
      </c>
      <c r="C61" s="367">
        <f>'DEFINITIF (APBNP)'!C281</f>
        <v>1</v>
      </c>
      <c r="D61" s="367" t="str">
        <f>'DEFINITIF (APBNP)'!D281</f>
        <v>PKT</v>
      </c>
      <c r="E61" s="367">
        <f>'DEFINITIF (APBNP)'!E281</f>
        <v>2192078</v>
      </c>
      <c r="F61" s="360">
        <f t="shared" ref="F61:F98" si="1">C61*E61</f>
        <v>2192078</v>
      </c>
      <c r="G61" s="361"/>
      <c r="H61" s="362"/>
      <c r="J61" s="362"/>
      <c r="L61" s="364"/>
      <c r="M61" s="365"/>
      <c r="N61" s="362"/>
      <c r="O61" s="72"/>
      <c r="P61" s="73"/>
      <c r="Q61" s="73"/>
    </row>
    <row r="62" spans="1:17" s="363" customFormat="1" ht="15" customHeight="1" x14ac:dyDescent="0.2">
      <c r="A62" s="358"/>
      <c r="B62" s="367" t="str">
        <f>'DEFINITIF (APBNP)'!B282</f>
        <v>Merlung-Bts Kab Tanjab (termasuk supervisi)</v>
      </c>
      <c r="C62" s="367">
        <f>'DEFINITIF (APBNP)'!C282</f>
        <v>1</v>
      </c>
      <c r="D62" s="367" t="str">
        <f>'DEFINITIF (APBNP)'!D282</f>
        <v>PKT</v>
      </c>
      <c r="E62" s="367">
        <f>'DEFINITIF (APBNP)'!E282</f>
        <v>1919518</v>
      </c>
      <c r="F62" s="360">
        <f t="shared" si="1"/>
        <v>1919518</v>
      </c>
      <c r="G62" s="361"/>
      <c r="H62" s="362"/>
      <c r="J62" s="362"/>
      <c r="L62" s="364"/>
      <c r="M62" s="365"/>
      <c r="N62" s="362"/>
      <c r="O62" s="72"/>
      <c r="P62" s="73"/>
      <c r="Q62" s="73"/>
    </row>
    <row r="63" spans="1:17" s="363" customFormat="1" ht="15" customHeight="1" x14ac:dyDescent="0.2">
      <c r="A63" s="358"/>
      <c r="B63" s="367" t="str">
        <f>'DEFINITIF (APBNP)'!B283</f>
        <v>Bts Riau-Merlung (termasuk supervisi)</v>
      </c>
      <c r="C63" s="367">
        <f>'DEFINITIF (APBNP)'!C283</f>
        <v>1</v>
      </c>
      <c r="D63" s="367" t="str">
        <f>'DEFINITIF (APBNP)'!D283</f>
        <v>PKT</v>
      </c>
      <c r="E63" s="367">
        <f>'DEFINITIF (APBNP)'!E283</f>
        <v>1785979</v>
      </c>
      <c r="F63" s="360">
        <f t="shared" si="1"/>
        <v>1785979</v>
      </c>
      <c r="G63" s="361"/>
      <c r="H63" s="362"/>
      <c r="J63" s="362"/>
      <c r="L63" s="364"/>
      <c r="M63" s="365"/>
      <c r="N63" s="362"/>
      <c r="O63" s="72"/>
      <c r="P63" s="73"/>
      <c r="Q63" s="73"/>
    </row>
    <row r="64" spans="1:17" s="363" customFormat="1" ht="15" customHeight="1" x14ac:dyDescent="0.2">
      <c r="A64" s="358"/>
      <c r="B64" s="367" t="str">
        <f>'DEFINITIF (APBNP)'!B284</f>
        <v>Bts Kota Jambi-Tempino-Bts Prov Sumsel segmen II (termasuk supervisi)</v>
      </c>
      <c r="C64" s="367">
        <f>'DEFINITIF (APBNP)'!C284</f>
        <v>1</v>
      </c>
      <c r="D64" s="367" t="str">
        <f>'DEFINITIF (APBNP)'!D284</f>
        <v>PKT</v>
      </c>
      <c r="E64" s="367">
        <f>'DEFINITIF (APBNP)'!E284</f>
        <v>1895972</v>
      </c>
      <c r="F64" s="360">
        <f t="shared" si="1"/>
        <v>1895972</v>
      </c>
      <c r="G64" s="361"/>
      <c r="H64" s="362"/>
      <c r="J64" s="362"/>
      <c r="L64" s="364"/>
      <c r="M64" s="365"/>
      <c r="N64" s="362"/>
      <c r="O64" s="72"/>
      <c r="P64" s="73"/>
      <c r="Q64" s="73"/>
    </row>
    <row r="65" spans="1:17" s="363" customFormat="1" ht="15" customHeight="1" x14ac:dyDescent="0.2">
      <c r="A65" s="358"/>
      <c r="B65" s="367" t="str">
        <f>'DEFINITIF (APBNP)'!B285</f>
        <v>Bts Prov Sumbar-Bts Kota Muara Bungo segmen II (termasuk supervisi)</v>
      </c>
      <c r="C65" s="367">
        <f>'DEFINITIF (APBNP)'!C285</f>
        <v>1</v>
      </c>
      <c r="D65" s="367" t="str">
        <f>'DEFINITIF (APBNP)'!D285</f>
        <v>PKT</v>
      </c>
      <c r="E65" s="367">
        <f>'DEFINITIF (APBNP)'!E285</f>
        <v>1702037</v>
      </c>
      <c r="F65" s="360">
        <f t="shared" si="1"/>
        <v>1702037</v>
      </c>
      <c r="G65" s="361"/>
      <c r="H65" s="366"/>
      <c r="J65" s="366"/>
      <c r="L65" s="364"/>
      <c r="M65" s="365"/>
      <c r="N65" s="366"/>
      <c r="O65" s="72"/>
      <c r="P65" s="73"/>
      <c r="Q65" s="73"/>
    </row>
    <row r="66" spans="1:17" s="363" customFormat="1" ht="15" customHeight="1" x14ac:dyDescent="0.2">
      <c r="A66" s="358"/>
      <c r="B66" s="367">
        <f>'DEFINITIF (APBNP)'!B286</f>
        <v>0</v>
      </c>
      <c r="C66" s="367">
        <f>'DEFINITIF (APBNP)'!C286</f>
        <v>0</v>
      </c>
      <c r="D66" s="367">
        <f>'DEFINITIF (APBNP)'!D286</f>
        <v>0</v>
      </c>
      <c r="E66" s="367">
        <f>'DEFINITIF (APBNP)'!E286</f>
        <v>0</v>
      </c>
      <c r="F66" s="360">
        <f t="shared" si="1"/>
        <v>0</v>
      </c>
      <c r="G66" s="361"/>
      <c r="H66" s="366"/>
      <c r="J66" s="366"/>
      <c r="L66" s="364"/>
      <c r="M66" s="365"/>
      <c r="N66" s="366"/>
      <c r="O66" s="72"/>
      <c r="P66" s="73"/>
      <c r="Q66" s="73"/>
    </row>
    <row r="67" spans="1:17" s="363" customFormat="1" ht="15" customHeight="1" x14ac:dyDescent="0.2">
      <c r="A67" s="358"/>
      <c r="B67" s="367" t="str">
        <f>'DEFINITIF (APBNP)'!B287</f>
        <v>PENINGKATAN KINERJA JALAN NASIONAL DI WILAYAH PERKOTAAN</v>
      </c>
      <c r="C67" s="367">
        <f>'DEFINITIF (APBNP)'!C287</f>
        <v>0</v>
      </c>
      <c r="D67" s="367">
        <f>'DEFINITIF (APBNP)'!D287</f>
        <v>0</v>
      </c>
      <c r="E67" s="367">
        <f>'DEFINITIF (APBNP)'!E287</f>
        <v>0</v>
      </c>
      <c r="F67" s="360">
        <f t="shared" si="1"/>
        <v>0</v>
      </c>
      <c r="G67" s="361"/>
      <c r="H67" s="366"/>
      <c r="J67" s="366"/>
      <c r="L67" s="364"/>
      <c r="M67" s="365"/>
      <c r="N67" s="366"/>
      <c r="O67" s="72"/>
      <c r="P67" s="73"/>
      <c r="Q67" s="73"/>
    </row>
    <row r="68" spans="1:17" s="363" customFormat="1" ht="15" customHeight="1" x14ac:dyDescent="0.2">
      <c r="A68" s="358"/>
      <c r="B68" s="367" t="str">
        <f>'DEFINITIF (APBNP)'!B288</f>
        <v>Jalan Nasional Perkotaan Dalam Kota Jambi</v>
      </c>
      <c r="C68" s="367">
        <f>'DEFINITIF (APBNP)'!C288</f>
        <v>1</v>
      </c>
      <c r="D68" s="367" t="str">
        <f>'DEFINITIF (APBNP)'!D288</f>
        <v>PKT</v>
      </c>
      <c r="E68" s="367">
        <f>'DEFINITIF (APBNP)'!E288</f>
        <v>750000</v>
      </c>
      <c r="F68" s="360">
        <f t="shared" si="1"/>
        <v>750000</v>
      </c>
      <c r="G68" s="361"/>
      <c r="H68" s="366"/>
      <c r="J68" s="366"/>
      <c r="L68" s="364"/>
      <c r="M68" s="365"/>
      <c r="N68" s="366"/>
      <c r="O68" s="72"/>
      <c r="P68" s="73"/>
      <c r="Q68" s="73"/>
    </row>
    <row r="69" spans="1:17" s="363" customFormat="1" ht="15" customHeight="1" x14ac:dyDescent="0.2">
      <c r="A69" s="358"/>
      <c r="B69" s="367"/>
      <c r="C69" s="367"/>
      <c r="D69" s="367"/>
      <c r="E69" s="367"/>
      <c r="F69" s="360"/>
      <c r="G69" s="361"/>
      <c r="H69" s="366"/>
      <c r="J69" s="366"/>
      <c r="L69" s="364"/>
      <c r="M69" s="365"/>
      <c r="N69" s="366"/>
      <c r="O69" s="72"/>
      <c r="P69" s="73"/>
      <c r="Q69" s="73"/>
    </row>
    <row r="70" spans="1:17" s="355" customFormat="1" ht="15" customHeight="1" x14ac:dyDescent="0.2">
      <c r="A70" s="349">
        <v>7</v>
      </c>
      <c r="B70" s="350" t="s">
        <v>855</v>
      </c>
      <c r="C70" s="350">
        <f>SUM(C71:C72)</f>
        <v>2</v>
      </c>
      <c r="D70" s="351"/>
      <c r="E70" s="351"/>
      <c r="F70" s="352">
        <f>SUM(F71:F72)</f>
        <v>3000000</v>
      </c>
      <c r="G70" s="353"/>
      <c r="H70" s="354"/>
      <c r="J70" s="354"/>
      <c r="L70" s="356"/>
      <c r="M70" s="357"/>
      <c r="N70" s="354"/>
      <c r="O70" s="387">
        <f>F70</f>
        <v>3000000</v>
      </c>
      <c r="P70" s="216">
        <f>O70-F70</f>
        <v>0</v>
      </c>
      <c r="Q70" s="73"/>
    </row>
    <row r="71" spans="1:17" s="363" customFormat="1" ht="15" customHeight="1" x14ac:dyDescent="0.2">
      <c r="A71" s="358"/>
      <c r="B71" s="367" t="str">
        <f>'DEFINITIF (APBNP)'!B338</f>
        <v>Tanjung Pandan-Tanjung Tinggi-Sijuk (Termasuk Supervisi)</v>
      </c>
      <c r="C71" s="367">
        <f>'DEFINITIF (APBNP)'!C338</f>
        <v>1</v>
      </c>
      <c r="D71" s="367" t="str">
        <f>'DEFINITIF (APBNP)'!D338</f>
        <v>PKT</v>
      </c>
      <c r="E71" s="367">
        <f>'DEFINITIF (APBNP)'!E338</f>
        <v>1500000</v>
      </c>
      <c r="F71" s="360">
        <f t="shared" si="1"/>
        <v>1500000</v>
      </c>
      <c r="G71" s="361"/>
      <c r="H71" s="362"/>
      <c r="J71" s="362"/>
      <c r="L71" s="364"/>
      <c r="M71" s="365"/>
      <c r="N71" s="362"/>
      <c r="O71" s="72"/>
      <c r="P71" s="73"/>
      <c r="Q71" s="73"/>
    </row>
    <row r="72" spans="1:17" s="363" customFormat="1" ht="15" customHeight="1" x14ac:dyDescent="0.2">
      <c r="A72" s="358"/>
      <c r="B72" s="367" t="str">
        <f>'DEFINITIF (APBNP)'!B339</f>
        <v>Ruas Jalan Tanjung Kalian-Ibul (Termasuk Supervisi)</v>
      </c>
      <c r="C72" s="367">
        <f>'DEFINITIF (APBNP)'!C339</f>
        <v>1</v>
      </c>
      <c r="D72" s="367" t="str">
        <f>'DEFINITIF (APBNP)'!D339</f>
        <v>PKT</v>
      </c>
      <c r="E72" s="367">
        <f>'DEFINITIF (APBNP)'!E339</f>
        <v>1500000</v>
      </c>
      <c r="F72" s="360">
        <f t="shared" si="1"/>
        <v>1500000</v>
      </c>
      <c r="G72" s="361"/>
      <c r="H72" s="362"/>
      <c r="J72" s="362"/>
      <c r="L72" s="364"/>
      <c r="M72" s="365"/>
      <c r="N72" s="362"/>
      <c r="O72" s="72"/>
      <c r="P72" s="73"/>
      <c r="Q72" s="73"/>
    </row>
    <row r="73" spans="1:17" s="363" customFormat="1" ht="15" customHeight="1" x14ac:dyDescent="0.2">
      <c r="A73" s="358"/>
      <c r="B73" s="367">
        <f>'DEFINITIF (APBNP)'!B340</f>
        <v>0</v>
      </c>
      <c r="C73" s="367"/>
      <c r="D73" s="367"/>
      <c r="E73" s="367"/>
      <c r="F73" s="360"/>
      <c r="G73" s="361"/>
      <c r="H73" s="366"/>
      <c r="J73" s="366"/>
      <c r="L73" s="364"/>
      <c r="M73" s="365"/>
      <c r="N73" s="366"/>
      <c r="O73" s="72"/>
      <c r="P73" s="73"/>
      <c r="Q73" s="73"/>
    </row>
    <row r="74" spans="1:17" s="355" customFormat="1" ht="15" customHeight="1" x14ac:dyDescent="0.2">
      <c r="A74" s="349">
        <v>8</v>
      </c>
      <c r="B74" s="350" t="s">
        <v>771</v>
      </c>
      <c r="C74" s="350">
        <f>SUM(C75:C83)</f>
        <v>7</v>
      </c>
      <c r="D74" s="351"/>
      <c r="E74" s="351"/>
      <c r="F74" s="352">
        <f>SUM(F75:F83)</f>
        <v>8565961</v>
      </c>
      <c r="G74" s="353"/>
      <c r="H74" s="354"/>
      <c r="J74" s="354"/>
      <c r="L74" s="356"/>
      <c r="M74" s="357"/>
      <c r="N74" s="354"/>
      <c r="O74" s="387">
        <f>F74</f>
        <v>8565961</v>
      </c>
      <c r="P74" s="216">
        <f>O74-F74</f>
        <v>0</v>
      </c>
      <c r="Q74" s="73"/>
    </row>
    <row r="75" spans="1:17" s="363" customFormat="1" ht="15" customHeight="1" x14ac:dyDescent="0.2">
      <c r="A75" s="358"/>
      <c r="B75" s="367" t="str">
        <f>'DEFINITIF (APBNP)'!B393</f>
        <v>- Ruas Jalan Pagar Alam - Tanjung Sakti - Bts Prov. Bengkulu</v>
      </c>
      <c r="C75" s="367">
        <f>'DEFINITIF (APBNP)'!C393</f>
        <v>1</v>
      </c>
      <c r="D75" s="367" t="str">
        <f>'DEFINITIF (APBNP)'!D393</f>
        <v>PKT</v>
      </c>
      <c r="E75" s="367">
        <f>'DEFINITIF (APBNP)'!E393</f>
        <v>1191761</v>
      </c>
      <c r="F75" s="360">
        <f t="shared" si="1"/>
        <v>1191761</v>
      </c>
      <c r="G75" s="361"/>
      <c r="H75" s="362"/>
      <c r="J75" s="362"/>
      <c r="L75" s="364"/>
      <c r="M75" s="365"/>
      <c r="N75" s="362"/>
      <c r="O75" s="72"/>
      <c r="P75" s="73"/>
      <c r="Q75" s="73"/>
    </row>
    <row r="76" spans="1:17" s="363" customFormat="1" ht="15" customHeight="1" x14ac:dyDescent="0.2">
      <c r="A76" s="358"/>
      <c r="B76" s="367" t="str">
        <f>'DEFINITIF (APBNP)'!B394</f>
        <v>- Ruas Jalan Simpang Air Dingin - Pagar Alam</v>
      </c>
      <c r="C76" s="367">
        <f>'DEFINITIF (APBNP)'!C394</f>
        <v>1</v>
      </c>
      <c r="D76" s="367" t="str">
        <f>'DEFINITIF (APBNP)'!D394</f>
        <v>PKT</v>
      </c>
      <c r="E76" s="367">
        <f>'DEFINITIF (APBNP)'!E394</f>
        <v>805530</v>
      </c>
      <c r="F76" s="360">
        <f t="shared" si="1"/>
        <v>805530</v>
      </c>
      <c r="G76" s="361"/>
      <c r="H76" s="362"/>
      <c r="J76" s="362"/>
      <c r="L76" s="364"/>
      <c r="M76" s="365"/>
      <c r="N76" s="362"/>
      <c r="O76" s="72"/>
      <c r="P76" s="73"/>
      <c r="Q76" s="73"/>
    </row>
    <row r="77" spans="1:17" s="363" customFormat="1" ht="15" customHeight="1" x14ac:dyDescent="0.2">
      <c r="A77" s="358"/>
      <c r="B77" s="367" t="str">
        <f>'DEFINITIF (APBNP)'!B395</f>
        <v>- Ruas Jalan Batas Kota Lahat - Simpang Air Dingin</v>
      </c>
      <c r="C77" s="367">
        <f>'DEFINITIF (APBNP)'!C395</f>
        <v>1</v>
      </c>
      <c r="D77" s="367" t="str">
        <f>'DEFINITIF (APBNP)'!D395</f>
        <v>PKT</v>
      </c>
      <c r="E77" s="367">
        <f>'DEFINITIF (APBNP)'!E395</f>
        <v>1000000</v>
      </c>
      <c r="F77" s="360">
        <f t="shared" si="1"/>
        <v>1000000</v>
      </c>
      <c r="G77" s="361"/>
      <c r="H77" s="362"/>
      <c r="J77" s="362"/>
      <c r="L77" s="364"/>
      <c r="M77" s="365"/>
      <c r="N77" s="362"/>
      <c r="O77" s="72"/>
      <c r="P77" s="73"/>
      <c r="Q77" s="73"/>
    </row>
    <row r="78" spans="1:17" s="363" customFormat="1" ht="15" customHeight="1" x14ac:dyDescent="0.2">
      <c r="A78" s="358"/>
      <c r="B78" s="367" t="str">
        <f>'DEFINITIF (APBNP)'!B396</f>
        <v>- Ruas Jalan Batas Kota Muara Enim - Simpang Sugih Waras</v>
      </c>
      <c r="C78" s="367">
        <f>'DEFINITIF (APBNP)'!C396</f>
        <v>1</v>
      </c>
      <c r="D78" s="367" t="str">
        <f>'DEFINITIF (APBNP)'!D396</f>
        <v>PKT</v>
      </c>
      <c r="E78" s="367">
        <f>'DEFINITIF (APBNP)'!E396</f>
        <v>1568670</v>
      </c>
      <c r="F78" s="360">
        <f t="shared" si="1"/>
        <v>1568670</v>
      </c>
      <c r="G78" s="361"/>
      <c r="H78" s="366"/>
      <c r="J78" s="366"/>
      <c r="L78" s="364"/>
      <c r="M78" s="365"/>
      <c r="N78" s="366"/>
      <c r="O78" s="72"/>
      <c r="P78" s="73"/>
      <c r="Q78" s="73"/>
    </row>
    <row r="79" spans="1:17" s="363" customFormat="1" ht="15" customHeight="1" x14ac:dyDescent="0.2">
      <c r="A79" s="358"/>
      <c r="B79" s="367" t="str">
        <f>'DEFINITIF (APBNP)'!B397</f>
        <v>- Ruas Jalan Kikim Besar Km 256 - Bts Kota lahat</v>
      </c>
      <c r="C79" s="367">
        <f>'DEFINITIF (APBNP)'!C397</f>
        <v>1</v>
      </c>
      <c r="D79" s="367" t="str">
        <f>'DEFINITIF (APBNP)'!D397</f>
        <v>PKT</v>
      </c>
      <c r="E79" s="367">
        <f>'DEFINITIF (APBNP)'!E397</f>
        <v>1500000</v>
      </c>
      <c r="F79" s="360">
        <f t="shared" si="1"/>
        <v>1500000</v>
      </c>
      <c r="G79" s="361"/>
      <c r="H79" s="366"/>
      <c r="J79" s="366"/>
      <c r="L79" s="364"/>
      <c r="M79" s="365"/>
      <c r="N79" s="366"/>
      <c r="O79" s="72"/>
      <c r="P79" s="73"/>
      <c r="Q79" s="73"/>
    </row>
    <row r="80" spans="1:17" s="363" customFormat="1" ht="15" customHeight="1" x14ac:dyDescent="0.2">
      <c r="A80" s="358"/>
      <c r="B80" s="367" t="str">
        <f>'DEFINITIF (APBNP)'!B398</f>
        <v>- Ruas Jalan Tebing Tinggi - Kikim Besar Km 256</v>
      </c>
      <c r="C80" s="367">
        <f>'DEFINITIF (APBNP)'!C398</f>
        <v>1</v>
      </c>
      <c r="D80" s="367" t="str">
        <f>'DEFINITIF (APBNP)'!D398</f>
        <v>PKT</v>
      </c>
      <c r="E80" s="367">
        <f>'DEFINITIF (APBNP)'!E398</f>
        <v>1500000</v>
      </c>
      <c r="F80" s="360">
        <f t="shared" si="1"/>
        <v>1500000</v>
      </c>
      <c r="G80" s="361"/>
      <c r="H80" s="366"/>
      <c r="J80" s="366"/>
      <c r="L80" s="364"/>
      <c r="M80" s="365"/>
      <c r="N80" s="366"/>
      <c r="O80" s="72"/>
      <c r="P80" s="73"/>
      <c r="Q80" s="73"/>
    </row>
    <row r="81" spans="1:17" s="363" customFormat="1" ht="15" customHeight="1" x14ac:dyDescent="0.2">
      <c r="A81" s="358"/>
      <c r="B81" s="367">
        <f>'DEFINITIF (APBNP)'!B399</f>
        <v>0</v>
      </c>
      <c r="C81" s="367"/>
      <c r="D81" s="367"/>
      <c r="E81" s="367"/>
      <c r="F81" s="360"/>
      <c r="G81" s="361"/>
      <c r="H81" s="366"/>
      <c r="J81" s="366"/>
      <c r="L81" s="364"/>
      <c r="M81" s="365"/>
      <c r="N81" s="366"/>
      <c r="O81" s="72"/>
      <c r="P81" s="73"/>
      <c r="Q81" s="73"/>
    </row>
    <row r="82" spans="1:17" s="363" customFormat="1" ht="15" customHeight="1" x14ac:dyDescent="0.2">
      <c r="A82" s="358"/>
      <c r="B82" s="367" t="str">
        <f>'DEFINITIF (APBNP)'!B400</f>
        <v>PENINGKATAN KINERJA JALAN NASIONAL DI WILAYAH PERKOTAAN</v>
      </c>
      <c r="C82" s="367">
        <f>'DEFINITIF (APBNP)'!C400</f>
        <v>0</v>
      </c>
      <c r="D82" s="367">
        <f>'DEFINITIF (APBNP)'!D400</f>
        <v>0</v>
      </c>
      <c r="E82" s="367">
        <f>'DEFINITIF (APBNP)'!E400</f>
        <v>0</v>
      </c>
      <c r="F82" s="360">
        <f t="shared" si="1"/>
        <v>0</v>
      </c>
      <c r="G82" s="361"/>
      <c r="H82" s="366"/>
      <c r="J82" s="366"/>
      <c r="L82" s="364"/>
      <c r="M82" s="365"/>
      <c r="N82" s="366"/>
      <c r="O82" s="72"/>
      <c r="P82" s="73"/>
      <c r="Q82" s="73"/>
    </row>
    <row r="83" spans="1:17" s="363" customFormat="1" ht="15" customHeight="1" x14ac:dyDescent="0.2">
      <c r="A83" s="358"/>
      <c r="B83" s="367" t="str">
        <f>'DEFINITIF (APBNP)'!B401</f>
        <v>Perlengkapan Jalan Perkotaan di Kota Palembang</v>
      </c>
      <c r="C83" s="367">
        <f>'DEFINITIF (APBNP)'!C401</f>
        <v>1</v>
      </c>
      <c r="D83" s="367" t="str">
        <f>'DEFINITIF (APBNP)'!D401</f>
        <v>PKT</v>
      </c>
      <c r="E83" s="367">
        <f>'DEFINITIF (APBNP)'!E401</f>
        <v>1000000</v>
      </c>
      <c r="F83" s="360">
        <f t="shared" si="1"/>
        <v>1000000</v>
      </c>
      <c r="G83" s="361"/>
      <c r="H83" s="366"/>
      <c r="J83" s="366"/>
      <c r="L83" s="364"/>
      <c r="M83" s="365"/>
      <c r="N83" s="366"/>
      <c r="O83" s="72"/>
      <c r="P83" s="73"/>
      <c r="Q83" s="73"/>
    </row>
    <row r="84" spans="1:17" s="363" customFormat="1" ht="15" customHeight="1" x14ac:dyDescent="0.2">
      <c r="A84" s="358"/>
      <c r="B84" s="367"/>
      <c r="C84" s="367"/>
      <c r="D84" s="367"/>
      <c r="E84" s="367"/>
      <c r="F84" s="360"/>
      <c r="G84" s="361"/>
      <c r="H84" s="366"/>
      <c r="J84" s="366"/>
      <c r="L84" s="364"/>
      <c r="M84" s="365"/>
      <c r="N84" s="366"/>
      <c r="O84" s="72"/>
      <c r="P84" s="73"/>
      <c r="Q84" s="73"/>
    </row>
    <row r="85" spans="1:17" s="355" customFormat="1" ht="15" customHeight="1" x14ac:dyDescent="0.2">
      <c r="A85" s="349">
        <v>9</v>
      </c>
      <c r="B85" s="350" t="s">
        <v>776</v>
      </c>
      <c r="C85" s="350">
        <f>SUM(C86:C91)</f>
        <v>6</v>
      </c>
      <c r="D85" s="351"/>
      <c r="E85" s="351"/>
      <c r="F85" s="352">
        <f>SUM(F86:F91)</f>
        <v>6142963</v>
      </c>
      <c r="G85" s="353"/>
      <c r="H85" s="354"/>
      <c r="J85" s="354"/>
      <c r="L85" s="356"/>
      <c r="M85" s="357"/>
      <c r="N85" s="354"/>
      <c r="O85" s="387">
        <f>F85</f>
        <v>6142963</v>
      </c>
      <c r="P85" s="216">
        <f>O85-F85</f>
        <v>0</v>
      </c>
      <c r="Q85" s="73"/>
    </row>
    <row r="86" spans="1:17" s="363" customFormat="1" ht="15" customHeight="1" x14ac:dyDescent="0.2">
      <c r="A86" s="358"/>
      <c r="B86" s="367" t="str">
        <f>'DEFINITIF (APBNP)'!B446</f>
        <v>Ruas Jalan Lais - Ketahun (termasuk desain dan supervisi) Lanjutan</v>
      </c>
      <c r="C86" s="367">
        <f>'DEFINITIF (APBNP)'!C446</f>
        <v>1</v>
      </c>
      <c r="D86" s="367" t="str">
        <f>'DEFINITIF (APBNP)'!D446</f>
        <v>PKT</v>
      </c>
      <c r="E86" s="367">
        <f>'DEFINITIF (APBNP)'!E446</f>
        <v>1000000</v>
      </c>
      <c r="F86" s="360">
        <f t="shared" si="1"/>
        <v>1000000</v>
      </c>
      <c r="G86" s="361"/>
      <c r="H86" s="362"/>
      <c r="J86" s="362"/>
      <c r="L86" s="364"/>
      <c r="M86" s="365"/>
      <c r="N86" s="362"/>
      <c r="O86" s="72"/>
      <c r="P86" s="73"/>
      <c r="Q86" s="73"/>
    </row>
    <row r="87" spans="1:17" s="363" customFormat="1" ht="15" customHeight="1" x14ac:dyDescent="0.2">
      <c r="A87" s="358"/>
      <c r="B87" s="367" t="str">
        <f>'DEFINITIF (APBNP)'!B447</f>
        <v>Ruas Jalan Kepahiang-Curup (termasuk desain dan supervisi) Lanjutan</v>
      </c>
      <c r="C87" s="367">
        <f>'DEFINITIF (APBNP)'!C447</f>
        <v>1</v>
      </c>
      <c r="D87" s="367" t="str">
        <f>'DEFINITIF (APBNP)'!D447</f>
        <v>PKT</v>
      </c>
      <c r="E87" s="367">
        <f>'DEFINITIF (APBNP)'!E447</f>
        <v>1000000</v>
      </c>
      <c r="F87" s="360">
        <f t="shared" si="1"/>
        <v>1000000</v>
      </c>
      <c r="G87" s="361"/>
      <c r="H87" s="362"/>
      <c r="J87" s="362"/>
      <c r="L87" s="364"/>
      <c r="M87" s="365"/>
      <c r="N87" s="362"/>
      <c r="O87" s="72"/>
      <c r="P87" s="73"/>
      <c r="Q87" s="73"/>
    </row>
    <row r="88" spans="1:17" s="363" customFormat="1" ht="15" customHeight="1" x14ac:dyDescent="0.2">
      <c r="A88" s="358"/>
      <c r="B88" s="367" t="str">
        <f>'DEFINITIF (APBNP)'!B448</f>
        <v>Ruas Jalan Tugu Hiu - Simpang Nakau (termasuk desain dan supervisi) Lanjutan</v>
      </c>
      <c r="C88" s="367">
        <f>'DEFINITIF (APBNP)'!C448</f>
        <v>1</v>
      </c>
      <c r="D88" s="367" t="str">
        <f>'DEFINITIF (APBNP)'!D448</f>
        <v>PKT</v>
      </c>
      <c r="E88" s="367">
        <f>'DEFINITIF (APBNP)'!E448</f>
        <v>1392963</v>
      </c>
      <c r="F88" s="360">
        <f t="shared" si="1"/>
        <v>1392963</v>
      </c>
      <c r="G88" s="361"/>
      <c r="H88" s="362"/>
      <c r="J88" s="362"/>
      <c r="L88" s="364"/>
      <c r="M88" s="365"/>
      <c r="N88" s="362"/>
      <c r="O88" s="72"/>
      <c r="P88" s="73"/>
      <c r="Q88" s="73"/>
    </row>
    <row r="89" spans="1:17" s="363" customFormat="1" ht="15" customHeight="1" x14ac:dyDescent="0.2">
      <c r="A89" s="358"/>
      <c r="B89" s="367" t="str">
        <f>'DEFINITIF (APBNP)'!B449</f>
        <v xml:space="preserve">Ruas Jalan Air Sebakul - Simpang Kembang Seri (termasuk desain dan supervisi) </v>
      </c>
      <c r="C89" s="367">
        <f>'DEFINITIF (APBNP)'!C449</f>
        <v>1</v>
      </c>
      <c r="D89" s="367" t="str">
        <f>'DEFINITIF (APBNP)'!D449</f>
        <v>PKT</v>
      </c>
      <c r="E89" s="367">
        <f>'DEFINITIF (APBNP)'!E449</f>
        <v>1250000</v>
      </c>
      <c r="F89" s="360">
        <f t="shared" si="1"/>
        <v>1250000</v>
      </c>
      <c r="G89" s="361"/>
      <c r="H89" s="366"/>
      <c r="J89" s="366"/>
      <c r="L89" s="364"/>
      <c r="M89" s="365"/>
      <c r="N89" s="366"/>
      <c r="O89" s="72"/>
      <c r="P89" s="73"/>
      <c r="Q89" s="73"/>
    </row>
    <row r="90" spans="1:17" s="363" customFormat="1" ht="15" customHeight="1" x14ac:dyDescent="0.2">
      <c r="A90" s="358"/>
      <c r="B90" s="367" t="str">
        <f>'DEFINITIF (APBNP)'!B450</f>
        <v xml:space="preserve">Ruas Jalan Manna - Sulau (termasuk desain dan supervisi) </v>
      </c>
      <c r="C90" s="367">
        <f>'DEFINITIF (APBNP)'!C450</f>
        <v>1</v>
      </c>
      <c r="D90" s="367" t="str">
        <f>'DEFINITIF (APBNP)'!D450</f>
        <v>PKT</v>
      </c>
      <c r="E90" s="367">
        <f>'DEFINITIF (APBNP)'!E450</f>
        <v>750000</v>
      </c>
      <c r="F90" s="360">
        <f t="shared" si="1"/>
        <v>750000</v>
      </c>
      <c r="G90" s="361"/>
      <c r="H90" s="366"/>
      <c r="J90" s="366"/>
      <c r="L90" s="364"/>
      <c r="M90" s="365"/>
      <c r="N90" s="366"/>
      <c r="O90" s="72"/>
      <c r="P90" s="73"/>
      <c r="Q90" s="73"/>
    </row>
    <row r="91" spans="1:17" s="363" customFormat="1" ht="15" customHeight="1" x14ac:dyDescent="0.2">
      <c r="A91" s="358"/>
      <c r="B91" s="367" t="str">
        <f>'DEFINITIF (APBNP)'!B451</f>
        <v>Ruas Jalan Sulau - Bintuhan - Batas Lampung (termasuk desain dan supervisi) Lanjutan</v>
      </c>
      <c r="C91" s="367">
        <f>'DEFINITIF (APBNP)'!C451</f>
        <v>1</v>
      </c>
      <c r="D91" s="367" t="str">
        <f>'DEFINITIF (APBNP)'!D451</f>
        <v>PKT</v>
      </c>
      <c r="E91" s="367">
        <f>'DEFINITIF (APBNP)'!E451</f>
        <v>750000</v>
      </c>
      <c r="F91" s="360">
        <f t="shared" si="1"/>
        <v>750000</v>
      </c>
      <c r="G91" s="361"/>
      <c r="H91" s="366"/>
      <c r="J91" s="366"/>
      <c r="L91" s="364"/>
      <c r="M91" s="365"/>
      <c r="N91" s="366"/>
      <c r="O91" s="72"/>
      <c r="P91" s="73"/>
      <c r="Q91" s="73"/>
    </row>
    <row r="92" spans="1:17" s="363" customFormat="1" ht="15" customHeight="1" x14ac:dyDescent="0.2">
      <c r="A92" s="358"/>
      <c r="B92" s="367">
        <f>'DEFINITIF (APBNP)'!B452</f>
        <v>0</v>
      </c>
      <c r="C92" s="367"/>
      <c r="D92" s="367"/>
      <c r="E92" s="367"/>
      <c r="F92" s="360"/>
      <c r="G92" s="361"/>
      <c r="H92" s="366"/>
      <c r="J92" s="366"/>
      <c r="L92" s="364"/>
      <c r="M92" s="365"/>
      <c r="N92" s="366"/>
      <c r="O92" s="72"/>
      <c r="P92" s="73"/>
      <c r="Q92" s="73"/>
    </row>
    <row r="93" spans="1:17" s="355" customFormat="1" ht="15" customHeight="1" x14ac:dyDescent="0.2">
      <c r="A93" s="349">
        <v>10</v>
      </c>
      <c r="B93" s="350" t="s">
        <v>778</v>
      </c>
      <c r="C93" s="350">
        <f>SUM(C94:C100)</f>
        <v>6</v>
      </c>
      <c r="D93" s="351"/>
      <c r="E93" s="351"/>
      <c r="F93" s="352">
        <f>SUM(F94:F100)</f>
        <v>11026957</v>
      </c>
      <c r="G93" s="353"/>
      <c r="H93" s="354"/>
      <c r="J93" s="354"/>
      <c r="L93" s="356"/>
      <c r="M93" s="357"/>
      <c r="N93" s="354"/>
      <c r="O93" s="387">
        <f>F93</f>
        <v>11026957</v>
      </c>
      <c r="P93" s="216">
        <f>O93-F93</f>
        <v>0</v>
      </c>
      <c r="Q93" s="73"/>
    </row>
    <row r="94" spans="1:17" s="363" customFormat="1" ht="15" customHeight="1" x14ac:dyDescent="0.2">
      <c r="A94" s="358"/>
      <c r="B94" s="367" t="str">
        <f>'DEFINITIF (APBNP)'!B496</f>
        <v>Ruas Jalan Bakauheni - Sukadana/Way Jepara (2 Link)</v>
      </c>
      <c r="C94" s="367">
        <f>'DEFINITIF (APBNP)'!C496</f>
        <v>1</v>
      </c>
      <c r="D94" s="367" t="str">
        <f>'DEFINITIF (APBNP)'!D496</f>
        <v>PKT</v>
      </c>
      <c r="E94" s="367">
        <f>'DEFINITIF (APBNP)'!E496</f>
        <v>2165000</v>
      </c>
      <c r="F94" s="360">
        <f t="shared" si="1"/>
        <v>2165000</v>
      </c>
      <c r="G94" s="361"/>
      <c r="H94" s="362"/>
      <c r="J94" s="362"/>
      <c r="L94" s="364"/>
      <c r="M94" s="365"/>
      <c r="N94" s="362"/>
      <c r="O94" s="72"/>
      <c r="P94" s="73"/>
      <c r="Q94" s="73"/>
    </row>
    <row r="95" spans="1:17" s="363" customFormat="1" ht="15" customHeight="1" x14ac:dyDescent="0.2">
      <c r="A95" s="358"/>
      <c r="B95" s="367" t="str">
        <f>'DEFINITIF (APBNP)'!B497</f>
        <v>Ruas Jalan Sukadana/Way Jepara - Menggala (2 Link)</v>
      </c>
      <c r="C95" s="367">
        <f>'DEFINITIF (APBNP)'!C497</f>
        <v>1</v>
      </c>
      <c r="D95" s="367" t="str">
        <f>'DEFINITIF (APBNP)'!D497</f>
        <v>PKT</v>
      </c>
      <c r="E95" s="367">
        <f>'DEFINITIF (APBNP)'!E497</f>
        <v>2218000</v>
      </c>
      <c r="F95" s="360">
        <f t="shared" si="1"/>
        <v>2218000</v>
      </c>
      <c r="G95" s="361"/>
      <c r="H95" s="362"/>
      <c r="J95" s="362"/>
      <c r="L95" s="364"/>
      <c r="M95" s="365"/>
      <c r="N95" s="362"/>
      <c r="O95" s="72"/>
      <c r="P95" s="73"/>
      <c r="Q95" s="73"/>
    </row>
    <row r="96" spans="1:17" s="363" customFormat="1" ht="15" customHeight="1" x14ac:dyDescent="0.2">
      <c r="A96" s="358"/>
      <c r="B96" s="367" t="str">
        <f>'DEFINITIF (APBNP)'!B498</f>
        <v>Ruas Jalan Menggala - Batas Sumsel (2 Link)</v>
      </c>
      <c r="C96" s="367">
        <f>'DEFINITIF (APBNP)'!C498</f>
        <v>1</v>
      </c>
      <c r="D96" s="367" t="str">
        <f>'DEFINITIF (APBNP)'!D498</f>
        <v>PKT</v>
      </c>
      <c r="E96" s="367">
        <f>'DEFINITIF (APBNP)'!E498</f>
        <v>1710000</v>
      </c>
      <c r="F96" s="360">
        <f t="shared" si="1"/>
        <v>1710000</v>
      </c>
      <c r="G96" s="361"/>
      <c r="H96" s="362"/>
      <c r="J96" s="362"/>
      <c r="L96" s="364"/>
      <c r="M96" s="365"/>
      <c r="N96" s="362"/>
      <c r="O96" s="72"/>
      <c r="P96" s="73"/>
      <c r="Q96" s="73"/>
    </row>
    <row r="97" spans="1:17" s="363" customFormat="1" ht="15" customHeight="1" x14ac:dyDescent="0.2">
      <c r="A97" s="358"/>
      <c r="B97" s="367" t="str">
        <f>'DEFINITIF (APBNP)'!B499</f>
        <v>Ruas Jalan Kota Agung - Bengkunat (3 Link)</v>
      </c>
      <c r="C97" s="367">
        <f>'DEFINITIF (APBNP)'!C499</f>
        <v>1</v>
      </c>
      <c r="D97" s="367" t="str">
        <f>'DEFINITIF (APBNP)'!D499</f>
        <v>PKT</v>
      </c>
      <c r="E97" s="367">
        <f>'DEFINITIF (APBNP)'!E499</f>
        <v>1309000</v>
      </c>
      <c r="F97" s="360">
        <f t="shared" si="1"/>
        <v>1309000</v>
      </c>
      <c r="G97" s="361"/>
      <c r="H97" s="362"/>
      <c r="J97" s="362"/>
      <c r="L97" s="364"/>
      <c r="M97" s="365"/>
      <c r="N97" s="362"/>
      <c r="O97" s="72"/>
      <c r="P97" s="73"/>
      <c r="Q97" s="73"/>
    </row>
    <row r="98" spans="1:17" s="363" customFormat="1" ht="15" customHeight="1" x14ac:dyDescent="0.2">
      <c r="A98" s="358"/>
      <c r="B98" s="367" t="str">
        <f>'DEFINITIF (APBNP)'!B500</f>
        <v>Ruas Jalan Bengkunat - Krui (3 Link)</v>
      </c>
      <c r="C98" s="367">
        <f>'DEFINITIF (APBNP)'!C500</f>
        <v>1</v>
      </c>
      <c r="D98" s="367" t="str">
        <f>'DEFINITIF (APBNP)'!D500</f>
        <v>PKT</v>
      </c>
      <c r="E98" s="367">
        <f>'DEFINITIF (APBNP)'!E500</f>
        <v>2201957</v>
      </c>
      <c r="F98" s="360">
        <f t="shared" si="1"/>
        <v>2201957</v>
      </c>
      <c r="G98" s="361"/>
      <c r="H98" s="362"/>
      <c r="J98" s="362"/>
      <c r="L98" s="364"/>
      <c r="M98" s="365"/>
      <c r="N98" s="362"/>
      <c r="O98" s="72"/>
      <c r="P98" s="73"/>
      <c r="Q98" s="73"/>
    </row>
    <row r="99" spans="1:17" s="363" customFormat="1" ht="15" customHeight="1" x14ac:dyDescent="0.2">
      <c r="A99" s="358"/>
      <c r="B99" s="367" t="str">
        <f>'DEFINITIF (APBNP)'!B501</f>
        <v>Ruas Jalan Krui - Batas Bengkulu (2 Link)</v>
      </c>
      <c r="C99" s="367">
        <f>'DEFINITIF (APBNP)'!C501</f>
        <v>1</v>
      </c>
      <c r="D99" s="367" t="str">
        <f>'DEFINITIF (APBNP)'!D501</f>
        <v>PKT</v>
      </c>
      <c r="E99" s="367">
        <f>'DEFINITIF (APBNP)'!E501</f>
        <v>1423000</v>
      </c>
      <c r="F99" s="360">
        <f>C99*E99</f>
        <v>1423000</v>
      </c>
      <c r="G99" s="361"/>
      <c r="H99" s="362"/>
      <c r="J99" s="362"/>
      <c r="L99" s="364"/>
      <c r="M99" s="365"/>
      <c r="N99" s="362"/>
      <c r="O99" s="72"/>
      <c r="P99" s="73"/>
      <c r="Q99" s="73"/>
    </row>
    <row r="100" spans="1:17" s="363" customFormat="1" ht="15" customHeight="1" x14ac:dyDescent="0.2">
      <c r="A100" s="358"/>
      <c r="B100" s="367">
        <f>'DEFINITIF (APBNP)'!B502</f>
        <v>0</v>
      </c>
      <c r="C100" s="367">
        <f>'DEFINITIF (APBNP)'!C502</f>
        <v>0</v>
      </c>
      <c r="D100" s="367">
        <f>'DEFINITIF (APBNP)'!D502</f>
        <v>0</v>
      </c>
      <c r="E100" s="367">
        <f>'DEFINITIF (APBNP)'!E502</f>
        <v>0</v>
      </c>
      <c r="F100" s="360">
        <f>C100*E100</f>
        <v>0</v>
      </c>
      <c r="G100" s="361"/>
      <c r="H100" s="362"/>
      <c r="J100" s="362"/>
      <c r="L100" s="364"/>
      <c r="M100" s="365"/>
      <c r="N100" s="362"/>
      <c r="O100" s="72"/>
      <c r="P100" s="73"/>
      <c r="Q100" s="73"/>
    </row>
    <row r="101" spans="1:17" s="355" customFormat="1" ht="15" customHeight="1" x14ac:dyDescent="0.2">
      <c r="A101" s="349">
        <v>11</v>
      </c>
      <c r="B101" s="350" t="s">
        <v>780</v>
      </c>
      <c r="C101" s="371">
        <f>SUM(C102:C113)</f>
        <v>12</v>
      </c>
      <c r="D101" s="371"/>
      <c r="E101" s="371"/>
      <c r="F101" s="372">
        <f>SUM(F102:F113)</f>
        <v>3649584</v>
      </c>
      <c r="G101" s="353"/>
      <c r="H101" s="354"/>
      <c r="J101" s="354"/>
      <c r="L101" s="356"/>
      <c r="M101" s="357"/>
      <c r="N101" s="354"/>
      <c r="O101" s="387">
        <f>F101</f>
        <v>3649584</v>
      </c>
      <c r="P101" s="216">
        <f>O101-F101</f>
        <v>0</v>
      </c>
      <c r="Q101" s="73"/>
    </row>
    <row r="102" spans="1:17" s="363" customFormat="1" ht="15" customHeight="1" x14ac:dyDescent="0.2">
      <c r="A102" s="358"/>
      <c r="B102" s="367" t="str">
        <f>'DEFINITIF (APBNP)'!B554</f>
        <v>Jl. A. Yani (Serang)</v>
      </c>
      <c r="C102" s="367">
        <f>'DEFINITIF (APBNP)'!C554</f>
        <v>1</v>
      </c>
      <c r="D102" s="367" t="str">
        <f>'DEFINITIF (APBNP)'!D554</f>
        <v>PKT</v>
      </c>
      <c r="E102" s="367">
        <f>'DEFINITIF (APBNP)'!E554</f>
        <v>43490</v>
      </c>
      <c r="F102" s="360">
        <f t="shared" ref="F102:F164" si="2">C102*E102</f>
        <v>43490</v>
      </c>
      <c r="G102" s="361"/>
      <c r="H102" s="362"/>
      <c r="J102" s="362"/>
      <c r="L102" s="364"/>
      <c r="M102" s="365"/>
      <c r="N102" s="362"/>
      <c r="O102" s="72"/>
      <c r="P102" s="73"/>
      <c r="Q102" s="73"/>
    </row>
    <row r="103" spans="1:17" s="363" customFormat="1" ht="15" customHeight="1" x14ac:dyDescent="0.2">
      <c r="A103" s="358"/>
      <c r="B103" s="367" t="str">
        <f>'DEFINITIF (APBNP)'!B555</f>
        <v>Jl. Kolonel Tb. Suwandi (Serang)</v>
      </c>
      <c r="C103" s="367">
        <f>'DEFINITIF (APBNP)'!C555</f>
        <v>1</v>
      </c>
      <c r="D103" s="367" t="str">
        <f>'DEFINITIF (APBNP)'!D555</f>
        <v>PKT</v>
      </c>
      <c r="E103" s="367">
        <f>'DEFINITIF (APBNP)'!E555</f>
        <v>117023</v>
      </c>
      <c r="F103" s="360">
        <f t="shared" si="2"/>
        <v>117023</v>
      </c>
      <c r="G103" s="361"/>
      <c r="H103" s="362"/>
      <c r="J103" s="362"/>
      <c r="L103" s="364"/>
      <c r="M103" s="365"/>
      <c r="N103" s="362"/>
      <c r="O103" s="72"/>
      <c r="P103" s="73"/>
      <c r="Q103" s="73"/>
    </row>
    <row r="104" spans="1:17" s="363" customFormat="1" ht="15" customHeight="1" x14ac:dyDescent="0.2">
      <c r="A104" s="358"/>
      <c r="B104" s="367" t="str">
        <f>'DEFINITIF (APBNP)'!B556</f>
        <v>Jl. Maulana Yusuf (Serang)</v>
      </c>
      <c r="C104" s="367">
        <f>'DEFINITIF (APBNP)'!C556</f>
        <v>1</v>
      </c>
      <c r="D104" s="367" t="str">
        <f>'DEFINITIF (APBNP)'!D556</f>
        <v>PKT</v>
      </c>
      <c r="E104" s="367">
        <f>'DEFINITIF (APBNP)'!E556</f>
        <v>88511</v>
      </c>
      <c r="F104" s="360">
        <f t="shared" si="2"/>
        <v>88511</v>
      </c>
      <c r="G104" s="361"/>
      <c r="H104" s="362"/>
      <c r="J104" s="362"/>
      <c r="L104" s="364"/>
      <c r="M104" s="365"/>
      <c r="N104" s="362"/>
      <c r="O104" s="72"/>
      <c r="P104" s="73"/>
      <c r="Q104" s="73"/>
    </row>
    <row r="105" spans="1:17" s="363" customFormat="1" ht="15" customHeight="1" x14ac:dyDescent="0.2">
      <c r="A105" s="358"/>
      <c r="B105" s="367" t="str">
        <f>'DEFINITIF (APBNP)'!B557</f>
        <v>Jl. Raya Cilegon (Serang)</v>
      </c>
      <c r="C105" s="367">
        <f>'DEFINITIF (APBNP)'!C557</f>
        <v>1</v>
      </c>
      <c r="D105" s="367" t="str">
        <f>'DEFINITIF (APBNP)'!D557</f>
        <v>PKT</v>
      </c>
      <c r="E105" s="367">
        <f>'DEFINITIF (APBNP)'!E557</f>
        <v>73312</v>
      </c>
      <c r="F105" s="360">
        <f t="shared" si="2"/>
        <v>73312</v>
      </c>
      <c r="G105" s="361"/>
      <c r="H105" s="362"/>
      <c r="J105" s="362"/>
      <c r="L105" s="364"/>
      <c r="M105" s="365"/>
      <c r="N105" s="362"/>
      <c r="O105" s="72"/>
      <c r="P105" s="73"/>
      <c r="Q105" s="73"/>
    </row>
    <row r="106" spans="1:17" s="363" customFormat="1" ht="15" customHeight="1" x14ac:dyDescent="0.2">
      <c r="A106" s="358"/>
      <c r="B106" s="367" t="str">
        <f>'DEFINITIF (APBNP)'!B558</f>
        <v>Jl. Raya Pandeglang (Rangkasbitung)</v>
      </c>
      <c r="C106" s="367">
        <f>'DEFINITIF (APBNP)'!C558</f>
        <v>1</v>
      </c>
      <c r="D106" s="367" t="str">
        <f>'DEFINITIF (APBNP)'!D558</f>
        <v>PKT</v>
      </c>
      <c r="E106" s="367">
        <f>'DEFINITIF (APBNP)'!E558</f>
        <v>124462</v>
      </c>
      <c r="F106" s="360">
        <f t="shared" si="2"/>
        <v>124462</v>
      </c>
      <c r="G106" s="361"/>
      <c r="H106" s="362"/>
      <c r="J106" s="362"/>
      <c r="L106" s="364"/>
      <c r="M106" s="365"/>
      <c r="N106" s="362"/>
      <c r="O106" s="72"/>
      <c r="P106" s="73"/>
      <c r="Q106" s="73"/>
    </row>
    <row r="107" spans="1:17" s="363" customFormat="1" ht="15" customHeight="1" x14ac:dyDescent="0.2">
      <c r="A107" s="358"/>
      <c r="B107" s="367" t="str">
        <f>'DEFINITIF (APBNP)'!B559</f>
        <v>Jl. Sudirman (Serang)</v>
      </c>
      <c r="C107" s="367">
        <f>'DEFINITIF (APBNP)'!C559</f>
        <v>1</v>
      </c>
      <c r="D107" s="367" t="str">
        <f>'DEFINITIF (APBNP)'!D559</f>
        <v>PKT</v>
      </c>
      <c r="E107" s="367">
        <f>'DEFINITIF (APBNP)'!E559</f>
        <v>11903</v>
      </c>
      <c r="F107" s="360">
        <f t="shared" si="2"/>
        <v>11903</v>
      </c>
      <c r="G107" s="361"/>
      <c r="H107" s="362"/>
      <c r="J107" s="362"/>
      <c r="L107" s="364"/>
      <c r="M107" s="365"/>
      <c r="N107" s="362"/>
      <c r="O107" s="72"/>
      <c r="P107" s="73"/>
      <c r="Q107" s="73"/>
    </row>
    <row r="108" spans="1:17" s="363" customFormat="1" ht="15" customHeight="1" x14ac:dyDescent="0.2">
      <c r="A108" s="358"/>
      <c r="B108" s="367" t="str">
        <f>'DEFINITIF (APBNP)'!B560</f>
        <v>Jl. Tirtayasa (Serang)</v>
      </c>
      <c r="C108" s="367">
        <f>'DEFINITIF (APBNP)'!C560</f>
        <v>1</v>
      </c>
      <c r="D108" s="367" t="str">
        <f>'DEFINITIF (APBNP)'!D560</f>
        <v>PKT</v>
      </c>
      <c r="E108" s="367">
        <f>'DEFINITIF (APBNP)'!E560</f>
        <v>92974</v>
      </c>
      <c r="F108" s="360">
        <f t="shared" si="2"/>
        <v>92974</v>
      </c>
      <c r="G108" s="361"/>
      <c r="H108" s="362"/>
      <c r="J108" s="362"/>
      <c r="L108" s="364"/>
      <c r="M108" s="365"/>
      <c r="N108" s="362"/>
      <c r="O108" s="72"/>
      <c r="P108" s="73"/>
      <c r="Q108" s="73"/>
    </row>
    <row r="109" spans="1:17" s="363" customFormat="1" ht="15" customHeight="1" x14ac:dyDescent="0.2">
      <c r="A109" s="358"/>
      <c r="B109" s="367" t="str">
        <f>'DEFINITIF (APBNP)'!B561</f>
        <v>Jl. Yusuf Martadilaga (Serang)</v>
      </c>
      <c r="C109" s="367">
        <f>'DEFINITIF (APBNP)'!C561</f>
        <v>1</v>
      </c>
      <c r="D109" s="367" t="str">
        <f>'DEFINITIF (APBNP)'!D561</f>
        <v>PKT</v>
      </c>
      <c r="E109" s="367">
        <f>'DEFINITIF (APBNP)'!E561</f>
        <v>92974</v>
      </c>
      <c r="F109" s="360">
        <f t="shared" si="2"/>
        <v>92974</v>
      </c>
      <c r="G109" s="361"/>
      <c r="H109" s="362"/>
      <c r="J109" s="362"/>
      <c r="L109" s="364"/>
      <c r="M109" s="365"/>
      <c r="N109" s="362"/>
      <c r="O109" s="72"/>
      <c r="P109" s="73"/>
      <c r="Q109" s="73"/>
    </row>
    <row r="110" spans="1:17" s="363" customFormat="1" ht="15" customHeight="1" x14ac:dyDescent="0.2">
      <c r="A110" s="358"/>
      <c r="B110" s="367" t="str">
        <f>'DEFINITIF (APBNP)'!B562</f>
        <v>Bts. Kota Serang - Bts. Kota Tangerang</v>
      </c>
      <c r="C110" s="367">
        <f>'DEFINITIF (APBNP)'!C562</f>
        <v>1</v>
      </c>
      <c r="D110" s="367" t="str">
        <f>'DEFINITIF (APBNP)'!D562</f>
        <v>PKT</v>
      </c>
      <c r="E110" s="367">
        <f>'DEFINITIF (APBNP)'!E562</f>
        <v>2500000</v>
      </c>
      <c r="F110" s="360">
        <f t="shared" si="2"/>
        <v>2500000</v>
      </c>
      <c r="G110" s="361"/>
      <c r="H110" s="362"/>
      <c r="J110" s="362"/>
      <c r="L110" s="364"/>
      <c r="M110" s="365"/>
      <c r="N110" s="362"/>
      <c r="O110" s="72"/>
      <c r="P110" s="73"/>
      <c r="Q110" s="73"/>
    </row>
    <row r="111" spans="1:17" s="363" customFormat="1" ht="15" customHeight="1" x14ac:dyDescent="0.2">
      <c r="A111" s="358"/>
      <c r="B111" s="367" t="str">
        <f>'DEFINITIF (APBNP)'!B563</f>
        <v>Jl. Daan Mogot (Tangerang - Bts DKI)</v>
      </c>
      <c r="C111" s="367">
        <f>'DEFINITIF (APBNP)'!C563</f>
        <v>1</v>
      </c>
      <c r="D111" s="367" t="str">
        <f>'DEFINITIF (APBNP)'!D563</f>
        <v>PKT</v>
      </c>
      <c r="E111" s="367">
        <f>'DEFINITIF (APBNP)'!E563</f>
        <v>322109</v>
      </c>
      <c r="F111" s="360">
        <f t="shared" si="2"/>
        <v>322109</v>
      </c>
      <c r="G111" s="361"/>
      <c r="H111" s="362"/>
      <c r="J111" s="362"/>
      <c r="L111" s="364"/>
      <c r="M111" s="365"/>
      <c r="N111" s="362"/>
      <c r="O111" s="72"/>
      <c r="P111" s="73"/>
      <c r="Q111" s="73"/>
    </row>
    <row r="112" spans="1:17" s="363" customFormat="1" ht="15" customHeight="1" x14ac:dyDescent="0.2">
      <c r="A112" s="358"/>
      <c r="B112" s="367" t="str">
        <f>'DEFINITIF (APBNP)'!B564</f>
        <v>Bts. Cilegon - Bts. Kota Serang</v>
      </c>
      <c r="C112" s="367">
        <f>'DEFINITIF (APBNP)'!C564</f>
        <v>1</v>
      </c>
      <c r="D112" s="367" t="str">
        <f>'DEFINITIF (APBNP)'!D564</f>
        <v>PKT</v>
      </c>
      <c r="E112" s="367">
        <f>'DEFINITIF (APBNP)'!E564</f>
        <v>68779</v>
      </c>
      <c r="F112" s="360">
        <f t="shared" si="2"/>
        <v>68779</v>
      </c>
      <c r="G112" s="361"/>
      <c r="H112" s="362"/>
      <c r="J112" s="362"/>
      <c r="L112" s="364"/>
      <c r="M112" s="365"/>
      <c r="N112" s="362"/>
      <c r="O112" s="72"/>
      <c r="P112" s="73"/>
      <c r="Q112" s="73"/>
    </row>
    <row r="113" spans="1:17" s="363" customFormat="1" ht="15" customHeight="1" x14ac:dyDescent="0.2">
      <c r="A113" s="358"/>
      <c r="B113" s="367" t="str">
        <f>'DEFINITIF (APBNP)'!B565</f>
        <v>Jl. Mayor Syafei (Serang)</v>
      </c>
      <c r="C113" s="367">
        <f>'DEFINITIF (APBNP)'!C565</f>
        <v>1</v>
      </c>
      <c r="D113" s="367" t="str">
        <f>'DEFINITIF (APBNP)'!D565</f>
        <v>PKT</v>
      </c>
      <c r="E113" s="367">
        <f>'DEFINITIF (APBNP)'!E565</f>
        <v>114047</v>
      </c>
      <c r="F113" s="360">
        <f t="shared" si="2"/>
        <v>114047</v>
      </c>
      <c r="G113" s="361"/>
      <c r="H113" s="362"/>
      <c r="J113" s="362"/>
      <c r="L113" s="364"/>
      <c r="M113" s="365"/>
      <c r="N113" s="362"/>
      <c r="O113" s="72"/>
      <c r="P113" s="73"/>
      <c r="Q113" s="73"/>
    </row>
    <row r="114" spans="1:17" s="363" customFormat="1" ht="15" customHeight="1" x14ac:dyDescent="0.2">
      <c r="A114" s="358"/>
      <c r="B114" s="367">
        <f>'DEFINITIF (APBNP)'!B566</f>
        <v>0</v>
      </c>
      <c r="C114" s="367"/>
      <c r="D114" s="367"/>
      <c r="E114" s="367"/>
      <c r="F114" s="360"/>
      <c r="G114" s="361"/>
      <c r="H114" s="362"/>
      <c r="J114" s="362"/>
      <c r="L114" s="364"/>
      <c r="M114" s="365"/>
      <c r="N114" s="362"/>
      <c r="O114" s="72"/>
      <c r="P114" s="73"/>
      <c r="Q114" s="73"/>
    </row>
    <row r="115" spans="1:17" s="355" customFormat="1" ht="15" customHeight="1" x14ac:dyDescent="0.2">
      <c r="A115" s="349">
        <v>12</v>
      </c>
      <c r="B115" s="350" t="s">
        <v>781</v>
      </c>
      <c r="C115" s="350">
        <f>SUM(C116:C124)</f>
        <v>8</v>
      </c>
      <c r="D115" s="351"/>
      <c r="E115" s="351"/>
      <c r="F115" s="352">
        <f>SUM(F116:F124)</f>
        <v>6110970</v>
      </c>
      <c r="G115" s="353"/>
      <c r="H115" s="354"/>
      <c r="J115" s="354"/>
      <c r="L115" s="356"/>
      <c r="M115" s="357"/>
      <c r="N115" s="354"/>
      <c r="O115" s="387">
        <f>F115</f>
        <v>6110970</v>
      </c>
      <c r="P115" s="216">
        <f>O115-F115</f>
        <v>0</v>
      </c>
      <c r="Q115" s="73"/>
    </row>
    <row r="116" spans="1:17" s="363" customFormat="1" ht="15" customHeight="1" x14ac:dyDescent="0.2">
      <c r="A116" s="358"/>
      <c r="B116" s="359" t="str">
        <f>'DEFINITIF (APBNP)'!B610</f>
        <v>JL. BHAYANGKARA (SUKABUMI) (termasuk supervisi)</v>
      </c>
      <c r="C116" s="359">
        <f>'DEFINITIF (APBNP)'!C610</f>
        <v>1</v>
      </c>
      <c r="D116" s="359" t="str">
        <f>'DEFINITIF (APBNP)'!D610</f>
        <v>PKT</v>
      </c>
      <c r="E116" s="359">
        <f>'DEFINITIF (APBNP)'!E610</f>
        <v>812235</v>
      </c>
      <c r="F116" s="360">
        <f t="shared" si="2"/>
        <v>812235</v>
      </c>
      <c r="G116" s="361"/>
      <c r="H116" s="362"/>
      <c r="J116" s="362"/>
      <c r="L116" s="364"/>
      <c r="M116" s="365"/>
      <c r="N116" s="362"/>
      <c r="O116" s="72"/>
      <c r="P116" s="73"/>
      <c r="Q116" s="73"/>
    </row>
    <row r="117" spans="1:17" s="363" customFormat="1" ht="15" customHeight="1" x14ac:dyDescent="0.2">
      <c r="A117" s="358"/>
      <c r="B117" s="359" t="str">
        <f>'DEFINITIF (APBNP)'!B611</f>
        <v>JL. KOSASIH (SUKABUMI) (termasuk supervisi)</v>
      </c>
      <c r="C117" s="359">
        <f>'DEFINITIF (APBNP)'!C611</f>
        <v>1</v>
      </c>
      <c r="D117" s="359" t="str">
        <f>'DEFINITIF (APBNP)'!D611</f>
        <v>PKT</v>
      </c>
      <c r="E117" s="359">
        <f>'DEFINITIF (APBNP)'!E611</f>
        <v>841416</v>
      </c>
      <c r="F117" s="360">
        <f t="shared" si="2"/>
        <v>841416</v>
      </c>
      <c r="G117" s="361"/>
      <c r="H117" s="362"/>
      <c r="J117" s="362"/>
      <c r="L117" s="364"/>
      <c r="M117" s="365"/>
      <c r="N117" s="362"/>
      <c r="O117" s="72"/>
      <c r="P117" s="73"/>
      <c r="Q117" s="73"/>
    </row>
    <row r="118" spans="1:17" s="363" customFormat="1" ht="15" customHeight="1" x14ac:dyDescent="0.2">
      <c r="A118" s="358"/>
      <c r="B118" s="359" t="str">
        <f>'DEFINITIF (APBNP)'!B612</f>
        <v>JL. K.H. SANUSI(termasuk supervisi)</v>
      </c>
      <c r="C118" s="359">
        <f>'DEFINITIF (APBNP)'!C612</f>
        <v>1</v>
      </c>
      <c r="D118" s="359" t="str">
        <f>'DEFINITIF (APBNP)'!D612</f>
        <v>PKT</v>
      </c>
      <c r="E118" s="359">
        <f>'DEFINITIF (APBNP)'!E612</f>
        <v>336976</v>
      </c>
      <c r="F118" s="360">
        <f t="shared" si="2"/>
        <v>336976</v>
      </c>
      <c r="G118" s="361"/>
      <c r="H118" s="362"/>
      <c r="J118" s="362"/>
      <c r="L118" s="364"/>
      <c r="M118" s="365"/>
      <c r="N118" s="362"/>
      <c r="O118" s="72"/>
      <c r="P118" s="73"/>
      <c r="Q118" s="73"/>
    </row>
    <row r="119" spans="1:17" s="363" customFormat="1" ht="15" customHeight="1" x14ac:dyDescent="0.2">
      <c r="A119" s="358"/>
      <c r="B119" s="359" t="str">
        <f>'DEFINITIF (APBNP)'!B613</f>
        <v>JL. RAYA BATULAWANG (BANJAR) (termasuk supervisi)</v>
      </c>
      <c r="C119" s="359">
        <f>'DEFINITIF (APBNP)'!C613</f>
        <v>1</v>
      </c>
      <c r="D119" s="359" t="str">
        <f>'DEFINITIF (APBNP)'!D613</f>
        <v>PKT</v>
      </c>
      <c r="E119" s="359">
        <f>'DEFINITIF (APBNP)'!E613</f>
        <v>1186147</v>
      </c>
      <c r="F119" s="360">
        <f t="shared" si="2"/>
        <v>1186147</v>
      </c>
      <c r="G119" s="361"/>
      <c r="H119" s="362"/>
      <c r="J119" s="362"/>
      <c r="L119" s="364"/>
      <c r="M119" s="365"/>
      <c r="N119" s="362"/>
      <c r="O119" s="72"/>
      <c r="P119" s="73"/>
      <c r="Q119" s="73"/>
    </row>
    <row r="120" spans="1:17" s="363" customFormat="1" ht="15" customHeight="1" x14ac:dyDescent="0.2">
      <c r="A120" s="358"/>
      <c r="B120" s="359" t="str">
        <f>'DEFINITIF (APBNP)'!B614</f>
        <v>JL. RAYA BANJARSARI (BANJARSARI) (termasuk supervisi)</v>
      </c>
      <c r="C120" s="359">
        <f>'DEFINITIF (APBNP)'!C614</f>
        <v>1</v>
      </c>
      <c r="D120" s="359" t="str">
        <f>'DEFINITIF (APBNP)'!D614</f>
        <v>PKT</v>
      </c>
      <c r="E120" s="359">
        <f>'DEFINITIF (APBNP)'!E614</f>
        <v>698350</v>
      </c>
      <c r="F120" s="360">
        <f t="shared" si="2"/>
        <v>698350</v>
      </c>
      <c r="G120" s="361"/>
      <c r="H120" s="362"/>
      <c r="J120" s="362"/>
      <c r="L120" s="364"/>
      <c r="M120" s="365"/>
      <c r="N120" s="362"/>
      <c r="O120" s="72"/>
      <c r="P120" s="73"/>
      <c r="Q120" s="73"/>
    </row>
    <row r="121" spans="1:17" s="363" customFormat="1" ht="15" customHeight="1" x14ac:dyDescent="0.2">
      <c r="A121" s="358"/>
      <c r="B121" s="359" t="str">
        <f>'DEFINITIF (APBNP)'!B615</f>
        <v>JL. KHP HASAN MUSTAFA/SUCI (BANDUNG) (termasuk supervisi)</v>
      </c>
      <c r="C121" s="359">
        <f>'DEFINITIF (APBNP)'!C615</f>
        <v>1</v>
      </c>
      <c r="D121" s="359" t="str">
        <f>'DEFINITIF (APBNP)'!D615</f>
        <v>PKT</v>
      </c>
      <c r="E121" s="359">
        <f>'DEFINITIF (APBNP)'!E615</f>
        <v>787611</v>
      </c>
      <c r="F121" s="360">
        <f t="shared" si="2"/>
        <v>787611</v>
      </c>
      <c r="G121" s="361"/>
      <c r="H121" s="362"/>
      <c r="J121" s="362"/>
      <c r="L121" s="364"/>
      <c r="M121" s="365"/>
      <c r="N121" s="362"/>
      <c r="O121" s="72"/>
      <c r="P121" s="73"/>
      <c r="Q121" s="73"/>
    </row>
    <row r="122" spans="1:17" s="363" customFormat="1" ht="15" customHeight="1" x14ac:dyDescent="0.2">
      <c r="A122" s="358"/>
      <c r="B122" s="359" t="str">
        <f>'DEFINITIF (APBNP)'!B616</f>
        <v>JL. RAYA SINDANG LAYA (BANDUNG) (termasuk supervisi)</v>
      </c>
      <c r="C122" s="359">
        <f>'DEFINITIF (APBNP)'!C616</f>
        <v>1</v>
      </c>
      <c r="D122" s="359" t="str">
        <f>'DEFINITIF (APBNP)'!D616</f>
        <v>PKT</v>
      </c>
      <c r="E122" s="359">
        <f>'DEFINITIF (APBNP)'!E616</f>
        <v>750703</v>
      </c>
      <c r="F122" s="360">
        <f t="shared" si="2"/>
        <v>750703</v>
      </c>
      <c r="G122" s="361"/>
      <c r="H122" s="362"/>
      <c r="J122" s="362"/>
      <c r="L122" s="364"/>
      <c r="M122" s="365"/>
      <c r="N122" s="362"/>
      <c r="O122" s="72"/>
      <c r="P122" s="73"/>
      <c r="Q122" s="73"/>
    </row>
    <row r="123" spans="1:17" s="363" customFormat="1" ht="15" customHeight="1" x14ac:dyDescent="0.2">
      <c r="A123" s="358"/>
      <c r="B123" s="359" t="str">
        <f>'DEFINITIF (APBNP)'!B617</f>
        <v>JL. SURAPATI (BANDUNG) (termasuk supervisi)</v>
      </c>
      <c r="C123" s="359">
        <f>'DEFINITIF (APBNP)'!C617</f>
        <v>1</v>
      </c>
      <c r="D123" s="359" t="str">
        <f>'DEFINITIF (APBNP)'!D617</f>
        <v>PKT</v>
      </c>
      <c r="E123" s="359">
        <f>'DEFINITIF (APBNP)'!E617</f>
        <v>697532</v>
      </c>
      <c r="F123" s="360">
        <f t="shared" si="2"/>
        <v>697532</v>
      </c>
      <c r="G123" s="361"/>
      <c r="H123" s="362"/>
      <c r="J123" s="362"/>
      <c r="L123" s="364"/>
      <c r="M123" s="365"/>
      <c r="N123" s="362"/>
      <c r="O123" s="72"/>
      <c r="P123" s="73"/>
      <c r="Q123" s="73"/>
    </row>
    <row r="124" spans="1:17" s="363" customFormat="1" ht="15" customHeight="1" x14ac:dyDescent="0.2">
      <c r="A124" s="358"/>
      <c r="B124" s="359">
        <f>'DEFINITIF (APBNP)'!B618</f>
        <v>0</v>
      </c>
      <c r="C124" s="359">
        <f>'DEFINITIF (APBNP)'!C618</f>
        <v>0</v>
      </c>
      <c r="D124" s="359">
        <f>'DEFINITIF (APBNP)'!D618</f>
        <v>0</v>
      </c>
      <c r="E124" s="359">
        <f>'DEFINITIF (APBNP)'!E618</f>
        <v>0</v>
      </c>
      <c r="F124" s="360">
        <f t="shared" si="2"/>
        <v>0</v>
      </c>
      <c r="G124" s="361"/>
      <c r="H124" s="362"/>
      <c r="J124" s="362"/>
      <c r="L124" s="364"/>
      <c r="M124" s="365"/>
      <c r="N124" s="362"/>
      <c r="O124" s="72"/>
      <c r="P124" s="73"/>
      <c r="Q124" s="73"/>
    </row>
    <row r="125" spans="1:17" s="363" customFormat="1" ht="15" customHeight="1" x14ac:dyDescent="0.2">
      <c r="A125" s="358"/>
      <c r="B125" s="359">
        <f>'DEFINITIF (APBNP)'!B619</f>
        <v>0</v>
      </c>
      <c r="C125" s="359">
        <f>'DEFINITIF (APBNP)'!C619</f>
        <v>0</v>
      </c>
      <c r="D125" s="359">
        <f>'DEFINITIF (APBNP)'!D619</f>
        <v>0</v>
      </c>
      <c r="E125" s="359">
        <f>'DEFINITIF (APBNP)'!E619</f>
        <v>0</v>
      </c>
      <c r="F125" s="360"/>
      <c r="G125" s="361"/>
      <c r="H125" s="362"/>
      <c r="J125" s="362"/>
      <c r="L125" s="364"/>
      <c r="M125" s="365"/>
      <c r="N125" s="362"/>
      <c r="O125" s="72"/>
      <c r="P125" s="73"/>
      <c r="Q125" s="73"/>
    </row>
    <row r="126" spans="1:17" s="355" customFormat="1" ht="15" customHeight="1" x14ac:dyDescent="0.2">
      <c r="A126" s="349">
        <v>13</v>
      </c>
      <c r="B126" s="350" t="s">
        <v>783</v>
      </c>
      <c r="C126" s="350">
        <f>SUM(C127:C131)</f>
        <v>5</v>
      </c>
      <c r="D126" s="351"/>
      <c r="E126" s="351"/>
      <c r="F126" s="352">
        <f>SUM(F127:F133)</f>
        <v>8633400</v>
      </c>
      <c r="G126" s="353"/>
      <c r="H126" s="354"/>
      <c r="J126" s="354"/>
      <c r="L126" s="356"/>
      <c r="M126" s="357"/>
      <c r="N126" s="354"/>
      <c r="O126" s="387">
        <f>F126</f>
        <v>8633400</v>
      </c>
      <c r="P126" s="216">
        <f>O126-F126</f>
        <v>0</v>
      </c>
      <c r="Q126" s="73"/>
    </row>
    <row r="127" spans="1:17" s="363" customFormat="1" ht="15" customHeight="1" x14ac:dyDescent="0.2">
      <c r="A127" s="358"/>
      <c r="B127" s="359" t="str">
        <f>'DEFINITIF (APBNP)'!B668</f>
        <v xml:space="preserve">Jalan Nasional Batas Kota Tegal - Batas Kota Slawi </v>
      </c>
      <c r="C127" s="359">
        <f>'DEFINITIF (APBNP)'!C668</f>
        <v>1</v>
      </c>
      <c r="D127" s="359" t="str">
        <f>'DEFINITIF (APBNP)'!D668</f>
        <v>Pkt</v>
      </c>
      <c r="E127" s="359">
        <f>'DEFINITIF (APBNP)'!E668</f>
        <v>1125400</v>
      </c>
      <c r="F127" s="360">
        <f t="shared" si="2"/>
        <v>1125400</v>
      </c>
      <c r="G127" s="361"/>
      <c r="H127" s="362"/>
      <c r="J127" s="362"/>
      <c r="L127" s="364"/>
      <c r="M127" s="365"/>
      <c r="N127" s="362"/>
      <c r="O127" s="72"/>
      <c r="P127" s="73"/>
      <c r="Q127" s="73"/>
    </row>
    <row r="128" spans="1:17" s="363" customFormat="1" ht="15" customHeight="1" x14ac:dyDescent="0.2">
      <c r="A128" s="358"/>
      <c r="B128" s="359" t="str">
        <f>'DEFINITIF (APBNP)'!B669</f>
        <v>Jalan Nasional Batas Kota Slawi - Prupuk</v>
      </c>
      <c r="C128" s="359">
        <f>'DEFINITIF (APBNP)'!C669</f>
        <v>1</v>
      </c>
      <c r="D128" s="359" t="str">
        <f>'DEFINITIF (APBNP)'!D669</f>
        <v>Pkt</v>
      </c>
      <c r="E128" s="359">
        <f>'DEFINITIF (APBNP)'!E669</f>
        <v>1500000</v>
      </c>
      <c r="F128" s="360">
        <f t="shared" si="2"/>
        <v>1500000</v>
      </c>
      <c r="G128" s="361"/>
      <c r="H128" s="362"/>
      <c r="J128" s="362"/>
      <c r="L128" s="364"/>
      <c r="M128" s="365"/>
      <c r="N128" s="362"/>
      <c r="O128" s="72"/>
      <c r="P128" s="73"/>
      <c r="Q128" s="73"/>
    </row>
    <row r="129" spans="1:17" s="363" customFormat="1" ht="15" customHeight="1" x14ac:dyDescent="0.2">
      <c r="A129" s="358"/>
      <c r="B129" s="359" t="str">
        <f>'DEFINITIF (APBNP)'!B670</f>
        <v>Jalan Nasional Batas Jawa Barat - Karangpucung</v>
      </c>
      <c r="C129" s="359">
        <f>'DEFINITIF (APBNP)'!C670</f>
        <v>1</v>
      </c>
      <c r="D129" s="359" t="str">
        <f>'DEFINITIF (APBNP)'!D670</f>
        <v>Pkt</v>
      </c>
      <c r="E129" s="359">
        <f>'DEFINITIF (APBNP)'!E670</f>
        <v>1500000</v>
      </c>
      <c r="F129" s="360">
        <f t="shared" si="2"/>
        <v>1500000</v>
      </c>
      <c r="G129" s="361"/>
      <c r="H129" s="362"/>
      <c r="J129" s="362"/>
      <c r="L129" s="364"/>
      <c r="M129" s="365"/>
      <c r="N129" s="362"/>
      <c r="O129" s="72"/>
      <c r="P129" s="73"/>
      <c r="Q129" s="73"/>
    </row>
    <row r="130" spans="1:17" s="363" customFormat="1" ht="15" customHeight="1" x14ac:dyDescent="0.2">
      <c r="A130" s="358"/>
      <c r="B130" s="359" t="str">
        <f>'DEFINITIF (APBNP)'!B671</f>
        <v>Jalan Nasional Karangpucung - Wangon</v>
      </c>
      <c r="C130" s="359">
        <f>'DEFINITIF (APBNP)'!C671</f>
        <v>1</v>
      </c>
      <c r="D130" s="359" t="str">
        <f>'DEFINITIF (APBNP)'!D671</f>
        <v>Pkt</v>
      </c>
      <c r="E130" s="359">
        <f>'DEFINITIF (APBNP)'!E671</f>
        <v>1500000</v>
      </c>
      <c r="F130" s="360">
        <f t="shared" si="2"/>
        <v>1500000</v>
      </c>
      <c r="G130" s="361"/>
      <c r="H130" s="362"/>
      <c r="J130" s="362"/>
      <c r="L130" s="364"/>
      <c r="M130" s="365"/>
      <c r="N130" s="362"/>
      <c r="O130" s="72"/>
      <c r="P130" s="73"/>
      <c r="Q130" s="73"/>
    </row>
    <row r="131" spans="1:17" s="363" customFormat="1" ht="15" customHeight="1" x14ac:dyDescent="0.2">
      <c r="A131" s="358"/>
      <c r="B131" s="359" t="str">
        <f>'DEFINITIF (APBNP)'!B672</f>
        <v>Jalan Nasional Batas Kota Sragen - Mantingan (Batas Prov Jatim)</v>
      </c>
      <c r="C131" s="359">
        <f>'DEFINITIF (APBNP)'!C672</f>
        <v>1</v>
      </c>
      <c r="D131" s="359" t="str">
        <f>'DEFINITIF (APBNP)'!D672</f>
        <v>Pkt</v>
      </c>
      <c r="E131" s="359">
        <f>'DEFINITIF (APBNP)'!E672</f>
        <v>1008000</v>
      </c>
      <c r="F131" s="360">
        <f t="shared" si="2"/>
        <v>1008000</v>
      </c>
      <c r="G131" s="361"/>
      <c r="H131" s="362"/>
      <c r="J131" s="362"/>
      <c r="L131" s="364"/>
      <c r="M131" s="365"/>
      <c r="N131" s="362"/>
      <c r="O131" s="72"/>
      <c r="P131" s="73"/>
      <c r="Q131" s="73"/>
    </row>
    <row r="132" spans="1:17" s="363" customFormat="1" ht="15" customHeight="1" x14ac:dyDescent="0.2">
      <c r="A132" s="358"/>
      <c r="B132" s="359" t="str">
        <f>'DEFINITIF (APBNP)'!B673</f>
        <v>Jalan Nasional  Duwet-Giriwoyo-Glonggong</v>
      </c>
      <c r="C132" s="359">
        <f>'DEFINITIF (APBNP)'!C673</f>
        <v>1</v>
      </c>
      <c r="D132" s="359" t="str">
        <f>'DEFINITIF (APBNP)'!D673</f>
        <v>Pkt</v>
      </c>
      <c r="E132" s="359">
        <f>'DEFINITIF (APBNP)'!E673</f>
        <v>1000000</v>
      </c>
      <c r="F132" s="360">
        <f t="shared" si="2"/>
        <v>1000000</v>
      </c>
      <c r="G132" s="361"/>
      <c r="H132" s="362"/>
      <c r="J132" s="362"/>
      <c r="L132" s="364"/>
      <c r="M132" s="365"/>
      <c r="N132" s="362"/>
      <c r="O132" s="72"/>
      <c r="P132" s="73"/>
      <c r="Q132" s="73"/>
    </row>
    <row r="133" spans="1:17" s="363" customFormat="1" ht="15" customHeight="1" x14ac:dyDescent="0.2">
      <c r="A133" s="358"/>
      <c r="B133" s="359" t="str">
        <f>'DEFINITIF (APBNP)'!B674</f>
        <v>Jalan Nasional Kartosura - Batas Kota Klaten ( Kab. Sukoharjo)</v>
      </c>
      <c r="C133" s="359">
        <f>'DEFINITIF (APBNP)'!C674</f>
        <v>1</v>
      </c>
      <c r="D133" s="359" t="str">
        <f>'DEFINITIF (APBNP)'!D674</f>
        <v>Pkt</v>
      </c>
      <c r="E133" s="359">
        <f>'DEFINITIF (APBNP)'!E674</f>
        <v>1000000</v>
      </c>
      <c r="F133" s="360">
        <f t="shared" si="2"/>
        <v>1000000</v>
      </c>
      <c r="G133" s="361"/>
      <c r="H133" s="362"/>
      <c r="J133" s="362"/>
      <c r="L133" s="364"/>
      <c r="M133" s="365"/>
      <c r="N133" s="362"/>
      <c r="O133" s="72"/>
      <c r="P133" s="73"/>
      <c r="Q133" s="73"/>
    </row>
    <row r="134" spans="1:17" s="363" customFormat="1" ht="15" customHeight="1" x14ac:dyDescent="0.2">
      <c r="A134" s="358"/>
      <c r="B134" s="359">
        <f>'DEFINITIF (APBNP)'!B675</f>
        <v>0</v>
      </c>
      <c r="C134" s="359">
        <f>'DEFINITIF (APBNP)'!C675</f>
        <v>0</v>
      </c>
      <c r="D134" s="359">
        <f>'DEFINITIF (APBNP)'!D675</f>
        <v>0</v>
      </c>
      <c r="E134" s="359">
        <f>'DEFINITIF (APBNP)'!E675</f>
        <v>0</v>
      </c>
      <c r="F134" s="360"/>
      <c r="G134" s="361"/>
      <c r="H134" s="362"/>
      <c r="J134" s="362"/>
      <c r="L134" s="364"/>
      <c r="M134" s="365"/>
      <c r="N134" s="362"/>
      <c r="O134" s="72"/>
      <c r="P134" s="73"/>
      <c r="Q134" s="73"/>
    </row>
    <row r="135" spans="1:17" s="355" customFormat="1" ht="15" customHeight="1" x14ac:dyDescent="0.2">
      <c r="A135" s="349">
        <v>14</v>
      </c>
      <c r="B135" s="350" t="s">
        <v>786</v>
      </c>
      <c r="C135" s="350">
        <f>SUM(C136:C141)</f>
        <v>5</v>
      </c>
      <c r="D135" s="351"/>
      <c r="E135" s="351"/>
      <c r="F135" s="352">
        <f>SUM(F136:F141)</f>
        <v>7500000</v>
      </c>
      <c r="G135" s="353"/>
      <c r="H135" s="354"/>
      <c r="J135" s="354"/>
      <c r="L135" s="356"/>
      <c r="M135" s="357"/>
      <c r="N135" s="354"/>
      <c r="O135" s="387">
        <f>F135</f>
        <v>7500000</v>
      </c>
      <c r="P135" s="216">
        <f>O135-F135</f>
        <v>0</v>
      </c>
      <c r="Q135" s="73"/>
    </row>
    <row r="136" spans="1:17" s="363" customFormat="1" ht="15" customHeight="1" x14ac:dyDescent="0.2">
      <c r="A136" s="358"/>
      <c r="B136" s="367" t="str">
        <f>'DEFINITIF (APBNP)'!B726</f>
        <v>Jalan Parangtritis - Saptosari - Baron (Termasuk Supervisi)</v>
      </c>
      <c r="C136" s="367">
        <f>'DEFINITIF (APBNP)'!C726</f>
        <v>1</v>
      </c>
      <c r="D136" s="367" t="str">
        <f>'DEFINITIF (APBNP)'!D726</f>
        <v>PKT</v>
      </c>
      <c r="E136" s="367">
        <f>'DEFINITIF (APBNP)'!E726</f>
        <v>1500000</v>
      </c>
      <c r="F136" s="360">
        <f t="shared" si="2"/>
        <v>1500000</v>
      </c>
      <c r="G136" s="361"/>
      <c r="H136" s="362"/>
      <c r="J136" s="362"/>
      <c r="L136" s="364"/>
      <c r="M136" s="365"/>
      <c r="N136" s="362"/>
      <c r="O136" s="72"/>
      <c r="P136" s="73"/>
      <c r="Q136" s="73"/>
    </row>
    <row r="137" spans="1:17" s="363" customFormat="1" ht="15" customHeight="1" x14ac:dyDescent="0.2">
      <c r="A137" s="358"/>
      <c r="B137" s="367" t="str">
        <f>'DEFINITIF (APBNP)'!B727</f>
        <v>Jalan Yogja - Wonosari - Pracimantoro (Termasuk Supervisi)</v>
      </c>
      <c r="C137" s="367">
        <f>'DEFINITIF (APBNP)'!C727</f>
        <v>1</v>
      </c>
      <c r="D137" s="367" t="str">
        <f>'DEFINITIF (APBNP)'!D727</f>
        <v>PKT</v>
      </c>
      <c r="E137" s="367">
        <f>'DEFINITIF (APBNP)'!E727</f>
        <v>1500000</v>
      </c>
      <c r="F137" s="360">
        <f t="shared" si="2"/>
        <v>1500000</v>
      </c>
      <c r="G137" s="361"/>
      <c r="H137" s="362"/>
      <c r="J137" s="362"/>
      <c r="L137" s="364"/>
      <c r="M137" s="365"/>
      <c r="N137" s="362"/>
      <c r="O137" s="72"/>
      <c r="P137" s="73"/>
      <c r="Q137" s="73"/>
    </row>
    <row r="138" spans="1:17" s="363" customFormat="1" ht="15" customHeight="1" x14ac:dyDescent="0.2">
      <c r="A138" s="358"/>
      <c r="B138" s="367" t="str">
        <f>'DEFINITIF (APBNP)'!B728</f>
        <v>Jalan Ring - Road DIY (Termasuk Supervisi)</v>
      </c>
      <c r="C138" s="367">
        <f>'DEFINITIF (APBNP)'!C728</f>
        <v>1</v>
      </c>
      <c r="D138" s="367" t="str">
        <f>'DEFINITIF (APBNP)'!D728</f>
        <v>PKT</v>
      </c>
      <c r="E138" s="367">
        <f>'DEFINITIF (APBNP)'!E728</f>
        <v>2000000</v>
      </c>
      <c r="F138" s="360">
        <f t="shared" si="2"/>
        <v>2000000</v>
      </c>
      <c r="G138" s="361"/>
      <c r="H138" s="362"/>
      <c r="J138" s="362"/>
      <c r="L138" s="364"/>
      <c r="M138" s="365"/>
      <c r="N138" s="362"/>
      <c r="O138" s="72"/>
      <c r="P138" s="73"/>
      <c r="Q138" s="73"/>
    </row>
    <row r="139" spans="1:17" s="363" customFormat="1" ht="15" customHeight="1" x14ac:dyDescent="0.2">
      <c r="A139" s="358"/>
      <c r="B139" s="367" t="str">
        <f>'DEFINITIF (APBNP)'!B729</f>
        <v>Jalan Parangtritis - Srandakan - Congot (Termasuk Supervisi)</v>
      </c>
      <c r="C139" s="367">
        <f>'DEFINITIF (APBNP)'!C729</f>
        <v>1</v>
      </c>
      <c r="D139" s="367" t="str">
        <f>'DEFINITIF (APBNP)'!D729</f>
        <v>PKT</v>
      </c>
      <c r="E139" s="367">
        <f>'DEFINITIF (APBNP)'!E729</f>
        <v>1500000</v>
      </c>
      <c r="F139" s="360">
        <f t="shared" si="2"/>
        <v>1500000</v>
      </c>
      <c r="G139" s="361"/>
      <c r="H139" s="366"/>
      <c r="J139" s="366"/>
      <c r="L139" s="364"/>
      <c r="M139" s="365"/>
      <c r="N139" s="366"/>
      <c r="O139" s="72"/>
      <c r="P139" s="73"/>
      <c r="Q139" s="73"/>
    </row>
    <row r="140" spans="1:17" s="363" customFormat="1" ht="15" customHeight="1" x14ac:dyDescent="0.2">
      <c r="A140" s="358"/>
      <c r="B140" s="367" t="str">
        <f>'DEFINITIF (APBNP)'!B730</f>
        <v>Jalan Yogyakarta - Wates - Perbatasan Purworejo (Termasuk Supervisi)</v>
      </c>
      <c r="C140" s="367">
        <f>'DEFINITIF (APBNP)'!C730</f>
        <v>0</v>
      </c>
      <c r="D140" s="367" t="str">
        <f>'DEFINITIF (APBNP)'!D730</f>
        <v>PKT</v>
      </c>
      <c r="E140" s="367">
        <f>'DEFINITIF (APBNP)'!E730</f>
        <v>1758053</v>
      </c>
      <c r="F140" s="360">
        <f t="shared" si="2"/>
        <v>0</v>
      </c>
      <c r="G140" s="361"/>
      <c r="H140" s="366"/>
      <c r="J140" s="366"/>
      <c r="L140" s="364"/>
      <c r="M140" s="365"/>
      <c r="N140" s="366"/>
      <c r="O140" s="72"/>
      <c r="P140" s="73"/>
      <c r="Q140" s="73"/>
    </row>
    <row r="141" spans="1:17" s="363" customFormat="1" ht="15" customHeight="1" x14ac:dyDescent="0.2">
      <c r="A141" s="358"/>
      <c r="B141" s="367" t="str">
        <f>'DEFINITIF (APBNP)'!B731</f>
        <v>Pemasangan Pembangkit Listrik Tenaga Surya Untuk Halte Trans Jogja (Termasuk Supervisi)</v>
      </c>
      <c r="C141" s="367">
        <f>'DEFINITIF (APBNP)'!C731</f>
        <v>1</v>
      </c>
      <c r="D141" s="367" t="str">
        <f>'DEFINITIF (APBNP)'!D731</f>
        <v>PKT</v>
      </c>
      <c r="E141" s="367">
        <f>'DEFINITIF (APBNP)'!E731</f>
        <v>1000000</v>
      </c>
      <c r="F141" s="360">
        <f t="shared" si="2"/>
        <v>1000000</v>
      </c>
      <c r="G141" s="361"/>
      <c r="H141" s="366"/>
      <c r="J141" s="366"/>
      <c r="L141" s="364"/>
      <c r="M141" s="365"/>
      <c r="N141" s="366"/>
      <c r="O141" s="72"/>
      <c r="P141" s="73"/>
      <c r="Q141" s="73"/>
    </row>
    <row r="142" spans="1:17" s="363" customFormat="1" ht="15" customHeight="1" x14ac:dyDescent="0.2">
      <c r="A142" s="358"/>
      <c r="B142" s="367">
        <f>'DEFINITIF (APBNP)'!B732</f>
        <v>0</v>
      </c>
      <c r="C142" s="367"/>
      <c r="D142" s="367"/>
      <c r="E142" s="367"/>
      <c r="F142" s="360"/>
      <c r="G142" s="361"/>
      <c r="H142" s="366"/>
      <c r="J142" s="366"/>
      <c r="L142" s="364"/>
      <c r="M142" s="365"/>
      <c r="N142" s="366"/>
      <c r="O142" s="72"/>
      <c r="P142" s="73"/>
      <c r="Q142" s="73"/>
    </row>
    <row r="143" spans="1:17" s="355" customFormat="1" ht="15" customHeight="1" x14ac:dyDescent="0.2">
      <c r="A143" s="349">
        <v>15</v>
      </c>
      <c r="B143" s="350" t="s">
        <v>788</v>
      </c>
      <c r="C143" s="350">
        <f>SUM(C144:C165)</f>
        <v>21</v>
      </c>
      <c r="D143" s="351"/>
      <c r="E143" s="351"/>
      <c r="F143" s="352">
        <f>SUM(F144:F165)</f>
        <v>37821768</v>
      </c>
      <c r="G143" s="353"/>
      <c r="H143" s="354"/>
      <c r="J143" s="354"/>
      <c r="L143" s="356"/>
      <c r="M143" s="357"/>
      <c r="N143" s="354"/>
      <c r="O143" s="387">
        <f>F143</f>
        <v>37821768</v>
      </c>
      <c r="P143" s="216">
        <f>O143-F143</f>
        <v>0</v>
      </c>
      <c r="Q143" s="73"/>
    </row>
    <row r="144" spans="1:17" s="363" customFormat="1" ht="15" customHeight="1" x14ac:dyDescent="0.2">
      <c r="A144" s="358"/>
      <c r="B144" s="367" t="str">
        <f>'DEFINITIF (APBNP)'!B762</f>
        <v>Temangkar - Bts. Kab. Lamongan</v>
      </c>
      <c r="C144" s="367">
        <f>'DEFINITIF (APBNP)'!C762</f>
        <v>1</v>
      </c>
      <c r="D144" s="367" t="str">
        <f>'DEFINITIF (APBNP)'!D762</f>
        <v>PKT</v>
      </c>
      <c r="E144" s="367">
        <f>'DEFINITIF (APBNP)'!E762</f>
        <v>4452975</v>
      </c>
      <c r="F144" s="360">
        <f t="shared" si="2"/>
        <v>4452975</v>
      </c>
      <c r="G144" s="361"/>
      <c r="H144" s="362"/>
      <c r="J144" s="362"/>
      <c r="L144" s="364"/>
      <c r="M144" s="365"/>
      <c r="N144" s="362"/>
      <c r="O144" s="72"/>
      <c r="P144" s="73"/>
      <c r="Q144" s="73"/>
    </row>
    <row r="145" spans="1:17" s="363" customFormat="1" ht="15" customHeight="1" x14ac:dyDescent="0.2">
      <c r="A145" s="358"/>
      <c r="B145" s="367" t="str">
        <f>'DEFINITIF (APBNP)'!B763</f>
        <v>Widang/Bedahan - Bts. Kota Lamongan</v>
      </c>
      <c r="C145" s="367">
        <f>'DEFINITIF (APBNP)'!C763</f>
        <v>1</v>
      </c>
      <c r="D145" s="367" t="str">
        <f>'DEFINITIF (APBNP)'!D763</f>
        <v>PKT</v>
      </c>
      <c r="E145" s="367">
        <f>'DEFINITIF (APBNP)'!E763</f>
        <v>1713282</v>
      </c>
      <c r="F145" s="360">
        <f t="shared" si="2"/>
        <v>1713282</v>
      </c>
      <c r="G145" s="361"/>
      <c r="H145" s="362"/>
      <c r="J145" s="362"/>
      <c r="L145" s="364"/>
      <c r="M145" s="365"/>
      <c r="N145" s="362"/>
      <c r="O145" s="72"/>
      <c r="P145" s="73"/>
      <c r="Q145" s="73"/>
    </row>
    <row r="146" spans="1:17" s="363" customFormat="1" ht="15" customHeight="1" x14ac:dyDescent="0.2">
      <c r="A146" s="358"/>
      <c r="B146" s="367" t="str">
        <f>'DEFINITIF (APBNP)'!B764</f>
        <v>Bts. Kota Probolinggo - Paiton (Bts. Kab. Situbondo/Binor)</v>
      </c>
      <c r="C146" s="367">
        <f>'DEFINITIF (APBNP)'!C764</f>
        <v>1</v>
      </c>
      <c r="D146" s="367" t="str">
        <f>'DEFINITIF (APBNP)'!D764</f>
        <v>PKT</v>
      </c>
      <c r="E146" s="367">
        <f>'DEFINITIF (APBNP)'!E764</f>
        <v>5000000</v>
      </c>
      <c r="F146" s="360">
        <f t="shared" si="2"/>
        <v>5000000</v>
      </c>
      <c r="G146" s="361"/>
      <c r="H146" s="362"/>
      <c r="J146" s="362"/>
      <c r="L146" s="364"/>
      <c r="M146" s="365"/>
      <c r="N146" s="362"/>
      <c r="O146" s="72"/>
      <c r="P146" s="73"/>
      <c r="Q146" s="73"/>
    </row>
    <row r="147" spans="1:17" s="363" customFormat="1" ht="15" customHeight="1" x14ac:dyDescent="0.2">
      <c r="A147" s="358"/>
      <c r="B147" s="367" t="str">
        <f>'DEFINITIF (APBNP)'!B765</f>
        <v>Paiton (Bts. Kab. Probolinggo/Binor) - Buduan</v>
      </c>
      <c r="C147" s="367">
        <f>'DEFINITIF (APBNP)'!C765</f>
        <v>1</v>
      </c>
      <c r="D147" s="367" t="str">
        <f>'DEFINITIF (APBNP)'!D765</f>
        <v>PKT</v>
      </c>
      <c r="E147" s="367">
        <f>'DEFINITIF (APBNP)'!E765</f>
        <v>3000000</v>
      </c>
      <c r="F147" s="360">
        <f t="shared" si="2"/>
        <v>3000000</v>
      </c>
      <c r="G147" s="361"/>
      <c r="H147" s="362"/>
      <c r="J147" s="362"/>
      <c r="L147" s="364"/>
      <c r="M147" s="365"/>
      <c r="N147" s="362"/>
      <c r="O147" s="72"/>
      <c r="P147" s="73"/>
      <c r="Q147" s="73"/>
    </row>
    <row r="148" spans="1:17" s="363" customFormat="1" ht="15" customHeight="1" x14ac:dyDescent="0.2">
      <c r="A148" s="358"/>
      <c r="B148" s="367" t="str">
        <f>'DEFINITIF (APBNP)'!B766</f>
        <v>Buduan - Panarukan</v>
      </c>
      <c r="C148" s="367">
        <f>'DEFINITIF (APBNP)'!C766</f>
        <v>1</v>
      </c>
      <c r="D148" s="367" t="str">
        <f>'DEFINITIF (APBNP)'!D766</f>
        <v>PKT</v>
      </c>
      <c r="E148" s="367">
        <f>'DEFINITIF (APBNP)'!E766</f>
        <v>3176332</v>
      </c>
      <c r="F148" s="360">
        <f t="shared" si="2"/>
        <v>3176332</v>
      </c>
      <c r="G148" s="361"/>
      <c r="H148" s="362"/>
      <c r="J148" s="362"/>
      <c r="L148" s="364"/>
      <c r="M148" s="365"/>
      <c r="N148" s="362"/>
      <c r="O148" s="72"/>
      <c r="P148" s="73"/>
      <c r="Q148" s="73"/>
    </row>
    <row r="149" spans="1:17" s="363" customFormat="1" ht="15" customHeight="1" x14ac:dyDescent="0.2">
      <c r="A149" s="358"/>
      <c r="B149" s="367" t="str">
        <f>'DEFINITIF (APBNP)'!B767</f>
        <v>Bts. Kota Situbondo - Bajulmati (Bts. Kab. Banyuwangi)</v>
      </c>
      <c r="C149" s="367">
        <f>'DEFINITIF (APBNP)'!C767</f>
        <v>1</v>
      </c>
      <c r="D149" s="367" t="str">
        <f>'DEFINITIF (APBNP)'!D767</f>
        <v>PKT</v>
      </c>
      <c r="E149" s="367">
        <f>'DEFINITIF (APBNP)'!E767</f>
        <v>2000000</v>
      </c>
      <c r="F149" s="360">
        <f t="shared" si="2"/>
        <v>2000000</v>
      </c>
      <c r="G149" s="361"/>
      <c r="H149" s="366"/>
      <c r="J149" s="366"/>
      <c r="L149" s="364"/>
      <c r="M149" s="365"/>
      <c r="N149" s="366"/>
      <c r="O149" s="72"/>
      <c r="P149" s="73"/>
      <c r="Q149" s="73"/>
    </row>
    <row r="150" spans="1:17" s="363" customFormat="1" ht="15" customHeight="1" x14ac:dyDescent="0.2">
      <c r="A150" s="358"/>
      <c r="B150" s="367" t="str">
        <f>'DEFINITIF (APBNP)'!B768</f>
        <v>Bajulmati (Bts.Kab. Situbondo) - Ketapang</v>
      </c>
      <c r="C150" s="367">
        <f>'DEFINITIF (APBNP)'!C768</f>
        <v>1</v>
      </c>
      <c r="D150" s="367" t="str">
        <f>'DEFINITIF (APBNP)'!D768</f>
        <v>PKT</v>
      </c>
      <c r="E150" s="367">
        <f>'DEFINITIF (APBNP)'!E768</f>
        <v>3568716</v>
      </c>
      <c r="F150" s="360">
        <f t="shared" si="2"/>
        <v>3568716</v>
      </c>
      <c r="G150" s="361"/>
      <c r="H150" s="366"/>
      <c r="J150" s="366"/>
      <c r="L150" s="364"/>
      <c r="M150" s="365"/>
      <c r="N150" s="366"/>
      <c r="O150" s="72"/>
      <c r="P150" s="73"/>
      <c r="Q150" s="73"/>
    </row>
    <row r="151" spans="1:17" s="363" customFormat="1" ht="15" customHeight="1" x14ac:dyDescent="0.2">
      <c r="A151" s="358"/>
      <c r="B151" s="367" t="str">
        <f>'DEFINITIF (APBNP)'!B769</f>
        <v>Mantingan (Bts. Prov. Jateng) - Bts. Kota Ngawi</v>
      </c>
      <c r="C151" s="367">
        <f>'DEFINITIF (APBNP)'!C769</f>
        <v>1</v>
      </c>
      <c r="D151" s="367" t="str">
        <f>'DEFINITIF (APBNP)'!D769</f>
        <v>PKT</v>
      </c>
      <c r="E151" s="367">
        <f>'DEFINITIF (APBNP)'!E769</f>
        <v>2500000</v>
      </c>
      <c r="F151" s="360">
        <f t="shared" si="2"/>
        <v>2500000</v>
      </c>
      <c r="G151" s="361"/>
      <c r="H151" s="366"/>
      <c r="J151" s="366"/>
      <c r="L151" s="364"/>
      <c r="M151" s="365"/>
      <c r="N151" s="366"/>
      <c r="O151" s="72"/>
      <c r="P151" s="73"/>
      <c r="Q151" s="73"/>
    </row>
    <row r="152" spans="1:17" s="363" customFormat="1" ht="15" customHeight="1" x14ac:dyDescent="0.2">
      <c r="A152" s="358"/>
      <c r="B152" s="367" t="str">
        <f>'DEFINITIF (APBNP)'!B770</f>
        <v>Jln. Gubernur Suryo (Ngawi)</v>
      </c>
      <c r="C152" s="367">
        <f>'DEFINITIF (APBNP)'!C770</f>
        <v>1</v>
      </c>
      <c r="D152" s="367" t="str">
        <f>'DEFINITIF (APBNP)'!D770</f>
        <v>PKT</v>
      </c>
      <c r="E152" s="367">
        <f>'DEFINITIF (APBNP)'!E770</f>
        <v>2174117</v>
      </c>
      <c r="F152" s="360">
        <f t="shared" si="2"/>
        <v>2174117</v>
      </c>
      <c r="G152" s="361"/>
      <c r="H152" s="366"/>
      <c r="J152" s="366"/>
      <c r="L152" s="364"/>
      <c r="M152" s="365"/>
      <c r="N152" s="366"/>
      <c r="O152" s="72"/>
      <c r="P152" s="73"/>
      <c r="Q152" s="73"/>
    </row>
    <row r="153" spans="1:17" s="363" customFormat="1" ht="15" customHeight="1" x14ac:dyDescent="0.2">
      <c r="A153" s="358"/>
      <c r="B153" s="367" t="str">
        <f>'DEFINITIF (APBNP)'!B771</f>
        <v>Jln. P.B. Sudirman (Ngawi)</v>
      </c>
      <c r="C153" s="367">
        <f>'DEFINITIF (APBNP)'!C771</f>
        <v>1</v>
      </c>
      <c r="D153" s="367" t="str">
        <f>'DEFINITIF (APBNP)'!D771</f>
        <v>PKT</v>
      </c>
      <c r="E153" s="367">
        <f>'DEFINITIF (APBNP)'!E771</f>
        <v>1745646</v>
      </c>
      <c r="F153" s="360">
        <f t="shared" si="2"/>
        <v>1745646</v>
      </c>
      <c r="G153" s="361"/>
      <c r="H153" s="366"/>
      <c r="J153" s="366"/>
      <c r="L153" s="364"/>
      <c r="M153" s="365"/>
      <c r="N153" s="366"/>
      <c r="O153" s="72"/>
      <c r="P153" s="73"/>
      <c r="Q153" s="73"/>
    </row>
    <row r="154" spans="1:17" s="363" customFormat="1" ht="15" customHeight="1" x14ac:dyDescent="0.2">
      <c r="A154" s="358"/>
      <c r="B154" s="367" t="str">
        <f>'DEFINITIF (APBNP)'!B772</f>
        <v>Bts. Kota Ngawi - Bts. Kab. Madiun</v>
      </c>
      <c r="C154" s="367">
        <f>'DEFINITIF (APBNP)'!C772</f>
        <v>1</v>
      </c>
      <c r="D154" s="367" t="str">
        <f>'DEFINITIF (APBNP)'!D772</f>
        <v>PKT</v>
      </c>
      <c r="E154" s="367">
        <f>'DEFINITIF (APBNP)'!E772</f>
        <v>1490700</v>
      </c>
      <c r="F154" s="360">
        <f t="shared" si="2"/>
        <v>1490700</v>
      </c>
      <c r="G154" s="361"/>
      <c r="H154" s="366"/>
      <c r="J154" s="366"/>
      <c r="L154" s="364"/>
      <c r="M154" s="365"/>
      <c r="N154" s="366"/>
      <c r="O154" s="72"/>
      <c r="P154" s="73"/>
      <c r="Q154" s="73"/>
    </row>
    <row r="155" spans="1:17" s="363" customFormat="1" ht="15" customHeight="1" x14ac:dyDescent="0.2">
      <c r="A155" s="358"/>
      <c r="B155" s="367" t="str">
        <f>'DEFINITIF (APBNP)'!B773</f>
        <v>Jln. Tuban Bulu  Bulu KM. 28 - 44, Barat tuban, Kec. Bancar  Kab. Tuban</v>
      </c>
      <c r="C155" s="367">
        <f>'DEFINITIF (APBNP)'!C773</f>
        <v>1</v>
      </c>
      <c r="D155" s="367" t="str">
        <f>'DEFINITIF (APBNP)'!D773</f>
        <v>PKT</v>
      </c>
      <c r="E155" s="367">
        <f>'DEFINITIF (APBNP)'!E773</f>
        <v>1340133</v>
      </c>
      <c r="F155" s="360">
        <f t="shared" si="2"/>
        <v>1340133</v>
      </c>
      <c r="G155" s="361"/>
      <c r="H155" s="366"/>
      <c r="J155" s="366"/>
      <c r="L155" s="364"/>
      <c r="M155" s="365"/>
      <c r="N155" s="366"/>
      <c r="O155" s="72"/>
      <c r="P155" s="73"/>
      <c r="Q155" s="73"/>
    </row>
    <row r="156" spans="1:17" s="363" customFormat="1" ht="15" customHeight="1" x14ac:dyDescent="0.2">
      <c r="A156" s="358"/>
      <c r="B156" s="367" t="str">
        <f>'DEFINITIF (APBNP)'!B774</f>
        <v xml:space="preserve">Intersection, KM 121.5, Timur Surabaya, Kec. Kraksaan, Kab. Probolinggo </v>
      </c>
      <c r="C156" s="367">
        <f>'DEFINITIF (APBNP)'!C774</f>
        <v>1</v>
      </c>
      <c r="D156" s="367" t="str">
        <f>'DEFINITIF (APBNP)'!D774</f>
        <v>PKT</v>
      </c>
      <c r="E156" s="367">
        <f>'DEFINITIF (APBNP)'!E774</f>
        <v>85590</v>
      </c>
      <c r="F156" s="360">
        <f t="shared" si="2"/>
        <v>85590</v>
      </c>
      <c r="G156" s="361"/>
      <c r="H156" s="366"/>
      <c r="J156" s="366"/>
      <c r="L156" s="364"/>
      <c r="M156" s="365"/>
      <c r="N156" s="366"/>
      <c r="O156" s="72"/>
      <c r="P156" s="73"/>
      <c r="Q156" s="73"/>
    </row>
    <row r="157" spans="1:17" s="363" customFormat="1" ht="15" customHeight="1" x14ac:dyDescent="0.2">
      <c r="A157" s="358"/>
      <c r="B157" s="367" t="str">
        <f>'DEFINITIF (APBNP)'!B775</f>
        <v>KM 120-131, Timur Surabaya, Kec. Kraksaan, Kab. Probolinggo</v>
      </c>
      <c r="C157" s="367">
        <f>'DEFINITIF (APBNP)'!C775</f>
        <v>1</v>
      </c>
      <c r="D157" s="367" t="str">
        <f>'DEFINITIF (APBNP)'!D775</f>
        <v>PKT</v>
      </c>
      <c r="E157" s="367">
        <f>'DEFINITIF (APBNP)'!E775</f>
        <v>741532</v>
      </c>
      <c r="F157" s="360">
        <f t="shared" si="2"/>
        <v>741532</v>
      </c>
      <c r="G157" s="361"/>
      <c r="H157" s="366"/>
      <c r="J157" s="366"/>
      <c r="L157" s="364"/>
      <c r="M157" s="365"/>
      <c r="N157" s="366"/>
      <c r="O157" s="72"/>
      <c r="P157" s="73"/>
      <c r="Q157" s="73"/>
    </row>
    <row r="158" spans="1:17" s="363" customFormat="1" ht="15" customHeight="1" x14ac:dyDescent="0.2">
      <c r="A158" s="358"/>
      <c r="B158" s="367" t="str">
        <f>'DEFINITIF (APBNP)'!B776</f>
        <v>Km 131-141, Timur Surabaya, Kec. Paiton, Kab. Probolinggo, Bts. Kota Prob. – Paiton</v>
      </c>
      <c r="C158" s="367">
        <f>'DEFINITIF (APBNP)'!C776</f>
        <v>1</v>
      </c>
      <c r="D158" s="367" t="str">
        <f>'DEFINITIF (APBNP)'!D776</f>
        <v>PKT</v>
      </c>
      <c r="E158" s="367">
        <f>'DEFINITIF (APBNP)'!E776</f>
        <v>1260945</v>
      </c>
      <c r="F158" s="360">
        <f t="shared" si="2"/>
        <v>1260945</v>
      </c>
      <c r="G158" s="361"/>
      <c r="H158" s="366"/>
      <c r="J158" s="366"/>
      <c r="L158" s="364"/>
      <c r="M158" s="365"/>
      <c r="N158" s="366"/>
      <c r="O158" s="72"/>
      <c r="P158" s="73"/>
      <c r="Q158" s="73"/>
    </row>
    <row r="159" spans="1:17" s="363" customFormat="1" ht="15" customHeight="1" x14ac:dyDescent="0.2">
      <c r="A159" s="358"/>
      <c r="B159" s="367" t="str">
        <f>'DEFINITIF (APBNP)'!B777</f>
        <v>Jalan Pantura, Km 112.5, Desa Beji, Bulu (Bts. Prov. Jateng) – Bts. Kota Tuban</v>
      </c>
      <c r="C159" s="367">
        <f>'DEFINITIF (APBNP)'!C777</f>
        <v>1</v>
      </c>
      <c r="D159" s="367" t="str">
        <f>'DEFINITIF (APBNP)'!D777</f>
        <v>PKT</v>
      </c>
      <c r="E159" s="367">
        <f>'DEFINITIF (APBNP)'!E777</f>
        <v>511157</v>
      </c>
      <c r="F159" s="360">
        <f t="shared" si="2"/>
        <v>511157</v>
      </c>
      <c r="G159" s="361"/>
      <c r="H159" s="366"/>
      <c r="J159" s="366"/>
      <c r="L159" s="364"/>
      <c r="M159" s="365"/>
      <c r="N159" s="366"/>
      <c r="O159" s="72"/>
      <c r="P159" s="73"/>
      <c r="Q159" s="73"/>
    </row>
    <row r="160" spans="1:17" s="363" customFormat="1" ht="15" customHeight="1" x14ac:dyDescent="0.2">
      <c r="A160" s="358"/>
      <c r="B160" s="367" t="str">
        <f>'DEFINITIF (APBNP)'!B778</f>
        <v>Jalan Pantura, KM 27.7 Desa Widang (Pertigaan dekat Kantor Desa Widang)</v>
      </c>
      <c r="C160" s="367">
        <f>'DEFINITIF (APBNP)'!C778</f>
        <v>1</v>
      </c>
      <c r="D160" s="367" t="str">
        <f>'DEFINITIF (APBNP)'!D778</f>
        <v>PKT</v>
      </c>
      <c r="E160" s="367">
        <f>'DEFINITIF (APBNP)'!E778</f>
        <v>150723</v>
      </c>
      <c r="F160" s="360">
        <f t="shared" si="2"/>
        <v>150723</v>
      </c>
      <c r="G160" s="361"/>
      <c r="H160" s="366"/>
      <c r="J160" s="366"/>
      <c r="L160" s="364"/>
      <c r="M160" s="365"/>
      <c r="N160" s="366"/>
      <c r="O160" s="72"/>
      <c r="P160" s="73"/>
      <c r="Q160" s="73"/>
    </row>
    <row r="161" spans="1:17" s="363" customFormat="1" ht="15" customHeight="1" x14ac:dyDescent="0.2">
      <c r="A161" s="358"/>
      <c r="B161" s="367" t="str">
        <f>'DEFINITIF (APBNP)'!B779</f>
        <v>Jalan Pantura KM 30.2 Desa Banjar (Pertigaan ke arah proyek Waduk Rawa Jabung)</v>
      </c>
      <c r="C161" s="367">
        <f>'DEFINITIF (APBNP)'!C779</f>
        <v>1</v>
      </c>
      <c r="D161" s="367" t="str">
        <f>'DEFINITIF (APBNP)'!D779</f>
        <v>PKT</v>
      </c>
      <c r="E161" s="367">
        <f>'DEFINITIF (APBNP)'!E779</f>
        <v>116242</v>
      </c>
      <c r="F161" s="360">
        <f t="shared" si="2"/>
        <v>116242</v>
      </c>
      <c r="G161" s="361"/>
      <c r="H161" s="366"/>
      <c r="J161" s="366"/>
      <c r="L161" s="364"/>
      <c r="M161" s="365"/>
      <c r="N161" s="366"/>
      <c r="O161" s="72"/>
      <c r="P161" s="73"/>
      <c r="Q161" s="73"/>
    </row>
    <row r="162" spans="1:17" s="363" customFormat="1" ht="15" customHeight="1" x14ac:dyDescent="0.2">
      <c r="A162" s="358"/>
      <c r="B162" s="367" t="str">
        <f>'DEFINITIF (APBNP)'!B780</f>
        <v>Jalan Pantura KM 44 Tlogo Sadang - Sidokelar</v>
      </c>
      <c r="C162" s="367">
        <f>'DEFINITIF (APBNP)'!C780</f>
        <v>1</v>
      </c>
      <c r="D162" s="367" t="str">
        <f>'DEFINITIF (APBNP)'!D780</f>
        <v>PKT</v>
      </c>
      <c r="E162" s="367">
        <f>'DEFINITIF (APBNP)'!E780</f>
        <v>589655</v>
      </c>
      <c r="F162" s="360">
        <f t="shared" si="2"/>
        <v>589655</v>
      </c>
      <c r="G162" s="361"/>
      <c r="H162" s="366"/>
      <c r="J162" s="366"/>
      <c r="L162" s="364"/>
      <c r="M162" s="365"/>
      <c r="N162" s="366"/>
      <c r="O162" s="72"/>
      <c r="P162" s="73"/>
      <c r="Q162" s="73"/>
    </row>
    <row r="163" spans="1:17" s="363" customFormat="1" ht="15" customHeight="1" x14ac:dyDescent="0.2">
      <c r="A163" s="358"/>
      <c r="B163" s="367" t="str">
        <f>'DEFINITIF (APBNP)'!B781</f>
        <v>Jalan Pantura KM 56 - 58 Desa Kranji - Paciran</v>
      </c>
      <c r="C163" s="367">
        <f>'DEFINITIF (APBNP)'!C781</f>
        <v>1</v>
      </c>
      <c r="D163" s="367" t="str">
        <f>'DEFINITIF (APBNP)'!D781</f>
        <v>PKT</v>
      </c>
      <c r="E163" s="367">
        <f>'DEFINITIF (APBNP)'!E781</f>
        <v>911097</v>
      </c>
      <c r="F163" s="360">
        <f t="shared" si="2"/>
        <v>911097</v>
      </c>
      <c r="G163" s="361"/>
      <c r="H163" s="366"/>
      <c r="J163" s="366"/>
      <c r="L163" s="364"/>
      <c r="M163" s="365"/>
      <c r="N163" s="366"/>
      <c r="O163" s="72"/>
      <c r="P163" s="73"/>
      <c r="Q163" s="73"/>
    </row>
    <row r="164" spans="1:17" s="363" customFormat="1" ht="15" customHeight="1" x14ac:dyDescent="0.2">
      <c r="A164" s="358"/>
      <c r="B164" s="367" t="str">
        <f>'DEFINITIF (APBNP)'!B782</f>
        <v>Balong Bendo Blacklength, Gemekan – Jampiprogo (Mojokerto)</v>
      </c>
      <c r="C164" s="367">
        <f>'DEFINITIF (APBNP)'!C782</f>
        <v>1</v>
      </c>
      <c r="D164" s="367" t="str">
        <f>'DEFINITIF (APBNP)'!D782</f>
        <v>PKT</v>
      </c>
      <c r="E164" s="367">
        <f>'DEFINITIF (APBNP)'!E782</f>
        <v>1292926</v>
      </c>
      <c r="F164" s="360">
        <f t="shared" si="2"/>
        <v>1292926</v>
      </c>
      <c r="G164" s="361"/>
      <c r="H164" s="366"/>
      <c r="J164" s="366"/>
      <c r="L164" s="364"/>
      <c r="M164" s="365"/>
      <c r="N164" s="366"/>
      <c r="O164" s="72"/>
      <c r="P164" s="73"/>
      <c r="Q164" s="73"/>
    </row>
    <row r="165" spans="1:17" s="363" customFormat="1" ht="15" customHeight="1" x14ac:dyDescent="0.2">
      <c r="A165" s="358"/>
      <c r="B165" s="367"/>
      <c r="C165" s="367"/>
      <c r="D165" s="367"/>
      <c r="E165" s="367"/>
      <c r="F165" s="360"/>
      <c r="G165" s="361"/>
      <c r="H165" s="366"/>
      <c r="J165" s="366"/>
      <c r="L165" s="364"/>
      <c r="M165" s="365"/>
      <c r="N165" s="366"/>
      <c r="O165" s="72"/>
      <c r="P165" s="73"/>
      <c r="Q165" s="73"/>
    </row>
    <row r="166" spans="1:17" s="355" customFormat="1" ht="15" customHeight="1" x14ac:dyDescent="0.2">
      <c r="A166" s="349">
        <v>16</v>
      </c>
      <c r="B166" s="350" t="s">
        <v>791</v>
      </c>
      <c r="C166" s="350">
        <f>SUM(C167:C171)</f>
        <v>2</v>
      </c>
      <c r="D166" s="351"/>
      <c r="E166" s="351"/>
      <c r="F166" s="352">
        <f>SUM(F167:F171)</f>
        <v>2500000</v>
      </c>
      <c r="G166" s="353"/>
      <c r="H166" s="354"/>
      <c r="J166" s="354"/>
      <c r="L166" s="356"/>
      <c r="M166" s="357"/>
      <c r="N166" s="354"/>
      <c r="O166" s="387">
        <f>F166</f>
        <v>2500000</v>
      </c>
      <c r="P166" s="216">
        <f>O166-F166</f>
        <v>0</v>
      </c>
      <c r="Q166" s="73"/>
    </row>
    <row r="167" spans="1:17" s="363" customFormat="1" ht="15" customHeight="1" x14ac:dyDescent="0.2">
      <c r="A167" s="358"/>
      <c r="B167" s="367" t="str">
        <f>'DEFINITIF (APBNP)'!B833</f>
        <v>Karangasem - Tembok (termasuk supervisi)</v>
      </c>
      <c r="C167" s="367">
        <f>'DEFINITIF (APBNP)'!C833</f>
        <v>1</v>
      </c>
      <c r="D167" s="367" t="str">
        <f>'DEFINITIF (APBNP)'!D833</f>
        <v>PKT</v>
      </c>
      <c r="E167" s="367">
        <f>'DEFINITIF (APBNP)'!E833</f>
        <v>1500000</v>
      </c>
      <c r="F167" s="360">
        <f t="shared" ref="F167:F230" si="3">C167*E167</f>
        <v>1500000</v>
      </c>
      <c r="G167" s="361"/>
      <c r="H167" s="362"/>
      <c r="J167" s="362"/>
      <c r="L167" s="364"/>
      <c r="M167" s="365"/>
      <c r="N167" s="362"/>
      <c r="O167" s="72"/>
      <c r="P167" s="73"/>
      <c r="Q167" s="73"/>
    </row>
    <row r="168" spans="1:17" s="363" customFormat="1" ht="15" customHeight="1" x14ac:dyDescent="0.2">
      <c r="A168" s="358"/>
      <c r="B168" s="367" t="str">
        <f>'DEFINITIF (APBNP)'!B834</f>
        <v>Tembok - Kubutambahan  (termasuk supervisi)</v>
      </c>
      <c r="C168" s="367">
        <f>'DEFINITIF (APBNP)'!C834</f>
        <v>0</v>
      </c>
      <c r="D168" s="367" t="str">
        <f>'DEFINITIF (APBNP)'!D834</f>
        <v>PKT</v>
      </c>
      <c r="E168" s="367">
        <f>'DEFINITIF (APBNP)'!E834</f>
        <v>2667313</v>
      </c>
      <c r="F168" s="360">
        <f t="shared" si="3"/>
        <v>0</v>
      </c>
      <c r="G168" s="361"/>
      <c r="H168" s="362"/>
      <c r="J168" s="362"/>
      <c r="L168" s="364"/>
      <c r="M168" s="365"/>
      <c r="N168" s="362"/>
      <c r="O168" s="72"/>
      <c r="P168" s="73"/>
      <c r="Q168" s="73"/>
    </row>
    <row r="169" spans="1:17" s="363" customFormat="1" ht="15" customHeight="1" x14ac:dyDescent="0.2">
      <c r="A169" s="358"/>
      <c r="B169" s="367">
        <f>'DEFINITIF (APBNP)'!B835</f>
        <v>0</v>
      </c>
      <c r="C169" s="367">
        <f>'DEFINITIF (APBNP)'!C835</f>
        <v>0</v>
      </c>
      <c r="D169" s="367">
        <f>'DEFINITIF (APBNP)'!D835</f>
        <v>0</v>
      </c>
      <c r="E169" s="367">
        <f>'DEFINITIF (APBNP)'!E835</f>
        <v>0</v>
      </c>
      <c r="F169" s="360"/>
      <c r="G169" s="361"/>
      <c r="H169" s="366"/>
      <c r="J169" s="366"/>
      <c r="L169" s="364"/>
      <c r="M169" s="365"/>
      <c r="N169" s="366"/>
      <c r="O169" s="72"/>
      <c r="P169" s="73"/>
      <c r="Q169" s="73"/>
    </row>
    <row r="170" spans="1:17" s="363" customFormat="1" ht="15" customHeight="1" x14ac:dyDescent="0.2">
      <c r="A170" s="358"/>
      <c r="B170" s="367" t="str">
        <f>'DEFINITIF (APBNP)'!B836</f>
        <v xml:space="preserve">PENINGKATAN KINERJA LALU LINTAS </v>
      </c>
      <c r="C170" s="367"/>
      <c r="D170" s="367"/>
      <c r="E170" s="367"/>
      <c r="F170" s="360"/>
      <c r="G170" s="361"/>
      <c r="H170" s="366"/>
      <c r="J170" s="366"/>
      <c r="L170" s="364"/>
      <c r="M170" s="365"/>
      <c r="N170" s="366"/>
      <c r="O170" s="72"/>
      <c r="P170" s="73"/>
      <c r="Q170" s="73"/>
    </row>
    <row r="171" spans="1:17" s="363" customFormat="1" ht="30" customHeight="1" x14ac:dyDescent="0.2">
      <c r="A171" s="358"/>
      <c r="B171" s="367" t="str">
        <f>'DEFINITIF (APBNP)'!B837</f>
        <v>Peningkatan Kinerja Lalu Lintas Jalan Nasional Wilayah Perkotaan Provinsi Bali (termasuk desain dan supervisi)</v>
      </c>
      <c r="C171" s="367">
        <f>'DEFINITIF (APBNP)'!C837</f>
        <v>1</v>
      </c>
      <c r="D171" s="367" t="str">
        <f>'DEFINITIF (APBNP)'!D837</f>
        <v>Pkt</v>
      </c>
      <c r="E171" s="367">
        <f>'DEFINITIF (APBNP)'!E837</f>
        <v>1000000</v>
      </c>
      <c r="F171" s="360">
        <f t="shared" si="3"/>
        <v>1000000</v>
      </c>
      <c r="G171" s="361"/>
      <c r="H171" s="366"/>
      <c r="J171" s="366"/>
      <c r="L171" s="364"/>
      <c r="M171" s="365"/>
      <c r="N171" s="366"/>
      <c r="O171" s="72"/>
      <c r="P171" s="73"/>
      <c r="Q171" s="73"/>
    </row>
    <row r="172" spans="1:17" s="363" customFormat="1" ht="15" customHeight="1" x14ac:dyDescent="0.2">
      <c r="A172" s="358"/>
      <c r="B172" s="367"/>
      <c r="C172" s="367"/>
      <c r="D172" s="367"/>
      <c r="E172" s="367"/>
      <c r="F172" s="360"/>
      <c r="G172" s="361"/>
      <c r="H172" s="366"/>
      <c r="J172" s="366"/>
      <c r="L172" s="364"/>
      <c r="M172" s="365"/>
      <c r="N172" s="366"/>
      <c r="O172" s="72"/>
      <c r="P172" s="73"/>
      <c r="Q172" s="73"/>
    </row>
    <row r="173" spans="1:17" s="355" customFormat="1" ht="15" customHeight="1" x14ac:dyDescent="0.2">
      <c r="A173" s="349">
        <v>17</v>
      </c>
      <c r="B173" s="350" t="s">
        <v>793</v>
      </c>
      <c r="C173" s="350">
        <f>SUM(C174:C178)</f>
        <v>5</v>
      </c>
      <c r="D173" s="351"/>
      <c r="E173" s="351"/>
      <c r="F173" s="352">
        <f>SUM(F174:F178)</f>
        <v>6400700</v>
      </c>
      <c r="G173" s="353"/>
      <c r="H173" s="354"/>
      <c r="J173" s="354"/>
      <c r="L173" s="356"/>
      <c r="M173" s="357"/>
      <c r="N173" s="354"/>
      <c r="O173" s="387">
        <f>F173</f>
        <v>6400700</v>
      </c>
      <c r="P173" s="216">
        <f>O173-F173</f>
        <v>0</v>
      </c>
      <c r="Q173" s="73"/>
    </row>
    <row r="174" spans="1:17" s="363" customFormat="1" ht="15" customHeight="1" x14ac:dyDescent="0.2">
      <c r="A174" s="358"/>
      <c r="B174" s="367" t="str">
        <f>'DEFINITIF (APBNP)'!B872</f>
        <v>Ruas Cakra Negara - Mantang (termasuk supervisi)</v>
      </c>
      <c r="C174" s="367">
        <f>'DEFINITIF (APBNP)'!C872</f>
        <v>1</v>
      </c>
      <c r="D174" s="367" t="str">
        <f>'DEFINITIF (APBNP)'!D872</f>
        <v>PKT</v>
      </c>
      <c r="E174" s="367">
        <f>'DEFINITIF (APBNP)'!E872</f>
        <v>835100</v>
      </c>
      <c r="F174" s="360">
        <f t="shared" si="3"/>
        <v>835100</v>
      </c>
      <c r="G174" s="361"/>
      <c r="H174" s="362"/>
      <c r="J174" s="362"/>
      <c r="L174" s="364"/>
      <c r="M174" s="365"/>
      <c r="N174" s="362"/>
      <c r="O174" s="72"/>
      <c r="P174" s="73"/>
      <c r="Q174" s="73"/>
    </row>
    <row r="175" spans="1:17" s="363" customFormat="1" ht="15" customHeight="1" x14ac:dyDescent="0.2">
      <c r="A175" s="358"/>
      <c r="B175" s="367" t="str">
        <f>'DEFINITIF (APBNP)'!B873</f>
        <v>Ruas Kopang - Masbagik (termasuk supervisi)</v>
      </c>
      <c r="C175" s="367">
        <f>'DEFINITIF (APBNP)'!C873</f>
        <v>1</v>
      </c>
      <c r="D175" s="367" t="str">
        <f>'DEFINITIF (APBNP)'!D873</f>
        <v>PKT</v>
      </c>
      <c r="E175" s="367">
        <f>'DEFINITIF (APBNP)'!E873</f>
        <v>682200</v>
      </c>
      <c r="F175" s="360">
        <f t="shared" si="3"/>
        <v>682200</v>
      </c>
      <c r="G175" s="361"/>
      <c r="H175" s="362"/>
      <c r="J175" s="362"/>
      <c r="L175" s="364"/>
      <c r="M175" s="365"/>
      <c r="N175" s="362"/>
      <c r="O175" s="72"/>
      <c r="P175" s="73"/>
      <c r="Q175" s="73"/>
    </row>
    <row r="176" spans="1:17" s="363" customFormat="1" ht="15" customHeight="1" x14ac:dyDescent="0.2">
      <c r="A176" s="358"/>
      <c r="B176" s="367" t="str">
        <f>'DEFINITIF (APBNP)'!B874</f>
        <v>Ruas Rempung - Labuhan Lombok (termasuk supervisi)</v>
      </c>
      <c r="C176" s="367">
        <f>'DEFINITIF (APBNP)'!C874</f>
        <v>1</v>
      </c>
      <c r="D176" s="367" t="str">
        <f>'DEFINITIF (APBNP)'!D874</f>
        <v>PKT</v>
      </c>
      <c r="E176" s="367">
        <f>'DEFINITIF (APBNP)'!E874</f>
        <v>1073300</v>
      </c>
      <c r="F176" s="360">
        <f t="shared" si="3"/>
        <v>1073300</v>
      </c>
      <c r="G176" s="361"/>
      <c r="H176" s="362"/>
      <c r="J176" s="362"/>
      <c r="L176" s="364"/>
      <c r="M176" s="365"/>
      <c r="N176" s="362"/>
      <c r="O176" s="72"/>
      <c r="P176" s="73"/>
      <c r="Q176" s="73"/>
    </row>
    <row r="177" spans="1:17" s="363" customFormat="1" ht="15" customHeight="1" x14ac:dyDescent="0.2">
      <c r="A177" s="358"/>
      <c r="B177" s="367" t="str">
        <f>'DEFINITIF (APBNP)'!B875</f>
        <v>Simpang Negara - Batas kota Sumbawa Besar (termasuk supervisi)</v>
      </c>
      <c r="C177" s="367">
        <f>'DEFINITIF (APBNP)'!C875</f>
        <v>1</v>
      </c>
      <c r="D177" s="367" t="str">
        <f>'DEFINITIF (APBNP)'!D875</f>
        <v>PKT</v>
      </c>
      <c r="E177" s="367">
        <f>'DEFINITIF (APBNP)'!E875</f>
        <v>1847500</v>
      </c>
      <c r="F177" s="360">
        <f t="shared" si="3"/>
        <v>1847500</v>
      </c>
      <c r="G177" s="361"/>
      <c r="H177" s="362"/>
      <c r="J177" s="362"/>
      <c r="L177" s="364"/>
      <c r="M177" s="365"/>
      <c r="N177" s="362"/>
      <c r="O177" s="72"/>
      <c r="P177" s="73"/>
      <c r="Q177" s="73"/>
    </row>
    <row r="178" spans="1:17" s="363" customFormat="1" ht="15" customHeight="1" x14ac:dyDescent="0.2">
      <c r="A178" s="358"/>
      <c r="B178" s="367" t="str">
        <f>'DEFINITIF (APBNP)'!B876</f>
        <v>Batas Kota Dompu - Sila (termasuk supervisi)</v>
      </c>
      <c r="C178" s="367">
        <f>'DEFINITIF (APBNP)'!C876</f>
        <v>1</v>
      </c>
      <c r="D178" s="367" t="str">
        <f>'DEFINITIF (APBNP)'!D876</f>
        <v>PKT</v>
      </c>
      <c r="E178" s="367">
        <f>'DEFINITIF (APBNP)'!E876</f>
        <v>1962600</v>
      </c>
      <c r="F178" s="360">
        <f t="shared" si="3"/>
        <v>1962600</v>
      </c>
      <c r="G178" s="361"/>
      <c r="H178" s="362"/>
      <c r="J178" s="362"/>
      <c r="L178" s="364"/>
      <c r="M178" s="365"/>
      <c r="N178" s="362"/>
      <c r="O178" s="72"/>
      <c r="P178" s="73"/>
      <c r="Q178" s="73"/>
    </row>
    <row r="179" spans="1:17" s="363" customFormat="1" ht="15" customHeight="1" x14ac:dyDescent="0.2">
      <c r="A179" s="358"/>
      <c r="B179" s="367">
        <f>'DEFINITIF (APBNP)'!B877</f>
        <v>0</v>
      </c>
      <c r="C179" s="367"/>
      <c r="D179" s="367"/>
      <c r="E179" s="367"/>
      <c r="F179" s="360"/>
      <c r="G179" s="361"/>
      <c r="H179" s="362"/>
      <c r="J179" s="362"/>
      <c r="L179" s="364"/>
      <c r="M179" s="365"/>
      <c r="N179" s="362"/>
      <c r="O179" s="72"/>
      <c r="P179" s="73"/>
      <c r="Q179" s="73"/>
    </row>
    <row r="180" spans="1:17" s="355" customFormat="1" ht="15" customHeight="1" x14ac:dyDescent="0.2">
      <c r="A180" s="349">
        <v>18</v>
      </c>
      <c r="B180" s="350" t="s">
        <v>795</v>
      </c>
      <c r="C180" s="350">
        <f>SUM(C181:C193)</f>
        <v>13</v>
      </c>
      <c r="D180" s="351"/>
      <c r="E180" s="351"/>
      <c r="F180" s="352">
        <f>SUM(F181:F193)</f>
        <v>30299629</v>
      </c>
      <c r="G180" s="353"/>
      <c r="H180" s="354"/>
      <c r="J180" s="354"/>
      <c r="L180" s="356"/>
      <c r="M180" s="357"/>
      <c r="N180" s="354"/>
      <c r="O180" s="387">
        <f>F180</f>
        <v>30299629</v>
      </c>
      <c r="P180" s="216">
        <f>O180-F180</f>
        <v>0</v>
      </c>
      <c r="Q180" s="73"/>
    </row>
    <row r="181" spans="1:17" s="363" customFormat="1" ht="36.75" customHeight="1" x14ac:dyDescent="0.2">
      <c r="A181" s="358"/>
      <c r="B181" s="373" t="str">
        <f>'DEFINITIF (APBNP)'!B921</f>
        <v>BTS KOTA ENDE - AEGELA-ARAH BAJAWA (ENDE)-JL. PERWIRA-JALAN SOEKARNO-KATEDRAL  DETUSOKO - BTS KOTA ENDE LANJUTAN-JL A YANI-GATOT SUBROTO-DETUSOKO - WOLOGAI</v>
      </c>
      <c r="C181" s="374">
        <f>'DEFINITIF (APBNP)'!C921</f>
        <v>1</v>
      </c>
      <c r="D181" s="374" t="str">
        <f>'DEFINITIF (APBNP)'!D921</f>
        <v>PKT</v>
      </c>
      <c r="E181" s="374">
        <f>'DEFINITIF (APBNP)'!E921</f>
        <v>1551604</v>
      </c>
      <c r="F181" s="360">
        <f t="shared" si="3"/>
        <v>1551604</v>
      </c>
      <c r="G181" s="361"/>
      <c r="H181" s="362"/>
      <c r="J181" s="362"/>
      <c r="L181" s="364"/>
      <c r="M181" s="365"/>
      <c r="N181" s="362"/>
      <c r="O181" s="72"/>
      <c r="P181" s="73"/>
      <c r="Q181" s="73"/>
    </row>
    <row r="182" spans="1:17" s="363" customFormat="1" ht="36.75" customHeight="1" x14ac:dyDescent="0.2">
      <c r="A182" s="358"/>
      <c r="B182" s="373" t="str">
        <f>'DEFINITIF (APBNP)'!B922</f>
        <v>WOLOGAI - JUNCTION-JUNCTION - WOLOWARU-LIANUNU-HEPANG-NITA-WOLOARA-BTS KOTA MAUMERE-JL. GAJAH MADA-JL. NONGMEAK-JL. SUGIYOPRANOTO-JL. KONTERCIUS-JL. BTS KOTA MAUMERE-WAIPARE- JL. A. YANI-JL. SUDIRMAN-JALAN WAIPARE-KM 180   (KAB. SIKKA)</v>
      </c>
      <c r="C182" s="374">
        <f>'DEFINITIF (APBNP)'!C922</f>
        <v>1</v>
      </c>
      <c r="D182" s="374" t="str">
        <f>'DEFINITIF (APBNP)'!D922</f>
        <v>PKT</v>
      </c>
      <c r="E182" s="374">
        <f>'DEFINITIF (APBNP)'!E922</f>
        <v>1691089</v>
      </c>
      <c r="F182" s="360">
        <f t="shared" si="3"/>
        <v>1691089</v>
      </c>
      <c r="G182" s="361"/>
      <c r="H182" s="362"/>
      <c r="J182" s="362"/>
      <c r="L182" s="364"/>
      <c r="M182" s="365"/>
      <c r="N182" s="362"/>
      <c r="O182" s="72"/>
      <c r="P182" s="73"/>
      <c r="Q182" s="73"/>
    </row>
    <row r="183" spans="1:17" s="363" customFormat="1" ht="36.75" customHeight="1" x14ac:dyDescent="0.2">
      <c r="A183" s="358"/>
      <c r="B183" s="373" t="str">
        <f>'DEFINITIF (APBNP)'!B923</f>
        <v>JALAN KM 180-WAERUNU-JALAN WAERUNU-BTS KOTA LARANTUKA-JALAN BASUKI RAHMAT-JALAN- HERMAN FERNANDES-JALAN DE ROSARI-JL. RENHA ROSARI   (KAB. FLOTIM)</v>
      </c>
      <c r="C183" s="374">
        <f>'DEFINITIF (APBNP)'!C923</f>
        <v>1</v>
      </c>
      <c r="D183" s="374" t="str">
        <f>'DEFINITIF (APBNP)'!D923</f>
        <v>PKT</v>
      </c>
      <c r="E183" s="374">
        <f>'DEFINITIF (APBNP)'!E923</f>
        <v>1963653</v>
      </c>
      <c r="F183" s="360">
        <f t="shared" si="3"/>
        <v>1963653</v>
      </c>
      <c r="G183" s="361"/>
      <c r="H183" s="362"/>
      <c r="J183" s="362"/>
      <c r="L183" s="364"/>
      <c r="M183" s="365"/>
      <c r="N183" s="362"/>
      <c r="O183" s="72"/>
      <c r="P183" s="73"/>
      <c r="Q183" s="73"/>
    </row>
    <row r="184" spans="1:17" s="363" customFormat="1" ht="36.75" customHeight="1" x14ac:dyDescent="0.2">
      <c r="A184" s="358"/>
      <c r="B184" s="373" t="str">
        <f>'DEFINITIF (APBNP)'!B924</f>
        <v>JALAN BOLOK-TENAU-JALAN TUA BATA-JALAN PAHLAWAN-JALAN SUKARNO-JALAN AHMAD YANI  JALAN SILIWANGI-JALAN SUMBA-SUMATERA-JALAN TIMOR TIMUR-SIMPANG OESAPA-LAP TERBANG ELTARI-JALAN ELTARI 2   9   (KOTA KUPANG)</v>
      </c>
      <c r="C184" s="374">
        <f>'DEFINITIF (APBNP)'!C924</f>
        <v>1</v>
      </c>
      <c r="D184" s="374" t="str">
        <f>'DEFINITIF (APBNP)'!D924</f>
        <v>PKT</v>
      </c>
      <c r="E184" s="374">
        <f>'DEFINITIF (APBNP)'!E924</f>
        <v>1644998</v>
      </c>
      <c r="F184" s="360">
        <f t="shared" si="3"/>
        <v>1644998</v>
      </c>
      <c r="G184" s="361"/>
      <c r="H184" s="362"/>
      <c r="J184" s="362"/>
      <c r="L184" s="364"/>
      <c r="M184" s="365"/>
      <c r="N184" s="362"/>
      <c r="O184" s="72"/>
      <c r="P184" s="73"/>
      <c r="Q184" s="73"/>
    </row>
    <row r="185" spans="1:17" s="363" customFormat="1" ht="24" customHeight="1" x14ac:dyDescent="0.2">
      <c r="A185" s="358"/>
      <c r="B185" s="373" t="str">
        <f>'DEFINITIF (APBNP)'!B925</f>
        <v>OESAPA-OESAO - BOKONG-BATU PUTIH   (KAB. KUPANG)</v>
      </c>
      <c r="C185" s="374">
        <f>'DEFINITIF (APBNP)'!C925</f>
        <v>1</v>
      </c>
      <c r="D185" s="374" t="str">
        <f>'DEFINITIF (APBNP)'!D925</f>
        <v>PKT</v>
      </c>
      <c r="E185" s="374">
        <f>'DEFINITIF (APBNP)'!E925</f>
        <v>1593945</v>
      </c>
      <c r="F185" s="360">
        <f t="shared" si="3"/>
        <v>1593945</v>
      </c>
      <c r="G185" s="361"/>
      <c r="H185" s="362"/>
      <c r="J185" s="362"/>
      <c r="L185" s="364"/>
      <c r="M185" s="365"/>
      <c r="N185" s="362"/>
      <c r="O185" s="72"/>
      <c r="P185" s="73"/>
      <c r="Q185" s="73"/>
    </row>
    <row r="186" spans="1:17" s="363" customFormat="1" ht="36.75" customHeight="1" x14ac:dyDescent="0.2">
      <c r="A186" s="358"/>
      <c r="B186" s="373" t="str">
        <f>'DEFINITIF (APBNP)'!B926</f>
        <v>BATU PUTIH-BATAS KOTA SOE-JL. GAJAH MADA-JL. SUDIRMAN-BATAS KOTA SOE-NIKI NIKI-JL. DIPONEGORO-JL. AHMAD YANI-JL. NIKI NIKI-NOELMUTI-BATAS KOTA KEFAMENANU   (KAB. TTS)</v>
      </c>
      <c r="C186" s="374">
        <f>'DEFINITIF (APBNP)'!C926</f>
        <v>1</v>
      </c>
      <c r="D186" s="374" t="str">
        <f>'DEFINITIF (APBNP)'!D926</f>
        <v>PKT</v>
      </c>
      <c r="E186" s="374">
        <f>'DEFINITIF (APBNP)'!E926</f>
        <v>1515487</v>
      </c>
      <c r="F186" s="360">
        <f t="shared" si="3"/>
        <v>1515487</v>
      </c>
      <c r="G186" s="361"/>
      <c r="H186" s="366"/>
      <c r="J186" s="366"/>
      <c r="L186" s="364"/>
      <c r="M186" s="365"/>
      <c r="N186" s="366"/>
      <c r="O186" s="72"/>
      <c r="P186" s="73"/>
      <c r="Q186" s="73"/>
    </row>
    <row r="187" spans="1:17" s="363" customFormat="1" ht="36.75" customHeight="1" x14ac:dyDescent="0.2">
      <c r="A187" s="358"/>
      <c r="B187" s="373" t="str">
        <f>'DEFINITIF (APBNP)'!B927</f>
        <v xml:space="preserve">JALAN PATIMURA (KEFAMENANU)-JALAN KARTINI-JL. ELTARI-JL. BASUKI RAHMAT-BTS KOTA  KEFAMENANU-MAUBESI-JL. A YANI-JL. MAUBESI-NESAM (KAIUPUKAN)   (KAB. TTU) </v>
      </c>
      <c r="C187" s="374">
        <f>'DEFINITIF (APBNP)'!C927</f>
        <v>1</v>
      </c>
      <c r="D187" s="374" t="str">
        <f>'DEFINITIF (APBNP)'!D927</f>
        <v>PKT</v>
      </c>
      <c r="E187" s="374">
        <f>'DEFINITIF (APBNP)'!E927</f>
        <v>1338853</v>
      </c>
      <c r="F187" s="360">
        <f t="shared" si="3"/>
        <v>1338853</v>
      </c>
      <c r="G187" s="361"/>
      <c r="H187" s="366"/>
      <c r="J187" s="366"/>
      <c r="L187" s="364"/>
      <c r="M187" s="365"/>
      <c r="N187" s="366"/>
      <c r="O187" s="72"/>
      <c r="P187" s="73"/>
      <c r="Q187" s="73"/>
    </row>
    <row r="188" spans="1:17" s="363" customFormat="1" ht="72" customHeight="1" x14ac:dyDescent="0.2">
      <c r="A188" s="358"/>
      <c r="B188" s="373" t="s">
        <v>1894</v>
      </c>
      <c r="C188" s="374">
        <f>'DEFINITIF (APBNP)'!C928</f>
        <v>1</v>
      </c>
      <c r="D188" s="374" t="str">
        <f>'DEFINITIF (APBNP)'!D928</f>
        <v>PKT</v>
      </c>
      <c r="E188" s="374">
        <f>'DEFINITIF (APBNP)'!E928</f>
        <v>3243061</v>
      </c>
      <c r="F188" s="360">
        <f t="shared" si="3"/>
        <v>3243061</v>
      </c>
      <c r="G188" s="361"/>
      <c r="H188" s="366"/>
      <c r="J188" s="366"/>
      <c r="L188" s="364"/>
      <c r="M188" s="365"/>
      <c r="N188" s="366"/>
      <c r="O188" s="72"/>
      <c r="P188" s="73"/>
      <c r="Q188" s="73"/>
    </row>
    <row r="189" spans="1:17" s="363" customFormat="1" ht="36.75" customHeight="1" x14ac:dyDescent="0.2">
      <c r="A189" s="358"/>
      <c r="B189" s="373" t="s">
        <v>1895</v>
      </c>
      <c r="C189" s="374">
        <f>'DEFINITIF (APBNP)'!C929</f>
        <v>1</v>
      </c>
      <c r="D189" s="374" t="str">
        <f>'DEFINITIF (APBNP)'!D929</f>
        <v>PKT</v>
      </c>
      <c r="E189" s="374">
        <f>'DEFINITIF (APBNP)'!E929</f>
        <v>2302049</v>
      </c>
      <c r="F189" s="360">
        <f t="shared" si="3"/>
        <v>2302049</v>
      </c>
      <c r="G189" s="361"/>
      <c r="H189" s="366"/>
      <c r="J189" s="366"/>
      <c r="L189" s="364"/>
      <c r="M189" s="365"/>
      <c r="N189" s="366"/>
      <c r="O189" s="72"/>
      <c r="P189" s="73"/>
      <c r="Q189" s="73"/>
    </row>
    <row r="190" spans="1:17" s="363" customFormat="1" ht="36.75" customHeight="1" x14ac:dyDescent="0.2">
      <c r="A190" s="358"/>
      <c r="B190" s="373" t="s">
        <v>1890</v>
      </c>
      <c r="C190" s="374">
        <f>'DEFINITIF (APBNP)'!C930</f>
        <v>1</v>
      </c>
      <c r="D190" s="374" t="str">
        <f>'DEFINITIF (APBNP)'!D930</f>
        <v>PKT</v>
      </c>
      <c r="E190" s="374">
        <f>'DEFINITIF (APBNP)'!E930</f>
        <v>3454890</v>
      </c>
      <c r="F190" s="360">
        <f t="shared" si="3"/>
        <v>3454890</v>
      </c>
      <c r="G190" s="361"/>
      <c r="H190" s="366"/>
      <c r="J190" s="366"/>
      <c r="L190" s="364"/>
      <c r="M190" s="365"/>
      <c r="N190" s="366"/>
      <c r="O190" s="72"/>
      <c r="P190" s="73"/>
      <c r="Q190" s="73"/>
    </row>
    <row r="191" spans="1:17" s="363" customFormat="1" ht="36.75" customHeight="1" x14ac:dyDescent="0.2">
      <c r="A191" s="358"/>
      <c r="B191" s="373" t="s">
        <v>1891</v>
      </c>
      <c r="C191" s="374">
        <f>'DEFINITIF (APBNP)'!C931</f>
        <v>1</v>
      </c>
      <c r="D191" s="374" t="str">
        <f>'DEFINITIF (APBNP)'!D931</f>
        <v>PKT</v>
      </c>
      <c r="E191" s="374">
        <f>'DEFINITIF (APBNP)'!E931</f>
        <v>4000000</v>
      </c>
      <c r="F191" s="360">
        <f t="shared" si="3"/>
        <v>4000000</v>
      </c>
      <c r="G191" s="361"/>
      <c r="H191" s="366"/>
      <c r="J191" s="366"/>
      <c r="L191" s="364"/>
      <c r="M191" s="365"/>
      <c r="N191" s="366"/>
      <c r="O191" s="72"/>
      <c r="P191" s="73"/>
      <c r="Q191" s="73"/>
    </row>
    <row r="192" spans="1:17" s="363" customFormat="1" ht="36.75" customHeight="1" x14ac:dyDescent="0.2">
      <c r="A192" s="358"/>
      <c r="B192" s="373" t="s">
        <v>1892</v>
      </c>
      <c r="C192" s="374">
        <f>'DEFINITIF (APBNP)'!C932</f>
        <v>1</v>
      </c>
      <c r="D192" s="374" t="str">
        <f>'DEFINITIF (APBNP)'!D932</f>
        <v>PKT</v>
      </c>
      <c r="E192" s="374">
        <f>'DEFINITIF (APBNP)'!E932</f>
        <v>3000000</v>
      </c>
      <c r="F192" s="360">
        <f t="shared" si="3"/>
        <v>3000000</v>
      </c>
      <c r="G192" s="361"/>
      <c r="H192" s="366"/>
      <c r="J192" s="366"/>
      <c r="L192" s="364"/>
      <c r="M192" s="365"/>
      <c r="N192" s="366"/>
      <c r="O192" s="72"/>
      <c r="P192" s="73"/>
      <c r="Q192" s="73"/>
    </row>
    <row r="193" spans="1:17" s="363" customFormat="1" ht="42" customHeight="1" x14ac:dyDescent="0.2">
      <c r="A193" s="358"/>
      <c r="B193" s="373" t="s">
        <v>1893</v>
      </c>
      <c r="C193" s="374">
        <f>'DEFINITIF (APBNP)'!C933</f>
        <v>1</v>
      </c>
      <c r="D193" s="374" t="str">
        <f>'DEFINITIF (APBNP)'!D933</f>
        <v>PKT</v>
      </c>
      <c r="E193" s="374">
        <f>'DEFINITIF (APBNP)'!E933</f>
        <v>3000000</v>
      </c>
      <c r="F193" s="360">
        <f t="shared" si="3"/>
        <v>3000000</v>
      </c>
      <c r="G193" s="361"/>
      <c r="H193" s="366"/>
      <c r="J193" s="366"/>
      <c r="L193" s="364"/>
      <c r="M193" s="365"/>
      <c r="N193" s="366"/>
      <c r="O193" s="72"/>
      <c r="P193" s="73"/>
      <c r="Q193" s="73"/>
    </row>
    <row r="194" spans="1:17" s="363" customFormat="1" ht="15" customHeight="1" x14ac:dyDescent="0.2">
      <c r="A194" s="358"/>
      <c r="B194" s="373">
        <f>'DEFINITIF (APBNP)'!B934</f>
        <v>0</v>
      </c>
      <c r="C194" s="374"/>
      <c r="D194" s="374"/>
      <c r="E194" s="374"/>
      <c r="F194" s="360"/>
      <c r="G194" s="361"/>
      <c r="H194" s="366"/>
      <c r="J194" s="366"/>
      <c r="L194" s="364"/>
      <c r="M194" s="365"/>
      <c r="N194" s="366"/>
      <c r="O194" s="72"/>
      <c r="P194" s="73"/>
      <c r="Q194" s="73"/>
    </row>
    <row r="195" spans="1:17" s="363" customFormat="1" ht="15" customHeight="1" x14ac:dyDescent="0.2">
      <c r="A195" s="349">
        <v>19</v>
      </c>
      <c r="B195" s="350" t="s">
        <v>799</v>
      </c>
      <c r="C195" s="352">
        <f>SUM(C196:C206)</f>
        <v>10</v>
      </c>
      <c r="D195" s="351"/>
      <c r="E195" s="351"/>
      <c r="F195" s="352">
        <f>SUM(F196:F206)</f>
        <v>40562000</v>
      </c>
      <c r="G195" s="361"/>
      <c r="H195" s="362"/>
      <c r="J195" s="362"/>
      <c r="L195" s="364"/>
      <c r="M195" s="365"/>
      <c r="N195" s="362"/>
      <c r="O195" s="387">
        <f>F195</f>
        <v>40562000</v>
      </c>
      <c r="P195" s="216">
        <f>O195-F195</f>
        <v>0</v>
      </c>
      <c r="Q195" s="73"/>
    </row>
    <row r="196" spans="1:17" s="363" customFormat="1" ht="15" customHeight="1" x14ac:dyDescent="0.2">
      <c r="A196" s="358"/>
      <c r="B196" s="367" t="str">
        <f>'DEFINITIF (APBNP)'!B1019</f>
        <v>Ruas Jalan Sui. Pinyuh - Sebadu Segmen I (termasuk supervisi)</v>
      </c>
      <c r="C196" s="367">
        <f>'DEFINITIF (APBNP)'!C1019</f>
        <v>1</v>
      </c>
      <c r="D196" s="367" t="str">
        <f>'DEFINITIF (APBNP)'!D1019</f>
        <v>PKT</v>
      </c>
      <c r="E196" s="367">
        <f>'DEFINITIF (APBNP)'!E1019</f>
        <v>3542000</v>
      </c>
      <c r="F196" s="360">
        <f t="shared" si="3"/>
        <v>3542000</v>
      </c>
      <c r="G196" s="361"/>
      <c r="H196" s="362"/>
      <c r="J196" s="362"/>
      <c r="L196" s="364"/>
      <c r="M196" s="365"/>
      <c r="N196" s="362"/>
      <c r="O196" s="72"/>
      <c r="P196" s="73"/>
      <c r="Q196" s="73"/>
    </row>
    <row r="197" spans="1:17" s="363" customFormat="1" ht="15" customHeight="1" x14ac:dyDescent="0.2">
      <c r="A197" s="358"/>
      <c r="B197" s="367" t="str">
        <f>'DEFINITIF (APBNP)'!B1020</f>
        <v>Ruas Jalan Sui. Pinyuh - Sebadu Segmen II (termasuk supervisi)</v>
      </c>
      <c r="C197" s="367">
        <f>'DEFINITIF (APBNP)'!C1020</f>
        <v>1</v>
      </c>
      <c r="D197" s="367" t="str">
        <f>'DEFINITIF (APBNP)'!D1020</f>
        <v>PKT</v>
      </c>
      <c r="E197" s="367">
        <f>'DEFINITIF (APBNP)'!E1020</f>
        <v>4251000</v>
      </c>
      <c r="F197" s="360">
        <f t="shared" si="3"/>
        <v>4251000</v>
      </c>
      <c r="G197" s="361"/>
      <c r="H197" s="362"/>
      <c r="J197" s="362"/>
      <c r="L197" s="364"/>
      <c r="M197" s="365"/>
      <c r="N197" s="362"/>
      <c r="O197" s="72"/>
      <c r="P197" s="73"/>
      <c r="Q197" s="73"/>
    </row>
    <row r="198" spans="1:17" s="363" customFormat="1" ht="15" customHeight="1" x14ac:dyDescent="0.2">
      <c r="A198" s="358"/>
      <c r="B198" s="367" t="str">
        <f>'DEFINITIF (APBNP)'!B1021</f>
        <v>Ruas Jalan Sui. Pinyuh - Sebadu Segmen III (termasuk supervisi)</v>
      </c>
      <c r="C198" s="367">
        <f>'DEFINITIF (APBNP)'!C1021</f>
        <v>1</v>
      </c>
      <c r="D198" s="367" t="str">
        <f>'DEFINITIF (APBNP)'!D1021</f>
        <v>PKT</v>
      </c>
      <c r="E198" s="367">
        <f>'DEFINITIF (APBNP)'!E1021</f>
        <v>4187000</v>
      </c>
      <c r="F198" s="360">
        <f t="shared" si="3"/>
        <v>4187000</v>
      </c>
      <c r="G198" s="361"/>
      <c r="H198" s="362"/>
      <c r="J198" s="362"/>
      <c r="L198" s="364"/>
      <c r="M198" s="365"/>
      <c r="N198" s="362"/>
      <c r="O198" s="72"/>
      <c r="P198" s="73"/>
      <c r="Q198" s="73"/>
    </row>
    <row r="199" spans="1:17" s="363" customFormat="1" ht="15" customHeight="1" x14ac:dyDescent="0.2">
      <c r="A199" s="358"/>
      <c r="B199" s="367" t="str">
        <f>'DEFINITIF (APBNP)'!B1022</f>
        <v>Ruas Jalan Sebadu - Sidas Segmen I (termasuk supervisi)</v>
      </c>
      <c r="C199" s="367">
        <f>'DEFINITIF (APBNP)'!C1022</f>
        <v>1</v>
      </c>
      <c r="D199" s="367" t="str">
        <f>'DEFINITIF (APBNP)'!D1022</f>
        <v>PKT</v>
      </c>
      <c r="E199" s="367">
        <f>'DEFINITIF (APBNP)'!E1022</f>
        <v>2951000</v>
      </c>
      <c r="F199" s="360">
        <f t="shared" si="3"/>
        <v>2951000</v>
      </c>
      <c r="G199" s="361"/>
      <c r="H199" s="366"/>
      <c r="J199" s="366"/>
      <c r="L199" s="364"/>
      <c r="M199" s="365"/>
      <c r="N199" s="366"/>
      <c r="O199" s="72"/>
      <c r="P199" s="73"/>
      <c r="Q199" s="73"/>
    </row>
    <row r="200" spans="1:17" s="363" customFormat="1" ht="15" customHeight="1" x14ac:dyDescent="0.2">
      <c r="A200" s="358"/>
      <c r="B200" s="367" t="str">
        <f>'DEFINITIF (APBNP)'!B1023</f>
        <v>Ruas Jalan Sebadu - Sidas Segmen II (termasuk supervisi)</v>
      </c>
      <c r="C200" s="367">
        <f>'DEFINITIF (APBNP)'!C1023</f>
        <v>1</v>
      </c>
      <c r="D200" s="367" t="str">
        <f>'DEFINITIF (APBNP)'!D1023</f>
        <v>PKT</v>
      </c>
      <c r="E200" s="367">
        <f>'DEFINITIF (APBNP)'!E1023</f>
        <v>3649000</v>
      </c>
      <c r="F200" s="360">
        <f t="shared" si="3"/>
        <v>3649000</v>
      </c>
      <c r="G200" s="361"/>
      <c r="H200" s="366"/>
      <c r="J200" s="366"/>
      <c r="L200" s="364"/>
      <c r="M200" s="365"/>
      <c r="N200" s="366"/>
      <c r="O200" s="72"/>
      <c r="P200" s="73"/>
      <c r="Q200" s="73"/>
    </row>
    <row r="201" spans="1:17" s="363" customFormat="1" ht="15" customHeight="1" x14ac:dyDescent="0.2">
      <c r="A201" s="358"/>
      <c r="B201" s="367" t="str">
        <f>'DEFINITIF (APBNP)'!B1024</f>
        <v>Ruas Jalan Sebadu - Sidas Segmen III (termasuk supervisi)</v>
      </c>
      <c r="C201" s="367">
        <f>'DEFINITIF (APBNP)'!C1024</f>
        <v>1</v>
      </c>
      <c r="D201" s="367" t="str">
        <f>'DEFINITIF (APBNP)'!D1024</f>
        <v>PKT</v>
      </c>
      <c r="E201" s="367">
        <f>'DEFINITIF (APBNP)'!E1024</f>
        <v>3795000</v>
      </c>
      <c r="F201" s="360">
        <f t="shared" si="3"/>
        <v>3795000</v>
      </c>
      <c r="G201" s="361"/>
      <c r="H201" s="366"/>
      <c r="J201" s="366"/>
      <c r="L201" s="364"/>
      <c r="M201" s="365"/>
      <c r="N201" s="366"/>
      <c r="O201" s="72"/>
      <c r="P201" s="73"/>
      <c r="Q201" s="73"/>
    </row>
    <row r="202" spans="1:17" s="363" customFormat="1" ht="15" customHeight="1" x14ac:dyDescent="0.2">
      <c r="A202" s="358"/>
      <c r="B202" s="367" t="str">
        <f>'DEFINITIF (APBNP)'!B1025</f>
        <v>Ruas Jalan Sidas - Tanjung Segmen I (termasuk supervisi)</v>
      </c>
      <c r="C202" s="367">
        <f>'DEFINITIF (APBNP)'!C1025</f>
        <v>1</v>
      </c>
      <c r="D202" s="367" t="str">
        <f>'DEFINITIF (APBNP)'!D1025</f>
        <v>PKT</v>
      </c>
      <c r="E202" s="367">
        <f>'DEFINITIF (APBNP)'!E1025</f>
        <v>6000000</v>
      </c>
      <c r="F202" s="360">
        <f t="shared" si="3"/>
        <v>6000000</v>
      </c>
      <c r="G202" s="361"/>
      <c r="H202" s="366"/>
      <c r="J202" s="366"/>
      <c r="L202" s="364"/>
      <c r="M202" s="365"/>
      <c r="N202" s="366"/>
      <c r="O202" s="72"/>
      <c r="P202" s="73"/>
      <c r="Q202" s="73"/>
    </row>
    <row r="203" spans="1:17" s="363" customFormat="1" ht="15" customHeight="1" x14ac:dyDescent="0.2">
      <c r="A203" s="358"/>
      <c r="B203" s="367" t="str">
        <f>'DEFINITIF (APBNP)'!B1026</f>
        <v>Ruas Jalan Sidas - Tanjung Segmen II (termasuk supervisi)</v>
      </c>
      <c r="C203" s="367">
        <f>'DEFINITIF (APBNP)'!C1026</f>
        <v>1</v>
      </c>
      <c r="D203" s="367" t="str">
        <f>'DEFINITIF (APBNP)'!D1026</f>
        <v>PKT</v>
      </c>
      <c r="E203" s="367">
        <f>'DEFINITIF (APBNP)'!E1026</f>
        <v>4187000</v>
      </c>
      <c r="F203" s="360">
        <f t="shared" si="3"/>
        <v>4187000</v>
      </c>
      <c r="G203" s="361"/>
      <c r="H203" s="366"/>
      <c r="J203" s="366"/>
      <c r="L203" s="364"/>
      <c r="M203" s="365"/>
      <c r="N203" s="366"/>
      <c r="O203" s="72"/>
      <c r="P203" s="73"/>
      <c r="Q203" s="73"/>
    </row>
    <row r="204" spans="1:17" s="363" customFormat="1" ht="15" customHeight="1" x14ac:dyDescent="0.2">
      <c r="A204" s="358"/>
      <c r="B204" s="367" t="str">
        <f>'DEFINITIF (APBNP)'!B1027</f>
        <v>Ruas Jalan Sidas - Tanjung Segmen III (termasuk supervisi)</v>
      </c>
      <c r="C204" s="367">
        <f>'DEFINITIF (APBNP)'!C1027</f>
        <v>1</v>
      </c>
      <c r="D204" s="367" t="str">
        <f>'DEFINITIF (APBNP)'!D1027</f>
        <v>PKT</v>
      </c>
      <c r="E204" s="367">
        <f>'DEFINITIF (APBNP)'!E1027</f>
        <v>4000000</v>
      </c>
      <c r="F204" s="360">
        <f t="shared" si="3"/>
        <v>4000000</v>
      </c>
      <c r="G204" s="361"/>
      <c r="H204" s="366"/>
      <c r="J204" s="366"/>
      <c r="L204" s="364"/>
      <c r="M204" s="365"/>
      <c r="N204" s="366"/>
      <c r="O204" s="72"/>
      <c r="P204" s="73"/>
      <c r="Q204" s="73"/>
    </row>
    <row r="205" spans="1:17" s="363" customFormat="1" ht="15" customHeight="1" x14ac:dyDescent="0.2">
      <c r="A205" s="358"/>
      <c r="B205" s="367" t="str">
        <f>'DEFINITIF (APBNP)'!B1028</f>
        <v>Ruas Jalan Pontianak - Tayan Segmen I (termasuk supervisi)</v>
      </c>
      <c r="C205" s="367">
        <f>'DEFINITIF (APBNP)'!C1028</f>
        <v>1</v>
      </c>
      <c r="D205" s="367" t="str">
        <f>'DEFINITIF (APBNP)'!D1028</f>
        <v>PKT</v>
      </c>
      <c r="E205" s="367">
        <f>'DEFINITIF (APBNP)'!E1028</f>
        <v>4000000</v>
      </c>
      <c r="F205" s="360">
        <f t="shared" si="3"/>
        <v>4000000</v>
      </c>
      <c r="G205" s="361"/>
      <c r="H205" s="366"/>
      <c r="J205" s="366"/>
      <c r="L205" s="364"/>
      <c r="M205" s="365"/>
      <c r="N205" s="366"/>
      <c r="O205" s="72"/>
      <c r="P205" s="73"/>
      <c r="Q205" s="73"/>
    </row>
    <row r="206" spans="1:17" s="363" customFormat="1" ht="15" customHeight="1" x14ac:dyDescent="0.2">
      <c r="A206" s="358"/>
      <c r="B206" s="367">
        <f>'DEFINITIF (APBNP)'!B1029</f>
        <v>0</v>
      </c>
      <c r="C206" s="367"/>
      <c r="D206" s="367"/>
      <c r="E206" s="367"/>
      <c r="F206" s="360"/>
      <c r="G206" s="361"/>
      <c r="H206" s="366"/>
      <c r="J206" s="366"/>
      <c r="L206" s="364"/>
      <c r="M206" s="365"/>
      <c r="N206" s="366"/>
      <c r="O206" s="72"/>
      <c r="P206" s="73"/>
      <c r="Q206" s="73"/>
    </row>
    <row r="207" spans="1:17" s="355" customFormat="1" ht="15" customHeight="1" x14ac:dyDescent="0.2">
      <c r="A207" s="349">
        <v>20</v>
      </c>
      <c r="B207" s="350" t="s">
        <v>801</v>
      </c>
      <c r="C207" s="350">
        <f>SUM(C208:C221)</f>
        <v>14</v>
      </c>
      <c r="D207" s="351"/>
      <c r="E207" s="351"/>
      <c r="F207" s="352">
        <f>SUM(F208:F221)</f>
        <v>35000000</v>
      </c>
      <c r="G207" s="353"/>
      <c r="H207" s="354"/>
      <c r="J207" s="354"/>
      <c r="L207" s="356"/>
      <c r="M207" s="357"/>
      <c r="N207" s="354"/>
      <c r="O207" s="387">
        <f>F207</f>
        <v>35000000</v>
      </c>
      <c r="P207" s="216">
        <f>O207-F207</f>
        <v>0</v>
      </c>
      <c r="Q207" s="73"/>
    </row>
    <row r="208" spans="1:17" s="363" customFormat="1" ht="15" customHeight="1" x14ac:dyDescent="0.2">
      <c r="A208" s="358"/>
      <c r="B208" s="367" t="str">
        <f>'DEFINITIF (APBNP)'!B1074</f>
        <v>Kapuas - PulangPisau (termasuk  supervisi)</v>
      </c>
      <c r="C208" s="367">
        <f>'DEFINITIF (APBNP)'!C1074</f>
        <v>1</v>
      </c>
      <c r="D208" s="367" t="str">
        <f>'DEFINITIF (APBNP)'!D1074</f>
        <v>PKT</v>
      </c>
      <c r="E208" s="367">
        <f>'DEFINITIF (APBNP)'!E1074</f>
        <v>2000000</v>
      </c>
      <c r="F208" s="360">
        <f t="shared" si="3"/>
        <v>2000000</v>
      </c>
      <c r="G208" s="361"/>
      <c r="H208" s="362"/>
      <c r="J208" s="362"/>
      <c r="L208" s="364"/>
      <c r="M208" s="365"/>
      <c r="N208" s="362"/>
      <c r="O208" s="72"/>
      <c r="P208" s="73"/>
      <c r="Q208" s="73"/>
    </row>
    <row r="209" spans="1:17" s="363" customFormat="1" ht="15" customHeight="1" x14ac:dyDescent="0.2">
      <c r="A209" s="358"/>
      <c r="B209" s="367" t="str">
        <f>'DEFINITIF (APBNP)'!B1075</f>
        <v>Palangkaraya - Kasongan (termasuk  supervisi)</v>
      </c>
      <c r="C209" s="367">
        <f>'DEFINITIF (APBNP)'!C1075</f>
        <v>1</v>
      </c>
      <c r="D209" s="367" t="str">
        <f>'DEFINITIF (APBNP)'!D1075</f>
        <v>PKT</v>
      </c>
      <c r="E209" s="367">
        <f>'DEFINITIF (APBNP)'!E1075</f>
        <v>3000000</v>
      </c>
      <c r="F209" s="360">
        <f t="shared" si="3"/>
        <v>3000000</v>
      </c>
      <c r="G209" s="361"/>
      <c r="H209" s="362"/>
      <c r="J209" s="362"/>
      <c r="L209" s="364"/>
      <c r="M209" s="365"/>
      <c r="N209" s="362"/>
      <c r="O209" s="72"/>
      <c r="P209" s="73"/>
      <c r="Q209" s="73"/>
    </row>
    <row r="210" spans="1:17" s="363" customFormat="1" ht="15" customHeight="1" x14ac:dyDescent="0.2">
      <c r="A210" s="358"/>
      <c r="B210" s="367" t="str">
        <f>'DEFINITIF (APBNP)'!B1076</f>
        <v>Sampit - Sp Bangkal (termasuk supervisi)</v>
      </c>
      <c r="C210" s="367">
        <f>'DEFINITIF (APBNP)'!C1076</f>
        <v>1</v>
      </c>
      <c r="D210" s="367" t="str">
        <f>'DEFINITIF (APBNP)'!D1076</f>
        <v>PKT</v>
      </c>
      <c r="E210" s="367">
        <f>'DEFINITIF (APBNP)'!E1076</f>
        <v>3000000</v>
      </c>
      <c r="F210" s="360">
        <f t="shared" si="3"/>
        <v>3000000</v>
      </c>
      <c r="G210" s="361"/>
      <c r="H210" s="362"/>
      <c r="J210" s="362"/>
      <c r="L210" s="364"/>
      <c r="M210" s="365"/>
      <c r="N210" s="362"/>
      <c r="O210" s="72"/>
      <c r="P210" s="73"/>
      <c r="Q210" s="73"/>
    </row>
    <row r="211" spans="1:17" s="363" customFormat="1" ht="15" customHeight="1" x14ac:dyDescent="0.2">
      <c r="A211" s="358"/>
      <c r="B211" s="367" t="str">
        <f>'DEFINITIF (APBNP)'!B1077</f>
        <v>Palangkaraya - Pulang Pisau (termasuk supervisi)</v>
      </c>
      <c r="C211" s="367">
        <f>'DEFINITIF (APBNP)'!C1077</f>
        <v>1</v>
      </c>
      <c r="D211" s="367" t="str">
        <f>'DEFINITIF (APBNP)'!D1077</f>
        <v>PKT</v>
      </c>
      <c r="E211" s="367">
        <f>'DEFINITIF (APBNP)'!E1077</f>
        <v>3000000</v>
      </c>
      <c r="F211" s="360">
        <f t="shared" si="3"/>
        <v>3000000</v>
      </c>
      <c r="G211" s="361"/>
      <c r="H211" s="362"/>
      <c r="J211" s="362"/>
      <c r="L211" s="364"/>
      <c r="M211" s="365"/>
      <c r="N211" s="362"/>
      <c r="O211" s="72"/>
      <c r="P211" s="73"/>
      <c r="Q211" s="73"/>
    </row>
    <row r="212" spans="1:17" s="363" customFormat="1" ht="15" customHeight="1" x14ac:dyDescent="0.2">
      <c r="A212" s="358"/>
      <c r="B212" s="367" t="str">
        <f>'DEFINITIF (APBNP)'!B1078</f>
        <v>Pelantaran - Sampit</v>
      </c>
      <c r="C212" s="367">
        <f>'DEFINITIF (APBNP)'!C1078</f>
        <v>1</v>
      </c>
      <c r="D212" s="367" t="str">
        <f>'DEFINITIF (APBNP)'!D1078</f>
        <v>PKT</v>
      </c>
      <c r="E212" s="367">
        <f>'DEFINITIF (APBNP)'!E1078</f>
        <v>2000000</v>
      </c>
      <c r="F212" s="360">
        <f t="shared" si="3"/>
        <v>2000000</v>
      </c>
      <c r="G212" s="361"/>
      <c r="H212" s="362"/>
      <c r="J212" s="362"/>
      <c r="L212" s="364"/>
      <c r="M212" s="365"/>
      <c r="N212" s="362"/>
      <c r="O212" s="72"/>
      <c r="P212" s="73"/>
      <c r="Q212" s="73"/>
    </row>
    <row r="213" spans="1:17" s="363" customFormat="1" ht="25.5" customHeight="1" x14ac:dyDescent="0.2">
      <c r="A213" s="358"/>
      <c r="B213" s="367" t="str">
        <f>'DEFINITIF (APBNP)'!B1079</f>
        <v>Sp Bangkal - Asam Baru</v>
      </c>
      <c r="C213" s="367">
        <f>'DEFINITIF (APBNP)'!C1079</f>
        <v>1</v>
      </c>
      <c r="D213" s="367" t="str">
        <f>'DEFINITIF (APBNP)'!D1079</f>
        <v>PKT</v>
      </c>
      <c r="E213" s="367">
        <f>'DEFINITIF (APBNP)'!E1079</f>
        <v>2000000</v>
      </c>
      <c r="F213" s="360">
        <f t="shared" si="3"/>
        <v>2000000</v>
      </c>
      <c r="G213" s="361"/>
      <c r="H213" s="366"/>
      <c r="J213" s="366"/>
      <c r="L213" s="364"/>
      <c r="M213" s="365"/>
      <c r="N213" s="366"/>
      <c r="O213" s="72"/>
      <c r="P213" s="73"/>
      <c r="Q213" s="73"/>
    </row>
    <row r="214" spans="1:17" s="363" customFormat="1" ht="25.5" customHeight="1" x14ac:dyDescent="0.2">
      <c r="A214" s="358"/>
      <c r="B214" s="367" t="str">
        <f>'DEFINITIF (APBNP)'!B1080</f>
        <v xml:space="preserve">Sp Runtu - Lamandau </v>
      </c>
      <c r="C214" s="367">
        <f>'DEFINITIF (APBNP)'!C1080</f>
        <v>1</v>
      </c>
      <c r="D214" s="367" t="str">
        <f>'DEFINITIF (APBNP)'!D1080</f>
        <v>PKT</v>
      </c>
      <c r="E214" s="367">
        <f>'DEFINITIF (APBNP)'!E1080</f>
        <v>4000000</v>
      </c>
      <c r="F214" s="360">
        <f t="shared" si="3"/>
        <v>4000000</v>
      </c>
      <c r="G214" s="361"/>
      <c r="H214" s="366"/>
      <c r="J214" s="366"/>
      <c r="L214" s="364"/>
      <c r="M214" s="365"/>
      <c r="N214" s="366"/>
      <c r="O214" s="72"/>
      <c r="P214" s="73"/>
      <c r="Q214" s="73"/>
    </row>
    <row r="215" spans="1:17" s="363" customFormat="1" ht="25.5" customHeight="1" x14ac:dyDescent="0.2">
      <c r="A215" s="358"/>
      <c r="B215" s="367" t="str">
        <f>'DEFINITIF (APBNP)'!B1081</f>
        <v xml:space="preserve">Ampah - Muara Teweh </v>
      </c>
      <c r="C215" s="367">
        <f>'DEFINITIF (APBNP)'!C1081</f>
        <v>1</v>
      </c>
      <c r="D215" s="367" t="str">
        <f>'DEFINITIF (APBNP)'!D1081</f>
        <v>PKT</v>
      </c>
      <c r="E215" s="367">
        <f>'DEFINITIF (APBNP)'!E1081</f>
        <v>2000000</v>
      </c>
      <c r="F215" s="360">
        <f t="shared" si="3"/>
        <v>2000000</v>
      </c>
      <c r="G215" s="361"/>
      <c r="H215" s="366"/>
      <c r="J215" s="366"/>
      <c r="L215" s="364"/>
      <c r="M215" s="365"/>
      <c r="N215" s="366"/>
      <c r="O215" s="72"/>
      <c r="P215" s="73"/>
      <c r="Q215" s="73"/>
    </row>
    <row r="216" spans="1:17" s="363" customFormat="1" ht="25.5" customHeight="1" x14ac:dyDescent="0.2">
      <c r="A216" s="358"/>
      <c r="B216" s="367" t="str">
        <f>'DEFINITIF (APBNP)'!B1082</f>
        <v>Muara Teweh - Puruk Cahu</v>
      </c>
      <c r="C216" s="367">
        <f>'DEFINITIF (APBNP)'!C1082</f>
        <v>1</v>
      </c>
      <c r="D216" s="367" t="str">
        <f>'DEFINITIF (APBNP)'!D1082</f>
        <v>PKT</v>
      </c>
      <c r="E216" s="367">
        <f>'DEFINITIF (APBNP)'!E1082</f>
        <v>3000000</v>
      </c>
      <c r="F216" s="360">
        <f t="shared" si="3"/>
        <v>3000000</v>
      </c>
      <c r="G216" s="361"/>
      <c r="H216" s="366"/>
      <c r="J216" s="366"/>
      <c r="L216" s="364"/>
      <c r="M216" s="365"/>
      <c r="N216" s="366"/>
      <c r="O216" s="72"/>
      <c r="P216" s="73"/>
      <c r="Q216" s="73"/>
    </row>
    <row r="217" spans="1:17" s="363" customFormat="1" ht="25.5" customHeight="1" x14ac:dyDescent="0.2">
      <c r="A217" s="358"/>
      <c r="B217" s="367" t="str">
        <f>'DEFINITIF (APBNP)'!B1083</f>
        <v>Lamandau - Bts Kalbar</v>
      </c>
      <c r="C217" s="367">
        <f>'DEFINITIF (APBNP)'!C1083</f>
        <v>1</v>
      </c>
      <c r="D217" s="367" t="str">
        <f>'DEFINITIF (APBNP)'!D1083</f>
        <v>PKT</v>
      </c>
      <c r="E217" s="367">
        <f>'DEFINITIF (APBNP)'!E1083</f>
        <v>3000000</v>
      </c>
      <c r="F217" s="360">
        <f t="shared" si="3"/>
        <v>3000000</v>
      </c>
      <c r="G217" s="361"/>
      <c r="H217" s="366"/>
      <c r="J217" s="366"/>
      <c r="L217" s="364"/>
      <c r="M217" s="365"/>
      <c r="N217" s="366"/>
      <c r="O217" s="72"/>
      <c r="P217" s="73"/>
      <c r="Q217" s="73"/>
    </row>
    <row r="218" spans="1:17" s="363" customFormat="1" ht="25.5" customHeight="1" x14ac:dyDescent="0.2">
      <c r="A218" s="358"/>
      <c r="B218" s="367" t="str">
        <f>'DEFINITIF (APBNP)'!B1084</f>
        <v xml:space="preserve">Sp. Talaken - Tumbang Kalaken </v>
      </c>
      <c r="C218" s="367">
        <f>'DEFINITIF (APBNP)'!C1084</f>
        <v>1</v>
      </c>
      <c r="D218" s="367" t="str">
        <f>'DEFINITIF (APBNP)'!D1084</f>
        <v>PKT</v>
      </c>
      <c r="E218" s="367">
        <f>'DEFINITIF (APBNP)'!E1084</f>
        <v>2000000</v>
      </c>
      <c r="F218" s="360">
        <f t="shared" si="3"/>
        <v>2000000</v>
      </c>
      <c r="G218" s="361"/>
      <c r="H218" s="366"/>
      <c r="J218" s="366"/>
      <c r="L218" s="364"/>
      <c r="M218" s="365"/>
      <c r="N218" s="366"/>
      <c r="O218" s="72"/>
      <c r="P218" s="73"/>
      <c r="Q218" s="73"/>
    </row>
    <row r="219" spans="1:17" s="363" customFormat="1" ht="25.5" customHeight="1" x14ac:dyDescent="0.2">
      <c r="A219" s="358"/>
      <c r="B219" s="367" t="str">
        <f>'DEFINITIF (APBNP)'!B1085</f>
        <v xml:space="preserve">Asam baru - Pk. Bun </v>
      </c>
      <c r="C219" s="367">
        <f>'DEFINITIF (APBNP)'!C1085</f>
        <v>1</v>
      </c>
      <c r="D219" s="367" t="str">
        <f>'DEFINITIF (APBNP)'!D1085</f>
        <v>PKT</v>
      </c>
      <c r="E219" s="367">
        <f>'DEFINITIF (APBNP)'!E1085</f>
        <v>4000000</v>
      </c>
      <c r="F219" s="360">
        <f t="shared" si="3"/>
        <v>4000000</v>
      </c>
      <c r="G219" s="361"/>
      <c r="H219" s="366"/>
      <c r="J219" s="366"/>
      <c r="L219" s="364"/>
      <c r="M219" s="365"/>
      <c r="N219" s="366"/>
      <c r="O219" s="72"/>
      <c r="P219" s="73"/>
      <c r="Q219" s="73"/>
    </row>
    <row r="220" spans="1:17" s="363" customFormat="1" ht="25.5" customHeight="1" x14ac:dyDescent="0.2">
      <c r="A220" s="358"/>
      <c r="B220" s="367" t="str">
        <f>'DEFINITIF (APBNP)'!B1086</f>
        <v>Ampah - Bts Kalsel</v>
      </c>
      <c r="C220" s="367">
        <f>'DEFINITIF (APBNP)'!C1086</f>
        <v>1</v>
      </c>
      <c r="D220" s="367" t="str">
        <f>'DEFINITIF (APBNP)'!D1086</f>
        <v>PKT</v>
      </c>
      <c r="E220" s="367">
        <f>'DEFINITIF (APBNP)'!E1086</f>
        <v>1000000</v>
      </c>
      <c r="F220" s="360">
        <f t="shared" si="3"/>
        <v>1000000</v>
      </c>
      <c r="G220" s="361"/>
      <c r="H220" s="366"/>
      <c r="J220" s="366"/>
      <c r="L220" s="364"/>
      <c r="M220" s="365"/>
      <c r="N220" s="366"/>
      <c r="O220" s="72"/>
      <c r="P220" s="73"/>
      <c r="Q220" s="73"/>
    </row>
    <row r="221" spans="1:17" s="363" customFormat="1" ht="25.5" customHeight="1" x14ac:dyDescent="0.2">
      <c r="A221" s="358"/>
      <c r="B221" s="367" t="str">
        <f>'DEFINITIF (APBNP)'!B1089</f>
        <v>Peningkatan Kinerja Lalu Lintas di kawasan perkotaan (Rambu, Marka, APILL Solar Cell) di Kota Palangka Raya.</v>
      </c>
      <c r="C221" s="367">
        <f>'DEFINITIF (APBNP)'!C1089</f>
        <v>1</v>
      </c>
      <c r="D221" s="367" t="str">
        <f>'DEFINITIF (APBNP)'!D1089</f>
        <v>PKT</v>
      </c>
      <c r="E221" s="367">
        <f>'DEFINITIF (APBNP)'!E1089</f>
        <v>1000000</v>
      </c>
      <c r="F221" s="360">
        <f t="shared" si="3"/>
        <v>1000000</v>
      </c>
      <c r="G221" s="361"/>
      <c r="H221" s="366"/>
      <c r="J221" s="366"/>
      <c r="L221" s="364"/>
      <c r="M221" s="365"/>
      <c r="N221" s="366"/>
      <c r="O221" s="72"/>
      <c r="P221" s="73"/>
      <c r="Q221" s="73"/>
    </row>
    <row r="222" spans="1:17" s="363" customFormat="1" ht="15" customHeight="1" x14ac:dyDescent="0.2">
      <c r="A222" s="358"/>
      <c r="B222" s="367">
        <f>'DEFINITIF (APBNP)'!B1087</f>
        <v>0</v>
      </c>
      <c r="C222" s="367"/>
      <c r="D222" s="367"/>
      <c r="E222" s="367"/>
      <c r="F222" s="360"/>
      <c r="G222" s="361"/>
      <c r="H222" s="366"/>
      <c r="J222" s="366"/>
      <c r="L222" s="364"/>
      <c r="M222" s="365"/>
      <c r="N222" s="366"/>
      <c r="O222" s="72"/>
      <c r="P222" s="73"/>
      <c r="Q222" s="73"/>
    </row>
    <row r="223" spans="1:17" s="355" customFormat="1" ht="15" customHeight="1" x14ac:dyDescent="0.2">
      <c r="A223" s="349">
        <v>21</v>
      </c>
      <c r="B223" s="350" t="s">
        <v>803</v>
      </c>
      <c r="C223" s="350">
        <f>SUM(C224:C228)</f>
        <v>5</v>
      </c>
      <c r="D223" s="351"/>
      <c r="E223" s="351"/>
      <c r="F223" s="352">
        <f>SUM(F224:F230)</f>
        <v>8323030</v>
      </c>
      <c r="G223" s="353"/>
      <c r="H223" s="354"/>
      <c r="J223" s="354"/>
      <c r="L223" s="356"/>
      <c r="M223" s="357"/>
      <c r="N223" s="354"/>
      <c r="O223" s="387">
        <f>F223</f>
        <v>8323030</v>
      </c>
      <c r="P223" s="216">
        <f>O223-F223</f>
        <v>0</v>
      </c>
      <c r="Q223" s="73"/>
    </row>
    <row r="224" spans="1:17" s="363" customFormat="1" ht="15" customHeight="1" x14ac:dyDescent="0.2">
      <c r="A224" s="358"/>
      <c r="B224" s="367" t="str">
        <f>'DEFINITIF (APBNP)'!B1149</f>
        <v>Ruas Jalan SP Handil Bhakti - Marabahan (termasuk supervisi)</v>
      </c>
      <c r="C224" s="367">
        <f>'DEFINITIF (APBNP)'!C1149</f>
        <v>1</v>
      </c>
      <c r="D224" s="367" t="str">
        <f>'DEFINITIF (APBNP)'!D1149</f>
        <v>PKT</v>
      </c>
      <c r="E224" s="367">
        <f>'DEFINITIF (APBNP)'!E1149</f>
        <v>746620</v>
      </c>
      <c r="F224" s="360">
        <f t="shared" si="3"/>
        <v>746620</v>
      </c>
      <c r="G224" s="361"/>
      <c r="H224" s="362"/>
      <c r="J224" s="362"/>
      <c r="L224" s="364"/>
      <c r="M224" s="365"/>
      <c r="N224" s="362"/>
      <c r="O224" s="72"/>
      <c r="P224" s="73"/>
      <c r="Q224" s="73"/>
    </row>
    <row r="225" spans="1:17" s="363" customFormat="1" ht="15" customHeight="1" x14ac:dyDescent="0.2">
      <c r="A225" s="358"/>
      <c r="B225" s="367" t="str">
        <f>'DEFINITIF (APBNP)'!B1150</f>
        <v>Ruas Banjarmasin - Pelaihari (termasuk supervisi)</v>
      </c>
      <c r="C225" s="367">
        <f>'DEFINITIF (APBNP)'!C1150</f>
        <v>1</v>
      </c>
      <c r="D225" s="367" t="str">
        <f>'DEFINITIF (APBNP)'!D1150</f>
        <v>PKT</v>
      </c>
      <c r="E225" s="367">
        <f>'DEFINITIF (APBNP)'!E1150</f>
        <v>1445200</v>
      </c>
      <c r="F225" s="360">
        <f t="shared" si="3"/>
        <v>1445200</v>
      </c>
      <c r="G225" s="361"/>
      <c r="H225" s="362"/>
      <c r="J225" s="362"/>
      <c r="L225" s="364"/>
      <c r="M225" s="365"/>
      <c r="N225" s="362"/>
      <c r="O225" s="72"/>
      <c r="P225" s="73"/>
      <c r="Q225" s="73"/>
    </row>
    <row r="226" spans="1:17" s="363" customFormat="1" ht="15" customHeight="1" x14ac:dyDescent="0.2">
      <c r="A226" s="358"/>
      <c r="B226" s="367" t="str">
        <f>'DEFINITIF (APBNP)'!B1151</f>
        <v>Ruas Jalan Pelaihari - Batu Licin (termasuk supervisi)</v>
      </c>
      <c r="C226" s="367">
        <f>'DEFINITIF (APBNP)'!C1151</f>
        <v>1</v>
      </c>
      <c r="D226" s="367" t="str">
        <f>'DEFINITIF (APBNP)'!D1151</f>
        <v>PKT</v>
      </c>
      <c r="E226" s="367">
        <f>'DEFINITIF (APBNP)'!E1151</f>
        <v>1748640</v>
      </c>
      <c r="F226" s="360">
        <f t="shared" si="3"/>
        <v>1748640</v>
      </c>
      <c r="G226" s="361"/>
      <c r="H226" s="362"/>
      <c r="J226" s="362"/>
      <c r="L226" s="364"/>
      <c r="M226" s="365"/>
      <c r="N226" s="362"/>
      <c r="O226" s="72"/>
      <c r="P226" s="73"/>
      <c r="Q226" s="73"/>
    </row>
    <row r="227" spans="1:17" s="363" customFormat="1" ht="15" customHeight="1" x14ac:dyDescent="0.2">
      <c r="A227" s="358"/>
      <c r="B227" s="367" t="str">
        <f>'DEFINITIF (APBNP)'!B1152</f>
        <v>Ruas Jalan Batu Licin - Bts Kaltim (Tanah Grogot) (termasuk supervisi)</v>
      </c>
      <c r="C227" s="367">
        <f>'DEFINITIF (APBNP)'!C1152</f>
        <v>1</v>
      </c>
      <c r="D227" s="367" t="str">
        <f>'DEFINITIF (APBNP)'!D1152</f>
        <v>PKT</v>
      </c>
      <c r="E227" s="367">
        <f>'DEFINITIF (APBNP)'!E1152</f>
        <v>2462570</v>
      </c>
      <c r="F227" s="360">
        <f t="shared" si="3"/>
        <v>2462570</v>
      </c>
      <c r="G227" s="361"/>
      <c r="H227" s="362"/>
      <c r="J227" s="362"/>
      <c r="L227" s="364"/>
      <c r="M227" s="365"/>
      <c r="N227" s="362"/>
      <c r="O227" s="72"/>
      <c r="P227" s="73"/>
      <c r="Q227" s="73"/>
    </row>
    <row r="228" spans="1:17" s="363" customFormat="1" ht="15" customHeight="1" x14ac:dyDescent="0.2">
      <c r="A228" s="358"/>
      <c r="B228" s="367" t="str">
        <f>'DEFINITIF (APBNP)'!B1153</f>
        <v>Ruas Liang Anggeng - Rantau (termasuk supervisi)</v>
      </c>
      <c r="C228" s="367">
        <f>'DEFINITIF (APBNP)'!C1153</f>
        <v>1</v>
      </c>
      <c r="D228" s="367" t="str">
        <f>'DEFINITIF (APBNP)'!D1153</f>
        <v>PKT</v>
      </c>
      <c r="E228" s="367">
        <f>'DEFINITIF (APBNP)'!E1153</f>
        <v>1170000</v>
      </c>
      <c r="F228" s="360">
        <f t="shared" si="3"/>
        <v>1170000</v>
      </c>
      <c r="G228" s="361"/>
      <c r="H228" s="362"/>
      <c r="J228" s="362"/>
      <c r="L228" s="364"/>
      <c r="M228" s="365"/>
      <c r="N228" s="362"/>
      <c r="O228" s="72"/>
      <c r="P228" s="73"/>
      <c r="Q228" s="73"/>
    </row>
    <row r="229" spans="1:17" s="363" customFormat="1" ht="15" customHeight="1" x14ac:dyDescent="0.2">
      <c r="A229" s="358"/>
      <c r="B229" s="367" t="str">
        <f>'DEFINITIF (APBNP)'!B1155</f>
        <v>PENINGKATAN KINERJA JALAN NASIONAL PERKOTAAN</v>
      </c>
      <c r="C229" s="367"/>
      <c r="D229" s="367"/>
      <c r="E229" s="367"/>
      <c r="F229" s="360"/>
      <c r="G229" s="361"/>
      <c r="H229" s="362"/>
      <c r="J229" s="362"/>
      <c r="L229" s="364"/>
      <c r="M229" s="365"/>
      <c r="N229" s="362"/>
      <c r="O229" s="72"/>
      <c r="P229" s="73"/>
      <c r="Q229" s="73"/>
    </row>
    <row r="230" spans="1:17" s="363" customFormat="1" ht="15" customHeight="1" x14ac:dyDescent="0.2">
      <c r="A230" s="358"/>
      <c r="B230" s="367" t="str">
        <f>'DEFINITIF (APBNP)'!B1156</f>
        <v>Jalan Nasional Perkotaan (KTLA Tabalong)</v>
      </c>
      <c r="C230" s="367">
        <f>'DEFINITIF (APBNP)'!C1156</f>
        <v>1</v>
      </c>
      <c r="D230" s="367" t="str">
        <f>'DEFINITIF (APBNP)'!D1156</f>
        <v>PKT</v>
      </c>
      <c r="E230" s="367">
        <f>'DEFINITIF (APBNP)'!E1156</f>
        <v>750000</v>
      </c>
      <c r="F230" s="360">
        <f t="shared" si="3"/>
        <v>750000</v>
      </c>
      <c r="G230" s="361"/>
      <c r="H230" s="362"/>
      <c r="J230" s="362"/>
      <c r="L230" s="364"/>
      <c r="M230" s="365"/>
      <c r="N230" s="362"/>
      <c r="O230" s="72"/>
      <c r="P230" s="73"/>
      <c r="Q230" s="73"/>
    </row>
    <row r="231" spans="1:17" s="363" customFormat="1" ht="15" customHeight="1" x14ac:dyDescent="0.2">
      <c r="A231" s="358"/>
      <c r="B231" s="367">
        <f>'DEFINITIF (APBNP)'!B1157</f>
        <v>0</v>
      </c>
      <c r="C231" s="367"/>
      <c r="D231" s="367"/>
      <c r="E231" s="367"/>
      <c r="F231" s="360"/>
      <c r="G231" s="361"/>
      <c r="H231" s="362"/>
      <c r="J231" s="362"/>
      <c r="L231" s="364"/>
      <c r="M231" s="365"/>
      <c r="N231" s="362"/>
      <c r="O231" s="72"/>
      <c r="P231" s="73"/>
      <c r="Q231" s="73"/>
    </row>
    <row r="232" spans="1:17" s="355" customFormat="1" ht="15" customHeight="1" x14ac:dyDescent="0.2">
      <c r="A232" s="349">
        <v>22</v>
      </c>
      <c r="B232" s="350" t="s">
        <v>845</v>
      </c>
      <c r="C232" s="350">
        <f>SUM(C233:C241)</f>
        <v>8</v>
      </c>
      <c r="D232" s="351"/>
      <c r="E232" s="351"/>
      <c r="F232" s="352">
        <f>SUM(F233:F241)</f>
        <v>31000000</v>
      </c>
      <c r="G232" s="353"/>
      <c r="H232" s="354"/>
      <c r="J232" s="354"/>
      <c r="L232" s="356"/>
      <c r="M232" s="357"/>
      <c r="N232" s="354"/>
      <c r="O232" s="387">
        <f>F232</f>
        <v>31000000</v>
      </c>
      <c r="P232" s="216">
        <f>O232-F232</f>
        <v>0</v>
      </c>
      <c r="Q232" s="73"/>
    </row>
    <row r="233" spans="1:17" s="363" customFormat="1" ht="15" customHeight="1" x14ac:dyDescent="0.2">
      <c r="A233" s="358"/>
      <c r="B233" s="367" t="str">
        <f>'DEFINITIF (APBNP)'!B1208</f>
        <v>Ruas Jalan Samboja - Loa Janan (Tahap 3) (termasuk supervisi)</v>
      </c>
      <c r="C233" s="367">
        <f>'DEFINITIF (APBNP)'!C1208</f>
        <v>1</v>
      </c>
      <c r="D233" s="367" t="str">
        <f>'DEFINITIF (APBNP)'!D1208</f>
        <v>PKT</v>
      </c>
      <c r="E233" s="367">
        <f>'DEFINITIF (APBNP)'!E1208</f>
        <v>4000000</v>
      </c>
      <c r="F233" s="360">
        <f t="shared" ref="F233:F309" si="4">C233*E233</f>
        <v>4000000</v>
      </c>
      <c r="G233" s="361"/>
      <c r="H233" s="362"/>
      <c r="J233" s="362"/>
      <c r="L233" s="364"/>
      <c r="M233" s="365"/>
      <c r="N233" s="362"/>
      <c r="O233" s="72"/>
      <c r="P233" s="73"/>
      <c r="Q233" s="73"/>
    </row>
    <row r="234" spans="1:17" s="363" customFormat="1" ht="15" customHeight="1" x14ac:dyDescent="0.2">
      <c r="A234" s="358"/>
      <c r="B234" s="367" t="str">
        <f>'DEFINITIF (APBNP)'!B1209</f>
        <v>Ruas Jalan Loa Janan - Tenggarong (Tahap 2) (termasuk supervisi)</v>
      </c>
      <c r="C234" s="367">
        <f>'DEFINITIF (APBNP)'!C1209</f>
        <v>1</v>
      </c>
      <c r="D234" s="367" t="str">
        <f>'DEFINITIF (APBNP)'!D1209</f>
        <v>PKT</v>
      </c>
      <c r="E234" s="367">
        <f>'DEFINITIF (APBNP)'!E1209</f>
        <v>3000000</v>
      </c>
      <c r="F234" s="360">
        <f t="shared" si="4"/>
        <v>3000000</v>
      </c>
      <c r="G234" s="361"/>
      <c r="H234" s="362"/>
      <c r="J234" s="362"/>
      <c r="L234" s="364"/>
      <c r="M234" s="365"/>
      <c r="N234" s="362"/>
      <c r="O234" s="72"/>
      <c r="P234" s="73"/>
      <c r="Q234" s="73"/>
    </row>
    <row r="235" spans="1:17" s="363" customFormat="1" ht="15" customHeight="1" x14ac:dyDescent="0.2">
      <c r="A235" s="358"/>
      <c r="B235" s="367" t="str">
        <f>'DEFINITIF (APBNP)'!B1210</f>
        <v>Ruas Jalan Tenggarong - Kota Bangun (Tahap 1) (termasuk supervisi)</v>
      </c>
      <c r="C235" s="367">
        <f>'DEFINITIF (APBNP)'!C1210</f>
        <v>1</v>
      </c>
      <c r="D235" s="367" t="str">
        <f>'DEFINITIF (APBNP)'!D1210</f>
        <v>PKT</v>
      </c>
      <c r="E235" s="367">
        <f>'DEFINITIF (APBNP)'!E1210</f>
        <v>4000000</v>
      </c>
      <c r="F235" s="360">
        <f t="shared" si="4"/>
        <v>4000000</v>
      </c>
      <c r="G235" s="361"/>
      <c r="H235" s="362"/>
      <c r="J235" s="362"/>
      <c r="L235" s="364"/>
      <c r="M235" s="365"/>
      <c r="N235" s="362"/>
      <c r="O235" s="72"/>
      <c r="P235" s="73"/>
      <c r="Q235" s="73"/>
    </row>
    <row r="236" spans="1:17" s="363" customFormat="1" ht="15" customHeight="1" x14ac:dyDescent="0.2">
      <c r="A236" s="358"/>
      <c r="B236" s="367" t="str">
        <f>'DEFINITIF (APBNP)'!B1211</f>
        <v>Ruas Jalan Soekarno Hatta Bpp - KM 38 Samboja (Tahap 2) (termasuk supervisi)</v>
      </c>
      <c r="C236" s="367">
        <f>'DEFINITIF (APBNP)'!C1211</f>
        <v>1</v>
      </c>
      <c r="D236" s="367" t="str">
        <f>'DEFINITIF (APBNP)'!D1211</f>
        <v>PKT</v>
      </c>
      <c r="E236" s="367">
        <f>'DEFINITIF (APBNP)'!E1211</f>
        <v>4000000</v>
      </c>
      <c r="F236" s="360">
        <f t="shared" si="4"/>
        <v>4000000</v>
      </c>
      <c r="G236" s="361"/>
      <c r="H236" s="362"/>
      <c r="J236" s="362"/>
      <c r="L236" s="364"/>
      <c r="M236" s="365"/>
      <c r="N236" s="362"/>
      <c r="O236" s="72"/>
      <c r="P236" s="73"/>
      <c r="Q236" s="73"/>
    </row>
    <row r="237" spans="1:17" s="363" customFormat="1" ht="15" customHeight="1" x14ac:dyDescent="0.2">
      <c r="A237" s="358"/>
      <c r="B237" s="367" t="str">
        <f>'DEFINITIF (APBNP)'!B1212</f>
        <v>Ruas Jalan Syarifuddin Yoes Balikpapan (Tahap 2) (termasuk supervisi)</v>
      </c>
      <c r="C237" s="367">
        <f>'DEFINITIF (APBNP)'!C1212</f>
        <v>1</v>
      </c>
      <c r="D237" s="367" t="str">
        <f>'DEFINITIF (APBNP)'!D1212</f>
        <v>PKT</v>
      </c>
      <c r="E237" s="367">
        <f>'DEFINITIF (APBNP)'!E1212</f>
        <v>4000000</v>
      </c>
      <c r="F237" s="360">
        <f t="shared" si="4"/>
        <v>4000000</v>
      </c>
      <c r="G237" s="361"/>
      <c r="H237" s="362"/>
      <c r="J237" s="362"/>
      <c r="L237" s="364"/>
      <c r="M237" s="365"/>
      <c r="N237" s="362"/>
      <c r="O237" s="72"/>
      <c r="P237" s="73"/>
      <c r="Q237" s="73"/>
    </row>
    <row r="238" spans="1:17" s="363" customFormat="1" ht="15" customHeight="1" x14ac:dyDescent="0.2">
      <c r="A238" s="358"/>
      <c r="B238" s="367" t="str">
        <f>'DEFINITIF (APBNP)'!B1213</f>
        <v>Ruas Jalan Samarinda - Bontang (Tahap 3) (termasuk supervisi)</v>
      </c>
      <c r="C238" s="367">
        <f>'DEFINITIF (APBNP)'!C1213</f>
        <v>1</v>
      </c>
      <c r="D238" s="367" t="str">
        <f>'DEFINITIF (APBNP)'!D1213</f>
        <v>PKT</v>
      </c>
      <c r="E238" s="367">
        <f>'DEFINITIF (APBNP)'!E1213</f>
        <v>4000000</v>
      </c>
      <c r="F238" s="360">
        <f t="shared" si="4"/>
        <v>4000000</v>
      </c>
      <c r="G238" s="361"/>
      <c r="H238" s="362"/>
      <c r="J238" s="362"/>
      <c r="L238" s="364"/>
      <c r="M238" s="365"/>
      <c r="N238" s="362"/>
      <c r="O238" s="72"/>
      <c r="P238" s="73"/>
      <c r="Q238" s="73"/>
    </row>
    <row r="239" spans="1:17" s="363" customFormat="1" ht="15" customHeight="1" x14ac:dyDescent="0.2">
      <c r="A239" s="358"/>
      <c r="B239" s="367" t="str">
        <f>'DEFINITIF (APBNP)'!B1214</f>
        <v>Ruas Jalan Kuaro - Penajam (Tahap 2) (termasuk supervisi)</v>
      </c>
      <c r="C239" s="367">
        <f>'DEFINITIF (APBNP)'!C1214</f>
        <v>1</v>
      </c>
      <c r="D239" s="367" t="str">
        <f>'DEFINITIF (APBNP)'!D1214</f>
        <v>PKT</v>
      </c>
      <c r="E239" s="367">
        <f>'DEFINITIF (APBNP)'!E1214</f>
        <v>4000000</v>
      </c>
      <c r="F239" s="360">
        <f t="shared" si="4"/>
        <v>4000000</v>
      </c>
      <c r="G239" s="361"/>
      <c r="H239" s="362"/>
      <c r="J239" s="362"/>
      <c r="L239" s="364"/>
      <c r="M239" s="365"/>
      <c r="N239" s="362"/>
      <c r="O239" s="72"/>
      <c r="P239" s="73"/>
      <c r="Q239" s="73"/>
    </row>
    <row r="240" spans="1:17" s="363" customFormat="1" ht="15" customHeight="1" x14ac:dyDescent="0.2">
      <c r="A240" s="358"/>
      <c r="B240" s="367" t="str">
        <f>'DEFINITIF (APBNP)'!B1216</f>
        <v>Ruas Jalan Bontang - Sangatta (Tahap 2) (termasuk supervisi)</v>
      </c>
      <c r="C240" s="367">
        <f>'DEFINITIF (APBNP)'!C1216</f>
        <v>1</v>
      </c>
      <c r="D240" s="367" t="str">
        <f>'DEFINITIF (APBNP)'!D1216</f>
        <v>PKT</v>
      </c>
      <c r="E240" s="367">
        <f>'DEFINITIF (APBNP)'!E1216</f>
        <v>4000000</v>
      </c>
      <c r="F240" s="360">
        <f t="shared" si="4"/>
        <v>4000000</v>
      </c>
      <c r="G240" s="361"/>
      <c r="H240" s="362"/>
      <c r="J240" s="362"/>
      <c r="L240" s="364"/>
      <c r="M240" s="365"/>
      <c r="N240" s="362"/>
      <c r="O240" s="72"/>
      <c r="P240" s="73"/>
      <c r="Q240" s="73"/>
    </row>
    <row r="241" spans="1:17" s="363" customFormat="1" ht="15" customHeight="1" x14ac:dyDescent="0.2">
      <c r="A241" s="358"/>
      <c r="B241" s="367">
        <f>'DEFINITIF (APBNP)'!B1217</f>
        <v>0</v>
      </c>
      <c r="C241" s="367"/>
      <c r="D241" s="367"/>
      <c r="E241" s="367"/>
      <c r="F241" s="360">
        <f t="shared" si="4"/>
        <v>0</v>
      </c>
      <c r="G241" s="361"/>
      <c r="H241" s="362"/>
      <c r="J241" s="362"/>
      <c r="L241" s="364"/>
      <c r="M241" s="365"/>
      <c r="N241" s="362"/>
      <c r="O241" s="72"/>
      <c r="P241" s="73"/>
      <c r="Q241" s="73"/>
    </row>
    <row r="242" spans="1:17" s="355" customFormat="1" ht="15" customHeight="1" x14ac:dyDescent="0.2">
      <c r="A242" s="349">
        <v>23</v>
      </c>
      <c r="B242" s="350" t="s">
        <v>848</v>
      </c>
      <c r="C242" s="350">
        <f>SUM(C243:C246)</f>
        <v>2</v>
      </c>
      <c r="D242" s="351"/>
      <c r="E242" s="351"/>
      <c r="F242" s="352">
        <f>SUM(F243:F246)</f>
        <v>2000000</v>
      </c>
      <c r="G242" s="353"/>
      <c r="H242" s="354"/>
      <c r="J242" s="354"/>
      <c r="L242" s="356"/>
      <c r="M242" s="357"/>
      <c r="N242" s="354"/>
      <c r="O242" s="387">
        <f>F242</f>
        <v>2000000</v>
      </c>
      <c r="P242" s="216">
        <f>O242-F242</f>
        <v>0</v>
      </c>
      <c r="Q242" s="73"/>
    </row>
    <row r="243" spans="1:17" s="363" customFormat="1" ht="15" customHeight="1" x14ac:dyDescent="0.2">
      <c r="A243" s="358"/>
      <c r="B243" s="367" t="str">
        <f>'DEFINITIF (APBNP)'!B1270</f>
        <v>Batas Bulungan - Tanjung Selor</v>
      </c>
      <c r="C243" s="367">
        <f>'DEFINITIF (APBNP)'!C1270</f>
        <v>1</v>
      </c>
      <c r="D243" s="367" t="str">
        <f>'DEFINITIF (APBNP)'!D1270</f>
        <v>Pkt</v>
      </c>
      <c r="E243" s="367">
        <f>'DEFINITIF (APBNP)'!E1270</f>
        <v>1000000</v>
      </c>
      <c r="F243" s="360">
        <f t="shared" si="4"/>
        <v>1000000</v>
      </c>
      <c r="G243" s="361"/>
      <c r="H243" s="366"/>
      <c r="J243" s="366"/>
      <c r="L243" s="364"/>
      <c r="M243" s="365"/>
      <c r="N243" s="366"/>
      <c r="O243" s="72"/>
      <c r="P243" s="73"/>
      <c r="Q243" s="73"/>
    </row>
    <row r="244" spans="1:17" s="363" customFormat="1" ht="15" customHeight="1" x14ac:dyDescent="0.2">
      <c r="A244" s="358"/>
      <c r="B244" s="367" t="str">
        <f>'DEFINITIF (APBNP)'!B1271</f>
        <v>Dalam Kota - Tanjung Selor</v>
      </c>
      <c r="C244" s="367">
        <f>'DEFINITIF (APBNP)'!C1271</f>
        <v>1</v>
      </c>
      <c r="D244" s="367" t="str">
        <f>'DEFINITIF (APBNP)'!D1271</f>
        <v>Pkt</v>
      </c>
      <c r="E244" s="367">
        <f>'DEFINITIF (APBNP)'!E1271</f>
        <v>1000000</v>
      </c>
      <c r="F244" s="360">
        <f t="shared" si="4"/>
        <v>1000000</v>
      </c>
      <c r="G244" s="361"/>
      <c r="H244" s="366"/>
      <c r="J244" s="366"/>
      <c r="L244" s="364"/>
      <c r="M244" s="365"/>
      <c r="N244" s="366"/>
      <c r="O244" s="72"/>
      <c r="P244" s="73"/>
      <c r="Q244" s="73"/>
    </row>
    <row r="245" spans="1:17" s="363" customFormat="1" ht="15" customHeight="1" x14ac:dyDescent="0.2">
      <c r="A245" s="358"/>
      <c r="B245" s="367" t="str">
        <f>'DEFINITIF (APBNP)'!B1272</f>
        <v>Simpang Tiga Tanjung Palas - Sekatak Buji</v>
      </c>
      <c r="C245" s="367">
        <f>'DEFINITIF (APBNP)'!C1272</f>
        <v>0</v>
      </c>
      <c r="D245" s="367" t="str">
        <f>'DEFINITIF (APBNP)'!D1272</f>
        <v>Pkt</v>
      </c>
      <c r="E245" s="367">
        <f>'DEFINITIF (APBNP)'!E1272</f>
        <v>1000000</v>
      </c>
      <c r="F245" s="360">
        <f t="shared" si="4"/>
        <v>0</v>
      </c>
      <c r="G245" s="361"/>
      <c r="H245" s="366"/>
      <c r="J245" s="366"/>
      <c r="L245" s="364"/>
      <c r="M245" s="365"/>
      <c r="N245" s="366"/>
      <c r="O245" s="72"/>
      <c r="P245" s="73"/>
      <c r="Q245" s="73"/>
    </row>
    <row r="246" spans="1:17" s="363" customFormat="1" ht="15" customHeight="1" x14ac:dyDescent="0.2">
      <c r="A246" s="358"/>
      <c r="B246" s="367" t="str">
        <f>'DEFINITIF (APBNP)'!B1273</f>
        <v>Sekatak Buji - Malinau</v>
      </c>
      <c r="C246" s="367">
        <f>'DEFINITIF (APBNP)'!C1273</f>
        <v>0</v>
      </c>
      <c r="D246" s="367" t="str">
        <f>'DEFINITIF (APBNP)'!D1273</f>
        <v>Pkt</v>
      </c>
      <c r="E246" s="367">
        <f>'DEFINITIF (APBNP)'!E1273</f>
        <v>1000000</v>
      </c>
      <c r="F246" s="360">
        <f t="shared" si="4"/>
        <v>0</v>
      </c>
      <c r="G246" s="361"/>
      <c r="H246" s="366"/>
      <c r="J246" s="366"/>
      <c r="L246" s="364"/>
      <c r="M246" s="365"/>
      <c r="N246" s="366"/>
      <c r="O246" s="72"/>
      <c r="P246" s="73"/>
      <c r="Q246" s="73"/>
    </row>
    <row r="247" spans="1:17" s="363" customFormat="1" ht="15" customHeight="1" x14ac:dyDescent="0.2">
      <c r="A247" s="358"/>
      <c r="B247" s="367">
        <f>'DEFINITIF (APBNP)'!B1274</f>
        <v>0</v>
      </c>
      <c r="C247" s="367"/>
      <c r="D247" s="367"/>
      <c r="E247" s="367"/>
      <c r="F247" s="360"/>
      <c r="G247" s="361"/>
      <c r="H247" s="366"/>
      <c r="J247" s="366"/>
      <c r="L247" s="364"/>
      <c r="M247" s="365"/>
      <c r="N247" s="366"/>
      <c r="O247" s="72"/>
      <c r="P247" s="73"/>
      <c r="Q247" s="73"/>
    </row>
    <row r="248" spans="1:17" s="355" customFormat="1" ht="15" customHeight="1" x14ac:dyDescent="0.2">
      <c r="A248" s="349">
        <v>24</v>
      </c>
      <c r="B248" s="350" t="s">
        <v>807</v>
      </c>
      <c r="C248" s="350">
        <f>SUM(C249:C252)</f>
        <v>3</v>
      </c>
      <c r="D248" s="351"/>
      <c r="E248" s="351"/>
      <c r="F248" s="352">
        <f>SUM(F249:F252)</f>
        <v>8000000</v>
      </c>
      <c r="G248" s="353"/>
      <c r="H248" s="354"/>
      <c r="J248" s="354"/>
      <c r="L248" s="356"/>
      <c r="M248" s="357"/>
      <c r="N248" s="354"/>
      <c r="O248" s="387">
        <f>F248</f>
        <v>8000000</v>
      </c>
      <c r="P248" s="216">
        <f>O248-F248</f>
        <v>0</v>
      </c>
      <c r="Q248" s="73"/>
    </row>
    <row r="249" spans="1:17" s="363" customFormat="1" ht="15" customHeight="1" x14ac:dyDescent="0.2">
      <c r="A249" s="358"/>
      <c r="B249" s="359" t="str">
        <f>'DEFINITIF (APBNP)'!B1321</f>
        <v>RUAS JALAN  KOTA MAKASSAR (termasuk supervisi)</v>
      </c>
      <c r="C249" s="359">
        <f>'DEFINITIF (APBNP)'!C1321</f>
        <v>1</v>
      </c>
      <c r="D249" s="359" t="str">
        <f>'DEFINITIF (APBNP)'!D1321</f>
        <v>PKT</v>
      </c>
      <c r="E249" s="359">
        <f>'DEFINITIF (APBNP)'!E1321</f>
        <v>2000000</v>
      </c>
      <c r="F249" s="360">
        <f t="shared" si="4"/>
        <v>2000000</v>
      </c>
      <c r="G249" s="361"/>
      <c r="H249" s="362"/>
      <c r="J249" s="362"/>
      <c r="L249" s="364"/>
      <c r="M249" s="365"/>
      <c r="N249" s="362"/>
      <c r="O249" s="72"/>
      <c r="P249" s="73"/>
      <c r="Q249" s="73"/>
    </row>
    <row r="250" spans="1:17" s="363" customFormat="1" ht="15" customHeight="1" x14ac:dyDescent="0.2">
      <c r="A250" s="358"/>
      <c r="B250" s="359" t="str">
        <f>'DEFINITIF (APBNP)'!B1322</f>
        <v>RUAS JALAN  BATAS KOTA SUNGGUMINASA - BATAS KOTA TAKALAR (termasuk supervisi)</v>
      </c>
      <c r="C250" s="359">
        <f>'DEFINITIF (APBNP)'!C1322</f>
        <v>1</v>
      </c>
      <c r="D250" s="359" t="str">
        <f>'DEFINITIF (APBNP)'!D1322</f>
        <v>PKT</v>
      </c>
      <c r="E250" s="359">
        <f>'DEFINITIF (APBNP)'!E1322</f>
        <v>3000000</v>
      </c>
      <c r="F250" s="360">
        <f t="shared" si="4"/>
        <v>3000000</v>
      </c>
      <c r="G250" s="361"/>
      <c r="H250" s="362"/>
      <c r="J250" s="362"/>
      <c r="L250" s="364"/>
      <c r="M250" s="365"/>
      <c r="N250" s="362"/>
      <c r="O250" s="72"/>
      <c r="P250" s="73"/>
      <c r="Q250" s="73"/>
    </row>
    <row r="251" spans="1:17" s="363" customFormat="1" ht="15" customHeight="1" x14ac:dyDescent="0.2">
      <c r="A251" s="358"/>
      <c r="B251" s="359" t="str">
        <f>'DEFINITIF (APBNP)'!B1323</f>
        <v>RUAS JALAN BATAS KOTA TAKALAR - BATAS KOTA JENEPONTO (termasuk supervisi)</v>
      </c>
      <c r="C251" s="359">
        <f>'DEFINITIF (APBNP)'!C1323</f>
        <v>1</v>
      </c>
      <c r="D251" s="359" t="str">
        <f>'DEFINITIF (APBNP)'!D1323</f>
        <v>PKT</v>
      </c>
      <c r="E251" s="359">
        <f>'DEFINITIF (APBNP)'!E1323</f>
        <v>3000000</v>
      </c>
      <c r="F251" s="360">
        <f t="shared" si="4"/>
        <v>3000000</v>
      </c>
      <c r="G251" s="361"/>
      <c r="H251" s="362"/>
      <c r="J251" s="362"/>
      <c r="L251" s="364"/>
      <c r="M251" s="365"/>
      <c r="N251" s="362"/>
      <c r="O251" s="72"/>
      <c r="P251" s="73"/>
      <c r="Q251" s="73"/>
    </row>
    <row r="252" spans="1:17" s="363" customFormat="1" ht="15" customHeight="1" x14ac:dyDescent="0.2">
      <c r="A252" s="358"/>
      <c r="B252" s="359"/>
      <c r="C252" s="359"/>
      <c r="D252" s="359"/>
      <c r="E252" s="359"/>
      <c r="F252" s="360"/>
      <c r="G252" s="361"/>
      <c r="H252" s="362"/>
      <c r="J252" s="362"/>
      <c r="L252" s="364"/>
      <c r="M252" s="365"/>
      <c r="N252" s="362"/>
      <c r="O252" s="72"/>
      <c r="P252" s="73"/>
      <c r="Q252" s="73"/>
    </row>
    <row r="253" spans="1:17" s="363" customFormat="1" ht="15" customHeight="1" x14ac:dyDescent="0.2">
      <c r="A253" s="358"/>
      <c r="B253" s="359"/>
      <c r="C253" s="359"/>
      <c r="D253" s="359"/>
      <c r="E253" s="359"/>
      <c r="F253" s="360"/>
      <c r="G253" s="361"/>
      <c r="H253" s="362"/>
      <c r="J253" s="362"/>
      <c r="L253" s="364"/>
      <c r="M253" s="365"/>
      <c r="N253" s="362"/>
      <c r="O253" s="72"/>
      <c r="P253" s="73"/>
      <c r="Q253" s="73"/>
    </row>
    <row r="254" spans="1:17" s="355" customFormat="1" ht="15" customHeight="1" x14ac:dyDescent="0.2">
      <c r="A254" s="349">
        <v>25</v>
      </c>
      <c r="B254" s="350" t="s">
        <v>809</v>
      </c>
      <c r="C254" s="350">
        <f>SUM(C255:C266)</f>
        <v>11</v>
      </c>
      <c r="D254" s="351"/>
      <c r="E254" s="351"/>
      <c r="F254" s="352">
        <f>SUM(F255:F266)</f>
        <v>48000000</v>
      </c>
      <c r="G254" s="353"/>
      <c r="H254" s="354"/>
      <c r="J254" s="354"/>
      <c r="L254" s="356"/>
      <c r="M254" s="357"/>
      <c r="N254" s="354"/>
      <c r="O254" s="387">
        <f>F254</f>
        <v>48000000</v>
      </c>
      <c r="P254" s="216">
        <f>O254-F254</f>
        <v>0</v>
      </c>
      <c r="Q254" s="73"/>
    </row>
    <row r="255" spans="1:17" s="363" customFormat="1" ht="15" customHeight="1" x14ac:dyDescent="0.2">
      <c r="A255" s="358"/>
      <c r="B255" s="367" t="str">
        <f>'DEFINITIF (APBNP)'!B1372</f>
        <v xml:space="preserve">PASANGKAYU - BARAS </v>
      </c>
      <c r="C255" s="367">
        <f>'DEFINITIF (APBNP)'!C1372</f>
        <v>1</v>
      </c>
      <c r="D255" s="367" t="str">
        <f>'DEFINITIF (APBNP)'!D1372</f>
        <v>PKT</v>
      </c>
      <c r="E255" s="367">
        <f>'DEFINITIF (APBNP)'!E1372</f>
        <v>4000000</v>
      </c>
      <c r="F255" s="360">
        <f t="shared" si="4"/>
        <v>4000000</v>
      </c>
      <c r="G255" s="361"/>
      <c r="H255" s="362"/>
      <c r="J255" s="362"/>
      <c r="L255" s="364"/>
      <c r="M255" s="365"/>
      <c r="N255" s="362"/>
      <c r="O255" s="72"/>
      <c r="P255" s="73"/>
      <c r="Q255" s="73"/>
    </row>
    <row r="256" spans="1:17" s="363" customFormat="1" ht="15" customHeight="1" x14ac:dyDescent="0.2">
      <c r="A256" s="358"/>
      <c r="B256" s="367" t="str">
        <f>'DEFINITIF (APBNP)'!B1373</f>
        <v>BARAS - KAROSSA</v>
      </c>
      <c r="C256" s="367">
        <f>'DEFINITIF (APBNP)'!C1373</f>
        <v>1</v>
      </c>
      <c r="D256" s="367" t="str">
        <f>'DEFINITIF (APBNP)'!D1373</f>
        <v>PKT</v>
      </c>
      <c r="E256" s="367">
        <f>'DEFINITIF (APBNP)'!E1373</f>
        <v>4000000</v>
      </c>
      <c r="F256" s="360">
        <f t="shared" si="4"/>
        <v>4000000</v>
      </c>
      <c r="G256" s="361"/>
      <c r="H256" s="362"/>
      <c r="J256" s="362"/>
      <c r="L256" s="364"/>
      <c r="M256" s="365"/>
      <c r="N256" s="362"/>
      <c r="O256" s="72"/>
      <c r="P256" s="73"/>
      <c r="Q256" s="73"/>
    </row>
    <row r="257" spans="1:17" s="363" customFormat="1" ht="15" customHeight="1" x14ac:dyDescent="0.2">
      <c r="A257" s="358"/>
      <c r="B257" s="367" t="str">
        <f>'DEFINITIF (APBNP)'!B1374</f>
        <v>KAROSSA - TOPOYO</v>
      </c>
      <c r="C257" s="367">
        <f>'DEFINITIF (APBNP)'!C1374</f>
        <v>1</v>
      </c>
      <c r="D257" s="367" t="str">
        <f>'DEFINITIF (APBNP)'!D1374</f>
        <v>PKT</v>
      </c>
      <c r="E257" s="367">
        <f>'DEFINITIF (APBNP)'!E1374</f>
        <v>4000000</v>
      </c>
      <c r="F257" s="360">
        <f t="shared" si="4"/>
        <v>4000000</v>
      </c>
      <c r="G257" s="361"/>
      <c r="H257" s="362"/>
      <c r="J257" s="362"/>
      <c r="L257" s="364"/>
      <c r="M257" s="365"/>
      <c r="N257" s="362"/>
      <c r="O257" s="72"/>
      <c r="P257" s="73"/>
      <c r="Q257" s="73"/>
    </row>
    <row r="258" spans="1:17" s="363" customFormat="1" ht="15" customHeight="1" x14ac:dyDescent="0.2">
      <c r="A258" s="358"/>
      <c r="B258" s="367" t="str">
        <f>'DEFINITIF (APBNP)'!B1375</f>
        <v>TOPOYO - BARAKANG</v>
      </c>
      <c r="C258" s="367">
        <f>'DEFINITIF (APBNP)'!C1375</f>
        <v>1</v>
      </c>
      <c r="D258" s="367" t="str">
        <f>'DEFINITIF (APBNP)'!D1375</f>
        <v>PKT</v>
      </c>
      <c r="E258" s="367">
        <f>'DEFINITIF (APBNP)'!E1375</f>
        <v>2000000</v>
      </c>
      <c r="F258" s="360">
        <f t="shared" si="4"/>
        <v>2000000</v>
      </c>
      <c r="G258" s="361"/>
      <c r="H258" s="362"/>
      <c r="J258" s="362"/>
      <c r="L258" s="364"/>
      <c r="M258" s="365"/>
      <c r="N258" s="362"/>
      <c r="O258" s="72"/>
      <c r="P258" s="73"/>
      <c r="Q258" s="73"/>
    </row>
    <row r="259" spans="1:17" s="363" customFormat="1" ht="15" customHeight="1" x14ac:dyDescent="0.2">
      <c r="A259" s="358"/>
      <c r="B259" s="367" t="str">
        <f>'DEFINITIF (APBNP)'!B1376</f>
        <v>BARAKKANG - KALUKKU</v>
      </c>
      <c r="C259" s="367">
        <f>'DEFINITIF (APBNP)'!C1376</f>
        <v>1</v>
      </c>
      <c r="D259" s="367" t="str">
        <f>'DEFINITIF (APBNP)'!D1376</f>
        <v>PKT</v>
      </c>
      <c r="E259" s="367">
        <f>'DEFINITIF (APBNP)'!E1376</f>
        <v>4000000</v>
      </c>
      <c r="F259" s="360">
        <f t="shared" si="4"/>
        <v>4000000</v>
      </c>
      <c r="G259" s="361"/>
      <c r="H259" s="362"/>
      <c r="J259" s="362"/>
      <c r="L259" s="364"/>
      <c r="M259" s="365"/>
      <c r="N259" s="362"/>
      <c r="O259" s="72"/>
      <c r="P259" s="73"/>
      <c r="Q259" s="73"/>
    </row>
    <row r="260" spans="1:17" s="363" customFormat="1" ht="15" customHeight="1" x14ac:dyDescent="0.2">
      <c r="A260" s="358"/>
      <c r="B260" s="367" t="str">
        <f>'DEFINITIF (APBNP)'!B1377</f>
        <v>KALUKKU - MAMUJU</v>
      </c>
      <c r="C260" s="367">
        <f>'DEFINITIF (APBNP)'!C1377</f>
        <v>1</v>
      </c>
      <c r="D260" s="367" t="str">
        <f>'DEFINITIF (APBNP)'!D1377</f>
        <v>PKT</v>
      </c>
      <c r="E260" s="367">
        <f>'DEFINITIF (APBNP)'!E1377</f>
        <v>10000000</v>
      </c>
      <c r="F260" s="360">
        <f t="shared" si="4"/>
        <v>10000000</v>
      </c>
      <c r="G260" s="361"/>
      <c r="H260" s="366"/>
      <c r="J260" s="366"/>
      <c r="L260" s="364"/>
      <c r="M260" s="365"/>
      <c r="N260" s="366"/>
      <c r="O260" s="72"/>
      <c r="P260" s="73"/>
      <c r="Q260" s="73"/>
    </row>
    <row r="261" spans="1:17" s="363" customFormat="1" ht="15" customHeight="1" x14ac:dyDescent="0.2">
      <c r="A261" s="358"/>
      <c r="B261" s="367" t="str">
        <f>'DEFINITIF (APBNP)'!B1378</f>
        <v xml:space="preserve">BTS KOTA MAMUJU - TAMERODDO </v>
      </c>
      <c r="C261" s="367">
        <f>'DEFINITIF (APBNP)'!C1378</f>
        <v>1</v>
      </c>
      <c r="D261" s="367" t="str">
        <f>'DEFINITIF (APBNP)'!D1378</f>
        <v>PKT</v>
      </c>
      <c r="E261" s="367">
        <f>'DEFINITIF (APBNP)'!E1378</f>
        <v>4000000</v>
      </c>
      <c r="F261" s="360">
        <f t="shared" si="4"/>
        <v>4000000</v>
      </c>
      <c r="G261" s="361"/>
      <c r="H261" s="366"/>
      <c r="J261" s="366"/>
      <c r="L261" s="364"/>
      <c r="M261" s="365"/>
      <c r="N261" s="366"/>
      <c r="O261" s="72"/>
      <c r="P261" s="73"/>
      <c r="Q261" s="73"/>
    </row>
    <row r="262" spans="1:17" s="363" customFormat="1" ht="15" customHeight="1" x14ac:dyDescent="0.2">
      <c r="A262" s="358"/>
      <c r="B262" s="367" t="str">
        <f>'DEFINITIF (APBNP)'!B1379</f>
        <v>TAMERODDO - BTS KOTA MAJENE</v>
      </c>
      <c r="C262" s="367">
        <f>'DEFINITIF (APBNP)'!C1379</f>
        <v>1</v>
      </c>
      <c r="D262" s="367" t="str">
        <f>'DEFINITIF (APBNP)'!D1379</f>
        <v>PKT</v>
      </c>
      <c r="E262" s="367">
        <f>'DEFINITIF (APBNP)'!E1379</f>
        <v>4000000</v>
      </c>
      <c r="F262" s="360">
        <f t="shared" si="4"/>
        <v>4000000</v>
      </c>
      <c r="G262" s="361"/>
      <c r="H262" s="366"/>
      <c r="J262" s="366"/>
      <c r="L262" s="364"/>
      <c r="M262" s="365"/>
      <c r="N262" s="366"/>
      <c r="O262" s="72"/>
      <c r="P262" s="73"/>
      <c r="Q262" s="73"/>
    </row>
    <row r="263" spans="1:17" s="363" customFormat="1" ht="15" customHeight="1" x14ac:dyDescent="0.2">
      <c r="A263" s="358"/>
      <c r="B263" s="367" t="str">
        <f>'DEFINITIF (APBNP)'!B1380</f>
        <v>BTS KOTA MAJENE - BTS KOTA POLEWALI</v>
      </c>
      <c r="C263" s="367">
        <f>'DEFINITIF (APBNP)'!C1380</f>
        <v>1</v>
      </c>
      <c r="D263" s="367" t="str">
        <f>'DEFINITIF (APBNP)'!D1380</f>
        <v>PKT</v>
      </c>
      <c r="E263" s="367">
        <f>'DEFINITIF (APBNP)'!E1380</f>
        <v>4000000</v>
      </c>
      <c r="F263" s="360">
        <f t="shared" si="4"/>
        <v>4000000</v>
      </c>
      <c r="G263" s="361"/>
      <c r="H263" s="366"/>
      <c r="J263" s="366"/>
      <c r="L263" s="364"/>
      <c r="M263" s="365"/>
      <c r="N263" s="366"/>
      <c r="O263" s="72"/>
      <c r="P263" s="73"/>
      <c r="Q263" s="73"/>
    </row>
    <row r="264" spans="1:17" s="363" customFormat="1" ht="15" customHeight="1" x14ac:dyDescent="0.2">
      <c r="A264" s="358"/>
      <c r="B264" s="367" t="str">
        <f>'DEFINITIF (APBNP)'!B1381</f>
        <v>BTS POLEWALI - BTS SULSEL</v>
      </c>
      <c r="C264" s="367">
        <f>'DEFINITIF (APBNP)'!C1381</f>
        <v>1</v>
      </c>
      <c r="D264" s="367" t="str">
        <f>'DEFINITIF (APBNP)'!D1381</f>
        <v>PKT</v>
      </c>
      <c r="E264" s="367">
        <f>'DEFINITIF (APBNP)'!E1381</f>
        <v>4000000</v>
      </c>
      <c r="F264" s="360">
        <f t="shared" si="4"/>
        <v>4000000</v>
      </c>
      <c r="G264" s="361"/>
      <c r="H264" s="366"/>
      <c r="J264" s="366"/>
      <c r="L264" s="364"/>
      <c r="M264" s="365"/>
      <c r="N264" s="366"/>
      <c r="O264" s="72"/>
      <c r="P264" s="73"/>
      <c r="Q264" s="73"/>
    </row>
    <row r="265" spans="1:17" s="363" customFormat="1" ht="15" customHeight="1" x14ac:dyDescent="0.2">
      <c r="A265" s="358"/>
      <c r="B265" s="367" t="str">
        <f>'DEFINITIF (APBNP)'!B1382</f>
        <v>KALUKKU-SALUBATU</v>
      </c>
      <c r="C265" s="367">
        <f>'DEFINITIF (APBNP)'!C1382</f>
        <v>1</v>
      </c>
      <c r="D265" s="367" t="str">
        <f>'DEFINITIF (APBNP)'!D1382</f>
        <v>PKT</v>
      </c>
      <c r="E265" s="367">
        <f>'DEFINITIF (APBNP)'!E1382</f>
        <v>4000000</v>
      </c>
      <c r="F265" s="360">
        <f t="shared" si="4"/>
        <v>4000000</v>
      </c>
      <c r="G265" s="361"/>
      <c r="H265" s="366"/>
      <c r="J265" s="366"/>
      <c r="L265" s="364"/>
      <c r="M265" s="365"/>
      <c r="N265" s="366"/>
      <c r="O265" s="72"/>
      <c r="P265" s="73"/>
      <c r="Q265" s="73"/>
    </row>
    <row r="266" spans="1:17" s="363" customFormat="1" ht="15" customHeight="1" x14ac:dyDescent="0.2">
      <c r="A266" s="358"/>
      <c r="B266" s="367">
        <f>'DEFINITIF (APBNP)'!B1383</f>
        <v>0</v>
      </c>
      <c r="C266" s="367">
        <f>'DEFINITIF (APBNP)'!C1383</f>
        <v>0</v>
      </c>
      <c r="D266" s="367">
        <f>'DEFINITIF (APBNP)'!D1383</f>
        <v>0</v>
      </c>
      <c r="E266" s="367">
        <f>'DEFINITIF (APBNP)'!E1383</f>
        <v>0</v>
      </c>
      <c r="F266" s="360"/>
      <c r="G266" s="361"/>
      <c r="H266" s="366"/>
      <c r="J266" s="366"/>
      <c r="L266" s="364"/>
      <c r="M266" s="365"/>
      <c r="N266" s="366"/>
      <c r="O266" s="72"/>
      <c r="P266" s="73"/>
      <c r="Q266" s="73"/>
    </row>
    <row r="267" spans="1:17" s="355" customFormat="1" ht="15" customHeight="1" x14ac:dyDescent="0.2">
      <c r="A267" s="349">
        <v>26</v>
      </c>
      <c r="B267" s="350" t="s">
        <v>811</v>
      </c>
      <c r="C267" s="350">
        <f>SUM(C268:C275)</f>
        <v>6</v>
      </c>
      <c r="D267" s="351"/>
      <c r="E267" s="351"/>
      <c r="F267" s="352">
        <f>SUM(F268:F275)</f>
        <v>6847964</v>
      </c>
      <c r="G267" s="353"/>
      <c r="H267" s="354"/>
      <c r="J267" s="354"/>
      <c r="L267" s="356"/>
      <c r="M267" s="357"/>
      <c r="N267" s="354"/>
      <c r="O267" s="387">
        <f>F267</f>
        <v>6847964</v>
      </c>
      <c r="P267" s="216">
        <f>O267-F267</f>
        <v>0</v>
      </c>
      <c r="Q267" s="73"/>
    </row>
    <row r="268" spans="1:17" s="363" customFormat="1" ht="15" customHeight="1" x14ac:dyDescent="0.2">
      <c r="A268" s="358"/>
      <c r="B268" s="367" t="str">
        <f>'DEFINITIF (APBNP)'!B1446</f>
        <v>Palu-Ogoamas-Tolitoli-Buol-Batas Gorontalo (Termasuk Supervisi)</v>
      </c>
      <c r="C268" s="367">
        <f>'DEFINITIF (APBNP)'!C1446</f>
        <v>1</v>
      </c>
      <c r="D268" s="367" t="str">
        <f>'DEFINITIF (APBNP)'!D1446</f>
        <v>PKT</v>
      </c>
      <c r="E268" s="367">
        <f>'DEFINITIF (APBNP)'!E1446</f>
        <v>1000000</v>
      </c>
      <c r="F268" s="360">
        <f t="shared" si="4"/>
        <v>1000000</v>
      </c>
      <c r="G268" s="361"/>
      <c r="H268" s="362"/>
      <c r="J268" s="362"/>
      <c r="L268" s="364"/>
      <c r="M268" s="365"/>
      <c r="N268" s="362"/>
      <c r="O268" s="72"/>
      <c r="P268" s="73"/>
      <c r="Q268" s="73"/>
    </row>
    <row r="269" spans="1:17" s="363" customFormat="1" ht="15" customHeight="1" x14ac:dyDescent="0.2">
      <c r="A269" s="358"/>
      <c r="B269" s="367" t="str">
        <f>'DEFINITIF (APBNP)'!B1447</f>
        <v>Palu-Donggala-Batas Sulawesi Barat (Termasuk Supervisi)</v>
      </c>
      <c r="C269" s="367">
        <f>'DEFINITIF (APBNP)'!C1447</f>
        <v>1</v>
      </c>
      <c r="D269" s="367" t="str">
        <f>'DEFINITIF (APBNP)'!D1447</f>
        <v>PKT</v>
      </c>
      <c r="E269" s="367">
        <f>'DEFINITIF (APBNP)'!E1447</f>
        <v>1500000</v>
      </c>
      <c r="F269" s="360">
        <f t="shared" si="4"/>
        <v>1500000</v>
      </c>
      <c r="G269" s="361"/>
      <c r="H269" s="362"/>
      <c r="J269" s="362"/>
      <c r="L269" s="364"/>
      <c r="M269" s="365"/>
      <c r="N269" s="362"/>
      <c r="O269" s="72"/>
      <c r="P269" s="73"/>
      <c r="Q269" s="73"/>
    </row>
    <row r="270" spans="1:17" s="363" customFormat="1" ht="15" customHeight="1" x14ac:dyDescent="0.2">
      <c r="A270" s="358"/>
      <c r="B270" s="367" t="str">
        <f>'DEFINITIF (APBNP)'!B1448</f>
        <v>Tawaeli-Toboli-Kotaraya-Moutong-Batas Gorontalo (Termasuk Supervisi)</v>
      </c>
      <c r="C270" s="367">
        <f>'DEFINITIF (APBNP)'!C1448</f>
        <v>1</v>
      </c>
      <c r="D270" s="367" t="str">
        <f>'DEFINITIF (APBNP)'!D1448</f>
        <v>PKT</v>
      </c>
      <c r="E270" s="367">
        <f>'DEFINITIF (APBNP)'!E1448</f>
        <v>1518264</v>
      </c>
      <c r="F270" s="360">
        <f t="shared" si="4"/>
        <v>1518264</v>
      </c>
      <c r="G270" s="361"/>
      <c r="H270" s="362"/>
      <c r="J270" s="362"/>
      <c r="L270" s="364"/>
      <c r="M270" s="365"/>
      <c r="N270" s="362"/>
      <c r="O270" s="72"/>
      <c r="P270" s="73"/>
      <c r="Q270" s="73"/>
    </row>
    <row r="271" spans="1:17" s="363" customFormat="1" ht="15" customHeight="1" x14ac:dyDescent="0.2">
      <c r="A271" s="358"/>
      <c r="B271" s="367" t="str">
        <f>'DEFINITIF (APBNP)'!B1449</f>
        <v>Poso-Ampana-Luwuk-Toili-Baturube(Termasuk Supervisi)</v>
      </c>
      <c r="C271" s="367">
        <f>'DEFINITIF (APBNP)'!C1449</f>
        <v>1</v>
      </c>
      <c r="D271" s="367" t="str">
        <f>'DEFINITIF (APBNP)'!D1449</f>
        <v>PKT</v>
      </c>
      <c r="E271" s="367">
        <f>'DEFINITIF (APBNP)'!E1449</f>
        <v>1000000</v>
      </c>
      <c r="F271" s="360">
        <f t="shared" si="4"/>
        <v>1000000</v>
      </c>
      <c r="G271" s="361"/>
      <c r="H271" s="362"/>
      <c r="J271" s="362"/>
      <c r="L271" s="364"/>
      <c r="M271" s="365"/>
      <c r="N271" s="362"/>
      <c r="O271" s="72"/>
      <c r="P271" s="73"/>
      <c r="Q271" s="73"/>
    </row>
    <row r="272" spans="1:17" s="363" customFormat="1" ht="15" customHeight="1" x14ac:dyDescent="0.2">
      <c r="A272" s="358"/>
      <c r="B272" s="367" t="str">
        <f>'DEFINITIF (APBNP)'!B1450</f>
        <v>Toboli-Parigi-Poso-Tentena-Pendolo-Batas Sulawesi Selatan  (Termasuk Supervisi)</v>
      </c>
      <c r="C272" s="367">
        <f>'DEFINITIF (APBNP)'!C1450</f>
        <v>1</v>
      </c>
      <c r="D272" s="367" t="str">
        <f>'DEFINITIF (APBNP)'!D1450</f>
        <v>PKT</v>
      </c>
      <c r="E272" s="367">
        <f>'DEFINITIF (APBNP)'!E1450</f>
        <v>1000000</v>
      </c>
      <c r="F272" s="360">
        <f t="shared" si="4"/>
        <v>1000000</v>
      </c>
      <c r="G272" s="361"/>
      <c r="H272" s="366"/>
      <c r="J272" s="366"/>
      <c r="L272" s="364"/>
      <c r="M272" s="365"/>
      <c r="N272" s="366"/>
      <c r="O272" s="72"/>
      <c r="P272" s="73"/>
      <c r="Q272" s="73"/>
    </row>
    <row r="273" spans="1:17" s="363" customFormat="1" ht="15" customHeight="1" x14ac:dyDescent="0.2">
      <c r="A273" s="358"/>
      <c r="B273" s="367"/>
      <c r="C273" s="367"/>
      <c r="D273" s="367"/>
      <c r="E273" s="367"/>
      <c r="F273" s="360"/>
      <c r="G273" s="361"/>
      <c r="H273" s="366"/>
      <c r="J273" s="366"/>
      <c r="L273" s="364"/>
      <c r="M273" s="365"/>
      <c r="N273" s="366"/>
      <c r="O273" s="72"/>
      <c r="P273" s="73"/>
      <c r="Q273" s="73"/>
    </row>
    <row r="274" spans="1:17" s="363" customFormat="1" ht="15" customHeight="1" x14ac:dyDescent="0.2">
      <c r="A274" s="358"/>
      <c r="B274" s="367" t="str">
        <f>'DEFINITIF (APBNP)'!B1452</f>
        <v>PENINGKATAN KINERJA JALAN NASIONAL DI WILAYAH PERKOTAAN</v>
      </c>
      <c r="C274" s="367"/>
      <c r="D274" s="367"/>
      <c r="E274" s="367"/>
      <c r="F274" s="360"/>
      <c r="G274" s="361"/>
      <c r="H274" s="366"/>
      <c r="J274" s="366"/>
      <c r="L274" s="364"/>
      <c r="M274" s="365"/>
      <c r="N274" s="366"/>
      <c r="O274" s="72"/>
      <c r="P274" s="73"/>
      <c r="Q274" s="73"/>
    </row>
    <row r="275" spans="1:17" s="363" customFormat="1" ht="15" customHeight="1" x14ac:dyDescent="0.2">
      <c r="A275" s="358"/>
      <c r="B275" s="367" t="str">
        <f>'DEFINITIF (APBNP)'!B1453</f>
        <v>Jalan Nasional Kota Palu</v>
      </c>
      <c r="C275" s="367">
        <f>'DEFINITIF (APBNP)'!C1453</f>
        <v>1</v>
      </c>
      <c r="D275" s="367" t="str">
        <f>'DEFINITIF (APBNP)'!D1453</f>
        <v>PKT</v>
      </c>
      <c r="E275" s="367">
        <f>'DEFINITIF (APBNP)'!E1453</f>
        <v>829700</v>
      </c>
      <c r="F275" s="360">
        <f t="shared" si="4"/>
        <v>829700</v>
      </c>
      <c r="G275" s="361"/>
      <c r="H275" s="366"/>
      <c r="J275" s="366"/>
      <c r="L275" s="364"/>
      <c r="M275" s="365"/>
      <c r="N275" s="366"/>
      <c r="O275" s="72"/>
      <c r="P275" s="73"/>
      <c r="Q275" s="73"/>
    </row>
    <row r="276" spans="1:17" s="363" customFormat="1" ht="15" customHeight="1" x14ac:dyDescent="0.2">
      <c r="A276" s="358"/>
      <c r="B276" s="367"/>
      <c r="C276" s="367"/>
      <c r="D276" s="367"/>
      <c r="E276" s="367"/>
      <c r="F276" s="360"/>
      <c r="G276" s="361"/>
      <c r="H276" s="366"/>
      <c r="J276" s="366"/>
      <c r="L276" s="364"/>
      <c r="M276" s="365"/>
      <c r="N276" s="366"/>
      <c r="O276" s="72"/>
      <c r="P276" s="73"/>
      <c r="Q276" s="73"/>
    </row>
    <row r="277" spans="1:17" s="355" customFormat="1" ht="15" customHeight="1" x14ac:dyDescent="0.2">
      <c r="A277" s="349">
        <v>27</v>
      </c>
      <c r="B277" s="350" t="s">
        <v>813</v>
      </c>
      <c r="C277" s="371">
        <f>SUM(C278:C284)</f>
        <v>6</v>
      </c>
      <c r="D277" s="371"/>
      <c r="E277" s="371"/>
      <c r="F277" s="372">
        <f>SUM(F278:F284)</f>
        <v>5143264</v>
      </c>
      <c r="G277" s="353"/>
      <c r="H277" s="377"/>
      <c r="J277" s="377"/>
      <c r="L277" s="356"/>
      <c r="M277" s="357"/>
      <c r="N277" s="377"/>
      <c r="O277" s="387">
        <f>F277</f>
        <v>5143264</v>
      </c>
      <c r="P277" s="216">
        <f>O277-F277</f>
        <v>0</v>
      </c>
      <c r="Q277" s="73"/>
    </row>
    <row r="278" spans="1:17" s="363" customFormat="1" ht="15" customHeight="1" x14ac:dyDescent="0.2">
      <c r="A278" s="358"/>
      <c r="B278" s="367" t="str">
        <f>'DEFINITIF (APBNP)'!B1508</f>
        <v>Ruas Jalan Nasional Akses Ke Bandara</v>
      </c>
      <c r="C278" s="367">
        <f>'DEFINITIF (APBNP)'!C1508</f>
        <v>1</v>
      </c>
      <c r="D278" s="367" t="str">
        <f>'DEFINITIF (APBNP)'!D1508</f>
        <v>PKT</v>
      </c>
      <c r="E278" s="367">
        <f>'DEFINITIF (APBNP)'!E1508</f>
        <v>900000</v>
      </c>
      <c r="F278" s="360">
        <f t="shared" si="4"/>
        <v>900000</v>
      </c>
      <c r="G278" s="361"/>
      <c r="H278" s="366"/>
      <c r="J278" s="366"/>
      <c r="L278" s="364"/>
      <c r="M278" s="365"/>
      <c r="N278" s="366"/>
      <c r="O278" s="72"/>
      <c r="P278" s="73"/>
      <c r="Q278" s="73"/>
    </row>
    <row r="279" spans="1:17" s="363" customFormat="1" ht="15" customHeight="1" x14ac:dyDescent="0.2">
      <c r="A279" s="358"/>
      <c r="B279" s="367" t="str">
        <f>'DEFINITIF (APBNP)'!B1509</f>
        <v>Ruas Jalan Nasional Telaga - Limboto</v>
      </c>
      <c r="C279" s="367">
        <f>'DEFINITIF (APBNP)'!C1509</f>
        <v>1</v>
      </c>
      <c r="D279" s="367" t="str">
        <f>'DEFINITIF (APBNP)'!D1509</f>
        <v>PKT</v>
      </c>
      <c r="E279" s="367">
        <f>'DEFINITIF (APBNP)'!E1509</f>
        <v>500000</v>
      </c>
      <c r="F279" s="360">
        <f t="shared" si="4"/>
        <v>500000</v>
      </c>
      <c r="G279" s="361"/>
      <c r="H279" s="366"/>
      <c r="J279" s="366"/>
      <c r="L279" s="364"/>
      <c r="M279" s="365"/>
      <c r="N279" s="366"/>
      <c r="O279" s="72"/>
      <c r="P279" s="73"/>
      <c r="Q279" s="73"/>
    </row>
    <row r="280" spans="1:17" s="363" customFormat="1" ht="15" customHeight="1" x14ac:dyDescent="0.2">
      <c r="A280" s="358"/>
      <c r="B280" s="367" t="str">
        <f>'DEFINITIF (APBNP)'!B1510</f>
        <v>Ruas Jalan Nasional Limboto - Isimu</v>
      </c>
      <c r="C280" s="367">
        <f>'DEFINITIF (APBNP)'!C1510</f>
        <v>1</v>
      </c>
      <c r="D280" s="367" t="str">
        <f>'DEFINITIF (APBNP)'!D1510</f>
        <v>PKT</v>
      </c>
      <c r="E280" s="367">
        <f>'DEFINITIF (APBNP)'!E1510</f>
        <v>500000</v>
      </c>
      <c r="F280" s="360">
        <f t="shared" si="4"/>
        <v>500000</v>
      </c>
      <c r="G280" s="361"/>
      <c r="H280" s="366"/>
      <c r="J280" s="366"/>
      <c r="L280" s="364"/>
      <c r="M280" s="365"/>
      <c r="N280" s="366"/>
      <c r="O280" s="72"/>
      <c r="P280" s="73"/>
      <c r="Q280" s="73"/>
    </row>
    <row r="281" spans="1:17" s="363" customFormat="1" ht="15" customHeight="1" x14ac:dyDescent="0.2">
      <c r="A281" s="358"/>
      <c r="B281" s="367" t="str">
        <f>'DEFINITIF (APBNP)'!B1511</f>
        <v>Ruas Jalan Nasional Kwandang - Atinggola</v>
      </c>
      <c r="C281" s="367">
        <f>'DEFINITIF (APBNP)'!C1511</f>
        <v>1</v>
      </c>
      <c r="D281" s="367" t="str">
        <f>'DEFINITIF (APBNP)'!D1511</f>
        <v>PKT</v>
      </c>
      <c r="E281" s="367">
        <f>'DEFINITIF (APBNP)'!E1511</f>
        <v>1180000</v>
      </c>
      <c r="F281" s="360">
        <f t="shared" si="4"/>
        <v>1180000</v>
      </c>
      <c r="G281" s="361"/>
      <c r="H281" s="366"/>
      <c r="J281" s="366"/>
      <c r="L281" s="364"/>
      <c r="M281" s="365"/>
      <c r="N281" s="366"/>
      <c r="O281" s="72"/>
      <c r="P281" s="73"/>
      <c r="Q281" s="73"/>
    </row>
    <row r="282" spans="1:17" s="363" customFormat="1" ht="15" customHeight="1" x14ac:dyDescent="0.2">
      <c r="A282" s="358"/>
      <c r="B282" s="367" t="str">
        <f>'DEFINITIF (APBNP)'!B1512</f>
        <v>Ruas Jalan Nasional Bulontio - Tolinggula</v>
      </c>
      <c r="C282" s="367">
        <f>'DEFINITIF (APBNP)'!C1512</f>
        <v>1</v>
      </c>
      <c r="D282" s="367" t="str">
        <f>'DEFINITIF (APBNP)'!D1512</f>
        <v>PKT</v>
      </c>
      <c r="E282" s="367">
        <f>'DEFINITIF (APBNP)'!E1512</f>
        <v>1063264</v>
      </c>
      <c r="F282" s="360">
        <f t="shared" si="4"/>
        <v>1063264</v>
      </c>
      <c r="G282" s="361"/>
      <c r="H282" s="366"/>
      <c r="J282" s="366"/>
      <c r="L282" s="364"/>
      <c r="M282" s="365"/>
      <c r="N282" s="366"/>
      <c r="O282" s="72"/>
      <c r="P282" s="73"/>
      <c r="Q282" s="73"/>
    </row>
    <row r="283" spans="1:17" s="363" customFormat="1" ht="15" customHeight="1" x14ac:dyDescent="0.2">
      <c r="A283" s="358"/>
      <c r="B283" s="367" t="str">
        <f>'DEFINITIF (APBNP)'!B1514</f>
        <v>Ruas Jalan Nasional Marisa - Lemito</v>
      </c>
      <c r="C283" s="367">
        <f>'DEFINITIF (APBNP)'!C1514</f>
        <v>1</v>
      </c>
      <c r="D283" s="367" t="str">
        <f>'DEFINITIF (APBNP)'!D1514</f>
        <v>PKT</v>
      </c>
      <c r="E283" s="367">
        <f>'DEFINITIF (APBNP)'!E1514</f>
        <v>1000000</v>
      </c>
      <c r="F283" s="360">
        <f t="shared" si="4"/>
        <v>1000000</v>
      </c>
      <c r="G283" s="361"/>
      <c r="H283" s="366"/>
      <c r="J283" s="366"/>
      <c r="L283" s="364"/>
      <c r="M283" s="365"/>
      <c r="N283" s="366"/>
      <c r="O283" s="72"/>
      <c r="P283" s="73"/>
      <c r="Q283" s="73"/>
    </row>
    <row r="284" spans="1:17" s="363" customFormat="1" ht="15" customHeight="1" x14ac:dyDescent="0.2">
      <c r="A284" s="358"/>
      <c r="B284" s="367">
        <f>'DEFINITIF (APBNP)'!B1516</f>
        <v>0</v>
      </c>
      <c r="C284" s="367">
        <f>'DEFINITIF (APBNP)'!C1516</f>
        <v>0</v>
      </c>
      <c r="D284" s="367">
        <f>'DEFINITIF (APBNP)'!D1516</f>
        <v>0</v>
      </c>
      <c r="E284" s="367">
        <f>'DEFINITIF (APBNP)'!E1516</f>
        <v>0</v>
      </c>
      <c r="F284" s="360">
        <f t="shared" si="4"/>
        <v>0</v>
      </c>
      <c r="G284" s="361"/>
      <c r="H284" s="366"/>
      <c r="J284" s="366"/>
      <c r="L284" s="364"/>
      <c r="M284" s="365"/>
      <c r="N284" s="366"/>
      <c r="O284" s="72"/>
      <c r="P284" s="73"/>
      <c r="Q284" s="73"/>
    </row>
    <row r="285" spans="1:17" s="363" customFormat="1" ht="15" customHeight="1" x14ac:dyDescent="0.2">
      <c r="A285" s="358"/>
      <c r="B285" s="367"/>
      <c r="C285" s="367"/>
      <c r="D285" s="367"/>
      <c r="E285" s="367"/>
      <c r="F285" s="360"/>
      <c r="G285" s="361"/>
      <c r="H285" s="366"/>
      <c r="J285" s="366"/>
      <c r="L285" s="364"/>
      <c r="M285" s="365"/>
      <c r="N285" s="366"/>
      <c r="O285" s="72"/>
      <c r="P285" s="73"/>
      <c r="Q285" s="73"/>
    </row>
    <row r="286" spans="1:17" s="355" customFormat="1" ht="15" customHeight="1" x14ac:dyDescent="0.2">
      <c r="A286" s="349">
        <v>28</v>
      </c>
      <c r="B286" s="350" t="s">
        <v>849</v>
      </c>
      <c r="C286" s="350">
        <f>SUM(C287:C296)</f>
        <v>10</v>
      </c>
      <c r="D286" s="351"/>
      <c r="E286" s="351"/>
      <c r="F286" s="352">
        <f>SUM(F287:N296)</f>
        <v>35559600</v>
      </c>
      <c r="G286" s="353"/>
      <c r="H286" s="354"/>
      <c r="J286" s="354"/>
      <c r="L286" s="356"/>
      <c r="M286" s="357"/>
      <c r="N286" s="354"/>
      <c r="O286" s="387">
        <f>F286</f>
        <v>35559600</v>
      </c>
      <c r="P286" s="216">
        <f>O286-F286</f>
        <v>0</v>
      </c>
      <c r="Q286" s="73"/>
    </row>
    <row r="287" spans="1:17" s="363" customFormat="1" ht="15" customHeight="1" x14ac:dyDescent="0.2">
      <c r="A287" s="358"/>
      <c r="B287" s="367" t="str">
        <f>'DEFINITIF (APBNP)'!B1570</f>
        <v>Jalan Dalam Kota Manado</v>
      </c>
      <c r="C287" s="367">
        <f>'DEFINITIF (APBNP)'!C1570</f>
        <v>1</v>
      </c>
      <c r="D287" s="367" t="str">
        <f>'DEFINITIF (APBNP)'!D1570</f>
        <v>PKT</v>
      </c>
      <c r="E287" s="367">
        <f>'DEFINITIF (APBNP)'!E1570</f>
        <v>2033000</v>
      </c>
      <c r="F287" s="360">
        <f t="shared" si="4"/>
        <v>2033000</v>
      </c>
      <c r="G287" s="361"/>
      <c r="H287" s="362"/>
      <c r="J287" s="362"/>
      <c r="L287" s="364"/>
      <c r="M287" s="365"/>
      <c r="N287" s="362"/>
      <c r="O287" s="72"/>
      <c r="P287" s="73"/>
      <c r="Q287" s="73"/>
    </row>
    <row r="288" spans="1:17" s="363" customFormat="1" ht="15" customHeight="1" x14ac:dyDescent="0.2">
      <c r="A288" s="358"/>
      <c r="B288" s="367" t="str">
        <f>'DEFINITIF (APBNP)'!B1571</f>
        <v>Jalan Dalam Kota Tomohon</v>
      </c>
      <c r="C288" s="367">
        <f>'DEFINITIF (APBNP)'!C1571</f>
        <v>1</v>
      </c>
      <c r="D288" s="367" t="str">
        <f>'DEFINITIF (APBNP)'!D1571</f>
        <v>PKT</v>
      </c>
      <c r="E288" s="367">
        <f>'DEFINITIF (APBNP)'!E1571</f>
        <v>3586700</v>
      </c>
      <c r="F288" s="360">
        <f t="shared" si="4"/>
        <v>3586700</v>
      </c>
      <c r="G288" s="361"/>
      <c r="H288" s="362"/>
      <c r="J288" s="362"/>
      <c r="L288" s="364"/>
      <c r="M288" s="365"/>
      <c r="N288" s="362"/>
      <c r="O288" s="72"/>
      <c r="P288" s="73"/>
      <c r="Q288" s="73"/>
    </row>
    <row r="289" spans="1:17" s="363" customFormat="1" ht="15" customHeight="1" x14ac:dyDescent="0.2">
      <c r="A289" s="358"/>
      <c r="B289" s="367" t="str">
        <f>'DEFINITIF (APBNP)'!B1572</f>
        <v>Jalan Dalam Kota Tondano</v>
      </c>
      <c r="C289" s="367">
        <f>'DEFINITIF (APBNP)'!C1572</f>
        <v>1</v>
      </c>
      <c r="D289" s="367" t="str">
        <f>'DEFINITIF (APBNP)'!D1572</f>
        <v>PKT</v>
      </c>
      <c r="E289" s="367">
        <f>'DEFINITIF (APBNP)'!E1572</f>
        <v>2881800</v>
      </c>
      <c r="F289" s="360">
        <f t="shared" si="4"/>
        <v>2881800</v>
      </c>
      <c r="G289" s="361"/>
      <c r="H289" s="362"/>
      <c r="J289" s="362"/>
      <c r="L289" s="364"/>
      <c r="M289" s="365"/>
      <c r="N289" s="362"/>
      <c r="O289" s="72"/>
      <c r="P289" s="73"/>
      <c r="Q289" s="73"/>
    </row>
    <row r="290" spans="1:17" s="363" customFormat="1" ht="15" customHeight="1" x14ac:dyDescent="0.2">
      <c r="A290" s="358"/>
      <c r="B290" s="367" t="str">
        <f>'DEFINITIF (APBNP)'!B1573</f>
        <v>Jalan Wori - Likupang</v>
      </c>
      <c r="C290" s="367">
        <f>'DEFINITIF (APBNP)'!C1573</f>
        <v>1</v>
      </c>
      <c r="D290" s="367" t="str">
        <f>'DEFINITIF (APBNP)'!D1573</f>
        <v>PKT</v>
      </c>
      <c r="E290" s="367">
        <f>'DEFINITIF (APBNP)'!E1573</f>
        <v>8603700</v>
      </c>
      <c r="F290" s="360">
        <f t="shared" si="4"/>
        <v>8603700</v>
      </c>
      <c r="G290" s="361"/>
      <c r="H290" s="362"/>
      <c r="J290" s="362"/>
      <c r="L290" s="364"/>
      <c r="M290" s="365"/>
      <c r="N290" s="362"/>
      <c r="O290" s="72"/>
      <c r="P290" s="73"/>
      <c r="Q290" s="73"/>
    </row>
    <row r="291" spans="1:17" s="363" customFormat="1" ht="15" customHeight="1" x14ac:dyDescent="0.2">
      <c r="A291" s="358"/>
      <c r="B291" s="367" t="str">
        <f>'DEFINITIF (APBNP)'!B1574</f>
        <v>Jalan Manado - Tomohon</v>
      </c>
      <c r="C291" s="367">
        <f>'DEFINITIF (APBNP)'!C1574</f>
        <v>1</v>
      </c>
      <c r="D291" s="367" t="str">
        <f>'DEFINITIF (APBNP)'!D1574</f>
        <v>PKT</v>
      </c>
      <c r="E291" s="367">
        <f>'DEFINITIF (APBNP)'!E1574</f>
        <v>2049000</v>
      </c>
      <c r="F291" s="360">
        <f t="shared" si="4"/>
        <v>2049000</v>
      </c>
      <c r="G291" s="361"/>
      <c r="H291" s="362"/>
      <c r="J291" s="362"/>
      <c r="L291" s="364"/>
      <c r="M291" s="365"/>
      <c r="N291" s="362"/>
      <c r="O291" s="72"/>
      <c r="P291" s="73"/>
      <c r="Q291" s="73"/>
    </row>
    <row r="292" spans="1:17" s="363" customFormat="1" ht="15" customHeight="1" x14ac:dyDescent="0.2">
      <c r="A292" s="358"/>
      <c r="B292" s="367" t="str">
        <f>'DEFINITIF (APBNP)'!B1575</f>
        <v>Jalan Manado - Tumpaan</v>
      </c>
      <c r="C292" s="367">
        <f>'DEFINITIF (APBNP)'!C1575</f>
        <v>1</v>
      </c>
      <c r="D292" s="367" t="str">
        <f>'DEFINITIF (APBNP)'!D1575</f>
        <v>PKT</v>
      </c>
      <c r="E292" s="367">
        <f>'DEFINITIF (APBNP)'!E1575</f>
        <v>2936500</v>
      </c>
      <c r="F292" s="360">
        <f t="shared" si="4"/>
        <v>2936500</v>
      </c>
      <c r="G292" s="361"/>
      <c r="H292" s="362"/>
      <c r="J292" s="362"/>
      <c r="L292" s="364"/>
      <c r="M292" s="365"/>
      <c r="N292" s="362"/>
      <c r="O292" s="72"/>
      <c r="P292" s="73"/>
      <c r="Q292" s="73"/>
    </row>
    <row r="293" spans="1:17" s="363" customFormat="1" ht="15" customHeight="1" x14ac:dyDescent="0.2">
      <c r="A293" s="358"/>
      <c r="B293" s="367" t="str">
        <f>'DEFINITIF (APBNP)'!B1576</f>
        <v>Jalan Molibagu - Pinolosian</v>
      </c>
      <c r="C293" s="367">
        <f>'DEFINITIF (APBNP)'!C1576</f>
        <v>1</v>
      </c>
      <c r="D293" s="367" t="str">
        <f>'DEFINITIF (APBNP)'!D1576</f>
        <v>PKT</v>
      </c>
      <c r="E293" s="367">
        <f>'DEFINITIF (APBNP)'!E1576</f>
        <v>2542500</v>
      </c>
      <c r="F293" s="360">
        <f t="shared" si="4"/>
        <v>2542500</v>
      </c>
      <c r="G293" s="361"/>
      <c r="H293" s="366"/>
      <c r="J293" s="366"/>
      <c r="L293" s="364"/>
      <c r="M293" s="365"/>
      <c r="N293" s="366"/>
      <c r="O293" s="72"/>
      <c r="P293" s="73"/>
      <c r="Q293" s="73"/>
    </row>
    <row r="294" spans="1:17" s="363" customFormat="1" ht="15" customHeight="1" x14ac:dyDescent="0.2">
      <c r="A294" s="358"/>
      <c r="B294" s="367" t="str">
        <f>'DEFINITIF (APBNP)'!B1577</f>
        <v xml:space="preserve">Jalan Poopo - Sinisir </v>
      </c>
      <c r="C294" s="367">
        <f>'DEFINITIF (APBNP)'!C1577</f>
        <v>1</v>
      </c>
      <c r="D294" s="367" t="str">
        <f>'DEFINITIF (APBNP)'!D1577</f>
        <v>PKT</v>
      </c>
      <c r="E294" s="367">
        <f>'DEFINITIF (APBNP)'!E1577</f>
        <v>3400700</v>
      </c>
      <c r="F294" s="360">
        <f t="shared" si="4"/>
        <v>3400700</v>
      </c>
      <c r="G294" s="361"/>
      <c r="H294" s="366"/>
      <c r="J294" s="366"/>
      <c r="L294" s="364"/>
      <c r="M294" s="365"/>
      <c r="N294" s="366"/>
      <c r="O294" s="72"/>
      <c r="P294" s="73"/>
      <c r="Q294" s="73"/>
    </row>
    <row r="295" spans="1:17" s="363" customFormat="1" ht="15" customHeight="1" x14ac:dyDescent="0.2">
      <c r="A295" s="358"/>
      <c r="B295" s="367" t="str">
        <f>'DEFINITIF (APBNP)'!B1578</f>
        <v>Jalan Meloguane - Beo</v>
      </c>
      <c r="C295" s="367">
        <f>'DEFINITIF (APBNP)'!C1578</f>
        <v>1</v>
      </c>
      <c r="D295" s="367" t="str">
        <f>'DEFINITIF (APBNP)'!D1578</f>
        <v>PKT</v>
      </c>
      <c r="E295" s="367">
        <f>'DEFINITIF (APBNP)'!E1578</f>
        <v>2025700</v>
      </c>
      <c r="F295" s="360">
        <f t="shared" si="4"/>
        <v>2025700</v>
      </c>
      <c r="G295" s="361"/>
      <c r="H295" s="366"/>
      <c r="J295" s="366"/>
      <c r="L295" s="364"/>
      <c r="M295" s="365"/>
      <c r="N295" s="366"/>
      <c r="O295" s="72"/>
      <c r="P295" s="73"/>
      <c r="Q295" s="73"/>
    </row>
    <row r="296" spans="1:17" s="363" customFormat="1" ht="15" customHeight="1" x14ac:dyDescent="0.2">
      <c r="A296" s="358"/>
      <c r="B296" s="367" t="str">
        <f>'DEFINITIF (APBNP)'!B1580</f>
        <v xml:space="preserve">Jalan Kawasan Strategis Pulau Lembeh Kota Bitung </v>
      </c>
      <c r="C296" s="367">
        <f>'DEFINITIF (APBNP)'!C1580</f>
        <v>1</v>
      </c>
      <c r="D296" s="367" t="str">
        <f>'DEFINITIF (APBNP)'!D1580</f>
        <v>PKT</v>
      </c>
      <c r="E296" s="367">
        <f>'DEFINITIF (APBNP)'!E1580</f>
        <v>5500000</v>
      </c>
      <c r="F296" s="360">
        <f t="shared" si="4"/>
        <v>5500000</v>
      </c>
      <c r="G296" s="361"/>
      <c r="H296" s="366"/>
      <c r="J296" s="366"/>
      <c r="L296" s="364"/>
      <c r="M296" s="365"/>
      <c r="N296" s="366"/>
      <c r="O296" s="72"/>
      <c r="P296" s="73"/>
      <c r="Q296" s="73"/>
    </row>
    <row r="297" spans="1:17" s="363" customFormat="1" ht="15" customHeight="1" x14ac:dyDescent="0.2">
      <c r="A297" s="358"/>
      <c r="B297" s="367">
        <f>'DEFINITIF (APBNP)'!B1581</f>
        <v>0</v>
      </c>
      <c r="C297" s="367">
        <f>'DEFINITIF (APBNP)'!C1581</f>
        <v>0</v>
      </c>
      <c r="D297" s="367">
        <f>'DEFINITIF (APBNP)'!D1581</f>
        <v>0</v>
      </c>
      <c r="E297" s="367">
        <f>'DEFINITIF (APBNP)'!E1581</f>
        <v>0</v>
      </c>
      <c r="F297" s="360"/>
      <c r="G297" s="361"/>
      <c r="H297" s="366"/>
      <c r="J297" s="366"/>
      <c r="L297" s="364"/>
      <c r="M297" s="365"/>
      <c r="N297" s="366"/>
      <c r="O297" s="72"/>
      <c r="P297" s="73"/>
      <c r="Q297" s="73"/>
    </row>
    <row r="298" spans="1:17" s="355" customFormat="1" ht="15" customHeight="1" x14ac:dyDescent="0.2">
      <c r="A298" s="349">
        <v>29</v>
      </c>
      <c r="B298" s="350" t="s">
        <v>816</v>
      </c>
      <c r="C298" s="350">
        <f>SUM(C299:C305)</f>
        <v>5</v>
      </c>
      <c r="D298" s="351"/>
      <c r="E298" s="351"/>
      <c r="F298" s="352">
        <f>SUM(F299:F305)</f>
        <v>7500000</v>
      </c>
      <c r="G298" s="353"/>
      <c r="H298" s="354"/>
      <c r="J298" s="354"/>
      <c r="L298" s="356"/>
      <c r="M298" s="357"/>
      <c r="N298" s="354"/>
      <c r="O298" s="387">
        <f>F298</f>
        <v>7500000</v>
      </c>
      <c r="P298" s="216">
        <f>O298-F298</f>
        <v>0</v>
      </c>
      <c r="Q298" s="73"/>
    </row>
    <row r="299" spans="1:17" s="363" customFormat="1" ht="15" customHeight="1" x14ac:dyDescent="0.2">
      <c r="A299" s="358"/>
      <c r="B299" s="367" t="str">
        <f>'DEFINITIF (APBNP)'!B1632</f>
        <v>Wolo - Batas Kota Kolaka 53,150 Km termasuk Supervisi</v>
      </c>
      <c r="C299" s="367">
        <f>'DEFINITIF (APBNP)'!C1632</f>
        <v>1</v>
      </c>
      <c r="D299" s="367" t="str">
        <f>'DEFINITIF (APBNP)'!D1632</f>
        <v>PKT</v>
      </c>
      <c r="E299" s="367">
        <f>'DEFINITIF (APBNP)'!E1632</f>
        <v>1500000</v>
      </c>
      <c r="F299" s="360">
        <f t="shared" si="4"/>
        <v>1500000</v>
      </c>
      <c r="G299" s="361"/>
      <c r="H299" s="362"/>
      <c r="J299" s="362"/>
      <c r="L299" s="364"/>
      <c r="M299" s="365"/>
      <c r="N299" s="362"/>
      <c r="O299" s="72"/>
      <c r="P299" s="73"/>
      <c r="Q299" s="73"/>
    </row>
    <row r="300" spans="1:17" s="363" customFormat="1" ht="15" customHeight="1" x14ac:dyDescent="0.2">
      <c r="A300" s="358"/>
      <c r="B300" s="367" t="str">
        <f>'DEFINITIF (APBNP)'!B1633</f>
        <v>Batas Kolaka Utara/Kolaka - Wolo  24,0 Km termasuk Supervisi</v>
      </c>
      <c r="C300" s="367">
        <f>'DEFINITIF (APBNP)'!C1633</f>
        <v>1</v>
      </c>
      <c r="D300" s="367" t="str">
        <f>'DEFINITIF (APBNP)'!D1633</f>
        <v>PKT</v>
      </c>
      <c r="E300" s="367">
        <f>'DEFINITIF (APBNP)'!E1633</f>
        <v>1500000</v>
      </c>
      <c r="F300" s="360">
        <f t="shared" si="4"/>
        <v>1500000</v>
      </c>
      <c r="G300" s="361"/>
      <c r="H300" s="366"/>
      <c r="J300" s="366"/>
      <c r="L300" s="364"/>
      <c r="M300" s="365"/>
      <c r="N300" s="366"/>
      <c r="O300" s="72"/>
      <c r="P300" s="73"/>
      <c r="Q300" s="73"/>
    </row>
    <row r="301" spans="1:17" s="363" customFormat="1" ht="15" customHeight="1" x14ac:dyDescent="0.2">
      <c r="A301" s="358"/>
      <c r="B301" s="367" t="str">
        <f>'DEFINITIF (APBNP)'!B1634</f>
        <v>Lasusua - Batas Kolaka Utara/Kolaka 54,541 Km termasuk Supervisi</v>
      </c>
      <c r="C301" s="367">
        <f>'DEFINITIF (APBNP)'!C1634</f>
        <v>1</v>
      </c>
      <c r="D301" s="367" t="str">
        <f>'DEFINITIF (APBNP)'!D1634</f>
        <v>PKT</v>
      </c>
      <c r="E301" s="367">
        <f>'DEFINITIF (APBNP)'!E1634</f>
        <v>1500000</v>
      </c>
      <c r="F301" s="360">
        <f t="shared" si="4"/>
        <v>1500000</v>
      </c>
      <c r="G301" s="361"/>
      <c r="H301" s="366"/>
      <c r="J301" s="366"/>
      <c r="L301" s="364"/>
      <c r="M301" s="365"/>
      <c r="N301" s="366"/>
      <c r="O301" s="72"/>
      <c r="P301" s="73"/>
      <c r="Q301" s="73"/>
    </row>
    <row r="302" spans="1:17" s="363" customFormat="1" ht="15" customHeight="1" x14ac:dyDescent="0.2">
      <c r="A302" s="358"/>
      <c r="B302" s="367" t="str">
        <f>'DEFINITIF (APBNP)'!B1635</f>
        <v>Mataompana - Simpang3 Bure  48,028 Km termasuk Supervisi</v>
      </c>
      <c r="C302" s="367">
        <f>'DEFINITIF (APBNP)'!C1635</f>
        <v>1</v>
      </c>
      <c r="D302" s="367" t="str">
        <f>'DEFINITIF (APBNP)'!D1635</f>
        <v>PKT</v>
      </c>
      <c r="E302" s="367">
        <f>'DEFINITIF (APBNP)'!E1635</f>
        <v>1500000</v>
      </c>
      <c r="F302" s="360">
        <f t="shared" si="4"/>
        <v>1500000</v>
      </c>
      <c r="G302" s="361"/>
      <c r="H302" s="366"/>
      <c r="J302" s="366"/>
      <c r="L302" s="364"/>
      <c r="M302" s="365"/>
      <c r="N302" s="366"/>
      <c r="O302" s="72"/>
      <c r="P302" s="73"/>
      <c r="Q302" s="73"/>
    </row>
    <row r="303" spans="1:17" s="363" customFormat="1" ht="15" customHeight="1" x14ac:dyDescent="0.2">
      <c r="A303" s="358"/>
      <c r="B303" s="367" t="str">
        <f>'DEFINITIF (APBNP)'!B1636</f>
        <v>Lainea - Awunio  22,803 Km termasuk Supervisi</v>
      </c>
      <c r="C303" s="367">
        <f>'DEFINITIF (APBNP)'!C1636</f>
        <v>1</v>
      </c>
      <c r="D303" s="367" t="str">
        <f>'DEFINITIF (APBNP)'!D1636</f>
        <v>PKT</v>
      </c>
      <c r="E303" s="367">
        <f>'DEFINITIF (APBNP)'!E1636</f>
        <v>1500000</v>
      </c>
      <c r="F303" s="360">
        <f t="shared" si="4"/>
        <v>1500000</v>
      </c>
      <c r="G303" s="361"/>
      <c r="H303" s="366"/>
      <c r="J303" s="366"/>
      <c r="L303" s="364"/>
      <c r="M303" s="365"/>
      <c r="N303" s="366"/>
      <c r="O303" s="72"/>
      <c r="P303" s="73"/>
      <c r="Q303" s="73"/>
    </row>
    <row r="304" spans="1:17" s="363" customFormat="1" ht="15" customHeight="1" x14ac:dyDescent="0.2">
      <c r="A304" s="358"/>
      <c r="B304" s="367">
        <f>'DEFINITIF (APBNP)'!B1637</f>
        <v>0</v>
      </c>
      <c r="C304" s="367">
        <f>'DEFINITIF (APBNP)'!C1637</f>
        <v>0</v>
      </c>
      <c r="D304" s="367">
        <f>'DEFINITIF (APBNP)'!D1637</f>
        <v>0</v>
      </c>
      <c r="E304" s="367">
        <f>'DEFINITIF (APBNP)'!E1637</f>
        <v>0</v>
      </c>
      <c r="F304" s="360">
        <f t="shared" si="4"/>
        <v>0</v>
      </c>
      <c r="G304" s="361"/>
      <c r="H304" s="366"/>
      <c r="J304" s="366"/>
      <c r="L304" s="364"/>
      <c r="M304" s="365"/>
      <c r="N304" s="366"/>
      <c r="O304" s="72"/>
      <c r="P304" s="73"/>
      <c r="Q304" s="73"/>
    </row>
    <row r="305" spans="1:17" s="363" customFormat="1" ht="15" customHeight="1" x14ac:dyDescent="0.2">
      <c r="A305" s="358"/>
      <c r="B305" s="367">
        <f>'DEFINITIF (APBNP)'!B1638</f>
        <v>0</v>
      </c>
      <c r="C305" s="367">
        <f>'DEFINITIF (APBNP)'!C1638</f>
        <v>0</v>
      </c>
      <c r="D305" s="367">
        <f>'DEFINITIF (APBNP)'!D1638</f>
        <v>0</v>
      </c>
      <c r="E305" s="367">
        <f>'DEFINITIF (APBNP)'!E1638</f>
        <v>0</v>
      </c>
      <c r="F305" s="360">
        <f t="shared" si="4"/>
        <v>0</v>
      </c>
      <c r="G305" s="361"/>
      <c r="H305" s="366"/>
      <c r="J305" s="366"/>
      <c r="L305" s="364"/>
      <c r="M305" s="365"/>
      <c r="N305" s="366"/>
      <c r="O305" s="72"/>
      <c r="P305" s="73"/>
      <c r="Q305" s="73"/>
    </row>
    <row r="306" spans="1:17" s="363" customFormat="1" ht="15" customHeight="1" x14ac:dyDescent="0.2">
      <c r="A306" s="358"/>
      <c r="B306" s="367"/>
      <c r="C306" s="367"/>
      <c r="D306" s="367"/>
      <c r="E306" s="367"/>
      <c r="F306" s="360"/>
      <c r="G306" s="361"/>
      <c r="H306" s="366"/>
      <c r="J306" s="366"/>
      <c r="L306" s="364"/>
      <c r="M306" s="365"/>
      <c r="N306" s="366"/>
      <c r="O306" s="72"/>
      <c r="P306" s="73"/>
      <c r="Q306" s="73"/>
    </row>
    <row r="307" spans="1:17" s="355" customFormat="1" ht="15" customHeight="1" x14ac:dyDescent="0.2">
      <c r="A307" s="349">
        <v>30</v>
      </c>
      <c r="B307" s="350" t="s">
        <v>818</v>
      </c>
      <c r="C307" s="350">
        <f>SUM(C308:C313)</f>
        <v>4</v>
      </c>
      <c r="D307" s="351"/>
      <c r="E307" s="351"/>
      <c r="F307" s="352">
        <f>SUM(F308:F313)</f>
        <v>7000000</v>
      </c>
      <c r="G307" s="353"/>
      <c r="H307" s="354"/>
      <c r="J307" s="354"/>
      <c r="L307" s="356"/>
      <c r="M307" s="357"/>
      <c r="N307" s="354"/>
      <c r="O307" s="387">
        <f>F307</f>
        <v>7000000</v>
      </c>
      <c r="P307" s="216">
        <f>O307-F307</f>
        <v>0</v>
      </c>
      <c r="Q307" s="73"/>
    </row>
    <row r="308" spans="1:17" s="363" customFormat="1" ht="24" customHeight="1" x14ac:dyDescent="0.2">
      <c r="A308" s="358"/>
      <c r="B308" s="367" t="str">
        <f>'DEFINITIF (APBNP)'!B1690</f>
        <v>Ruas Jalan Kab. SBT (Guardrail pada ruas Kobisonta - Banggoi - Bula, 550 m) (termasuk supervisi)</v>
      </c>
      <c r="C308" s="367">
        <f>'DEFINITIF (APBNP)'!C1690</f>
        <v>1</v>
      </c>
      <c r="D308" s="367" t="str">
        <f>'DEFINITIF (APBNP)'!D1690</f>
        <v>PKT</v>
      </c>
      <c r="E308" s="367">
        <f>'DEFINITIF (APBNP)'!E1690</f>
        <v>900000</v>
      </c>
      <c r="F308" s="360">
        <f t="shared" si="4"/>
        <v>900000</v>
      </c>
      <c r="G308" s="361"/>
      <c r="H308" s="362"/>
      <c r="J308" s="362"/>
      <c r="L308" s="364"/>
      <c r="M308" s="365"/>
      <c r="N308" s="362"/>
      <c r="O308" s="72"/>
      <c r="P308" s="73"/>
      <c r="Q308" s="73"/>
    </row>
    <row r="309" spans="1:17" s="363" customFormat="1" ht="24" customHeight="1" x14ac:dyDescent="0.2">
      <c r="A309" s="358"/>
      <c r="B309" s="367" t="str">
        <f>'DEFINITIF (APBNP)'!B1691</f>
        <v>Ruas Jalan Kab. Buru Selatan (Guard Rail pada ruas Mako - Modaumohe - Namrole, 1.700 m ) (termasuk supervisi)</v>
      </c>
      <c r="C309" s="367">
        <f>'DEFINITIF (APBNP)'!C1691</f>
        <v>1</v>
      </c>
      <c r="D309" s="367" t="str">
        <f>'DEFINITIF (APBNP)'!D1691</f>
        <v>PKT</v>
      </c>
      <c r="E309" s="367">
        <f>'DEFINITIF (APBNP)'!E1691</f>
        <v>2700000</v>
      </c>
      <c r="F309" s="360">
        <f t="shared" si="4"/>
        <v>2700000</v>
      </c>
      <c r="G309" s="361"/>
      <c r="H309" s="362"/>
      <c r="J309" s="362"/>
      <c r="L309" s="364"/>
      <c r="M309" s="365"/>
      <c r="N309" s="362"/>
      <c r="O309" s="72"/>
      <c r="P309" s="73"/>
      <c r="Q309" s="73"/>
    </row>
    <row r="310" spans="1:17" s="363" customFormat="1" ht="24" customHeight="1" x14ac:dyDescent="0.2">
      <c r="A310" s="358"/>
      <c r="B310" s="367" t="str">
        <f>'DEFINITIF (APBNP)'!B1692</f>
        <v>Ruas Jalan Kab. Buru (Guard Rail pada ruas Teluk Bara - Air Buaya - Samalagi, 1.550 meter) (termasuk supervisi)</v>
      </c>
      <c r="C310" s="367">
        <f>'DEFINITIF (APBNP)'!C1692</f>
        <v>1</v>
      </c>
      <c r="D310" s="367" t="str">
        <f>'DEFINITIF (APBNP)'!D1692</f>
        <v>PKT</v>
      </c>
      <c r="E310" s="367">
        <f>'DEFINITIF (APBNP)'!E1692</f>
        <v>2400000</v>
      </c>
      <c r="F310" s="360">
        <f>C310*E310</f>
        <v>2400000</v>
      </c>
      <c r="G310" s="361"/>
      <c r="H310" s="362"/>
      <c r="J310" s="362"/>
      <c r="L310" s="364"/>
      <c r="M310" s="365"/>
      <c r="N310" s="362"/>
      <c r="O310" s="72"/>
      <c r="P310" s="73"/>
      <c r="Q310" s="73"/>
    </row>
    <row r="311" spans="1:17" s="363" customFormat="1" ht="15" customHeight="1" x14ac:dyDescent="0.2">
      <c r="A311" s="358"/>
      <c r="B311" s="367"/>
      <c r="C311" s="367"/>
      <c r="D311" s="367"/>
      <c r="E311" s="367"/>
      <c r="F311" s="360"/>
      <c r="G311" s="361"/>
      <c r="H311" s="362"/>
      <c r="J311" s="362"/>
      <c r="L311" s="364"/>
      <c r="M311" s="365"/>
      <c r="N311" s="362"/>
      <c r="O311" s="72"/>
      <c r="P311" s="73"/>
      <c r="Q311" s="73"/>
    </row>
    <row r="312" spans="1:17" s="363" customFormat="1" ht="15" customHeight="1" x14ac:dyDescent="0.2">
      <c r="A312" s="358"/>
      <c r="B312" s="367" t="str">
        <f>'DEFINITIF (APBNP)'!B1694</f>
        <v xml:space="preserve">Peningkatan Kinerja Lalu Lintas di Jalan Nasional Wilayah Perkotaan </v>
      </c>
      <c r="C312" s="367"/>
      <c r="D312" s="367"/>
      <c r="E312" s="367"/>
      <c r="F312" s="360"/>
      <c r="G312" s="361"/>
      <c r="H312" s="362"/>
      <c r="J312" s="362"/>
      <c r="L312" s="364"/>
      <c r="M312" s="365"/>
      <c r="N312" s="362"/>
      <c r="O312" s="72"/>
      <c r="P312" s="73"/>
      <c r="Q312" s="73"/>
    </row>
    <row r="313" spans="1:17" s="363" customFormat="1" ht="15" customHeight="1" x14ac:dyDescent="0.2">
      <c r="A313" s="358"/>
      <c r="B313" s="367" t="str">
        <f>'DEFINITIF (APBNP)'!B1695</f>
        <v>Jalan Nasional Perkotaan Ambon</v>
      </c>
      <c r="C313" s="367">
        <f>'DEFINITIF (APBNP)'!C1695</f>
        <v>1</v>
      </c>
      <c r="D313" s="367" t="str">
        <f>'DEFINITIF (APBNP)'!D1695</f>
        <v>PKT</v>
      </c>
      <c r="E313" s="367">
        <f>'DEFINITIF (APBNP)'!E1695</f>
        <v>1000000</v>
      </c>
      <c r="F313" s="360">
        <f>C313*E313</f>
        <v>1000000</v>
      </c>
      <c r="G313" s="361"/>
      <c r="H313" s="366"/>
      <c r="J313" s="366"/>
      <c r="L313" s="364"/>
      <c r="M313" s="365"/>
      <c r="N313" s="366"/>
      <c r="O313" s="72"/>
      <c r="P313" s="73"/>
      <c r="Q313" s="73"/>
    </row>
    <row r="314" spans="1:17" s="363" customFormat="1" ht="15" customHeight="1" x14ac:dyDescent="0.2">
      <c r="A314" s="358"/>
      <c r="B314" s="367"/>
      <c r="C314" s="367"/>
      <c r="D314" s="367"/>
      <c r="E314" s="367"/>
      <c r="F314" s="360"/>
      <c r="G314" s="361"/>
      <c r="H314" s="366"/>
      <c r="J314" s="366"/>
      <c r="L314" s="364"/>
      <c r="M314" s="365"/>
      <c r="N314" s="366"/>
      <c r="O314" s="72"/>
      <c r="P314" s="73"/>
      <c r="Q314" s="73"/>
    </row>
    <row r="315" spans="1:17" s="355" customFormat="1" ht="15" customHeight="1" x14ac:dyDescent="0.2">
      <c r="A315" s="349">
        <v>31</v>
      </c>
      <c r="B315" s="350" t="s">
        <v>821</v>
      </c>
      <c r="C315" s="350">
        <f>SUM(C316:C319)</f>
        <v>2</v>
      </c>
      <c r="D315" s="351"/>
      <c r="E315" s="351"/>
      <c r="F315" s="352">
        <f>SUM(F316:F319)</f>
        <v>3560362</v>
      </c>
      <c r="G315" s="353"/>
      <c r="H315" s="354"/>
      <c r="J315" s="354"/>
      <c r="L315" s="356"/>
      <c r="M315" s="357"/>
      <c r="N315" s="354"/>
      <c r="O315" s="387">
        <f>F315</f>
        <v>3560362</v>
      </c>
      <c r="P315" s="216">
        <f>O315-F315</f>
        <v>0</v>
      </c>
      <c r="Q315" s="73"/>
    </row>
    <row r="316" spans="1:17" s="363" customFormat="1" ht="15" customHeight="1" x14ac:dyDescent="0.2">
      <c r="A316" s="358"/>
      <c r="B316" s="367" t="str">
        <f>'DEFINITIF (APBNP)'!B1756</f>
        <v>Ruas Jalan Nasional Boso - Sidangoli</v>
      </c>
      <c r="C316" s="367">
        <f>'DEFINITIF (APBNP)'!C1756</f>
        <v>1</v>
      </c>
      <c r="D316" s="367" t="str">
        <f>'DEFINITIF (APBNP)'!D1756</f>
        <v>PKT</v>
      </c>
      <c r="E316" s="367">
        <f>'DEFINITIF (APBNP)'!E1756</f>
        <v>1877476</v>
      </c>
      <c r="F316" s="360">
        <f>C316*E316</f>
        <v>1877476</v>
      </c>
      <c r="G316" s="361"/>
      <c r="H316" s="362"/>
      <c r="J316" s="362"/>
      <c r="L316" s="364"/>
      <c r="M316" s="365"/>
      <c r="N316" s="362"/>
      <c r="O316" s="72"/>
      <c r="P316" s="73"/>
      <c r="Q316" s="73"/>
    </row>
    <row r="317" spans="1:17" s="363" customFormat="1" ht="15" customHeight="1" x14ac:dyDescent="0.2">
      <c r="A317" s="358"/>
      <c r="B317" s="367" t="str">
        <f>'DEFINITIF (APBNP)'!B1757</f>
        <v>Ruas Jalan Nasional Boso - Kao</v>
      </c>
      <c r="C317" s="367">
        <f>'DEFINITIF (APBNP)'!C1757</f>
        <v>1</v>
      </c>
      <c r="D317" s="367" t="str">
        <f>'DEFINITIF (APBNP)'!D1757</f>
        <v>PKT</v>
      </c>
      <c r="E317" s="367">
        <f>'DEFINITIF (APBNP)'!E1757</f>
        <v>1682886</v>
      </c>
      <c r="F317" s="360">
        <f>C317*E317</f>
        <v>1682886</v>
      </c>
      <c r="G317" s="361"/>
      <c r="H317" s="362"/>
      <c r="J317" s="362"/>
      <c r="L317" s="364"/>
      <c r="M317" s="365"/>
      <c r="N317" s="362"/>
      <c r="O317" s="72"/>
      <c r="P317" s="73"/>
      <c r="Q317" s="73"/>
    </row>
    <row r="318" spans="1:17" s="363" customFormat="1" ht="15" customHeight="1" x14ac:dyDescent="0.2">
      <c r="A318" s="358"/>
      <c r="B318" s="367"/>
      <c r="C318" s="367"/>
      <c r="D318" s="367"/>
      <c r="E318" s="367"/>
      <c r="F318" s="360"/>
      <c r="G318" s="361"/>
      <c r="H318" s="362"/>
      <c r="J318" s="362"/>
      <c r="L318" s="364"/>
      <c r="M318" s="365"/>
      <c r="N318" s="362"/>
      <c r="O318" s="72"/>
      <c r="P318" s="73"/>
      <c r="Q318" s="73"/>
    </row>
    <row r="319" spans="1:17" s="363" customFormat="1" ht="15" customHeight="1" x14ac:dyDescent="0.2">
      <c r="A319" s="358"/>
      <c r="B319" s="367"/>
      <c r="C319" s="367"/>
      <c r="D319" s="367"/>
      <c r="E319" s="367"/>
      <c r="F319" s="360"/>
      <c r="G319" s="361"/>
      <c r="H319" s="362"/>
      <c r="J319" s="362"/>
      <c r="L319" s="364"/>
      <c r="M319" s="365"/>
      <c r="N319" s="362"/>
      <c r="O319" s="72"/>
      <c r="P319" s="73"/>
      <c r="Q319" s="73"/>
    </row>
    <row r="320" spans="1:17" s="363" customFormat="1" ht="15" customHeight="1" x14ac:dyDescent="0.2">
      <c r="A320" s="358"/>
      <c r="B320" s="367"/>
      <c r="C320" s="367"/>
      <c r="D320" s="367"/>
      <c r="E320" s="367"/>
      <c r="F320" s="360"/>
      <c r="G320" s="361"/>
      <c r="H320" s="362"/>
      <c r="J320" s="362"/>
      <c r="L320" s="364"/>
      <c r="M320" s="365"/>
      <c r="N320" s="362"/>
      <c r="O320" s="72"/>
      <c r="P320" s="73"/>
      <c r="Q320" s="73"/>
    </row>
    <row r="321" spans="1:17" s="355" customFormat="1" ht="15" customHeight="1" x14ac:dyDescent="0.2">
      <c r="A321" s="349">
        <v>32</v>
      </c>
      <c r="B321" s="350" t="s">
        <v>824</v>
      </c>
      <c r="C321" s="350">
        <f>SUM(C322:C331)</f>
        <v>5</v>
      </c>
      <c r="D321" s="350"/>
      <c r="E321" s="351"/>
      <c r="F321" s="352">
        <f>SUM(F322:F331)</f>
        <v>5718900.5999999996</v>
      </c>
      <c r="G321" s="353"/>
      <c r="H321" s="354"/>
      <c r="J321" s="354"/>
      <c r="L321" s="356"/>
      <c r="M321" s="357"/>
      <c r="N321" s="354"/>
      <c r="O321" s="387">
        <f>F321</f>
        <v>5718900.5999999996</v>
      </c>
      <c r="P321" s="216">
        <f>O321-F321</f>
        <v>0</v>
      </c>
      <c r="Q321" s="73"/>
    </row>
    <row r="322" spans="1:17" s="363" customFormat="1" ht="15" customHeight="1" x14ac:dyDescent="0.2">
      <c r="A322" s="358"/>
      <c r="B322" s="367" t="str">
        <f>'DEFINITIF (APBNP)'!B1803</f>
        <v>Jl. Bts Kab. Merauke - Boven Digoel - Muting (Kab.Boven Digoel)</v>
      </c>
      <c r="C322" s="367">
        <f>'DEFINITIF (APBNP)'!C1803</f>
        <v>1</v>
      </c>
      <c r="D322" s="367" t="str">
        <f>'DEFINITIF (APBNP)'!D1803</f>
        <v>PKT</v>
      </c>
      <c r="E322" s="367">
        <f>'DEFINITIF (APBNP)'!E1803</f>
        <v>1345261.6</v>
      </c>
      <c r="F322" s="360">
        <f t="shared" ref="F322:F327" si="5">C322*E322</f>
        <v>1345261.6</v>
      </c>
      <c r="G322" s="361"/>
      <c r="H322" s="362"/>
      <c r="J322" s="362"/>
      <c r="L322" s="364"/>
      <c r="M322" s="365"/>
      <c r="N322" s="362"/>
      <c r="O322" s="72"/>
      <c r="P322" s="73"/>
      <c r="Q322" s="73"/>
    </row>
    <row r="323" spans="1:17" s="363" customFormat="1" ht="15" customHeight="1" x14ac:dyDescent="0.2">
      <c r="A323" s="358"/>
      <c r="B323" s="367" t="str">
        <f>'DEFINITIF (APBNP)'!B1804</f>
        <v>Jl. Bonggo - Betaf - Sarmi (Kab. Sarmi)</v>
      </c>
      <c r="C323" s="367">
        <f>'DEFINITIF (APBNP)'!C1804</f>
        <v>1</v>
      </c>
      <c r="D323" s="367" t="str">
        <f>'DEFINITIF (APBNP)'!D1804</f>
        <v>PKT</v>
      </c>
      <c r="E323" s="367">
        <f>'DEFINITIF (APBNP)'!E1804</f>
        <v>1373639</v>
      </c>
      <c r="F323" s="360">
        <f t="shared" si="5"/>
        <v>1373639</v>
      </c>
      <c r="G323" s="361"/>
      <c r="H323" s="362"/>
      <c r="J323" s="362"/>
      <c r="L323" s="364"/>
      <c r="M323" s="365"/>
      <c r="N323" s="362"/>
      <c r="O323" s="72"/>
      <c r="P323" s="73"/>
      <c r="Q323" s="73"/>
    </row>
    <row r="324" spans="1:17" s="363" customFormat="1" ht="15" customHeight="1" x14ac:dyDescent="0.2">
      <c r="A324" s="358"/>
      <c r="B324" s="367" t="str">
        <f>'DEFINITIF (APBNP)'!B1805</f>
        <v>Jl. Sentani - Batas Kota Jayapura (Kab.Jayapura)</v>
      </c>
      <c r="C324" s="367">
        <f>'DEFINITIF (APBNP)'!C1805</f>
        <v>1</v>
      </c>
      <c r="D324" s="367" t="str">
        <f>'DEFINITIF (APBNP)'!D1805</f>
        <v>PKT</v>
      </c>
      <c r="E324" s="367">
        <f>'DEFINITIF (APBNP)'!E1805</f>
        <v>1000000</v>
      </c>
      <c r="F324" s="360">
        <f t="shared" si="5"/>
        <v>1000000</v>
      </c>
      <c r="G324" s="361"/>
      <c r="H324" s="362"/>
      <c r="J324" s="362"/>
      <c r="L324" s="364"/>
      <c r="M324" s="365"/>
      <c r="N324" s="362"/>
      <c r="O324" s="72"/>
      <c r="P324" s="73"/>
      <c r="Q324" s="73"/>
    </row>
    <row r="325" spans="1:17" s="363" customFormat="1" ht="15" customHeight="1" x14ac:dyDescent="0.2">
      <c r="A325" s="358"/>
      <c r="B325" s="367" t="str">
        <f>'DEFINITIF (APBNP)'!B1806</f>
        <v>Jl. Holtekam-Koya-Skow/Bts PNG (Kota Jayapura)</v>
      </c>
      <c r="C325" s="367">
        <f>'DEFINITIF (APBNP)'!C1806</f>
        <v>1</v>
      </c>
      <c r="D325" s="367" t="str">
        <f>'DEFINITIF (APBNP)'!D1806</f>
        <v>PKT</v>
      </c>
      <c r="E325" s="367">
        <f>'DEFINITIF (APBNP)'!E1806</f>
        <v>1000000</v>
      </c>
      <c r="F325" s="360">
        <f t="shared" si="5"/>
        <v>1000000</v>
      </c>
      <c r="G325" s="361"/>
      <c r="H325" s="362"/>
      <c r="J325" s="362"/>
      <c r="L325" s="364"/>
      <c r="M325" s="365"/>
      <c r="N325" s="362"/>
      <c r="O325" s="72"/>
      <c r="P325" s="73"/>
      <c r="Q325" s="73"/>
    </row>
    <row r="326" spans="1:17" s="363" customFormat="1" ht="15" customHeight="1" x14ac:dyDescent="0.2">
      <c r="A326" s="358"/>
      <c r="B326" s="367" t="str">
        <f>'DEFINITIF (APBNP)'!B1807</f>
        <v>Jl. Abepura - Arso (Kota Jayapura)</v>
      </c>
      <c r="C326" s="367">
        <f>'DEFINITIF (APBNP)'!C1807</f>
        <v>0</v>
      </c>
      <c r="D326" s="367" t="str">
        <f>'DEFINITIF (APBNP)'!D1807</f>
        <v>PKT</v>
      </c>
      <c r="E326" s="367">
        <f>'DEFINITIF (APBNP)'!E1807</f>
        <v>1500000</v>
      </c>
      <c r="F326" s="360">
        <f t="shared" si="5"/>
        <v>0</v>
      </c>
      <c r="G326" s="361"/>
      <c r="H326" s="362"/>
      <c r="J326" s="362"/>
      <c r="L326" s="364"/>
      <c r="M326" s="365"/>
      <c r="N326" s="362"/>
      <c r="O326" s="72"/>
      <c r="P326" s="73"/>
      <c r="Q326" s="73"/>
    </row>
    <row r="327" spans="1:17" s="363" customFormat="1" ht="15" customHeight="1" x14ac:dyDescent="0.2">
      <c r="A327" s="358"/>
      <c r="B327" s="367" t="str">
        <f>'DEFINITIF (APBNP)'!B1808</f>
        <v>Jl. Tanah Merah - Gententiri ( Kab. Merauke )</v>
      </c>
      <c r="C327" s="367">
        <f>'DEFINITIF (APBNP)'!C1808</f>
        <v>0</v>
      </c>
      <c r="D327" s="367" t="str">
        <f>'DEFINITIF (APBNP)'!D1808</f>
        <v>PKT</v>
      </c>
      <c r="E327" s="367">
        <f>'DEFINITIF (APBNP)'!E1808</f>
        <v>1500000</v>
      </c>
      <c r="F327" s="360">
        <f t="shared" si="5"/>
        <v>0</v>
      </c>
      <c r="G327" s="361"/>
      <c r="H327" s="362"/>
      <c r="J327" s="362"/>
      <c r="L327" s="364"/>
      <c r="M327" s="365"/>
      <c r="N327" s="362"/>
      <c r="O327" s="72"/>
      <c r="P327" s="73"/>
      <c r="Q327" s="73"/>
    </row>
    <row r="328" spans="1:17" s="363" customFormat="1" ht="15" customHeight="1" x14ac:dyDescent="0.2">
      <c r="A328" s="358"/>
      <c r="B328" s="367"/>
      <c r="C328" s="367"/>
      <c r="D328" s="367"/>
      <c r="E328" s="367"/>
      <c r="F328" s="360"/>
      <c r="G328" s="361"/>
      <c r="H328" s="362"/>
      <c r="J328" s="362"/>
      <c r="L328" s="364"/>
      <c r="M328" s="365"/>
      <c r="N328" s="362"/>
      <c r="O328" s="72"/>
      <c r="P328" s="73"/>
      <c r="Q328" s="73"/>
    </row>
    <row r="329" spans="1:17" s="363" customFormat="1" ht="15" customHeight="1" x14ac:dyDescent="0.2">
      <c r="A329" s="358"/>
      <c r="B329" s="367" t="str">
        <f>'DEFINITIF (APBNP)'!B1810</f>
        <v>PENINGKATAN JALAN NASIONAL PERKOTAAN</v>
      </c>
      <c r="C329" s="367"/>
      <c r="D329" s="367"/>
      <c r="E329" s="367"/>
      <c r="F329" s="360"/>
      <c r="G329" s="361"/>
      <c r="H329" s="362"/>
      <c r="J329" s="362"/>
      <c r="L329" s="364"/>
      <c r="M329" s="365"/>
      <c r="N329" s="362"/>
      <c r="O329" s="72"/>
      <c r="P329" s="73"/>
      <c r="Q329" s="73"/>
    </row>
    <row r="330" spans="1:17" s="363" customFormat="1" ht="25.5" customHeight="1" x14ac:dyDescent="0.2">
      <c r="A330" s="358"/>
      <c r="B330" s="367" t="str">
        <f>'DEFINITIF (APBNP)'!B1811</f>
        <v xml:space="preserve"> Jalan Nasional di Kota Wamena (Jl. Trikora, Jl. Hom-Hom, Jl. Pike, Jl. Piramida, Jl. Yusudarso) (Kab.Wamena) ( K )</v>
      </c>
      <c r="C330" s="367">
        <f>'DEFINITIF (APBNP)'!C1811</f>
        <v>1</v>
      </c>
      <c r="D330" s="367" t="str">
        <f>'DEFINITIF (APBNP)'!D1811</f>
        <v>PKT</v>
      </c>
      <c r="E330" s="367">
        <f>'DEFINITIF (APBNP)'!E1811</f>
        <v>1000000</v>
      </c>
      <c r="F330" s="360">
        <f>C330*E330</f>
        <v>1000000</v>
      </c>
      <c r="G330" s="361"/>
      <c r="H330" s="362"/>
      <c r="J330" s="362"/>
      <c r="L330" s="364"/>
      <c r="M330" s="365"/>
      <c r="N330" s="362"/>
      <c r="O330" s="72"/>
      <c r="P330" s="73"/>
      <c r="Q330" s="73"/>
    </row>
    <row r="331" spans="1:17" s="363" customFormat="1" ht="15" customHeight="1" x14ac:dyDescent="0.2">
      <c r="A331" s="358"/>
      <c r="B331" s="367"/>
      <c r="C331" s="367"/>
      <c r="D331" s="367"/>
      <c r="E331" s="367"/>
      <c r="F331" s="360"/>
      <c r="G331" s="361"/>
      <c r="H331" s="362"/>
      <c r="J331" s="362"/>
      <c r="L331" s="364"/>
      <c r="M331" s="365"/>
      <c r="N331" s="362"/>
      <c r="O331" s="72"/>
      <c r="P331" s="73"/>
      <c r="Q331" s="73"/>
    </row>
    <row r="332" spans="1:17" s="363" customFormat="1" ht="15" customHeight="1" x14ac:dyDescent="0.2">
      <c r="A332" s="349">
        <v>33</v>
      </c>
      <c r="B332" s="350" t="s">
        <v>827</v>
      </c>
      <c r="C332" s="375">
        <f>SUM(C333:C335)</f>
        <v>3</v>
      </c>
      <c r="D332" s="375"/>
      <c r="E332" s="375"/>
      <c r="F332" s="376">
        <f>SUM(F333:F335)</f>
        <v>3000000</v>
      </c>
      <c r="G332" s="361"/>
      <c r="H332" s="362"/>
      <c r="J332" s="362"/>
      <c r="L332" s="364"/>
      <c r="M332" s="365"/>
      <c r="N332" s="362"/>
      <c r="O332" s="387">
        <f>F332</f>
        <v>3000000</v>
      </c>
      <c r="P332" s="216">
        <f>O332-F332</f>
        <v>0</v>
      </c>
      <c r="Q332" s="73"/>
    </row>
    <row r="333" spans="1:17" s="363" customFormat="1" ht="15" customHeight="1" x14ac:dyDescent="0.2">
      <c r="A333" s="358"/>
      <c r="B333" s="367" t="str">
        <f>'DEFINITIF (APBNP)'!B1883</f>
        <v>Ruas Jalan Manokwari - Warmare - Prafi Segmen I</v>
      </c>
      <c r="C333" s="367">
        <f>'DEFINITIF (APBNP)'!C1883</f>
        <v>1</v>
      </c>
      <c r="D333" s="367" t="str">
        <f>'DEFINITIF (APBNP)'!D1883</f>
        <v>PKT</v>
      </c>
      <c r="E333" s="367">
        <f>'DEFINITIF (APBNP)'!E1883</f>
        <v>1000000</v>
      </c>
      <c r="F333" s="360">
        <f>C333*E333</f>
        <v>1000000</v>
      </c>
      <c r="G333" s="361"/>
      <c r="H333" s="362"/>
      <c r="J333" s="362"/>
      <c r="L333" s="364"/>
      <c r="M333" s="365"/>
      <c r="N333" s="362"/>
      <c r="O333" s="72"/>
      <c r="P333" s="73"/>
      <c r="Q333" s="73"/>
    </row>
    <row r="334" spans="1:17" s="363" customFormat="1" ht="15" customHeight="1" x14ac:dyDescent="0.2">
      <c r="A334" s="358"/>
      <c r="B334" s="367" t="str">
        <f>'DEFINITIF (APBNP)'!B1884</f>
        <v>Ruas Jalan Batas Kab. Sorong - Teminabuan - Kambuaya -Susumuk - Kumurkek</v>
      </c>
      <c r="C334" s="367">
        <f>'DEFINITIF (APBNP)'!C1884</f>
        <v>1</v>
      </c>
      <c r="D334" s="367" t="str">
        <f>'DEFINITIF (APBNP)'!D1884</f>
        <v>PKT</v>
      </c>
      <c r="E334" s="367">
        <f>'DEFINITIF (APBNP)'!E1884</f>
        <v>1000000</v>
      </c>
      <c r="F334" s="360">
        <f>C334*E334</f>
        <v>1000000</v>
      </c>
      <c r="G334" s="361"/>
      <c r="H334" s="362"/>
      <c r="J334" s="362"/>
      <c r="L334" s="364"/>
      <c r="M334" s="365"/>
      <c r="N334" s="362"/>
      <c r="O334" s="72"/>
      <c r="P334" s="73"/>
      <c r="Q334" s="73"/>
    </row>
    <row r="335" spans="1:17" s="363" customFormat="1" ht="15" customHeight="1" x14ac:dyDescent="0.2">
      <c r="A335" s="358"/>
      <c r="B335" s="367" t="str">
        <f>'DEFINITIF (APBNP)'!B1885</f>
        <v xml:space="preserve">Ruas Jalan Yosudarso - Jl. Ahmad Yani - Jl. Basuki Rahmad </v>
      </c>
      <c r="C335" s="367">
        <f>'DEFINITIF (APBNP)'!C1885</f>
        <v>1</v>
      </c>
      <c r="D335" s="367" t="str">
        <f>'DEFINITIF (APBNP)'!D1885</f>
        <v>PKT</v>
      </c>
      <c r="E335" s="367">
        <f>'DEFINITIF (APBNP)'!E1885</f>
        <v>1000000</v>
      </c>
      <c r="F335" s="360">
        <f>C335*E335</f>
        <v>1000000</v>
      </c>
      <c r="G335" s="361"/>
      <c r="H335" s="362"/>
      <c r="J335" s="362"/>
      <c r="L335" s="364"/>
      <c r="M335" s="365"/>
      <c r="N335" s="362"/>
      <c r="O335" s="72"/>
      <c r="P335" s="73"/>
      <c r="Q335" s="73"/>
    </row>
    <row r="336" spans="1:17" s="363" customFormat="1" ht="15" customHeight="1" thickBot="1" x14ac:dyDescent="0.25">
      <c r="A336" s="358"/>
      <c r="B336" s="367"/>
      <c r="C336" s="367"/>
      <c r="D336" s="367"/>
      <c r="E336" s="367"/>
      <c r="F336" s="360"/>
      <c r="G336" s="361"/>
      <c r="H336" s="362"/>
      <c r="J336" s="362"/>
      <c r="L336" s="364"/>
      <c r="M336" s="365"/>
      <c r="N336" s="362"/>
      <c r="O336" s="72"/>
      <c r="P336" s="73"/>
      <c r="Q336" s="73"/>
    </row>
    <row r="337" spans="1:18" s="383" customFormat="1" ht="15" customHeight="1" thickBot="1" x14ac:dyDescent="0.25">
      <c r="A337" s="325" t="s">
        <v>1729</v>
      </c>
      <c r="B337" s="326" t="s">
        <v>1728</v>
      </c>
      <c r="C337" s="378">
        <f>C339</f>
        <v>6</v>
      </c>
      <c r="D337" s="328" t="s">
        <v>860</v>
      </c>
      <c r="E337" s="379"/>
      <c r="F337" s="380">
        <f>F339</f>
        <v>25700000</v>
      </c>
      <c r="G337" s="381"/>
      <c r="H337" s="382"/>
      <c r="J337" s="384"/>
      <c r="L337" s="385"/>
      <c r="M337" s="386"/>
      <c r="N337" s="384"/>
      <c r="O337" s="387">
        <f>SUM(F340:F345)</f>
        <v>25700000</v>
      </c>
      <c r="P337" s="216">
        <f>F337-O337</f>
        <v>0</v>
      </c>
      <c r="Q337" s="388"/>
    </row>
    <row r="338" spans="1:18" s="363" customFormat="1" ht="15" customHeight="1" x14ac:dyDescent="0.2">
      <c r="A338" s="389"/>
      <c r="B338" s="390"/>
      <c r="C338" s="390"/>
      <c r="D338" s="390"/>
      <c r="E338" s="390"/>
      <c r="F338" s="391"/>
      <c r="G338" s="361"/>
      <c r="H338" s="362"/>
      <c r="J338" s="362"/>
      <c r="L338" s="364"/>
      <c r="M338" s="365"/>
      <c r="N338" s="362"/>
      <c r="O338" s="72"/>
      <c r="P338" s="73"/>
      <c r="Q338" s="73"/>
    </row>
    <row r="339" spans="1:18" s="363" customFormat="1" ht="15" customHeight="1" x14ac:dyDescent="0.2">
      <c r="A339" s="349">
        <v>1</v>
      </c>
      <c r="B339" s="350" t="s">
        <v>1731</v>
      </c>
      <c r="C339" s="392">
        <f>SUM(C340:C345)</f>
        <v>6</v>
      </c>
      <c r="D339" s="392"/>
      <c r="E339" s="392"/>
      <c r="F339" s="1841">
        <f>SUM(F340:F345)</f>
        <v>25700000</v>
      </c>
      <c r="G339" s="361"/>
      <c r="H339" s="362"/>
      <c r="J339" s="362"/>
      <c r="L339" s="364"/>
      <c r="M339" s="365"/>
      <c r="N339" s="362"/>
      <c r="O339" s="72"/>
      <c r="P339" s="73"/>
      <c r="Q339" s="73"/>
    </row>
    <row r="340" spans="1:18" s="363" customFormat="1" ht="15" customHeight="1" x14ac:dyDescent="0.2">
      <c r="A340" s="1842"/>
      <c r="B340" s="666" t="str">
        <f>'DEFINITIF (APBNP)'!B2836</f>
        <v>Peningkatan Kinerja Jaringan Transportasi Jalan Pendukung Angkutan Lebaran di Prop. Jawa Barat (Tahap II)</v>
      </c>
      <c r="C340" s="666">
        <f>'DEFINITIF (APBNP)'!C2836</f>
        <v>1</v>
      </c>
      <c r="D340" s="666" t="str">
        <f>'DEFINITIF (APBNP)'!D2836</f>
        <v>PKT</v>
      </c>
      <c r="E340" s="666">
        <f>'DEFINITIF (APBNP)'!E2836</f>
        <v>15000000</v>
      </c>
      <c r="F340" s="360">
        <f t="shared" ref="F340:F345" si="6">C340*E340</f>
        <v>15000000</v>
      </c>
      <c r="G340" s="361"/>
      <c r="H340" s="362"/>
      <c r="J340" s="362"/>
      <c r="L340" s="364"/>
      <c r="M340" s="365"/>
      <c r="N340" s="362"/>
      <c r="O340" s="72"/>
      <c r="P340" s="73"/>
      <c r="Q340" s="73"/>
    </row>
    <row r="341" spans="1:18" s="363" customFormat="1" ht="15" customHeight="1" x14ac:dyDescent="0.2">
      <c r="A341" s="1842"/>
      <c r="B341" s="666" t="str">
        <f>'DEFINITIF (APBNP)'!B2895</f>
        <v>Pembangunan LPJU Solar Cell di Jalur Pansela</v>
      </c>
      <c r="C341" s="666">
        <f>'DEFINITIF (APBNP)'!C2895</f>
        <v>1</v>
      </c>
      <c r="D341" s="666" t="str">
        <f>'DEFINITIF (APBNP)'!D2895</f>
        <v>PKT</v>
      </c>
      <c r="E341" s="666">
        <f>'DEFINITIF (APBNP)'!E2895</f>
        <v>2500000</v>
      </c>
      <c r="F341" s="360">
        <f t="shared" si="6"/>
        <v>2500000</v>
      </c>
      <c r="G341" s="361"/>
      <c r="H341" s="362"/>
      <c r="J341" s="362"/>
      <c r="L341" s="364"/>
      <c r="M341" s="365"/>
      <c r="N341" s="362"/>
      <c r="O341" s="72"/>
      <c r="P341" s="73"/>
      <c r="Q341" s="73"/>
    </row>
    <row r="342" spans="1:18" s="363" customFormat="1" ht="15" customHeight="1" x14ac:dyDescent="0.2">
      <c r="A342" s="1842"/>
      <c r="B342" s="666" t="str">
        <f>'DEFINITIF (APBNP)'!B2896</f>
        <v>Pembangunan LPJU Solar Cell di Jalur Pantura</v>
      </c>
      <c r="C342" s="666">
        <f>'DEFINITIF (APBNP)'!C2896</f>
        <v>1</v>
      </c>
      <c r="D342" s="666" t="str">
        <f>'DEFINITIF (APBNP)'!D2896</f>
        <v>PKT</v>
      </c>
      <c r="E342" s="666">
        <f>'DEFINITIF (APBNP)'!E2896</f>
        <v>2500000</v>
      </c>
      <c r="F342" s="360">
        <f t="shared" si="6"/>
        <v>2500000</v>
      </c>
      <c r="G342" s="361"/>
      <c r="H342" s="362"/>
      <c r="J342" s="362"/>
      <c r="L342" s="364"/>
      <c r="M342" s="365"/>
      <c r="N342" s="362"/>
      <c r="O342" s="72"/>
      <c r="P342" s="73"/>
      <c r="Q342" s="73"/>
    </row>
    <row r="343" spans="1:18" s="363" customFormat="1" ht="15" customHeight="1" x14ac:dyDescent="0.2">
      <c r="A343" s="1842"/>
      <c r="B343" s="666" t="str">
        <f>'DEFINITIF (APBNP)'!B2897</f>
        <v>Pembangunan LPJU Solar Cell di Jalur Lintas Timur P. Sumatera</v>
      </c>
      <c r="C343" s="666">
        <f>'DEFINITIF (APBNP)'!C2897</f>
        <v>1</v>
      </c>
      <c r="D343" s="666" t="str">
        <f>'DEFINITIF (APBNP)'!D2897</f>
        <v>PKT</v>
      </c>
      <c r="E343" s="666">
        <f>'DEFINITIF (APBNP)'!E2897</f>
        <v>2500000</v>
      </c>
      <c r="F343" s="360">
        <f t="shared" si="6"/>
        <v>2500000</v>
      </c>
      <c r="G343" s="361"/>
      <c r="H343" s="362"/>
      <c r="J343" s="362"/>
      <c r="L343" s="364"/>
      <c r="M343" s="365"/>
      <c r="N343" s="362"/>
      <c r="O343" s="72"/>
      <c r="P343" s="73"/>
      <c r="Q343" s="73"/>
    </row>
    <row r="344" spans="1:18" s="363" customFormat="1" ht="15" customHeight="1" x14ac:dyDescent="0.2">
      <c r="A344" s="1842"/>
      <c r="B344" s="666" t="str">
        <f>'DEFINITIF (APBNP)'!B2898</f>
        <v xml:space="preserve">Pembangunan Fasilitas Perlengkapan Jalan untuk ASIA dan ASEAN HIGHWAY </v>
      </c>
      <c r="C344" s="666">
        <f>'DEFINITIF (APBNP)'!C2898</f>
        <v>1</v>
      </c>
      <c r="D344" s="666" t="str">
        <f>'DEFINITIF (APBNP)'!D2898</f>
        <v>PKT</v>
      </c>
      <c r="E344" s="666">
        <f>'DEFINITIF (APBNP)'!E2898</f>
        <v>3000000</v>
      </c>
      <c r="F344" s="360">
        <f t="shared" si="6"/>
        <v>3000000</v>
      </c>
      <c r="G344" s="361"/>
      <c r="H344" s="362"/>
      <c r="J344" s="362"/>
      <c r="L344" s="364"/>
      <c r="M344" s="365"/>
      <c r="N344" s="362"/>
      <c r="O344" s="72"/>
      <c r="P344" s="73"/>
      <c r="Q344" s="73"/>
    </row>
    <row r="345" spans="1:18" s="363" customFormat="1" ht="15" customHeight="1" thickBot="1" x14ac:dyDescent="0.25">
      <c r="A345" s="1843"/>
      <c r="B345" s="1844" t="str">
        <f>'DEFINITIF (APBNP)'!B2899</f>
        <v>Pengadaan Alat uji fasilitas perlengkapan jalan</v>
      </c>
      <c r="C345" s="1845">
        <f>'DEFINITIF (APBNP)'!C2899</f>
        <v>1</v>
      </c>
      <c r="D345" s="1844" t="str">
        <f>'DEFINITIF (APBNP)'!D2899</f>
        <v>PKT</v>
      </c>
      <c r="E345" s="1844">
        <f>'DEFINITIF (APBNP)'!E2899</f>
        <v>200000</v>
      </c>
      <c r="F345" s="600">
        <f t="shared" si="6"/>
        <v>200000</v>
      </c>
      <c r="G345" s="361"/>
      <c r="H345" s="362"/>
      <c r="J345" s="362"/>
      <c r="L345" s="364"/>
      <c r="M345" s="365"/>
      <c r="N345" s="362"/>
      <c r="O345" s="387"/>
      <c r="P345" s="216"/>
      <c r="Q345" s="73"/>
    </row>
    <row r="346" spans="1:18" s="363" customFormat="1" ht="15" hidden="1" customHeight="1" x14ac:dyDescent="0.2">
      <c r="A346" s="393"/>
      <c r="B346" s="394"/>
      <c r="C346" s="394"/>
      <c r="D346" s="394"/>
      <c r="E346" s="394"/>
      <c r="F346" s="395"/>
      <c r="G346" s="361"/>
      <c r="H346" s="362"/>
      <c r="J346" s="362"/>
      <c r="L346" s="364"/>
      <c r="M346" s="365"/>
      <c r="N346" s="362"/>
      <c r="O346" s="234">
        <f>SUM(O12:O345)</f>
        <v>482629754.60000002</v>
      </c>
      <c r="P346" s="63"/>
      <c r="Q346" s="63"/>
    </row>
    <row r="347" spans="1:18" s="401" customFormat="1" ht="15" hidden="1" customHeight="1" x14ac:dyDescent="0.2">
      <c r="A347" s="298"/>
      <c r="B347" s="396"/>
      <c r="C347" s="397"/>
      <c r="D347" s="398"/>
      <c r="E347" s="399"/>
      <c r="F347" s="400"/>
      <c r="L347" s="402"/>
      <c r="M347" s="402"/>
      <c r="O347" s="64"/>
      <c r="P347" s="63"/>
      <c r="Q347" s="63"/>
    </row>
    <row r="348" spans="1:18" s="401" customFormat="1" ht="15" hidden="1" customHeight="1" x14ac:dyDescent="0.2">
      <c r="A348" s="298"/>
      <c r="B348" s="396"/>
      <c r="C348" s="397"/>
      <c r="D348" s="398"/>
      <c r="E348" s="399"/>
      <c r="F348" s="400"/>
      <c r="L348" s="402"/>
      <c r="M348" s="402"/>
      <c r="O348" s="64"/>
      <c r="P348" s="63"/>
      <c r="Q348" s="63"/>
    </row>
    <row r="349" spans="1:18" s="401" customFormat="1" ht="15" hidden="1" customHeight="1" x14ac:dyDescent="0.2">
      <c r="A349" s="298"/>
      <c r="B349" s="396"/>
      <c r="C349" s="397"/>
      <c r="D349" s="398"/>
      <c r="E349" s="399"/>
      <c r="F349" s="400"/>
      <c r="L349" s="402"/>
      <c r="M349" s="402"/>
      <c r="O349" s="64"/>
      <c r="P349" s="63"/>
      <c r="Q349" s="63"/>
    </row>
    <row r="350" spans="1:18" s="401" customFormat="1" ht="20.100000000000001" hidden="1" customHeight="1" x14ac:dyDescent="0.25">
      <c r="A350" s="662"/>
      <c r="B350" s="396" t="s">
        <v>1863</v>
      </c>
      <c r="C350" s="397"/>
      <c r="D350" s="398"/>
      <c r="E350" s="399"/>
      <c r="F350" s="400"/>
      <c r="L350" s="402"/>
      <c r="M350" s="402"/>
      <c r="O350" s="82"/>
      <c r="P350" s="2085" t="s">
        <v>1863</v>
      </c>
      <c r="Q350" s="2085"/>
      <c r="R350" s="2085"/>
    </row>
    <row r="351" spans="1:18" s="401" customFormat="1" ht="20.100000000000001" hidden="1" customHeight="1" x14ac:dyDescent="0.25">
      <c r="A351" s="662" t="s">
        <v>1864</v>
      </c>
      <c r="B351" s="663" t="s">
        <v>1668</v>
      </c>
      <c r="C351" s="397"/>
      <c r="D351" s="398"/>
      <c r="E351" s="399"/>
      <c r="F351" s="400"/>
      <c r="L351" s="402"/>
      <c r="M351" s="402"/>
      <c r="O351" s="82"/>
    </row>
    <row r="352" spans="1:18" s="401" customFormat="1" ht="20.100000000000001" hidden="1" customHeight="1" x14ac:dyDescent="0.25">
      <c r="A352" s="662">
        <v>1</v>
      </c>
      <c r="B352" s="396" t="s">
        <v>1865</v>
      </c>
      <c r="C352" s="397"/>
      <c r="D352" s="398"/>
      <c r="E352" s="399"/>
      <c r="F352" s="400"/>
      <c r="L352" s="402"/>
      <c r="M352" s="402"/>
      <c r="O352" s="82"/>
      <c r="P352" s="664" t="s">
        <v>1864</v>
      </c>
      <c r="Q352" s="665" t="s">
        <v>1668</v>
      </c>
      <c r="R352" s="423" t="s">
        <v>1875</v>
      </c>
    </row>
    <row r="353" spans="1:18" s="401" customFormat="1" ht="20.100000000000001" hidden="1" customHeight="1" x14ac:dyDescent="0.25">
      <c r="A353" s="662">
        <v>2</v>
      </c>
      <c r="B353" s="396" t="s">
        <v>1866</v>
      </c>
      <c r="C353" s="397"/>
      <c r="D353" s="398"/>
      <c r="E353" s="399"/>
      <c r="F353" s="400"/>
      <c r="L353" s="402"/>
      <c r="M353" s="402"/>
      <c r="O353" s="82"/>
      <c r="P353" s="664">
        <v>1</v>
      </c>
      <c r="Q353" s="666" t="s">
        <v>1865</v>
      </c>
      <c r="R353" s="423" t="s">
        <v>1876</v>
      </c>
    </row>
    <row r="354" spans="1:18" s="401" customFormat="1" ht="20.100000000000001" hidden="1" customHeight="1" x14ac:dyDescent="0.25">
      <c r="A354" s="662">
        <v>3</v>
      </c>
      <c r="B354" s="396" t="s">
        <v>1867</v>
      </c>
      <c r="C354" s="397"/>
      <c r="D354" s="398"/>
      <c r="E354" s="399"/>
      <c r="F354" s="400"/>
      <c r="L354" s="402"/>
      <c r="M354" s="402"/>
      <c r="O354" s="82"/>
      <c r="P354" s="664">
        <v>2</v>
      </c>
      <c r="Q354" s="666" t="s">
        <v>1866</v>
      </c>
      <c r="R354" s="423" t="s">
        <v>1876</v>
      </c>
    </row>
    <row r="355" spans="1:18" s="401" customFormat="1" ht="20.100000000000001" hidden="1" customHeight="1" x14ac:dyDescent="0.25">
      <c r="A355" s="662">
        <v>4</v>
      </c>
      <c r="B355" s="396" t="s">
        <v>1868</v>
      </c>
      <c r="C355" s="397"/>
      <c r="D355" s="398"/>
      <c r="E355" s="399"/>
      <c r="F355" s="400"/>
      <c r="L355" s="402"/>
      <c r="M355" s="402"/>
      <c r="O355" s="82"/>
      <c r="P355" s="664">
        <v>3</v>
      </c>
      <c r="Q355" s="666" t="s">
        <v>1867</v>
      </c>
      <c r="R355" s="423" t="s">
        <v>1876</v>
      </c>
    </row>
    <row r="356" spans="1:18" s="401" customFormat="1" ht="20.100000000000001" hidden="1" customHeight="1" x14ac:dyDescent="0.25">
      <c r="A356" s="662">
        <v>5</v>
      </c>
      <c r="B356" s="396" t="s">
        <v>1869</v>
      </c>
      <c r="C356" s="397"/>
      <c r="D356" s="398"/>
      <c r="E356" s="399"/>
      <c r="F356" s="400"/>
      <c r="L356" s="402"/>
      <c r="M356" s="402"/>
      <c r="O356" s="82"/>
      <c r="P356" s="664">
        <v>4</v>
      </c>
      <c r="Q356" s="666" t="s">
        <v>1868</v>
      </c>
      <c r="R356" s="667" t="s">
        <v>1877</v>
      </c>
    </row>
    <row r="357" spans="1:18" s="401" customFormat="1" ht="20.100000000000001" hidden="1" customHeight="1" x14ac:dyDescent="0.25">
      <c r="A357" s="662">
        <v>6</v>
      </c>
      <c r="B357" s="396" t="s">
        <v>1870</v>
      </c>
      <c r="C357" s="397"/>
      <c r="D357" s="398"/>
      <c r="E357" s="399"/>
      <c r="F357" s="400"/>
      <c r="L357" s="402"/>
      <c r="M357" s="402"/>
      <c r="O357" s="82"/>
      <c r="P357" s="664">
        <v>5</v>
      </c>
      <c r="Q357" s="666" t="s">
        <v>1869</v>
      </c>
      <c r="R357" s="423" t="s">
        <v>1876</v>
      </c>
    </row>
    <row r="358" spans="1:18" s="401" customFormat="1" ht="20.100000000000001" hidden="1" customHeight="1" x14ac:dyDescent="0.25">
      <c r="A358" s="662">
        <v>7</v>
      </c>
      <c r="B358" s="396" t="s">
        <v>1871</v>
      </c>
      <c r="C358" s="397"/>
      <c r="D358" s="398"/>
      <c r="E358" s="399"/>
      <c r="F358" s="400"/>
      <c r="L358" s="402"/>
      <c r="M358" s="402"/>
      <c r="O358" s="82"/>
      <c r="P358" s="664">
        <v>6</v>
      </c>
      <c r="Q358" s="666" t="s">
        <v>1870</v>
      </c>
      <c r="R358" s="667" t="s">
        <v>1877</v>
      </c>
    </row>
    <row r="359" spans="1:18" s="401" customFormat="1" ht="20.100000000000001" hidden="1" customHeight="1" x14ac:dyDescent="0.25">
      <c r="A359" s="662">
        <v>8</v>
      </c>
      <c r="B359" s="396" t="s">
        <v>1872</v>
      </c>
      <c r="C359" s="397"/>
      <c r="D359" s="398"/>
      <c r="E359" s="399"/>
      <c r="F359" s="400"/>
      <c r="L359" s="402"/>
      <c r="M359" s="402"/>
      <c r="O359" s="82"/>
      <c r="P359" s="664">
        <v>7</v>
      </c>
      <c r="Q359" s="666" t="s">
        <v>1871</v>
      </c>
      <c r="R359" s="423" t="s">
        <v>1876</v>
      </c>
    </row>
    <row r="360" spans="1:18" s="401" customFormat="1" ht="20.100000000000001" hidden="1" customHeight="1" x14ac:dyDescent="0.25">
      <c r="A360" s="662">
        <v>9</v>
      </c>
      <c r="B360" s="396" t="s">
        <v>1873</v>
      </c>
      <c r="C360" s="397"/>
      <c r="D360" s="398"/>
      <c r="E360" s="399"/>
      <c r="F360" s="400"/>
      <c r="L360" s="402"/>
      <c r="M360" s="402"/>
      <c r="O360" s="82"/>
      <c r="P360" s="664">
        <v>8</v>
      </c>
      <c r="Q360" s="666" t="s">
        <v>1872</v>
      </c>
      <c r="R360" s="667" t="s">
        <v>1877</v>
      </c>
    </row>
    <row r="361" spans="1:18" s="401" customFormat="1" ht="20.100000000000001" hidden="1" customHeight="1" x14ac:dyDescent="0.25">
      <c r="A361" s="662">
        <v>10</v>
      </c>
      <c r="B361" s="396" t="s">
        <v>1874</v>
      </c>
      <c r="C361" s="397"/>
      <c r="D361" s="398"/>
      <c r="E361" s="399"/>
      <c r="F361" s="400"/>
      <c r="L361" s="402"/>
      <c r="M361" s="402"/>
      <c r="O361" s="82"/>
      <c r="P361" s="664">
        <v>9</v>
      </c>
      <c r="Q361" s="666" t="s">
        <v>1873</v>
      </c>
      <c r="R361" s="667" t="s">
        <v>1877</v>
      </c>
    </row>
    <row r="362" spans="1:18" s="401" customFormat="1" ht="15" hidden="1" customHeight="1" x14ac:dyDescent="0.2">
      <c r="A362" s="298"/>
      <c r="B362" s="396"/>
      <c r="C362" s="397"/>
      <c r="D362" s="398"/>
      <c r="E362" s="399"/>
      <c r="F362" s="400"/>
      <c r="L362" s="402"/>
      <c r="M362" s="402"/>
      <c r="O362" s="64"/>
      <c r="P362" s="664">
        <v>10</v>
      </c>
      <c r="Q362" s="666" t="s">
        <v>1874</v>
      </c>
      <c r="R362" s="667" t="s">
        <v>1877</v>
      </c>
    </row>
    <row r="363" spans="1:18" s="401" customFormat="1" ht="15" hidden="1" customHeight="1" x14ac:dyDescent="0.2">
      <c r="A363" s="298"/>
      <c r="B363" s="396"/>
      <c r="C363" s="397"/>
      <c r="D363" s="398"/>
      <c r="E363" s="399"/>
      <c r="F363" s="400"/>
      <c r="L363" s="402"/>
      <c r="M363" s="402"/>
      <c r="O363" s="64"/>
      <c r="P363" s="63"/>
      <c r="Q363" s="63"/>
    </row>
    <row r="364" spans="1:18" s="401" customFormat="1" ht="15" hidden="1" customHeight="1" x14ac:dyDescent="0.2">
      <c r="A364" s="298"/>
      <c r="B364" s="396"/>
      <c r="C364" s="397"/>
      <c r="D364" s="398"/>
      <c r="E364" s="399"/>
      <c r="F364" s="400"/>
      <c r="L364" s="402"/>
      <c r="M364" s="402"/>
      <c r="O364" s="64"/>
      <c r="P364" s="63"/>
      <c r="Q364" s="63"/>
    </row>
    <row r="365" spans="1:18" s="401" customFormat="1" ht="15" hidden="1" customHeight="1" x14ac:dyDescent="0.2">
      <c r="A365" s="298"/>
      <c r="B365" s="396"/>
      <c r="C365" s="397"/>
      <c r="D365" s="398"/>
      <c r="E365" s="399"/>
      <c r="F365" s="400"/>
      <c r="L365" s="402"/>
      <c r="M365" s="402"/>
      <c r="O365" s="64"/>
      <c r="P365" s="63"/>
      <c r="Q365" s="63"/>
    </row>
    <row r="366" spans="1:18" s="401" customFormat="1" ht="15" hidden="1" customHeight="1" x14ac:dyDescent="0.2">
      <c r="A366" s="298"/>
      <c r="B366" s="396"/>
      <c r="C366" s="397"/>
      <c r="D366" s="398"/>
      <c r="E366" s="399"/>
      <c r="F366" s="400"/>
      <c r="L366" s="402"/>
      <c r="M366" s="402"/>
      <c r="O366" s="64"/>
      <c r="P366" s="63"/>
      <c r="Q366" s="63"/>
    </row>
    <row r="367" spans="1:18" s="401" customFormat="1" ht="15" hidden="1" customHeight="1" x14ac:dyDescent="0.2">
      <c r="A367" s="298"/>
      <c r="B367" s="396"/>
      <c r="C367" s="397"/>
      <c r="D367" s="398"/>
      <c r="E367" s="399"/>
      <c r="F367" s="400"/>
      <c r="L367" s="402"/>
      <c r="M367" s="402"/>
      <c r="O367" s="64"/>
      <c r="P367" s="63"/>
      <c r="Q367" s="63"/>
    </row>
    <row r="368" spans="1:18" s="401" customFormat="1" ht="15" hidden="1" customHeight="1" x14ac:dyDescent="0.2">
      <c r="A368" s="298"/>
      <c r="B368" s="396"/>
      <c r="C368" s="397"/>
      <c r="D368" s="398"/>
      <c r="E368" s="399"/>
      <c r="F368" s="400"/>
      <c r="L368" s="402"/>
      <c r="M368" s="402"/>
      <c r="O368" s="64"/>
      <c r="P368" s="63"/>
      <c r="Q368" s="63"/>
    </row>
    <row r="369" spans="1:17" s="401" customFormat="1" ht="15" hidden="1" customHeight="1" x14ac:dyDescent="0.2">
      <c r="A369" s="298"/>
      <c r="B369" s="396"/>
      <c r="C369" s="397"/>
      <c r="D369" s="398"/>
      <c r="E369" s="399"/>
      <c r="F369" s="400"/>
      <c r="L369" s="402"/>
      <c r="M369" s="402"/>
      <c r="O369" s="64"/>
      <c r="P369" s="63"/>
      <c r="Q369" s="63"/>
    </row>
    <row r="370" spans="1:17" s="401" customFormat="1" ht="15" hidden="1" customHeight="1" x14ac:dyDescent="0.2">
      <c r="A370" s="298"/>
      <c r="B370" s="396"/>
      <c r="C370" s="397"/>
      <c r="D370" s="398"/>
      <c r="E370" s="399"/>
      <c r="F370" s="400"/>
      <c r="L370" s="402"/>
      <c r="M370" s="402"/>
      <c r="O370" s="64"/>
      <c r="P370" s="63"/>
      <c r="Q370" s="63"/>
    </row>
    <row r="371" spans="1:17" s="401" customFormat="1" ht="15" customHeight="1" x14ac:dyDescent="0.2">
      <c r="A371" s="298"/>
      <c r="B371" s="396"/>
      <c r="C371" s="397"/>
      <c r="D371" s="398"/>
      <c r="E371" s="399"/>
      <c r="F371" s="400"/>
      <c r="L371" s="402"/>
      <c r="M371" s="402"/>
      <c r="O371" s="64"/>
      <c r="P371" s="63"/>
      <c r="Q371" s="63"/>
    </row>
    <row r="372" spans="1:17" s="401" customFormat="1" ht="15" customHeight="1" x14ac:dyDescent="0.2">
      <c r="A372" s="298"/>
      <c r="B372" s="396"/>
      <c r="C372" s="397"/>
      <c r="D372" s="398"/>
      <c r="E372" s="399"/>
      <c r="F372" s="400"/>
      <c r="L372" s="402"/>
      <c r="M372" s="402"/>
      <c r="O372" s="64"/>
      <c r="P372" s="63"/>
      <c r="Q372" s="63"/>
    </row>
    <row r="373" spans="1:17" s="401" customFormat="1" ht="15" customHeight="1" x14ac:dyDescent="0.2">
      <c r="A373" s="298"/>
      <c r="B373" s="396"/>
      <c r="C373" s="397"/>
      <c r="D373" s="398"/>
      <c r="E373" s="399"/>
      <c r="F373" s="400"/>
      <c r="L373" s="402"/>
      <c r="M373" s="402"/>
      <c r="O373" s="64"/>
      <c r="P373" s="63"/>
      <c r="Q373" s="63"/>
    </row>
    <row r="374" spans="1:17" s="401" customFormat="1" ht="15" customHeight="1" x14ac:dyDescent="0.2">
      <c r="A374" s="298"/>
      <c r="B374" s="396"/>
      <c r="C374" s="397"/>
      <c r="D374" s="398"/>
      <c r="E374" s="399"/>
      <c r="F374" s="400"/>
      <c r="L374" s="402"/>
      <c r="M374" s="402"/>
      <c r="O374" s="64"/>
      <c r="P374" s="63"/>
      <c r="Q374" s="63"/>
    </row>
    <row r="375" spans="1:17" s="401" customFormat="1" ht="15" customHeight="1" x14ac:dyDescent="0.2">
      <c r="A375" s="298"/>
      <c r="B375" s="396"/>
      <c r="C375" s="397"/>
      <c r="D375" s="398"/>
      <c r="E375" s="399"/>
      <c r="F375" s="400"/>
      <c r="L375" s="402"/>
      <c r="M375" s="402"/>
      <c r="O375" s="64"/>
      <c r="P375" s="63"/>
      <c r="Q375" s="63"/>
    </row>
    <row r="376" spans="1:17" s="401" customFormat="1" ht="15" customHeight="1" x14ac:dyDescent="0.2">
      <c r="A376" s="298"/>
      <c r="B376" s="396"/>
      <c r="C376" s="397"/>
      <c r="D376" s="398"/>
      <c r="E376" s="399"/>
      <c r="F376" s="400"/>
      <c r="L376" s="402"/>
      <c r="M376" s="402"/>
      <c r="O376" s="64"/>
      <c r="P376" s="63"/>
      <c r="Q376" s="63"/>
    </row>
    <row r="377" spans="1:17" s="401" customFormat="1" ht="15" customHeight="1" x14ac:dyDescent="0.2">
      <c r="A377" s="298"/>
      <c r="B377" s="396"/>
      <c r="C377" s="397"/>
      <c r="D377" s="398"/>
      <c r="E377" s="399"/>
      <c r="F377" s="400"/>
      <c r="L377" s="402"/>
      <c r="M377" s="402"/>
      <c r="O377" s="64"/>
      <c r="P377" s="63"/>
      <c r="Q377" s="63"/>
    </row>
    <row r="378" spans="1:17" s="401" customFormat="1" ht="15" customHeight="1" x14ac:dyDescent="0.2">
      <c r="A378" s="298"/>
      <c r="B378" s="396"/>
      <c r="C378" s="397"/>
      <c r="D378" s="398"/>
      <c r="E378" s="399"/>
      <c r="F378" s="400"/>
      <c r="L378" s="402"/>
      <c r="M378" s="402"/>
      <c r="O378" s="64"/>
      <c r="P378" s="63"/>
      <c r="Q378" s="63"/>
    </row>
    <row r="379" spans="1:17" s="401" customFormat="1" ht="15" customHeight="1" x14ac:dyDescent="0.2">
      <c r="A379" s="298"/>
      <c r="B379" s="396"/>
      <c r="C379" s="397"/>
      <c r="D379" s="398"/>
      <c r="E379" s="399"/>
      <c r="F379" s="400"/>
      <c r="L379" s="402"/>
      <c r="M379" s="402"/>
      <c r="O379" s="64"/>
      <c r="P379" s="63"/>
      <c r="Q379" s="63"/>
    </row>
    <row r="380" spans="1:17" s="401" customFormat="1" ht="15" customHeight="1" x14ac:dyDescent="0.2">
      <c r="A380" s="298"/>
      <c r="B380" s="396"/>
      <c r="C380" s="397"/>
      <c r="D380" s="398"/>
      <c r="E380" s="399"/>
      <c r="F380" s="400"/>
      <c r="L380" s="402"/>
      <c r="M380" s="402"/>
      <c r="O380" s="64"/>
      <c r="P380" s="63"/>
      <c r="Q380" s="63"/>
    </row>
    <row r="381" spans="1:17" s="401" customFormat="1" ht="15" customHeight="1" x14ac:dyDescent="0.2">
      <c r="A381" s="298"/>
      <c r="B381" s="396"/>
      <c r="C381" s="397"/>
      <c r="D381" s="398"/>
      <c r="E381" s="399"/>
      <c r="F381" s="400"/>
      <c r="L381" s="402"/>
      <c r="M381" s="402"/>
      <c r="O381" s="64"/>
      <c r="P381" s="63"/>
      <c r="Q381" s="63"/>
    </row>
    <row r="382" spans="1:17" s="401" customFormat="1" ht="15" customHeight="1" x14ac:dyDescent="0.2">
      <c r="A382" s="298"/>
      <c r="B382" s="396"/>
      <c r="C382" s="397"/>
      <c r="D382" s="398"/>
      <c r="E382" s="399"/>
      <c r="F382" s="400"/>
      <c r="L382" s="402"/>
      <c r="M382" s="402"/>
      <c r="O382" s="64"/>
      <c r="P382" s="63"/>
      <c r="Q382" s="63"/>
    </row>
    <row r="383" spans="1:17" s="401" customFormat="1" ht="15" customHeight="1" x14ac:dyDescent="0.2">
      <c r="A383" s="298"/>
      <c r="B383" s="396"/>
      <c r="C383" s="397"/>
      <c r="D383" s="398"/>
      <c r="E383" s="399"/>
      <c r="F383" s="400"/>
      <c r="L383" s="402"/>
      <c r="M383" s="402"/>
      <c r="O383" s="64"/>
      <c r="P383" s="63"/>
      <c r="Q383" s="63"/>
    </row>
    <row r="384" spans="1:17" s="401" customFormat="1" ht="15" customHeight="1" x14ac:dyDescent="0.2">
      <c r="A384" s="298"/>
      <c r="B384" s="396"/>
      <c r="C384" s="397"/>
      <c r="D384" s="398"/>
      <c r="E384" s="399"/>
      <c r="F384" s="400"/>
      <c r="L384" s="402"/>
      <c r="M384" s="402"/>
      <c r="O384" s="64"/>
      <c r="P384" s="63"/>
      <c r="Q384" s="63"/>
    </row>
    <row r="385" spans="1:17" s="401" customFormat="1" ht="15" customHeight="1" x14ac:dyDescent="0.2">
      <c r="A385" s="298"/>
      <c r="B385" s="396"/>
      <c r="C385" s="397"/>
      <c r="D385" s="398"/>
      <c r="E385" s="399"/>
      <c r="F385" s="400"/>
      <c r="L385" s="402"/>
      <c r="M385" s="402"/>
      <c r="O385" s="64"/>
      <c r="P385" s="63"/>
      <c r="Q385" s="63"/>
    </row>
    <row r="386" spans="1:17" s="401" customFormat="1" ht="15" customHeight="1" x14ac:dyDescent="0.2">
      <c r="A386" s="298"/>
      <c r="B386" s="396"/>
      <c r="C386" s="397"/>
      <c r="D386" s="398"/>
      <c r="E386" s="399"/>
      <c r="F386" s="400"/>
      <c r="L386" s="402"/>
      <c r="M386" s="402"/>
      <c r="O386" s="64"/>
      <c r="P386" s="63"/>
      <c r="Q386" s="63"/>
    </row>
    <row r="387" spans="1:17" s="401" customFormat="1" ht="15" customHeight="1" x14ac:dyDescent="0.2">
      <c r="A387" s="298"/>
      <c r="B387" s="396"/>
      <c r="C387" s="397"/>
      <c r="D387" s="398"/>
      <c r="E387" s="399"/>
      <c r="F387" s="400"/>
      <c r="L387" s="402"/>
      <c r="M387" s="402"/>
      <c r="O387" s="64"/>
      <c r="P387" s="63"/>
      <c r="Q387" s="63"/>
    </row>
    <row r="388" spans="1:17" s="401" customFormat="1" ht="15" customHeight="1" x14ac:dyDescent="0.2">
      <c r="A388" s="298"/>
      <c r="B388" s="396"/>
      <c r="C388" s="397"/>
      <c r="D388" s="398"/>
      <c r="E388" s="399"/>
      <c r="F388" s="400"/>
      <c r="L388" s="402"/>
      <c r="M388" s="402"/>
      <c r="O388" s="64"/>
      <c r="P388" s="63"/>
      <c r="Q388" s="63"/>
    </row>
    <row r="389" spans="1:17" s="401" customFormat="1" ht="15" customHeight="1" x14ac:dyDescent="0.2">
      <c r="A389" s="298"/>
      <c r="B389" s="396"/>
      <c r="C389" s="397"/>
      <c r="D389" s="398"/>
      <c r="E389" s="399"/>
      <c r="F389" s="400"/>
      <c r="L389" s="402"/>
      <c r="M389" s="402"/>
      <c r="O389" s="64"/>
      <c r="P389" s="63"/>
      <c r="Q389" s="63"/>
    </row>
    <row r="390" spans="1:17" s="401" customFormat="1" ht="15" customHeight="1" x14ac:dyDescent="0.2">
      <c r="A390" s="298"/>
      <c r="B390" s="396"/>
      <c r="C390" s="397"/>
      <c r="D390" s="398"/>
      <c r="E390" s="399"/>
      <c r="F390" s="400"/>
      <c r="L390" s="402"/>
      <c r="M390" s="402"/>
      <c r="O390" s="64"/>
      <c r="P390" s="63"/>
      <c r="Q390" s="63"/>
    </row>
    <row r="391" spans="1:17" s="401" customFormat="1" ht="15" customHeight="1" x14ac:dyDescent="0.2">
      <c r="A391" s="298"/>
      <c r="B391" s="396"/>
      <c r="C391" s="397"/>
      <c r="D391" s="398"/>
      <c r="E391" s="399"/>
      <c r="F391" s="400"/>
      <c r="L391" s="402"/>
      <c r="M391" s="402"/>
      <c r="O391" s="64"/>
      <c r="P391" s="63"/>
      <c r="Q391" s="63"/>
    </row>
    <row r="392" spans="1:17" s="401" customFormat="1" ht="15" customHeight="1" x14ac:dyDescent="0.2">
      <c r="A392" s="298"/>
      <c r="B392" s="396"/>
      <c r="C392" s="397"/>
      <c r="D392" s="398"/>
      <c r="E392" s="399"/>
      <c r="F392" s="400"/>
      <c r="L392" s="402"/>
      <c r="M392" s="402"/>
      <c r="O392" s="64"/>
      <c r="P392" s="63"/>
      <c r="Q392" s="63"/>
    </row>
    <row r="393" spans="1:17" s="401" customFormat="1" ht="15" customHeight="1" x14ac:dyDescent="0.2">
      <c r="A393" s="298"/>
      <c r="B393" s="396"/>
      <c r="C393" s="397"/>
      <c r="D393" s="398"/>
      <c r="E393" s="399"/>
      <c r="F393" s="400"/>
      <c r="L393" s="402"/>
      <c r="M393" s="402"/>
      <c r="O393" s="64"/>
      <c r="P393" s="63"/>
      <c r="Q393" s="63"/>
    </row>
    <row r="394" spans="1:17" s="401" customFormat="1" ht="15" customHeight="1" x14ac:dyDescent="0.2">
      <c r="A394" s="298"/>
      <c r="B394" s="396"/>
      <c r="C394" s="397"/>
      <c r="D394" s="398"/>
      <c r="E394" s="399"/>
      <c r="F394" s="400"/>
      <c r="L394" s="402"/>
      <c r="M394" s="402"/>
      <c r="O394" s="64"/>
      <c r="P394" s="63"/>
      <c r="Q394" s="63"/>
    </row>
    <row r="395" spans="1:17" s="401" customFormat="1" ht="15" customHeight="1" x14ac:dyDescent="0.2">
      <c r="A395" s="298"/>
      <c r="B395" s="396"/>
      <c r="C395" s="397"/>
      <c r="D395" s="398"/>
      <c r="E395" s="399"/>
      <c r="F395" s="400"/>
      <c r="L395" s="402"/>
      <c r="M395" s="402"/>
      <c r="O395" s="64"/>
      <c r="P395" s="63"/>
      <c r="Q395" s="63"/>
    </row>
    <row r="396" spans="1:17" s="401" customFormat="1" ht="15" customHeight="1" x14ac:dyDescent="0.2">
      <c r="A396" s="298"/>
      <c r="B396" s="396"/>
      <c r="C396" s="397"/>
      <c r="D396" s="398"/>
      <c r="E396" s="399"/>
      <c r="F396" s="400"/>
      <c r="L396" s="402"/>
      <c r="M396" s="402"/>
      <c r="O396" s="64"/>
      <c r="P396" s="63"/>
      <c r="Q396" s="63"/>
    </row>
    <row r="397" spans="1:17" s="401" customFormat="1" ht="15" customHeight="1" x14ac:dyDescent="0.2">
      <c r="A397" s="298"/>
      <c r="B397" s="396"/>
      <c r="C397" s="397"/>
      <c r="D397" s="398"/>
      <c r="E397" s="399"/>
      <c r="F397" s="400"/>
      <c r="L397" s="402"/>
      <c r="M397" s="402"/>
      <c r="O397" s="64"/>
      <c r="P397" s="63"/>
      <c r="Q397" s="63"/>
    </row>
    <row r="398" spans="1:17" s="401" customFormat="1" ht="15" customHeight="1" x14ac:dyDescent="0.2">
      <c r="A398" s="298"/>
      <c r="B398" s="396"/>
      <c r="C398" s="397"/>
      <c r="D398" s="398"/>
      <c r="E398" s="399"/>
      <c r="F398" s="400"/>
      <c r="L398" s="402"/>
      <c r="M398" s="402"/>
      <c r="O398" s="64"/>
      <c r="P398" s="63"/>
      <c r="Q398" s="63"/>
    </row>
    <row r="399" spans="1:17" s="401" customFormat="1" ht="15" customHeight="1" x14ac:dyDescent="0.2">
      <c r="A399" s="298"/>
      <c r="B399" s="396"/>
      <c r="C399" s="397"/>
      <c r="D399" s="398"/>
      <c r="E399" s="399"/>
      <c r="F399" s="400"/>
      <c r="L399" s="402"/>
      <c r="M399" s="402"/>
      <c r="O399" s="64"/>
      <c r="P399" s="63"/>
      <c r="Q399" s="63"/>
    </row>
    <row r="400" spans="1:17" s="401" customFormat="1" ht="15" customHeight="1" x14ac:dyDescent="0.2">
      <c r="A400" s="298"/>
      <c r="B400" s="396"/>
      <c r="C400" s="397"/>
      <c r="D400" s="398"/>
      <c r="E400" s="399"/>
      <c r="F400" s="400"/>
      <c r="L400" s="402"/>
      <c r="M400" s="402"/>
      <c r="O400" s="64"/>
      <c r="P400" s="63"/>
      <c r="Q400" s="63"/>
    </row>
    <row r="401" spans="1:17" s="401" customFormat="1" ht="15" customHeight="1" x14ac:dyDescent="0.2">
      <c r="A401" s="298"/>
      <c r="B401" s="396"/>
      <c r="C401" s="397"/>
      <c r="D401" s="398"/>
      <c r="E401" s="399"/>
      <c r="F401" s="400"/>
      <c r="L401" s="402"/>
      <c r="M401" s="402"/>
      <c r="O401" s="64"/>
      <c r="P401" s="63"/>
      <c r="Q401" s="63"/>
    </row>
    <row r="402" spans="1:17" s="401" customFormat="1" ht="15" customHeight="1" x14ac:dyDescent="0.2">
      <c r="A402" s="298"/>
      <c r="B402" s="396"/>
      <c r="C402" s="397"/>
      <c r="D402" s="398"/>
      <c r="E402" s="399"/>
      <c r="F402" s="400"/>
      <c r="L402" s="402"/>
      <c r="M402" s="402"/>
      <c r="O402" s="64"/>
      <c r="P402" s="63"/>
      <c r="Q402" s="63"/>
    </row>
    <row r="403" spans="1:17" s="401" customFormat="1" ht="15" customHeight="1" x14ac:dyDescent="0.2">
      <c r="A403" s="298"/>
      <c r="B403" s="396"/>
      <c r="C403" s="397"/>
      <c r="D403" s="398"/>
      <c r="E403" s="399"/>
      <c r="F403" s="400"/>
      <c r="L403" s="402"/>
      <c r="M403" s="402"/>
      <c r="O403" s="64"/>
      <c r="P403" s="63"/>
      <c r="Q403" s="63"/>
    </row>
    <row r="404" spans="1:17" s="401" customFormat="1" ht="15" customHeight="1" x14ac:dyDescent="0.2">
      <c r="A404" s="298"/>
      <c r="B404" s="396"/>
      <c r="C404" s="397"/>
      <c r="D404" s="398"/>
      <c r="E404" s="399"/>
      <c r="F404" s="400"/>
      <c r="L404" s="402"/>
      <c r="M404" s="402"/>
      <c r="O404" s="64"/>
      <c r="P404" s="63"/>
      <c r="Q404" s="63"/>
    </row>
    <row r="405" spans="1:17" s="401" customFormat="1" ht="15" customHeight="1" x14ac:dyDescent="0.2">
      <c r="A405" s="298"/>
      <c r="B405" s="396"/>
      <c r="C405" s="397"/>
      <c r="D405" s="398"/>
      <c r="E405" s="399"/>
      <c r="F405" s="400"/>
      <c r="L405" s="402"/>
      <c r="M405" s="402"/>
      <c r="O405" s="64"/>
      <c r="P405" s="63"/>
      <c r="Q405" s="63"/>
    </row>
    <row r="406" spans="1:17" s="401" customFormat="1" ht="15" customHeight="1" x14ac:dyDescent="0.2">
      <c r="A406" s="298"/>
      <c r="B406" s="396"/>
      <c r="C406" s="397"/>
      <c r="D406" s="398"/>
      <c r="E406" s="399"/>
      <c r="F406" s="400"/>
      <c r="L406" s="402"/>
      <c r="M406" s="402"/>
      <c r="O406" s="64"/>
      <c r="P406" s="63"/>
      <c r="Q406" s="63"/>
    </row>
    <row r="407" spans="1:17" s="401" customFormat="1" ht="15" customHeight="1" x14ac:dyDescent="0.2">
      <c r="A407" s="298"/>
      <c r="B407" s="396"/>
      <c r="C407" s="397"/>
      <c r="D407" s="398"/>
      <c r="E407" s="399"/>
      <c r="F407" s="400"/>
      <c r="L407" s="402"/>
      <c r="M407" s="402"/>
      <c r="O407" s="64"/>
      <c r="P407" s="63"/>
      <c r="Q407" s="63"/>
    </row>
    <row r="408" spans="1:17" s="401" customFormat="1" ht="15" customHeight="1" x14ac:dyDescent="0.2">
      <c r="A408" s="298"/>
      <c r="B408" s="396"/>
      <c r="C408" s="397"/>
      <c r="D408" s="398"/>
      <c r="E408" s="399"/>
      <c r="F408" s="400"/>
      <c r="L408" s="402"/>
      <c r="M408" s="402"/>
      <c r="O408" s="64"/>
      <c r="P408" s="63"/>
      <c r="Q408" s="63"/>
    </row>
    <row r="409" spans="1:17" s="401" customFormat="1" ht="15" customHeight="1" x14ac:dyDescent="0.2">
      <c r="A409" s="298"/>
      <c r="B409" s="396"/>
      <c r="C409" s="397"/>
      <c r="D409" s="398"/>
      <c r="E409" s="399"/>
      <c r="F409" s="400"/>
      <c r="L409" s="402"/>
      <c r="M409" s="402"/>
      <c r="O409" s="64"/>
      <c r="P409" s="63"/>
      <c r="Q409" s="63"/>
    </row>
    <row r="410" spans="1:17" s="401" customFormat="1" ht="15" customHeight="1" x14ac:dyDescent="0.2">
      <c r="A410" s="298"/>
      <c r="B410" s="396"/>
      <c r="C410" s="397"/>
      <c r="D410" s="398"/>
      <c r="E410" s="399"/>
      <c r="F410" s="400"/>
      <c r="L410" s="402"/>
      <c r="M410" s="402"/>
      <c r="O410" s="64"/>
      <c r="P410" s="63"/>
      <c r="Q410" s="63"/>
    </row>
    <row r="411" spans="1:17" s="401" customFormat="1" ht="15" customHeight="1" x14ac:dyDescent="0.2">
      <c r="A411" s="298"/>
      <c r="B411" s="396"/>
      <c r="C411" s="397"/>
      <c r="D411" s="398"/>
      <c r="E411" s="399"/>
      <c r="F411" s="400"/>
      <c r="L411" s="402"/>
      <c r="M411" s="402"/>
      <c r="O411" s="64"/>
      <c r="P411" s="63"/>
      <c r="Q411" s="63"/>
    </row>
    <row r="412" spans="1:17" s="401" customFormat="1" ht="15" customHeight="1" x14ac:dyDescent="0.2">
      <c r="A412" s="298"/>
      <c r="B412" s="396"/>
      <c r="C412" s="397"/>
      <c r="D412" s="398"/>
      <c r="E412" s="399"/>
      <c r="F412" s="400"/>
      <c r="L412" s="402"/>
      <c r="M412" s="402"/>
      <c r="O412" s="64"/>
      <c r="P412" s="63"/>
      <c r="Q412" s="63"/>
    </row>
    <row r="413" spans="1:17" s="401" customFormat="1" ht="15" customHeight="1" x14ac:dyDescent="0.2">
      <c r="A413" s="298"/>
      <c r="B413" s="396"/>
      <c r="C413" s="397"/>
      <c r="D413" s="398"/>
      <c r="E413" s="399"/>
      <c r="F413" s="400"/>
      <c r="L413" s="402"/>
      <c r="M413" s="402"/>
      <c r="O413" s="64"/>
      <c r="P413" s="63"/>
      <c r="Q413" s="63"/>
    </row>
    <row r="414" spans="1:17" s="401" customFormat="1" ht="15" customHeight="1" x14ac:dyDescent="0.2">
      <c r="A414" s="298"/>
      <c r="B414" s="396"/>
      <c r="C414" s="397"/>
      <c r="D414" s="398"/>
      <c r="E414" s="399"/>
      <c r="F414" s="400"/>
      <c r="L414" s="402"/>
      <c r="M414" s="402"/>
      <c r="O414" s="64"/>
      <c r="P414" s="63"/>
      <c r="Q414" s="63"/>
    </row>
    <row r="415" spans="1:17" s="401" customFormat="1" ht="15" customHeight="1" x14ac:dyDescent="0.2">
      <c r="A415" s="298"/>
      <c r="B415" s="396"/>
      <c r="C415" s="397"/>
      <c r="D415" s="398"/>
      <c r="E415" s="399"/>
      <c r="F415" s="400"/>
      <c r="L415" s="402"/>
      <c r="M415" s="402"/>
      <c r="O415" s="64"/>
      <c r="P415" s="63"/>
      <c r="Q415" s="63"/>
    </row>
    <row r="416" spans="1:17" s="401" customFormat="1" ht="15" customHeight="1" x14ac:dyDescent="0.2">
      <c r="A416" s="298"/>
      <c r="B416" s="396"/>
      <c r="C416" s="397"/>
      <c r="D416" s="398"/>
      <c r="E416" s="399"/>
      <c r="F416" s="400"/>
      <c r="L416" s="402"/>
      <c r="M416" s="402"/>
      <c r="O416" s="64"/>
      <c r="P416" s="63"/>
      <c r="Q416" s="63"/>
    </row>
    <row r="417" spans="1:17" s="401" customFormat="1" ht="15" customHeight="1" x14ac:dyDescent="0.2">
      <c r="A417" s="298"/>
      <c r="B417" s="396"/>
      <c r="C417" s="397"/>
      <c r="D417" s="398"/>
      <c r="E417" s="399"/>
      <c r="F417" s="400"/>
      <c r="L417" s="402"/>
      <c r="M417" s="402"/>
      <c r="O417" s="64"/>
      <c r="P417" s="63"/>
      <c r="Q417" s="63"/>
    </row>
    <row r="418" spans="1:17" s="401" customFormat="1" ht="15" customHeight="1" x14ac:dyDescent="0.2">
      <c r="A418" s="298"/>
      <c r="B418" s="396"/>
      <c r="C418" s="397"/>
      <c r="D418" s="398"/>
      <c r="E418" s="399"/>
      <c r="F418" s="400"/>
      <c r="L418" s="402"/>
      <c r="M418" s="402"/>
      <c r="O418" s="64"/>
      <c r="P418" s="63"/>
      <c r="Q418" s="63"/>
    </row>
    <row r="419" spans="1:17" s="401" customFormat="1" ht="15" customHeight="1" x14ac:dyDescent="0.2">
      <c r="A419" s="298"/>
      <c r="B419" s="396"/>
      <c r="C419" s="397"/>
      <c r="D419" s="398"/>
      <c r="E419" s="399"/>
      <c r="F419" s="400"/>
      <c r="L419" s="402"/>
      <c r="M419" s="402"/>
      <c r="O419" s="64"/>
      <c r="P419" s="63"/>
      <c r="Q419" s="63"/>
    </row>
    <row r="420" spans="1:17" s="401" customFormat="1" ht="15" customHeight="1" x14ac:dyDescent="0.2">
      <c r="A420" s="298"/>
      <c r="B420" s="396"/>
      <c r="C420" s="397"/>
      <c r="D420" s="398"/>
      <c r="E420" s="399"/>
      <c r="F420" s="400"/>
      <c r="L420" s="402"/>
      <c r="M420" s="402"/>
      <c r="O420" s="64"/>
      <c r="P420" s="63"/>
      <c r="Q420" s="63"/>
    </row>
    <row r="421" spans="1:17" s="401" customFormat="1" ht="15" customHeight="1" x14ac:dyDescent="0.2">
      <c r="A421" s="298"/>
      <c r="B421" s="396"/>
      <c r="C421" s="397"/>
      <c r="D421" s="398"/>
      <c r="E421" s="399"/>
      <c r="F421" s="400"/>
      <c r="L421" s="402"/>
      <c r="M421" s="402"/>
      <c r="O421" s="64"/>
      <c r="P421" s="63"/>
      <c r="Q421" s="63"/>
    </row>
    <row r="422" spans="1:17" s="401" customFormat="1" ht="15" customHeight="1" x14ac:dyDescent="0.2">
      <c r="A422" s="298"/>
      <c r="B422" s="396"/>
      <c r="C422" s="397"/>
      <c r="D422" s="398"/>
      <c r="E422" s="399"/>
      <c r="F422" s="400"/>
      <c r="L422" s="402"/>
      <c r="M422" s="402"/>
      <c r="O422" s="64"/>
      <c r="P422" s="63"/>
      <c r="Q422" s="63"/>
    </row>
    <row r="423" spans="1:17" s="401" customFormat="1" ht="15" customHeight="1" x14ac:dyDescent="0.2">
      <c r="A423" s="298"/>
      <c r="B423" s="396"/>
      <c r="C423" s="397"/>
      <c r="D423" s="398"/>
      <c r="E423" s="399"/>
      <c r="F423" s="400"/>
      <c r="L423" s="402"/>
      <c r="M423" s="402"/>
      <c r="O423" s="64"/>
      <c r="P423" s="63"/>
      <c r="Q423" s="63"/>
    </row>
    <row r="424" spans="1:17" s="401" customFormat="1" ht="15" customHeight="1" x14ac:dyDescent="0.2">
      <c r="A424" s="298"/>
      <c r="B424" s="396"/>
      <c r="C424" s="397"/>
      <c r="D424" s="398"/>
      <c r="E424" s="399"/>
      <c r="F424" s="400"/>
      <c r="L424" s="402"/>
      <c r="M424" s="402"/>
      <c r="O424" s="64"/>
      <c r="P424" s="63"/>
      <c r="Q424" s="63"/>
    </row>
    <row r="425" spans="1:17" s="401" customFormat="1" ht="15" customHeight="1" x14ac:dyDescent="0.2">
      <c r="A425" s="298"/>
      <c r="B425" s="396"/>
      <c r="C425" s="397"/>
      <c r="D425" s="398"/>
      <c r="E425" s="399"/>
      <c r="F425" s="400"/>
      <c r="L425" s="402"/>
      <c r="M425" s="402"/>
      <c r="O425" s="64"/>
      <c r="P425" s="63"/>
      <c r="Q425" s="63"/>
    </row>
    <row r="426" spans="1:17" s="401" customFormat="1" ht="15" customHeight="1" x14ac:dyDescent="0.2">
      <c r="A426" s="298"/>
      <c r="B426" s="396"/>
      <c r="C426" s="397"/>
      <c r="D426" s="398"/>
      <c r="E426" s="399"/>
      <c r="F426" s="400"/>
      <c r="L426" s="402"/>
      <c r="M426" s="402"/>
      <c r="O426" s="64"/>
      <c r="P426" s="63"/>
      <c r="Q426" s="63"/>
    </row>
    <row r="427" spans="1:17" s="401" customFormat="1" ht="15" customHeight="1" x14ac:dyDescent="0.2">
      <c r="A427" s="298"/>
      <c r="B427" s="396"/>
      <c r="C427" s="397"/>
      <c r="D427" s="398"/>
      <c r="E427" s="399"/>
      <c r="F427" s="400"/>
      <c r="L427" s="402"/>
      <c r="M427" s="402"/>
      <c r="O427" s="64"/>
      <c r="P427" s="63"/>
      <c r="Q427" s="63"/>
    </row>
    <row r="428" spans="1:17" s="401" customFormat="1" ht="15" customHeight="1" x14ac:dyDescent="0.2">
      <c r="A428" s="298"/>
      <c r="B428" s="396"/>
      <c r="C428" s="397"/>
      <c r="D428" s="398"/>
      <c r="E428" s="399"/>
      <c r="F428" s="400"/>
      <c r="L428" s="402"/>
      <c r="M428" s="402"/>
      <c r="O428" s="64"/>
      <c r="P428" s="63"/>
      <c r="Q428" s="63"/>
    </row>
    <row r="429" spans="1:17" s="401" customFormat="1" ht="15" customHeight="1" x14ac:dyDescent="0.2">
      <c r="A429" s="298"/>
      <c r="B429" s="396"/>
      <c r="C429" s="397"/>
      <c r="D429" s="398"/>
      <c r="E429" s="399"/>
      <c r="F429" s="400"/>
      <c r="L429" s="402"/>
      <c r="M429" s="402"/>
      <c r="O429" s="64"/>
      <c r="P429" s="63"/>
      <c r="Q429" s="63"/>
    </row>
    <row r="430" spans="1:17" s="401" customFormat="1" ht="15" customHeight="1" x14ac:dyDescent="0.2">
      <c r="A430" s="298"/>
      <c r="B430" s="396"/>
      <c r="C430" s="397"/>
      <c r="D430" s="398"/>
      <c r="E430" s="399"/>
      <c r="F430" s="400"/>
      <c r="L430" s="402"/>
      <c r="M430" s="402"/>
      <c r="O430" s="64"/>
      <c r="P430" s="63"/>
      <c r="Q430" s="63"/>
    </row>
    <row r="431" spans="1:17" s="401" customFormat="1" ht="15" customHeight="1" x14ac:dyDescent="0.2">
      <c r="A431" s="298"/>
      <c r="B431" s="396"/>
      <c r="C431" s="397"/>
      <c r="D431" s="398"/>
      <c r="E431" s="399"/>
      <c r="F431" s="400"/>
      <c r="L431" s="402"/>
      <c r="M431" s="402"/>
      <c r="O431" s="64"/>
      <c r="P431" s="63"/>
      <c r="Q431" s="63"/>
    </row>
    <row r="432" spans="1:17" s="401" customFormat="1" ht="15" customHeight="1" x14ac:dyDescent="0.2">
      <c r="A432" s="298"/>
      <c r="B432" s="396"/>
      <c r="C432" s="397"/>
      <c r="D432" s="398"/>
      <c r="E432" s="399"/>
      <c r="F432" s="400"/>
      <c r="L432" s="402"/>
      <c r="M432" s="402"/>
      <c r="O432" s="64"/>
      <c r="P432" s="63"/>
      <c r="Q432" s="63"/>
    </row>
    <row r="433" spans="1:17" s="401" customFormat="1" ht="15" customHeight="1" x14ac:dyDescent="0.2">
      <c r="A433" s="298"/>
      <c r="B433" s="396"/>
      <c r="C433" s="397"/>
      <c r="D433" s="398"/>
      <c r="E433" s="399"/>
      <c r="F433" s="400"/>
      <c r="L433" s="402"/>
      <c r="M433" s="402"/>
      <c r="O433" s="64"/>
      <c r="P433" s="63"/>
      <c r="Q433" s="63"/>
    </row>
    <row r="434" spans="1:17" s="401" customFormat="1" ht="15" customHeight="1" x14ac:dyDescent="0.2">
      <c r="A434" s="298"/>
      <c r="B434" s="396"/>
      <c r="C434" s="397"/>
      <c r="D434" s="398"/>
      <c r="E434" s="399"/>
      <c r="F434" s="400"/>
      <c r="L434" s="402"/>
      <c r="M434" s="402"/>
      <c r="O434" s="64"/>
      <c r="P434" s="63"/>
      <c r="Q434" s="63"/>
    </row>
    <row r="435" spans="1:17" s="401" customFormat="1" ht="15" customHeight="1" x14ac:dyDescent="0.2">
      <c r="A435" s="298"/>
      <c r="B435" s="396"/>
      <c r="C435" s="397"/>
      <c r="D435" s="398"/>
      <c r="E435" s="399"/>
      <c r="F435" s="400"/>
      <c r="L435" s="402"/>
      <c r="M435" s="402"/>
      <c r="O435" s="64"/>
      <c r="P435" s="63"/>
      <c r="Q435" s="63"/>
    </row>
    <row r="436" spans="1:17" s="401" customFormat="1" ht="15" customHeight="1" x14ac:dyDescent="0.2">
      <c r="A436" s="298"/>
      <c r="B436" s="396"/>
      <c r="C436" s="397"/>
      <c r="D436" s="398"/>
      <c r="E436" s="399"/>
      <c r="F436" s="400"/>
      <c r="L436" s="402"/>
      <c r="M436" s="402"/>
      <c r="O436" s="64"/>
      <c r="P436" s="63"/>
      <c r="Q436" s="63"/>
    </row>
    <row r="437" spans="1:17" s="401" customFormat="1" ht="15" customHeight="1" x14ac:dyDescent="0.2">
      <c r="A437" s="298"/>
      <c r="B437" s="396"/>
      <c r="C437" s="397"/>
      <c r="D437" s="398"/>
      <c r="E437" s="399"/>
      <c r="F437" s="400"/>
      <c r="L437" s="402"/>
      <c r="M437" s="402"/>
      <c r="O437" s="64"/>
      <c r="P437" s="63"/>
      <c r="Q437" s="63"/>
    </row>
    <row r="438" spans="1:17" s="401" customFormat="1" ht="15" customHeight="1" x14ac:dyDescent="0.2">
      <c r="A438" s="298"/>
      <c r="B438" s="396"/>
      <c r="C438" s="397"/>
      <c r="D438" s="398"/>
      <c r="E438" s="399"/>
      <c r="F438" s="400"/>
      <c r="L438" s="402"/>
      <c r="M438" s="402"/>
      <c r="O438" s="64"/>
      <c r="P438" s="63"/>
      <c r="Q438" s="63"/>
    </row>
    <row r="439" spans="1:17" s="401" customFormat="1" ht="15" customHeight="1" x14ac:dyDescent="0.2">
      <c r="A439" s="298"/>
      <c r="B439" s="396"/>
      <c r="C439" s="397"/>
      <c r="D439" s="398"/>
      <c r="E439" s="399"/>
      <c r="F439" s="400"/>
      <c r="L439" s="402"/>
      <c r="M439" s="402"/>
      <c r="O439" s="64"/>
      <c r="P439" s="63"/>
      <c r="Q439" s="63"/>
    </row>
    <row r="440" spans="1:17" s="401" customFormat="1" ht="15" customHeight="1" x14ac:dyDescent="0.2">
      <c r="A440" s="298"/>
      <c r="B440" s="396"/>
      <c r="C440" s="397"/>
      <c r="D440" s="398"/>
      <c r="E440" s="399"/>
      <c r="F440" s="400"/>
      <c r="L440" s="402"/>
      <c r="M440" s="402"/>
      <c r="O440" s="64"/>
      <c r="P440" s="63"/>
      <c r="Q440" s="63"/>
    </row>
    <row r="441" spans="1:17" s="401" customFormat="1" ht="15" customHeight="1" x14ac:dyDescent="0.2">
      <c r="A441" s="298"/>
      <c r="B441" s="396"/>
      <c r="C441" s="397"/>
      <c r="D441" s="398"/>
      <c r="E441" s="399"/>
      <c r="F441" s="400"/>
      <c r="L441" s="402"/>
      <c r="M441" s="402"/>
      <c r="O441" s="64"/>
      <c r="P441" s="63"/>
      <c r="Q441" s="63"/>
    </row>
    <row r="442" spans="1:17" s="401" customFormat="1" ht="15" customHeight="1" x14ac:dyDescent="0.2">
      <c r="A442" s="298"/>
      <c r="B442" s="396"/>
      <c r="C442" s="397"/>
      <c r="D442" s="398"/>
      <c r="E442" s="399"/>
      <c r="F442" s="400"/>
      <c r="L442" s="402"/>
      <c r="M442" s="402"/>
      <c r="O442" s="64"/>
      <c r="P442" s="63"/>
      <c r="Q442" s="63"/>
    </row>
    <row r="443" spans="1:17" s="401" customFormat="1" ht="15" customHeight="1" x14ac:dyDescent="0.2">
      <c r="A443" s="298"/>
      <c r="B443" s="396"/>
      <c r="C443" s="397"/>
      <c r="D443" s="398"/>
      <c r="E443" s="399"/>
      <c r="F443" s="400"/>
      <c r="L443" s="402"/>
      <c r="M443" s="402"/>
      <c r="O443" s="64"/>
      <c r="P443" s="63"/>
      <c r="Q443" s="63"/>
    </row>
    <row r="444" spans="1:17" s="401" customFormat="1" ht="15" customHeight="1" x14ac:dyDescent="0.2">
      <c r="A444" s="298"/>
      <c r="B444" s="396"/>
      <c r="C444" s="397"/>
      <c r="D444" s="398"/>
      <c r="E444" s="399"/>
      <c r="F444" s="400"/>
      <c r="L444" s="402"/>
      <c r="M444" s="402"/>
      <c r="O444" s="64"/>
      <c r="P444" s="63"/>
      <c r="Q444" s="63"/>
    </row>
    <row r="445" spans="1:17" s="401" customFormat="1" ht="15" customHeight="1" x14ac:dyDescent="0.2">
      <c r="A445" s="298"/>
      <c r="B445" s="396"/>
      <c r="C445" s="397"/>
      <c r="D445" s="398"/>
      <c r="E445" s="399"/>
      <c r="F445" s="400"/>
      <c r="L445" s="402"/>
      <c r="M445" s="402"/>
      <c r="O445" s="64"/>
      <c r="P445" s="63"/>
      <c r="Q445" s="63"/>
    </row>
    <row r="446" spans="1:17" s="401" customFormat="1" ht="15" customHeight="1" x14ac:dyDescent="0.2">
      <c r="A446" s="298"/>
      <c r="B446" s="396"/>
      <c r="C446" s="397"/>
      <c r="D446" s="398"/>
      <c r="E446" s="399"/>
      <c r="F446" s="400"/>
      <c r="L446" s="402"/>
      <c r="M446" s="402"/>
      <c r="O446" s="64"/>
      <c r="P446" s="63"/>
      <c r="Q446" s="63"/>
    </row>
    <row r="447" spans="1:17" s="401" customFormat="1" ht="15" customHeight="1" x14ac:dyDescent="0.2">
      <c r="A447" s="298"/>
      <c r="B447" s="396"/>
      <c r="C447" s="397"/>
      <c r="D447" s="398"/>
      <c r="E447" s="399"/>
      <c r="F447" s="400"/>
      <c r="L447" s="402"/>
      <c r="M447" s="402"/>
      <c r="O447" s="64"/>
      <c r="P447" s="63"/>
      <c r="Q447" s="63"/>
    </row>
    <row r="448" spans="1:17" s="401" customFormat="1" ht="15" customHeight="1" x14ac:dyDescent="0.2">
      <c r="A448" s="298"/>
      <c r="B448" s="396"/>
      <c r="C448" s="397"/>
      <c r="D448" s="398"/>
      <c r="E448" s="399"/>
      <c r="F448" s="400"/>
      <c r="L448" s="402"/>
      <c r="M448" s="402"/>
      <c r="O448" s="64"/>
      <c r="P448" s="63"/>
      <c r="Q448" s="63"/>
    </row>
    <row r="449" spans="1:17" s="401" customFormat="1" ht="15" customHeight="1" x14ac:dyDescent="0.2">
      <c r="A449" s="298"/>
      <c r="B449" s="396"/>
      <c r="C449" s="397"/>
      <c r="D449" s="398"/>
      <c r="E449" s="399"/>
      <c r="F449" s="400"/>
      <c r="L449" s="402"/>
      <c r="M449" s="402"/>
      <c r="O449" s="64"/>
      <c r="P449" s="63"/>
      <c r="Q449" s="63"/>
    </row>
    <row r="450" spans="1:17" s="401" customFormat="1" ht="15" customHeight="1" x14ac:dyDescent="0.2">
      <c r="A450" s="298"/>
      <c r="B450" s="396"/>
      <c r="C450" s="397"/>
      <c r="D450" s="398"/>
      <c r="E450" s="399"/>
      <c r="F450" s="400"/>
      <c r="L450" s="402"/>
      <c r="M450" s="402"/>
      <c r="O450" s="64"/>
      <c r="P450" s="63"/>
      <c r="Q450" s="63"/>
    </row>
    <row r="451" spans="1:17" s="401" customFormat="1" ht="15" customHeight="1" x14ac:dyDescent="0.2">
      <c r="A451" s="298"/>
      <c r="B451" s="396"/>
      <c r="C451" s="397"/>
      <c r="D451" s="398"/>
      <c r="E451" s="399"/>
      <c r="F451" s="400"/>
      <c r="L451" s="402"/>
      <c r="M451" s="402"/>
      <c r="O451" s="64"/>
      <c r="P451" s="63"/>
      <c r="Q451" s="63"/>
    </row>
    <row r="452" spans="1:17" s="401" customFormat="1" ht="15" customHeight="1" x14ac:dyDescent="0.2">
      <c r="A452" s="298"/>
      <c r="B452" s="396"/>
      <c r="C452" s="397"/>
      <c r="D452" s="398"/>
      <c r="E452" s="399"/>
      <c r="F452" s="400"/>
      <c r="L452" s="402"/>
      <c r="M452" s="402"/>
      <c r="O452" s="64"/>
      <c r="P452" s="63"/>
      <c r="Q452" s="63"/>
    </row>
    <row r="453" spans="1:17" s="401" customFormat="1" ht="15" customHeight="1" x14ac:dyDescent="0.2">
      <c r="A453" s="298"/>
      <c r="B453" s="396"/>
      <c r="C453" s="397"/>
      <c r="D453" s="398"/>
      <c r="E453" s="399"/>
      <c r="F453" s="400"/>
      <c r="L453" s="402"/>
      <c r="M453" s="402"/>
      <c r="O453" s="64"/>
      <c r="P453" s="63"/>
      <c r="Q453" s="63"/>
    </row>
    <row r="454" spans="1:17" s="401" customFormat="1" ht="15" customHeight="1" x14ac:dyDescent="0.2">
      <c r="A454" s="298"/>
      <c r="B454" s="396"/>
      <c r="C454" s="397"/>
      <c r="D454" s="398"/>
      <c r="E454" s="399"/>
      <c r="F454" s="400"/>
      <c r="L454" s="402"/>
      <c r="M454" s="402"/>
      <c r="O454" s="64"/>
      <c r="P454" s="63"/>
      <c r="Q454" s="63"/>
    </row>
    <row r="455" spans="1:17" s="401" customFormat="1" ht="15" customHeight="1" x14ac:dyDescent="0.2">
      <c r="A455" s="298"/>
      <c r="B455" s="396"/>
      <c r="C455" s="397"/>
      <c r="D455" s="398"/>
      <c r="E455" s="399"/>
      <c r="F455" s="400"/>
      <c r="L455" s="402"/>
      <c r="M455" s="402"/>
      <c r="O455" s="64"/>
      <c r="P455" s="63"/>
      <c r="Q455" s="63"/>
    </row>
    <row r="456" spans="1:17" s="401" customFormat="1" ht="15" customHeight="1" x14ac:dyDescent="0.2">
      <c r="A456" s="298"/>
      <c r="B456" s="396"/>
      <c r="C456" s="397"/>
      <c r="D456" s="398"/>
      <c r="E456" s="399"/>
      <c r="F456" s="400"/>
      <c r="L456" s="402"/>
      <c r="M456" s="402"/>
      <c r="O456" s="64"/>
      <c r="P456" s="63"/>
      <c r="Q456" s="63"/>
    </row>
    <row r="457" spans="1:17" s="401" customFormat="1" ht="15" customHeight="1" x14ac:dyDescent="0.2">
      <c r="A457" s="298"/>
      <c r="B457" s="396"/>
      <c r="C457" s="397"/>
      <c r="D457" s="398"/>
      <c r="E457" s="399"/>
      <c r="F457" s="400"/>
      <c r="L457" s="402"/>
      <c r="M457" s="402"/>
      <c r="O457" s="64"/>
      <c r="P457" s="63"/>
      <c r="Q457" s="63"/>
    </row>
    <row r="458" spans="1:17" s="401" customFormat="1" ht="15" customHeight="1" x14ac:dyDescent="0.2">
      <c r="A458" s="298"/>
      <c r="B458" s="396"/>
      <c r="C458" s="397"/>
      <c r="D458" s="398"/>
      <c r="E458" s="399"/>
      <c r="F458" s="400"/>
      <c r="L458" s="402"/>
      <c r="M458" s="402"/>
      <c r="O458" s="64"/>
      <c r="P458" s="63"/>
      <c r="Q458" s="63"/>
    </row>
    <row r="459" spans="1:17" s="401" customFormat="1" ht="15" customHeight="1" x14ac:dyDescent="0.2">
      <c r="A459" s="298"/>
      <c r="B459" s="396"/>
      <c r="C459" s="397"/>
      <c r="D459" s="398"/>
      <c r="E459" s="399"/>
      <c r="F459" s="400"/>
      <c r="L459" s="402"/>
      <c r="M459" s="402"/>
      <c r="O459" s="64"/>
      <c r="P459" s="63"/>
      <c r="Q459" s="63"/>
    </row>
    <row r="460" spans="1:17" s="401" customFormat="1" ht="15" customHeight="1" x14ac:dyDescent="0.2">
      <c r="A460" s="298"/>
      <c r="B460" s="396"/>
      <c r="C460" s="397"/>
      <c r="D460" s="398"/>
      <c r="E460" s="399"/>
      <c r="F460" s="400"/>
      <c r="L460" s="402"/>
      <c r="M460" s="402"/>
      <c r="O460" s="64"/>
      <c r="P460" s="63"/>
      <c r="Q460" s="63"/>
    </row>
    <row r="461" spans="1:17" s="401" customFormat="1" ht="15" customHeight="1" x14ac:dyDescent="0.2">
      <c r="A461" s="298"/>
      <c r="B461" s="396"/>
      <c r="C461" s="397"/>
      <c r="D461" s="398"/>
      <c r="E461" s="399"/>
      <c r="F461" s="400"/>
      <c r="L461" s="402"/>
      <c r="M461" s="402"/>
      <c r="O461" s="64"/>
      <c r="P461" s="63"/>
      <c r="Q461" s="63"/>
    </row>
    <row r="462" spans="1:17" s="401" customFormat="1" ht="15" customHeight="1" x14ac:dyDescent="0.2">
      <c r="A462" s="298"/>
      <c r="B462" s="396"/>
      <c r="C462" s="397"/>
      <c r="D462" s="398"/>
      <c r="E462" s="399"/>
      <c r="F462" s="400"/>
      <c r="L462" s="402"/>
      <c r="M462" s="402"/>
      <c r="O462" s="64"/>
      <c r="P462" s="63"/>
      <c r="Q462" s="63"/>
    </row>
    <row r="463" spans="1:17" s="401" customFormat="1" ht="15" customHeight="1" x14ac:dyDescent="0.2">
      <c r="A463" s="298"/>
      <c r="B463" s="396"/>
      <c r="C463" s="397"/>
      <c r="D463" s="398"/>
      <c r="E463" s="399"/>
      <c r="F463" s="400"/>
      <c r="L463" s="402"/>
      <c r="M463" s="402"/>
      <c r="O463" s="64"/>
      <c r="P463" s="63"/>
      <c r="Q463" s="63"/>
    </row>
    <row r="464" spans="1:17" s="401" customFormat="1" ht="15" customHeight="1" x14ac:dyDescent="0.2">
      <c r="A464" s="298"/>
      <c r="B464" s="396"/>
      <c r="C464" s="397"/>
      <c r="D464" s="398"/>
      <c r="E464" s="399"/>
      <c r="F464" s="400"/>
      <c r="L464" s="402"/>
      <c r="M464" s="402"/>
      <c r="O464" s="64"/>
      <c r="P464" s="63"/>
      <c r="Q464" s="63"/>
    </row>
    <row r="465" spans="1:17" s="401" customFormat="1" ht="15" customHeight="1" x14ac:dyDescent="0.2">
      <c r="A465" s="298"/>
      <c r="B465" s="396"/>
      <c r="C465" s="397"/>
      <c r="D465" s="398"/>
      <c r="E465" s="399"/>
      <c r="F465" s="400"/>
      <c r="L465" s="402"/>
      <c r="M465" s="402"/>
      <c r="O465" s="64"/>
      <c r="P465" s="63"/>
      <c r="Q465" s="63"/>
    </row>
    <row r="466" spans="1:17" s="401" customFormat="1" ht="15" customHeight="1" x14ac:dyDescent="0.2">
      <c r="A466" s="298"/>
      <c r="B466" s="396"/>
      <c r="C466" s="397"/>
      <c r="D466" s="398"/>
      <c r="E466" s="399"/>
      <c r="F466" s="400"/>
      <c r="L466" s="402"/>
      <c r="M466" s="402"/>
      <c r="O466" s="64"/>
      <c r="P466" s="63"/>
      <c r="Q466" s="63"/>
    </row>
    <row r="467" spans="1:17" s="401" customFormat="1" ht="15" customHeight="1" x14ac:dyDescent="0.2">
      <c r="A467" s="298"/>
      <c r="B467" s="396"/>
      <c r="C467" s="397"/>
      <c r="D467" s="398"/>
      <c r="E467" s="399"/>
      <c r="F467" s="400"/>
      <c r="L467" s="402"/>
      <c r="M467" s="402"/>
      <c r="O467" s="64"/>
      <c r="P467" s="63"/>
      <c r="Q467" s="63"/>
    </row>
    <row r="468" spans="1:17" ht="15" customHeight="1" x14ac:dyDescent="0.2">
      <c r="A468" s="403"/>
      <c r="B468" s="396"/>
      <c r="C468" s="404"/>
      <c r="D468" s="398"/>
      <c r="E468" s="308"/>
      <c r="F468" s="400"/>
      <c r="G468" s="297"/>
      <c r="H468" s="297"/>
      <c r="J468" s="297"/>
      <c r="L468" s="312"/>
      <c r="N468" s="297"/>
      <c r="O468" s="64"/>
    </row>
    <row r="469" spans="1:17" ht="15" customHeight="1" x14ac:dyDescent="0.2">
      <c r="A469" s="403"/>
      <c r="B469" s="396"/>
      <c r="C469" s="404"/>
      <c r="D469" s="398"/>
      <c r="E469" s="308"/>
      <c r="F469" s="400"/>
      <c r="G469" s="297"/>
      <c r="H469" s="297"/>
      <c r="J469" s="297"/>
      <c r="L469" s="312"/>
      <c r="N469" s="297"/>
      <c r="O469" s="64"/>
    </row>
    <row r="470" spans="1:17" ht="15" customHeight="1" x14ac:dyDescent="0.2">
      <c r="A470" s="403"/>
      <c r="B470" s="396"/>
      <c r="C470" s="404"/>
      <c r="D470" s="398"/>
      <c r="E470" s="308"/>
      <c r="F470" s="400"/>
      <c r="G470" s="297"/>
      <c r="H470" s="297"/>
      <c r="J470" s="297"/>
      <c r="L470" s="312"/>
      <c r="N470" s="297"/>
      <c r="O470" s="64"/>
    </row>
    <row r="471" spans="1:17" ht="15" customHeight="1" x14ac:dyDescent="0.2">
      <c r="A471" s="403"/>
      <c r="B471" s="396"/>
      <c r="C471" s="404"/>
      <c r="D471" s="398"/>
      <c r="E471" s="308"/>
      <c r="F471" s="400"/>
      <c r="G471" s="297"/>
      <c r="H471" s="297"/>
      <c r="J471" s="297"/>
      <c r="L471" s="312"/>
      <c r="N471" s="297"/>
      <c r="O471" s="64"/>
    </row>
    <row r="472" spans="1:17" ht="15" customHeight="1" x14ac:dyDescent="0.2">
      <c r="A472" s="403"/>
      <c r="B472" s="396"/>
      <c r="C472" s="404"/>
      <c r="D472" s="398"/>
      <c r="E472" s="308"/>
      <c r="F472" s="400"/>
      <c r="G472" s="297"/>
      <c r="H472" s="297"/>
      <c r="J472" s="297"/>
      <c r="L472" s="312"/>
      <c r="N472" s="297"/>
      <c r="O472" s="64"/>
    </row>
    <row r="473" spans="1:17" ht="15" customHeight="1" x14ac:dyDescent="0.2">
      <c r="A473" s="403"/>
      <c r="B473" s="396"/>
      <c r="C473" s="404"/>
      <c r="D473" s="398"/>
      <c r="E473" s="308"/>
      <c r="F473" s="400"/>
      <c r="G473" s="297"/>
      <c r="H473" s="297"/>
      <c r="J473" s="297"/>
      <c r="L473" s="312"/>
      <c r="N473" s="297"/>
      <c r="O473" s="64"/>
    </row>
    <row r="474" spans="1:17" ht="15" customHeight="1" x14ac:dyDescent="0.2">
      <c r="A474" s="403"/>
      <c r="B474" s="396"/>
      <c r="C474" s="404"/>
      <c r="D474" s="398"/>
      <c r="E474" s="308"/>
      <c r="F474" s="400"/>
      <c r="G474" s="297"/>
      <c r="H474" s="297"/>
      <c r="J474" s="297"/>
      <c r="L474" s="312"/>
      <c r="N474" s="297"/>
      <c r="O474" s="64"/>
    </row>
    <row r="475" spans="1:17" ht="15" customHeight="1" x14ac:dyDescent="0.2">
      <c r="A475" s="403"/>
      <c r="B475" s="396"/>
      <c r="C475" s="404"/>
      <c r="D475" s="398"/>
      <c r="E475" s="308"/>
      <c r="F475" s="400"/>
      <c r="G475" s="297"/>
      <c r="H475" s="297"/>
      <c r="J475" s="297"/>
      <c r="L475" s="312"/>
      <c r="N475" s="297"/>
      <c r="O475" s="64"/>
    </row>
    <row r="476" spans="1:17" ht="15" customHeight="1" x14ac:dyDescent="0.2">
      <c r="A476" s="403"/>
      <c r="B476" s="396"/>
      <c r="C476" s="404"/>
      <c r="D476" s="398"/>
      <c r="E476" s="308"/>
      <c r="F476" s="400"/>
      <c r="G476" s="297"/>
      <c r="H476" s="297"/>
      <c r="J476" s="297"/>
      <c r="L476" s="312"/>
      <c r="N476" s="297"/>
      <c r="O476" s="64"/>
    </row>
    <row r="477" spans="1:17" ht="15" customHeight="1" x14ac:dyDescent="0.2">
      <c r="A477" s="403"/>
      <c r="B477" s="396"/>
      <c r="C477" s="404"/>
      <c r="D477" s="398"/>
      <c r="E477" s="308"/>
      <c r="F477" s="400"/>
      <c r="G477" s="297"/>
      <c r="H477" s="297"/>
      <c r="J477" s="297"/>
      <c r="L477" s="312"/>
      <c r="N477" s="297"/>
      <c r="O477" s="64"/>
    </row>
    <row r="478" spans="1:17" ht="15" customHeight="1" x14ac:dyDescent="0.2">
      <c r="A478" s="403"/>
      <c r="B478" s="396"/>
      <c r="C478" s="404"/>
      <c r="D478" s="398"/>
      <c r="E478" s="308"/>
      <c r="F478" s="400"/>
      <c r="G478" s="297"/>
      <c r="H478" s="297"/>
      <c r="J478" s="297"/>
      <c r="L478" s="312"/>
      <c r="N478" s="297"/>
      <c r="O478" s="64"/>
    </row>
    <row r="479" spans="1:17" ht="15" customHeight="1" x14ac:dyDescent="0.2">
      <c r="A479" s="403"/>
      <c r="B479" s="396"/>
      <c r="C479" s="404"/>
      <c r="D479" s="398"/>
      <c r="E479" s="308"/>
      <c r="F479" s="400"/>
      <c r="G479" s="297"/>
      <c r="H479" s="297"/>
      <c r="J479" s="297"/>
      <c r="L479" s="312"/>
      <c r="N479" s="297"/>
      <c r="O479" s="64"/>
    </row>
    <row r="480" spans="1:17" ht="15" customHeight="1" x14ac:dyDescent="0.2">
      <c r="A480" s="403"/>
      <c r="B480" s="396"/>
      <c r="C480" s="404"/>
      <c r="D480" s="398"/>
      <c r="E480" s="308"/>
      <c r="F480" s="400"/>
      <c r="G480" s="297"/>
      <c r="H480" s="297"/>
      <c r="J480" s="297"/>
      <c r="L480" s="312"/>
      <c r="N480" s="297"/>
      <c r="O480" s="64"/>
    </row>
    <row r="481" spans="1:15" ht="15" customHeight="1" x14ac:dyDescent="0.2">
      <c r="A481" s="403"/>
      <c r="B481" s="396"/>
      <c r="C481" s="404"/>
      <c r="D481" s="398"/>
      <c r="E481" s="308"/>
      <c r="F481" s="400"/>
      <c r="G481" s="297"/>
      <c r="H481" s="297"/>
      <c r="J481" s="297"/>
      <c r="L481" s="312"/>
      <c r="N481" s="297"/>
      <c r="O481" s="64"/>
    </row>
    <row r="482" spans="1:15" ht="15" customHeight="1" x14ac:dyDescent="0.2">
      <c r="A482" s="403"/>
      <c r="B482" s="396"/>
      <c r="C482" s="404"/>
      <c r="D482" s="398"/>
      <c r="E482" s="308"/>
      <c r="F482" s="400"/>
      <c r="G482" s="297"/>
      <c r="H482" s="297"/>
      <c r="J482" s="297"/>
      <c r="L482" s="312"/>
      <c r="N482" s="297"/>
      <c r="O482" s="64"/>
    </row>
    <row r="483" spans="1:15" ht="15" customHeight="1" x14ac:dyDescent="0.2">
      <c r="A483" s="403"/>
      <c r="B483" s="396"/>
      <c r="C483" s="404"/>
      <c r="D483" s="398"/>
      <c r="E483" s="308"/>
      <c r="F483" s="400"/>
      <c r="G483" s="297"/>
      <c r="H483" s="297"/>
      <c r="J483" s="297"/>
      <c r="L483" s="312"/>
      <c r="N483" s="297"/>
      <c r="O483" s="64"/>
    </row>
    <row r="484" spans="1:15" ht="15" customHeight="1" x14ac:dyDescent="0.2">
      <c r="A484" s="403"/>
      <c r="B484" s="396"/>
      <c r="C484" s="404"/>
      <c r="D484" s="398"/>
      <c r="E484" s="308"/>
      <c r="F484" s="400"/>
      <c r="G484" s="297"/>
      <c r="H484" s="297"/>
      <c r="J484" s="297"/>
      <c r="L484" s="312"/>
      <c r="N484" s="297"/>
      <c r="O484" s="64"/>
    </row>
    <row r="485" spans="1:15" ht="15" customHeight="1" x14ac:dyDescent="0.2">
      <c r="A485" s="403"/>
      <c r="B485" s="396"/>
      <c r="C485" s="404"/>
      <c r="D485" s="398"/>
      <c r="E485" s="308"/>
      <c r="F485" s="400"/>
      <c r="G485" s="297"/>
      <c r="H485" s="297"/>
      <c r="J485" s="297"/>
      <c r="L485" s="312"/>
      <c r="N485" s="297"/>
      <c r="O485" s="64"/>
    </row>
    <row r="486" spans="1:15" ht="15" customHeight="1" x14ac:dyDescent="0.2">
      <c r="A486" s="403"/>
      <c r="B486" s="396"/>
      <c r="C486" s="404"/>
      <c r="D486" s="398"/>
      <c r="E486" s="308"/>
      <c r="F486" s="400"/>
      <c r="G486" s="297"/>
      <c r="H486" s="297"/>
      <c r="J486" s="297"/>
      <c r="L486" s="312"/>
      <c r="N486" s="297"/>
      <c r="O486" s="64"/>
    </row>
    <row r="487" spans="1:15" ht="15" customHeight="1" x14ac:dyDescent="0.2">
      <c r="A487" s="403"/>
      <c r="B487" s="396"/>
      <c r="C487" s="404"/>
      <c r="D487" s="398"/>
      <c r="E487" s="308"/>
      <c r="F487" s="400"/>
      <c r="G487" s="297"/>
      <c r="H487" s="297"/>
      <c r="J487" s="297"/>
      <c r="L487" s="312"/>
      <c r="N487" s="297"/>
      <c r="O487" s="64"/>
    </row>
    <row r="488" spans="1:15" ht="15" customHeight="1" x14ac:dyDescent="0.2">
      <c r="A488" s="403"/>
      <c r="B488" s="396"/>
      <c r="C488" s="404"/>
      <c r="D488" s="398"/>
      <c r="E488" s="308"/>
      <c r="F488" s="400"/>
      <c r="G488" s="297"/>
      <c r="H488" s="297"/>
      <c r="J488" s="297"/>
      <c r="L488" s="312"/>
      <c r="N488" s="297"/>
      <c r="O488" s="64"/>
    </row>
    <row r="489" spans="1:15" ht="15" customHeight="1" x14ac:dyDescent="0.2">
      <c r="A489" s="403"/>
      <c r="B489" s="396"/>
      <c r="C489" s="404"/>
      <c r="D489" s="398"/>
      <c r="E489" s="308"/>
      <c r="F489" s="400"/>
      <c r="G489" s="297"/>
      <c r="H489" s="297"/>
      <c r="J489" s="297"/>
      <c r="L489" s="312"/>
      <c r="N489" s="297"/>
      <c r="O489" s="64"/>
    </row>
    <row r="490" spans="1:15" ht="15" customHeight="1" x14ac:dyDescent="0.2">
      <c r="A490" s="403"/>
      <c r="B490" s="396"/>
      <c r="C490" s="404"/>
      <c r="D490" s="398"/>
      <c r="E490" s="308"/>
      <c r="F490" s="400"/>
      <c r="G490" s="297"/>
      <c r="H490" s="297"/>
      <c r="J490" s="297"/>
      <c r="L490" s="312"/>
      <c r="N490" s="297"/>
      <c r="O490" s="64"/>
    </row>
    <row r="491" spans="1:15" ht="15" customHeight="1" x14ac:dyDescent="0.2">
      <c r="A491" s="403"/>
      <c r="B491" s="396"/>
      <c r="C491" s="404"/>
      <c r="D491" s="398"/>
      <c r="E491" s="308"/>
      <c r="F491" s="400"/>
      <c r="G491" s="297"/>
      <c r="H491" s="297"/>
      <c r="J491" s="297"/>
      <c r="L491" s="312"/>
      <c r="N491" s="297"/>
      <c r="O491" s="64"/>
    </row>
    <row r="492" spans="1:15" ht="15" customHeight="1" x14ac:dyDescent="0.2">
      <c r="A492" s="403"/>
      <c r="B492" s="396"/>
      <c r="C492" s="404"/>
      <c r="D492" s="398"/>
      <c r="E492" s="308"/>
      <c r="F492" s="400"/>
      <c r="G492" s="297"/>
      <c r="H492" s="297"/>
      <c r="J492" s="297"/>
      <c r="L492" s="312"/>
      <c r="N492" s="297"/>
      <c r="O492" s="64"/>
    </row>
    <row r="493" spans="1:15" ht="15" customHeight="1" x14ac:dyDescent="0.2">
      <c r="A493" s="403"/>
      <c r="B493" s="396"/>
      <c r="C493" s="404"/>
      <c r="D493" s="398"/>
      <c r="E493" s="308"/>
      <c r="F493" s="400"/>
      <c r="G493" s="297"/>
      <c r="H493" s="297"/>
      <c r="J493" s="297"/>
      <c r="L493" s="312"/>
      <c r="N493" s="297"/>
      <c r="O493" s="64"/>
    </row>
    <row r="494" spans="1:15" ht="15" customHeight="1" x14ac:dyDescent="0.2">
      <c r="A494" s="403"/>
      <c r="B494" s="396"/>
      <c r="C494" s="404"/>
      <c r="D494" s="398"/>
      <c r="E494" s="308"/>
      <c r="F494" s="400"/>
      <c r="G494" s="297"/>
      <c r="H494" s="297"/>
      <c r="J494" s="297"/>
      <c r="L494" s="312"/>
      <c r="N494" s="297"/>
      <c r="O494" s="64"/>
    </row>
    <row r="495" spans="1:15" ht="15" customHeight="1" x14ac:dyDescent="0.2">
      <c r="A495" s="403"/>
      <c r="B495" s="396"/>
      <c r="C495" s="404"/>
      <c r="D495" s="398"/>
      <c r="E495" s="308"/>
      <c r="F495" s="400"/>
      <c r="G495" s="297"/>
      <c r="H495" s="297"/>
      <c r="J495" s="297"/>
      <c r="L495" s="312"/>
      <c r="N495" s="297"/>
      <c r="O495" s="64"/>
    </row>
    <row r="496" spans="1:15" ht="15" customHeight="1" x14ac:dyDescent="0.2">
      <c r="A496" s="403"/>
      <c r="B496" s="396"/>
      <c r="C496" s="404"/>
      <c r="D496" s="398"/>
      <c r="E496" s="308"/>
      <c r="F496" s="400"/>
      <c r="G496" s="297"/>
      <c r="H496" s="297"/>
      <c r="J496" s="297"/>
      <c r="L496" s="312"/>
      <c r="N496" s="297"/>
      <c r="O496" s="64"/>
    </row>
    <row r="497" spans="1:15" ht="15" customHeight="1" x14ac:dyDescent="0.2">
      <c r="A497" s="403"/>
      <c r="B497" s="396"/>
      <c r="C497" s="404"/>
      <c r="D497" s="398"/>
      <c r="E497" s="308"/>
      <c r="F497" s="400"/>
      <c r="G497" s="297"/>
      <c r="H497" s="297"/>
      <c r="J497" s="297"/>
      <c r="L497" s="312"/>
      <c r="N497" s="297"/>
      <c r="O497" s="64"/>
    </row>
    <row r="498" spans="1:15" ht="15" customHeight="1" x14ac:dyDescent="0.2">
      <c r="A498" s="403"/>
      <c r="B498" s="396"/>
      <c r="C498" s="404"/>
      <c r="D498" s="398"/>
      <c r="E498" s="308"/>
      <c r="F498" s="400"/>
      <c r="G498" s="297"/>
      <c r="H498" s="297"/>
      <c r="J498" s="297"/>
      <c r="L498" s="312"/>
      <c r="N498" s="297"/>
      <c r="O498" s="64"/>
    </row>
    <row r="499" spans="1:15" ht="15" customHeight="1" x14ac:dyDescent="0.2">
      <c r="A499" s="403"/>
      <c r="B499" s="396"/>
      <c r="C499" s="404"/>
      <c r="D499" s="398"/>
      <c r="E499" s="308"/>
      <c r="F499" s="400"/>
      <c r="G499" s="297"/>
      <c r="H499" s="297"/>
      <c r="J499" s="297"/>
      <c r="L499" s="312"/>
      <c r="N499" s="297"/>
      <c r="O499" s="64"/>
    </row>
    <row r="500" spans="1:15" ht="15" customHeight="1" x14ac:dyDescent="0.2">
      <c r="A500" s="403"/>
      <c r="B500" s="396"/>
      <c r="C500" s="404"/>
      <c r="D500" s="398"/>
      <c r="E500" s="308"/>
      <c r="F500" s="400"/>
      <c r="G500" s="297"/>
      <c r="H500" s="297"/>
      <c r="J500" s="297"/>
      <c r="L500" s="312"/>
      <c r="N500" s="297"/>
      <c r="O500" s="64"/>
    </row>
    <row r="501" spans="1:15" ht="15" customHeight="1" x14ac:dyDescent="0.2">
      <c r="A501" s="403"/>
      <c r="B501" s="396"/>
      <c r="C501" s="404"/>
      <c r="D501" s="398"/>
      <c r="E501" s="308"/>
      <c r="F501" s="400"/>
      <c r="G501" s="297"/>
      <c r="H501" s="297"/>
      <c r="J501" s="297"/>
      <c r="L501" s="312"/>
      <c r="N501" s="297"/>
      <c r="O501" s="64"/>
    </row>
    <row r="502" spans="1:15" ht="15" customHeight="1" x14ac:dyDescent="0.2">
      <c r="A502" s="403"/>
      <c r="B502" s="396"/>
      <c r="C502" s="404"/>
      <c r="D502" s="398"/>
      <c r="E502" s="308"/>
      <c r="F502" s="400"/>
      <c r="G502" s="297"/>
      <c r="H502" s="297"/>
      <c r="J502" s="297"/>
      <c r="L502" s="312"/>
      <c r="N502" s="297"/>
      <c r="O502" s="64"/>
    </row>
    <row r="503" spans="1:15" ht="15" customHeight="1" x14ac:dyDescent="0.2">
      <c r="A503" s="403"/>
      <c r="B503" s="396"/>
      <c r="C503" s="404"/>
      <c r="D503" s="398"/>
      <c r="E503" s="308"/>
      <c r="F503" s="400"/>
      <c r="G503" s="297"/>
      <c r="H503" s="297"/>
      <c r="J503" s="297"/>
      <c r="L503" s="312"/>
      <c r="N503" s="297"/>
      <c r="O503" s="64"/>
    </row>
    <row r="504" spans="1:15" ht="15" customHeight="1" x14ac:dyDescent="0.2">
      <c r="A504" s="403"/>
      <c r="B504" s="396"/>
      <c r="C504" s="404"/>
      <c r="D504" s="398"/>
      <c r="E504" s="308"/>
      <c r="F504" s="400"/>
      <c r="G504" s="297"/>
      <c r="H504" s="297"/>
      <c r="J504" s="297"/>
      <c r="L504" s="312"/>
      <c r="N504" s="297"/>
      <c r="O504" s="64"/>
    </row>
    <row r="505" spans="1:15" ht="15" customHeight="1" x14ac:dyDescent="0.2">
      <c r="A505" s="403"/>
      <c r="B505" s="396"/>
      <c r="C505" s="404"/>
      <c r="D505" s="398"/>
      <c r="E505" s="308"/>
      <c r="F505" s="400"/>
      <c r="G505" s="297"/>
      <c r="H505" s="297"/>
      <c r="J505" s="297"/>
      <c r="L505" s="312"/>
      <c r="N505" s="297"/>
      <c r="O505" s="64"/>
    </row>
    <row r="506" spans="1:15" ht="15" customHeight="1" x14ac:dyDescent="0.2">
      <c r="A506" s="403"/>
      <c r="B506" s="396"/>
      <c r="C506" s="404"/>
      <c r="D506" s="398"/>
      <c r="E506" s="308"/>
      <c r="F506" s="400"/>
      <c r="G506" s="297"/>
      <c r="H506" s="297"/>
      <c r="J506" s="297"/>
      <c r="L506" s="312"/>
      <c r="N506" s="297"/>
      <c r="O506" s="64"/>
    </row>
    <row r="507" spans="1:15" ht="15" customHeight="1" x14ac:dyDescent="0.2">
      <c r="A507" s="403"/>
      <c r="B507" s="396"/>
      <c r="C507" s="404"/>
      <c r="D507" s="398"/>
      <c r="E507" s="308"/>
      <c r="F507" s="400"/>
      <c r="G507" s="297"/>
      <c r="H507" s="297"/>
      <c r="J507" s="297"/>
      <c r="L507" s="312"/>
      <c r="N507" s="297"/>
      <c r="O507" s="64"/>
    </row>
    <row r="508" spans="1:15" ht="15" customHeight="1" x14ac:dyDescent="0.2">
      <c r="A508" s="403"/>
      <c r="B508" s="396"/>
      <c r="C508" s="404"/>
      <c r="D508" s="398"/>
      <c r="E508" s="308"/>
      <c r="F508" s="400"/>
      <c r="G508" s="297"/>
      <c r="H508" s="297"/>
      <c r="J508" s="297"/>
      <c r="L508" s="312"/>
      <c r="N508" s="297"/>
      <c r="O508" s="64"/>
    </row>
    <row r="509" spans="1:15" ht="15" customHeight="1" x14ac:dyDescent="0.2">
      <c r="A509" s="403"/>
      <c r="B509" s="396"/>
      <c r="C509" s="404"/>
      <c r="D509" s="398"/>
      <c r="E509" s="308"/>
      <c r="F509" s="400"/>
      <c r="G509" s="297"/>
      <c r="H509" s="297"/>
      <c r="J509" s="297"/>
      <c r="L509" s="312"/>
      <c r="N509" s="297"/>
      <c r="O509" s="64"/>
    </row>
    <row r="510" spans="1:15" ht="15" customHeight="1" x14ac:dyDescent="0.2">
      <c r="A510" s="403"/>
      <c r="B510" s="396"/>
      <c r="C510" s="404"/>
      <c r="D510" s="398"/>
      <c r="E510" s="308"/>
      <c r="F510" s="400"/>
      <c r="G510" s="297"/>
      <c r="H510" s="297"/>
      <c r="J510" s="297"/>
      <c r="L510" s="312"/>
      <c r="N510" s="297"/>
      <c r="O510" s="64"/>
    </row>
    <row r="511" spans="1:15" ht="15" customHeight="1" x14ac:dyDescent="0.2">
      <c r="A511" s="403"/>
      <c r="B511" s="396"/>
      <c r="C511" s="404"/>
      <c r="D511" s="398"/>
      <c r="E511" s="308"/>
      <c r="F511" s="400"/>
      <c r="G511" s="297"/>
      <c r="H511" s="297"/>
      <c r="J511" s="297"/>
      <c r="L511" s="312"/>
      <c r="N511" s="297"/>
      <c r="O511" s="64"/>
    </row>
    <row r="512" spans="1:15" ht="15" customHeight="1" x14ac:dyDescent="0.2">
      <c r="A512" s="403"/>
      <c r="B512" s="396"/>
      <c r="C512" s="404"/>
      <c r="D512" s="398"/>
      <c r="E512" s="308"/>
      <c r="F512" s="400"/>
      <c r="G512" s="297"/>
      <c r="H512" s="297"/>
      <c r="J512" s="297"/>
      <c r="L512" s="312"/>
      <c r="N512" s="297"/>
      <c r="O512" s="64"/>
    </row>
    <row r="513" spans="1:15" ht="15" customHeight="1" x14ac:dyDescent="0.2">
      <c r="A513" s="403"/>
      <c r="B513" s="396"/>
      <c r="C513" s="404"/>
      <c r="D513" s="398"/>
      <c r="E513" s="308"/>
      <c r="F513" s="400"/>
      <c r="G513" s="297"/>
      <c r="H513" s="297"/>
      <c r="J513" s="297"/>
      <c r="L513" s="312"/>
      <c r="N513" s="297"/>
      <c r="O513" s="64"/>
    </row>
    <row r="514" spans="1:15" ht="15" customHeight="1" x14ac:dyDescent="0.2">
      <c r="A514" s="403"/>
      <c r="B514" s="396"/>
      <c r="C514" s="404"/>
      <c r="D514" s="398"/>
      <c r="E514" s="308"/>
      <c r="F514" s="400"/>
      <c r="G514" s="297"/>
      <c r="H514" s="297"/>
      <c r="J514" s="297"/>
      <c r="L514" s="312"/>
      <c r="N514" s="297"/>
      <c r="O514" s="64"/>
    </row>
    <row r="515" spans="1:15" ht="15" customHeight="1" x14ac:dyDescent="0.2">
      <c r="A515" s="403"/>
      <c r="B515" s="396"/>
      <c r="C515" s="404"/>
      <c r="D515" s="398"/>
      <c r="E515" s="308"/>
      <c r="F515" s="400"/>
      <c r="G515" s="297"/>
      <c r="H515" s="297"/>
      <c r="J515" s="297"/>
      <c r="L515" s="312"/>
      <c r="N515" s="297"/>
      <c r="O515" s="64"/>
    </row>
    <row r="516" spans="1:15" ht="15" customHeight="1" x14ac:dyDescent="0.2">
      <c r="A516" s="403"/>
      <c r="B516" s="396"/>
      <c r="C516" s="404"/>
      <c r="D516" s="398"/>
      <c r="E516" s="308"/>
      <c r="F516" s="400"/>
      <c r="G516" s="297"/>
      <c r="H516" s="297"/>
      <c r="J516" s="297"/>
      <c r="L516" s="312"/>
      <c r="N516" s="297"/>
      <c r="O516" s="64"/>
    </row>
    <row r="517" spans="1:15" ht="15" customHeight="1" x14ac:dyDescent="0.2">
      <c r="A517" s="403"/>
      <c r="B517" s="396"/>
      <c r="C517" s="404"/>
      <c r="D517" s="398"/>
      <c r="E517" s="308"/>
      <c r="F517" s="400"/>
      <c r="G517" s="297"/>
      <c r="H517" s="297"/>
      <c r="J517" s="297"/>
      <c r="L517" s="312"/>
      <c r="N517" s="297"/>
      <c r="O517" s="64"/>
    </row>
    <row r="518" spans="1:15" ht="15" customHeight="1" x14ac:dyDescent="0.2">
      <c r="A518" s="403"/>
      <c r="B518" s="396"/>
      <c r="C518" s="404"/>
      <c r="D518" s="398"/>
      <c r="E518" s="308"/>
      <c r="F518" s="400"/>
      <c r="G518" s="297"/>
      <c r="H518" s="297"/>
      <c r="J518" s="297"/>
      <c r="L518" s="312"/>
      <c r="N518" s="297"/>
      <c r="O518" s="64"/>
    </row>
    <row r="519" spans="1:15" ht="15" customHeight="1" x14ac:dyDescent="0.2">
      <c r="A519" s="403"/>
      <c r="B519" s="396"/>
      <c r="C519" s="404"/>
      <c r="D519" s="398"/>
      <c r="E519" s="308"/>
      <c r="F519" s="400"/>
      <c r="G519" s="297"/>
      <c r="H519" s="297"/>
      <c r="J519" s="297"/>
      <c r="L519" s="312"/>
      <c r="N519" s="297"/>
      <c r="O519" s="64"/>
    </row>
    <row r="520" spans="1:15" ht="15" customHeight="1" x14ac:dyDescent="0.2">
      <c r="A520" s="403"/>
      <c r="B520" s="396"/>
      <c r="C520" s="404"/>
      <c r="D520" s="398"/>
      <c r="E520" s="308"/>
      <c r="F520" s="400"/>
      <c r="G520" s="297"/>
      <c r="H520" s="297"/>
      <c r="J520" s="297"/>
      <c r="L520" s="312"/>
      <c r="N520" s="297"/>
      <c r="O520" s="64"/>
    </row>
    <row r="521" spans="1:15" ht="15" customHeight="1" x14ac:dyDescent="0.2">
      <c r="A521" s="403"/>
      <c r="B521" s="396"/>
      <c r="C521" s="404"/>
      <c r="D521" s="398"/>
      <c r="E521" s="308"/>
      <c r="F521" s="400"/>
      <c r="G521" s="297"/>
      <c r="H521" s="297"/>
      <c r="J521" s="297"/>
      <c r="L521" s="312"/>
      <c r="N521" s="297"/>
      <c r="O521" s="64"/>
    </row>
    <row r="522" spans="1:15" ht="15" customHeight="1" x14ac:dyDescent="0.2">
      <c r="A522" s="403"/>
      <c r="B522" s="396"/>
      <c r="C522" s="404"/>
      <c r="D522" s="398"/>
      <c r="E522" s="308"/>
      <c r="F522" s="400"/>
      <c r="G522" s="297"/>
      <c r="H522" s="297"/>
      <c r="J522" s="297"/>
      <c r="L522" s="312"/>
      <c r="N522" s="297"/>
      <c r="O522" s="64"/>
    </row>
    <row r="523" spans="1:15" ht="15" customHeight="1" x14ac:dyDescent="0.2">
      <c r="A523" s="403"/>
      <c r="B523" s="396"/>
      <c r="C523" s="404"/>
      <c r="D523" s="398"/>
      <c r="E523" s="308"/>
      <c r="F523" s="400"/>
      <c r="G523" s="297"/>
      <c r="H523" s="297"/>
      <c r="J523" s="297"/>
      <c r="L523" s="312"/>
      <c r="N523" s="297"/>
      <c r="O523" s="64"/>
    </row>
    <row r="524" spans="1:15" ht="15" customHeight="1" x14ac:dyDescent="0.2">
      <c r="A524" s="403"/>
      <c r="B524" s="396"/>
      <c r="C524" s="404"/>
      <c r="D524" s="398"/>
      <c r="E524" s="308"/>
      <c r="F524" s="400"/>
      <c r="G524" s="297"/>
      <c r="H524" s="297"/>
      <c r="J524" s="297"/>
      <c r="L524" s="312"/>
      <c r="N524" s="297"/>
      <c r="O524" s="64"/>
    </row>
    <row r="525" spans="1:15" ht="15" customHeight="1" x14ac:dyDescent="0.2">
      <c r="A525" s="403"/>
      <c r="B525" s="396"/>
      <c r="C525" s="404"/>
      <c r="D525" s="398"/>
      <c r="E525" s="308"/>
      <c r="F525" s="400"/>
      <c r="G525" s="297"/>
      <c r="H525" s="297"/>
      <c r="J525" s="297"/>
      <c r="L525" s="312"/>
      <c r="N525" s="297"/>
      <c r="O525" s="64"/>
    </row>
    <row r="526" spans="1:15" ht="15" customHeight="1" x14ac:dyDescent="0.2">
      <c r="A526" s="403"/>
      <c r="B526" s="396"/>
      <c r="C526" s="404"/>
      <c r="D526" s="398"/>
      <c r="E526" s="308"/>
      <c r="F526" s="400"/>
      <c r="G526" s="297"/>
      <c r="H526" s="297"/>
      <c r="J526" s="297"/>
      <c r="L526" s="312"/>
      <c r="N526" s="297"/>
      <c r="O526" s="64"/>
    </row>
    <row r="527" spans="1:15" ht="15" customHeight="1" x14ac:dyDescent="0.2">
      <c r="A527" s="403"/>
      <c r="B527" s="396"/>
      <c r="C527" s="404"/>
      <c r="D527" s="398"/>
      <c r="E527" s="308"/>
      <c r="F527" s="400"/>
      <c r="G527" s="297"/>
      <c r="H527" s="297"/>
      <c r="J527" s="297"/>
      <c r="L527" s="312"/>
      <c r="N527" s="297"/>
      <c r="O527" s="64"/>
    </row>
    <row r="528" spans="1:15" ht="15" customHeight="1" x14ac:dyDescent="0.2">
      <c r="A528" s="403"/>
      <c r="B528" s="396"/>
      <c r="C528" s="404"/>
      <c r="D528" s="398"/>
      <c r="E528" s="308"/>
      <c r="F528" s="400"/>
      <c r="G528" s="297"/>
      <c r="H528" s="297"/>
      <c r="J528" s="297"/>
      <c r="L528" s="312"/>
      <c r="N528" s="297"/>
      <c r="O528" s="64"/>
    </row>
    <row r="529" spans="1:15" ht="15" customHeight="1" x14ac:dyDescent="0.2">
      <c r="A529" s="403"/>
      <c r="B529" s="396"/>
      <c r="C529" s="404"/>
      <c r="D529" s="398"/>
      <c r="E529" s="308"/>
      <c r="F529" s="400"/>
      <c r="G529" s="297"/>
      <c r="H529" s="297"/>
      <c r="J529" s="297"/>
      <c r="L529" s="312"/>
      <c r="N529" s="297"/>
      <c r="O529" s="64"/>
    </row>
    <row r="530" spans="1:15" ht="15" customHeight="1" x14ac:dyDescent="0.2">
      <c r="A530" s="403"/>
      <c r="B530" s="396"/>
      <c r="C530" s="404"/>
      <c r="D530" s="398"/>
      <c r="E530" s="308"/>
      <c r="F530" s="400"/>
      <c r="G530" s="297"/>
      <c r="H530" s="297"/>
      <c r="J530" s="297"/>
      <c r="L530" s="312"/>
      <c r="N530" s="297"/>
      <c r="O530" s="64"/>
    </row>
    <row r="531" spans="1:15" ht="15" customHeight="1" x14ac:dyDescent="0.2">
      <c r="A531" s="403"/>
      <c r="B531" s="396"/>
      <c r="C531" s="404"/>
      <c r="D531" s="398"/>
      <c r="E531" s="308"/>
      <c r="F531" s="400"/>
      <c r="G531" s="297"/>
      <c r="H531" s="297"/>
      <c r="J531" s="297"/>
      <c r="L531" s="312"/>
      <c r="N531" s="297"/>
      <c r="O531" s="64"/>
    </row>
    <row r="532" spans="1:15" ht="15" customHeight="1" x14ac:dyDescent="0.2">
      <c r="A532" s="403"/>
      <c r="B532" s="396"/>
      <c r="C532" s="404"/>
      <c r="D532" s="398"/>
      <c r="E532" s="308"/>
      <c r="F532" s="400"/>
      <c r="G532" s="297"/>
      <c r="H532" s="297"/>
      <c r="J532" s="297"/>
      <c r="L532" s="312"/>
      <c r="N532" s="297"/>
      <c r="O532" s="64"/>
    </row>
    <row r="533" spans="1:15" ht="15" customHeight="1" x14ac:dyDescent="0.2">
      <c r="A533" s="403"/>
      <c r="B533" s="396"/>
      <c r="C533" s="404"/>
      <c r="D533" s="398"/>
      <c r="E533" s="308"/>
      <c r="F533" s="400"/>
      <c r="G533" s="297"/>
      <c r="H533" s="297"/>
      <c r="J533" s="297"/>
      <c r="L533" s="312"/>
      <c r="N533" s="297"/>
      <c r="O533" s="64"/>
    </row>
    <row r="534" spans="1:15" ht="15" customHeight="1" x14ac:dyDescent="0.2">
      <c r="A534" s="403"/>
      <c r="B534" s="396"/>
      <c r="C534" s="404"/>
      <c r="D534" s="398"/>
      <c r="E534" s="308"/>
      <c r="F534" s="400"/>
      <c r="G534" s="297"/>
      <c r="H534" s="297"/>
      <c r="J534" s="297"/>
      <c r="L534" s="312"/>
      <c r="N534" s="297"/>
      <c r="O534" s="64"/>
    </row>
    <row r="535" spans="1:15" ht="15" customHeight="1" x14ac:dyDescent="0.2">
      <c r="A535" s="403"/>
      <c r="B535" s="396"/>
      <c r="C535" s="404"/>
      <c r="D535" s="398"/>
      <c r="E535" s="308"/>
      <c r="F535" s="400"/>
      <c r="G535" s="297"/>
      <c r="H535" s="297"/>
      <c r="J535" s="297"/>
      <c r="L535" s="312"/>
      <c r="N535" s="297"/>
      <c r="O535" s="64"/>
    </row>
    <row r="536" spans="1:15" ht="15" customHeight="1" x14ac:dyDescent="0.2">
      <c r="A536" s="403"/>
      <c r="B536" s="396"/>
      <c r="C536" s="404"/>
      <c r="D536" s="398"/>
      <c r="E536" s="308"/>
      <c r="F536" s="400"/>
      <c r="G536" s="297"/>
      <c r="H536" s="297"/>
      <c r="J536" s="297"/>
      <c r="L536" s="312"/>
      <c r="N536" s="297"/>
      <c r="O536" s="64"/>
    </row>
    <row r="537" spans="1:15" ht="15" customHeight="1" x14ac:dyDescent="0.2">
      <c r="A537" s="403"/>
      <c r="B537" s="396"/>
      <c r="C537" s="404"/>
      <c r="D537" s="398"/>
      <c r="E537" s="308"/>
      <c r="F537" s="400"/>
      <c r="G537" s="297"/>
      <c r="H537" s="297"/>
      <c r="J537" s="297"/>
      <c r="L537" s="312"/>
      <c r="N537" s="297"/>
      <c r="O537" s="64"/>
    </row>
    <row r="538" spans="1:15" ht="15" customHeight="1" x14ac:dyDescent="0.2">
      <c r="A538" s="403"/>
      <c r="B538" s="396"/>
      <c r="C538" s="404"/>
      <c r="D538" s="398"/>
      <c r="E538" s="308"/>
      <c r="F538" s="400"/>
      <c r="G538" s="297"/>
      <c r="H538" s="297"/>
      <c r="J538" s="297"/>
      <c r="L538" s="312"/>
      <c r="N538" s="297"/>
      <c r="O538" s="64"/>
    </row>
    <row r="539" spans="1:15" ht="15" customHeight="1" x14ac:dyDescent="0.2">
      <c r="A539" s="403"/>
      <c r="B539" s="396"/>
      <c r="C539" s="404"/>
      <c r="D539" s="398"/>
      <c r="E539" s="308"/>
      <c r="F539" s="400"/>
      <c r="G539" s="297"/>
      <c r="H539" s="297"/>
      <c r="J539" s="297"/>
      <c r="L539" s="312"/>
      <c r="N539" s="297"/>
      <c r="O539" s="64"/>
    </row>
    <row r="540" spans="1:15" ht="15" customHeight="1" x14ac:dyDescent="0.2">
      <c r="A540" s="403"/>
      <c r="B540" s="396"/>
      <c r="C540" s="404"/>
      <c r="D540" s="398"/>
      <c r="E540" s="308"/>
      <c r="F540" s="400"/>
      <c r="G540" s="297"/>
      <c r="H540" s="297"/>
      <c r="J540" s="297"/>
      <c r="L540" s="312"/>
      <c r="N540" s="297"/>
      <c r="O540" s="64"/>
    </row>
    <row r="541" spans="1:15" ht="15" customHeight="1" x14ac:dyDescent="0.2">
      <c r="A541" s="403"/>
      <c r="B541" s="396"/>
      <c r="C541" s="404"/>
      <c r="D541" s="398"/>
      <c r="E541" s="308"/>
      <c r="F541" s="400"/>
      <c r="G541" s="297"/>
      <c r="H541" s="297"/>
      <c r="J541" s="297"/>
      <c r="L541" s="312"/>
      <c r="N541" s="297"/>
      <c r="O541" s="64"/>
    </row>
    <row r="542" spans="1:15" ht="15" customHeight="1" x14ac:dyDescent="0.2">
      <c r="A542" s="403"/>
      <c r="B542" s="396"/>
      <c r="C542" s="404"/>
      <c r="D542" s="398"/>
      <c r="E542" s="308"/>
      <c r="F542" s="400"/>
      <c r="G542" s="297"/>
      <c r="H542" s="297"/>
      <c r="J542" s="297"/>
      <c r="L542" s="312"/>
      <c r="N542" s="297"/>
      <c r="O542" s="64"/>
    </row>
    <row r="543" spans="1:15" ht="15" customHeight="1" x14ac:dyDescent="0.2">
      <c r="A543" s="403"/>
      <c r="B543" s="396"/>
      <c r="C543" s="404"/>
      <c r="D543" s="398"/>
      <c r="E543" s="308"/>
      <c r="F543" s="400"/>
      <c r="G543" s="297"/>
      <c r="H543" s="297"/>
      <c r="J543" s="297"/>
      <c r="L543" s="312"/>
      <c r="N543" s="297"/>
      <c r="O543" s="64"/>
    </row>
    <row r="544" spans="1:15" ht="15" customHeight="1" x14ac:dyDescent="0.2">
      <c r="A544" s="403"/>
      <c r="B544" s="396"/>
      <c r="C544" s="404"/>
      <c r="D544" s="398"/>
      <c r="E544" s="308"/>
      <c r="F544" s="400"/>
      <c r="G544" s="297"/>
      <c r="H544" s="297"/>
      <c r="J544" s="297"/>
      <c r="L544" s="312"/>
      <c r="N544" s="297"/>
      <c r="O544" s="64"/>
    </row>
    <row r="545" spans="1:15" ht="15" customHeight="1" x14ac:dyDescent="0.2">
      <c r="A545" s="403"/>
      <c r="B545" s="396"/>
      <c r="C545" s="404"/>
      <c r="D545" s="398"/>
      <c r="E545" s="308"/>
      <c r="F545" s="400"/>
      <c r="G545" s="297"/>
      <c r="H545" s="297"/>
      <c r="J545" s="297"/>
      <c r="L545" s="312"/>
      <c r="N545" s="297"/>
      <c r="O545" s="64"/>
    </row>
    <row r="546" spans="1:15" ht="15" customHeight="1" x14ac:dyDescent="0.2">
      <c r="A546" s="403"/>
      <c r="B546" s="396"/>
      <c r="C546" s="404"/>
      <c r="D546" s="398"/>
      <c r="E546" s="308"/>
      <c r="F546" s="400"/>
      <c r="G546" s="297"/>
      <c r="H546" s="297"/>
      <c r="J546" s="297"/>
      <c r="L546" s="312"/>
      <c r="N546" s="297"/>
      <c r="O546" s="64"/>
    </row>
    <row r="547" spans="1:15" ht="15" customHeight="1" x14ac:dyDescent="0.2">
      <c r="A547" s="403"/>
      <c r="B547" s="396"/>
      <c r="C547" s="404"/>
      <c r="D547" s="398"/>
      <c r="E547" s="308"/>
      <c r="F547" s="400"/>
      <c r="G547" s="297"/>
      <c r="H547" s="297"/>
      <c r="J547" s="297"/>
      <c r="L547" s="312"/>
      <c r="N547" s="297"/>
      <c r="O547" s="64"/>
    </row>
    <row r="548" spans="1:15" ht="15" customHeight="1" x14ac:dyDescent="0.2">
      <c r="A548" s="403"/>
      <c r="B548" s="396"/>
      <c r="C548" s="404"/>
      <c r="D548" s="398"/>
      <c r="E548" s="308"/>
      <c r="F548" s="400"/>
      <c r="G548" s="297"/>
      <c r="H548" s="297"/>
      <c r="J548" s="297"/>
      <c r="L548" s="312"/>
      <c r="N548" s="297"/>
      <c r="O548" s="64"/>
    </row>
    <row r="549" spans="1:15" ht="15" customHeight="1" x14ac:dyDescent="0.2">
      <c r="A549" s="403"/>
      <c r="B549" s="396"/>
      <c r="C549" s="404"/>
      <c r="D549" s="398"/>
      <c r="E549" s="308"/>
      <c r="F549" s="400"/>
      <c r="G549" s="297"/>
      <c r="H549" s="297"/>
      <c r="J549" s="297"/>
      <c r="L549" s="312"/>
      <c r="N549" s="297"/>
      <c r="O549" s="64"/>
    </row>
    <row r="550" spans="1:15" ht="15" customHeight="1" x14ac:dyDescent="0.2">
      <c r="A550" s="403"/>
      <c r="B550" s="396"/>
      <c r="C550" s="404"/>
      <c r="D550" s="398"/>
      <c r="E550" s="308"/>
      <c r="F550" s="400"/>
      <c r="G550" s="297"/>
      <c r="H550" s="297"/>
      <c r="J550" s="297"/>
      <c r="L550" s="312"/>
      <c r="N550" s="297"/>
      <c r="O550" s="64"/>
    </row>
    <row r="551" spans="1:15" ht="15" customHeight="1" x14ac:dyDescent="0.2">
      <c r="A551" s="403"/>
      <c r="B551" s="396"/>
      <c r="C551" s="404"/>
      <c r="D551" s="398"/>
      <c r="E551" s="308"/>
      <c r="F551" s="400"/>
      <c r="G551" s="297"/>
      <c r="H551" s="297"/>
      <c r="J551" s="297"/>
      <c r="L551" s="312"/>
      <c r="N551" s="297"/>
      <c r="O551" s="64"/>
    </row>
    <row r="552" spans="1:15" ht="15" customHeight="1" x14ac:dyDescent="0.2">
      <c r="A552" s="403"/>
      <c r="B552" s="396"/>
      <c r="C552" s="404"/>
      <c r="D552" s="398"/>
      <c r="E552" s="308"/>
      <c r="F552" s="400"/>
      <c r="G552" s="297"/>
      <c r="H552" s="297"/>
      <c r="J552" s="297"/>
      <c r="L552" s="312"/>
      <c r="N552" s="297"/>
      <c r="O552" s="64"/>
    </row>
    <row r="553" spans="1:15" ht="15" customHeight="1" x14ac:dyDescent="0.2">
      <c r="A553" s="403"/>
      <c r="B553" s="396"/>
      <c r="C553" s="404"/>
      <c r="D553" s="398"/>
      <c r="E553" s="308"/>
      <c r="F553" s="400"/>
      <c r="G553" s="297"/>
      <c r="H553" s="297"/>
      <c r="J553" s="297"/>
      <c r="L553" s="312"/>
      <c r="N553" s="297"/>
      <c r="O553" s="64"/>
    </row>
    <row r="554" spans="1:15" ht="15" customHeight="1" x14ac:dyDescent="0.2">
      <c r="A554" s="403"/>
      <c r="B554" s="396"/>
      <c r="C554" s="404"/>
      <c r="D554" s="398"/>
      <c r="E554" s="308"/>
      <c r="F554" s="400"/>
      <c r="G554" s="297"/>
      <c r="H554" s="297"/>
      <c r="J554" s="297"/>
      <c r="L554" s="312"/>
      <c r="N554" s="297"/>
      <c r="O554" s="64"/>
    </row>
    <row r="555" spans="1:15" ht="15" customHeight="1" x14ac:dyDescent="0.2">
      <c r="A555" s="403"/>
      <c r="B555" s="396"/>
      <c r="C555" s="404"/>
      <c r="D555" s="398"/>
      <c r="E555" s="308"/>
      <c r="F555" s="400"/>
      <c r="G555" s="297"/>
      <c r="H555" s="297"/>
      <c r="J555" s="297"/>
      <c r="L555" s="312"/>
      <c r="N555" s="297"/>
      <c r="O555" s="64"/>
    </row>
    <row r="556" spans="1:15" ht="15" customHeight="1" x14ac:dyDescent="0.2">
      <c r="A556" s="403"/>
      <c r="B556" s="396"/>
      <c r="C556" s="404"/>
      <c r="D556" s="398"/>
      <c r="E556" s="308"/>
      <c r="F556" s="400"/>
      <c r="G556" s="297"/>
      <c r="H556" s="297"/>
      <c r="J556" s="297"/>
      <c r="L556" s="312"/>
      <c r="N556" s="297"/>
      <c r="O556" s="64"/>
    </row>
    <row r="557" spans="1:15" ht="15" customHeight="1" x14ac:dyDescent="0.2">
      <c r="A557" s="403"/>
      <c r="B557" s="396"/>
      <c r="C557" s="404"/>
      <c r="D557" s="398"/>
      <c r="E557" s="308"/>
      <c r="F557" s="400"/>
      <c r="G557" s="297"/>
      <c r="H557" s="297"/>
      <c r="J557" s="297"/>
      <c r="L557" s="312"/>
      <c r="N557" s="297"/>
      <c r="O557" s="64"/>
    </row>
    <row r="558" spans="1:15" ht="15" customHeight="1" x14ac:dyDescent="0.2">
      <c r="A558" s="403"/>
      <c r="B558" s="396"/>
      <c r="C558" s="404"/>
      <c r="D558" s="398"/>
      <c r="E558" s="308"/>
      <c r="F558" s="400"/>
      <c r="G558" s="297"/>
      <c r="H558" s="297"/>
      <c r="J558" s="297"/>
      <c r="L558" s="312"/>
      <c r="N558" s="297"/>
      <c r="O558" s="64"/>
    </row>
    <row r="559" spans="1:15" ht="15" customHeight="1" x14ac:dyDescent="0.2">
      <c r="A559" s="403"/>
      <c r="B559" s="396"/>
      <c r="C559" s="404"/>
      <c r="D559" s="398"/>
      <c r="E559" s="308"/>
      <c r="F559" s="400"/>
      <c r="G559" s="297"/>
      <c r="H559" s="297"/>
      <c r="J559" s="297"/>
      <c r="L559" s="312"/>
      <c r="N559" s="297"/>
      <c r="O559" s="64"/>
    </row>
    <row r="560" spans="1:15" ht="15" customHeight="1" x14ac:dyDescent="0.2">
      <c r="A560" s="403"/>
      <c r="B560" s="396"/>
      <c r="C560" s="404"/>
      <c r="D560" s="398"/>
      <c r="E560" s="308"/>
      <c r="F560" s="400"/>
      <c r="G560" s="297"/>
      <c r="H560" s="297"/>
      <c r="J560" s="297"/>
      <c r="L560" s="312"/>
      <c r="N560" s="297"/>
      <c r="O560" s="64"/>
    </row>
    <row r="561" spans="1:15" ht="15" customHeight="1" x14ac:dyDescent="0.2">
      <c r="A561" s="403"/>
      <c r="C561" s="404"/>
      <c r="E561" s="308"/>
      <c r="G561" s="297"/>
      <c r="H561" s="297"/>
      <c r="J561" s="297"/>
      <c r="L561" s="312"/>
      <c r="N561" s="297"/>
      <c r="O561" s="64"/>
    </row>
    <row r="562" spans="1:15" ht="15" customHeight="1" x14ac:dyDescent="0.2">
      <c r="A562" s="403"/>
      <c r="C562" s="404"/>
      <c r="E562" s="308"/>
      <c r="G562" s="297"/>
      <c r="H562" s="297"/>
      <c r="J562" s="297"/>
      <c r="L562" s="312"/>
      <c r="N562" s="297"/>
      <c r="O562" s="64"/>
    </row>
    <row r="563" spans="1:15" ht="15" customHeight="1" x14ac:dyDescent="0.2">
      <c r="A563" s="403"/>
      <c r="C563" s="404"/>
      <c r="E563" s="308"/>
      <c r="G563" s="297"/>
      <c r="H563" s="297"/>
      <c r="J563" s="297"/>
      <c r="L563" s="312"/>
      <c r="N563" s="297"/>
      <c r="O563" s="64"/>
    </row>
    <row r="564" spans="1:15" ht="15" customHeight="1" x14ac:dyDescent="0.2">
      <c r="A564" s="403"/>
      <c r="C564" s="404"/>
      <c r="E564" s="308"/>
      <c r="G564" s="297"/>
      <c r="H564" s="297"/>
      <c r="J564" s="297"/>
      <c r="L564" s="312"/>
      <c r="N564" s="297"/>
      <c r="O564" s="64"/>
    </row>
    <row r="565" spans="1:15" ht="15" customHeight="1" x14ac:dyDescent="0.2">
      <c r="A565" s="403"/>
      <c r="C565" s="404"/>
      <c r="E565" s="308"/>
      <c r="G565" s="297"/>
      <c r="H565" s="297"/>
      <c r="J565" s="297"/>
      <c r="L565" s="312"/>
      <c r="N565" s="297"/>
      <c r="O565" s="64"/>
    </row>
    <row r="566" spans="1:15" ht="15" customHeight="1" x14ac:dyDescent="0.2">
      <c r="A566" s="403"/>
      <c r="C566" s="404"/>
      <c r="E566" s="308"/>
      <c r="G566" s="297"/>
      <c r="H566" s="297"/>
      <c r="J566" s="297"/>
      <c r="L566" s="312"/>
      <c r="N566" s="297"/>
      <c r="O566" s="64"/>
    </row>
    <row r="567" spans="1:15" ht="15" customHeight="1" x14ac:dyDescent="0.2">
      <c r="A567" s="403"/>
      <c r="C567" s="404"/>
      <c r="E567" s="308"/>
      <c r="G567" s="297"/>
      <c r="H567" s="297"/>
      <c r="J567" s="297"/>
      <c r="L567" s="312"/>
      <c r="N567" s="297"/>
      <c r="O567" s="64"/>
    </row>
    <row r="568" spans="1:15" ht="15" customHeight="1" x14ac:dyDescent="0.2">
      <c r="A568" s="403"/>
      <c r="C568" s="404"/>
      <c r="E568" s="308"/>
      <c r="G568" s="297"/>
      <c r="H568" s="297"/>
      <c r="J568" s="297"/>
      <c r="L568" s="312"/>
      <c r="N568" s="297"/>
      <c r="O568" s="64"/>
    </row>
    <row r="569" spans="1:15" ht="15" customHeight="1" x14ac:dyDescent="0.2">
      <c r="A569" s="403"/>
      <c r="C569" s="404"/>
      <c r="E569" s="308"/>
      <c r="G569" s="297"/>
      <c r="H569" s="297"/>
      <c r="J569" s="297"/>
      <c r="L569" s="312"/>
      <c r="N569" s="297"/>
      <c r="O569" s="64"/>
    </row>
    <row r="570" spans="1:15" ht="15" customHeight="1" x14ac:dyDescent="0.2">
      <c r="A570" s="403"/>
      <c r="C570" s="404"/>
      <c r="E570" s="308"/>
      <c r="G570" s="297"/>
      <c r="H570" s="297"/>
      <c r="J570" s="297"/>
      <c r="L570" s="312"/>
      <c r="N570" s="297"/>
      <c r="O570" s="64"/>
    </row>
    <row r="571" spans="1:15" ht="15" customHeight="1" x14ac:dyDescent="0.2">
      <c r="A571" s="403"/>
      <c r="C571" s="404"/>
      <c r="E571" s="308"/>
      <c r="G571" s="297"/>
      <c r="H571" s="297"/>
      <c r="J571" s="297"/>
      <c r="L571" s="312"/>
      <c r="N571" s="297"/>
      <c r="O571" s="64"/>
    </row>
    <row r="572" spans="1:15" ht="15" customHeight="1" x14ac:dyDescent="0.2">
      <c r="A572" s="403"/>
      <c r="C572" s="404"/>
      <c r="E572" s="308"/>
      <c r="G572" s="297"/>
      <c r="H572" s="297"/>
      <c r="J572" s="297"/>
      <c r="L572" s="312"/>
      <c r="N572" s="297"/>
      <c r="O572" s="64"/>
    </row>
    <row r="573" spans="1:15" ht="15" customHeight="1" x14ac:dyDescent="0.2">
      <c r="A573" s="403"/>
      <c r="C573" s="404"/>
      <c r="E573" s="308"/>
      <c r="G573" s="297"/>
      <c r="H573" s="297"/>
      <c r="J573" s="297"/>
      <c r="L573" s="312"/>
      <c r="N573" s="297"/>
      <c r="O573" s="64"/>
    </row>
    <row r="574" spans="1:15" ht="15" customHeight="1" x14ac:dyDescent="0.2">
      <c r="A574" s="403"/>
      <c r="C574" s="404"/>
      <c r="E574" s="308"/>
      <c r="G574" s="297"/>
      <c r="H574" s="297"/>
      <c r="J574" s="297"/>
      <c r="L574" s="312"/>
      <c r="N574" s="297"/>
      <c r="O574" s="64"/>
    </row>
    <row r="575" spans="1:15" ht="15" customHeight="1" x14ac:dyDescent="0.2">
      <c r="A575" s="403"/>
      <c r="C575" s="404"/>
      <c r="E575" s="308"/>
      <c r="G575" s="297"/>
      <c r="H575" s="297"/>
      <c r="J575" s="297"/>
      <c r="L575" s="312"/>
      <c r="N575" s="297"/>
      <c r="O575" s="64"/>
    </row>
    <row r="576" spans="1:15" ht="15" customHeight="1" x14ac:dyDescent="0.2">
      <c r="A576" s="403"/>
      <c r="C576" s="404"/>
      <c r="E576" s="308"/>
      <c r="G576" s="297"/>
      <c r="H576" s="297"/>
      <c r="J576" s="297"/>
      <c r="L576" s="312"/>
      <c r="N576" s="297"/>
      <c r="O576" s="64"/>
    </row>
    <row r="577" spans="1:15" ht="15" customHeight="1" x14ac:dyDescent="0.2">
      <c r="A577" s="403"/>
      <c r="C577" s="404"/>
      <c r="E577" s="308"/>
      <c r="G577" s="297"/>
      <c r="H577" s="297"/>
      <c r="J577" s="297"/>
      <c r="L577" s="312"/>
      <c r="N577" s="297"/>
      <c r="O577" s="64"/>
    </row>
    <row r="578" spans="1:15" ht="15" customHeight="1" x14ac:dyDescent="0.2">
      <c r="A578" s="403"/>
      <c r="C578" s="404"/>
      <c r="E578" s="308"/>
      <c r="G578" s="297"/>
      <c r="H578" s="297"/>
      <c r="J578" s="297"/>
      <c r="L578" s="312"/>
      <c r="N578" s="297"/>
      <c r="O578" s="64"/>
    </row>
    <row r="579" spans="1:15" ht="15" customHeight="1" x14ac:dyDescent="0.2">
      <c r="A579" s="403"/>
      <c r="C579" s="404"/>
      <c r="E579" s="308"/>
      <c r="G579" s="297"/>
      <c r="H579" s="297"/>
      <c r="J579" s="297"/>
      <c r="L579" s="312"/>
      <c r="N579" s="297"/>
      <c r="O579" s="64"/>
    </row>
    <row r="580" spans="1:15" ht="15" customHeight="1" x14ac:dyDescent="0.2">
      <c r="A580" s="403"/>
      <c r="C580" s="404"/>
      <c r="E580" s="308"/>
      <c r="G580" s="297"/>
      <c r="H580" s="297"/>
      <c r="J580" s="297"/>
      <c r="L580" s="312"/>
      <c r="N580" s="297"/>
      <c r="O580" s="64"/>
    </row>
    <row r="581" spans="1:15" ht="15" customHeight="1" x14ac:dyDescent="0.2">
      <c r="A581" s="403"/>
      <c r="C581" s="404"/>
      <c r="E581" s="308"/>
      <c r="G581" s="297"/>
      <c r="H581" s="297"/>
      <c r="J581" s="297"/>
      <c r="L581" s="312"/>
      <c r="N581" s="297"/>
      <c r="O581" s="64"/>
    </row>
    <row r="582" spans="1:15" ht="15" customHeight="1" x14ac:dyDescent="0.2">
      <c r="A582" s="403"/>
      <c r="C582" s="404"/>
      <c r="E582" s="308"/>
      <c r="G582" s="297"/>
      <c r="H582" s="297"/>
      <c r="J582" s="297"/>
      <c r="L582" s="312"/>
      <c r="N582" s="297"/>
      <c r="O582" s="64"/>
    </row>
    <row r="583" spans="1:15" ht="15" customHeight="1" x14ac:dyDescent="0.2">
      <c r="A583" s="403"/>
      <c r="C583" s="404"/>
      <c r="E583" s="308"/>
      <c r="G583" s="297"/>
      <c r="H583" s="297"/>
      <c r="J583" s="297"/>
      <c r="L583" s="312"/>
      <c r="N583" s="297"/>
      <c r="O583" s="64"/>
    </row>
    <row r="584" spans="1:15" ht="15" customHeight="1" x14ac:dyDescent="0.2">
      <c r="A584" s="403"/>
      <c r="C584" s="404"/>
      <c r="E584" s="308"/>
      <c r="G584" s="297"/>
      <c r="H584" s="297"/>
      <c r="J584" s="297"/>
      <c r="L584" s="312"/>
      <c r="N584" s="297"/>
      <c r="O584" s="64"/>
    </row>
    <row r="585" spans="1:15" ht="15" customHeight="1" x14ac:dyDescent="0.2">
      <c r="A585" s="403"/>
      <c r="C585" s="404"/>
      <c r="E585" s="308"/>
      <c r="G585" s="297"/>
      <c r="H585" s="297"/>
      <c r="J585" s="297"/>
      <c r="L585" s="312"/>
      <c r="N585" s="297"/>
      <c r="O585" s="64"/>
    </row>
    <row r="586" spans="1:15" ht="15" customHeight="1" x14ac:dyDescent="0.2">
      <c r="A586" s="403"/>
      <c r="C586" s="404"/>
      <c r="E586" s="308"/>
      <c r="G586" s="297"/>
      <c r="H586" s="297"/>
      <c r="J586" s="297"/>
      <c r="L586" s="312"/>
      <c r="N586" s="297"/>
      <c r="O586" s="64"/>
    </row>
    <row r="587" spans="1:15" ht="15" customHeight="1" x14ac:dyDescent="0.2">
      <c r="A587" s="403"/>
      <c r="C587" s="404"/>
      <c r="E587" s="308"/>
      <c r="G587" s="297"/>
      <c r="H587" s="297"/>
      <c r="J587" s="297"/>
      <c r="L587" s="312"/>
      <c r="N587" s="297"/>
      <c r="O587" s="64"/>
    </row>
    <row r="588" spans="1:15" ht="15" customHeight="1" x14ac:dyDescent="0.2">
      <c r="A588" s="403"/>
      <c r="C588" s="404"/>
      <c r="E588" s="308"/>
      <c r="G588" s="297"/>
      <c r="H588" s="297"/>
      <c r="J588" s="297"/>
      <c r="L588" s="312"/>
      <c r="N588" s="297"/>
      <c r="O588" s="64"/>
    </row>
    <row r="589" spans="1:15" ht="15" customHeight="1" x14ac:dyDescent="0.2">
      <c r="A589" s="403"/>
      <c r="C589" s="404"/>
      <c r="E589" s="308"/>
      <c r="G589" s="297"/>
      <c r="H589" s="297"/>
      <c r="J589" s="297"/>
      <c r="L589" s="312"/>
      <c r="N589" s="297"/>
      <c r="O589" s="64"/>
    </row>
    <row r="590" spans="1:15" ht="15" customHeight="1" x14ac:dyDescent="0.2">
      <c r="A590" s="403"/>
      <c r="C590" s="404"/>
      <c r="E590" s="308"/>
      <c r="G590" s="297"/>
      <c r="H590" s="297"/>
      <c r="J590" s="297"/>
      <c r="L590" s="312"/>
      <c r="N590" s="297"/>
      <c r="O590" s="64"/>
    </row>
    <row r="591" spans="1:15" ht="15" customHeight="1" x14ac:dyDescent="0.2">
      <c r="A591" s="403"/>
      <c r="C591" s="404"/>
      <c r="E591" s="308"/>
      <c r="G591" s="297"/>
      <c r="H591" s="297"/>
      <c r="J591" s="297"/>
      <c r="L591" s="312"/>
      <c r="N591" s="297"/>
      <c r="O591" s="64"/>
    </row>
    <row r="592" spans="1:15" ht="15" customHeight="1" x14ac:dyDescent="0.2">
      <c r="A592" s="403"/>
      <c r="C592" s="404"/>
      <c r="E592" s="308"/>
      <c r="G592" s="297"/>
      <c r="H592" s="297"/>
      <c r="J592" s="297"/>
      <c r="L592" s="312"/>
      <c r="N592" s="297"/>
      <c r="O592" s="64"/>
    </row>
    <row r="593" spans="1:15" ht="15" customHeight="1" x14ac:dyDescent="0.2">
      <c r="A593" s="403"/>
      <c r="C593" s="404"/>
      <c r="E593" s="308"/>
      <c r="G593" s="297"/>
      <c r="H593" s="297"/>
      <c r="J593" s="297"/>
      <c r="L593" s="312"/>
      <c r="N593" s="297"/>
      <c r="O593" s="64"/>
    </row>
    <row r="594" spans="1:15" ht="15" customHeight="1" x14ac:dyDescent="0.2">
      <c r="A594" s="403"/>
      <c r="C594" s="404"/>
      <c r="E594" s="308"/>
      <c r="G594" s="297"/>
      <c r="H594" s="297"/>
      <c r="J594" s="297"/>
      <c r="L594" s="312"/>
      <c r="N594" s="297"/>
      <c r="O594" s="64"/>
    </row>
    <row r="595" spans="1:15" ht="15" customHeight="1" x14ac:dyDescent="0.2">
      <c r="A595" s="403"/>
      <c r="C595" s="404"/>
      <c r="E595" s="308"/>
      <c r="G595" s="297"/>
      <c r="H595" s="297"/>
      <c r="J595" s="297"/>
      <c r="L595" s="312"/>
      <c r="N595" s="297"/>
      <c r="O595" s="64"/>
    </row>
    <row r="596" spans="1:15" ht="15" customHeight="1" x14ac:dyDescent="0.2">
      <c r="A596" s="403"/>
      <c r="C596" s="404"/>
      <c r="E596" s="308"/>
      <c r="G596" s="297"/>
      <c r="H596" s="297"/>
      <c r="J596" s="297"/>
      <c r="L596" s="312"/>
      <c r="N596" s="297"/>
      <c r="O596" s="64"/>
    </row>
    <row r="597" spans="1:15" ht="15" customHeight="1" x14ac:dyDescent="0.2">
      <c r="A597" s="403"/>
      <c r="C597" s="404"/>
      <c r="E597" s="308"/>
      <c r="G597" s="297"/>
      <c r="H597" s="297"/>
      <c r="J597" s="297"/>
      <c r="L597" s="312"/>
      <c r="N597" s="297"/>
      <c r="O597" s="64"/>
    </row>
    <row r="598" spans="1:15" ht="15" customHeight="1" x14ac:dyDescent="0.2">
      <c r="A598" s="403"/>
      <c r="C598" s="404"/>
      <c r="E598" s="308"/>
      <c r="G598" s="297"/>
      <c r="H598" s="297"/>
      <c r="J598" s="297"/>
      <c r="L598" s="312"/>
      <c r="N598" s="297"/>
      <c r="O598" s="64"/>
    </row>
    <row r="599" spans="1:15" ht="15" customHeight="1" x14ac:dyDescent="0.2">
      <c r="A599" s="403"/>
      <c r="C599" s="404"/>
      <c r="E599" s="308"/>
      <c r="G599" s="297"/>
      <c r="H599" s="297"/>
      <c r="J599" s="297"/>
      <c r="L599" s="312"/>
      <c r="N599" s="297"/>
      <c r="O599" s="64"/>
    </row>
    <row r="600" spans="1:15" ht="15" customHeight="1" x14ac:dyDescent="0.2">
      <c r="A600" s="403"/>
      <c r="C600" s="404"/>
      <c r="E600" s="308"/>
      <c r="G600" s="297"/>
      <c r="H600" s="297"/>
      <c r="J600" s="297"/>
      <c r="L600" s="312"/>
      <c r="N600" s="297"/>
      <c r="O600" s="64"/>
    </row>
    <row r="601" spans="1:15" ht="15" customHeight="1" x14ac:dyDescent="0.2">
      <c r="A601" s="403"/>
      <c r="C601" s="404"/>
      <c r="E601" s="308"/>
      <c r="G601" s="297"/>
      <c r="H601" s="297"/>
      <c r="J601" s="297"/>
      <c r="L601" s="312"/>
      <c r="N601" s="297"/>
      <c r="O601" s="64"/>
    </row>
    <row r="602" spans="1:15" ht="15" customHeight="1" x14ac:dyDescent="0.2">
      <c r="A602" s="403"/>
      <c r="C602" s="404"/>
      <c r="E602" s="308"/>
      <c r="G602" s="297"/>
      <c r="H602" s="297"/>
      <c r="J602" s="297"/>
      <c r="L602" s="312"/>
      <c r="N602" s="297"/>
      <c r="O602" s="64"/>
    </row>
    <row r="603" spans="1:15" ht="15" customHeight="1" x14ac:dyDescent="0.2">
      <c r="A603" s="403"/>
      <c r="C603" s="404"/>
      <c r="E603" s="308"/>
      <c r="G603" s="297"/>
      <c r="H603" s="297"/>
      <c r="J603" s="297"/>
      <c r="L603" s="312"/>
      <c r="N603" s="297"/>
      <c r="O603" s="64"/>
    </row>
    <row r="604" spans="1:15" ht="15" customHeight="1" x14ac:dyDescent="0.2">
      <c r="A604" s="403"/>
      <c r="C604" s="404"/>
      <c r="E604" s="308"/>
      <c r="G604" s="297"/>
      <c r="H604" s="297"/>
      <c r="J604" s="297"/>
      <c r="L604" s="312"/>
      <c r="N604" s="297"/>
      <c r="O604" s="64"/>
    </row>
    <row r="605" spans="1:15" ht="15" customHeight="1" x14ac:dyDescent="0.2">
      <c r="A605" s="403"/>
      <c r="C605" s="404"/>
      <c r="E605" s="308"/>
      <c r="G605" s="297"/>
      <c r="H605" s="297"/>
      <c r="J605" s="297"/>
      <c r="L605" s="312"/>
      <c r="N605" s="297"/>
      <c r="O605" s="64"/>
    </row>
    <row r="606" spans="1:15" ht="15" customHeight="1" x14ac:dyDescent="0.2">
      <c r="A606" s="403"/>
      <c r="C606" s="404"/>
      <c r="E606" s="308"/>
      <c r="G606" s="297"/>
      <c r="H606" s="297"/>
      <c r="J606" s="297"/>
      <c r="L606" s="312"/>
      <c r="N606" s="297"/>
      <c r="O606" s="64"/>
    </row>
    <row r="607" spans="1:15" ht="15" customHeight="1" x14ac:dyDescent="0.2">
      <c r="A607" s="403"/>
      <c r="C607" s="404"/>
      <c r="E607" s="308"/>
      <c r="G607" s="297"/>
      <c r="H607" s="297"/>
      <c r="J607" s="297"/>
      <c r="L607" s="312"/>
      <c r="N607" s="297"/>
      <c r="O607" s="64"/>
    </row>
    <row r="608" spans="1:15" ht="15" customHeight="1" x14ac:dyDescent="0.2">
      <c r="A608" s="403"/>
      <c r="C608" s="404"/>
      <c r="E608" s="308"/>
      <c r="G608" s="297"/>
      <c r="H608" s="297"/>
      <c r="J608" s="297"/>
      <c r="L608" s="312"/>
      <c r="N608" s="297"/>
      <c r="O608" s="64"/>
    </row>
    <row r="609" spans="1:15" ht="15" customHeight="1" x14ac:dyDescent="0.2">
      <c r="A609" s="403"/>
      <c r="C609" s="404"/>
      <c r="E609" s="308"/>
      <c r="G609" s="297"/>
      <c r="H609" s="297"/>
      <c r="J609" s="297"/>
      <c r="L609" s="312"/>
      <c r="N609" s="297"/>
      <c r="O609" s="64"/>
    </row>
    <row r="610" spans="1:15" ht="15" customHeight="1" x14ac:dyDescent="0.2">
      <c r="A610" s="403"/>
      <c r="C610" s="404"/>
      <c r="E610" s="308"/>
      <c r="G610" s="297"/>
      <c r="H610" s="297"/>
      <c r="J610" s="297"/>
      <c r="L610" s="312"/>
      <c r="N610" s="297"/>
      <c r="O610" s="64"/>
    </row>
    <row r="611" spans="1:15" ht="15" customHeight="1" x14ac:dyDescent="0.2">
      <c r="A611" s="403"/>
      <c r="C611" s="404"/>
      <c r="E611" s="308"/>
      <c r="G611" s="297"/>
      <c r="H611" s="297"/>
      <c r="J611" s="297"/>
      <c r="L611" s="312"/>
      <c r="N611" s="297"/>
      <c r="O611" s="64"/>
    </row>
    <row r="612" spans="1:15" ht="15" customHeight="1" x14ac:dyDescent="0.2">
      <c r="A612" s="403"/>
      <c r="C612" s="404"/>
      <c r="E612" s="308"/>
      <c r="G612" s="297"/>
      <c r="H612" s="297"/>
      <c r="J612" s="297"/>
      <c r="L612" s="312"/>
      <c r="N612" s="297"/>
      <c r="O612" s="64"/>
    </row>
    <row r="613" spans="1:15" ht="15" customHeight="1" x14ac:dyDescent="0.2">
      <c r="A613" s="403"/>
      <c r="C613" s="404"/>
      <c r="E613" s="308"/>
      <c r="G613" s="297"/>
      <c r="H613" s="297"/>
      <c r="J613" s="297"/>
      <c r="L613" s="312"/>
      <c r="N613" s="297"/>
      <c r="O613" s="64"/>
    </row>
    <row r="614" spans="1:15" ht="15" customHeight="1" x14ac:dyDescent="0.2">
      <c r="A614" s="403"/>
      <c r="C614" s="404"/>
      <c r="E614" s="308"/>
      <c r="G614" s="297"/>
      <c r="H614" s="297"/>
      <c r="J614" s="297"/>
      <c r="L614" s="312"/>
      <c r="N614" s="297"/>
      <c r="O614" s="64"/>
    </row>
    <row r="615" spans="1:15" ht="15" customHeight="1" x14ac:dyDescent="0.2">
      <c r="A615" s="403"/>
      <c r="C615" s="404"/>
      <c r="E615" s="308"/>
      <c r="G615" s="297"/>
      <c r="H615" s="297"/>
      <c r="J615" s="297"/>
      <c r="L615" s="312"/>
      <c r="N615" s="297"/>
      <c r="O615" s="64"/>
    </row>
    <row r="616" spans="1:15" ht="15" customHeight="1" x14ac:dyDescent="0.2">
      <c r="A616" s="403"/>
      <c r="C616" s="404"/>
      <c r="E616" s="308"/>
      <c r="G616" s="297"/>
      <c r="H616" s="297"/>
      <c r="J616" s="297"/>
      <c r="L616" s="312"/>
      <c r="N616" s="297"/>
      <c r="O616" s="64"/>
    </row>
    <row r="617" spans="1:15" ht="15" customHeight="1" x14ac:dyDescent="0.2">
      <c r="A617" s="403"/>
      <c r="C617" s="404"/>
      <c r="E617" s="308"/>
      <c r="G617" s="297"/>
      <c r="H617" s="297"/>
      <c r="J617" s="297"/>
      <c r="L617" s="312"/>
      <c r="N617" s="297"/>
      <c r="O617" s="64"/>
    </row>
    <row r="618" spans="1:15" ht="15" customHeight="1" x14ac:dyDescent="0.2">
      <c r="A618" s="403"/>
      <c r="C618" s="404"/>
      <c r="E618" s="308"/>
      <c r="G618" s="297"/>
      <c r="H618" s="297"/>
      <c r="J618" s="297"/>
      <c r="L618" s="312"/>
      <c r="N618" s="297"/>
      <c r="O618" s="64"/>
    </row>
    <row r="619" spans="1:15" ht="15" customHeight="1" x14ac:dyDescent="0.2">
      <c r="A619" s="403"/>
      <c r="C619" s="404"/>
      <c r="E619" s="308"/>
      <c r="G619" s="297"/>
      <c r="H619" s="297"/>
      <c r="J619" s="297"/>
      <c r="L619" s="312"/>
      <c r="N619" s="297"/>
      <c r="O619" s="64"/>
    </row>
    <row r="620" spans="1:15" ht="15" customHeight="1" x14ac:dyDescent="0.2">
      <c r="A620" s="403"/>
      <c r="C620" s="404"/>
      <c r="E620" s="308"/>
      <c r="G620" s="297"/>
      <c r="H620" s="297"/>
      <c r="J620" s="297"/>
      <c r="L620" s="312"/>
      <c r="N620" s="297"/>
      <c r="O620" s="64"/>
    </row>
    <row r="621" spans="1:15" ht="15" customHeight="1" x14ac:dyDescent="0.2">
      <c r="A621" s="403"/>
      <c r="C621" s="404"/>
      <c r="E621" s="308"/>
      <c r="G621" s="297"/>
      <c r="H621" s="297"/>
      <c r="J621" s="297"/>
      <c r="L621" s="312"/>
      <c r="N621" s="297"/>
      <c r="O621" s="64"/>
    </row>
    <row r="622" spans="1:15" ht="15" customHeight="1" x14ac:dyDescent="0.2">
      <c r="A622" s="403"/>
      <c r="C622" s="404"/>
      <c r="E622" s="308"/>
      <c r="G622" s="297"/>
      <c r="H622" s="297"/>
      <c r="J622" s="297"/>
      <c r="L622" s="312"/>
      <c r="N622" s="297"/>
      <c r="O622" s="64"/>
    </row>
    <row r="623" spans="1:15" ht="15" customHeight="1" x14ac:dyDescent="0.2">
      <c r="A623" s="403"/>
      <c r="C623" s="404"/>
      <c r="E623" s="308"/>
      <c r="G623" s="297"/>
      <c r="H623" s="297"/>
      <c r="J623" s="297"/>
      <c r="L623" s="312"/>
      <c r="N623" s="297"/>
      <c r="O623" s="64"/>
    </row>
    <row r="624" spans="1:15" ht="15" customHeight="1" x14ac:dyDescent="0.2">
      <c r="A624" s="403"/>
      <c r="C624" s="404"/>
      <c r="E624" s="308"/>
      <c r="G624" s="297"/>
      <c r="H624" s="297"/>
      <c r="J624" s="297"/>
      <c r="L624" s="312"/>
      <c r="N624" s="297"/>
      <c r="O624" s="64"/>
    </row>
    <row r="625" spans="1:15" ht="15" customHeight="1" x14ac:dyDescent="0.2">
      <c r="A625" s="403"/>
      <c r="C625" s="404"/>
      <c r="E625" s="308"/>
      <c r="G625" s="297"/>
      <c r="H625" s="297"/>
      <c r="J625" s="297"/>
      <c r="L625" s="312"/>
      <c r="N625" s="297"/>
      <c r="O625" s="64"/>
    </row>
    <row r="626" spans="1:15" ht="15" customHeight="1" x14ac:dyDescent="0.2">
      <c r="A626" s="403"/>
      <c r="C626" s="404"/>
      <c r="E626" s="308"/>
      <c r="G626" s="297"/>
      <c r="H626" s="297"/>
      <c r="J626" s="297"/>
      <c r="L626" s="312"/>
      <c r="N626" s="297"/>
      <c r="O626" s="64"/>
    </row>
    <row r="627" spans="1:15" ht="15" customHeight="1" x14ac:dyDescent="0.2">
      <c r="A627" s="403"/>
      <c r="C627" s="404"/>
      <c r="E627" s="308"/>
      <c r="G627" s="297"/>
      <c r="H627" s="297"/>
      <c r="J627" s="297"/>
      <c r="L627" s="312"/>
      <c r="N627" s="297"/>
      <c r="O627" s="64"/>
    </row>
    <row r="628" spans="1:15" ht="15" customHeight="1" x14ac:dyDescent="0.2">
      <c r="A628" s="403"/>
      <c r="C628" s="404"/>
      <c r="E628" s="308"/>
      <c r="G628" s="297"/>
      <c r="H628" s="297"/>
      <c r="J628" s="297"/>
      <c r="L628" s="312"/>
      <c r="N628" s="297"/>
      <c r="O628" s="64"/>
    </row>
    <row r="629" spans="1:15" ht="15" customHeight="1" x14ac:dyDescent="0.2">
      <c r="A629" s="403"/>
      <c r="C629" s="404"/>
      <c r="E629" s="308"/>
      <c r="G629" s="297"/>
      <c r="H629" s="297"/>
      <c r="J629" s="297"/>
      <c r="L629" s="312"/>
      <c r="N629" s="297"/>
      <c r="O629" s="64"/>
    </row>
    <row r="630" spans="1:15" ht="15" customHeight="1" x14ac:dyDescent="0.2">
      <c r="A630" s="403"/>
      <c r="C630" s="404"/>
      <c r="E630" s="308"/>
      <c r="G630" s="297"/>
      <c r="H630" s="297"/>
      <c r="J630" s="297"/>
      <c r="L630" s="312"/>
      <c r="N630" s="297"/>
      <c r="O630" s="64"/>
    </row>
    <row r="631" spans="1:15" ht="15" customHeight="1" x14ac:dyDescent="0.2">
      <c r="A631" s="403"/>
      <c r="C631" s="404"/>
      <c r="E631" s="308"/>
      <c r="G631" s="297"/>
      <c r="H631" s="297"/>
      <c r="J631" s="297"/>
      <c r="L631" s="312"/>
      <c r="N631" s="297"/>
      <c r="O631" s="64"/>
    </row>
    <row r="632" spans="1:15" ht="15" customHeight="1" x14ac:dyDescent="0.2">
      <c r="A632" s="403"/>
      <c r="C632" s="404"/>
      <c r="E632" s="308"/>
      <c r="G632" s="297"/>
      <c r="H632" s="297"/>
      <c r="J632" s="297"/>
      <c r="L632" s="312"/>
      <c r="N632" s="297"/>
      <c r="O632" s="64"/>
    </row>
    <row r="633" spans="1:15" ht="15" customHeight="1" x14ac:dyDescent="0.2">
      <c r="A633" s="403"/>
      <c r="C633" s="404"/>
      <c r="E633" s="308"/>
      <c r="G633" s="297"/>
      <c r="H633" s="297"/>
      <c r="J633" s="297"/>
      <c r="L633" s="312"/>
      <c r="N633" s="297"/>
      <c r="O633" s="64"/>
    </row>
    <row r="634" spans="1:15" ht="15" customHeight="1" x14ac:dyDescent="0.2">
      <c r="A634" s="403"/>
      <c r="C634" s="404"/>
      <c r="E634" s="308"/>
      <c r="G634" s="297"/>
      <c r="H634" s="297"/>
      <c r="J634" s="297"/>
      <c r="L634" s="312"/>
      <c r="N634" s="297"/>
      <c r="O634" s="64"/>
    </row>
    <row r="635" spans="1:15" ht="15" customHeight="1" x14ac:dyDescent="0.2">
      <c r="A635" s="403"/>
      <c r="C635" s="404"/>
      <c r="E635" s="308"/>
      <c r="G635" s="297"/>
      <c r="H635" s="297"/>
      <c r="J635" s="297"/>
      <c r="L635" s="312"/>
      <c r="N635" s="297"/>
      <c r="O635" s="64"/>
    </row>
    <row r="636" spans="1:15" ht="15" customHeight="1" x14ac:dyDescent="0.2">
      <c r="A636" s="403"/>
      <c r="C636" s="404"/>
      <c r="E636" s="308"/>
      <c r="G636" s="297"/>
      <c r="H636" s="297"/>
      <c r="J636" s="297"/>
      <c r="L636" s="312"/>
      <c r="N636" s="297"/>
      <c r="O636" s="64"/>
    </row>
    <row r="637" spans="1:15" ht="15" customHeight="1" x14ac:dyDescent="0.2">
      <c r="A637" s="403"/>
      <c r="C637" s="404"/>
      <c r="E637" s="308"/>
      <c r="G637" s="297"/>
      <c r="H637" s="297"/>
      <c r="J637" s="297"/>
      <c r="L637" s="312"/>
      <c r="N637" s="297"/>
      <c r="O637" s="64"/>
    </row>
    <row r="638" spans="1:15" ht="15" customHeight="1" x14ac:dyDescent="0.2">
      <c r="A638" s="403"/>
      <c r="C638" s="404"/>
      <c r="E638" s="308"/>
      <c r="G638" s="297"/>
      <c r="H638" s="297"/>
      <c r="J638" s="297"/>
      <c r="L638" s="312"/>
      <c r="N638" s="297"/>
      <c r="O638" s="64"/>
    </row>
    <row r="639" spans="1:15" ht="15" customHeight="1" x14ac:dyDescent="0.2">
      <c r="A639" s="403"/>
      <c r="C639" s="404"/>
      <c r="E639" s="308"/>
      <c r="G639" s="297"/>
      <c r="H639" s="297"/>
      <c r="J639" s="297"/>
      <c r="L639" s="312"/>
      <c r="N639" s="297"/>
      <c r="O639" s="64"/>
    </row>
    <row r="640" spans="1:15" ht="15" customHeight="1" x14ac:dyDescent="0.2">
      <c r="A640" s="403"/>
      <c r="C640" s="404"/>
      <c r="E640" s="308"/>
      <c r="G640" s="297"/>
      <c r="H640" s="297"/>
      <c r="J640" s="297"/>
      <c r="L640" s="312"/>
      <c r="N640" s="297"/>
      <c r="O640" s="64"/>
    </row>
    <row r="641" spans="1:15" ht="15" customHeight="1" x14ac:dyDescent="0.2">
      <c r="A641" s="403"/>
      <c r="C641" s="404"/>
      <c r="E641" s="308"/>
      <c r="G641" s="297"/>
      <c r="H641" s="297"/>
      <c r="J641" s="297"/>
      <c r="L641" s="312"/>
      <c r="N641" s="297"/>
      <c r="O641" s="64"/>
    </row>
    <row r="642" spans="1:15" ht="15" customHeight="1" x14ac:dyDescent="0.2">
      <c r="A642" s="403"/>
      <c r="C642" s="404"/>
      <c r="E642" s="308"/>
      <c r="G642" s="297"/>
      <c r="H642" s="297"/>
      <c r="J642" s="297"/>
      <c r="L642" s="312"/>
      <c r="N642" s="297"/>
      <c r="O642" s="64"/>
    </row>
    <row r="643" spans="1:15" ht="15" customHeight="1" x14ac:dyDescent="0.2">
      <c r="A643" s="403"/>
      <c r="C643" s="404"/>
      <c r="E643" s="308"/>
      <c r="G643" s="297"/>
      <c r="H643" s="297"/>
      <c r="J643" s="297"/>
      <c r="L643" s="312"/>
      <c r="N643" s="297"/>
      <c r="O643" s="64"/>
    </row>
    <row r="644" spans="1:15" ht="15" customHeight="1" x14ac:dyDescent="0.2">
      <c r="A644" s="403"/>
      <c r="C644" s="404"/>
      <c r="E644" s="308"/>
      <c r="G644" s="297"/>
      <c r="H644" s="297"/>
      <c r="J644" s="297"/>
      <c r="L644" s="312"/>
      <c r="N644" s="297"/>
      <c r="O644" s="64"/>
    </row>
    <row r="645" spans="1:15" ht="15" customHeight="1" x14ac:dyDescent="0.2">
      <c r="A645" s="403"/>
      <c r="C645" s="404"/>
      <c r="E645" s="308"/>
      <c r="G645" s="297"/>
      <c r="H645" s="297"/>
      <c r="J645" s="297"/>
      <c r="L645" s="312"/>
      <c r="N645" s="297"/>
      <c r="O645" s="64"/>
    </row>
    <row r="646" spans="1:15" ht="15" customHeight="1" x14ac:dyDescent="0.2">
      <c r="A646" s="403"/>
      <c r="C646" s="404"/>
      <c r="E646" s="308"/>
      <c r="G646" s="297"/>
      <c r="H646" s="297"/>
      <c r="J646" s="297"/>
      <c r="L646" s="312"/>
      <c r="N646" s="297"/>
      <c r="O646" s="64"/>
    </row>
    <row r="647" spans="1:15" ht="15" customHeight="1" x14ac:dyDescent="0.2">
      <c r="A647" s="403"/>
      <c r="C647" s="404"/>
      <c r="E647" s="308"/>
      <c r="G647" s="297"/>
      <c r="H647" s="297"/>
      <c r="J647" s="297"/>
      <c r="L647" s="312"/>
      <c r="N647" s="297"/>
      <c r="O647" s="64"/>
    </row>
    <row r="648" spans="1:15" ht="15" customHeight="1" x14ac:dyDescent="0.2">
      <c r="A648" s="403"/>
      <c r="C648" s="404"/>
      <c r="E648" s="308"/>
      <c r="G648" s="297"/>
      <c r="H648" s="297"/>
      <c r="J648" s="297"/>
      <c r="L648" s="312"/>
      <c r="N648" s="297"/>
      <c r="O648" s="64"/>
    </row>
    <row r="649" spans="1:15" ht="15" customHeight="1" x14ac:dyDescent="0.2">
      <c r="A649" s="403"/>
      <c r="C649" s="404"/>
      <c r="E649" s="308"/>
      <c r="G649" s="297"/>
      <c r="H649" s="297"/>
      <c r="J649" s="297"/>
      <c r="L649" s="312"/>
      <c r="N649" s="297"/>
      <c r="O649" s="64"/>
    </row>
    <row r="650" spans="1:15" ht="15" customHeight="1" x14ac:dyDescent="0.2">
      <c r="A650" s="403"/>
      <c r="C650" s="404"/>
      <c r="E650" s="308"/>
      <c r="G650" s="297"/>
      <c r="H650" s="297"/>
      <c r="J650" s="297"/>
      <c r="L650" s="312"/>
      <c r="N650" s="297"/>
      <c r="O650" s="64"/>
    </row>
    <row r="651" spans="1:15" ht="15" customHeight="1" x14ac:dyDescent="0.2">
      <c r="A651" s="403"/>
      <c r="C651" s="404"/>
      <c r="E651" s="308"/>
      <c r="G651" s="297"/>
      <c r="H651" s="297"/>
      <c r="J651" s="297"/>
      <c r="L651" s="312"/>
      <c r="N651" s="297"/>
      <c r="O651" s="64"/>
    </row>
    <row r="652" spans="1:15" ht="15" customHeight="1" x14ac:dyDescent="0.2">
      <c r="A652" s="403"/>
      <c r="C652" s="404"/>
      <c r="E652" s="308"/>
      <c r="G652" s="297"/>
      <c r="H652" s="297"/>
      <c r="J652" s="297"/>
      <c r="L652" s="312"/>
      <c r="N652" s="297"/>
      <c r="O652" s="64"/>
    </row>
    <row r="653" spans="1:15" ht="15" customHeight="1" x14ac:dyDescent="0.2">
      <c r="A653" s="403"/>
      <c r="C653" s="404"/>
      <c r="E653" s="308"/>
      <c r="G653" s="297"/>
      <c r="H653" s="297"/>
      <c r="J653" s="297"/>
      <c r="L653" s="312"/>
      <c r="N653" s="297"/>
      <c r="O653" s="64"/>
    </row>
    <row r="654" spans="1:15" ht="15" customHeight="1" x14ac:dyDescent="0.2">
      <c r="A654" s="403"/>
      <c r="C654" s="404"/>
      <c r="E654" s="308"/>
      <c r="G654" s="297"/>
      <c r="H654" s="297"/>
      <c r="J654" s="297"/>
      <c r="L654" s="312"/>
      <c r="N654" s="297"/>
      <c r="O654" s="64"/>
    </row>
    <row r="655" spans="1:15" ht="15" customHeight="1" x14ac:dyDescent="0.2">
      <c r="A655" s="403"/>
      <c r="C655" s="404"/>
      <c r="E655" s="308"/>
      <c r="G655" s="297"/>
      <c r="H655" s="297"/>
      <c r="J655" s="297"/>
      <c r="L655" s="312"/>
      <c r="N655" s="297"/>
      <c r="O655" s="64"/>
    </row>
    <row r="656" spans="1:15" ht="15" customHeight="1" x14ac:dyDescent="0.2">
      <c r="A656" s="403"/>
      <c r="C656" s="404"/>
      <c r="E656" s="308"/>
      <c r="G656" s="297"/>
      <c r="H656" s="297"/>
      <c r="J656" s="297"/>
      <c r="L656" s="312"/>
      <c r="N656" s="297"/>
      <c r="O656" s="64"/>
    </row>
    <row r="657" spans="1:15" ht="15" customHeight="1" x14ac:dyDescent="0.2">
      <c r="A657" s="403"/>
      <c r="C657" s="404"/>
      <c r="E657" s="308"/>
      <c r="G657" s="297"/>
      <c r="H657" s="297"/>
      <c r="J657" s="297"/>
      <c r="L657" s="312"/>
      <c r="N657" s="297"/>
      <c r="O657" s="64"/>
    </row>
    <row r="658" spans="1:15" ht="15" customHeight="1" x14ac:dyDescent="0.2">
      <c r="A658" s="403"/>
      <c r="C658" s="404"/>
      <c r="E658" s="308"/>
      <c r="G658" s="297"/>
      <c r="H658" s="297"/>
      <c r="J658" s="297"/>
      <c r="L658" s="312"/>
      <c r="N658" s="297"/>
      <c r="O658" s="64"/>
    </row>
    <row r="659" spans="1:15" ht="15" customHeight="1" x14ac:dyDescent="0.2">
      <c r="A659" s="403"/>
      <c r="C659" s="404"/>
      <c r="E659" s="308"/>
      <c r="G659" s="297"/>
      <c r="H659" s="297"/>
      <c r="J659" s="297"/>
      <c r="L659" s="312"/>
      <c r="N659" s="297"/>
      <c r="O659" s="64"/>
    </row>
    <row r="660" spans="1:15" ht="15" customHeight="1" x14ac:dyDescent="0.2">
      <c r="A660" s="403"/>
      <c r="C660" s="404"/>
      <c r="E660" s="308"/>
      <c r="G660" s="297"/>
      <c r="H660" s="297"/>
      <c r="J660" s="297"/>
      <c r="L660" s="312"/>
      <c r="N660" s="297"/>
      <c r="O660" s="64"/>
    </row>
    <row r="661" spans="1:15" ht="15" customHeight="1" x14ac:dyDescent="0.2">
      <c r="A661" s="403"/>
      <c r="C661" s="404"/>
      <c r="E661" s="308"/>
      <c r="G661" s="297"/>
      <c r="H661" s="297"/>
      <c r="J661" s="297"/>
      <c r="L661" s="312"/>
      <c r="N661" s="297"/>
      <c r="O661" s="64"/>
    </row>
    <row r="662" spans="1:15" ht="15" customHeight="1" x14ac:dyDescent="0.2">
      <c r="A662" s="403"/>
      <c r="C662" s="404"/>
      <c r="E662" s="308"/>
      <c r="G662" s="297"/>
      <c r="H662" s="297"/>
      <c r="J662" s="297"/>
      <c r="L662" s="312"/>
      <c r="N662" s="297"/>
      <c r="O662" s="64"/>
    </row>
    <row r="663" spans="1:15" ht="15" customHeight="1" x14ac:dyDescent="0.2">
      <c r="A663" s="403"/>
      <c r="C663" s="404"/>
      <c r="E663" s="308"/>
      <c r="G663" s="297"/>
      <c r="H663" s="297"/>
      <c r="J663" s="297"/>
      <c r="L663" s="312"/>
      <c r="N663" s="297"/>
      <c r="O663" s="64"/>
    </row>
    <row r="664" spans="1:15" ht="15" customHeight="1" x14ac:dyDescent="0.2">
      <c r="A664" s="403"/>
      <c r="C664" s="404"/>
      <c r="E664" s="308"/>
      <c r="G664" s="297"/>
      <c r="H664" s="297"/>
      <c r="J664" s="297"/>
      <c r="L664" s="312"/>
      <c r="N664" s="297"/>
      <c r="O664" s="64"/>
    </row>
    <row r="665" spans="1:15" ht="15" customHeight="1" x14ac:dyDescent="0.2">
      <c r="A665" s="403"/>
      <c r="C665" s="404"/>
      <c r="E665" s="308"/>
      <c r="G665" s="297"/>
      <c r="H665" s="297"/>
      <c r="J665" s="297"/>
      <c r="L665" s="312"/>
      <c r="N665" s="297"/>
      <c r="O665" s="64"/>
    </row>
    <row r="666" spans="1:15" ht="15" customHeight="1" x14ac:dyDescent="0.2">
      <c r="A666" s="403"/>
      <c r="C666" s="404"/>
      <c r="E666" s="308"/>
      <c r="G666" s="297"/>
      <c r="H666" s="297"/>
      <c r="J666" s="297"/>
      <c r="L666" s="312"/>
      <c r="N666" s="297"/>
      <c r="O666" s="64"/>
    </row>
    <row r="667" spans="1:15" ht="15" customHeight="1" x14ac:dyDescent="0.2">
      <c r="A667" s="403"/>
      <c r="C667" s="404"/>
      <c r="E667" s="308"/>
      <c r="G667" s="297"/>
      <c r="H667" s="297"/>
      <c r="J667" s="297"/>
      <c r="L667" s="312"/>
      <c r="N667" s="297"/>
      <c r="O667" s="64"/>
    </row>
    <row r="668" spans="1:15" ht="15" customHeight="1" x14ac:dyDescent="0.2">
      <c r="A668" s="403"/>
      <c r="C668" s="404"/>
      <c r="E668" s="308"/>
      <c r="G668" s="297"/>
      <c r="H668" s="297"/>
      <c r="J668" s="297"/>
      <c r="L668" s="312"/>
      <c r="N668" s="297"/>
      <c r="O668" s="64"/>
    </row>
    <row r="669" spans="1:15" ht="15" customHeight="1" x14ac:dyDescent="0.2">
      <c r="A669" s="403"/>
      <c r="C669" s="404"/>
      <c r="E669" s="308"/>
      <c r="G669" s="297"/>
      <c r="H669" s="297"/>
      <c r="J669" s="297"/>
      <c r="L669" s="312"/>
      <c r="N669" s="297"/>
      <c r="O669" s="64"/>
    </row>
    <row r="670" spans="1:15" ht="15" customHeight="1" x14ac:dyDescent="0.2">
      <c r="A670" s="403"/>
      <c r="C670" s="404"/>
      <c r="E670" s="308"/>
      <c r="G670" s="297"/>
      <c r="H670" s="297"/>
      <c r="J670" s="297"/>
      <c r="L670" s="312"/>
      <c r="N670" s="297"/>
      <c r="O670" s="64"/>
    </row>
    <row r="671" spans="1:15" ht="15" customHeight="1" x14ac:dyDescent="0.2">
      <c r="A671" s="403"/>
      <c r="C671" s="404"/>
      <c r="E671" s="308"/>
      <c r="G671" s="297"/>
      <c r="H671" s="297"/>
      <c r="J671" s="297"/>
      <c r="L671" s="312"/>
      <c r="N671" s="297"/>
      <c r="O671" s="64"/>
    </row>
    <row r="672" spans="1:15" ht="15" customHeight="1" x14ac:dyDescent="0.2">
      <c r="A672" s="403"/>
      <c r="C672" s="404"/>
      <c r="E672" s="308"/>
      <c r="G672" s="297"/>
      <c r="H672" s="297"/>
      <c r="J672" s="297"/>
      <c r="L672" s="312"/>
      <c r="N672" s="297"/>
      <c r="O672" s="64"/>
    </row>
    <row r="673" spans="1:15" ht="15" customHeight="1" x14ac:dyDescent="0.2">
      <c r="A673" s="403"/>
      <c r="C673" s="404"/>
      <c r="E673" s="308"/>
      <c r="G673" s="297"/>
      <c r="H673" s="297"/>
      <c r="J673" s="297"/>
      <c r="L673" s="312"/>
      <c r="N673" s="297"/>
      <c r="O673" s="64"/>
    </row>
    <row r="674" spans="1:15" ht="15" customHeight="1" x14ac:dyDescent="0.2">
      <c r="A674" s="403"/>
      <c r="C674" s="404"/>
      <c r="E674" s="308"/>
      <c r="G674" s="297"/>
      <c r="H674" s="297"/>
      <c r="J674" s="297"/>
      <c r="L674" s="312"/>
      <c r="N674" s="297"/>
      <c r="O674" s="64"/>
    </row>
    <row r="675" spans="1:15" ht="15" customHeight="1" x14ac:dyDescent="0.2">
      <c r="A675" s="403"/>
      <c r="C675" s="404"/>
      <c r="E675" s="308"/>
      <c r="G675" s="297"/>
      <c r="H675" s="297"/>
      <c r="J675" s="297"/>
      <c r="L675" s="312"/>
      <c r="N675" s="297"/>
      <c r="O675" s="64"/>
    </row>
    <row r="676" spans="1:15" ht="15" customHeight="1" x14ac:dyDescent="0.2">
      <c r="A676" s="403"/>
      <c r="C676" s="404"/>
      <c r="E676" s="308"/>
      <c r="G676" s="297"/>
      <c r="H676" s="297"/>
      <c r="J676" s="297"/>
      <c r="L676" s="312"/>
      <c r="N676" s="297"/>
      <c r="O676" s="64"/>
    </row>
    <row r="677" spans="1:15" ht="15" customHeight="1" x14ac:dyDescent="0.2">
      <c r="A677" s="403"/>
      <c r="C677" s="404"/>
      <c r="E677" s="308"/>
      <c r="G677" s="297"/>
      <c r="H677" s="297"/>
      <c r="J677" s="297"/>
      <c r="L677" s="312"/>
      <c r="N677" s="297"/>
      <c r="O677" s="64"/>
    </row>
    <row r="678" spans="1:15" ht="15" customHeight="1" x14ac:dyDescent="0.2">
      <c r="A678" s="403"/>
      <c r="C678" s="404"/>
      <c r="E678" s="308"/>
      <c r="G678" s="297"/>
      <c r="H678" s="297"/>
      <c r="J678" s="297"/>
      <c r="L678" s="312"/>
      <c r="N678" s="297"/>
      <c r="O678" s="64"/>
    </row>
    <row r="679" spans="1:15" ht="15" customHeight="1" x14ac:dyDescent="0.2">
      <c r="A679" s="403"/>
      <c r="C679" s="404"/>
      <c r="E679" s="308"/>
      <c r="G679" s="297"/>
      <c r="H679" s="297"/>
      <c r="J679" s="297"/>
      <c r="L679" s="312"/>
      <c r="N679" s="297"/>
      <c r="O679" s="64"/>
    </row>
    <row r="680" spans="1:15" ht="15" customHeight="1" x14ac:dyDescent="0.2">
      <c r="A680" s="403"/>
      <c r="C680" s="404"/>
      <c r="E680" s="308"/>
      <c r="G680" s="297"/>
      <c r="H680" s="297"/>
      <c r="J680" s="297"/>
      <c r="L680" s="312"/>
      <c r="N680" s="297"/>
      <c r="O680" s="64"/>
    </row>
    <row r="681" spans="1:15" ht="15" customHeight="1" x14ac:dyDescent="0.2">
      <c r="A681" s="403"/>
      <c r="C681" s="404"/>
      <c r="E681" s="308"/>
      <c r="G681" s="297"/>
      <c r="H681" s="297"/>
      <c r="J681" s="297"/>
      <c r="L681" s="312"/>
      <c r="N681" s="297"/>
      <c r="O681" s="64"/>
    </row>
    <row r="682" spans="1:15" ht="15" customHeight="1" x14ac:dyDescent="0.2">
      <c r="A682" s="403"/>
      <c r="C682" s="404"/>
      <c r="E682" s="308"/>
      <c r="G682" s="297"/>
      <c r="H682" s="297"/>
      <c r="J682" s="297"/>
      <c r="L682" s="312"/>
      <c r="N682" s="297"/>
      <c r="O682" s="64"/>
    </row>
    <row r="683" spans="1:15" ht="15" customHeight="1" x14ac:dyDescent="0.2">
      <c r="A683" s="403"/>
      <c r="C683" s="404"/>
      <c r="E683" s="308"/>
      <c r="G683" s="297"/>
      <c r="H683" s="297"/>
      <c r="J683" s="297"/>
      <c r="L683" s="312"/>
      <c r="N683" s="297"/>
      <c r="O683" s="64"/>
    </row>
    <row r="684" spans="1:15" ht="15" customHeight="1" x14ac:dyDescent="0.2">
      <c r="A684" s="403"/>
      <c r="C684" s="404"/>
      <c r="E684" s="308"/>
      <c r="G684" s="297"/>
      <c r="H684" s="297"/>
      <c r="J684" s="297"/>
      <c r="L684" s="312"/>
      <c r="N684" s="297"/>
      <c r="O684" s="64"/>
    </row>
    <row r="685" spans="1:15" ht="15" customHeight="1" x14ac:dyDescent="0.2">
      <c r="A685" s="403"/>
      <c r="C685" s="404"/>
      <c r="E685" s="308"/>
      <c r="G685" s="297"/>
      <c r="H685" s="297"/>
      <c r="J685" s="297"/>
      <c r="L685" s="312"/>
      <c r="N685" s="297"/>
      <c r="O685" s="64"/>
    </row>
    <row r="686" spans="1:15" ht="15" customHeight="1" x14ac:dyDescent="0.2">
      <c r="A686" s="403"/>
      <c r="C686" s="404"/>
      <c r="E686" s="308"/>
      <c r="G686" s="297"/>
      <c r="H686" s="297"/>
      <c r="J686" s="297"/>
      <c r="L686" s="312"/>
      <c r="N686" s="297"/>
      <c r="O686" s="64"/>
    </row>
    <row r="687" spans="1:15" ht="15" customHeight="1" x14ac:dyDescent="0.2">
      <c r="A687" s="403"/>
      <c r="C687" s="404"/>
      <c r="E687" s="308"/>
      <c r="G687" s="297"/>
      <c r="H687" s="297"/>
      <c r="J687" s="297"/>
      <c r="L687" s="312"/>
      <c r="N687" s="297"/>
      <c r="O687" s="64"/>
    </row>
    <row r="688" spans="1:15" ht="15" customHeight="1" x14ac:dyDescent="0.2">
      <c r="A688" s="403"/>
      <c r="C688" s="404"/>
      <c r="E688" s="308"/>
      <c r="G688" s="297"/>
      <c r="H688" s="297"/>
      <c r="J688" s="297"/>
      <c r="L688" s="312"/>
      <c r="N688" s="297"/>
      <c r="O688" s="64"/>
    </row>
    <row r="689" spans="1:15" ht="15" customHeight="1" x14ac:dyDescent="0.2">
      <c r="A689" s="403"/>
      <c r="C689" s="404"/>
      <c r="E689" s="308"/>
      <c r="G689" s="297"/>
      <c r="H689" s="297"/>
      <c r="J689" s="297"/>
      <c r="L689" s="312"/>
      <c r="N689" s="297"/>
      <c r="O689" s="64"/>
    </row>
    <row r="690" spans="1:15" ht="15" customHeight="1" x14ac:dyDescent="0.2">
      <c r="A690" s="403"/>
      <c r="C690" s="404"/>
      <c r="E690" s="308"/>
      <c r="G690" s="297"/>
      <c r="H690" s="297"/>
      <c r="J690" s="297"/>
      <c r="L690" s="312"/>
      <c r="N690" s="297"/>
      <c r="O690" s="64"/>
    </row>
    <row r="691" spans="1:15" ht="15" customHeight="1" x14ac:dyDescent="0.2">
      <c r="A691" s="403"/>
      <c r="C691" s="404"/>
      <c r="E691" s="308"/>
      <c r="G691" s="297"/>
      <c r="H691" s="297"/>
      <c r="J691" s="297"/>
      <c r="L691" s="312"/>
      <c r="N691" s="297"/>
      <c r="O691" s="64"/>
    </row>
    <row r="692" spans="1:15" ht="15" customHeight="1" x14ac:dyDescent="0.2">
      <c r="A692" s="403"/>
      <c r="C692" s="404"/>
      <c r="E692" s="308"/>
      <c r="G692" s="297"/>
      <c r="H692" s="297"/>
      <c r="J692" s="297"/>
      <c r="L692" s="312"/>
      <c r="N692" s="297"/>
      <c r="O692" s="64"/>
    </row>
    <row r="693" spans="1:15" ht="15" customHeight="1" x14ac:dyDescent="0.2">
      <c r="A693" s="403"/>
      <c r="C693" s="404"/>
      <c r="E693" s="308"/>
      <c r="G693" s="297"/>
      <c r="H693" s="297"/>
      <c r="J693" s="297"/>
      <c r="L693" s="312"/>
      <c r="N693" s="297"/>
      <c r="O693" s="64"/>
    </row>
    <row r="694" spans="1:15" ht="15" customHeight="1" x14ac:dyDescent="0.2">
      <c r="A694" s="403"/>
      <c r="C694" s="404"/>
      <c r="E694" s="308"/>
      <c r="G694" s="297"/>
      <c r="H694" s="297"/>
      <c r="J694" s="297"/>
      <c r="L694" s="312"/>
      <c r="N694" s="297"/>
      <c r="O694" s="64"/>
    </row>
    <row r="695" spans="1:15" ht="15" customHeight="1" x14ac:dyDescent="0.2">
      <c r="A695" s="403"/>
      <c r="C695" s="404"/>
      <c r="E695" s="308"/>
      <c r="G695" s="297"/>
      <c r="H695" s="297"/>
      <c r="J695" s="297"/>
      <c r="L695" s="312"/>
      <c r="N695" s="297"/>
      <c r="O695" s="64"/>
    </row>
    <row r="696" spans="1:15" ht="15" customHeight="1" x14ac:dyDescent="0.2">
      <c r="A696" s="403"/>
      <c r="C696" s="404"/>
      <c r="E696" s="308"/>
      <c r="G696" s="297"/>
      <c r="H696" s="297"/>
      <c r="J696" s="297"/>
      <c r="L696" s="312"/>
      <c r="N696" s="297"/>
      <c r="O696" s="64"/>
    </row>
    <row r="697" spans="1:15" ht="15" customHeight="1" x14ac:dyDescent="0.2">
      <c r="A697" s="403"/>
      <c r="C697" s="404"/>
      <c r="E697" s="308"/>
      <c r="G697" s="297"/>
      <c r="H697" s="297"/>
      <c r="J697" s="297"/>
      <c r="L697" s="312"/>
      <c r="N697" s="297"/>
      <c r="O697" s="64"/>
    </row>
    <row r="698" spans="1:15" ht="15" customHeight="1" x14ac:dyDescent="0.2">
      <c r="A698" s="403"/>
      <c r="C698" s="404"/>
      <c r="E698" s="308"/>
      <c r="G698" s="297"/>
      <c r="H698" s="297"/>
      <c r="J698" s="297"/>
      <c r="L698" s="312"/>
      <c r="N698" s="297"/>
      <c r="O698" s="64"/>
    </row>
    <row r="699" spans="1:15" ht="15" customHeight="1" x14ac:dyDescent="0.2">
      <c r="A699" s="403"/>
      <c r="C699" s="404"/>
      <c r="E699" s="308"/>
      <c r="G699" s="297"/>
      <c r="H699" s="297"/>
      <c r="J699" s="297"/>
      <c r="L699" s="312"/>
      <c r="N699" s="297"/>
      <c r="O699" s="64"/>
    </row>
    <row r="700" spans="1:15" ht="15" customHeight="1" x14ac:dyDescent="0.2">
      <c r="A700" s="403"/>
      <c r="C700" s="404"/>
      <c r="E700" s="308"/>
      <c r="G700" s="297"/>
      <c r="H700" s="297"/>
      <c r="J700" s="297"/>
      <c r="L700" s="312"/>
      <c r="N700" s="297"/>
      <c r="O700" s="64"/>
    </row>
    <row r="701" spans="1:15" ht="15" customHeight="1" x14ac:dyDescent="0.2">
      <c r="A701" s="403"/>
      <c r="C701" s="404"/>
      <c r="E701" s="308"/>
      <c r="G701" s="297"/>
      <c r="H701" s="297"/>
      <c r="J701" s="297"/>
      <c r="L701" s="312"/>
      <c r="N701" s="297"/>
      <c r="O701" s="64"/>
    </row>
    <row r="702" spans="1:15" ht="15" customHeight="1" x14ac:dyDescent="0.2">
      <c r="A702" s="403"/>
      <c r="C702" s="404"/>
      <c r="E702" s="308"/>
      <c r="G702" s="297"/>
      <c r="H702" s="297"/>
      <c r="J702" s="297"/>
      <c r="L702" s="312"/>
      <c r="N702" s="297"/>
      <c r="O702" s="64"/>
    </row>
    <row r="703" spans="1:15" ht="15" customHeight="1" x14ac:dyDescent="0.2">
      <c r="A703" s="403"/>
      <c r="C703" s="404"/>
      <c r="E703" s="308"/>
      <c r="G703" s="297"/>
      <c r="H703" s="297"/>
      <c r="J703" s="297"/>
      <c r="L703" s="312"/>
      <c r="N703" s="297"/>
      <c r="O703" s="64"/>
    </row>
    <row r="704" spans="1:15" ht="15" customHeight="1" x14ac:dyDescent="0.2">
      <c r="A704" s="403"/>
      <c r="C704" s="404"/>
      <c r="E704" s="308"/>
      <c r="G704" s="297"/>
      <c r="H704" s="297"/>
      <c r="J704" s="297"/>
      <c r="L704" s="312"/>
      <c r="N704" s="297"/>
      <c r="O704" s="64"/>
    </row>
    <row r="705" spans="1:15" ht="15" customHeight="1" x14ac:dyDescent="0.2">
      <c r="A705" s="403"/>
      <c r="C705" s="404"/>
      <c r="E705" s="308"/>
      <c r="G705" s="297"/>
      <c r="H705" s="297"/>
      <c r="J705" s="297"/>
      <c r="L705" s="312"/>
      <c r="N705" s="297"/>
      <c r="O705" s="64"/>
    </row>
    <row r="706" spans="1:15" ht="15" customHeight="1" x14ac:dyDescent="0.2">
      <c r="A706" s="403"/>
      <c r="C706" s="404"/>
      <c r="E706" s="308"/>
      <c r="G706" s="297"/>
      <c r="H706" s="297"/>
      <c r="J706" s="297"/>
      <c r="L706" s="312"/>
      <c r="N706" s="297"/>
      <c r="O706" s="64"/>
    </row>
    <row r="707" spans="1:15" ht="15" customHeight="1" x14ac:dyDescent="0.2">
      <c r="A707" s="403"/>
      <c r="C707" s="404"/>
      <c r="E707" s="308"/>
      <c r="G707" s="297"/>
      <c r="H707" s="297"/>
      <c r="J707" s="297"/>
      <c r="L707" s="312"/>
      <c r="N707" s="297"/>
      <c r="O707" s="64"/>
    </row>
    <row r="708" spans="1:15" ht="15" customHeight="1" x14ac:dyDescent="0.2">
      <c r="A708" s="403"/>
      <c r="C708" s="404"/>
      <c r="E708" s="308"/>
      <c r="G708" s="297"/>
      <c r="H708" s="297"/>
      <c r="J708" s="297"/>
      <c r="L708" s="312"/>
      <c r="N708" s="297"/>
      <c r="O708" s="64"/>
    </row>
    <row r="709" spans="1:15" ht="15" customHeight="1" x14ac:dyDescent="0.2">
      <c r="A709" s="403"/>
      <c r="C709" s="404"/>
      <c r="E709" s="308"/>
      <c r="G709" s="297"/>
      <c r="H709" s="297"/>
      <c r="J709" s="297"/>
      <c r="L709" s="312"/>
      <c r="N709" s="297"/>
      <c r="O709" s="64"/>
    </row>
    <row r="710" spans="1:15" ht="15" customHeight="1" x14ac:dyDescent="0.2">
      <c r="A710" s="403"/>
      <c r="C710" s="404"/>
      <c r="E710" s="308"/>
      <c r="G710" s="297"/>
      <c r="H710" s="297"/>
      <c r="J710" s="297"/>
      <c r="L710" s="312"/>
      <c r="N710" s="297"/>
      <c r="O710" s="64"/>
    </row>
    <row r="711" spans="1:15" ht="15" customHeight="1" x14ac:dyDescent="0.2">
      <c r="A711" s="403"/>
      <c r="C711" s="404"/>
      <c r="E711" s="308"/>
      <c r="G711" s="297"/>
      <c r="H711" s="297"/>
      <c r="J711" s="297"/>
      <c r="L711" s="312"/>
      <c r="N711" s="297"/>
      <c r="O711" s="64"/>
    </row>
    <row r="712" spans="1:15" ht="15" customHeight="1" x14ac:dyDescent="0.2">
      <c r="A712" s="403"/>
      <c r="C712" s="404"/>
      <c r="E712" s="308"/>
      <c r="G712" s="297"/>
      <c r="H712" s="297"/>
      <c r="J712" s="297"/>
      <c r="L712" s="312"/>
      <c r="N712" s="297"/>
      <c r="O712" s="64"/>
    </row>
    <row r="713" spans="1:15" ht="15" customHeight="1" x14ac:dyDescent="0.2">
      <c r="A713" s="403"/>
      <c r="C713" s="404"/>
      <c r="E713" s="308"/>
      <c r="G713" s="297"/>
      <c r="H713" s="297"/>
      <c r="J713" s="297"/>
      <c r="L713" s="312"/>
      <c r="N713" s="297"/>
      <c r="O713" s="64"/>
    </row>
    <row r="714" spans="1:15" ht="15" customHeight="1" x14ac:dyDescent="0.2">
      <c r="A714" s="403"/>
      <c r="C714" s="404"/>
      <c r="E714" s="308"/>
      <c r="G714" s="297"/>
      <c r="H714" s="297"/>
      <c r="J714" s="297"/>
      <c r="L714" s="312"/>
      <c r="N714" s="297"/>
      <c r="O714" s="64"/>
    </row>
    <row r="715" spans="1:15" ht="15" customHeight="1" x14ac:dyDescent="0.2">
      <c r="A715" s="403"/>
      <c r="C715" s="404"/>
      <c r="E715" s="308"/>
      <c r="G715" s="297"/>
      <c r="H715" s="297"/>
      <c r="J715" s="297"/>
      <c r="L715" s="312"/>
      <c r="N715" s="297"/>
      <c r="O715" s="64"/>
    </row>
    <row r="716" spans="1:15" ht="15" customHeight="1" x14ac:dyDescent="0.2">
      <c r="A716" s="403"/>
      <c r="C716" s="404"/>
      <c r="E716" s="308"/>
      <c r="G716" s="297"/>
      <c r="H716" s="297"/>
      <c r="J716" s="297"/>
      <c r="L716" s="312"/>
      <c r="N716" s="297"/>
      <c r="O716" s="64"/>
    </row>
    <row r="717" spans="1:15" ht="15" customHeight="1" x14ac:dyDescent="0.2">
      <c r="A717" s="403"/>
      <c r="C717" s="404"/>
      <c r="E717" s="308"/>
      <c r="G717" s="297"/>
      <c r="H717" s="297"/>
      <c r="J717" s="297"/>
      <c r="L717" s="312"/>
      <c r="N717" s="297"/>
      <c r="O717" s="64"/>
    </row>
    <row r="718" spans="1:15" ht="15" customHeight="1" x14ac:dyDescent="0.2">
      <c r="A718" s="403"/>
      <c r="C718" s="404"/>
      <c r="E718" s="308"/>
      <c r="G718" s="297"/>
      <c r="H718" s="297"/>
      <c r="J718" s="297"/>
      <c r="L718" s="312"/>
      <c r="N718" s="297"/>
      <c r="O718" s="64"/>
    </row>
    <row r="719" spans="1:15" ht="15" customHeight="1" x14ac:dyDescent="0.2">
      <c r="A719" s="403"/>
      <c r="C719" s="404"/>
      <c r="E719" s="308"/>
      <c r="G719" s="297"/>
      <c r="H719" s="297"/>
      <c r="J719" s="297"/>
      <c r="L719" s="312"/>
      <c r="N719" s="297"/>
      <c r="O719" s="64"/>
    </row>
    <row r="720" spans="1:15" ht="15" customHeight="1" x14ac:dyDescent="0.2">
      <c r="A720" s="403"/>
      <c r="C720" s="404"/>
      <c r="E720" s="308"/>
      <c r="G720" s="297"/>
      <c r="H720" s="297"/>
      <c r="J720" s="297"/>
      <c r="L720" s="312"/>
      <c r="N720" s="297"/>
      <c r="O720" s="64"/>
    </row>
    <row r="721" spans="1:15" ht="15" customHeight="1" x14ac:dyDescent="0.2">
      <c r="A721" s="403"/>
      <c r="C721" s="404"/>
      <c r="E721" s="308"/>
      <c r="G721" s="297"/>
      <c r="H721" s="297"/>
      <c r="J721" s="297"/>
      <c r="L721" s="312"/>
      <c r="N721" s="297"/>
      <c r="O721" s="64"/>
    </row>
    <row r="722" spans="1:15" ht="15" customHeight="1" x14ac:dyDescent="0.2">
      <c r="A722" s="403"/>
      <c r="C722" s="404"/>
      <c r="E722" s="308"/>
      <c r="G722" s="297"/>
      <c r="H722" s="297"/>
      <c r="J722" s="297"/>
      <c r="L722" s="312"/>
      <c r="N722" s="297"/>
      <c r="O722" s="64"/>
    </row>
    <row r="723" spans="1:15" ht="15" customHeight="1" x14ac:dyDescent="0.2">
      <c r="A723" s="403"/>
      <c r="C723" s="404"/>
      <c r="E723" s="308"/>
      <c r="G723" s="297"/>
      <c r="H723" s="297"/>
      <c r="J723" s="297"/>
      <c r="L723" s="312"/>
      <c r="N723" s="297"/>
      <c r="O723" s="64"/>
    </row>
    <row r="724" spans="1:15" ht="15" customHeight="1" x14ac:dyDescent="0.2">
      <c r="A724" s="403"/>
      <c r="C724" s="404"/>
      <c r="E724" s="308"/>
      <c r="G724" s="297"/>
      <c r="H724" s="297"/>
      <c r="J724" s="297"/>
      <c r="L724" s="312"/>
      <c r="N724" s="297"/>
      <c r="O724" s="64"/>
    </row>
    <row r="725" spans="1:15" ht="15" customHeight="1" x14ac:dyDescent="0.2">
      <c r="A725" s="403"/>
      <c r="C725" s="404"/>
      <c r="E725" s="308"/>
      <c r="G725" s="297"/>
      <c r="H725" s="297"/>
      <c r="J725" s="297"/>
      <c r="L725" s="312"/>
      <c r="N725" s="297"/>
      <c r="O725" s="64"/>
    </row>
    <row r="726" spans="1:15" ht="15" customHeight="1" x14ac:dyDescent="0.2">
      <c r="A726" s="403"/>
      <c r="C726" s="404"/>
      <c r="E726" s="308"/>
      <c r="G726" s="297"/>
      <c r="H726" s="297"/>
      <c r="J726" s="297"/>
      <c r="L726" s="312"/>
      <c r="N726" s="297"/>
      <c r="O726" s="64"/>
    </row>
    <row r="727" spans="1:15" ht="15" customHeight="1" x14ac:dyDescent="0.2">
      <c r="A727" s="403"/>
      <c r="C727" s="404"/>
      <c r="E727" s="308"/>
      <c r="G727" s="297"/>
      <c r="H727" s="297"/>
      <c r="J727" s="297"/>
      <c r="L727" s="312"/>
      <c r="N727" s="297"/>
      <c r="O727" s="64"/>
    </row>
    <row r="728" spans="1:15" ht="15" customHeight="1" x14ac:dyDescent="0.2">
      <c r="A728" s="403"/>
      <c r="C728" s="404"/>
      <c r="E728" s="308"/>
      <c r="G728" s="297"/>
      <c r="H728" s="297"/>
      <c r="J728" s="297"/>
      <c r="L728" s="312"/>
      <c r="N728" s="297"/>
      <c r="O728" s="64"/>
    </row>
    <row r="729" spans="1:15" ht="15" customHeight="1" x14ac:dyDescent="0.2">
      <c r="A729" s="403"/>
      <c r="C729" s="404"/>
      <c r="E729" s="308"/>
      <c r="G729" s="297"/>
      <c r="H729" s="297"/>
      <c r="J729" s="297"/>
      <c r="L729" s="312"/>
      <c r="N729" s="297"/>
      <c r="O729" s="64"/>
    </row>
    <row r="730" spans="1:15" ht="15" customHeight="1" x14ac:dyDescent="0.2">
      <c r="A730" s="403"/>
      <c r="C730" s="404"/>
      <c r="E730" s="308"/>
      <c r="G730" s="297"/>
      <c r="H730" s="297"/>
      <c r="J730" s="297"/>
      <c r="L730" s="312"/>
      <c r="N730" s="297"/>
      <c r="O730" s="64"/>
    </row>
    <row r="731" spans="1:15" ht="15" customHeight="1" x14ac:dyDescent="0.2">
      <c r="A731" s="403"/>
      <c r="C731" s="404"/>
      <c r="E731" s="308"/>
      <c r="G731" s="297"/>
      <c r="H731" s="297"/>
      <c r="J731" s="297"/>
      <c r="L731" s="312"/>
      <c r="N731" s="297"/>
      <c r="O731" s="64"/>
    </row>
    <row r="732" spans="1:15" ht="15" customHeight="1" x14ac:dyDescent="0.2">
      <c r="A732" s="403"/>
      <c r="C732" s="404"/>
      <c r="E732" s="308"/>
      <c r="G732" s="297"/>
      <c r="H732" s="297"/>
      <c r="J732" s="297"/>
      <c r="L732" s="312"/>
      <c r="N732" s="297"/>
      <c r="O732" s="64"/>
    </row>
    <row r="733" spans="1:15" ht="15" customHeight="1" x14ac:dyDescent="0.2">
      <c r="A733" s="403"/>
      <c r="C733" s="404"/>
      <c r="E733" s="308"/>
      <c r="G733" s="297"/>
      <c r="H733" s="297"/>
      <c r="J733" s="297"/>
      <c r="L733" s="312"/>
      <c r="N733" s="297"/>
      <c r="O733" s="64"/>
    </row>
    <row r="734" spans="1:15" ht="15" customHeight="1" x14ac:dyDescent="0.2">
      <c r="A734" s="403"/>
      <c r="C734" s="404"/>
      <c r="E734" s="308"/>
      <c r="G734" s="297"/>
      <c r="H734" s="297"/>
      <c r="J734" s="297"/>
      <c r="L734" s="312"/>
      <c r="N734" s="297"/>
      <c r="O734" s="64"/>
    </row>
    <row r="735" spans="1:15" ht="15" customHeight="1" x14ac:dyDescent="0.2">
      <c r="A735" s="403"/>
      <c r="C735" s="404"/>
      <c r="E735" s="308"/>
      <c r="G735" s="297"/>
      <c r="H735" s="297"/>
      <c r="J735" s="297"/>
      <c r="L735" s="312"/>
      <c r="N735" s="297"/>
      <c r="O735" s="64"/>
    </row>
    <row r="736" spans="1:15" ht="15" customHeight="1" x14ac:dyDescent="0.2">
      <c r="A736" s="403"/>
      <c r="C736" s="404"/>
      <c r="E736" s="308"/>
      <c r="G736" s="297"/>
      <c r="H736" s="297"/>
      <c r="J736" s="297"/>
      <c r="L736" s="312"/>
      <c r="N736" s="297"/>
      <c r="O736" s="64"/>
    </row>
    <row r="737" spans="1:15" ht="15" customHeight="1" x14ac:dyDescent="0.2">
      <c r="A737" s="403"/>
      <c r="C737" s="404"/>
      <c r="E737" s="308"/>
      <c r="G737" s="297"/>
      <c r="H737" s="297"/>
      <c r="J737" s="297"/>
      <c r="L737" s="312"/>
      <c r="N737" s="297"/>
      <c r="O737" s="64"/>
    </row>
    <row r="738" spans="1:15" ht="15" customHeight="1" x14ac:dyDescent="0.2">
      <c r="A738" s="403"/>
      <c r="C738" s="404"/>
      <c r="E738" s="308"/>
      <c r="G738" s="297"/>
      <c r="H738" s="297"/>
      <c r="J738" s="297"/>
      <c r="L738" s="312"/>
      <c r="N738" s="297"/>
      <c r="O738" s="64"/>
    </row>
    <row r="739" spans="1:15" ht="15" customHeight="1" x14ac:dyDescent="0.2">
      <c r="A739" s="403"/>
      <c r="C739" s="404"/>
      <c r="E739" s="308"/>
      <c r="G739" s="297"/>
      <c r="H739" s="297"/>
      <c r="J739" s="297"/>
      <c r="L739" s="312"/>
      <c r="N739" s="297"/>
      <c r="O739" s="64"/>
    </row>
    <row r="740" spans="1:15" ht="15" customHeight="1" x14ac:dyDescent="0.2">
      <c r="A740" s="403"/>
      <c r="C740" s="404"/>
      <c r="E740" s="308"/>
      <c r="G740" s="297"/>
      <c r="H740" s="297"/>
      <c r="J740" s="297"/>
      <c r="L740" s="312"/>
      <c r="N740" s="297"/>
      <c r="O740" s="64"/>
    </row>
    <row r="741" spans="1:15" ht="15" customHeight="1" x14ac:dyDescent="0.2">
      <c r="A741" s="403"/>
      <c r="C741" s="404"/>
      <c r="E741" s="308"/>
      <c r="G741" s="297"/>
      <c r="H741" s="297"/>
      <c r="J741" s="297"/>
      <c r="L741" s="312"/>
      <c r="N741" s="297"/>
      <c r="O741" s="64"/>
    </row>
    <row r="742" spans="1:15" ht="15" customHeight="1" x14ac:dyDescent="0.2">
      <c r="A742" s="403"/>
      <c r="C742" s="404"/>
      <c r="E742" s="308"/>
      <c r="G742" s="297"/>
      <c r="H742" s="297"/>
      <c r="J742" s="297"/>
      <c r="L742" s="312"/>
      <c r="N742" s="297"/>
      <c r="O742" s="64"/>
    </row>
    <row r="743" spans="1:15" ht="15" customHeight="1" x14ac:dyDescent="0.2">
      <c r="A743" s="403"/>
      <c r="C743" s="404"/>
      <c r="E743" s="308"/>
      <c r="G743" s="297"/>
      <c r="H743" s="297"/>
      <c r="J743" s="297"/>
      <c r="L743" s="312"/>
      <c r="N743" s="297"/>
      <c r="O743" s="64"/>
    </row>
    <row r="744" spans="1:15" ht="15" customHeight="1" x14ac:dyDescent="0.2">
      <c r="A744" s="403"/>
      <c r="C744" s="404"/>
      <c r="E744" s="308"/>
      <c r="G744" s="297"/>
      <c r="H744" s="297"/>
      <c r="J744" s="297"/>
      <c r="L744" s="312"/>
      <c r="N744" s="297"/>
      <c r="O744" s="64"/>
    </row>
    <row r="745" spans="1:15" ht="15" customHeight="1" x14ac:dyDescent="0.2">
      <c r="A745" s="403"/>
      <c r="C745" s="404"/>
      <c r="E745" s="308"/>
      <c r="G745" s="297"/>
      <c r="H745" s="297"/>
      <c r="J745" s="297"/>
      <c r="L745" s="312"/>
      <c r="N745" s="297"/>
      <c r="O745" s="64"/>
    </row>
    <row r="746" spans="1:15" ht="15" customHeight="1" x14ac:dyDescent="0.2">
      <c r="A746" s="403"/>
      <c r="C746" s="404"/>
      <c r="E746" s="308"/>
      <c r="G746" s="297"/>
      <c r="H746" s="297"/>
      <c r="J746" s="297"/>
      <c r="L746" s="312"/>
      <c r="N746" s="297"/>
      <c r="O746" s="64"/>
    </row>
    <row r="747" spans="1:15" ht="15" customHeight="1" x14ac:dyDescent="0.2">
      <c r="A747" s="403"/>
      <c r="C747" s="404"/>
      <c r="E747" s="308"/>
      <c r="G747" s="297"/>
      <c r="H747" s="297"/>
      <c r="J747" s="297"/>
      <c r="L747" s="312"/>
      <c r="N747" s="297"/>
      <c r="O747" s="64"/>
    </row>
    <row r="748" spans="1:15" ht="15" customHeight="1" x14ac:dyDescent="0.2">
      <c r="A748" s="403"/>
      <c r="C748" s="404"/>
      <c r="E748" s="308"/>
      <c r="G748" s="297"/>
      <c r="H748" s="297"/>
      <c r="J748" s="297"/>
      <c r="L748" s="312"/>
      <c r="N748" s="297"/>
      <c r="O748" s="64"/>
    </row>
    <row r="749" spans="1:15" ht="15" customHeight="1" x14ac:dyDescent="0.2">
      <c r="A749" s="403"/>
      <c r="C749" s="404"/>
      <c r="E749" s="308"/>
      <c r="G749" s="297"/>
      <c r="H749" s="297"/>
      <c r="J749" s="297"/>
      <c r="L749" s="312"/>
      <c r="N749" s="297"/>
      <c r="O749" s="64"/>
    </row>
    <row r="750" spans="1:15" ht="15" customHeight="1" x14ac:dyDescent="0.2">
      <c r="A750" s="403"/>
      <c r="C750" s="404"/>
      <c r="E750" s="308"/>
      <c r="G750" s="297"/>
      <c r="H750" s="297"/>
      <c r="J750" s="297"/>
      <c r="L750" s="312"/>
      <c r="N750" s="297"/>
      <c r="O750" s="64"/>
    </row>
    <row r="751" spans="1:15" ht="15" customHeight="1" x14ac:dyDescent="0.2">
      <c r="A751" s="403"/>
      <c r="C751" s="404"/>
      <c r="E751" s="308"/>
      <c r="G751" s="297"/>
      <c r="H751" s="297"/>
      <c r="J751" s="297"/>
      <c r="L751" s="312"/>
      <c r="N751" s="297"/>
      <c r="O751" s="64"/>
    </row>
    <row r="752" spans="1:15" ht="15" customHeight="1" x14ac:dyDescent="0.2">
      <c r="A752" s="403"/>
      <c r="C752" s="404"/>
      <c r="E752" s="308"/>
      <c r="G752" s="297"/>
      <c r="H752" s="297"/>
      <c r="J752" s="297"/>
      <c r="L752" s="312"/>
      <c r="N752" s="297"/>
      <c r="O752" s="64"/>
    </row>
    <row r="753" spans="1:15" ht="15" customHeight="1" x14ac:dyDescent="0.2">
      <c r="A753" s="403"/>
      <c r="C753" s="404"/>
      <c r="E753" s="308"/>
      <c r="G753" s="297"/>
      <c r="H753" s="297"/>
      <c r="J753" s="297"/>
      <c r="L753" s="312"/>
      <c r="N753" s="297"/>
      <c r="O753" s="64"/>
    </row>
    <row r="754" spans="1:15" ht="15" customHeight="1" x14ac:dyDescent="0.2">
      <c r="A754" s="403"/>
      <c r="C754" s="404"/>
      <c r="E754" s="308"/>
      <c r="G754" s="297"/>
      <c r="H754" s="297"/>
      <c r="J754" s="297"/>
      <c r="L754" s="312"/>
      <c r="N754" s="297"/>
      <c r="O754" s="64"/>
    </row>
    <row r="755" spans="1:15" ht="15" customHeight="1" x14ac:dyDescent="0.2">
      <c r="A755" s="403"/>
      <c r="C755" s="404"/>
      <c r="E755" s="308"/>
      <c r="G755" s="297"/>
      <c r="H755" s="297"/>
      <c r="J755" s="297"/>
      <c r="L755" s="312"/>
      <c r="N755" s="297"/>
      <c r="O755" s="64"/>
    </row>
    <row r="756" spans="1:15" ht="15" customHeight="1" x14ac:dyDescent="0.2">
      <c r="A756" s="403"/>
      <c r="C756" s="404"/>
      <c r="E756" s="308"/>
      <c r="G756" s="297"/>
      <c r="H756" s="297"/>
      <c r="J756" s="297"/>
      <c r="L756" s="312"/>
      <c r="N756" s="297"/>
      <c r="O756" s="64"/>
    </row>
    <row r="757" spans="1:15" ht="15" customHeight="1" x14ac:dyDescent="0.2">
      <c r="A757" s="403"/>
      <c r="C757" s="404"/>
      <c r="E757" s="308"/>
      <c r="G757" s="297"/>
      <c r="H757" s="297"/>
      <c r="J757" s="297"/>
      <c r="L757" s="312"/>
      <c r="N757" s="297"/>
      <c r="O757" s="64"/>
    </row>
    <row r="758" spans="1:15" ht="15" customHeight="1" x14ac:dyDescent="0.2">
      <c r="A758" s="403"/>
      <c r="C758" s="404"/>
      <c r="E758" s="308"/>
      <c r="G758" s="297"/>
      <c r="H758" s="297"/>
      <c r="J758" s="297"/>
      <c r="L758" s="312"/>
      <c r="N758" s="297"/>
      <c r="O758" s="64"/>
    </row>
    <row r="759" spans="1:15" ht="15" customHeight="1" x14ac:dyDescent="0.2">
      <c r="A759" s="403"/>
      <c r="C759" s="404"/>
      <c r="E759" s="308"/>
      <c r="G759" s="297"/>
      <c r="H759" s="297"/>
      <c r="J759" s="297"/>
      <c r="L759" s="312"/>
      <c r="N759" s="297"/>
      <c r="O759" s="64"/>
    </row>
    <row r="760" spans="1:15" ht="15" customHeight="1" x14ac:dyDescent="0.2">
      <c r="A760" s="403"/>
      <c r="C760" s="404"/>
      <c r="E760" s="308"/>
      <c r="G760" s="297"/>
      <c r="H760" s="297"/>
      <c r="J760" s="297"/>
      <c r="L760" s="312"/>
      <c r="N760" s="297"/>
      <c r="O760" s="64"/>
    </row>
    <row r="761" spans="1:15" ht="15" customHeight="1" x14ac:dyDescent="0.2">
      <c r="A761" s="403"/>
      <c r="C761" s="404"/>
      <c r="E761" s="308"/>
      <c r="G761" s="297"/>
      <c r="H761" s="297"/>
      <c r="J761" s="297"/>
      <c r="L761" s="312"/>
      <c r="N761" s="297"/>
      <c r="O761" s="64"/>
    </row>
    <row r="762" spans="1:15" ht="15" customHeight="1" x14ac:dyDescent="0.2">
      <c r="A762" s="403"/>
      <c r="C762" s="404"/>
      <c r="E762" s="308"/>
      <c r="G762" s="297"/>
      <c r="H762" s="297"/>
      <c r="J762" s="297"/>
      <c r="L762" s="312"/>
      <c r="N762" s="297"/>
      <c r="O762" s="64"/>
    </row>
    <row r="763" spans="1:15" ht="15" customHeight="1" x14ac:dyDescent="0.2">
      <c r="A763" s="403"/>
      <c r="C763" s="404"/>
      <c r="E763" s="308"/>
      <c r="G763" s="297"/>
      <c r="H763" s="297"/>
      <c r="J763" s="297"/>
      <c r="L763" s="312"/>
      <c r="N763" s="297"/>
      <c r="O763" s="64"/>
    </row>
    <row r="764" spans="1:15" ht="15" customHeight="1" x14ac:dyDescent="0.2">
      <c r="A764" s="403"/>
      <c r="C764" s="404"/>
      <c r="E764" s="308"/>
      <c r="G764" s="297"/>
      <c r="H764" s="297"/>
      <c r="J764" s="297"/>
      <c r="L764" s="312"/>
      <c r="N764" s="297"/>
      <c r="O764" s="64"/>
    </row>
    <row r="765" spans="1:15" ht="15" customHeight="1" x14ac:dyDescent="0.2">
      <c r="A765" s="403"/>
      <c r="C765" s="404"/>
      <c r="E765" s="308"/>
      <c r="G765" s="297"/>
      <c r="H765" s="297"/>
      <c r="J765" s="297"/>
      <c r="L765" s="312"/>
      <c r="N765" s="297"/>
      <c r="O765" s="64"/>
    </row>
    <row r="766" spans="1:15" ht="15" customHeight="1" x14ac:dyDescent="0.2">
      <c r="A766" s="403"/>
      <c r="C766" s="404"/>
      <c r="E766" s="308"/>
      <c r="G766" s="297"/>
      <c r="H766" s="297"/>
      <c r="J766" s="297"/>
      <c r="L766" s="312"/>
      <c r="N766" s="297"/>
      <c r="O766" s="64"/>
    </row>
    <row r="767" spans="1:15" ht="15" customHeight="1" x14ac:dyDescent="0.2">
      <c r="A767" s="403"/>
      <c r="C767" s="404"/>
      <c r="E767" s="308"/>
      <c r="G767" s="297"/>
      <c r="H767" s="297"/>
      <c r="J767" s="297"/>
      <c r="L767" s="312"/>
      <c r="N767" s="297"/>
      <c r="O767" s="64"/>
    </row>
    <row r="768" spans="1:15" ht="15" customHeight="1" x14ac:dyDescent="0.2">
      <c r="A768" s="403"/>
      <c r="C768" s="404"/>
      <c r="E768" s="308"/>
      <c r="G768" s="297"/>
      <c r="H768" s="297"/>
      <c r="J768" s="297"/>
      <c r="L768" s="312"/>
      <c r="N768" s="297"/>
      <c r="O768" s="64"/>
    </row>
    <row r="769" spans="1:15" ht="15" customHeight="1" x14ac:dyDescent="0.2">
      <c r="A769" s="403"/>
      <c r="C769" s="404"/>
      <c r="E769" s="308"/>
      <c r="G769" s="297"/>
      <c r="H769" s="297"/>
      <c r="J769" s="297"/>
      <c r="L769" s="312"/>
      <c r="N769" s="297"/>
      <c r="O769" s="64"/>
    </row>
    <row r="770" spans="1:15" ht="15" customHeight="1" x14ac:dyDescent="0.2">
      <c r="A770" s="403"/>
      <c r="C770" s="404"/>
      <c r="E770" s="308"/>
      <c r="G770" s="297"/>
      <c r="H770" s="297"/>
      <c r="J770" s="297"/>
      <c r="L770" s="312"/>
      <c r="N770" s="297"/>
      <c r="O770" s="64"/>
    </row>
    <row r="771" spans="1:15" ht="15" customHeight="1" x14ac:dyDescent="0.2">
      <c r="A771" s="403"/>
      <c r="C771" s="404"/>
      <c r="E771" s="308"/>
      <c r="G771" s="297"/>
      <c r="H771" s="297"/>
      <c r="J771" s="297"/>
      <c r="L771" s="312"/>
      <c r="N771" s="297"/>
      <c r="O771" s="64"/>
    </row>
    <row r="772" spans="1:15" ht="15" customHeight="1" x14ac:dyDescent="0.2">
      <c r="A772" s="403"/>
      <c r="C772" s="404"/>
      <c r="E772" s="308"/>
      <c r="G772" s="297"/>
      <c r="H772" s="297"/>
      <c r="J772" s="297"/>
      <c r="L772" s="312"/>
      <c r="N772" s="297"/>
      <c r="O772" s="64"/>
    </row>
    <row r="773" spans="1:15" ht="15" customHeight="1" x14ac:dyDescent="0.2">
      <c r="A773" s="403"/>
      <c r="C773" s="404"/>
      <c r="E773" s="308"/>
      <c r="G773" s="297"/>
      <c r="H773" s="297"/>
      <c r="J773" s="297"/>
      <c r="L773" s="312"/>
      <c r="N773" s="297"/>
      <c r="O773" s="64"/>
    </row>
    <row r="774" spans="1:15" ht="15" customHeight="1" x14ac:dyDescent="0.2">
      <c r="A774" s="403"/>
      <c r="C774" s="404"/>
      <c r="E774" s="308"/>
      <c r="G774" s="297"/>
      <c r="H774" s="297"/>
      <c r="J774" s="297"/>
      <c r="L774" s="312"/>
      <c r="N774" s="297"/>
      <c r="O774" s="64"/>
    </row>
    <row r="775" spans="1:15" ht="15" customHeight="1" x14ac:dyDescent="0.2">
      <c r="A775" s="403"/>
      <c r="C775" s="404"/>
      <c r="E775" s="308"/>
      <c r="G775" s="297"/>
      <c r="H775" s="297"/>
      <c r="J775" s="297"/>
      <c r="L775" s="312"/>
      <c r="N775" s="297"/>
      <c r="O775" s="64"/>
    </row>
    <row r="776" spans="1:15" ht="15" customHeight="1" x14ac:dyDescent="0.2">
      <c r="A776" s="403"/>
      <c r="C776" s="404"/>
      <c r="E776" s="308"/>
      <c r="G776" s="297"/>
      <c r="H776" s="297"/>
      <c r="J776" s="297"/>
      <c r="L776" s="312"/>
      <c r="N776" s="297"/>
      <c r="O776" s="64"/>
    </row>
    <row r="777" spans="1:15" ht="15" customHeight="1" x14ac:dyDescent="0.2">
      <c r="A777" s="403"/>
      <c r="C777" s="404"/>
      <c r="E777" s="308"/>
      <c r="G777" s="297"/>
      <c r="H777" s="297"/>
      <c r="J777" s="297"/>
      <c r="L777" s="312"/>
      <c r="N777" s="297"/>
      <c r="O777" s="64"/>
    </row>
    <row r="778" spans="1:15" ht="15" customHeight="1" x14ac:dyDescent="0.2">
      <c r="A778" s="403"/>
      <c r="C778" s="404"/>
      <c r="E778" s="308"/>
      <c r="G778" s="297"/>
      <c r="H778" s="297"/>
      <c r="J778" s="297"/>
      <c r="L778" s="312"/>
      <c r="N778" s="297"/>
      <c r="O778" s="64"/>
    </row>
    <row r="779" spans="1:15" ht="15" customHeight="1" x14ac:dyDescent="0.2">
      <c r="A779" s="403"/>
      <c r="C779" s="404"/>
      <c r="E779" s="308"/>
      <c r="G779" s="297"/>
      <c r="H779" s="297"/>
      <c r="J779" s="297"/>
      <c r="L779" s="312"/>
      <c r="N779" s="297"/>
      <c r="O779" s="64"/>
    </row>
    <row r="780" spans="1:15" ht="15" customHeight="1" x14ac:dyDescent="0.2">
      <c r="A780" s="403"/>
      <c r="C780" s="404"/>
      <c r="E780" s="308"/>
      <c r="G780" s="297"/>
      <c r="H780" s="297"/>
      <c r="J780" s="297"/>
      <c r="L780" s="312"/>
      <c r="N780" s="297"/>
      <c r="O780" s="64"/>
    </row>
    <row r="781" spans="1:15" ht="15" customHeight="1" x14ac:dyDescent="0.2">
      <c r="A781" s="403"/>
      <c r="C781" s="404"/>
      <c r="E781" s="308"/>
      <c r="G781" s="297"/>
      <c r="H781" s="297"/>
      <c r="J781" s="297"/>
      <c r="L781" s="312"/>
      <c r="N781" s="297"/>
      <c r="O781" s="64"/>
    </row>
    <row r="782" spans="1:15" ht="15" customHeight="1" x14ac:dyDescent="0.2">
      <c r="A782" s="403"/>
      <c r="C782" s="404"/>
      <c r="E782" s="308"/>
      <c r="G782" s="297"/>
      <c r="H782" s="297"/>
      <c r="J782" s="297"/>
      <c r="L782" s="312"/>
      <c r="N782" s="297"/>
      <c r="O782" s="64"/>
    </row>
    <row r="783" spans="1:15" ht="15" customHeight="1" x14ac:dyDescent="0.2">
      <c r="A783" s="403"/>
      <c r="C783" s="404"/>
      <c r="E783" s="308"/>
      <c r="G783" s="297"/>
      <c r="H783" s="297"/>
      <c r="J783" s="297"/>
      <c r="L783" s="312"/>
      <c r="N783" s="297"/>
      <c r="O783" s="64"/>
    </row>
    <row r="784" spans="1:15" ht="15" customHeight="1" x14ac:dyDescent="0.2">
      <c r="A784" s="403"/>
      <c r="C784" s="404"/>
      <c r="E784" s="308"/>
      <c r="G784" s="297"/>
      <c r="H784" s="297"/>
      <c r="J784" s="297"/>
      <c r="L784" s="312"/>
      <c r="N784" s="297"/>
      <c r="O784" s="64"/>
    </row>
    <row r="785" spans="1:15" ht="15" customHeight="1" x14ac:dyDescent="0.2">
      <c r="A785" s="403"/>
      <c r="C785" s="404"/>
      <c r="E785" s="308"/>
      <c r="G785" s="297"/>
      <c r="H785" s="297"/>
      <c r="J785" s="297"/>
      <c r="L785" s="312"/>
      <c r="N785" s="297"/>
      <c r="O785" s="64"/>
    </row>
    <row r="786" spans="1:15" ht="15" customHeight="1" x14ac:dyDescent="0.2">
      <c r="A786" s="403"/>
      <c r="C786" s="404"/>
      <c r="E786" s="308"/>
      <c r="G786" s="297"/>
      <c r="H786" s="297"/>
      <c r="J786" s="297"/>
      <c r="L786" s="312"/>
      <c r="N786" s="297"/>
      <c r="O786" s="64"/>
    </row>
    <row r="787" spans="1:15" ht="15" customHeight="1" x14ac:dyDescent="0.2">
      <c r="A787" s="403"/>
      <c r="C787" s="404"/>
      <c r="E787" s="308"/>
      <c r="G787" s="297"/>
      <c r="H787" s="297"/>
      <c r="J787" s="297"/>
      <c r="L787" s="312"/>
      <c r="N787" s="297"/>
      <c r="O787" s="64"/>
    </row>
    <row r="788" spans="1:15" ht="15" customHeight="1" x14ac:dyDescent="0.2">
      <c r="A788" s="403"/>
      <c r="C788" s="404"/>
      <c r="E788" s="308"/>
      <c r="G788" s="297"/>
      <c r="H788" s="297"/>
      <c r="J788" s="297"/>
      <c r="L788" s="312"/>
      <c r="N788" s="297"/>
      <c r="O788" s="64"/>
    </row>
    <row r="789" spans="1:15" ht="15" customHeight="1" x14ac:dyDescent="0.2">
      <c r="A789" s="403"/>
      <c r="C789" s="404"/>
      <c r="E789" s="308"/>
      <c r="G789" s="297"/>
      <c r="H789" s="297"/>
      <c r="J789" s="297"/>
      <c r="L789" s="312"/>
      <c r="N789" s="297"/>
      <c r="O789" s="64"/>
    </row>
    <row r="790" spans="1:15" ht="15" customHeight="1" x14ac:dyDescent="0.2">
      <c r="A790" s="403"/>
      <c r="C790" s="404"/>
      <c r="E790" s="308"/>
      <c r="G790" s="297"/>
      <c r="H790" s="297"/>
      <c r="J790" s="297"/>
      <c r="L790" s="312"/>
      <c r="N790" s="297"/>
      <c r="O790" s="64"/>
    </row>
    <row r="791" spans="1:15" ht="15" customHeight="1" x14ac:dyDescent="0.2">
      <c r="A791" s="403"/>
      <c r="C791" s="404"/>
      <c r="E791" s="308"/>
      <c r="G791" s="297"/>
      <c r="H791" s="297"/>
      <c r="J791" s="297"/>
      <c r="L791" s="312"/>
      <c r="N791" s="297"/>
      <c r="O791" s="64"/>
    </row>
    <row r="792" spans="1:15" ht="15" customHeight="1" x14ac:dyDescent="0.2">
      <c r="A792" s="403"/>
      <c r="C792" s="404"/>
      <c r="E792" s="308"/>
      <c r="G792" s="297"/>
      <c r="H792" s="297"/>
      <c r="J792" s="297"/>
      <c r="L792" s="312"/>
      <c r="N792" s="297"/>
      <c r="O792" s="64"/>
    </row>
    <row r="793" spans="1:15" ht="15" customHeight="1" x14ac:dyDescent="0.2">
      <c r="A793" s="403"/>
      <c r="C793" s="404"/>
      <c r="E793" s="308"/>
      <c r="G793" s="297"/>
      <c r="H793" s="297"/>
      <c r="J793" s="297"/>
      <c r="L793" s="312"/>
      <c r="N793" s="297"/>
      <c r="O793" s="64"/>
    </row>
    <row r="794" spans="1:15" ht="15" customHeight="1" x14ac:dyDescent="0.2">
      <c r="A794" s="403"/>
      <c r="C794" s="404"/>
      <c r="E794" s="308"/>
      <c r="G794" s="297"/>
      <c r="H794" s="297"/>
      <c r="J794" s="297"/>
      <c r="L794" s="312"/>
      <c r="N794" s="297"/>
      <c r="O794" s="64"/>
    </row>
    <row r="795" spans="1:15" ht="15" customHeight="1" x14ac:dyDescent="0.2">
      <c r="A795" s="403"/>
      <c r="C795" s="404"/>
      <c r="E795" s="308"/>
      <c r="G795" s="297"/>
      <c r="H795" s="297"/>
      <c r="J795" s="297"/>
      <c r="L795" s="312"/>
      <c r="N795" s="297"/>
      <c r="O795" s="64"/>
    </row>
    <row r="796" spans="1:15" ht="15" customHeight="1" x14ac:dyDescent="0.2">
      <c r="A796" s="403"/>
      <c r="C796" s="404"/>
      <c r="E796" s="308"/>
      <c r="G796" s="297"/>
      <c r="H796" s="297"/>
      <c r="J796" s="297"/>
      <c r="L796" s="312"/>
      <c r="N796" s="297"/>
      <c r="O796" s="64"/>
    </row>
    <row r="797" spans="1:15" ht="15" customHeight="1" x14ac:dyDescent="0.2">
      <c r="A797" s="403"/>
      <c r="C797" s="404"/>
      <c r="E797" s="308"/>
      <c r="G797" s="297"/>
      <c r="H797" s="297"/>
      <c r="J797" s="297"/>
      <c r="L797" s="312"/>
      <c r="N797" s="297"/>
      <c r="O797" s="64"/>
    </row>
    <row r="798" spans="1:15" ht="15" customHeight="1" x14ac:dyDescent="0.2">
      <c r="A798" s="403"/>
      <c r="C798" s="404"/>
      <c r="E798" s="308"/>
      <c r="G798" s="297"/>
      <c r="H798" s="297"/>
      <c r="J798" s="297"/>
      <c r="L798" s="312"/>
      <c r="N798" s="297"/>
      <c r="O798" s="64"/>
    </row>
    <row r="799" spans="1:15" ht="15" customHeight="1" x14ac:dyDescent="0.2">
      <c r="A799" s="403"/>
      <c r="C799" s="404"/>
      <c r="E799" s="308"/>
      <c r="G799" s="297"/>
      <c r="H799" s="297"/>
      <c r="J799" s="297"/>
      <c r="L799" s="312"/>
      <c r="N799" s="297"/>
      <c r="O799" s="64"/>
    </row>
    <row r="800" spans="1:15" ht="15" customHeight="1" x14ac:dyDescent="0.2">
      <c r="A800" s="403"/>
      <c r="C800" s="404"/>
      <c r="E800" s="308"/>
      <c r="G800" s="297"/>
      <c r="H800" s="297"/>
      <c r="J800" s="297"/>
      <c r="L800" s="312"/>
      <c r="N800" s="297"/>
      <c r="O800" s="64"/>
    </row>
    <row r="801" spans="1:15" ht="15" customHeight="1" x14ac:dyDescent="0.2">
      <c r="A801" s="403"/>
      <c r="C801" s="404"/>
      <c r="E801" s="308"/>
      <c r="G801" s="297"/>
      <c r="H801" s="297"/>
      <c r="J801" s="297"/>
      <c r="L801" s="312"/>
      <c r="N801" s="297"/>
      <c r="O801" s="64"/>
    </row>
    <row r="802" spans="1:15" ht="15" customHeight="1" x14ac:dyDescent="0.2">
      <c r="A802" s="403"/>
      <c r="C802" s="404"/>
      <c r="E802" s="308"/>
      <c r="G802" s="297"/>
      <c r="H802" s="297"/>
      <c r="J802" s="297"/>
      <c r="L802" s="312"/>
      <c r="N802" s="297"/>
      <c r="O802" s="64"/>
    </row>
    <row r="803" spans="1:15" ht="15" customHeight="1" x14ac:dyDescent="0.2">
      <c r="A803" s="403"/>
      <c r="C803" s="404"/>
      <c r="E803" s="308"/>
      <c r="G803" s="297"/>
      <c r="H803" s="297"/>
      <c r="J803" s="297"/>
      <c r="L803" s="312"/>
      <c r="N803" s="297"/>
      <c r="O803" s="64"/>
    </row>
    <row r="804" spans="1:15" ht="15" customHeight="1" x14ac:dyDescent="0.2">
      <c r="A804" s="403"/>
      <c r="C804" s="404"/>
      <c r="E804" s="308"/>
      <c r="G804" s="297"/>
      <c r="H804" s="297"/>
      <c r="J804" s="297"/>
      <c r="L804" s="312"/>
      <c r="N804" s="297"/>
      <c r="O804" s="64"/>
    </row>
    <row r="805" spans="1:15" ht="15" customHeight="1" x14ac:dyDescent="0.2">
      <c r="A805" s="403"/>
      <c r="C805" s="404"/>
      <c r="E805" s="308"/>
      <c r="G805" s="297"/>
      <c r="H805" s="297"/>
      <c r="J805" s="297"/>
      <c r="L805" s="312"/>
      <c r="N805" s="297"/>
      <c r="O805" s="64"/>
    </row>
    <row r="806" spans="1:15" ht="15" customHeight="1" x14ac:dyDescent="0.2">
      <c r="A806" s="403"/>
      <c r="C806" s="404"/>
      <c r="E806" s="308"/>
      <c r="G806" s="297"/>
      <c r="H806" s="297"/>
      <c r="J806" s="297"/>
      <c r="L806" s="312"/>
      <c r="N806" s="297"/>
      <c r="O806" s="64"/>
    </row>
    <row r="807" spans="1:15" ht="15" customHeight="1" x14ac:dyDescent="0.2">
      <c r="A807" s="403"/>
      <c r="C807" s="404"/>
      <c r="E807" s="308"/>
      <c r="G807" s="297"/>
      <c r="H807" s="297"/>
      <c r="J807" s="297"/>
      <c r="L807" s="312"/>
      <c r="N807" s="297"/>
      <c r="O807" s="64"/>
    </row>
    <row r="808" spans="1:15" ht="15" customHeight="1" x14ac:dyDescent="0.2">
      <c r="A808" s="403"/>
      <c r="C808" s="404"/>
      <c r="E808" s="308"/>
      <c r="G808" s="297"/>
      <c r="H808" s="297"/>
      <c r="J808" s="297"/>
      <c r="L808" s="312"/>
      <c r="N808" s="297"/>
      <c r="O808" s="64"/>
    </row>
    <row r="809" spans="1:15" ht="15" customHeight="1" x14ac:dyDescent="0.2">
      <c r="A809" s="403"/>
      <c r="C809" s="404"/>
      <c r="E809" s="308"/>
      <c r="G809" s="297"/>
      <c r="H809" s="297"/>
      <c r="J809" s="297"/>
      <c r="L809" s="312"/>
      <c r="N809" s="297"/>
      <c r="O809" s="64"/>
    </row>
    <row r="810" spans="1:15" ht="15" customHeight="1" x14ac:dyDescent="0.2">
      <c r="A810" s="403"/>
      <c r="C810" s="404"/>
      <c r="E810" s="308"/>
      <c r="G810" s="297"/>
      <c r="H810" s="297"/>
      <c r="J810" s="297"/>
      <c r="L810" s="312"/>
      <c r="N810" s="297"/>
      <c r="O810" s="64"/>
    </row>
    <row r="811" spans="1:15" ht="15" customHeight="1" x14ac:dyDescent="0.2">
      <c r="A811" s="403"/>
      <c r="C811" s="404"/>
      <c r="E811" s="308"/>
      <c r="G811" s="297"/>
      <c r="H811" s="297"/>
      <c r="J811" s="297"/>
      <c r="L811" s="312"/>
      <c r="N811" s="297"/>
      <c r="O811" s="64"/>
    </row>
    <row r="812" spans="1:15" ht="15" customHeight="1" x14ac:dyDescent="0.2">
      <c r="A812" s="403"/>
      <c r="C812" s="404"/>
      <c r="E812" s="308"/>
      <c r="G812" s="297"/>
      <c r="H812" s="297"/>
      <c r="J812" s="297"/>
      <c r="L812" s="312"/>
      <c r="N812" s="297"/>
      <c r="O812" s="64"/>
    </row>
    <row r="813" spans="1:15" ht="15" customHeight="1" x14ac:dyDescent="0.2">
      <c r="A813" s="403"/>
      <c r="C813" s="404"/>
      <c r="E813" s="308"/>
      <c r="G813" s="297"/>
      <c r="H813" s="297"/>
      <c r="J813" s="297"/>
      <c r="L813" s="312"/>
      <c r="N813" s="297"/>
      <c r="O813" s="64"/>
    </row>
    <row r="814" spans="1:15" ht="15" customHeight="1" x14ac:dyDescent="0.2">
      <c r="A814" s="403"/>
      <c r="C814" s="404"/>
      <c r="E814" s="308"/>
      <c r="G814" s="297"/>
      <c r="H814" s="297"/>
      <c r="J814" s="297"/>
      <c r="L814" s="312"/>
      <c r="N814" s="297"/>
      <c r="O814" s="64"/>
    </row>
    <row r="815" spans="1:15" ht="15" customHeight="1" x14ac:dyDescent="0.2">
      <c r="A815" s="403"/>
      <c r="C815" s="404"/>
      <c r="E815" s="308"/>
      <c r="G815" s="297"/>
      <c r="H815" s="297"/>
      <c r="J815" s="297"/>
      <c r="L815" s="312"/>
      <c r="N815" s="297"/>
      <c r="O815" s="64"/>
    </row>
    <row r="816" spans="1:15" ht="15" customHeight="1" x14ac:dyDescent="0.2">
      <c r="A816" s="403"/>
      <c r="C816" s="404"/>
      <c r="E816" s="308"/>
      <c r="G816" s="297"/>
      <c r="H816" s="297"/>
      <c r="J816" s="297"/>
      <c r="L816" s="312"/>
      <c r="N816" s="297"/>
      <c r="O816" s="64"/>
    </row>
    <row r="817" spans="1:15" ht="15" customHeight="1" x14ac:dyDescent="0.2">
      <c r="A817" s="403"/>
      <c r="C817" s="404"/>
      <c r="E817" s="308"/>
      <c r="G817" s="297"/>
      <c r="H817" s="297"/>
      <c r="J817" s="297"/>
      <c r="L817" s="312"/>
      <c r="N817" s="297"/>
      <c r="O817" s="64"/>
    </row>
    <row r="818" spans="1:15" ht="15" customHeight="1" x14ac:dyDescent="0.2">
      <c r="A818" s="403"/>
      <c r="C818" s="404"/>
      <c r="E818" s="308"/>
      <c r="G818" s="297"/>
      <c r="H818" s="297"/>
      <c r="J818" s="297"/>
      <c r="L818" s="312"/>
      <c r="N818" s="297"/>
      <c r="O818" s="64"/>
    </row>
    <row r="819" spans="1:15" ht="15" customHeight="1" x14ac:dyDescent="0.2">
      <c r="A819" s="403"/>
      <c r="C819" s="404"/>
      <c r="E819" s="308"/>
      <c r="G819" s="297"/>
      <c r="H819" s="297"/>
      <c r="J819" s="297"/>
      <c r="L819" s="312"/>
      <c r="N819" s="297"/>
      <c r="O819" s="64"/>
    </row>
    <row r="820" spans="1:15" ht="15" customHeight="1" x14ac:dyDescent="0.2">
      <c r="A820" s="403"/>
      <c r="C820" s="404"/>
      <c r="E820" s="308"/>
      <c r="G820" s="297"/>
      <c r="H820" s="297"/>
      <c r="J820" s="297"/>
      <c r="L820" s="312"/>
      <c r="N820" s="297"/>
      <c r="O820" s="64"/>
    </row>
    <row r="821" spans="1:15" ht="15" customHeight="1" x14ac:dyDescent="0.2">
      <c r="A821" s="403"/>
      <c r="C821" s="404"/>
      <c r="E821" s="308"/>
      <c r="G821" s="297"/>
      <c r="H821" s="297"/>
      <c r="J821" s="297"/>
      <c r="L821" s="312"/>
      <c r="N821" s="297"/>
      <c r="O821" s="64"/>
    </row>
    <row r="822" spans="1:15" ht="15" customHeight="1" x14ac:dyDescent="0.2">
      <c r="A822" s="403"/>
      <c r="C822" s="404"/>
      <c r="E822" s="308"/>
      <c r="G822" s="297"/>
      <c r="H822" s="297"/>
      <c r="J822" s="297"/>
      <c r="L822" s="312"/>
      <c r="N822" s="297"/>
      <c r="O822" s="64"/>
    </row>
    <row r="823" spans="1:15" ht="15" customHeight="1" x14ac:dyDescent="0.2">
      <c r="A823" s="403"/>
      <c r="C823" s="404"/>
      <c r="E823" s="308"/>
      <c r="G823" s="297"/>
      <c r="H823" s="297"/>
      <c r="J823" s="297"/>
      <c r="L823" s="312"/>
      <c r="N823" s="297"/>
      <c r="O823" s="64"/>
    </row>
    <row r="824" spans="1:15" ht="15" customHeight="1" x14ac:dyDescent="0.2">
      <c r="A824" s="403"/>
      <c r="C824" s="404"/>
      <c r="E824" s="308"/>
      <c r="G824" s="297"/>
      <c r="H824" s="297"/>
      <c r="J824" s="297"/>
      <c r="L824" s="312"/>
      <c r="N824" s="297"/>
      <c r="O824" s="64"/>
    </row>
    <row r="825" spans="1:15" ht="15" customHeight="1" x14ac:dyDescent="0.2">
      <c r="A825" s="403"/>
      <c r="C825" s="404"/>
      <c r="E825" s="308"/>
      <c r="G825" s="297"/>
      <c r="H825" s="297"/>
      <c r="J825" s="297"/>
      <c r="L825" s="312"/>
      <c r="N825" s="297"/>
      <c r="O825" s="64"/>
    </row>
    <row r="826" spans="1:15" ht="15" customHeight="1" x14ac:dyDescent="0.2">
      <c r="A826" s="403"/>
      <c r="C826" s="404"/>
      <c r="E826" s="308"/>
      <c r="G826" s="297"/>
      <c r="H826" s="297"/>
      <c r="J826" s="297"/>
      <c r="L826" s="312"/>
      <c r="N826" s="297"/>
      <c r="O826" s="64"/>
    </row>
    <row r="827" spans="1:15" ht="15" customHeight="1" x14ac:dyDescent="0.2">
      <c r="A827" s="403"/>
      <c r="C827" s="404"/>
      <c r="E827" s="308"/>
      <c r="G827" s="297"/>
      <c r="H827" s="297"/>
      <c r="J827" s="297"/>
      <c r="L827" s="312"/>
      <c r="N827" s="297"/>
      <c r="O827" s="64"/>
    </row>
    <row r="828" spans="1:15" ht="15" customHeight="1" x14ac:dyDescent="0.2">
      <c r="A828" s="403"/>
      <c r="C828" s="404"/>
      <c r="E828" s="308"/>
      <c r="G828" s="297"/>
      <c r="H828" s="297"/>
      <c r="J828" s="297"/>
      <c r="L828" s="312"/>
      <c r="N828" s="297"/>
      <c r="O828" s="64"/>
    </row>
    <row r="829" spans="1:15" ht="15" customHeight="1" x14ac:dyDescent="0.2">
      <c r="A829" s="403"/>
      <c r="C829" s="404"/>
      <c r="E829" s="308"/>
      <c r="G829" s="297"/>
      <c r="H829" s="297"/>
      <c r="J829" s="297"/>
      <c r="L829" s="312"/>
      <c r="N829" s="297"/>
      <c r="O829" s="64"/>
    </row>
    <row r="830" spans="1:15" ht="15" customHeight="1" x14ac:dyDescent="0.2">
      <c r="A830" s="403"/>
      <c r="C830" s="404"/>
      <c r="E830" s="308"/>
      <c r="G830" s="297"/>
      <c r="H830" s="297"/>
      <c r="J830" s="297"/>
      <c r="L830" s="312"/>
      <c r="N830" s="297"/>
      <c r="O830" s="64"/>
    </row>
    <row r="831" spans="1:15" ht="15" customHeight="1" x14ac:dyDescent="0.2">
      <c r="A831" s="403"/>
      <c r="C831" s="404"/>
      <c r="E831" s="308"/>
      <c r="G831" s="297"/>
      <c r="H831" s="297"/>
      <c r="J831" s="297"/>
      <c r="L831" s="312"/>
      <c r="N831" s="297"/>
      <c r="O831" s="64"/>
    </row>
    <row r="832" spans="1:15" ht="15" customHeight="1" x14ac:dyDescent="0.2">
      <c r="A832" s="403"/>
      <c r="C832" s="404"/>
      <c r="E832" s="308"/>
      <c r="G832" s="297"/>
      <c r="H832" s="297"/>
      <c r="J832" s="297"/>
      <c r="L832" s="312"/>
      <c r="N832" s="297"/>
      <c r="O832" s="64"/>
    </row>
    <row r="833" spans="1:15" ht="15" customHeight="1" x14ac:dyDescent="0.2">
      <c r="A833" s="403"/>
      <c r="C833" s="404"/>
      <c r="E833" s="308"/>
      <c r="G833" s="297"/>
      <c r="H833" s="297"/>
      <c r="J833" s="297"/>
      <c r="L833" s="312"/>
      <c r="N833" s="297"/>
      <c r="O833" s="64"/>
    </row>
    <row r="834" spans="1:15" ht="15" customHeight="1" x14ac:dyDescent="0.2">
      <c r="A834" s="403"/>
      <c r="C834" s="404"/>
      <c r="E834" s="308"/>
      <c r="G834" s="297"/>
      <c r="H834" s="297"/>
      <c r="J834" s="297"/>
      <c r="L834" s="312"/>
      <c r="N834" s="297"/>
      <c r="O834" s="64"/>
    </row>
    <row r="835" spans="1:15" ht="15" customHeight="1" x14ac:dyDescent="0.2">
      <c r="A835" s="403"/>
      <c r="C835" s="404"/>
      <c r="E835" s="308"/>
      <c r="G835" s="297"/>
      <c r="H835" s="297"/>
      <c r="J835" s="297"/>
      <c r="L835" s="312"/>
      <c r="N835" s="297"/>
      <c r="O835" s="64"/>
    </row>
    <row r="836" spans="1:15" ht="15" customHeight="1" x14ac:dyDescent="0.2">
      <c r="A836" s="403"/>
      <c r="C836" s="404"/>
      <c r="E836" s="308"/>
      <c r="G836" s="297"/>
      <c r="H836" s="297"/>
      <c r="J836" s="297"/>
      <c r="L836" s="312"/>
      <c r="N836" s="297"/>
      <c r="O836" s="64"/>
    </row>
    <row r="837" spans="1:15" ht="15" customHeight="1" x14ac:dyDescent="0.2">
      <c r="A837" s="403"/>
      <c r="C837" s="404"/>
      <c r="E837" s="308"/>
      <c r="G837" s="297"/>
      <c r="H837" s="297"/>
      <c r="J837" s="297"/>
      <c r="L837" s="312"/>
      <c r="N837" s="297"/>
      <c r="O837" s="64"/>
    </row>
    <row r="838" spans="1:15" ht="15" customHeight="1" x14ac:dyDescent="0.2">
      <c r="A838" s="403"/>
      <c r="C838" s="404"/>
      <c r="E838" s="308"/>
      <c r="G838" s="297"/>
      <c r="H838" s="297"/>
      <c r="J838" s="297"/>
      <c r="L838" s="312"/>
      <c r="N838" s="297"/>
      <c r="O838" s="64"/>
    </row>
    <row r="839" spans="1:15" ht="15" customHeight="1" x14ac:dyDescent="0.2">
      <c r="A839" s="403"/>
      <c r="C839" s="404"/>
      <c r="E839" s="308"/>
      <c r="G839" s="297"/>
      <c r="H839" s="297"/>
      <c r="J839" s="297"/>
      <c r="L839" s="312"/>
      <c r="N839" s="297"/>
      <c r="O839" s="64"/>
    </row>
    <row r="840" spans="1:15" ht="15" customHeight="1" x14ac:dyDescent="0.2">
      <c r="A840" s="403"/>
      <c r="C840" s="404"/>
      <c r="E840" s="308"/>
      <c r="G840" s="297"/>
      <c r="H840" s="297"/>
      <c r="J840" s="297"/>
      <c r="L840" s="312"/>
      <c r="N840" s="297"/>
      <c r="O840" s="64"/>
    </row>
    <row r="841" spans="1:15" ht="15" customHeight="1" x14ac:dyDescent="0.2">
      <c r="A841" s="403"/>
      <c r="C841" s="404"/>
      <c r="E841" s="308"/>
      <c r="G841" s="297"/>
      <c r="H841" s="297"/>
      <c r="J841" s="297"/>
      <c r="L841" s="312"/>
      <c r="N841" s="297"/>
      <c r="O841" s="64"/>
    </row>
    <row r="842" spans="1:15" ht="15" customHeight="1" x14ac:dyDescent="0.2">
      <c r="A842" s="403"/>
      <c r="C842" s="404"/>
      <c r="E842" s="308"/>
      <c r="G842" s="297"/>
      <c r="H842" s="297"/>
      <c r="J842" s="297"/>
      <c r="L842" s="312"/>
      <c r="N842" s="297"/>
      <c r="O842" s="64"/>
    </row>
    <row r="843" spans="1:15" ht="15" customHeight="1" x14ac:dyDescent="0.2">
      <c r="A843" s="403"/>
      <c r="C843" s="404"/>
      <c r="E843" s="308"/>
      <c r="G843" s="297"/>
      <c r="H843" s="297"/>
      <c r="J843" s="297"/>
      <c r="L843" s="312"/>
      <c r="N843" s="297"/>
      <c r="O843" s="64"/>
    </row>
    <row r="844" spans="1:15" ht="15" customHeight="1" x14ac:dyDescent="0.2">
      <c r="A844" s="403"/>
      <c r="C844" s="404"/>
      <c r="E844" s="308"/>
      <c r="G844" s="297"/>
      <c r="H844" s="297"/>
      <c r="J844" s="297"/>
      <c r="L844" s="312"/>
      <c r="N844" s="297"/>
      <c r="O844" s="64"/>
    </row>
    <row r="845" spans="1:15" ht="15" customHeight="1" x14ac:dyDescent="0.2">
      <c r="A845" s="403"/>
      <c r="C845" s="404"/>
      <c r="E845" s="308"/>
      <c r="G845" s="297"/>
      <c r="H845" s="297"/>
      <c r="J845" s="297"/>
      <c r="L845" s="312"/>
      <c r="N845" s="297"/>
      <c r="O845" s="64"/>
    </row>
    <row r="846" spans="1:15" ht="15" customHeight="1" x14ac:dyDescent="0.2">
      <c r="A846" s="403"/>
      <c r="C846" s="404"/>
      <c r="E846" s="308"/>
      <c r="G846" s="297"/>
      <c r="H846" s="297"/>
      <c r="J846" s="297"/>
      <c r="L846" s="312"/>
      <c r="N846" s="297"/>
      <c r="O846" s="64"/>
    </row>
    <row r="847" spans="1:15" ht="15" customHeight="1" x14ac:dyDescent="0.2">
      <c r="A847" s="403"/>
      <c r="C847" s="404"/>
      <c r="E847" s="308"/>
      <c r="G847" s="297"/>
      <c r="H847" s="297"/>
      <c r="J847" s="297"/>
      <c r="L847" s="312"/>
      <c r="N847" s="297"/>
      <c r="O847" s="64"/>
    </row>
    <row r="848" spans="1:15" ht="15" customHeight="1" x14ac:dyDescent="0.2">
      <c r="A848" s="403"/>
      <c r="C848" s="404"/>
      <c r="E848" s="308"/>
      <c r="G848" s="297"/>
      <c r="H848" s="297"/>
      <c r="J848" s="297"/>
      <c r="L848" s="312"/>
      <c r="N848" s="297"/>
      <c r="O848" s="64"/>
    </row>
    <row r="849" spans="1:15" ht="15" customHeight="1" x14ac:dyDescent="0.2">
      <c r="A849" s="403"/>
      <c r="C849" s="404"/>
      <c r="E849" s="308"/>
      <c r="G849" s="297"/>
      <c r="H849" s="297"/>
      <c r="J849" s="297"/>
      <c r="L849" s="312"/>
      <c r="N849" s="297"/>
      <c r="O849" s="64"/>
    </row>
    <row r="850" spans="1:15" ht="15" customHeight="1" x14ac:dyDescent="0.2">
      <c r="A850" s="403"/>
      <c r="C850" s="404"/>
      <c r="E850" s="308"/>
      <c r="G850" s="297"/>
      <c r="H850" s="297"/>
      <c r="J850" s="297"/>
      <c r="L850" s="312"/>
      <c r="N850" s="297"/>
      <c r="O850" s="64"/>
    </row>
    <row r="851" spans="1:15" ht="15" customHeight="1" x14ac:dyDescent="0.2">
      <c r="A851" s="403"/>
      <c r="C851" s="404"/>
      <c r="E851" s="308"/>
      <c r="G851" s="297"/>
      <c r="H851" s="297"/>
      <c r="J851" s="297"/>
      <c r="L851" s="312"/>
      <c r="N851" s="297"/>
      <c r="O851" s="64"/>
    </row>
    <row r="852" spans="1:15" ht="15" customHeight="1" x14ac:dyDescent="0.2">
      <c r="A852" s="403"/>
      <c r="C852" s="404"/>
      <c r="E852" s="308"/>
      <c r="G852" s="297"/>
      <c r="H852" s="297"/>
      <c r="J852" s="297"/>
      <c r="L852" s="312"/>
      <c r="N852" s="297"/>
      <c r="O852" s="64"/>
    </row>
    <row r="853" spans="1:15" ht="15" customHeight="1" x14ac:dyDescent="0.2">
      <c r="A853" s="403"/>
      <c r="C853" s="404"/>
      <c r="E853" s="308"/>
      <c r="G853" s="297"/>
      <c r="H853" s="297"/>
      <c r="J853" s="297"/>
      <c r="L853" s="312"/>
      <c r="N853" s="297"/>
      <c r="O853" s="64"/>
    </row>
    <row r="854" spans="1:15" ht="15" customHeight="1" x14ac:dyDescent="0.2">
      <c r="A854" s="403"/>
      <c r="C854" s="404"/>
      <c r="E854" s="308"/>
      <c r="G854" s="297"/>
      <c r="H854" s="297"/>
      <c r="J854" s="297"/>
      <c r="L854" s="312"/>
      <c r="N854" s="297"/>
      <c r="O854" s="64"/>
    </row>
    <row r="855" spans="1:15" ht="15" customHeight="1" x14ac:dyDescent="0.2">
      <c r="A855" s="403"/>
      <c r="C855" s="404"/>
      <c r="E855" s="308"/>
      <c r="G855" s="297"/>
      <c r="H855" s="297"/>
      <c r="J855" s="297"/>
      <c r="L855" s="312"/>
      <c r="N855" s="297"/>
      <c r="O855" s="64"/>
    </row>
    <row r="856" spans="1:15" ht="15" customHeight="1" x14ac:dyDescent="0.2">
      <c r="A856" s="403"/>
      <c r="C856" s="404"/>
      <c r="E856" s="308"/>
      <c r="G856" s="297"/>
      <c r="H856" s="297"/>
      <c r="J856" s="297"/>
      <c r="L856" s="312"/>
      <c r="N856" s="297"/>
      <c r="O856" s="64"/>
    </row>
    <row r="857" spans="1:15" ht="15" customHeight="1" x14ac:dyDescent="0.2">
      <c r="A857" s="403"/>
      <c r="C857" s="404"/>
      <c r="E857" s="308"/>
      <c r="G857" s="297"/>
      <c r="H857" s="297"/>
      <c r="J857" s="297"/>
      <c r="L857" s="312"/>
      <c r="N857" s="297"/>
      <c r="O857" s="64"/>
    </row>
    <row r="858" spans="1:15" ht="15" customHeight="1" x14ac:dyDescent="0.2">
      <c r="A858" s="403"/>
      <c r="C858" s="404"/>
      <c r="E858" s="308"/>
      <c r="G858" s="297"/>
      <c r="H858" s="297"/>
      <c r="J858" s="297"/>
      <c r="L858" s="312"/>
      <c r="N858" s="297"/>
      <c r="O858" s="64"/>
    </row>
    <row r="859" spans="1:15" ht="15" customHeight="1" x14ac:dyDescent="0.2">
      <c r="A859" s="403"/>
      <c r="C859" s="404"/>
      <c r="E859" s="308"/>
      <c r="G859" s="297"/>
      <c r="H859" s="297"/>
      <c r="J859" s="297"/>
      <c r="L859" s="312"/>
      <c r="N859" s="297"/>
      <c r="O859" s="64"/>
    </row>
    <row r="860" spans="1:15" ht="15" customHeight="1" x14ac:dyDescent="0.2">
      <c r="A860" s="403"/>
      <c r="C860" s="404"/>
      <c r="E860" s="308"/>
      <c r="G860" s="297"/>
      <c r="H860" s="297"/>
      <c r="J860" s="297"/>
      <c r="L860" s="312"/>
      <c r="N860" s="297"/>
      <c r="O860" s="64"/>
    </row>
    <row r="861" spans="1:15" ht="15" customHeight="1" x14ac:dyDescent="0.2">
      <c r="A861" s="403"/>
      <c r="C861" s="404"/>
      <c r="E861" s="308"/>
      <c r="G861" s="297"/>
      <c r="H861" s="297"/>
      <c r="J861" s="297"/>
      <c r="L861" s="312"/>
      <c r="N861" s="297"/>
      <c r="O861" s="64"/>
    </row>
    <row r="862" spans="1:15" ht="15" customHeight="1" x14ac:dyDescent="0.2">
      <c r="A862" s="403"/>
      <c r="C862" s="404"/>
      <c r="E862" s="308"/>
      <c r="G862" s="297"/>
      <c r="H862" s="297"/>
      <c r="J862" s="297"/>
      <c r="L862" s="312"/>
      <c r="N862" s="297"/>
      <c r="O862" s="64"/>
    </row>
    <row r="863" spans="1:15" ht="15" customHeight="1" x14ac:dyDescent="0.2">
      <c r="A863" s="403"/>
      <c r="C863" s="404"/>
      <c r="E863" s="308"/>
      <c r="G863" s="297"/>
      <c r="H863" s="297"/>
      <c r="J863" s="297"/>
      <c r="L863" s="312"/>
      <c r="N863" s="297"/>
      <c r="O863" s="64"/>
    </row>
    <row r="864" spans="1:15" ht="15" customHeight="1" x14ac:dyDescent="0.2">
      <c r="A864" s="403"/>
      <c r="C864" s="404"/>
      <c r="E864" s="308"/>
      <c r="G864" s="297"/>
      <c r="H864" s="297"/>
      <c r="J864" s="297"/>
      <c r="L864" s="312"/>
      <c r="N864" s="297"/>
      <c r="O864" s="64"/>
    </row>
    <row r="865" spans="1:15" ht="15" customHeight="1" x14ac:dyDescent="0.2">
      <c r="A865" s="403"/>
      <c r="C865" s="404"/>
      <c r="E865" s="308"/>
      <c r="G865" s="297"/>
      <c r="H865" s="297"/>
      <c r="J865" s="297"/>
      <c r="L865" s="312"/>
      <c r="N865" s="297"/>
      <c r="O865" s="64"/>
    </row>
    <row r="866" spans="1:15" ht="15" customHeight="1" x14ac:dyDescent="0.2">
      <c r="A866" s="403"/>
      <c r="C866" s="404"/>
      <c r="E866" s="308"/>
      <c r="G866" s="297"/>
      <c r="H866" s="297"/>
      <c r="J866" s="297"/>
      <c r="L866" s="312"/>
      <c r="N866" s="297"/>
      <c r="O866" s="64"/>
    </row>
    <row r="867" spans="1:15" ht="15" customHeight="1" x14ac:dyDescent="0.2">
      <c r="A867" s="403"/>
      <c r="C867" s="404"/>
      <c r="E867" s="308"/>
      <c r="G867" s="297"/>
      <c r="H867" s="297"/>
      <c r="J867" s="297"/>
      <c r="L867" s="312"/>
      <c r="N867" s="297"/>
      <c r="O867" s="64"/>
    </row>
    <row r="868" spans="1:15" ht="15" customHeight="1" x14ac:dyDescent="0.2">
      <c r="A868" s="403"/>
      <c r="C868" s="404"/>
      <c r="E868" s="308"/>
      <c r="G868" s="297"/>
      <c r="H868" s="297"/>
      <c r="J868" s="297"/>
      <c r="L868" s="312"/>
      <c r="N868" s="297"/>
      <c r="O868" s="64"/>
    </row>
    <row r="869" spans="1:15" ht="15" customHeight="1" x14ac:dyDescent="0.2">
      <c r="A869" s="403"/>
      <c r="C869" s="404"/>
      <c r="E869" s="308"/>
      <c r="G869" s="297"/>
      <c r="H869" s="297"/>
      <c r="J869" s="297"/>
      <c r="L869" s="312"/>
      <c r="N869" s="297"/>
      <c r="O869" s="64"/>
    </row>
    <row r="870" spans="1:15" ht="15" customHeight="1" x14ac:dyDescent="0.2">
      <c r="A870" s="403"/>
      <c r="C870" s="404"/>
      <c r="E870" s="308"/>
      <c r="G870" s="297"/>
      <c r="H870" s="297"/>
      <c r="J870" s="297"/>
      <c r="L870" s="312"/>
      <c r="N870" s="297"/>
      <c r="O870" s="64"/>
    </row>
    <row r="871" spans="1:15" ht="15" customHeight="1" x14ac:dyDescent="0.2">
      <c r="A871" s="403"/>
      <c r="C871" s="404"/>
      <c r="E871" s="308"/>
      <c r="G871" s="297"/>
      <c r="H871" s="297"/>
      <c r="J871" s="297"/>
      <c r="L871" s="312"/>
      <c r="N871" s="297"/>
      <c r="O871" s="64"/>
    </row>
    <row r="872" spans="1:15" ht="15" customHeight="1" x14ac:dyDescent="0.2">
      <c r="A872" s="403"/>
      <c r="C872" s="404"/>
      <c r="E872" s="308"/>
      <c r="G872" s="297"/>
      <c r="H872" s="297"/>
      <c r="J872" s="297"/>
      <c r="L872" s="312"/>
      <c r="N872" s="297"/>
      <c r="O872" s="64"/>
    </row>
    <row r="873" spans="1:15" ht="15" customHeight="1" x14ac:dyDescent="0.2">
      <c r="A873" s="403"/>
      <c r="C873" s="404"/>
      <c r="E873" s="308"/>
      <c r="G873" s="297"/>
      <c r="H873" s="297"/>
      <c r="J873" s="297"/>
      <c r="L873" s="312"/>
      <c r="N873" s="297"/>
      <c r="O873" s="64"/>
    </row>
    <row r="874" spans="1:15" ht="15" customHeight="1" x14ac:dyDescent="0.2">
      <c r="A874" s="403"/>
      <c r="C874" s="404"/>
      <c r="E874" s="308"/>
      <c r="G874" s="297"/>
      <c r="H874" s="297"/>
      <c r="J874" s="297"/>
      <c r="L874" s="312"/>
      <c r="N874" s="297"/>
      <c r="O874" s="64"/>
    </row>
    <row r="875" spans="1:15" ht="15" customHeight="1" x14ac:dyDescent="0.2">
      <c r="A875" s="403"/>
      <c r="C875" s="404"/>
      <c r="E875" s="308"/>
      <c r="G875" s="297"/>
      <c r="H875" s="297"/>
      <c r="J875" s="297"/>
      <c r="L875" s="312"/>
      <c r="N875" s="297"/>
      <c r="O875" s="64"/>
    </row>
    <row r="876" spans="1:15" ht="15" customHeight="1" x14ac:dyDescent="0.2">
      <c r="A876" s="403"/>
      <c r="C876" s="404"/>
      <c r="E876" s="308"/>
      <c r="G876" s="297"/>
      <c r="H876" s="297"/>
      <c r="J876" s="297"/>
      <c r="L876" s="312"/>
      <c r="N876" s="297"/>
      <c r="O876" s="64"/>
    </row>
    <row r="877" spans="1:15" ht="15" customHeight="1" x14ac:dyDescent="0.2">
      <c r="A877" s="403"/>
      <c r="C877" s="404"/>
      <c r="E877" s="308"/>
      <c r="G877" s="297"/>
      <c r="H877" s="297"/>
      <c r="J877" s="297"/>
      <c r="L877" s="312"/>
      <c r="N877" s="297"/>
      <c r="O877" s="64"/>
    </row>
    <row r="878" spans="1:15" ht="15" customHeight="1" x14ac:dyDescent="0.2">
      <c r="A878" s="403"/>
      <c r="C878" s="404"/>
      <c r="E878" s="308"/>
      <c r="G878" s="297"/>
      <c r="H878" s="297"/>
      <c r="J878" s="297"/>
      <c r="L878" s="312"/>
      <c r="N878" s="297"/>
      <c r="O878" s="64"/>
    </row>
    <row r="879" spans="1:15" ht="15" customHeight="1" x14ac:dyDescent="0.2">
      <c r="A879" s="403"/>
      <c r="C879" s="404"/>
      <c r="E879" s="308"/>
      <c r="G879" s="297"/>
      <c r="H879" s="297"/>
      <c r="J879" s="297"/>
      <c r="L879" s="312"/>
      <c r="N879" s="297"/>
      <c r="O879" s="64"/>
    </row>
    <row r="880" spans="1:15" ht="15" customHeight="1" x14ac:dyDescent="0.2">
      <c r="A880" s="403"/>
      <c r="C880" s="404"/>
      <c r="E880" s="308"/>
      <c r="G880" s="297"/>
      <c r="H880" s="297"/>
      <c r="J880" s="297"/>
      <c r="L880" s="312"/>
      <c r="N880" s="297"/>
      <c r="O880" s="64"/>
    </row>
    <row r="881" spans="1:15" ht="15" customHeight="1" x14ac:dyDescent="0.2">
      <c r="A881" s="403"/>
      <c r="C881" s="404"/>
      <c r="E881" s="308"/>
      <c r="G881" s="297"/>
      <c r="H881" s="297"/>
      <c r="J881" s="297"/>
      <c r="L881" s="312"/>
      <c r="N881" s="297"/>
      <c r="O881" s="64"/>
    </row>
    <row r="882" spans="1:15" ht="15" customHeight="1" x14ac:dyDescent="0.2">
      <c r="A882" s="403"/>
      <c r="C882" s="404"/>
      <c r="E882" s="308"/>
      <c r="G882" s="297"/>
      <c r="H882" s="297"/>
      <c r="J882" s="297"/>
      <c r="L882" s="312"/>
      <c r="N882" s="297"/>
      <c r="O882" s="64"/>
    </row>
    <row r="883" spans="1:15" ht="15" customHeight="1" x14ac:dyDescent="0.2">
      <c r="A883" s="403"/>
      <c r="C883" s="404"/>
      <c r="E883" s="308"/>
      <c r="G883" s="297"/>
      <c r="H883" s="297"/>
      <c r="J883" s="297"/>
      <c r="L883" s="312"/>
      <c r="N883" s="297"/>
      <c r="O883" s="64"/>
    </row>
    <row r="884" spans="1:15" ht="15" customHeight="1" x14ac:dyDescent="0.2">
      <c r="A884" s="403"/>
      <c r="C884" s="404"/>
      <c r="E884" s="308"/>
      <c r="G884" s="297"/>
      <c r="H884" s="297"/>
      <c r="J884" s="297"/>
      <c r="L884" s="312"/>
      <c r="N884" s="297"/>
      <c r="O884" s="64"/>
    </row>
    <row r="885" spans="1:15" ht="15" customHeight="1" x14ac:dyDescent="0.2">
      <c r="A885" s="403"/>
      <c r="C885" s="404"/>
      <c r="E885" s="308"/>
      <c r="G885" s="297"/>
      <c r="H885" s="297"/>
      <c r="J885" s="297"/>
      <c r="L885" s="312"/>
      <c r="N885" s="297"/>
      <c r="O885" s="64"/>
    </row>
    <row r="886" spans="1:15" ht="15" customHeight="1" x14ac:dyDescent="0.2">
      <c r="A886" s="403"/>
      <c r="C886" s="404"/>
      <c r="E886" s="308"/>
      <c r="G886" s="297"/>
      <c r="H886" s="297"/>
      <c r="J886" s="297"/>
      <c r="L886" s="312"/>
      <c r="N886" s="297"/>
      <c r="O886" s="64"/>
    </row>
    <row r="887" spans="1:15" ht="15" customHeight="1" x14ac:dyDescent="0.2">
      <c r="A887" s="403"/>
      <c r="C887" s="404"/>
      <c r="E887" s="308"/>
      <c r="G887" s="297"/>
      <c r="H887" s="297"/>
      <c r="J887" s="297"/>
      <c r="L887" s="312"/>
      <c r="N887" s="297"/>
      <c r="O887" s="64"/>
    </row>
    <row r="888" spans="1:15" ht="15" customHeight="1" x14ac:dyDescent="0.2">
      <c r="A888" s="403"/>
      <c r="C888" s="404"/>
      <c r="E888" s="308"/>
      <c r="G888" s="297"/>
      <c r="H888" s="297"/>
      <c r="J888" s="297"/>
      <c r="L888" s="312"/>
      <c r="N888" s="297"/>
      <c r="O888" s="64"/>
    </row>
    <row r="889" spans="1:15" ht="15" customHeight="1" x14ac:dyDescent="0.2">
      <c r="A889" s="403"/>
      <c r="C889" s="404"/>
      <c r="E889" s="308"/>
      <c r="G889" s="297"/>
      <c r="H889" s="297"/>
      <c r="J889" s="297"/>
      <c r="L889" s="312"/>
      <c r="N889" s="297"/>
      <c r="O889" s="64"/>
    </row>
    <row r="890" spans="1:15" ht="15" customHeight="1" x14ac:dyDescent="0.2">
      <c r="A890" s="403"/>
      <c r="C890" s="404"/>
      <c r="E890" s="308"/>
      <c r="G890" s="297"/>
      <c r="H890" s="297"/>
      <c r="J890" s="297"/>
      <c r="L890" s="312"/>
      <c r="N890" s="297"/>
      <c r="O890" s="64"/>
    </row>
    <row r="891" spans="1:15" ht="15" customHeight="1" x14ac:dyDescent="0.2">
      <c r="A891" s="403"/>
      <c r="C891" s="404"/>
      <c r="E891" s="308"/>
      <c r="G891" s="297"/>
      <c r="H891" s="297"/>
      <c r="J891" s="297"/>
      <c r="L891" s="312"/>
      <c r="N891" s="297"/>
      <c r="O891" s="64"/>
    </row>
    <row r="892" spans="1:15" ht="15" customHeight="1" x14ac:dyDescent="0.2">
      <c r="A892" s="403"/>
      <c r="C892" s="404"/>
      <c r="E892" s="308"/>
      <c r="G892" s="297"/>
      <c r="H892" s="297"/>
      <c r="J892" s="297"/>
      <c r="L892" s="312"/>
      <c r="N892" s="297"/>
      <c r="O892" s="64"/>
    </row>
    <row r="893" spans="1:15" ht="15" customHeight="1" x14ac:dyDescent="0.2">
      <c r="A893" s="403"/>
      <c r="C893" s="404"/>
      <c r="E893" s="308"/>
      <c r="G893" s="297"/>
      <c r="H893" s="297"/>
      <c r="J893" s="297"/>
      <c r="L893" s="312"/>
      <c r="N893" s="297"/>
      <c r="O893" s="64"/>
    </row>
    <row r="894" spans="1:15" ht="15" customHeight="1" x14ac:dyDescent="0.2">
      <c r="A894" s="403"/>
      <c r="C894" s="404"/>
      <c r="E894" s="308"/>
      <c r="G894" s="297"/>
      <c r="H894" s="297"/>
      <c r="J894" s="297"/>
      <c r="L894" s="312"/>
      <c r="N894" s="297"/>
      <c r="O894" s="64"/>
    </row>
    <row r="895" spans="1:15" ht="15" customHeight="1" x14ac:dyDescent="0.2">
      <c r="A895" s="403"/>
      <c r="C895" s="404"/>
      <c r="E895" s="308"/>
      <c r="G895" s="297"/>
      <c r="H895" s="297"/>
      <c r="J895" s="297"/>
      <c r="L895" s="312"/>
      <c r="N895" s="297"/>
      <c r="O895" s="64"/>
    </row>
    <row r="896" spans="1:15" ht="15" customHeight="1" x14ac:dyDescent="0.2">
      <c r="A896" s="403"/>
      <c r="C896" s="404"/>
      <c r="E896" s="308"/>
      <c r="G896" s="297"/>
      <c r="H896" s="297"/>
      <c r="J896" s="297"/>
      <c r="L896" s="312"/>
      <c r="N896" s="297"/>
      <c r="O896" s="64"/>
    </row>
    <row r="897" spans="1:15" ht="15" customHeight="1" x14ac:dyDescent="0.2">
      <c r="A897" s="403"/>
      <c r="C897" s="404"/>
      <c r="E897" s="308"/>
      <c r="G897" s="297"/>
      <c r="H897" s="297"/>
      <c r="J897" s="297"/>
      <c r="L897" s="312"/>
      <c r="N897" s="297"/>
      <c r="O897" s="64"/>
    </row>
    <row r="898" spans="1:15" ht="15" customHeight="1" x14ac:dyDescent="0.2">
      <c r="A898" s="403"/>
      <c r="C898" s="404"/>
      <c r="E898" s="308"/>
      <c r="G898" s="297"/>
      <c r="H898" s="297"/>
      <c r="J898" s="297"/>
      <c r="L898" s="312"/>
      <c r="N898" s="297"/>
      <c r="O898" s="64"/>
    </row>
    <row r="899" spans="1:15" ht="15" customHeight="1" x14ac:dyDescent="0.2">
      <c r="A899" s="403"/>
      <c r="C899" s="404"/>
      <c r="E899" s="308"/>
      <c r="G899" s="297"/>
      <c r="H899" s="297"/>
      <c r="J899" s="297"/>
      <c r="L899" s="312"/>
      <c r="N899" s="297"/>
      <c r="O899" s="64"/>
    </row>
    <row r="900" spans="1:15" ht="15" customHeight="1" x14ac:dyDescent="0.2">
      <c r="A900" s="403"/>
      <c r="C900" s="404"/>
      <c r="E900" s="308"/>
      <c r="G900" s="297"/>
      <c r="H900" s="297"/>
      <c r="J900" s="297"/>
      <c r="L900" s="312"/>
      <c r="N900" s="297"/>
      <c r="O900" s="64"/>
    </row>
    <row r="901" spans="1:15" ht="15" customHeight="1" x14ac:dyDescent="0.2">
      <c r="A901" s="403"/>
      <c r="C901" s="404"/>
      <c r="E901" s="308"/>
      <c r="G901" s="297"/>
      <c r="H901" s="297"/>
      <c r="J901" s="297"/>
      <c r="L901" s="312"/>
      <c r="N901" s="297"/>
      <c r="O901" s="64"/>
    </row>
    <row r="902" spans="1:15" ht="15" customHeight="1" x14ac:dyDescent="0.2">
      <c r="A902" s="403"/>
      <c r="C902" s="404"/>
      <c r="E902" s="308"/>
      <c r="G902" s="297"/>
      <c r="H902" s="297"/>
      <c r="J902" s="297"/>
      <c r="L902" s="312"/>
      <c r="N902" s="297"/>
      <c r="O902" s="64"/>
    </row>
    <row r="903" spans="1:15" ht="15" customHeight="1" x14ac:dyDescent="0.2">
      <c r="A903" s="403"/>
      <c r="C903" s="404"/>
      <c r="E903" s="308"/>
      <c r="G903" s="297"/>
      <c r="H903" s="297"/>
      <c r="J903" s="297"/>
      <c r="L903" s="312"/>
      <c r="N903" s="297"/>
      <c r="O903" s="64"/>
    </row>
    <row r="904" spans="1:15" ht="15" customHeight="1" x14ac:dyDescent="0.2">
      <c r="A904" s="403"/>
      <c r="C904" s="404"/>
      <c r="E904" s="308"/>
      <c r="G904" s="297"/>
      <c r="H904" s="297"/>
      <c r="J904" s="297"/>
      <c r="L904" s="312"/>
      <c r="N904" s="297"/>
      <c r="O904" s="64"/>
    </row>
    <row r="905" spans="1:15" ht="15" customHeight="1" x14ac:dyDescent="0.2">
      <c r="A905" s="403"/>
      <c r="C905" s="404"/>
      <c r="E905" s="308"/>
      <c r="G905" s="297"/>
      <c r="H905" s="297"/>
      <c r="J905" s="297"/>
      <c r="L905" s="312"/>
      <c r="N905" s="297"/>
      <c r="O905" s="64"/>
    </row>
    <row r="906" spans="1:15" ht="15" customHeight="1" x14ac:dyDescent="0.2">
      <c r="A906" s="403"/>
      <c r="C906" s="404"/>
      <c r="E906" s="308"/>
      <c r="G906" s="297"/>
      <c r="H906" s="297"/>
      <c r="J906" s="297"/>
      <c r="L906" s="312"/>
      <c r="N906" s="297"/>
      <c r="O906" s="64"/>
    </row>
    <row r="907" spans="1:15" ht="15" customHeight="1" x14ac:dyDescent="0.2">
      <c r="A907" s="403"/>
      <c r="C907" s="404"/>
      <c r="E907" s="308"/>
      <c r="G907" s="297"/>
      <c r="H907" s="297"/>
      <c r="J907" s="297"/>
      <c r="L907" s="312"/>
      <c r="N907" s="297"/>
      <c r="O907" s="64"/>
    </row>
    <row r="908" spans="1:15" ht="15" customHeight="1" x14ac:dyDescent="0.2">
      <c r="A908" s="403"/>
      <c r="C908" s="404"/>
      <c r="E908" s="308"/>
      <c r="G908" s="297"/>
      <c r="H908" s="297"/>
      <c r="J908" s="297"/>
      <c r="L908" s="312"/>
      <c r="N908" s="297"/>
      <c r="O908" s="64"/>
    </row>
    <row r="909" spans="1:15" ht="15" customHeight="1" x14ac:dyDescent="0.2">
      <c r="A909" s="403"/>
      <c r="C909" s="404"/>
      <c r="E909" s="308"/>
      <c r="G909" s="297"/>
      <c r="H909" s="297"/>
      <c r="J909" s="297"/>
      <c r="L909" s="312"/>
      <c r="N909" s="297"/>
      <c r="O909" s="64"/>
    </row>
    <row r="910" spans="1:15" ht="15" customHeight="1" x14ac:dyDescent="0.2">
      <c r="A910" s="403"/>
      <c r="C910" s="404"/>
      <c r="E910" s="308"/>
      <c r="G910" s="297"/>
      <c r="H910" s="297"/>
      <c r="J910" s="297"/>
      <c r="L910" s="312"/>
      <c r="N910" s="297"/>
      <c r="O910" s="64"/>
    </row>
    <row r="911" spans="1:15" ht="15" customHeight="1" x14ac:dyDescent="0.2">
      <c r="A911" s="403"/>
      <c r="C911" s="404"/>
      <c r="E911" s="308"/>
      <c r="G911" s="297"/>
      <c r="H911" s="297"/>
      <c r="J911" s="297"/>
      <c r="L911" s="312"/>
      <c r="N911" s="297"/>
      <c r="O911" s="64"/>
    </row>
    <row r="912" spans="1:15" ht="15" customHeight="1" x14ac:dyDescent="0.2">
      <c r="A912" s="403"/>
      <c r="C912" s="404"/>
      <c r="E912" s="308"/>
      <c r="G912" s="297"/>
      <c r="H912" s="297"/>
      <c r="J912" s="297"/>
      <c r="L912" s="312"/>
      <c r="N912" s="297"/>
      <c r="O912" s="64"/>
    </row>
    <row r="913" spans="1:15" ht="15" customHeight="1" x14ac:dyDescent="0.2">
      <c r="A913" s="403"/>
      <c r="C913" s="404"/>
      <c r="E913" s="308"/>
      <c r="G913" s="297"/>
      <c r="H913" s="297"/>
      <c r="J913" s="297"/>
      <c r="L913" s="312"/>
      <c r="N913" s="297"/>
      <c r="O913" s="64"/>
    </row>
    <row r="914" spans="1:15" ht="15" customHeight="1" x14ac:dyDescent="0.2">
      <c r="A914" s="403"/>
      <c r="C914" s="404"/>
      <c r="E914" s="308"/>
      <c r="G914" s="297"/>
      <c r="H914" s="297"/>
      <c r="J914" s="297"/>
      <c r="L914" s="312"/>
      <c r="N914" s="297"/>
      <c r="O914" s="64"/>
    </row>
    <row r="915" spans="1:15" ht="15" customHeight="1" x14ac:dyDescent="0.2">
      <c r="A915" s="403"/>
      <c r="C915" s="404"/>
      <c r="E915" s="308"/>
      <c r="G915" s="297"/>
      <c r="H915" s="297"/>
      <c r="J915" s="297"/>
      <c r="L915" s="312"/>
      <c r="N915" s="297"/>
      <c r="O915" s="64"/>
    </row>
    <row r="916" spans="1:15" ht="15" customHeight="1" x14ac:dyDescent="0.2">
      <c r="A916" s="403"/>
      <c r="C916" s="404"/>
      <c r="E916" s="308"/>
      <c r="G916" s="297"/>
      <c r="H916" s="297"/>
      <c r="J916" s="297"/>
      <c r="L916" s="312"/>
      <c r="N916" s="297"/>
      <c r="O916" s="64"/>
    </row>
    <row r="917" spans="1:15" ht="15" customHeight="1" x14ac:dyDescent="0.2">
      <c r="A917" s="403"/>
      <c r="C917" s="404"/>
      <c r="E917" s="308"/>
      <c r="G917" s="297"/>
      <c r="H917" s="297"/>
      <c r="J917" s="297"/>
      <c r="L917" s="312"/>
      <c r="N917" s="297"/>
      <c r="O917" s="64"/>
    </row>
    <row r="918" spans="1:15" ht="15" customHeight="1" x14ac:dyDescent="0.2">
      <c r="A918" s="403"/>
      <c r="C918" s="404"/>
      <c r="E918" s="308"/>
      <c r="G918" s="297"/>
      <c r="H918" s="297"/>
      <c r="J918" s="297"/>
      <c r="L918" s="312"/>
      <c r="N918" s="297"/>
      <c r="O918" s="64"/>
    </row>
    <row r="919" spans="1:15" ht="15" customHeight="1" x14ac:dyDescent="0.2">
      <c r="A919" s="403"/>
      <c r="C919" s="404"/>
      <c r="E919" s="308"/>
      <c r="G919" s="297"/>
      <c r="H919" s="297"/>
      <c r="J919" s="297"/>
      <c r="L919" s="312"/>
      <c r="N919" s="297"/>
      <c r="O919" s="64"/>
    </row>
    <row r="920" spans="1:15" ht="15" customHeight="1" x14ac:dyDescent="0.2">
      <c r="A920" s="403"/>
      <c r="C920" s="404"/>
      <c r="E920" s="308"/>
      <c r="G920" s="297"/>
      <c r="H920" s="297"/>
      <c r="J920" s="297"/>
      <c r="L920" s="312"/>
      <c r="N920" s="297"/>
      <c r="O920" s="64"/>
    </row>
    <row r="921" spans="1:15" ht="15" customHeight="1" x14ac:dyDescent="0.2">
      <c r="A921" s="403"/>
      <c r="C921" s="404"/>
      <c r="E921" s="308"/>
      <c r="G921" s="297"/>
      <c r="H921" s="297"/>
      <c r="J921" s="297"/>
      <c r="L921" s="312"/>
      <c r="N921" s="297"/>
      <c r="O921" s="64"/>
    </row>
    <row r="922" spans="1:15" ht="15" customHeight="1" x14ac:dyDescent="0.2">
      <c r="A922" s="403"/>
      <c r="C922" s="404"/>
      <c r="E922" s="308"/>
      <c r="G922" s="297"/>
      <c r="H922" s="297"/>
      <c r="J922" s="297"/>
      <c r="L922" s="312"/>
      <c r="N922" s="297"/>
      <c r="O922" s="64"/>
    </row>
    <row r="923" spans="1:15" ht="15" customHeight="1" x14ac:dyDescent="0.2">
      <c r="A923" s="403"/>
      <c r="C923" s="404"/>
      <c r="E923" s="308"/>
      <c r="G923" s="297"/>
      <c r="H923" s="297"/>
      <c r="J923" s="297"/>
      <c r="L923" s="312"/>
      <c r="N923" s="297"/>
      <c r="O923" s="64"/>
    </row>
    <row r="924" spans="1:15" ht="15" customHeight="1" x14ac:dyDescent="0.2">
      <c r="A924" s="403"/>
      <c r="C924" s="404"/>
      <c r="E924" s="308"/>
      <c r="G924" s="297"/>
      <c r="H924" s="297"/>
      <c r="J924" s="297"/>
      <c r="L924" s="312"/>
      <c r="N924" s="297"/>
      <c r="O924" s="64"/>
    </row>
    <row r="925" spans="1:15" ht="15" customHeight="1" x14ac:dyDescent="0.2">
      <c r="A925" s="403"/>
      <c r="C925" s="404"/>
      <c r="E925" s="308"/>
      <c r="G925" s="297"/>
      <c r="H925" s="297"/>
      <c r="J925" s="297"/>
      <c r="L925" s="312"/>
      <c r="N925" s="297"/>
      <c r="O925" s="64"/>
    </row>
    <row r="926" spans="1:15" ht="15" customHeight="1" x14ac:dyDescent="0.2">
      <c r="A926" s="403"/>
      <c r="C926" s="404"/>
      <c r="E926" s="308"/>
      <c r="G926" s="297"/>
      <c r="H926" s="297"/>
      <c r="J926" s="297"/>
      <c r="L926" s="312"/>
      <c r="N926" s="297"/>
      <c r="O926" s="64"/>
    </row>
    <row r="927" spans="1:15" ht="15" customHeight="1" x14ac:dyDescent="0.2">
      <c r="A927" s="403"/>
      <c r="C927" s="404"/>
      <c r="E927" s="308"/>
      <c r="G927" s="297"/>
      <c r="H927" s="297"/>
      <c r="J927" s="297"/>
      <c r="L927" s="312"/>
      <c r="N927" s="297"/>
      <c r="O927" s="64"/>
    </row>
    <row r="928" spans="1:15" ht="15" customHeight="1" x14ac:dyDescent="0.2">
      <c r="A928" s="403"/>
      <c r="C928" s="404"/>
      <c r="E928" s="308"/>
      <c r="G928" s="297"/>
      <c r="H928" s="297"/>
      <c r="J928" s="297"/>
      <c r="L928" s="312"/>
      <c r="N928" s="297"/>
      <c r="O928" s="64"/>
    </row>
    <row r="929" spans="1:15" ht="15" customHeight="1" x14ac:dyDescent="0.2">
      <c r="A929" s="403"/>
      <c r="C929" s="404"/>
      <c r="E929" s="308"/>
      <c r="G929" s="297"/>
      <c r="H929" s="297"/>
      <c r="J929" s="297"/>
      <c r="L929" s="312"/>
      <c r="N929" s="297"/>
      <c r="O929" s="64"/>
    </row>
    <row r="930" spans="1:15" ht="15" customHeight="1" x14ac:dyDescent="0.2">
      <c r="A930" s="403"/>
      <c r="C930" s="404"/>
      <c r="E930" s="308"/>
      <c r="G930" s="297"/>
      <c r="H930" s="297"/>
      <c r="J930" s="297"/>
      <c r="L930" s="312"/>
      <c r="N930" s="297"/>
      <c r="O930" s="64"/>
    </row>
    <row r="931" spans="1:15" ht="15" customHeight="1" x14ac:dyDescent="0.2">
      <c r="A931" s="403"/>
      <c r="C931" s="404"/>
      <c r="E931" s="308"/>
      <c r="G931" s="297"/>
      <c r="H931" s="297"/>
      <c r="J931" s="297"/>
      <c r="L931" s="312"/>
      <c r="N931" s="297"/>
      <c r="O931" s="64"/>
    </row>
    <row r="932" spans="1:15" ht="15" customHeight="1" x14ac:dyDescent="0.2">
      <c r="A932" s="403"/>
      <c r="C932" s="404"/>
      <c r="E932" s="308"/>
      <c r="G932" s="297"/>
      <c r="H932" s="297"/>
      <c r="J932" s="297"/>
      <c r="L932" s="312"/>
      <c r="N932" s="297"/>
      <c r="O932" s="64"/>
    </row>
    <row r="933" spans="1:15" ht="15" customHeight="1" x14ac:dyDescent="0.2">
      <c r="A933" s="403"/>
      <c r="C933" s="404"/>
      <c r="E933" s="308"/>
      <c r="G933" s="297"/>
      <c r="H933" s="297"/>
      <c r="J933" s="297"/>
      <c r="L933" s="312"/>
      <c r="N933" s="297"/>
      <c r="O933" s="64"/>
    </row>
    <row r="934" spans="1:15" ht="15" customHeight="1" x14ac:dyDescent="0.2">
      <c r="A934" s="403"/>
      <c r="C934" s="404"/>
      <c r="E934" s="308"/>
      <c r="G934" s="297"/>
      <c r="H934" s="297"/>
      <c r="J934" s="297"/>
      <c r="L934" s="312"/>
      <c r="N934" s="297"/>
      <c r="O934" s="64"/>
    </row>
    <row r="935" spans="1:15" ht="15" customHeight="1" x14ac:dyDescent="0.2">
      <c r="A935" s="403"/>
      <c r="C935" s="404"/>
      <c r="E935" s="308"/>
      <c r="G935" s="297"/>
      <c r="H935" s="297"/>
      <c r="J935" s="297"/>
      <c r="L935" s="312"/>
      <c r="N935" s="297"/>
      <c r="O935" s="64"/>
    </row>
    <row r="936" spans="1:15" ht="15" customHeight="1" x14ac:dyDescent="0.2">
      <c r="A936" s="403"/>
      <c r="C936" s="404"/>
      <c r="E936" s="308"/>
      <c r="G936" s="297"/>
      <c r="H936" s="297"/>
      <c r="J936" s="297"/>
      <c r="L936" s="312"/>
      <c r="N936" s="297"/>
      <c r="O936" s="64"/>
    </row>
    <row r="937" spans="1:15" ht="15" customHeight="1" x14ac:dyDescent="0.2">
      <c r="A937" s="403"/>
      <c r="C937" s="404"/>
      <c r="E937" s="308"/>
      <c r="G937" s="297"/>
      <c r="H937" s="297"/>
      <c r="J937" s="297"/>
      <c r="L937" s="312"/>
      <c r="N937" s="297"/>
      <c r="O937" s="64"/>
    </row>
    <row r="938" spans="1:15" ht="15" customHeight="1" x14ac:dyDescent="0.2">
      <c r="A938" s="403"/>
      <c r="C938" s="404"/>
      <c r="E938" s="308"/>
      <c r="G938" s="297"/>
      <c r="H938" s="297"/>
      <c r="J938" s="297"/>
      <c r="L938" s="312"/>
      <c r="N938" s="297"/>
      <c r="O938" s="64"/>
    </row>
    <row r="939" spans="1:15" ht="15" customHeight="1" x14ac:dyDescent="0.2">
      <c r="A939" s="403"/>
      <c r="C939" s="404"/>
      <c r="E939" s="308"/>
      <c r="G939" s="297"/>
      <c r="H939" s="297"/>
      <c r="J939" s="297"/>
      <c r="L939" s="312"/>
      <c r="N939" s="297"/>
      <c r="O939" s="64"/>
    </row>
    <row r="940" spans="1:15" ht="15" customHeight="1" x14ac:dyDescent="0.2">
      <c r="A940" s="403"/>
      <c r="C940" s="404"/>
      <c r="E940" s="308"/>
      <c r="G940" s="297"/>
      <c r="H940" s="297"/>
      <c r="J940" s="297"/>
      <c r="L940" s="312"/>
      <c r="N940" s="297"/>
      <c r="O940" s="64"/>
    </row>
    <row r="941" spans="1:15" ht="15" customHeight="1" x14ac:dyDescent="0.2">
      <c r="A941" s="403"/>
      <c r="C941" s="404"/>
      <c r="E941" s="308"/>
      <c r="G941" s="297"/>
      <c r="H941" s="297"/>
      <c r="J941" s="297"/>
      <c r="L941" s="312"/>
      <c r="N941" s="297"/>
      <c r="O941" s="64"/>
    </row>
    <row r="942" spans="1:15" ht="15" customHeight="1" x14ac:dyDescent="0.2">
      <c r="A942" s="403"/>
      <c r="C942" s="404"/>
      <c r="E942" s="308"/>
      <c r="G942" s="297"/>
      <c r="H942" s="297"/>
      <c r="J942" s="297"/>
      <c r="L942" s="312"/>
      <c r="N942" s="297"/>
      <c r="O942" s="64"/>
    </row>
    <row r="943" spans="1:15" ht="15" customHeight="1" x14ac:dyDescent="0.2">
      <c r="A943" s="403"/>
      <c r="C943" s="404"/>
      <c r="E943" s="308"/>
      <c r="G943" s="297"/>
      <c r="H943" s="297"/>
      <c r="J943" s="297"/>
      <c r="L943" s="312"/>
      <c r="N943" s="297"/>
      <c r="O943" s="64"/>
    </row>
    <row r="944" spans="1:15" ht="15" customHeight="1" x14ac:dyDescent="0.2">
      <c r="A944" s="403"/>
      <c r="C944" s="404"/>
      <c r="E944" s="308"/>
      <c r="G944" s="297"/>
      <c r="H944" s="297"/>
      <c r="J944" s="297"/>
      <c r="L944" s="312"/>
      <c r="N944" s="297"/>
      <c r="O944" s="64"/>
    </row>
    <row r="945" spans="1:15" ht="15" customHeight="1" x14ac:dyDescent="0.2">
      <c r="A945" s="403"/>
      <c r="C945" s="404"/>
      <c r="E945" s="308"/>
      <c r="G945" s="297"/>
      <c r="H945" s="297"/>
      <c r="J945" s="297"/>
      <c r="L945" s="312"/>
      <c r="N945" s="297"/>
      <c r="O945" s="64"/>
    </row>
    <row r="946" spans="1:15" ht="15" customHeight="1" x14ac:dyDescent="0.2">
      <c r="A946" s="403"/>
      <c r="C946" s="404"/>
      <c r="E946" s="308"/>
      <c r="G946" s="297"/>
      <c r="H946" s="297"/>
      <c r="J946" s="297"/>
      <c r="L946" s="312"/>
      <c r="N946" s="297"/>
      <c r="O946" s="64"/>
    </row>
    <row r="947" spans="1:15" ht="15" customHeight="1" x14ac:dyDescent="0.2">
      <c r="A947" s="403"/>
      <c r="C947" s="404"/>
      <c r="E947" s="308"/>
      <c r="G947" s="297"/>
      <c r="H947" s="297"/>
      <c r="J947" s="297"/>
      <c r="L947" s="312"/>
      <c r="N947" s="297"/>
      <c r="O947" s="64"/>
    </row>
    <row r="948" spans="1:15" ht="15" customHeight="1" x14ac:dyDescent="0.2">
      <c r="A948" s="403"/>
      <c r="C948" s="404"/>
      <c r="E948" s="308"/>
      <c r="G948" s="297"/>
      <c r="H948" s="297"/>
      <c r="J948" s="297"/>
      <c r="L948" s="312"/>
      <c r="N948" s="297"/>
      <c r="O948" s="64"/>
    </row>
    <row r="949" spans="1:15" ht="15" customHeight="1" x14ac:dyDescent="0.2">
      <c r="A949" s="403"/>
      <c r="C949" s="404"/>
      <c r="E949" s="308"/>
      <c r="G949" s="297"/>
      <c r="H949" s="297"/>
      <c r="J949" s="297"/>
      <c r="L949" s="312"/>
      <c r="N949" s="297"/>
      <c r="O949" s="64"/>
    </row>
    <row r="950" spans="1:15" ht="15" customHeight="1" x14ac:dyDescent="0.2">
      <c r="A950" s="403"/>
      <c r="C950" s="404"/>
      <c r="E950" s="308"/>
      <c r="G950" s="297"/>
      <c r="H950" s="297"/>
      <c r="J950" s="297"/>
      <c r="L950" s="312"/>
      <c r="N950" s="297"/>
      <c r="O950" s="64"/>
    </row>
    <row r="951" spans="1:15" ht="15" customHeight="1" x14ac:dyDescent="0.2">
      <c r="A951" s="403"/>
      <c r="C951" s="404"/>
      <c r="E951" s="308"/>
      <c r="G951" s="297"/>
      <c r="H951" s="297"/>
      <c r="J951" s="297"/>
      <c r="L951" s="312"/>
      <c r="N951" s="297"/>
      <c r="O951" s="64"/>
    </row>
    <row r="952" spans="1:15" ht="15" customHeight="1" x14ac:dyDescent="0.2">
      <c r="A952" s="403"/>
      <c r="C952" s="404"/>
      <c r="E952" s="308"/>
      <c r="G952" s="297"/>
      <c r="H952" s="297"/>
      <c r="J952" s="297"/>
      <c r="L952" s="312"/>
      <c r="N952" s="297"/>
      <c r="O952" s="64"/>
    </row>
    <row r="953" spans="1:15" ht="15" customHeight="1" x14ac:dyDescent="0.2">
      <c r="A953" s="403"/>
      <c r="C953" s="404"/>
      <c r="E953" s="308"/>
      <c r="G953" s="297"/>
      <c r="H953" s="297"/>
      <c r="J953" s="297"/>
      <c r="L953" s="312"/>
      <c r="N953" s="297"/>
      <c r="O953" s="64"/>
    </row>
    <row r="954" spans="1:15" ht="15" customHeight="1" x14ac:dyDescent="0.2">
      <c r="A954" s="403"/>
      <c r="C954" s="404"/>
      <c r="E954" s="308"/>
      <c r="G954" s="297"/>
      <c r="H954" s="297"/>
      <c r="J954" s="297"/>
      <c r="L954" s="312"/>
      <c r="N954" s="297"/>
      <c r="O954" s="64"/>
    </row>
    <row r="955" spans="1:15" ht="15" customHeight="1" x14ac:dyDescent="0.2">
      <c r="A955" s="403"/>
      <c r="C955" s="404"/>
      <c r="E955" s="308"/>
      <c r="G955" s="297"/>
      <c r="H955" s="297"/>
      <c r="J955" s="297"/>
      <c r="L955" s="312"/>
      <c r="N955" s="297"/>
      <c r="O955" s="64"/>
    </row>
    <row r="956" spans="1:15" ht="15" customHeight="1" x14ac:dyDescent="0.2">
      <c r="A956" s="403"/>
      <c r="C956" s="404"/>
      <c r="E956" s="308"/>
      <c r="G956" s="297"/>
      <c r="H956" s="297"/>
      <c r="J956" s="297"/>
      <c r="L956" s="312"/>
      <c r="N956" s="297"/>
      <c r="O956" s="64"/>
    </row>
    <row r="957" spans="1:15" ht="15" customHeight="1" x14ac:dyDescent="0.2">
      <c r="A957" s="403"/>
      <c r="C957" s="404"/>
      <c r="E957" s="308"/>
      <c r="G957" s="297"/>
      <c r="H957" s="297"/>
      <c r="J957" s="297"/>
      <c r="L957" s="312"/>
      <c r="N957" s="297"/>
      <c r="O957" s="64"/>
    </row>
    <row r="958" spans="1:15" ht="15" customHeight="1" x14ac:dyDescent="0.2">
      <c r="A958" s="403"/>
      <c r="C958" s="404"/>
      <c r="E958" s="308"/>
      <c r="G958" s="297"/>
      <c r="H958" s="297"/>
      <c r="J958" s="297"/>
      <c r="L958" s="312"/>
      <c r="N958" s="297"/>
      <c r="O958" s="64"/>
    </row>
    <row r="959" spans="1:15" ht="15" customHeight="1" x14ac:dyDescent="0.2">
      <c r="A959" s="403"/>
      <c r="C959" s="404"/>
      <c r="E959" s="308"/>
      <c r="G959" s="297"/>
      <c r="H959" s="297"/>
      <c r="J959" s="297"/>
      <c r="L959" s="312"/>
      <c r="N959" s="297"/>
      <c r="O959" s="64"/>
    </row>
    <row r="960" spans="1:15" ht="15" customHeight="1" x14ac:dyDescent="0.2">
      <c r="A960" s="403"/>
      <c r="C960" s="404"/>
      <c r="E960" s="308"/>
      <c r="G960" s="297"/>
      <c r="H960" s="297"/>
      <c r="J960" s="297"/>
      <c r="L960" s="312"/>
      <c r="N960" s="297"/>
      <c r="O960" s="64"/>
    </row>
    <row r="961" spans="1:15" ht="15" customHeight="1" x14ac:dyDescent="0.2">
      <c r="A961" s="403"/>
      <c r="C961" s="404"/>
      <c r="E961" s="308"/>
      <c r="G961" s="297"/>
      <c r="H961" s="297"/>
      <c r="J961" s="297"/>
      <c r="L961" s="312"/>
      <c r="N961" s="297"/>
      <c r="O961" s="64"/>
    </row>
    <row r="962" spans="1:15" ht="15" customHeight="1" x14ac:dyDescent="0.2">
      <c r="A962" s="403"/>
      <c r="C962" s="404"/>
      <c r="E962" s="308"/>
      <c r="G962" s="297"/>
      <c r="H962" s="297"/>
      <c r="J962" s="297"/>
      <c r="L962" s="312"/>
      <c r="N962" s="297"/>
      <c r="O962" s="64"/>
    </row>
    <row r="963" spans="1:15" ht="15" customHeight="1" x14ac:dyDescent="0.2">
      <c r="A963" s="403"/>
      <c r="C963" s="404"/>
      <c r="E963" s="308"/>
      <c r="G963" s="297"/>
      <c r="H963" s="297"/>
      <c r="J963" s="297"/>
      <c r="L963" s="312"/>
      <c r="N963" s="297"/>
      <c r="O963" s="64"/>
    </row>
    <row r="964" spans="1:15" ht="15" customHeight="1" x14ac:dyDescent="0.2">
      <c r="A964" s="403"/>
      <c r="C964" s="404"/>
      <c r="E964" s="308"/>
      <c r="G964" s="297"/>
      <c r="H964" s="297"/>
      <c r="J964" s="297"/>
      <c r="L964" s="312"/>
      <c r="N964" s="297"/>
      <c r="O964" s="64"/>
    </row>
    <row r="965" spans="1:15" ht="15" customHeight="1" x14ac:dyDescent="0.2">
      <c r="A965" s="403"/>
      <c r="C965" s="404"/>
      <c r="E965" s="308"/>
      <c r="G965" s="297"/>
      <c r="H965" s="297"/>
      <c r="J965" s="297"/>
      <c r="L965" s="312"/>
      <c r="N965" s="297"/>
      <c r="O965" s="64"/>
    </row>
    <row r="966" spans="1:15" ht="15" customHeight="1" x14ac:dyDescent="0.2">
      <c r="A966" s="403"/>
      <c r="C966" s="404"/>
      <c r="E966" s="308"/>
      <c r="G966" s="297"/>
      <c r="H966" s="297"/>
      <c r="J966" s="297"/>
      <c r="L966" s="312"/>
      <c r="N966" s="297"/>
      <c r="O966" s="64"/>
    </row>
    <row r="967" spans="1:15" ht="15" customHeight="1" x14ac:dyDescent="0.2">
      <c r="A967" s="403"/>
      <c r="C967" s="404"/>
      <c r="E967" s="308"/>
      <c r="G967" s="297"/>
      <c r="H967" s="297"/>
      <c r="J967" s="297"/>
      <c r="L967" s="312"/>
      <c r="N967" s="297"/>
      <c r="O967" s="64"/>
    </row>
    <row r="968" spans="1:15" ht="15" customHeight="1" x14ac:dyDescent="0.2">
      <c r="A968" s="403"/>
      <c r="C968" s="404"/>
      <c r="E968" s="308"/>
      <c r="G968" s="297"/>
      <c r="H968" s="297"/>
      <c r="J968" s="297"/>
      <c r="L968" s="312"/>
      <c r="N968" s="297"/>
      <c r="O968" s="64"/>
    </row>
    <row r="969" spans="1:15" ht="15" customHeight="1" x14ac:dyDescent="0.2">
      <c r="A969" s="403"/>
      <c r="C969" s="404"/>
      <c r="E969" s="308"/>
      <c r="G969" s="297"/>
      <c r="H969" s="297"/>
      <c r="J969" s="297"/>
      <c r="L969" s="312"/>
      <c r="N969" s="297"/>
      <c r="O969" s="64"/>
    </row>
    <row r="970" spans="1:15" ht="15" customHeight="1" x14ac:dyDescent="0.2">
      <c r="A970" s="403"/>
      <c r="C970" s="404"/>
      <c r="E970" s="308"/>
      <c r="G970" s="297"/>
      <c r="H970" s="297"/>
      <c r="J970" s="297"/>
      <c r="L970" s="312"/>
      <c r="N970" s="297"/>
      <c r="O970" s="64"/>
    </row>
    <row r="971" spans="1:15" ht="15" customHeight="1" x14ac:dyDescent="0.2">
      <c r="A971" s="403"/>
      <c r="C971" s="404"/>
      <c r="E971" s="308"/>
      <c r="G971" s="297"/>
      <c r="H971" s="297"/>
      <c r="J971" s="297"/>
      <c r="L971" s="312"/>
      <c r="N971" s="297"/>
      <c r="O971" s="64"/>
    </row>
    <row r="972" spans="1:15" ht="15" customHeight="1" x14ac:dyDescent="0.2">
      <c r="A972" s="403"/>
      <c r="C972" s="404"/>
      <c r="E972" s="308"/>
      <c r="G972" s="297"/>
      <c r="H972" s="297"/>
      <c r="J972" s="297"/>
      <c r="L972" s="312"/>
      <c r="N972" s="297"/>
      <c r="O972" s="64"/>
    </row>
    <row r="973" spans="1:15" ht="15" customHeight="1" x14ac:dyDescent="0.2">
      <c r="A973" s="403"/>
      <c r="C973" s="404"/>
      <c r="E973" s="308"/>
      <c r="G973" s="297"/>
      <c r="H973" s="297"/>
      <c r="J973" s="297"/>
      <c r="L973" s="312"/>
      <c r="N973" s="297"/>
      <c r="O973" s="64"/>
    </row>
    <row r="974" spans="1:15" ht="15" customHeight="1" x14ac:dyDescent="0.2">
      <c r="A974" s="403"/>
      <c r="C974" s="404"/>
      <c r="E974" s="308"/>
      <c r="G974" s="297"/>
      <c r="H974" s="297"/>
      <c r="J974" s="297"/>
      <c r="L974" s="312"/>
      <c r="N974" s="297"/>
      <c r="O974" s="64"/>
    </row>
    <row r="975" spans="1:15" ht="15" customHeight="1" x14ac:dyDescent="0.2">
      <c r="A975" s="403"/>
      <c r="C975" s="404"/>
      <c r="E975" s="308"/>
      <c r="G975" s="297"/>
      <c r="H975" s="297"/>
      <c r="J975" s="297"/>
      <c r="L975" s="312"/>
      <c r="N975" s="297"/>
      <c r="O975" s="64"/>
    </row>
    <row r="976" spans="1:15" ht="15" customHeight="1" x14ac:dyDescent="0.2">
      <c r="A976" s="403"/>
      <c r="C976" s="404"/>
      <c r="E976" s="308"/>
      <c r="G976" s="297"/>
      <c r="H976" s="297"/>
      <c r="J976" s="297"/>
      <c r="L976" s="312"/>
      <c r="N976" s="297"/>
      <c r="O976" s="64"/>
    </row>
    <row r="977" spans="1:15" ht="15" customHeight="1" x14ac:dyDescent="0.2">
      <c r="A977" s="403"/>
      <c r="C977" s="404"/>
      <c r="E977" s="308"/>
      <c r="G977" s="297"/>
      <c r="H977" s="297"/>
      <c r="J977" s="297"/>
      <c r="L977" s="312"/>
      <c r="N977" s="297"/>
      <c r="O977" s="64"/>
    </row>
    <row r="978" spans="1:15" ht="15" customHeight="1" x14ac:dyDescent="0.2">
      <c r="A978" s="403"/>
      <c r="C978" s="404"/>
      <c r="E978" s="308"/>
      <c r="G978" s="297"/>
      <c r="H978" s="297"/>
      <c r="J978" s="297"/>
      <c r="L978" s="312"/>
      <c r="N978" s="297"/>
      <c r="O978" s="64"/>
    </row>
    <row r="979" spans="1:15" ht="15" customHeight="1" x14ac:dyDescent="0.2">
      <c r="A979" s="403"/>
      <c r="C979" s="404"/>
      <c r="E979" s="308"/>
      <c r="G979" s="297"/>
      <c r="H979" s="297"/>
      <c r="J979" s="297"/>
      <c r="L979" s="312"/>
      <c r="N979" s="297"/>
      <c r="O979" s="64"/>
    </row>
    <row r="980" spans="1:15" ht="15" customHeight="1" x14ac:dyDescent="0.2">
      <c r="A980" s="403"/>
      <c r="C980" s="404"/>
      <c r="E980" s="308"/>
      <c r="G980" s="297"/>
      <c r="H980" s="297"/>
      <c r="J980" s="297"/>
      <c r="L980" s="312"/>
      <c r="N980" s="297"/>
      <c r="O980" s="64"/>
    </row>
    <row r="981" spans="1:15" ht="15" customHeight="1" x14ac:dyDescent="0.2">
      <c r="A981" s="403"/>
      <c r="C981" s="404"/>
      <c r="E981" s="308"/>
      <c r="G981" s="297"/>
      <c r="H981" s="297"/>
      <c r="J981" s="297"/>
      <c r="L981" s="312"/>
      <c r="N981" s="297"/>
      <c r="O981" s="64"/>
    </row>
    <row r="982" spans="1:15" ht="15" customHeight="1" x14ac:dyDescent="0.2">
      <c r="A982" s="403"/>
      <c r="C982" s="404"/>
      <c r="E982" s="308"/>
      <c r="G982" s="297"/>
      <c r="H982" s="297"/>
      <c r="J982" s="297"/>
      <c r="L982" s="312"/>
      <c r="N982" s="297"/>
      <c r="O982" s="64"/>
    </row>
    <row r="983" spans="1:15" ht="15" customHeight="1" x14ac:dyDescent="0.2">
      <c r="A983" s="403"/>
      <c r="C983" s="404"/>
      <c r="E983" s="308"/>
      <c r="G983" s="297"/>
      <c r="H983" s="297"/>
      <c r="J983" s="297"/>
      <c r="L983" s="312"/>
      <c r="N983" s="297"/>
      <c r="O983" s="64"/>
    </row>
    <row r="984" spans="1:15" ht="15" customHeight="1" x14ac:dyDescent="0.2">
      <c r="A984" s="403"/>
      <c r="C984" s="404"/>
      <c r="E984" s="308"/>
      <c r="G984" s="297"/>
      <c r="H984" s="297"/>
      <c r="J984" s="297"/>
      <c r="L984" s="312"/>
      <c r="N984" s="297"/>
      <c r="O984" s="64"/>
    </row>
    <row r="985" spans="1:15" ht="15" customHeight="1" x14ac:dyDescent="0.2">
      <c r="A985" s="403"/>
      <c r="C985" s="404"/>
      <c r="E985" s="308"/>
      <c r="G985" s="297"/>
      <c r="H985" s="297"/>
      <c r="J985" s="297"/>
      <c r="L985" s="312"/>
      <c r="N985" s="297"/>
      <c r="O985" s="64"/>
    </row>
    <row r="986" spans="1:15" ht="15" customHeight="1" x14ac:dyDescent="0.2">
      <c r="A986" s="403"/>
      <c r="C986" s="404"/>
      <c r="E986" s="308"/>
      <c r="G986" s="297"/>
      <c r="H986" s="297"/>
      <c r="J986" s="297"/>
      <c r="L986" s="312"/>
      <c r="N986" s="297"/>
      <c r="O986" s="64"/>
    </row>
    <row r="987" spans="1:15" ht="15" customHeight="1" x14ac:dyDescent="0.2">
      <c r="A987" s="403"/>
      <c r="C987" s="404"/>
      <c r="E987" s="308"/>
      <c r="G987" s="297"/>
      <c r="H987" s="297"/>
      <c r="J987" s="297"/>
      <c r="L987" s="312"/>
      <c r="N987" s="297"/>
      <c r="O987" s="64"/>
    </row>
    <row r="988" spans="1:15" ht="15" customHeight="1" x14ac:dyDescent="0.2">
      <c r="A988" s="403"/>
      <c r="C988" s="404"/>
      <c r="E988" s="308"/>
      <c r="G988" s="297"/>
      <c r="H988" s="297"/>
      <c r="J988" s="297"/>
      <c r="L988" s="312"/>
      <c r="N988" s="297"/>
      <c r="O988" s="64"/>
    </row>
    <row r="989" spans="1:15" ht="15" customHeight="1" x14ac:dyDescent="0.2">
      <c r="A989" s="403"/>
      <c r="C989" s="404"/>
      <c r="E989" s="308"/>
      <c r="G989" s="297"/>
      <c r="H989" s="297"/>
      <c r="J989" s="297"/>
      <c r="L989" s="312"/>
      <c r="N989" s="297"/>
      <c r="O989" s="64"/>
    </row>
    <row r="990" spans="1:15" ht="15" customHeight="1" x14ac:dyDescent="0.2">
      <c r="A990" s="403"/>
      <c r="C990" s="404"/>
      <c r="E990" s="308"/>
      <c r="G990" s="297"/>
      <c r="H990" s="297"/>
      <c r="J990" s="297"/>
      <c r="L990" s="312"/>
      <c r="N990" s="297"/>
      <c r="O990" s="64"/>
    </row>
    <row r="991" spans="1:15" ht="15" customHeight="1" x14ac:dyDescent="0.2">
      <c r="A991" s="403"/>
      <c r="C991" s="404"/>
      <c r="E991" s="308"/>
      <c r="G991" s="297"/>
      <c r="H991" s="297"/>
      <c r="J991" s="297"/>
      <c r="L991" s="312"/>
      <c r="N991" s="297"/>
      <c r="O991" s="64"/>
    </row>
    <row r="992" spans="1:15" ht="15" customHeight="1" x14ac:dyDescent="0.2">
      <c r="A992" s="403"/>
      <c r="C992" s="404"/>
      <c r="E992" s="308"/>
      <c r="G992" s="297"/>
      <c r="H992" s="297"/>
      <c r="J992" s="297"/>
      <c r="L992" s="312"/>
      <c r="N992" s="297"/>
      <c r="O992" s="64"/>
    </row>
    <row r="993" spans="1:15" ht="15" customHeight="1" x14ac:dyDescent="0.2">
      <c r="A993" s="403"/>
      <c r="C993" s="404"/>
      <c r="E993" s="308"/>
      <c r="G993" s="297"/>
      <c r="H993" s="297"/>
      <c r="J993" s="297"/>
      <c r="L993" s="312"/>
      <c r="N993" s="297"/>
      <c r="O993" s="64"/>
    </row>
    <row r="994" spans="1:15" ht="15" customHeight="1" x14ac:dyDescent="0.2">
      <c r="A994" s="403"/>
      <c r="C994" s="404"/>
      <c r="E994" s="308"/>
      <c r="G994" s="297"/>
      <c r="H994" s="297"/>
      <c r="J994" s="297"/>
      <c r="L994" s="312"/>
      <c r="N994" s="297"/>
      <c r="O994" s="64"/>
    </row>
    <row r="995" spans="1:15" ht="15" customHeight="1" x14ac:dyDescent="0.2">
      <c r="A995" s="403"/>
      <c r="C995" s="404"/>
      <c r="E995" s="308"/>
      <c r="G995" s="297"/>
      <c r="H995" s="297"/>
      <c r="J995" s="297"/>
      <c r="L995" s="312"/>
      <c r="N995" s="297"/>
      <c r="O995" s="64"/>
    </row>
    <row r="996" spans="1:15" ht="15" customHeight="1" x14ac:dyDescent="0.2">
      <c r="A996" s="403"/>
      <c r="C996" s="404"/>
      <c r="E996" s="308"/>
      <c r="G996" s="297"/>
      <c r="H996" s="297"/>
      <c r="J996" s="297"/>
      <c r="L996" s="312"/>
      <c r="N996" s="297"/>
      <c r="O996" s="64"/>
    </row>
    <row r="997" spans="1:15" ht="15" customHeight="1" x14ac:dyDescent="0.2">
      <c r="A997" s="403"/>
      <c r="C997" s="404"/>
      <c r="E997" s="308"/>
      <c r="G997" s="297"/>
      <c r="H997" s="297"/>
      <c r="J997" s="297"/>
      <c r="L997" s="312"/>
      <c r="N997" s="297"/>
      <c r="O997" s="64"/>
    </row>
    <row r="998" spans="1:15" ht="15" customHeight="1" x14ac:dyDescent="0.2">
      <c r="A998" s="403"/>
      <c r="C998" s="404"/>
      <c r="E998" s="308"/>
      <c r="G998" s="297"/>
      <c r="H998" s="297"/>
      <c r="J998" s="297"/>
      <c r="L998" s="312"/>
      <c r="N998" s="297"/>
      <c r="O998" s="64"/>
    </row>
    <row r="999" spans="1:15" ht="15" customHeight="1" x14ac:dyDescent="0.2">
      <c r="A999" s="403"/>
      <c r="C999" s="404"/>
      <c r="E999" s="308"/>
      <c r="G999" s="297"/>
      <c r="H999" s="297"/>
      <c r="J999" s="297"/>
      <c r="L999" s="312"/>
      <c r="N999" s="297"/>
      <c r="O999" s="64"/>
    </row>
    <row r="1000" spans="1:15" ht="15" customHeight="1" x14ac:dyDescent="0.2">
      <c r="A1000" s="403"/>
      <c r="C1000" s="404"/>
      <c r="E1000" s="308"/>
      <c r="G1000" s="297"/>
      <c r="H1000" s="297"/>
      <c r="J1000" s="297"/>
      <c r="L1000" s="312"/>
      <c r="N1000" s="297"/>
      <c r="O1000" s="64"/>
    </row>
    <row r="1001" spans="1:15" ht="15" customHeight="1" x14ac:dyDescent="0.2">
      <c r="A1001" s="403"/>
      <c r="C1001" s="404"/>
      <c r="E1001" s="308"/>
      <c r="G1001" s="297"/>
      <c r="H1001" s="297"/>
      <c r="J1001" s="297"/>
      <c r="L1001" s="312"/>
      <c r="N1001" s="297"/>
      <c r="O1001" s="64"/>
    </row>
    <row r="1002" spans="1:15" ht="15" customHeight="1" x14ac:dyDescent="0.2">
      <c r="A1002" s="403"/>
      <c r="C1002" s="404"/>
      <c r="E1002" s="308"/>
      <c r="G1002" s="297"/>
      <c r="H1002" s="297"/>
      <c r="J1002" s="297"/>
      <c r="L1002" s="312"/>
      <c r="N1002" s="297"/>
      <c r="O1002" s="64"/>
    </row>
    <row r="1003" spans="1:15" ht="15" customHeight="1" x14ac:dyDescent="0.2">
      <c r="A1003" s="403"/>
      <c r="C1003" s="404"/>
      <c r="E1003" s="308"/>
      <c r="G1003" s="297"/>
      <c r="H1003" s="297"/>
      <c r="J1003" s="297"/>
      <c r="L1003" s="312"/>
      <c r="N1003" s="297"/>
      <c r="O1003" s="64"/>
    </row>
    <row r="1004" spans="1:15" ht="15" customHeight="1" x14ac:dyDescent="0.2">
      <c r="A1004" s="403"/>
      <c r="C1004" s="404"/>
      <c r="E1004" s="308"/>
      <c r="G1004" s="297"/>
      <c r="H1004" s="297"/>
      <c r="J1004" s="297"/>
      <c r="L1004" s="312"/>
      <c r="N1004" s="297"/>
      <c r="O1004" s="64"/>
    </row>
    <row r="1005" spans="1:15" ht="15" customHeight="1" x14ac:dyDescent="0.2">
      <c r="A1005" s="403"/>
      <c r="C1005" s="404"/>
      <c r="E1005" s="308"/>
      <c r="G1005" s="297"/>
      <c r="H1005" s="297"/>
      <c r="J1005" s="297"/>
      <c r="L1005" s="312"/>
      <c r="N1005" s="297"/>
      <c r="O1005" s="64"/>
    </row>
    <row r="1006" spans="1:15" ht="15" customHeight="1" x14ac:dyDescent="0.2">
      <c r="A1006" s="403"/>
      <c r="C1006" s="404"/>
      <c r="E1006" s="308"/>
      <c r="G1006" s="297"/>
      <c r="H1006" s="297"/>
      <c r="J1006" s="297"/>
      <c r="L1006" s="312"/>
      <c r="N1006" s="297"/>
      <c r="O1006" s="64"/>
    </row>
    <row r="1007" spans="1:15" ht="15" customHeight="1" x14ac:dyDescent="0.2">
      <c r="A1007" s="403"/>
      <c r="C1007" s="404"/>
      <c r="E1007" s="308"/>
      <c r="G1007" s="297"/>
      <c r="H1007" s="297"/>
      <c r="J1007" s="297"/>
      <c r="L1007" s="312"/>
      <c r="N1007" s="297"/>
      <c r="O1007" s="64"/>
    </row>
    <row r="1008" spans="1:15" ht="15" customHeight="1" x14ac:dyDescent="0.2">
      <c r="A1008" s="403"/>
      <c r="C1008" s="404"/>
      <c r="E1008" s="308"/>
      <c r="G1008" s="297"/>
      <c r="H1008" s="297"/>
      <c r="J1008" s="297"/>
      <c r="L1008" s="312"/>
      <c r="N1008" s="297"/>
      <c r="O1008" s="64"/>
    </row>
    <row r="1009" spans="1:15" ht="15" customHeight="1" x14ac:dyDescent="0.2">
      <c r="A1009" s="403"/>
      <c r="C1009" s="404"/>
      <c r="E1009" s="308"/>
      <c r="G1009" s="297"/>
      <c r="H1009" s="297"/>
      <c r="J1009" s="297"/>
      <c r="L1009" s="312"/>
      <c r="N1009" s="297"/>
      <c r="O1009" s="64"/>
    </row>
    <row r="1010" spans="1:15" ht="15" customHeight="1" x14ac:dyDescent="0.2">
      <c r="A1010" s="403"/>
      <c r="C1010" s="404"/>
      <c r="E1010" s="308"/>
      <c r="G1010" s="297"/>
      <c r="H1010" s="297"/>
      <c r="J1010" s="297"/>
      <c r="L1010" s="312"/>
      <c r="N1010" s="297"/>
      <c r="O1010" s="64"/>
    </row>
    <row r="1011" spans="1:15" ht="15" customHeight="1" x14ac:dyDescent="0.2">
      <c r="A1011" s="403"/>
      <c r="C1011" s="404"/>
      <c r="E1011" s="308"/>
      <c r="G1011" s="297"/>
      <c r="H1011" s="297"/>
      <c r="J1011" s="297"/>
      <c r="L1011" s="312"/>
      <c r="N1011" s="297"/>
      <c r="O1011" s="64"/>
    </row>
    <row r="1012" spans="1:15" ht="15" customHeight="1" x14ac:dyDescent="0.2">
      <c r="A1012" s="403"/>
      <c r="C1012" s="404"/>
      <c r="E1012" s="308"/>
      <c r="G1012" s="297"/>
      <c r="H1012" s="297"/>
      <c r="J1012" s="297"/>
      <c r="L1012" s="312"/>
      <c r="N1012" s="297"/>
      <c r="O1012" s="64"/>
    </row>
    <row r="1013" spans="1:15" ht="15" customHeight="1" x14ac:dyDescent="0.2">
      <c r="A1013" s="403"/>
      <c r="C1013" s="404"/>
      <c r="E1013" s="308"/>
      <c r="G1013" s="297"/>
      <c r="H1013" s="297"/>
      <c r="J1013" s="297"/>
      <c r="L1013" s="312"/>
      <c r="N1013" s="297"/>
      <c r="O1013" s="64"/>
    </row>
    <row r="1014" spans="1:15" ht="15" customHeight="1" x14ac:dyDescent="0.2">
      <c r="A1014" s="403"/>
      <c r="C1014" s="404"/>
      <c r="E1014" s="308"/>
      <c r="G1014" s="297"/>
      <c r="H1014" s="297"/>
      <c r="J1014" s="297"/>
      <c r="L1014" s="312"/>
      <c r="N1014" s="297"/>
      <c r="O1014" s="64"/>
    </row>
    <row r="1015" spans="1:15" ht="15" customHeight="1" x14ac:dyDescent="0.2">
      <c r="A1015" s="403"/>
      <c r="C1015" s="404"/>
      <c r="E1015" s="308"/>
      <c r="G1015" s="297"/>
      <c r="H1015" s="297"/>
      <c r="J1015" s="297"/>
      <c r="L1015" s="312"/>
      <c r="N1015" s="297"/>
      <c r="O1015" s="64"/>
    </row>
    <row r="1016" spans="1:15" ht="15" customHeight="1" x14ac:dyDescent="0.2">
      <c r="A1016" s="403"/>
      <c r="C1016" s="404"/>
      <c r="E1016" s="308"/>
      <c r="G1016" s="297"/>
      <c r="H1016" s="297"/>
      <c r="J1016" s="297"/>
      <c r="L1016" s="312"/>
      <c r="N1016" s="297"/>
      <c r="O1016" s="64"/>
    </row>
    <row r="1017" spans="1:15" ht="15" customHeight="1" x14ac:dyDescent="0.2">
      <c r="A1017" s="403"/>
      <c r="C1017" s="404"/>
      <c r="E1017" s="308"/>
      <c r="G1017" s="297"/>
      <c r="H1017" s="297"/>
      <c r="J1017" s="297"/>
      <c r="L1017" s="312"/>
      <c r="N1017" s="297"/>
      <c r="O1017" s="64"/>
    </row>
    <row r="1018" spans="1:15" ht="15" customHeight="1" x14ac:dyDescent="0.2">
      <c r="A1018" s="403"/>
      <c r="C1018" s="404"/>
      <c r="E1018" s="308"/>
      <c r="G1018" s="297"/>
      <c r="H1018" s="297"/>
      <c r="J1018" s="297"/>
      <c r="L1018" s="312"/>
      <c r="N1018" s="297"/>
      <c r="O1018" s="64"/>
    </row>
    <row r="1019" spans="1:15" ht="15" customHeight="1" x14ac:dyDescent="0.2">
      <c r="A1019" s="403"/>
      <c r="C1019" s="404"/>
      <c r="E1019" s="308"/>
      <c r="G1019" s="297"/>
      <c r="H1019" s="297"/>
      <c r="J1019" s="297"/>
      <c r="L1019" s="312"/>
      <c r="N1019" s="297"/>
      <c r="O1019" s="64"/>
    </row>
    <row r="1020" spans="1:15" ht="15" customHeight="1" x14ac:dyDescent="0.2">
      <c r="A1020" s="403"/>
      <c r="C1020" s="404"/>
      <c r="E1020" s="308"/>
      <c r="G1020" s="297"/>
      <c r="H1020" s="297"/>
      <c r="J1020" s="297"/>
      <c r="L1020" s="312"/>
      <c r="N1020" s="297"/>
      <c r="O1020" s="64"/>
    </row>
    <row r="1021" spans="1:15" ht="15" customHeight="1" x14ac:dyDescent="0.2">
      <c r="A1021" s="403"/>
      <c r="C1021" s="404"/>
      <c r="E1021" s="308"/>
      <c r="G1021" s="297"/>
      <c r="H1021" s="297"/>
      <c r="J1021" s="297"/>
      <c r="L1021" s="312"/>
      <c r="N1021" s="297"/>
      <c r="O1021" s="64"/>
    </row>
    <row r="1022" spans="1:15" ht="15" customHeight="1" x14ac:dyDescent="0.2">
      <c r="A1022" s="403"/>
      <c r="C1022" s="404"/>
      <c r="E1022" s="308"/>
      <c r="G1022" s="297"/>
      <c r="H1022" s="297"/>
      <c r="J1022" s="297"/>
      <c r="L1022" s="312"/>
      <c r="N1022" s="297"/>
      <c r="O1022" s="64"/>
    </row>
    <row r="1023" spans="1:15" ht="15" customHeight="1" x14ac:dyDescent="0.2">
      <c r="A1023" s="403"/>
      <c r="C1023" s="404"/>
      <c r="E1023" s="308"/>
      <c r="G1023" s="297"/>
      <c r="H1023" s="297"/>
      <c r="J1023" s="297"/>
      <c r="L1023" s="312"/>
      <c r="N1023" s="297"/>
      <c r="O1023" s="64"/>
    </row>
    <row r="1024" spans="1:15" ht="15" customHeight="1" x14ac:dyDescent="0.2">
      <c r="A1024" s="403"/>
      <c r="C1024" s="404"/>
      <c r="E1024" s="308"/>
      <c r="G1024" s="297"/>
      <c r="H1024" s="297"/>
      <c r="J1024" s="297"/>
      <c r="L1024" s="312"/>
      <c r="N1024" s="297"/>
      <c r="O1024" s="64"/>
    </row>
    <row r="1025" spans="1:15" ht="15" customHeight="1" x14ac:dyDescent="0.2">
      <c r="A1025" s="403"/>
      <c r="C1025" s="404"/>
      <c r="E1025" s="308"/>
      <c r="G1025" s="297"/>
      <c r="H1025" s="297"/>
      <c r="J1025" s="297"/>
      <c r="L1025" s="312"/>
      <c r="N1025" s="297"/>
      <c r="O1025" s="64"/>
    </row>
    <row r="1026" spans="1:15" ht="15" customHeight="1" x14ac:dyDescent="0.2">
      <c r="A1026" s="403"/>
      <c r="C1026" s="404"/>
      <c r="E1026" s="308"/>
      <c r="G1026" s="297"/>
      <c r="H1026" s="297"/>
      <c r="J1026" s="297"/>
      <c r="L1026" s="312"/>
      <c r="N1026" s="297"/>
      <c r="O1026" s="64"/>
    </row>
    <row r="1027" spans="1:15" ht="15" customHeight="1" x14ac:dyDescent="0.2">
      <c r="A1027" s="403"/>
      <c r="C1027" s="404"/>
      <c r="E1027" s="308"/>
      <c r="G1027" s="297"/>
      <c r="H1027" s="297"/>
      <c r="J1027" s="297"/>
      <c r="L1027" s="312"/>
      <c r="N1027" s="297"/>
      <c r="O1027" s="64"/>
    </row>
    <row r="1028" spans="1:15" ht="15" customHeight="1" x14ac:dyDescent="0.2">
      <c r="A1028" s="403"/>
      <c r="C1028" s="404"/>
      <c r="E1028" s="308"/>
      <c r="G1028" s="297"/>
      <c r="H1028" s="297"/>
      <c r="J1028" s="297"/>
      <c r="L1028" s="312"/>
      <c r="N1028" s="297"/>
      <c r="O1028" s="64"/>
    </row>
    <row r="1029" spans="1:15" ht="15" customHeight="1" x14ac:dyDescent="0.2">
      <c r="A1029" s="403"/>
      <c r="C1029" s="404"/>
      <c r="E1029" s="308"/>
      <c r="G1029" s="297"/>
      <c r="H1029" s="297"/>
      <c r="J1029" s="297"/>
      <c r="L1029" s="312"/>
      <c r="N1029" s="297"/>
      <c r="O1029" s="64"/>
    </row>
    <row r="1030" spans="1:15" ht="15" customHeight="1" x14ac:dyDescent="0.2">
      <c r="A1030" s="403"/>
      <c r="C1030" s="404"/>
      <c r="E1030" s="308"/>
      <c r="G1030" s="297"/>
      <c r="H1030" s="297"/>
      <c r="J1030" s="297"/>
      <c r="L1030" s="312"/>
      <c r="N1030" s="297"/>
      <c r="O1030" s="64"/>
    </row>
    <row r="1031" spans="1:15" ht="15" customHeight="1" x14ac:dyDescent="0.2">
      <c r="A1031" s="403"/>
      <c r="C1031" s="404"/>
      <c r="E1031" s="308"/>
      <c r="G1031" s="297"/>
      <c r="H1031" s="297"/>
      <c r="J1031" s="297"/>
      <c r="L1031" s="312"/>
      <c r="N1031" s="297"/>
      <c r="O1031" s="64"/>
    </row>
    <row r="1032" spans="1:15" ht="15" customHeight="1" x14ac:dyDescent="0.2">
      <c r="A1032" s="403"/>
      <c r="C1032" s="404"/>
      <c r="E1032" s="308"/>
      <c r="G1032" s="297"/>
      <c r="H1032" s="297"/>
      <c r="J1032" s="297"/>
      <c r="L1032" s="312"/>
      <c r="N1032" s="297"/>
      <c r="O1032" s="64"/>
    </row>
    <row r="1033" spans="1:15" ht="15" customHeight="1" x14ac:dyDescent="0.2">
      <c r="A1033" s="403"/>
      <c r="C1033" s="404"/>
      <c r="E1033" s="308"/>
      <c r="G1033" s="297"/>
      <c r="H1033" s="297"/>
      <c r="J1033" s="297"/>
      <c r="L1033" s="312"/>
      <c r="N1033" s="297"/>
      <c r="O1033" s="64"/>
    </row>
    <row r="1034" spans="1:15" ht="15" customHeight="1" x14ac:dyDescent="0.2">
      <c r="A1034" s="403"/>
      <c r="C1034" s="404"/>
      <c r="E1034" s="308"/>
      <c r="G1034" s="297"/>
      <c r="H1034" s="297"/>
      <c r="J1034" s="297"/>
      <c r="L1034" s="312"/>
      <c r="N1034" s="297"/>
      <c r="O1034" s="64"/>
    </row>
    <row r="1035" spans="1:15" ht="15" customHeight="1" x14ac:dyDescent="0.2">
      <c r="A1035" s="403"/>
      <c r="C1035" s="404"/>
      <c r="E1035" s="308"/>
      <c r="G1035" s="297"/>
      <c r="H1035" s="297"/>
      <c r="J1035" s="297"/>
      <c r="L1035" s="312"/>
      <c r="N1035" s="297"/>
      <c r="O1035" s="64"/>
    </row>
    <row r="1036" spans="1:15" ht="15" customHeight="1" x14ac:dyDescent="0.2">
      <c r="A1036" s="403"/>
      <c r="C1036" s="404"/>
      <c r="E1036" s="308"/>
      <c r="G1036" s="297"/>
      <c r="H1036" s="297"/>
      <c r="J1036" s="297"/>
      <c r="L1036" s="312"/>
      <c r="N1036" s="297"/>
      <c r="O1036" s="64"/>
    </row>
    <row r="1037" spans="1:15" ht="15" customHeight="1" x14ac:dyDescent="0.2">
      <c r="A1037" s="403"/>
      <c r="C1037" s="404"/>
      <c r="E1037" s="308"/>
      <c r="G1037" s="297"/>
      <c r="H1037" s="297"/>
      <c r="J1037" s="297"/>
      <c r="L1037" s="312"/>
      <c r="N1037" s="297"/>
      <c r="O1037" s="64"/>
    </row>
    <row r="1038" spans="1:15" ht="15" customHeight="1" x14ac:dyDescent="0.2">
      <c r="A1038" s="403"/>
      <c r="C1038" s="404"/>
      <c r="E1038" s="308"/>
      <c r="G1038" s="297"/>
      <c r="H1038" s="297"/>
      <c r="J1038" s="297"/>
      <c r="L1038" s="312"/>
      <c r="N1038" s="297"/>
      <c r="O1038" s="64"/>
    </row>
    <row r="1039" spans="1:15" ht="15" customHeight="1" x14ac:dyDescent="0.2">
      <c r="A1039" s="403"/>
      <c r="C1039" s="404"/>
      <c r="E1039" s="308"/>
      <c r="G1039" s="297"/>
      <c r="H1039" s="297"/>
      <c r="J1039" s="297"/>
      <c r="L1039" s="312"/>
      <c r="N1039" s="297"/>
      <c r="O1039" s="64"/>
    </row>
    <row r="1040" spans="1:15" ht="15" customHeight="1" x14ac:dyDescent="0.2">
      <c r="A1040" s="403"/>
      <c r="C1040" s="404"/>
      <c r="E1040" s="308"/>
      <c r="G1040" s="297"/>
      <c r="H1040" s="297"/>
      <c r="J1040" s="297"/>
      <c r="L1040" s="312"/>
      <c r="N1040" s="297"/>
      <c r="O1040" s="64"/>
    </row>
    <row r="1041" spans="1:15" ht="15" customHeight="1" x14ac:dyDescent="0.2">
      <c r="A1041" s="403"/>
      <c r="C1041" s="404"/>
      <c r="E1041" s="308"/>
      <c r="G1041" s="297"/>
      <c r="H1041" s="297"/>
      <c r="J1041" s="297"/>
      <c r="L1041" s="312"/>
      <c r="N1041" s="297"/>
      <c r="O1041" s="64"/>
    </row>
    <row r="1042" spans="1:15" ht="15" customHeight="1" x14ac:dyDescent="0.2">
      <c r="A1042" s="403"/>
      <c r="C1042" s="404"/>
      <c r="E1042" s="308"/>
      <c r="G1042" s="297"/>
      <c r="H1042" s="297"/>
      <c r="J1042" s="297"/>
      <c r="L1042" s="312"/>
      <c r="N1042" s="297"/>
      <c r="O1042" s="64"/>
    </row>
    <row r="1043" spans="1:15" ht="15" customHeight="1" x14ac:dyDescent="0.2">
      <c r="A1043" s="403"/>
      <c r="C1043" s="404"/>
      <c r="E1043" s="308"/>
      <c r="G1043" s="297"/>
      <c r="H1043" s="297"/>
      <c r="J1043" s="297"/>
      <c r="L1043" s="312"/>
      <c r="N1043" s="297"/>
      <c r="O1043" s="64"/>
    </row>
    <row r="1044" spans="1:15" ht="15" customHeight="1" x14ac:dyDescent="0.2">
      <c r="A1044" s="403"/>
      <c r="C1044" s="404"/>
      <c r="E1044" s="308"/>
      <c r="G1044" s="297"/>
      <c r="H1044" s="297"/>
      <c r="J1044" s="297"/>
      <c r="L1044" s="312"/>
      <c r="N1044" s="297"/>
      <c r="O1044" s="64"/>
    </row>
    <row r="1045" spans="1:15" ht="15" customHeight="1" x14ac:dyDescent="0.2">
      <c r="A1045" s="403"/>
      <c r="C1045" s="404"/>
      <c r="E1045" s="308"/>
      <c r="G1045" s="297"/>
      <c r="H1045" s="297"/>
      <c r="J1045" s="297"/>
      <c r="L1045" s="312"/>
      <c r="N1045" s="297"/>
      <c r="O1045" s="64"/>
    </row>
    <row r="1046" spans="1:15" ht="15" customHeight="1" x14ac:dyDescent="0.2">
      <c r="A1046" s="403"/>
      <c r="C1046" s="404"/>
      <c r="E1046" s="308"/>
      <c r="G1046" s="297"/>
      <c r="H1046" s="297"/>
      <c r="J1046" s="297"/>
      <c r="L1046" s="312"/>
      <c r="N1046" s="297"/>
      <c r="O1046" s="64"/>
    </row>
    <row r="1047" spans="1:15" ht="15" customHeight="1" x14ac:dyDescent="0.2">
      <c r="A1047" s="403"/>
      <c r="C1047" s="404"/>
      <c r="E1047" s="308"/>
      <c r="G1047" s="297"/>
      <c r="H1047" s="297"/>
      <c r="J1047" s="297"/>
      <c r="L1047" s="312"/>
      <c r="N1047" s="297"/>
      <c r="O1047" s="64"/>
    </row>
    <row r="1048" spans="1:15" ht="15" customHeight="1" x14ac:dyDescent="0.2">
      <c r="A1048" s="403"/>
      <c r="C1048" s="404"/>
      <c r="E1048" s="308"/>
      <c r="G1048" s="297"/>
      <c r="H1048" s="297"/>
      <c r="J1048" s="297"/>
      <c r="L1048" s="312"/>
      <c r="N1048" s="297"/>
      <c r="O1048" s="64"/>
    </row>
    <row r="1049" spans="1:15" ht="15" customHeight="1" x14ac:dyDescent="0.2">
      <c r="A1049" s="403"/>
      <c r="C1049" s="404"/>
      <c r="E1049" s="308"/>
      <c r="G1049" s="297"/>
      <c r="H1049" s="297"/>
      <c r="J1049" s="297"/>
      <c r="L1049" s="312"/>
      <c r="N1049" s="297"/>
      <c r="O1049" s="64"/>
    </row>
    <row r="1050" spans="1:15" ht="15" customHeight="1" x14ac:dyDescent="0.2">
      <c r="A1050" s="403"/>
      <c r="C1050" s="404"/>
      <c r="E1050" s="308"/>
      <c r="G1050" s="297"/>
      <c r="H1050" s="297"/>
      <c r="J1050" s="297"/>
      <c r="L1050" s="312"/>
      <c r="N1050" s="297"/>
      <c r="O1050" s="64"/>
    </row>
    <row r="1051" spans="1:15" ht="15" customHeight="1" x14ac:dyDescent="0.2">
      <c r="A1051" s="403"/>
      <c r="C1051" s="404"/>
      <c r="E1051" s="308"/>
      <c r="G1051" s="297"/>
      <c r="H1051" s="297"/>
      <c r="J1051" s="297"/>
      <c r="L1051" s="312"/>
      <c r="N1051" s="297"/>
      <c r="O1051" s="64"/>
    </row>
    <row r="1052" spans="1:15" ht="15" customHeight="1" x14ac:dyDescent="0.2">
      <c r="A1052" s="403"/>
      <c r="C1052" s="404"/>
      <c r="E1052" s="308"/>
      <c r="G1052" s="297"/>
      <c r="H1052" s="297"/>
      <c r="J1052" s="297"/>
      <c r="L1052" s="312"/>
      <c r="N1052" s="297"/>
      <c r="O1052" s="64"/>
    </row>
    <row r="1053" spans="1:15" ht="15" customHeight="1" x14ac:dyDescent="0.2">
      <c r="A1053" s="403"/>
      <c r="C1053" s="404"/>
      <c r="E1053" s="308"/>
      <c r="G1053" s="297"/>
      <c r="H1053" s="297"/>
      <c r="J1053" s="297"/>
      <c r="L1053" s="312"/>
      <c r="N1053" s="297"/>
      <c r="O1053" s="64"/>
    </row>
    <row r="1054" spans="1:15" ht="15" customHeight="1" x14ac:dyDescent="0.2">
      <c r="A1054" s="403"/>
      <c r="C1054" s="404"/>
      <c r="E1054" s="308"/>
      <c r="G1054" s="297"/>
      <c r="H1054" s="297"/>
      <c r="J1054" s="297"/>
      <c r="L1054" s="312"/>
      <c r="N1054" s="297"/>
      <c r="O1054" s="64"/>
    </row>
    <row r="1055" spans="1:15" ht="15" customHeight="1" x14ac:dyDescent="0.2">
      <c r="A1055" s="403"/>
      <c r="C1055" s="404"/>
      <c r="E1055" s="308"/>
      <c r="G1055" s="297"/>
      <c r="H1055" s="297"/>
      <c r="J1055" s="297"/>
      <c r="L1055" s="312"/>
      <c r="N1055" s="297"/>
      <c r="O1055" s="64"/>
    </row>
    <row r="1056" spans="1:15" ht="15" customHeight="1" x14ac:dyDescent="0.2">
      <c r="A1056" s="403"/>
      <c r="C1056" s="404"/>
      <c r="E1056" s="308"/>
      <c r="G1056" s="297"/>
      <c r="H1056" s="297"/>
      <c r="J1056" s="297"/>
      <c r="L1056" s="312"/>
      <c r="N1056" s="297"/>
      <c r="O1056" s="64"/>
    </row>
    <row r="1057" spans="1:15" ht="15" customHeight="1" x14ac:dyDescent="0.2">
      <c r="A1057" s="403"/>
      <c r="C1057" s="404"/>
      <c r="E1057" s="308"/>
      <c r="G1057" s="297"/>
      <c r="H1057" s="297"/>
      <c r="J1057" s="297"/>
      <c r="L1057" s="312"/>
      <c r="N1057" s="297"/>
      <c r="O1057" s="64"/>
    </row>
    <row r="1058" spans="1:15" ht="15" customHeight="1" x14ac:dyDescent="0.2">
      <c r="A1058" s="403"/>
      <c r="C1058" s="404"/>
      <c r="E1058" s="308"/>
      <c r="G1058" s="297"/>
      <c r="H1058" s="297"/>
      <c r="J1058" s="297"/>
      <c r="L1058" s="312"/>
      <c r="N1058" s="297"/>
      <c r="O1058" s="64"/>
    </row>
    <row r="1059" spans="1:15" ht="15" customHeight="1" x14ac:dyDescent="0.2">
      <c r="A1059" s="403"/>
      <c r="C1059" s="404"/>
      <c r="E1059" s="308"/>
      <c r="G1059" s="297"/>
      <c r="H1059" s="297"/>
      <c r="J1059" s="297"/>
      <c r="L1059" s="312"/>
      <c r="N1059" s="297"/>
      <c r="O1059" s="64"/>
    </row>
    <row r="1060" spans="1:15" ht="15" customHeight="1" x14ac:dyDescent="0.2">
      <c r="A1060" s="403"/>
      <c r="C1060" s="404"/>
      <c r="E1060" s="308"/>
      <c r="G1060" s="297"/>
      <c r="H1060" s="297"/>
      <c r="J1060" s="297"/>
      <c r="L1060" s="312"/>
      <c r="N1060" s="297"/>
      <c r="O1060" s="64"/>
    </row>
    <row r="1061" spans="1:15" ht="15" customHeight="1" x14ac:dyDescent="0.2">
      <c r="A1061" s="403"/>
      <c r="C1061" s="404"/>
      <c r="E1061" s="308"/>
      <c r="G1061" s="297"/>
      <c r="H1061" s="297"/>
      <c r="J1061" s="297"/>
      <c r="L1061" s="312"/>
      <c r="N1061" s="297"/>
      <c r="O1061" s="64"/>
    </row>
    <row r="1062" spans="1:15" ht="15" customHeight="1" x14ac:dyDescent="0.2">
      <c r="A1062" s="403"/>
      <c r="C1062" s="404"/>
      <c r="E1062" s="308"/>
      <c r="G1062" s="297"/>
      <c r="H1062" s="297"/>
      <c r="J1062" s="297"/>
      <c r="L1062" s="312"/>
      <c r="N1062" s="297"/>
      <c r="O1062" s="64"/>
    </row>
    <row r="1063" spans="1:15" ht="15" customHeight="1" x14ac:dyDescent="0.2">
      <c r="A1063" s="403"/>
      <c r="C1063" s="404"/>
      <c r="E1063" s="308"/>
      <c r="G1063" s="297"/>
      <c r="H1063" s="297"/>
      <c r="J1063" s="297"/>
      <c r="L1063" s="312"/>
      <c r="N1063" s="297"/>
      <c r="O1063" s="64"/>
    </row>
    <row r="1064" spans="1:15" ht="15" customHeight="1" x14ac:dyDescent="0.2">
      <c r="A1064" s="403"/>
      <c r="C1064" s="404"/>
      <c r="E1064" s="308"/>
      <c r="G1064" s="297"/>
      <c r="H1064" s="297"/>
      <c r="J1064" s="297"/>
      <c r="L1064" s="312"/>
      <c r="N1064" s="297"/>
      <c r="O1064" s="64"/>
    </row>
    <row r="1065" spans="1:15" ht="15" customHeight="1" x14ac:dyDescent="0.2">
      <c r="A1065" s="403"/>
      <c r="C1065" s="404"/>
      <c r="E1065" s="308"/>
      <c r="G1065" s="297"/>
      <c r="H1065" s="297"/>
      <c r="J1065" s="297"/>
      <c r="L1065" s="312"/>
      <c r="N1065" s="297"/>
      <c r="O1065" s="64"/>
    </row>
    <row r="1066" spans="1:15" ht="15" customHeight="1" x14ac:dyDescent="0.2">
      <c r="A1066" s="403"/>
      <c r="C1066" s="404"/>
      <c r="E1066" s="308"/>
      <c r="G1066" s="297"/>
      <c r="H1066" s="297"/>
      <c r="J1066" s="297"/>
      <c r="L1066" s="312"/>
      <c r="N1066" s="297"/>
      <c r="O1066" s="64"/>
    </row>
    <row r="1067" spans="1:15" ht="15" customHeight="1" x14ac:dyDescent="0.2">
      <c r="A1067" s="403"/>
      <c r="C1067" s="404"/>
      <c r="E1067" s="308"/>
      <c r="G1067" s="297"/>
      <c r="H1067" s="297"/>
      <c r="J1067" s="297"/>
      <c r="L1067" s="312"/>
      <c r="N1067" s="297"/>
      <c r="O1067" s="64"/>
    </row>
    <row r="1068" spans="1:15" ht="15" customHeight="1" x14ac:dyDescent="0.2">
      <c r="A1068" s="403"/>
      <c r="C1068" s="404"/>
      <c r="E1068" s="308"/>
      <c r="G1068" s="297"/>
      <c r="H1068" s="297"/>
      <c r="J1068" s="297"/>
      <c r="L1068" s="312"/>
      <c r="N1068" s="297"/>
      <c r="O1068" s="64"/>
    </row>
    <row r="1069" spans="1:15" ht="15" customHeight="1" x14ac:dyDescent="0.2">
      <c r="A1069" s="403"/>
      <c r="C1069" s="404"/>
      <c r="E1069" s="308"/>
      <c r="G1069" s="297"/>
      <c r="H1069" s="297"/>
      <c r="J1069" s="297"/>
      <c r="L1069" s="312"/>
      <c r="N1069" s="297"/>
      <c r="O1069" s="64"/>
    </row>
    <row r="1070" spans="1:15" ht="15" customHeight="1" x14ac:dyDescent="0.2">
      <c r="A1070" s="403"/>
      <c r="C1070" s="404"/>
      <c r="E1070" s="308"/>
      <c r="G1070" s="297"/>
      <c r="H1070" s="297"/>
      <c r="J1070" s="297"/>
      <c r="L1070" s="312"/>
      <c r="N1070" s="297"/>
      <c r="O1070" s="64"/>
    </row>
    <row r="1071" spans="1:15" ht="15" customHeight="1" x14ac:dyDescent="0.2">
      <c r="A1071" s="403"/>
      <c r="C1071" s="404"/>
      <c r="E1071" s="308"/>
      <c r="G1071" s="297"/>
      <c r="H1071" s="297"/>
      <c r="J1071" s="297"/>
      <c r="L1071" s="312"/>
      <c r="N1071" s="297"/>
      <c r="O1071" s="64"/>
    </row>
    <row r="1072" spans="1:15" ht="15" customHeight="1" x14ac:dyDescent="0.2">
      <c r="A1072" s="403"/>
      <c r="C1072" s="404"/>
      <c r="E1072" s="308"/>
      <c r="G1072" s="297"/>
      <c r="H1072" s="297"/>
      <c r="J1072" s="297"/>
      <c r="L1072" s="312"/>
      <c r="N1072" s="297"/>
      <c r="O1072" s="64"/>
    </row>
    <row r="1073" spans="1:15" ht="15" customHeight="1" x14ac:dyDescent="0.2">
      <c r="A1073" s="403"/>
      <c r="C1073" s="404"/>
      <c r="E1073" s="308"/>
      <c r="G1073" s="297"/>
      <c r="H1073" s="297"/>
      <c r="J1073" s="297"/>
      <c r="L1073" s="312"/>
      <c r="N1073" s="297"/>
      <c r="O1073" s="64"/>
    </row>
    <row r="1074" spans="1:15" ht="15" customHeight="1" x14ac:dyDescent="0.2">
      <c r="A1074" s="403"/>
      <c r="C1074" s="404"/>
      <c r="E1074" s="308"/>
      <c r="G1074" s="297"/>
      <c r="H1074" s="297"/>
      <c r="J1074" s="297"/>
      <c r="L1074" s="312"/>
      <c r="N1074" s="297"/>
      <c r="O1074" s="64"/>
    </row>
    <row r="1075" spans="1:15" ht="15" customHeight="1" x14ac:dyDescent="0.2">
      <c r="A1075" s="403"/>
      <c r="C1075" s="404"/>
      <c r="E1075" s="308"/>
      <c r="G1075" s="297"/>
      <c r="H1075" s="297"/>
      <c r="J1075" s="297"/>
      <c r="L1075" s="312"/>
      <c r="N1075" s="297"/>
      <c r="O1075" s="64"/>
    </row>
    <row r="1076" spans="1:15" ht="15" customHeight="1" x14ac:dyDescent="0.2">
      <c r="A1076" s="403"/>
      <c r="C1076" s="404"/>
      <c r="E1076" s="308"/>
      <c r="G1076" s="297"/>
      <c r="H1076" s="297"/>
      <c r="J1076" s="297"/>
      <c r="L1076" s="312"/>
      <c r="N1076" s="297"/>
      <c r="O1076" s="64"/>
    </row>
    <row r="1077" spans="1:15" ht="15" customHeight="1" x14ac:dyDescent="0.2">
      <c r="A1077" s="403"/>
      <c r="C1077" s="404"/>
      <c r="E1077" s="308"/>
      <c r="G1077" s="297"/>
      <c r="H1077" s="297"/>
      <c r="J1077" s="297"/>
      <c r="L1077" s="312"/>
      <c r="N1077" s="297"/>
      <c r="O1077" s="64"/>
    </row>
    <row r="1078" spans="1:15" ht="15" customHeight="1" x14ac:dyDescent="0.2">
      <c r="A1078" s="403"/>
      <c r="C1078" s="404"/>
      <c r="E1078" s="308"/>
      <c r="G1078" s="297"/>
      <c r="H1078" s="297"/>
      <c r="J1078" s="297"/>
      <c r="L1078" s="312"/>
      <c r="N1078" s="297"/>
      <c r="O1078" s="64"/>
    </row>
    <row r="1079" spans="1:15" ht="15" customHeight="1" x14ac:dyDescent="0.2">
      <c r="A1079" s="403"/>
      <c r="C1079" s="404"/>
      <c r="E1079" s="308"/>
      <c r="G1079" s="297"/>
      <c r="H1079" s="297"/>
      <c r="J1079" s="297"/>
      <c r="L1079" s="312"/>
      <c r="N1079" s="297"/>
      <c r="O1079" s="64"/>
    </row>
    <row r="1080" spans="1:15" ht="15" customHeight="1" x14ac:dyDescent="0.2">
      <c r="A1080" s="403"/>
      <c r="C1080" s="404"/>
      <c r="E1080" s="308"/>
      <c r="G1080" s="297"/>
      <c r="H1080" s="297"/>
      <c r="J1080" s="297"/>
      <c r="L1080" s="312"/>
      <c r="N1080" s="297"/>
      <c r="O1080" s="64"/>
    </row>
    <row r="1081" spans="1:15" ht="15" customHeight="1" x14ac:dyDescent="0.2">
      <c r="A1081" s="403"/>
      <c r="C1081" s="404"/>
      <c r="E1081" s="308"/>
      <c r="G1081" s="297"/>
      <c r="H1081" s="297"/>
      <c r="J1081" s="297"/>
      <c r="L1081" s="312"/>
      <c r="N1081" s="297"/>
      <c r="O1081" s="64"/>
    </row>
    <row r="1082" spans="1:15" ht="15" customHeight="1" x14ac:dyDescent="0.2">
      <c r="A1082" s="403"/>
      <c r="C1082" s="404"/>
      <c r="E1082" s="308"/>
      <c r="G1082" s="297"/>
      <c r="H1082" s="297"/>
      <c r="J1082" s="297"/>
      <c r="L1082" s="312"/>
      <c r="N1082" s="297"/>
      <c r="O1082" s="64"/>
    </row>
    <row r="1083" spans="1:15" ht="15" customHeight="1" x14ac:dyDescent="0.2">
      <c r="A1083" s="403"/>
      <c r="C1083" s="404"/>
      <c r="E1083" s="308"/>
      <c r="G1083" s="297"/>
      <c r="H1083" s="297"/>
      <c r="J1083" s="297"/>
      <c r="L1083" s="312"/>
      <c r="N1083" s="297"/>
      <c r="O1083" s="64"/>
    </row>
    <row r="1084" spans="1:15" ht="15" customHeight="1" x14ac:dyDescent="0.2">
      <c r="A1084" s="403"/>
      <c r="C1084" s="404"/>
      <c r="E1084" s="308"/>
      <c r="G1084" s="297"/>
      <c r="H1084" s="297"/>
      <c r="J1084" s="297"/>
      <c r="L1084" s="312"/>
      <c r="N1084" s="297"/>
      <c r="O1084" s="64"/>
    </row>
    <row r="1085" spans="1:15" ht="15" customHeight="1" x14ac:dyDescent="0.2">
      <c r="A1085" s="403"/>
      <c r="C1085" s="404"/>
      <c r="E1085" s="308"/>
      <c r="G1085" s="297"/>
      <c r="H1085" s="297"/>
      <c r="J1085" s="297"/>
      <c r="L1085" s="312"/>
      <c r="N1085" s="297"/>
      <c r="O1085" s="64"/>
    </row>
    <row r="1086" spans="1:15" ht="15" customHeight="1" x14ac:dyDescent="0.2">
      <c r="A1086" s="403"/>
      <c r="C1086" s="404"/>
      <c r="E1086" s="308"/>
      <c r="G1086" s="297"/>
      <c r="H1086" s="297"/>
      <c r="J1086" s="297"/>
      <c r="L1086" s="312"/>
      <c r="N1086" s="297"/>
      <c r="O1086" s="64"/>
    </row>
    <row r="1087" spans="1:15" ht="15" customHeight="1" x14ac:dyDescent="0.2">
      <c r="A1087" s="403"/>
      <c r="C1087" s="404"/>
      <c r="E1087" s="308"/>
      <c r="G1087" s="297"/>
      <c r="H1087" s="297"/>
      <c r="J1087" s="297"/>
      <c r="L1087" s="312"/>
      <c r="N1087" s="297"/>
      <c r="O1087" s="64"/>
    </row>
    <row r="1088" spans="1:15" ht="15" customHeight="1" x14ac:dyDescent="0.2">
      <c r="A1088" s="403"/>
      <c r="C1088" s="404"/>
      <c r="E1088" s="308"/>
      <c r="G1088" s="297"/>
      <c r="H1088" s="297"/>
      <c r="J1088" s="297"/>
      <c r="L1088" s="312"/>
      <c r="N1088" s="297"/>
      <c r="O1088" s="64"/>
    </row>
    <row r="1089" spans="1:15" ht="15" customHeight="1" x14ac:dyDescent="0.2">
      <c r="A1089" s="403"/>
      <c r="C1089" s="404"/>
      <c r="E1089" s="308"/>
      <c r="G1089" s="297"/>
      <c r="H1089" s="297"/>
      <c r="J1089" s="297"/>
      <c r="L1089" s="312"/>
      <c r="N1089" s="297"/>
      <c r="O1089" s="64"/>
    </row>
    <row r="1090" spans="1:15" ht="15" customHeight="1" x14ac:dyDescent="0.2">
      <c r="A1090" s="403"/>
      <c r="C1090" s="404"/>
      <c r="E1090" s="308"/>
      <c r="G1090" s="297"/>
      <c r="H1090" s="297"/>
      <c r="J1090" s="297"/>
      <c r="L1090" s="312"/>
      <c r="N1090" s="297"/>
      <c r="O1090" s="64"/>
    </row>
    <row r="1091" spans="1:15" ht="15" customHeight="1" x14ac:dyDescent="0.2">
      <c r="A1091" s="403"/>
      <c r="C1091" s="404"/>
      <c r="E1091" s="308"/>
      <c r="G1091" s="297"/>
      <c r="H1091" s="297"/>
      <c r="J1091" s="297"/>
      <c r="L1091" s="312"/>
      <c r="N1091" s="297"/>
      <c r="O1091" s="64"/>
    </row>
    <row r="1092" spans="1:15" ht="15" customHeight="1" x14ac:dyDescent="0.2">
      <c r="A1092" s="403"/>
      <c r="C1092" s="404"/>
      <c r="E1092" s="308"/>
      <c r="G1092" s="297"/>
      <c r="H1092" s="297"/>
      <c r="J1092" s="297"/>
      <c r="L1092" s="312"/>
      <c r="N1092" s="297"/>
      <c r="O1092" s="64"/>
    </row>
    <row r="1093" spans="1:15" ht="15" customHeight="1" x14ac:dyDescent="0.2">
      <c r="A1093" s="403"/>
      <c r="C1093" s="404"/>
      <c r="E1093" s="308"/>
      <c r="G1093" s="297"/>
      <c r="H1093" s="297"/>
      <c r="J1093" s="297"/>
      <c r="L1093" s="312"/>
      <c r="N1093" s="297"/>
      <c r="O1093" s="64"/>
    </row>
    <row r="1094" spans="1:15" ht="15" customHeight="1" x14ac:dyDescent="0.2">
      <c r="A1094" s="403"/>
      <c r="C1094" s="404"/>
      <c r="E1094" s="308"/>
      <c r="G1094" s="297"/>
      <c r="H1094" s="297"/>
      <c r="J1094" s="297"/>
      <c r="L1094" s="312"/>
      <c r="N1094" s="297"/>
      <c r="O1094" s="64"/>
    </row>
    <row r="1095" spans="1:15" ht="15" customHeight="1" x14ac:dyDescent="0.2">
      <c r="A1095" s="403"/>
      <c r="C1095" s="404"/>
      <c r="E1095" s="308"/>
      <c r="G1095" s="297"/>
      <c r="H1095" s="297"/>
      <c r="J1095" s="297"/>
      <c r="L1095" s="312"/>
      <c r="N1095" s="297"/>
      <c r="O1095" s="64"/>
    </row>
    <row r="1096" spans="1:15" ht="15" customHeight="1" x14ac:dyDescent="0.2">
      <c r="A1096" s="403"/>
      <c r="C1096" s="404"/>
      <c r="E1096" s="308"/>
      <c r="G1096" s="297"/>
      <c r="H1096" s="297"/>
      <c r="J1096" s="297"/>
      <c r="L1096" s="312"/>
      <c r="N1096" s="297"/>
      <c r="O1096" s="64"/>
    </row>
    <row r="1097" spans="1:15" ht="15" customHeight="1" x14ac:dyDescent="0.2">
      <c r="A1097" s="403"/>
      <c r="C1097" s="404"/>
      <c r="E1097" s="308"/>
      <c r="G1097" s="297"/>
      <c r="H1097" s="297"/>
      <c r="J1097" s="297"/>
      <c r="L1097" s="312"/>
      <c r="N1097" s="297"/>
      <c r="O1097" s="64"/>
    </row>
    <row r="1098" spans="1:15" ht="15" customHeight="1" x14ac:dyDescent="0.2">
      <c r="A1098" s="403"/>
      <c r="C1098" s="404"/>
      <c r="E1098" s="308"/>
      <c r="G1098" s="297"/>
      <c r="H1098" s="297"/>
      <c r="J1098" s="297"/>
      <c r="L1098" s="312"/>
      <c r="N1098" s="297"/>
      <c r="O1098" s="64"/>
    </row>
    <row r="1099" spans="1:15" ht="15" customHeight="1" x14ac:dyDescent="0.2">
      <c r="A1099" s="403"/>
      <c r="C1099" s="404"/>
      <c r="E1099" s="308"/>
      <c r="G1099" s="297"/>
      <c r="H1099" s="297"/>
      <c r="J1099" s="297"/>
      <c r="L1099" s="312"/>
      <c r="N1099" s="297"/>
      <c r="O1099" s="64"/>
    </row>
    <row r="1100" spans="1:15" ht="15" customHeight="1" x14ac:dyDescent="0.2">
      <c r="A1100" s="403"/>
      <c r="C1100" s="404"/>
      <c r="E1100" s="308"/>
      <c r="G1100" s="297"/>
      <c r="H1100" s="297"/>
      <c r="J1100" s="297"/>
      <c r="L1100" s="312"/>
      <c r="N1100" s="297"/>
      <c r="O1100" s="64"/>
    </row>
    <row r="1101" spans="1:15" ht="15" customHeight="1" x14ac:dyDescent="0.2">
      <c r="A1101" s="403"/>
      <c r="C1101" s="404"/>
      <c r="E1101" s="308"/>
      <c r="G1101" s="297"/>
      <c r="H1101" s="297"/>
      <c r="J1101" s="297"/>
      <c r="L1101" s="312"/>
      <c r="N1101" s="297"/>
      <c r="O1101" s="64"/>
    </row>
    <row r="1102" spans="1:15" ht="15" customHeight="1" x14ac:dyDescent="0.2">
      <c r="A1102" s="403"/>
      <c r="C1102" s="404"/>
      <c r="E1102" s="308"/>
      <c r="G1102" s="297"/>
      <c r="H1102" s="297"/>
      <c r="J1102" s="297"/>
      <c r="L1102" s="312"/>
      <c r="N1102" s="297"/>
      <c r="O1102" s="64"/>
    </row>
    <row r="1103" spans="1:15" ht="15" customHeight="1" x14ac:dyDescent="0.2">
      <c r="A1103" s="403"/>
      <c r="C1103" s="404"/>
      <c r="E1103" s="308"/>
      <c r="G1103" s="297"/>
      <c r="H1103" s="297"/>
      <c r="J1103" s="297"/>
      <c r="L1103" s="312"/>
      <c r="N1103" s="297"/>
      <c r="O1103" s="64"/>
    </row>
    <row r="1104" spans="1:15" ht="15" customHeight="1" x14ac:dyDescent="0.2">
      <c r="A1104" s="403"/>
      <c r="C1104" s="404"/>
      <c r="E1104" s="308"/>
      <c r="G1104" s="297"/>
      <c r="H1104" s="297"/>
      <c r="J1104" s="297"/>
      <c r="L1104" s="312"/>
      <c r="N1104" s="297"/>
      <c r="O1104" s="64"/>
    </row>
    <row r="1105" spans="1:15" ht="15" customHeight="1" x14ac:dyDescent="0.2">
      <c r="A1105" s="403"/>
      <c r="C1105" s="404"/>
      <c r="E1105" s="308"/>
      <c r="G1105" s="297"/>
      <c r="H1105" s="297"/>
      <c r="J1105" s="297"/>
      <c r="L1105" s="312"/>
      <c r="N1105" s="297"/>
      <c r="O1105" s="64"/>
    </row>
    <row r="1106" spans="1:15" ht="15" customHeight="1" x14ac:dyDescent="0.2">
      <c r="A1106" s="403"/>
      <c r="C1106" s="404"/>
      <c r="E1106" s="308"/>
      <c r="G1106" s="297"/>
      <c r="H1106" s="297"/>
      <c r="J1106" s="297"/>
      <c r="L1106" s="312"/>
      <c r="N1106" s="297"/>
      <c r="O1106" s="64"/>
    </row>
    <row r="1107" spans="1:15" ht="15" customHeight="1" x14ac:dyDescent="0.2">
      <c r="A1107" s="403"/>
      <c r="C1107" s="404"/>
      <c r="E1107" s="308"/>
      <c r="G1107" s="297"/>
      <c r="H1107" s="297"/>
      <c r="J1107" s="297"/>
      <c r="L1107" s="312"/>
      <c r="N1107" s="297"/>
      <c r="O1107" s="64"/>
    </row>
    <row r="1108" spans="1:15" ht="15" customHeight="1" x14ac:dyDescent="0.2">
      <c r="A1108" s="403"/>
      <c r="C1108" s="404"/>
      <c r="E1108" s="308"/>
      <c r="G1108" s="297"/>
      <c r="H1108" s="297"/>
      <c r="J1108" s="297"/>
      <c r="L1108" s="312"/>
      <c r="N1108" s="297"/>
      <c r="O1108" s="64"/>
    </row>
    <row r="1109" spans="1:15" ht="15" customHeight="1" x14ac:dyDescent="0.2">
      <c r="A1109" s="403"/>
      <c r="C1109" s="404"/>
      <c r="E1109" s="308"/>
      <c r="G1109" s="297"/>
      <c r="H1109" s="297"/>
      <c r="J1109" s="297"/>
      <c r="L1109" s="312"/>
      <c r="N1109" s="297"/>
      <c r="O1109" s="64"/>
    </row>
    <row r="1110" spans="1:15" ht="15" customHeight="1" x14ac:dyDescent="0.2">
      <c r="A1110" s="403"/>
      <c r="C1110" s="404"/>
      <c r="E1110" s="308"/>
      <c r="G1110" s="297"/>
      <c r="H1110" s="297"/>
      <c r="J1110" s="297"/>
      <c r="L1110" s="312"/>
      <c r="N1110" s="297"/>
      <c r="O1110" s="64"/>
    </row>
    <row r="1111" spans="1:15" ht="15" customHeight="1" x14ac:dyDescent="0.2">
      <c r="A1111" s="403"/>
      <c r="C1111" s="404"/>
      <c r="E1111" s="308"/>
      <c r="G1111" s="297"/>
      <c r="H1111" s="297"/>
      <c r="J1111" s="297"/>
      <c r="L1111" s="312"/>
      <c r="N1111" s="297"/>
      <c r="O1111" s="64"/>
    </row>
    <row r="1112" spans="1:15" ht="15" customHeight="1" x14ac:dyDescent="0.2">
      <c r="A1112" s="403"/>
      <c r="C1112" s="404"/>
      <c r="E1112" s="308"/>
      <c r="G1112" s="297"/>
      <c r="H1112" s="297"/>
      <c r="J1112" s="297"/>
      <c r="L1112" s="312"/>
      <c r="N1112" s="297"/>
      <c r="O1112" s="64"/>
    </row>
    <row r="1113" spans="1:15" ht="15" customHeight="1" x14ac:dyDescent="0.2">
      <c r="A1113" s="403"/>
      <c r="C1113" s="404"/>
      <c r="E1113" s="308"/>
      <c r="G1113" s="297"/>
      <c r="H1113" s="297"/>
      <c r="J1113" s="297"/>
      <c r="L1113" s="312"/>
      <c r="N1113" s="297"/>
      <c r="O1113" s="64"/>
    </row>
    <row r="1114" spans="1:15" ht="15" customHeight="1" x14ac:dyDescent="0.2">
      <c r="A1114" s="403"/>
      <c r="C1114" s="404"/>
      <c r="E1114" s="308"/>
      <c r="G1114" s="297"/>
      <c r="H1114" s="297"/>
      <c r="J1114" s="297"/>
      <c r="L1114" s="312"/>
      <c r="N1114" s="297"/>
      <c r="O1114" s="64"/>
    </row>
    <row r="1115" spans="1:15" ht="15" customHeight="1" x14ac:dyDescent="0.2">
      <c r="A1115" s="403"/>
      <c r="C1115" s="404"/>
      <c r="E1115" s="308"/>
      <c r="G1115" s="297"/>
      <c r="H1115" s="297"/>
      <c r="J1115" s="297"/>
      <c r="L1115" s="312"/>
      <c r="N1115" s="297"/>
      <c r="O1115" s="64"/>
    </row>
    <row r="1116" spans="1:15" ht="15" customHeight="1" x14ac:dyDescent="0.2">
      <c r="A1116" s="403"/>
      <c r="C1116" s="404"/>
      <c r="E1116" s="308"/>
      <c r="G1116" s="297"/>
      <c r="H1116" s="297"/>
      <c r="J1116" s="297"/>
      <c r="L1116" s="312"/>
      <c r="N1116" s="297"/>
      <c r="O1116" s="64"/>
    </row>
    <row r="1117" spans="1:15" ht="15" customHeight="1" x14ac:dyDescent="0.2">
      <c r="A1117" s="403"/>
      <c r="C1117" s="404"/>
      <c r="E1117" s="308"/>
      <c r="G1117" s="297"/>
      <c r="H1117" s="297"/>
      <c r="J1117" s="297"/>
      <c r="L1117" s="312"/>
      <c r="N1117" s="297"/>
      <c r="O1117" s="64"/>
    </row>
    <row r="1118" spans="1:15" ht="15" customHeight="1" x14ac:dyDescent="0.2">
      <c r="A1118" s="403"/>
      <c r="C1118" s="404"/>
      <c r="E1118" s="308"/>
      <c r="G1118" s="297"/>
      <c r="H1118" s="297"/>
      <c r="J1118" s="297"/>
      <c r="L1118" s="312"/>
      <c r="N1118" s="297"/>
      <c r="O1118" s="64"/>
    </row>
    <row r="1119" spans="1:15" ht="15" customHeight="1" x14ac:dyDescent="0.2">
      <c r="A1119" s="403"/>
      <c r="C1119" s="404"/>
      <c r="E1119" s="308"/>
      <c r="G1119" s="297"/>
      <c r="H1119" s="297"/>
      <c r="J1119" s="297"/>
      <c r="L1119" s="312"/>
      <c r="N1119" s="297"/>
      <c r="O1119" s="64"/>
    </row>
    <row r="1120" spans="1:15" ht="15" customHeight="1" x14ac:dyDescent="0.2">
      <c r="A1120" s="403"/>
      <c r="C1120" s="404"/>
      <c r="E1120" s="308"/>
      <c r="G1120" s="297"/>
      <c r="H1120" s="297"/>
      <c r="J1120" s="297"/>
      <c r="L1120" s="312"/>
      <c r="N1120" s="297"/>
      <c r="O1120" s="64"/>
    </row>
    <row r="1121" spans="1:15" ht="15" customHeight="1" x14ac:dyDescent="0.2">
      <c r="A1121" s="403"/>
      <c r="C1121" s="404"/>
      <c r="E1121" s="308"/>
      <c r="G1121" s="297"/>
      <c r="H1121" s="297"/>
      <c r="J1121" s="297"/>
      <c r="L1121" s="312"/>
      <c r="N1121" s="297"/>
      <c r="O1121" s="64"/>
    </row>
    <row r="1122" spans="1:15" ht="15" customHeight="1" x14ac:dyDescent="0.2">
      <c r="A1122" s="403"/>
      <c r="C1122" s="404"/>
      <c r="E1122" s="308"/>
      <c r="G1122" s="297"/>
      <c r="H1122" s="297"/>
      <c r="J1122" s="297"/>
      <c r="L1122" s="312"/>
      <c r="N1122" s="297"/>
      <c r="O1122" s="64"/>
    </row>
    <row r="1123" spans="1:15" ht="15" customHeight="1" x14ac:dyDescent="0.2">
      <c r="A1123" s="403"/>
      <c r="C1123" s="404"/>
      <c r="E1123" s="308"/>
      <c r="G1123" s="297"/>
      <c r="H1123" s="297"/>
      <c r="J1123" s="297"/>
      <c r="L1123" s="312"/>
      <c r="N1123" s="297"/>
      <c r="O1123" s="64"/>
    </row>
    <row r="1124" spans="1:15" ht="15" customHeight="1" x14ac:dyDescent="0.2">
      <c r="A1124" s="403"/>
      <c r="C1124" s="404"/>
      <c r="E1124" s="308"/>
      <c r="G1124" s="297"/>
      <c r="H1124" s="297"/>
      <c r="J1124" s="297"/>
      <c r="L1124" s="312"/>
      <c r="N1124" s="297"/>
      <c r="O1124" s="64"/>
    </row>
    <row r="1125" spans="1:15" ht="15" customHeight="1" x14ac:dyDescent="0.2">
      <c r="A1125" s="403"/>
      <c r="C1125" s="404"/>
      <c r="E1125" s="308"/>
      <c r="G1125" s="297"/>
      <c r="H1125" s="297"/>
      <c r="J1125" s="297"/>
      <c r="L1125" s="312"/>
      <c r="N1125" s="297"/>
      <c r="O1125" s="64"/>
    </row>
    <row r="1126" spans="1:15" ht="15" customHeight="1" x14ac:dyDescent="0.2">
      <c r="A1126" s="403"/>
      <c r="C1126" s="404"/>
      <c r="E1126" s="308"/>
      <c r="G1126" s="297"/>
      <c r="H1126" s="297"/>
      <c r="J1126" s="297"/>
      <c r="L1126" s="312"/>
      <c r="N1126" s="297"/>
      <c r="O1126" s="64"/>
    </row>
    <row r="1127" spans="1:15" ht="15" customHeight="1" x14ac:dyDescent="0.2">
      <c r="A1127" s="403"/>
      <c r="C1127" s="404"/>
      <c r="E1127" s="308"/>
      <c r="G1127" s="297"/>
      <c r="H1127" s="297"/>
      <c r="J1127" s="297"/>
      <c r="L1127" s="312"/>
      <c r="N1127" s="297"/>
      <c r="O1127" s="64"/>
    </row>
    <row r="1128" spans="1:15" ht="15" customHeight="1" x14ac:dyDescent="0.2">
      <c r="A1128" s="403"/>
      <c r="C1128" s="404"/>
      <c r="E1128" s="308"/>
      <c r="G1128" s="297"/>
      <c r="H1128" s="297"/>
      <c r="J1128" s="297"/>
      <c r="L1128" s="312"/>
      <c r="N1128" s="297"/>
      <c r="O1128" s="64"/>
    </row>
    <row r="1129" spans="1:15" ht="15" customHeight="1" x14ac:dyDescent="0.2">
      <c r="A1129" s="403"/>
      <c r="C1129" s="404"/>
      <c r="E1129" s="308"/>
      <c r="G1129" s="297"/>
      <c r="H1129" s="297"/>
      <c r="J1129" s="297"/>
      <c r="L1129" s="312"/>
      <c r="N1129" s="297"/>
      <c r="O1129" s="64"/>
    </row>
    <row r="1130" spans="1:15" ht="15" customHeight="1" x14ac:dyDescent="0.2">
      <c r="A1130" s="403"/>
      <c r="C1130" s="404"/>
      <c r="E1130" s="308"/>
      <c r="G1130" s="297"/>
      <c r="H1130" s="297"/>
      <c r="J1130" s="297"/>
      <c r="L1130" s="312"/>
      <c r="N1130" s="297"/>
      <c r="O1130" s="64"/>
    </row>
    <row r="1131" spans="1:15" ht="15" customHeight="1" x14ac:dyDescent="0.2">
      <c r="A1131" s="403"/>
      <c r="C1131" s="404"/>
      <c r="E1131" s="308"/>
      <c r="G1131" s="297"/>
      <c r="H1131" s="297"/>
      <c r="J1131" s="297"/>
      <c r="L1131" s="312"/>
      <c r="N1131" s="297"/>
      <c r="O1131" s="64"/>
    </row>
    <row r="1132" spans="1:15" ht="15" customHeight="1" x14ac:dyDescent="0.2">
      <c r="A1132" s="403"/>
      <c r="C1132" s="404"/>
      <c r="E1132" s="308"/>
      <c r="G1132" s="297"/>
      <c r="H1132" s="297"/>
      <c r="J1132" s="297"/>
      <c r="L1132" s="312"/>
      <c r="N1132" s="297"/>
      <c r="O1132" s="64"/>
    </row>
    <row r="1133" spans="1:15" ht="15" customHeight="1" x14ac:dyDescent="0.2">
      <c r="A1133" s="403"/>
      <c r="C1133" s="404"/>
      <c r="E1133" s="308"/>
      <c r="G1133" s="297"/>
      <c r="H1133" s="297"/>
      <c r="J1133" s="297"/>
      <c r="L1133" s="312"/>
      <c r="N1133" s="297"/>
      <c r="O1133" s="64"/>
    </row>
    <row r="1134" spans="1:15" ht="15" customHeight="1" x14ac:dyDescent="0.2">
      <c r="A1134" s="403"/>
      <c r="C1134" s="404"/>
      <c r="E1134" s="308"/>
      <c r="G1134" s="297"/>
      <c r="H1134" s="297"/>
      <c r="J1134" s="297"/>
      <c r="L1134" s="312"/>
      <c r="N1134" s="297"/>
      <c r="O1134" s="64"/>
    </row>
    <row r="1135" spans="1:15" ht="15" customHeight="1" x14ac:dyDescent="0.2">
      <c r="A1135" s="403"/>
      <c r="C1135" s="404"/>
      <c r="E1135" s="308"/>
      <c r="G1135" s="297"/>
      <c r="H1135" s="297"/>
      <c r="J1135" s="297"/>
      <c r="L1135" s="312"/>
      <c r="N1135" s="297"/>
      <c r="O1135" s="64"/>
    </row>
    <row r="1136" spans="1:15" ht="15" customHeight="1" x14ac:dyDescent="0.2">
      <c r="A1136" s="403"/>
      <c r="C1136" s="404"/>
      <c r="E1136" s="308"/>
      <c r="G1136" s="297"/>
      <c r="H1136" s="297"/>
      <c r="J1136" s="297"/>
      <c r="L1136" s="312"/>
      <c r="N1136" s="297"/>
      <c r="O1136" s="64"/>
    </row>
    <row r="1137" spans="1:15" ht="15" customHeight="1" x14ac:dyDescent="0.2">
      <c r="A1137" s="403"/>
      <c r="C1137" s="404"/>
      <c r="E1137" s="308"/>
      <c r="G1137" s="297"/>
      <c r="H1137" s="297"/>
      <c r="J1137" s="297"/>
      <c r="L1137" s="312"/>
      <c r="N1137" s="297"/>
      <c r="O1137" s="64"/>
    </row>
    <row r="1138" spans="1:15" ht="15" customHeight="1" x14ac:dyDescent="0.2">
      <c r="A1138" s="403"/>
      <c r="C1138" s="404"/>
      <c r="E1138" s="308"/>
      <c r="G1138" s="297"/>
      <c r="H1138" s="297"/>
      <c r="J1138" s="297"/>
      <c r="L1138" s="312"/>
      <c r="N1138" s="297"/>
      <c r="O1138" s="64"/>
    </row>
    <row r="1139" spans="1:15" ht="15" customHeight="1" x14ac:dyDescent="0.2">
      <c r="A1139" s="403"/>
      <c r="C1139" s="404"/>
      <c r="E1139" s="308"/>
      <c r="G1139" s="297"/>
      <c r="H1139" s="297"/>
      <c r="J1139" s="297"/>
      <c r="L1139" s="312"/>
      <c r="N1139" s="297"/>
      <c r="O1139" s="64"/>
    </row>
    <row r="1140" spans="1:15" ht="15" customHeight="1" x14ac:dyDescent="0.2">
      <c r="A1140" s="403"/>
      <c r="C1140" s="404"/>
      <c r="E1140" s="308"/>
      <c r="G1140" s="297"/>
      <c r="H1140" s="297"/>
      <c r="J1140" s="297"/>
      <c r="L1140" s="312"/>
      <c r="N1140" s="297"/>
      <c r="O1140" s="64"/>
    </row>
    <row r="1141" spans="1:15" ht="15" customHeight="1" x14ac:dyDescent="0.2">
      <c r="A1141" s="403"/>
      <c r="C1141" s="404"/>
      <c r="E1141" s="308"/>
      <c r="G1141" s="297"/>
      <c r="H1141" s="297"/>
      <c r="J1141" s="297"/>
      <c r="L1141" s="312"/>
      <c r="N1141" s="297"/>
      <c r="O1141" s="64"/>
    </row>
    <row r="1142" spans="1:15" ht="15" customHeight="1" x14ac:dyDescent="0.2">
      <c r="A1142" s="403"/>
      <c r="C1142" s="404"/>
      <c r="E1142" s="308"/>
      <c r="G1142" s="297"/>
      <c r="H1142" s="297"/>
      <c r="J1142" s="297"/>
      <c r="L1142" s="312"/>
      <c r="N1142" s="297"/>
      <c r="O1142" s="64"/>
    </row>
    <row r="1143" spans="1:15" ht="15" customHeight="1" x14ac:dyDescent="0.2">
      <c r="A1143" s="403"/>
      <c r="C1143" s="404"/>
      <c r="E1143" s="308"/>
      <c r="G1143" s="297"/>
      <c r="H1143" s="297"/>
      <c r="J1143" s="297"/>
      <c r="L1143" s="312"/>
      <c r="N1143" s="297"/>
      <c r="O1143" s="64"/>
    </row>
    <row r="1144" spans="1:15" ht="15" customHeight="1" x14ac:dyDescent="0.2">
      <c r="A1144" s="403"/>
      <c r="C1144" s="404"/>
      <c r="E1144" s="308"/>
      <c r="G1144" s="297"/>
      <c r="H1144" s="297"/>
      <c r="J1144" s="297"/>
      <c r="L1144" s="312"/>
      <c r="N1144" s="297"/>
      <c r="O1144" s="64"/>
    </row>
    <row r="1145" spans="1:15" ht="15" customHeight="1" x14ac:dyDescent="0.2">
      <c r="A1145" s="403"/>
      <c r="C1145" s="404"/>
      <c r="E1145" s="308"/>
      <c r="G1145" s="297"/>
      <c r="H1145" s="297"/>
      <c r="J1145" s="297"/>
      <c r="L1145" s="312"/>
      <c r="N1145" s="297"/>
      <c r="O1145" s="64"/>
    </row>
    <row r="1146" spans="1:15" ht="15" customHeight="1" x14ac:dyDescent="0.2">
      <c r="A1146" s="403"/>
      <c r="C1146" s="404"/>
      <c r="E1146" s="308"/>
      <c r="G1146" s="297"/>
      <c r="H1146" s="297"/>
      <c r="J1146" s="297"/>
      <c r="L1146" s="312"/>
      <c r="N1146" s="297"/>
      <c r="O1146" s="64"/>
    </row>
    <row r="1147" spans="1:15" ht="15" customHeight="1" x14ac:dyDescent="0.2">
      <c r="A1147" s="403"/>
      <c r="C1147" s="404"/>
      <c r="E1147" s="308"/>
      <c r="G1147" s="297"/>
      <c r="H1147" s="297"/>
      <c r="J1147" s="297"/>
      <c r="L1147" s="312"/>
      <c r="N1147" s="297"/>
      <c r="O1147" s="64"/>
    </row>
    <row r="1148" spans="1:15" ht="15" customHeight="1" x14ac:dyDescent="0.2">
      <c r="A1148" s="403"/>
      <c r="C1148" s="404"/>
      <c r="E1148" s="308"/>
      <c r="G1148" s="297"/>
      <c r="H1148" s="297"/>
      <c r="J1148" s="297"/>
      <c r="L1148" s="312"/>
      <c r="N1148" s="297"/>
      <c r="O1148" s="64"/>
    </row>
    <row r="1149" spans="1:15" ht="15" customHeight="1" x14ac:dyDescent="0.2">
      <c r="A1149" s="403"/>
      <c r="C1149" s="404"/>
      <c r="E1149" s="308"/>
      <c r="G1149" s="297"/>
      <c r="H1149" s="297"/>
      <c r="J1149" s="297"/>
      <c r="L1149" s="312"/>
      <c r="N1149" s="297"/>
      <c r="O1149" s="64"/>
    </row>
    <row r="1150" spans="1:15" ht="15" customHeight="1" x14ac:dyDescent="0.2">
      <c r="A1150" s="403"/>
      <c r="C1150" s="404"/>
      <c r="E1150" s="308"/>
      <c r="G1150" s="297"/>
      <c r="H1150" s="297"/>
      <c r="J1150" s="297"/>
      <c r="L1150" s="312"/>
      <c r="N1150" s="297"/>
      <c r="O1150" s="64"/>
    </row>
    <row r="1151" spans="1:15" ht="15" customHeight="1" x14ac:dyDescent="0.2">
      <c r="A1151" s="403"/>
      <c r="C1151" s="404"/>
      <c r="E1151" s="308"/>
      <c r="G1151" s="297"/>
      <c r="H1151" s="297"/>
      <c r="J1151" s="297"/>
      <c r="L1151" s="312"/>
      <c r="N1151" s="297"/>
      <c r="O1151" s="64"/>
    </row>
    <row r="1152" spans="1:15" ht="15" customHeight="1" x14ac:dyDescent="0.2">
      <c r="A1152" s="403"/>
      <c r="C1152" s="404"/>
      <c r="E1152" s="308"/>
      <c r="G1152" s="297"/>
      <c r="H1152" s="297"/>
      <c r="J1152" s="297"/>
      <c r="L1152" s="312"/>
      <c r="N1152" s="297"/>
      <c r="O1152" s="64"/>
    </row>
    <row r="1153" spans="1:15" ht="15" customHeight="1" x14ac:dyDescent="0.2">
      <c r="A1153" s="403"/>
      <c r="C1153" s="404"/>
      <c r="E1153" s="308"/>
      <c r="G1153" s="297"/>
      <c r="H1153" s="297"/>
      <c r="J1153" s="297"/>
      <c r="L1153" s="312"/>
      <c r="N1153" s="297"/>
      <c r="O1153" s="64"/>
    </row>
    <row r="1154" spans="1:15" ht="15" customHeight="1" x14ac:dyDescent="0.2">
      <c r="A1154" s="403"/>
      <c r="C1154" s="404"/>
      <c r="E1154" s="308"/>
      <c r="G1154" s="297"/>
      <c r="H1154" s="297"/>
      <c r="J1154" s="297"/>
      <c r="L1154" s="312"/>
      <c r="N1154" s="297"/>
      <c r="O1154" s="64"/>
    </row>
    <row r="1155" spans="1:15" ht="15" customHeight="1" x14ac:dyDescent="0.2">
      <c r="A1155" s="403"/>
      <c r="C1155" s="404"/>
      <c r="E1155" s="308"/>
      <c r="G1155" s="297"/>
      <c r="H1155" s="297"/>
      <c r="J1155" s="297"/>
      <c r="L1155" s="312"/>
      <c r="N1155" s="297"/>
      <c r="O1155" s="64"/>
    </row>
    <row r="1156" spans="1:15" ht="15" customHeight="1" x14ac:dyDescent="0.2">
      <c r="A1156" s="403"/>
      <c r="C1156" s="404"/>
      <c r="E1156" s="308"/>
      <c r="G1156" s="297"/>
      <c r="H1156" s="297"/>
      <c r="J1156" s="297"/>
      <c r="L1156" s="312"/>
      <c r="N1156" s="297"/>
      <c r="O1156" s="64"/>
    </row>
    <row r="1157" spans="1:15" ht="15" customHeight="1" x14ac:dyDescent="0.2">
      <c r="A1157" s="403"/>
      <c r="C1157" s="404"/>
      <c r="E1157" s="308"/>
      <c r="G1157" s="297"/>
      <c r="H1157" s="297"/>
      <c r="J1157" s="297"/>
      <c r="L1157" s="312"/>
      <c r="N1157" s="297"/>
      <c r="O1157" s="64"/>
    </row>
    <row r="1158" spans="1:15" ht="15" customHeight="1" x14ac:dyDescent="0.2">
      <c r="A1158" s="403"/>
      <c r="C1158" s="404"/>
      <c r="E1158" s="308"/>
      <c r="G1158" s="297"/>
      <c r="H1158" s="297"/>
      <c r="J1158" s="297"/>
      <c r="L1158" s="312"/>
      <c r="N1158" s="297"/>
      <c r="O1158" s="64"/>
    </row>
    <row r="1159" spans="1:15" ht="15" customHeight="1" x14ac:dyDescent="0.2">
      <c r="A1159" s="403"/>
      <c r="C1159" s="404"/>
      <c r="E1159" s="308"/>
      <c r="G1159" s="297"/>
      <c r="H1159" s="297"/>
      <c r="J1159" s="297"/>
      <c r="L1159" s="312"/>
      <c r="N1159" s="297"/>
      <c r="O1159" s="64"/>
    </row>
    <row r="1160" spans="1:15" ht="15" customHeight="1" x14ac:dyDescent="0.2">
      <c r="A1160" s="403"/>
      <c r="C1160" s="404"/>
      <c r="E1160" s="308"/>
      <c r="G1160" s="297"/>
      <c r="H1160" s="297"/>
      <c r="J1160" s="297"/>
      <c r="L1160" s="312"/>
      <c r="N1160" s="297"/>
      <c r="O1160" s="64"/>
    </row>
    <row r="1161" spans="1:15" ht="15" customHeight="1" x14ac:dyDescent="0.2">
      <c r="A1161" s="403"/>
      <c r="C1161" s="404"/>
      <c r="E1161" s="308"/>
      <c r="G1161" s="297"/>
      <c r="H1161" s="297"/>
      <c r="J1161" s="297"/>
      <c r="L1161" s="312"/>
      <c r="N1161" s="297"/>
      <c r="O1161" s="64"/>
    </row>
    <row r="1162" spans="1:15" ht="15" customHeight="1" x14ac:dyDescent="0.2">
      <c r="A1162" s="403"/>
      <c r="C1162" s="404"/>
      <c r="E1162" s="308"/>
      <c r="G1162" s="297"/>
      <c r="H1162" s="297"/>
      <c r="J1162" s="297"/>
      <c r="L1162" s="312"/>
      <c r="N1162" s="297"/>
      <c r="O1162" s="64"/>
    </row>
    <row r="1163" spans="1:15" ht="15" customHeight="1" x14ac:dyDescent="0.2">
      <c r="A1163" s="403"/>
      <c r="C1163" s="404"/>
      <c r="E1163" s="308"/>
      <c r="G1163" s="297"/>
      <c r="H1163" s="297"/>
      <c r="J1163" s="297"/>
      <c r="L1163" s="312"/>
      <c r="N1163" s="297"/>
      <c r="O1163" s="64"/>
    </row>
    <row r="1164" spans="1:15" ht="15" customHeight="1" x14ac:dyDescent="0.2">
      <c r="A1164" s="403"/>
      <c r="C1164" s="404"/>
      <c r="E1164" s="308"/>
      <c r="G1164" s="297"/>
      <c r="H1164" s="297"/>
      <c r="J1164" s="297"/>
      <c r="L1164" s="312"/>
      <c r="N1164" s="297"/>
      <c r="O1164" s="64"/>
    </row>
    <row r="1165" spans="1:15" ht="15" customHeight="1" x14ac:dyDescent="0.2">
      <c r="A1165" s="403"/>
      <c r="C1165" s="404"/>
      <c r="E1165" s="308"/>
      <c r="G1165" s="297"/>
      <c r="H1165" s="297"/>
      <c r="J1165" s="297"/>
      <c r="L1165" s="312"/>
      <c r="N1165" s="297"/>
      <c r="O1165" s="64"/>
    </row>
    <row r="1166" spans="1:15" ht="15" customHeight="1" x14ac:dyDescent="0.2">
      <c r="A1166" s="403"/>
      <c r="C1166" s="404"/>
      <c r="E1166" s="308"/>
      <c r="G1166" s="297"/>
      <c r="H1166" s="297"/>
      <c r="J1166" s="297"/>
      <c r="L1166" s="312"/>
      <c r="N1166" s="297"/>
      <c r="O1166" s="64"/>
    </row>
    <row r="1167" spans="1:15" ht="15" customHeight="1" x14ac:dyDescent="0.2">
      <c r="A1167" s="403"/>
      <c r="C1167" s="404"/>
      <c r="E1167" s="308"/>
      <c r="G1167" s="297"/>
      <c r="H1167" s="297"/>
      <c r="J1167" s="297"/>
      <c r="L1167" s="312"/>
      <c r="N1167" s="297"/>
      <c r="O1167" s="64"/>
    </row>
    <row r="1168" spans="1:15" ht="15" customHeight="1" x14ac:dyDescent="0.2">
      <c r="A1168" s="403"/>
      <c r="C1168" s="404"/>
      <c r="E1168" s="308"/>
      <c r="G1168" s="297"/>
      <c r="H1168" s="297"/>
      <c r="J1168" s="297"/>
      <c r="L1168" s="312"/>
      <c r="N1168" s="297"/>
      <c r="O1168" s="64"/>
    </row>
    <row r="1169" spans="1:15" ht="15" customHeight="1" x14ac:dyDescent="0.2">
      <c r="A1169" s="403"/>
      <c r="C1169" s="404"/>
      <c r="E1169" s="308"/>
      <c r="G1169" s="297"/>
      <c r="H1169" s="297"/>
      <c r="J1169" s="297"/>
      <c r="L1169" s="312"/>
      <c r="N1169" s="297"/>
      <c r="O1169" s="64"/>
    </row>
    <row r="1170" spans="1:15" ht="15" customHeight="1" x14ac:dyDescent="0.2">
      <c r="A1170" s="403"/>
      <c r="C1170" s="404"/>
      <c r="E1170" s="308"/>
      <c r="G1170" s="297"/>
      <c r="H1170" s="297"/>
      <c r="J1170" s="297"/>
      <c r="L1170" s="312"/>
      <c r="N1170" s="297"/>
      <c r="O1170" s="64"/>
    </row>
    <row r="1171" spans="1:15" ht="15" customHeight="1" x14ac:dyDescent="0.2">
      <c r="A1171" s="403"/>
      <c r="C1171" s="404"/>
      <c r="E1171" s="308"/>
      <c r="G1171" s="297"/>
      <c r="H1171" s="297"/>
      <c r="J1171" s="297"/>
      <c r="L1171" s="312"/>
      <c r="N1171" s="297"/>
      <c r="O1171" s="64"/>
    </row>
    <row r="1172" spans="1:15" ht="15" customHeight="1" x14ac:dyDescent="0.2">
      <c r="A1172" s="403"/>
      <c r="C1172" s="404"/>
      <c r="E1172" s="308"/>
      <c r="G1172" s="297"/>
      <c r="H1172" s="297"/>
      <c r="J1172" s="297"/>
      <c r="L1172" s="312"/>
      <c r="N1172" s="297"/>
      <c r="O1172" s="64"/>
    </row>
    <row r="1173" spans="1:15" ht="15" customHeight="1" x14ac:dyDescent="0.2">
      <c r="A1173" s="403"/>
      <c r="C1173" s="404"/>
      <c r="E1173" s="308"/>
      <c r="G1173" s="297"/>
      <c r="H1173" s="297"/>
      <c r="J1173" s="297"/>
      <c r="L1173" s="312"/>
      <c r="N1173" s="297"/>
      <c r="O1173" s="64"/>
    </row>
    <row r="1174" spans="1:15" ht="15" customHeight="1" x14ac:dyDescent="0.2">
      <c r="A1174" s="403"/>
      <c r="C1174" s="404"/>
      <c r="E1174" s="308"/>
      <c r="G1174" s="297"/>
      <c r="H1174" s="297"/>
      <c r="J1174" s="297"/>
      <c r="L1174" s="312"/>
      <c r="N1174" s="297"/>
      <c r="O1174" s="64"/>
    </row>
    <row r="1175" spans="1:15" ht="15" customHeight="1" x14ac:dyDescent="0.2">
      <c r="A1175" s="403"/>
      <c r="C1175" s="404"/>
      <c r="E1175" s="308"/>
      <c r="G1175" s="297"/>
      <c r="H1175" s="297"/>
      <c r="J1175" s="297"/>
      <c r="L1175" s="312"/>
      <c r="N1175" s="297"/>
      <c r="O1175" s="64"/>
    </row>
    <row r="1176" spans="1:15" ht="15" customHeight="1" x14ac:dyDescent="0.2">
      <c r="A1176" s="403"/>
      <c r="C1176" s="404"/>
      <c r="E1176" s="308"/>
      <c r="G1176" s="297"/>
      <c r="H1176" s="297"/>
      <c r="J1176" s="297"/>
      <c r="L1176" s="312"/>
      <c r="N1176" s="297"/>
      <c r="O1176" s="64"/>
    </row>
    <row r="1177" spans="1:15" ht="15" customHeight="1" x14ac:dyDescent="0.2">
      <c r="A1177" s="403"/>
      <c r="C1177" s="404"/>
      <c r="E1177" s="308"/>
      <c r="G1177" s="297"/>
      <c r="H1177" s="297"/>
      <c r="J1177" s="297"/>
      <c r="L1177" s="312"/>
      <c r="N1177" s="297"/>
      <c r="O1177" s="64"/>
    </row>
    <row r="1178" spans="1:15" ht="15" customHeight="1" x14ac:dyDescent="0.2">
      <c r="A1178" s="403"/>
      <c r="C1178" s="404"/>
      <c r="E1178" s="308"/>
      <c r="G1178" s="297"/>
      <c r="H1178" s="297"/>
      <c r="J1178" s="297"/>
      <c r="L1178" s="312"/>
      <c r="N1178" s="297"/>
      <c r="O1178" s="64"/>
    </row>
    <row r="1179" spans="1:15" ht="15" customHeight="1" x14ac:dyDescent="0.2">
      <c r="A1179" s="403"/>
      <c r="C1179" s="404"/>
      <c r="E1179" s="308"/>
      <c r="G1179" s="297"/>
      <c r="H1179" s="297"/>
      <c r="J1179" s="297"/>
      <c r="L1179" s="312"/>
      <c r="N1179" s="297"/>
      <c r="O1179" s="64"/>
    </row>
    <row r="1180" spans="1:15" ht="15" customHeight="1" x14ac:dyDescent="0.2">
      <c r="A1180" s="403"/>
      <c r="C1180" s="404"/>
      <c r="E1180" s="308"/>
      <c r="G1180" s="297"/>
      <c r="H1180" s="297"/>
      <c r="J1180" s="297"/>
      <c r="L1180" s="312"/>
      <c r="N1180" s="297"/>
      <c r="O1180" s="64"/>
    </row>
    <row r="1181" spans="1:15" ht="15" customHeight="1" x14ac:dyDescent="0.2">
      <c r="A1181" s="403"/>
      <c r="C1181" s="404"/>
      <c r="E1181" s="308"/>
      <c r="G1181" s="297"/>
      <c r="H1181" s="297"/>
      <c r="J1181" s="297"/>
      <c r="L1181" s="312"/>
      <c r="N1181" s="297"/>
      <c r="O1181" s="64"/>
    </row>
    <row r="1182" spans="1:15" ht="15" customHeight="1" x14ac:dyDescent="0.2">
      <c r="A1182" s="403"/>
      <c r="C1182" s="404"/>
      <c r="E1182" s="308"/>
      <c r="G1182" s="297"/>
      <c r="H1182" s="297"/>
      <c r="J1182" s="297"/>
      <c r="L1182" s="312"/>
      <c r="N1182" s="297"/>
      <c r="O1182" s="64"/>
    </row>
    <row r="1183" spans="1:15" ht="15" customHeight="1" x14ac:dyDescent="0.2">
      <c r="A1183" s="403"/>
      <c r="C1183" s="404"/>
      <c r="E1183" s="308"/>
      <c r="G1183" s="297"/>
      <c r="H1183" s="297"/>
      <c r="J1183" s="297"/>
      <c r="L1183" s="312"/>
      <c r="N1183" s="297"/>
      <c r="O1183" s="64"/>
    </row>
    <row r="1184" spans="1:15" ht="15" customHeight="1" x14ac:dyDescent="0.2">
      <c r="A1184" s="403"/>
      <c r="C1184" s="404"/>
      <c r="E1184" s="308"/>
      <c r="G1184" s="297"/>
      <c r="H1184" s="297"/>
      <c r="J1184" s="297"/>
      <c r="L1184" s="312"/>
      <c r="N1184" s="297"/>
      <c r="O1184" s="64"/>
    </row>
    <row r="1185" spans="1:15" ht="15" customHeight="1" x14ac:dyDescent="0.2">
      <c r="A1185" s="403"/>
      <c r="C1185" s="404"/>
      <c r="E1185" s="308"/>
      <c r="G1185" s="297"/>
      <c r="H1185" s="297"/>
      <c r="J1185" s="297"/>
      <c r="L1185" s="312"/>
      <c r="N1185" s="297"/>
      <c r="O1185" s="64"/>
    </row>
    <row r="1186" spans="1:15" ht="15" customHeight="1" x14ac:dyDescent="0.2">
      <c r="A1186" s="403"/>
      <c r="C1186" s="404"/>
      <c r="E1186" s="308"/>
      <c r="G1186" s="297"/>
      <c r="H1186" s="297"/>
      <c r="J1186" s="297"/>
      <c r="L1186" s="312"/>
      <c r="N1186" s="297"/>
      <c r="O1186" s="64"/>
    </row>
    <row r="1187" spans="1:15" ht="15" customHeight="1" x14ac:dyDescent="0.2">
      <c r="A1187" s="403"/>
      <c r="C1187" s="404"/>
      <c r="E1187" s="308"/>
      <c r="G1187" s="297"/>
      <c r="H1187" s="297"/>
      <c r="J1187" s="297"/>
      <c r="L1187" s="312"/>
      <c r="N1187" s="297"/>
      <c r="O1187" s="64"/>
    </row>
    <row r="1188" spans="1:15" ht="15" customHeight="1" x14ac:dyDescent="0.2">
      <c r="A1188" s="403"/>
      <c r="C1188" s="404"/>
      <c r="E1188" s="308"/>
      <c r="G1188" s="297"/>
      <c r="H1188" s="297"/>
      <c r="J1188" s="297"/>
      <c r="L1188" s="312"/>
      <c r="N1188" s="297"/>
      <c r="O1188" s="64"/>
    </row>
    <row r="1189" spans="1:15" ht="15" customHeight="1" x14ac:dyDescent="0.2">
      <c r="A1189" s="403"/>
      <c r="C1189" s="404"/>
      <c r="E1189" s="308"/>
      <c r="G1189" s="297"/>
      <c r="H1189" s="297"/>
      <c r="J1189" s="297"/>
      <c r="L1189" s="312"/>
      <c r="N1189" s="297"/>
      <c r="O1189" s="64"/>
    </row>
    <row r="1190" spans="1:15" ht="15" customHeight="1" x14ac:dyDescent="0.2">
      <c r="A1190" s="403"/>
      <c r="C1190" s="404"/>
      <c r="E1190" s="308"/>
      <c r="G1190" s="297"/>
      <c r="H1190" s="297"/>
      <c r="J1190" s="297"/>
      <c r="L1190" s="312"/>
      <c r="N1190" s="297"/>
      <c r="O1190" s="64"/>
    </row>
    <row r="1191" spans="1:15" ht="15" customHeight="1" x14ac:dyDescent="0.2">
      <c r="A1191" s="403"/>
      <c r="C1191" s="404"/>
      <c r="E1191" s="308"/>
      <c r="G1191" s="297"/>
      <c r="H1191" s="297"/>
      <c r="J1191" s="297"/>
      <c r="L1191" s="312"/>
      <c r="N1191" s="297"/>
      <c r="O1191" s="64"/>
    </row>
    <row r="1192" spans="1:15" ht="15" customHeight="1" x14ac:dyDescent="0.2">
      <c r="A1192" s="403"/>
      <c r="C1192" s="404"/>
      <c r="E1192" s="308"/>
      <c r="G1192" s="297"/>
      <c r="H1192" s="297"/>
      <c r="J1192" s="297"/>
      <c r="L1192" s="312"/>
      <c r="N1192" s="297"/>
      <c r="O1192" s="64"/>
    </row>
    <row r="1193" spans="1:15" ht="15" customHeight="1" x14ac:dyDescent="0.2">
      <c r="A1193" s="403"/>
      <c r="C1193" s="404"/>
      <c r="E1193" s="308"/>
      <c r="G1193" s="297"/>
      <c r="H1193" s="297"/>
      <c r="J1193" s="297"/>
      <c r="L1193" s="312"/>
      <c r="N1193" s="297"/>
      <c r="O1193" s="64"/>
    </row>
    <row r="1194" spans="1:15" ht="15" customHeight="1" x14ac:dyDescent="0.2">
      <c r="A1194" s="403"/>
      <c r="C1194" s="404"/>
      <c r="E1194" s="308"/>
      <c r="G1194" s="297"/>
      <c r="H1194" s="297"/>
      <c r="J1194" s="297"/>
      <c r="L1194" s="312"/>
      <c r="N1194" s="297"/>
      <c r="O1194" s="64"/>
    </row>
    <row r="1195" spans="1:15" ht="15" customHeight="1" x14ac:dyDescent="0.2">
      <c r="A1195" s="403"/>
      <c r="C1195" s="404"/>
      <c r="E1195" s="308"/>
      <c r="G1195" s="297"/>
      <c r="H1195" s="297"/>
      <c r="J1195" s="297"/>
      <c r="L1195" s="312"/>
      <c r="N1195" s="297"/>
      <c r="O1195" s="64"/>
    </row>
    <row r="1196" spans="1:15" ht="15" customHeight="1" x14ac:dyDescent="0.2">
      <c r="A1196" s="403"/>
      <c r="C1196" s="404"/>
      <c r="E1196" s="308"/>
      <c r="G1196" s="297"/>
      <c r="H1196" s="297"/>
      <c r="J1196" s="297"/>
      <c r="L1196" s="312"/>
      <c r="N1196" s="297"/>
      <c r="O1196" s="64"/>
    </row>
    <row r="1197" spans="1:15" ht="15" customHeight="1" x14ac:dyDescent="0.2">
      <c r="A1197" s="403"/>
      <c r="C1197" s="404"/>
      <c r="E1197" s="308"/>
      <c r="G1197" s="297"/>
      <c r="H1197" s="297"/>
      <c r="J1197" s="297"/>
      <c r="L1197" s="312"/>
      <c r="N1197" s="297"/>
      <c r="O1197" s="64"/>
    </row>
    <row r="1198" spans="1:15" ht="15" customHeight="1" x14ac:dyDescent="0.2">
      <c r="A1198" s="403"/>
      <c r="C1198" s="404"/>
      <c r="E1198" s="308"/>
      <c r="G1198" s="297"/>
      <c r="H1198" s="297"/>
      <c r="J1198" s="297"/>
      <c r="L1198" s="312"/>
      <c r="N1198" s="297"/>
      <c r="O1198" s="64"/>
    </row>
    <row r="1199" spans="1:15" ht="15" customHeight="1" x14ac:dyDescent="0.2">
      <c r="A1199" s="403"/>
      <c r="C1199" s="404"/>
      <c r="E1199" s="308"/>
      <c r="G1199" s="297"/>
      <c r="H1199" s="297"/>
      <c r="J1199" s="297"/>
      <c r="L1199" s="312"/>
      <c r="N1199" s="297"/>
      <c r="O1199" s="64"/>
    </row>
    <row r="1200" spans="1:15" ht="15" customHeight="1" x14ac:dyDescent="0.2">
      <c r="A1200" s="403"/>
      <c r="C1200" s="404"/>
      <c r="E1200" s="308"/>
      <c r="G1200" s="297"/>
      <c r="H1200" s="297"/>
      <c r="J1200" s="297"/>
      <c r="L1200" s="312"/>
      <c r="N1200" s="297"/>
      <c r="O1200" s="64"/>
    </row>
    <row r="1201" spans="1:15" ht="15" customHeight="1" x14ac:dyDescent="0.2">
      <c r="A1201" s="403"/>
      <c r="C1201" s="404"/>
      <c r="E1201" s="308"/>
      <c r="G1201" s="297"/>
      <c r="H1201" s="297"/>
      <c r="J1201" s="297"/>
      <c r="L1201" s="312"/>
      <c r="N1201" s="297"/>
      <c r="O1201" s="64"/>
    </row>
    <row r="1202" spans="1:15" ht="15" customHeight="1" x14ac:dyDescent="0.2">
      <c r="A1202" s="403"/>
      <c r="C1202" s="404"/>
      <c r="E1202" s="308"/>
      <c r="G1202" s="297"/>
      <c r="H1202" s="297"/>
      <c r="J1202" s="297"/>
      <c r="L1202" s="312"/>
      <c r="N1202" s="297"/>
      <c r="O1202" s="64"/>
    </row>
    <row r="1203" spans="1:15" ht="15" customHeight="1" x14ac:dyDescent="0.2">
      <c r="A1203" s="403"/>
      <c r="C1203" s="404"/>
      <c r="E1203" s="308"/>
      <c r="G1203" s="297"/>
      <c r="H1203" s="297"/>
      <c r="J1203" s="297"/>
      <c r="L1203" s="312"/>
      <c r="N1203" s="297"/>
      <c r="O1203" s="64"/>
    </row>
    <row r="1204" spans="1:15" ht="15" customHeight="1" x14ac:dyDescent="0.2">
      <c r="A1204" s="403"/>
      <c r="C1204" s="404"/>
      <c r="E1204" s="308"/>
      <c r="G1204" s="297"/>
      <c r="H1204" s="297"/>
      <c r="J1204" s="297"/>
      <c r="L1204" s="312"/>
      <c r="N1204" s="297"/>
      <c r="O1204" s="64"/>
    </row>
    <row r="1205" spans="1:15" ht="15" customHeight="1" x14ac:dyDescent="0.2">
      <c r="A1205" s="403"/>
      <c r="C1205" s="404"/>
      <c r="E1205" s="308"/>
      <c r="G1205" s="297"/>
      <c r="H1205" s="297"/>
      <c r="J1205" s="297"/>
      <c r="L1205" s="312"/>
      <c r="N1205" s="297"/>
      <c r="O1205" s="64"/>
    </row>
    <row r="1206" spans="1:15" ht="15" customHeight="1" x14ac:dyDescent="0.2">
      <c r="A1206" s="403"/>
      <c r="C1206" s="404"/>
      <c r="E1206" s="308"/>
      <c r="G1206" s="297"/>
      <c r="H1206" s="297"/>
      <c r="J1206" s="297"/>
      <c r="L1206" s="312"/>
      <c r="N1206" s="297"/>
      <c r="O1206" s="64"/>
    </row>
    <row r="1207" spans="1:15" ht="15" customHeight="1" x14ac:dyDescent="0.2">
      <c r="A1207" s="403"/>
      <c r="C1207" s="404"/>
      <c r="E1207" s="308"/>
      <c r="G1207" s="297"/>
      <c r="H1207" s="297"/>
      <c r="J1207" s="297"/>
      <c r="L1207" s="312"/>
      <c r="N1207" s="297"/>
      <c r="O1207" s="64"/>
    </row>
    <row r="1208" spans="1:15" ht="15" customHeight="1" x14ac:dyDescent="0.2">
      <c r="A1208" s="403"/>
      <c r="C1208" s="404"/>
      <c r="E1208" s="308"/>
      <c r="G1208" s="297"/>
      <c r="H1208" s="297"/>
      <c r="J1208" s="297"/>
      <c r="L1208" s="312"/>
      <c r="N1208" s="297"/>
      <c r="O1208" s="64"/>
    </row>
    <row r="1209" spans="1:15" ht="15" customHeight="1" x14ac:dyDescent="0.2">
      <c r="A1209" s="403"/>
      <c r="C1209" s="404"/>
      <c r="E1209" s="308"/>
      <c r="G1209" s="297"/>
      <c r="H1209" s="297"/>
      <c r="J1209" s="297"/>
      <c r="L1209" s="312"/>
      <c r="N1209" s="297"/>
      <c r="O1209" s="64"/>
    </row>
    <row r="1210" spans="1:15" ht="15" customHeight="1" x14ac:dyDescent="0.2">
      <c r="A1210" s="403"/>
      <c r="C1210" s="404"/>
      <c r="E1210" s="308"/>
      <c r="G1210" s="297"/>
      <c r="H1210" s="297"/>
      <c r="J1210" s="297"/>
      <c r="L1210" s="312"/>
      <c r="N1210" s="297"/>
      <c r="O1210" s="64"/>
    </row>
    <row r="1211" spans="1:15" ht="15" customHeight="1" x14ac:dyDescent="0.2">
      <c r="A1211" s="403"/>
      <c r="C1211" s="404"/>
      <c r="E1211" s="308"/>
      <c r="G1211" s="297"/>
      <c r="H1211" s="297"/>
      <c r="J1211" s="297"/>
      <c r="L1211" s="312"/>
      <c r="N1211" s="297"/>
      <c r="O1211" s="64"/>
    </row>
    <row r="1212" spans="1:15" ht="15" customHeight="1" x14ac:dyDescent="0.2">
      <c r="A1212" s="403"/>
      <c r="C1212" s="404"/>
      <c r="E1212" s="308"/>
      <c r="G1212" s="297"/>
      <c r="H1212" s="297"/>
      <c r="J1212" s="297"/>
      <c r="L1212" s="312"/>
      <c r="N1212" s="297"/>
      <c r="O1212" s="64"/>
    </row>
    <row r="1213" spans="1:15" ht="15" customHeight="1" x14ac:dyDescent="0.2">
      <c r="A1213" s="403"/>
      <c r="C1213" s="404"/>
      <c r="E1213" s="308"/>
      <c r="G1213" s="297"/>
      <c r="H1213" s="297"/>
      <c r="J1213" s="297"/>
      <c r="L1213" s="312"/>
      <c r="N1213" s="297"/>
      <c r="O1213" s="64"/>
    </row>
    <row r="1214" spans="1:15" ht="15" customHeight="1" x14ac:dyDescent="0.2">
      <c r="A1214" s="403"/>
      <c r="C1214" s="404"/>
      <c r="E1214" s="308"/>
      <c r="G1214" s="297"/>
      <c r="H1214" s="297"/>
      <c r="J1214" s="297"/>
      <c r="L1214" s="312"/>
      <c r="N1214" s="297"/>
      <c r="O1214" s="64"/>
    </row>
    <row r="1215" spans="1:15" ht="15" customHeight="1" x14ac:dyDescent="0.2">
      <c r="A1215" s="403"/>
      <c r="C1215" s="404"/>
      <c r="E1215" s="308"/>
      <c r="G1215" s="297"/>
      <c r="H1215" s="297"/>
      <c r="J1215" s="297"/>
      <c r="L1215" s="312"/>
      <c r="N1215" s="297"/>
      <c r="O1215" s="64"/>
    </row>
    <row r="1216" spans="1:15" ht="15" customHeight="1" x14ac:dyDescent="0.2">
      <c r="A1216" s="403"/>
      <c r="C1216" s="404"/>
      <c r="E1216" s="308"/>
      <c r="G1216" s="297"/>
      <c r="H1216" s="297"/>
      <c r="J1216" s="297"/>
      <c r="L1216" s="312"/>
      <c r="N1216" s="297"/>
      <c r="O1216" s="64"/>
    </row>
    <row r="1217" spans="1:15" ht="15" customHeight="1" x14ac:dyDescent="0.2">
      <c r="A1217" s="403"/>
      <c r="C1217" s="404"/>
      <c r="E1217" s="308"/>
      <c r="G1217" s="297"/>
      <c r="H1217" s="297"/>
      <c r="J1217" s="297"/>
      <c r="L1217" s="312"/>
      <c r="N1217" s="297"/>
      <c r="O1217" s="64"/>
    </row>
    <row r="1218" spans="1:15" ht="15" customHeight="1" x14ac:dyDescent="0.2">
      <c r="A1218" s="403"/>
      <c r="C1218" s="404"/>
      <c r="E1218" s="308"/>
      <c r="G1218" s="297"/>
      <c r="H1218" s="297"/>
      <c r="J1218" s="297"/>
      <c r="L1218" s="312"/>
      <c r="N1218" s="297"/>
      <c r="O1218" s="64"/>
    </row>
    <row r="1219" spans="1:15" ht="15" customHeight="1" x14ac:dyDescent="0.2">
      <c r="A1219" s="403"/>
      <c r="C1219" s="404"/>
      <c r="E1219" s="308"/>
      <c r="G1219" s="297"/>
      <c r="H1219" s="297"/>
      <c r="J1219" s="297"/>
      <c r="L1219" s="312"/>
      <c r="N1219" s="297"/>
      <c r="O1219" s="64"/>
    </row>
    <row r="1220" spans="1:15" ht="15" customHeight="1" x14ac:dyDescent="0.2">
      <c r="A1220" s="403"/>
      <c r="C1220" s="404"/>
      <c r="E1220" s="308"/>
      <c r="G1220" s="297"/>
      <c r="H1220" s="297"/>
      <c r="J1220" s="297"/>
      <c r="L1220" s="312"/>
      <c r="N1220" s="297"/>
      <c r="O1220" s="64"/>
    </row>
    <row r="1221" spans="1:15" ht="15" customHeight="1" x14ac:dyDescent="0.2">
      <c r="A1221" s="403"/>
      <c r="C1221" s="404"/>
      <c r="E1221" s="308"/>
      <c r="G1221" s="297"/>
      <c r="H1221" s="297"/>
      <c r="J1221" s="297"/>
      <c r="L1221" s="312"/>
      <c r="N1221" s="297"/>
      <c r="O1221" s="64"/>
    </row>
    <row r="1222" spans="1:15" ht="15" customHeight="1" x14ac:dyDescent="0.2">
      <c r="A1222" s="403"/>
      <c r="C1222" s="404"/>
      <c r="E1222" s="308"/>
      <c r="G1222" s="297"/>
      <c r="H1222" s="297"/>
      <c r="J1222" s="297"/>
      <c r="L1222" s="312"/>
      <c r="N1222" s="297"/>
      <c r="O1222" s="64"/>
    </row>
    <row r="1223" spans="1:15" ht="15" customHeight="1" x14ac:dyDescent="0.2">
      <c r="A1223" s="403"/>
      <c r="C1223" s="404"/>
      <c r="E1223" s="308"/>
      <c r="G1223" s="297"/>
      <c r="H1223" s="297"/>
      <c r="J1223" s="297"/>
      <c r="L1223" s="312"/>
      <c r="N1223" s="297"/>
      <c r="O1223" s="64"/>
    </row>
    <row r="1224" spans="1:15" ht="15" customHeight="1" x14ac:dyDescent="0.2">
      <c r="A1224" s="403"/>
      <c r="C1224" s="404"/>
      <c r="E1224" s="308"/>
      <c r="G1224" s="297"/>
      <c r="H1224" s="297"/>
      <c r="J1224" s="297"/>
      <c r="L1224" s="312"/>
      <c r="N1224" s="297"/>
      <c r="O1224" s="64"/>
    </row>
    <row r="1225" spans="1:15" ht="15" customHeight="1" x14ac:dyDescent="0.2">
      <c r="A1225" s="403"/>
      <c r="C1225" s="404"/>
      <c r="E1225" s="308"/>
      <c r="G1225" s="297"/>
      <c r="H1225" s="297"/>
      <c r="J1225" s="297"/>
      <c r="L1225" s="312"/>
      <c r="N1225" s="297"/>
      <c r="O1225" s="64"/>
    </row>
    <row r="1226" spans="1:15" ht="15" customHeight="1" x14ac:dyDescent="0.2">
      <c r="A1226" s="403"/>
      <c r="C1226" s="404"/>
      <c r="E1226" s="308"/>
      <c r="G1226" s="297"/>
      <c r="H1226" s="297"/>
      <c r="J1226" s="297"/>
      <c r="L1226" s="312"/>
      <c r="N1226" s="297"/>
      <c r="O1226" s="64"/>
    </row>
    <row r="1227" spans="1:15" ht="15" customHeight="1" x14ac:dyDescent="0.2">
      <c r="A1227" s="403"/>
      <c r="C1227" s="404"/>
      <c r="E1227" s="308"/>
      <c r="G1227" s="297"/>
      <c r="H1227" s="297"/>
      <c r="J1227" s="297"/>
      <c r="L1227" s="312"/>
      <c r="N1227" s="297"/>
      <c r="O1227" s="64"/>
    </row>
    <row r="1228" spans="1:15" ht="15" customHeight="1" x14ac:dyDescent="0.2">
      <c r="A1228" s="403"/>
      <c r="C1228" s="404"/>
      <c r="E1228" s="308"/>
      <c r="G1228" s="297"/>
      <c r="H1228" s="297"/>
      <c r="J1228" s="297"/>
      <c r="L1228" s="312"/>
      <c r="N1228" s="297"/>
      <c r="O1228" s="64"/>
    </row>
    <row r="1229" spans="1:15" ht="15" customHeight="1" x14ac:dyDescent="0.2">
      <c r="A1229" s="403"/>
      <c r="C1229" s="404"/>
      <c r="E1229" s="308"/>
      <c r="G1229" s="297"/>
      <c r="H1229" s="297"/>
      <c r="J1229" s="297"/>
      <c r="L1229" s="312"/>
      <c r="N1229" s="297"/>
      <c r="O1229" s="64"/>
    </row>
    <row r="1230" spans="1:15" ht="15" customHeight="1" x14ac:dyDescent="0.2">
      <c r="A1230" s="403"/>
      <c r="C1230" s="404"/>
      <c r="E1230" s="308"/>
      <c r="G1230" s="297"/>
      <c r="H1230" s="297"/>
      <c r="J1230" s="297"/>
      <c r="L1230" s="312"/>
      <c r="N1230" s="297"/>
      <c r="O1230" s="64"/>
    </row>
    <row r="1231" spans="1:15" ht="15" customHeight="1" x14ac:dyDescent="0.2">
      <c r="A1231" s="403"/>
      <c r="C1231" s="404"/>
      <c r="E1231" s="308"/>
      <c r="G1231" s="297"/>
      <c r="H1231" s="297"/>
      <c r="J1231" s="297"/>
      <c r="L1231" s="312"/>
      <c r="N1231" s="297"/>
      <c r="O1231" s="64"/>
    </row>
    <row r="1232" spans="1:15" ht="15" customHeight="1" x14ac:dyDescent="0.2">
      <c r="A1232" s="403"/>
      <c r="C1232" s="404"/>
      <c r="E1232" s="308"/>
      <c r="G1232" s="297"/>
      <c r="H1232" s="297"/>
      <c r="J1232" s="297"/>
      <c r="L1232" s="312"/>
      <c r="N1232" s="297"/>
      <c r="O1232" s="64"/>
    </row>
    <row r="1233" spans="1:15" ht="15" customHeight="1" x14ac:dyDescent="0.2">
      <c r="A1233" s="403"/>
      <c r="C1233" s="404"/>
      <c r="E1233" s="308"/>
      <c r="G1233" s="297"/>
      <c r="H1233" s="297"/>
      <c r="J1233" s="297"/>
      <c r="L1233" s="312"/>
      <c r="N1233" s="297"/>
      <c r="O1233" s="64"/>
    </row>
    <row r="1234" spans="1:15" ht="15" customHeight="1" x14ac:dyDescent="0.2">
      <c r="A1234" s="403"/>
      <c r="C1234" s="404"/>
      <c r="E1234" s="308"/>
      <c r="G1234" s="297"/>
      <c r="H1234" s="297"/>
      <c r="J1234" s="297"/>
      <c r="L1234" s="312"/>
      <c r="N1234" s="297"/>
      <c r="O1234" s="64"/>
    </row>
    <row r="1235" spans="1:15" ht="15" customHeight="1" x14ac:dyDescent="0.2">
      <c r="A1235" s="403"/>
      <c r="C1235" s="404"/>
      <c r="E1235" s="308"/>
      <c r="G1235" s="297"/>
      <c r="H1235" s="297"/>
      <c r="J1235" s="297"/>
      <c r="L1235" s="312"/>
      <c r="N1235" s="297"/>
      <c r="O1235" s="64"/>
    </row>
    <row r="1236" spans="1:15" ht="15" customHeight="1" x14ac:dyDescent="0.2">
      <c r="A1236" s="403"/>
      <c r="C1236" s="404"/>
      <c r="E1236" s="308"/>
      <c r="G1236" s="297"/>
      <c r="H1236" s="297"/>
      <c r="J1236" s="297"/>
      <c r="L1236" s="312"/>
      <c r="N1236" s="297"/>
      <c r="O1236" s="64"/>
    </row>
    <row r="1237" spans="1:15" ht="15" customHeight="1" x14ac:dyDescent="0.2">
      <c r="A1237" s="403"/>
      <c r="C1237" s="404"/>
      <c r="E1237" s="308"/>
      <c r="G1237" s="297"/>
      <c r="H1237" s="297"/>
      <c r="J1237" s="297"/>
      <c r="L1237" s="312"/>
      <c r="N1237" s="297"/>
      <c r="O1237" s="64"/>
    </row>
    <row r="1238" spans="1:15" ht="15" customHeight="1" x14ac:dyDescent="0.2">
      <c r="A1238" s="403"/>
      <c r="C1238" s="404"/>
      <c r="E1238" s="308"/>
      <c r="G1238" s="297"/>
      <c r="H1238" s="297"/>
      <c r="J1238" s="297"/>
      <c r="L1238" s="312"/>
      <c r="N1238" s="297"/>
      <c r="O1238" s="64"/>
    </row>
    <row r="1239" spans="1:15" ht="15" customHeight="1" x14ac:dyDescent="0.2">
      <c r="A1239" s="403"/>
      <c r="C1239" s="404"/>
      <c r="E1239" s="308"/>
      <c r="G1239" s="297"/>
      <c r="H1239" s="297"/>
      <c r="J1239" s="297"/>
      <c r="L1239" s="312"/>
      <c r="N1239" s="297"/>
      <c r="O1239" s="64"/>
    </row>
    <row r="1240" spans="1:15" ht="15" customHeight="1" x14ac:dyDescent="0.2">
      <c r="A1240" s="403"/>
      <c r="C1240" s="404"/>
      <c r="E1240" s="308"/>
      <c r="G1240" s="297"/>
      <c r="H1240" s="297"/>
      <c r="J1240" s="297"/>
      <c r="L1240" s="312"/>
      <c r="N1240" s="297"/>
      <c r="O1240" s="64"/>
    </row>
    <row r="1241" spans="1:15" ht="15" customHeight="1" x14ac:dyDescent="0.2">
      <c r="A1241" s="403"/>
      <c r="C1241" s="404"/>
      <c r="E1241" s="308"/>
      <c r="G1241" s="297"/>
      <c r="H1241" s="297"/>
      <c r="J1241" s="297"/>
      <c r="L1241" s="312"/>
      <c r="N1241" s="297"/>
      <c r="O1241" s="64"/>
    </row>
    <row r="1242" spans="1:15" ht="15" customHeight="1" x14ac:dyDescent="0.2">
      <c r="A1242" s="403"/>
      <c r="C1242" s="404"/>
      <c r="E1242" s="308"/>
      <c r="G1242" s="297"/>
      <c r="H1242" s="297"/>
      <c r="J1242" s="297"/>
      <c r="L1242" s="312"/>
      <c r="N1242" s="297"/>
      <c r="O1242" s="64"/>
    </row>
    <row r="1243" spans="1:15" ht="15" customHeight="1" x14ac:dyDescent="0.2">
      <c r="A1243" s="403"/>
      <c r="C1243" s="404"/>
      <c r="E1243" s="308"/>
      <c r="G1243" s="297"/>
      <c r="H1243" s="297"/>
      <c r="J1243" s="297"/>
      <c r="L1243" s="312"/>
      <c r="N1243" s="297"/>
      <c r="O1243" s="64"/>
    </row>
    <row r="1244" spans="1:15" ht="15" customHeight="1" x14ac:dyDescent="0.2">
      <c r="A1244" s="403"/>
      <c r="C1244" s="404"/>
      <c r="E1244" s="308"/>
      <c r="G1244" s="297"/>
      <c r="H1244" s="297"/>
      <c r="J1244" s="297"/>
      <c r="L1244" s="312"/>
      <c r="N1244" s="297"/>
      <c r="O1244" s="64"/>
    </row>
    <row r="1245" spans="1:15" ht="15" customHeight="1" x14ac:dyDescent="0.2">
      <c r="A1245" s="403"/>
      <c r="C1245" s="404"/>
      <c r="E1245" s="308"/>
      <c r="G1245" s="297"/>
      <c r="H1245" s="297"/>
      <c r="J1245" s="297"/>
      <c r="L1245" s="312"/>
      <c r="N1245" s="297"/>
      <c r="O1245" s="64"/>
    </row>
    <row r="1246" spans="1:15" ht="15" customHeight="1" x14ac:dyDescent="0.2">
      <c r="A1246" s="403"/>
      <c r="C1246" s="404"/>
      <c r="E1246" s="308"/>
      <c r="G1246" s="297"/>
      <c r="H1246" s="297"/>
      <c r="J1246" s="297"/>
      <c r="L1246" s="312"/>
      <c r="N1246" s="297"/>
      <c r="O1246" s="64"/>
    </row>
    <row r="1247" spans="1:15" ht="15" customHeight="1" x14ac:dyDescent="0.2">
      <c r="A1247" s="403"/>
      <c r="C1247" s="404"/>
      <c r="E1247" s="308"/>
      <c r="G1247" s="297"/>
      <c r="H1247" s="297"/>
      <c r="J1247" s="297"/>
      <c r="L1247" s="312"/>
      <c r="N1247" s="297"/>
      <c r="O1247" s="64"/>
    </row>
    <row r="1248" spans="1:15" ht="15" customHeight="1" x14ac:dyDescent="0.2">
      <c r="A1248" s="403"/>
      <c r="C1248" s="404"/>
      <c r="E1248" s="308"/>
      <c r="G1248" s="297"/>
      <c r="H1248" s="297"/>
      <c r="J1248" s="297"/>
      <c r="L1248" s="312"/>
      <c r="N1248" s="297"/>
      <c r="O1248" s="64"/>
    </row>
    <row r="1249" spans="1:15" ht="15" customHeight="1" x14ac:dyDescent="0.2">
      <c r="A1249" s="403"/>
      <c r="C1249" s="404"/>
      <c r="E1249" s="308"/>
      <c r="G1249" s="297"/>
      <c r="H1249" s="297"/>
      <c r="J1249" s="297"/>
      <c r="L1249" s="312"/>
      <c r="N1249" s="297"/>
      <c r="O1249" s="64"/>
    </row>
    <row r="1250" spans="1:15" ht="15" customHeight="1" x14ac:dyDescent="0.2">
      <c r="A1250" s="403"/>
      <c r="C1250" s="404"/>
      <c r="E1250" s="308"/>
      <c r="G1250" s="297"/>
      <c r="H1250" s="297"/>
      <c r="J1250" s="297"/>
      <c r="L1250" s="312"/>
      <c r="N1250" s="297"/>
      <c r="O1250" s="64"/>
    </row>
    <row r="1251" spans="1:15" ht="15" customHeight="1" x14ac:dyDescent="0.2">
      <c r="A1251" s="403"/>
      <c r="C1251" s="404"/>
      <c r="E1251" s="308"/>
      <c r="G1251" s="297"/>
      <c r="H1251" s="297"/>
      <c r="J1251" s="297"/>
      <c r="L1251" s="312"/>
      <c r="N1251" s="297"/>
      <c r="O1251" s="64"/>
    </row>
    <row r="1252" spans="1:15" ht="15" customHeight="1" x14ac:dyDescent="0.2">
      <c r="A1252" s="403"/>
      <c r="C1252" s="404"/>
      <c r="E1252" s="308"/>
      <c r="G1252" s="297"/>
      <c r="H1252" s="297"/>
      <c r="J1252" s="297"/>
      <c r="L1252" s="312"/>
      <c r="N1252" s="297"/>
      <c r="O1252" s="64"/>
    </row>
    <row r="1253" spans="1:15" ht="15" customHeight="1" x14ac:dyDescent="0.2">
      <c r="A1253" s="403"/>
      <c r="C1253" s="404"/>
      <c r="E1253" s="308"/>
      <c r="G1253" s="297"/>
      <c r="H1253" s="297"/>
      <c r="J1253" s="297"/>
      <c r="L1253" s="312"/>
      <c r="N1253" s="297"/>
      <c r="O1253" s="64"/>
    </row>
    <row r="1254" spans="1:15" ht="15" customHeight="1" x14ac:dyDescent="0.2">
      <c r="A1254" s="403"/>
      <c r="C1254" s="404"/>
      <c r="E1254" s="308"/>
      <c r="G1254" s="297"/>
      <c r="H1254" s="297"/>
      <c r="J1254" s="297"/>
      <c r="L1254" s="312"/>
      <c r="N1254" s="297"/>
      <c r="O1254" s="64"/>
    </row>
    <row r="1255" spans="1:15" ht="15" customHeight="1" x14ac:dyDescent="0.2">
      <c r="A1255" s="403"/>
      <c r="C1255" s="404"/>
      <c r="E1255" s="308"/>
      <c r="G1255" s="297"/>
      <c r="H1255" s="297"/>
      <c r="J1255" s="297"/>
      <c r="L1255" s="312"/>
      <c r="N1255" s="297"/>
      <c r="O1255" s="64"/>
    </row>
    <row r="1256" spans="1:15" ht="15" customHeight="1" x14ac:dyDescent="0.2">
      <c r="A1256" s="403"/>
      <c r="C1256" s="404"/>
      <c r="E1256" s="308"/>
      <c r="G1256" s="297"/>
      <c r="H1256" s="297"/>
      <c r="J1256" s="297"/>
      <c r="L1256" s="312"/>
      <c r="N1256" s="297"/>
      <c r="O1256" s="64"/>
    </row>
    <row r="1257" spans="1:15" ht="15" customHeight="1" x14ac:dyDescent="0.2">
      <c r="A1257" s="403"/>
      <c r="C1257" s="404"/>
      <c r="E1257" s="308"/>
      <c r="G1257" s="297"/>
      <c r="H1257" s="297"/>
      <c r="J1257" s="297"/>
      <c r="L1257" s="312"/>
      <c r="N1257" s="297"/>
      <c r="O1257" s="64"/>
    </row>
    <row r="1258" spans="1:15" ht="15" customHeight="1" x14ac:dyDescent="0.2">
      <c r="A1258" s="403"/>
      <c r="C1258" s="404"/>
      <c r="E1258" s="308"/>
      <c r="G1258" s="297"/>
      <c r="H1258" s="297"/>
      <c r="J1258" s="297"/>
      <c r="L1258" s="312"/>
      <c r="N1258" s="297"/>
      <c r="O1258" s="64"/>
    </row>
    <row r="1259" spans="1:15" ht="15" customHeight="1" x14ac:dyDescent="0.2">
      <c r="A1259" s="403"/>
      <c r="C1259" s="404"/>
      <c r="E1259" s="308"/>
      <c r="G1259" s="297"/>
      <c r="H1259" s="297"/>
      <c r="J1259" s="297"/>
      <c r="L1259" s="312"/>
      <c r="N1259" s="297"/>
      <c r="O1259" s="64"/>
    </row>
    <row r="1260" spans="1:15" ht="15" customHeight="1" x14ac:dyDescent="0.2">
      <c r="A1260" s="403"/>
      <c r="C1260" s="404"/>
      <c r="E1260" s="308"/>
      <c r="G1260" s="297"/>
      <c r="H1260" s="297"/>
      <c r="J1260" s="297"/>
      <c r="L1260" s="312"/>
      <c r="N1260" s="297"/>
      <c r="O1260" s="64"/>
    </row>
    <row r="1261" spans="1:15" ht="15" customHeight="1" x14ac:dyDescent="0.2">
      <c r="A1261" s="403"/>
      <c r="C1261" s="404"/>
      <c r="E1261" s="308"/>
      <c r="G1261" s="297"/>
      <c r="H1261" s="297"/>
      <c r="J1261" s="297"/>
      <c r="L1261" s="312"/>
      <c r="N1261" s="297"/>
      <c r="O1261" s="64"/>
    </row>
    <row r="1262" spans="1:15" ht="15" customHeight="1" x14ac:dyDescent="0.2">
      <c r="A1262" s="403"/>
      <c r="C1262" s="404"/>
      <c r="E1262" s="308"/>
      <c r="G1262" s="297"/>
      <c r="H1262" s="297"/>
      <c r="J1262" s="297"/>
      <c r="L1262" s="312"/>
      <c r="N1262" s="297"/>
      <c r="O1262" s="64"/>
    </row>
    <row r="1263" spans="1:15" ht="15" customHeight="1" x14ac:dyDescent="0.2">
      <c r="A1263" s="403"/>
      <c r="C1263" s="404"/>
      <c r="E1263" s="308"/>
      <c r="G1263" s="297"/>
      <c r="H1263" s="297"/>
      <c r="J1263" s="297"/>
      <c r="L1263" s="312"/>
      <c r="N1263" s="297"/>
      <c r="O1263" s="64"/>
    </row>
    <row r="1264" spans="1:15" ht="15" customHeight="1" x14ac:dyDescent="0.2">
      <c r="A1264" s="403"/>
      <c r="C1264" s="404"/>
      <c r="E1264" s="308"/>
      <c r="G1264" s="297"/>
      <c r="H1264" s="297"/>
      <c r="J1264" s="297"/>
      <c r="L1264" s="312"/>
      <c r="N1264" s="297"/>
      <c r="O1264" s="64"/>
    </row>
    <row r="1265" spans="1:15" ht="15" customHeight="1" x14ac:dyDescent="0.2">
      <c r="A1265" s="403"/>
      <c r="C1265" s="404"/>
      <c r="E1265" s="308"/>
      <c r="G1265" s="297"/>
      <c r="H1265" s="297"/>
      <c r="J1265" s="297"/>
      <c r="L1265" s="312"/>
      <c r="N1265" s="297"/>
      <c r="O1265" s="64"/>
    </row>
    <row r="1266" spans="1:15" ht="15" customHeight="1" x14ac:dyDescent="0.2">
      <c r="A1266" s="403"/>
      <c r="C1266" s="404"/>
      <c r="E1266" s="308"/>
      <c r="G1266" s="297"/>
      <c r="H1266" s="297"/>
      <c r="J1266" s="297"/>
      <c r="L1266" s="312"/>
      <c r="N1266" s="297"/>
      <c r="O1266" s="64"/>
    </row>
    <row r="1267" spans="1:15" ht="15" customHeight="1" x14ac:dyDescent="0.2">
      <c r="A1267" s="403"/>
      <c r="C1267" s="404"/>
      <c r="E1267" s="308"/>
      <c r="G1267" s="297"/>
      <c r="H1267" s="297"/>
      <c r="J1267" s="297"/>
      <c r="L1267" s="312"/>
      <c r="N1267" s="297"/>
      <c r="O1267" s="64"/>
    </row>
    <row r="1268" spans="1:15" ht="15" customHeight="1" x14ac:dyDescent="0.2">
      <c r="A1268" s="403"/>
      <c r="C1268" s="404"/>
      <c r="E1268" s="308"/>
      <c r="G1268" s="297"/>
      <c r="H1268" s="297"/>
      <c r="J1268" s="297"/>
      <c r="L1268" s="312"/>
      <c r="N1268" s="297"/>
      <c r="O1268" s="64"/>
    </row>
    <row r="1269" spans="1:15" ht="15" customHeight="1" x14ac:dyDescent="0.2">
      <c r="A1269" s="403"/>
      <c r="C1269" s="404"/>
      <c r="E1269" s="308"/>
      <c r="G1269" s="297"/>
      <c r="H1269" s="297"/>
      <c r="J1269" s="297"/>
      <c r="L1269" s="312"/>
      <c r="N1269" s="297"/>
      <c r="O1269" s="64"/>
    </row>
    <row r="1270" spans="1:15" ht="15" customHeight="1" x14ac:dyDescent="0.2">
      <c r="A1270" s="403"/>
      <c r="C1270" s="404"/>
      <c r="E1270" s="308"/>
      <c r="G1270" s="297"/>
      <c r="H1270" s="297"/>
      <c r="J1270" s="297"/>
      <c r="L1270" s="312"/>
      <c r="N1270" s="297"/>
      <c r="O1270" s="64"/>
    </row>
    <row r="1271" spans="1:15" ht="15" customHeight="1" x14ac:dyDescent="0.2">
      <c r="A1271" s="403"/>
      <c r="C1271" s="404"/>
      <c r="E1271" s="308"/>
      <c r="G1271" s="297"/>
      <c r="H1271" s="297"/>
      <c r="J1271" s="297"/>
      <c r="L1271" s="312"/>
      <c r="N1271" s="297"/>
      <c r="O1271" s="64"/>
    </row>
    <row r="1272" spans="1:15" ht="15" customHeight="1" x14ac:dyDescent="0.2">
      <c r="A1272" s="403"/>
      <c r="C1272" s="404"/>
      <c r="E1272" s="308"/>
      <c r="G1272" s="297"/>
      <c r="H1272" s="297"/>
      <c r="J1272" s="297"/>
      <c r="L1272" s="312"/>
      <c r="N1272" s="297"/>
      <c r="O1272" s="64"/>
    </row>
    <row r="1273" spans="1:15" ht="15" customHeight="1" x14ac:dyDescent="0.2">
      <c r="A1273" s="403"/>
      <c r="C1273" s="404"/>
      <c r="E1273" s="308"/>
      <c r="G1273" s="297"/>
      <c r="H1273" s="297"/>
      <c r="J1273" s="297"/>
      <c r="L1273" s="312"/>
      <c r="N1273" s="297"/>
      <c r="O1273" s="64"/>
    </row>
    <row r="1274" spans="1:15" ht="15" customHeight="1" x14ac:dyDescent="0.2">
      <c r="A1274" s="403"/>
      <c r="C1274" s="404"/>
      <c r="E1274" s="308"/>
      <c r="G1274" s="297"/>
      <c r="H1274" s="297"/>
      <c r="J1274" s="297"/>
      <c r="L1274" s="312"/>
      <c r="N1274" s="297"/>
      <c r="O1274" s="64"/>
    </row>
    <row r="1275" spans="1:15" ht="15" customHeight="1" x14ac:dyDescent="0.2">
      <c r="A1275" s="403"/>
      <c r="C1275" s="404"/>
      <c r="E1275" s="308"/>
      <c r="G1275" s="297"/>
      <c r="H1275" s="297"/>
      <c r="J1275" s="297"/>
      <c r="L1275" s="312"/>
      <c r="N1275" s="297"/>
      <c r="O1275" s="64"/>
    </row>
    <row r="1276" spans="1:15" ht="15" customHeight="1" x14ac:dyDescent="0.2">
      <c r="A1276" s="403"/>
      <c r="C1276" s="404"/>
      <c r="E1276" s="308"/>
      <c r="G1276" s="297"/>
      <c r="H1276" s="297"/>
      <c r="J1276" s="297"/>
      <c r="L1276" s="312"/>
      <c r="N1276" s="297"/>
      <c r="O1276" s="64"/>
    </row>
    <row r="1277" spans="1:15" ht="15" customHeight="1" x14ac:dyDescent="0.2">
      <c r="A1277" s="403"/>
      <c r="C1277" s="404"/>
      <c r="E1277" s="308"/>
      <c r="G1277" s="297"/>
      <c r="H1277" s="297"/>
      <c r="J1277" s="297"/>
      <c r="L1277" s="312"/>
      <c r="N1277" s="297"/>
      <c r="O1277" s="64"/>
    </row>
    <row r="1278" spans="1:15" ht="15" customHeight="1" x14ac:dyDescent="0.2">
      <c r="A1278" s="403"/>
      <c r="C1278" s="404"/>
      <c r="E1278" s="308"/>
      <c r="G1278" s="297"/>
      <c r="H1278" s="297"/>
      <c r="J1278" s="297"/>
      <c r="L1278" s="312"/>
      <c r="N1278" s="297"/>
      <c r="O1278" s="64"/>
    </row>
    <row r="1279" spans="1:15" ht="15" customHeight="1" x14ac:dyDescent="0.2">
      <c r="A1279" s="403"/>
      <c r="C1279" s="404"/>
      <c r="E1279" s="308"/>
      <c r="G1279" s="297"/>
      <c r="H1279" s="297"/>
      <c r="J1279" s="297"/>
      <c r="L1279" s="312"/>
      <c r="N1279" s="297"/>
      <c r="O1279" s="64"/>
    </row>
    <row r="1280" spans="1:15" ht="15" customHeight="1" x14ac:dyDescent="0.2">
      <c r="A1280" s="403"/>
      <c r="C1280" s="404"/>
      <c r="E1280" s="308"/>
      <c r="G1280" s="297"/>
      <c r="H1280" s="297"/>
      <c r="J1280" s="297"/>
      <c r="L1280" s="312"/>
      <c r="N1280" s="297"/>
      <c r="O1280" s="64"/>
    </row>
    <row r="1281" spans="1:15" ht="15" customHeight="1" x14ac:dyDescent="0.2">
      <c r="A1281" s="403"/>
      <c r="C1281" s="404"/>
      <c r="E1281" s="308"/>
      <c r="G1281" s="297"/>
      <c r="H1281" s="297"/>
      <c r="J1281" s="297"/>
      <c r="L1281" s="312"/>
      <c r="N1281" s="297"/>
      <c r="O1281" s="64"/>
    </row>
    <row r="1282" spans="1:15" ht="15" customHeight="1" x14ac:dyDescent="0.2">
      <c r="A1282" s="403"/>
      <c r="C1282" s="404"/>
      <c r="E1282" s="308"/>
      <c r="G1282" s="297"/>
      <c r="H1282" s="297"/>
      <c r="J1282" s="297"/>
      <c r="L1282" s="312"/>
      <c r="N1282" s="297"/>
      <c r="O1282" s="64"/>
    </row>
    <row r="1283" spans="1:15" ht="15" customHeight="1" x14ac:dyDescent="0.2">
      <c r="A1283" s="403"/>
      <c r="C1283" s="404"/>
      <c r="E1283" s="308"/>
      <c r="G1283" s="297"/>
      <c r="H1283" s="297"/>
      <c r="J1283" s="297"/>
      <c r="L1283" s="312"/>
      <c r="N1283" s="297"/>
      <c r="O1283" s="64"/>
    </row>
    <row r="1284" spans="1:15" ht="15" customHeight="1" x14ac:dyDescent="0.2">
      <c r="A1284" s="403"/>
      <c r="C1284" s="404"/>
      <c r="E1284" s="308"/>
      <c r="G1284" s="297"/>
      <c r="H1284" s="297"/>
      <c r="J1284" s="297"/>
      <c r="L1284" s="312"/>
      <c r="N1284" s="297"/>
      <c r="O1284" s="64"/>
    </row>
    <row r="1285" spans="1:15" ht="15" customHeight="1" x14ac:dyDescent="0.2">
      <c r="A1285" s="403"/>
      <c r="C1285" s="404"/>
      <c r="E1285" s="308"/>
      <c r="G1285" s="297"/>
      <c r="H1285" s="297"/>
      <c r="J1285" s="297"/>
      <c r="L1285" s="312"/>
      <c r="N1285" s="297"/>
      <c r="O1285" s="64"/>
    </row>
    <row r="1286" spans="1:15" ht="15" customHeight="1" x14ac:dyDescent="0.2">
      <c r="A1286" s="403"/>
      <c r="C1286" s="404"/>
      <c r="E1286" s="308"/>
      <c r="G1286" s="297"/>
      <c r="H1286" s="297"/>
      <c r="J1286" s="297"/>
      <c r="L1286" s="312"/>
      <c r="N1286" s="297"/>
      <c r="O1286" s="64"/>
    </row>
    <row r="1287" spans="1:15" ht="15" customHeight="1" x14ac:dyDescent="0.2">
      <c r="A1287" s="403"/>
      <c r="C1287" s="404"/>
      <c r="E1287" s="308"/>
      <c r="G1287" s="297"/>
      <c r="H1287" s="297"/>
      <c r="J1287" s="297"/>
      <c r="L1287" s="312"/>
      <c r="N1287" s="297"/>
      <c r="O1287" s="64"/>
    </row>
    <row r="1288" spans="1:15" ht="15" customHeight="1" x14ac:dyDescent="0.2">
      <c r="A1288" s="403"/>
      <c r="C1288" s="404"/>
      <c r="E1288" s="308"/>
      <c r="G1288" s="297"/>
      <c r="H1288" s="297"/>
      <c r="J1288" s="297"/>
      <c r="L1288" s="312"/>
      <c r="N1288" s="297"/>
      <c r="O1288" s="64"/>
    </row>
    <row r="1289" spans="1:15" ht="15" customHeight="1" x14ac:dyDescent="0.2">
      <c r="A1289" s="403"/>
      <c r="C1289" s="404"/>
      <c r="E1289" s="308"/>
      <c r="G1289" s="297"/>
      <c r="H1289" s="297"/>
      <c r="J1289" s="297"/>
      <c r="L1289" s="312"/>
      <c r="N1289" s="297"/>
      <c r="O1289" s="64"/>
    </row>
    <row r="1290" spans="1:15" ht="15" customHeight="1" x14ac:dyDescent="0.2">
      <c r="A1290" s="403"/>
      <c r="C1290" s="404"/>
      <c r="E1290" s="308"/>
      <c r="G1290" s="297"/>
      <c r="H1290" s="297"/>
      <c r="J1290" s="297"/>
      <c r="L1290" s="312"/>
      <c r="N1290" s="297"/>
      <c r="O1290" s="64"/>
    </row>
    <row r="1291" spans="1:15" ht="15" customHeight="1" x14ac:dyDescent="0.2">
      <c r="A1291" s="403"/>
      <c r="C1291" s="404"/>
      <c r="E1291" s="308"/>
      <c r="G1291" s="297"/>
      <c r="H1291" s="297"/>
      <c r="J1291" s="297"/>
      <c r="L1291" s="312"/>
      <c r="N1291" s="297"/>
      <c r="O1291" s="64"/>
    </row>
    <row r="1292" spans="1:15" ht="15" customHeight="1" x14ac:dyDescent="0.2">
      <c r="A1292" s="403"/>
      <c r="C1292" s="404"/>
      <c r="E1292" s="308"/>
      <c r="G1292" s="297"/>
      <c r="H1292" s="297"/>
      <c r="J1292" s="297"/>
      <c r="L1292" s="312"/>
      <c r="N1292" s="297"/>
      <c r="O1292" s="64"/>
    </row>
    <row r="1293" spans="1:15" ht="15" customHeight="1" x14ac:dyDescent="0.2">
      <c r="A1293" s="403"/>
      <c r="C1293" s="404"/>
      <c r="E1293" s="308"/>
      <c r="G1293" s="297"/>
      <c r="H1293" s="297"/>
      <c r="J1293" s="297"/>
      <c r="L1293" s="312"/>
      <c r="N1293" s="297"/>
      <c r="O1293" s="64"/>
    </row>
    <row r="1294" spans="1:15" ht="15" customHeight="1" x14ac:dyDescent="0.2">
      <c r="A1294" s="403"/>
      <c r="C1294" s="404"/>
      <c r="E1294" s="308"/>
      <c r="G1294" s="297"/>
      <c r="H1294" s="297"/>
      <c r="J1294" s="297"/>
      <c r="L1294" s="312"/>
      <c r="N1294" s="297"/>
      <c r="O1294" s="64"/>
    </row>
    <row r="1295" spans="1:15" ht="15" customHeight="1" x14ac:dyDescent="0.2">
      <c r="A1295" s="403"/>
      <c r="C1295" s="404"/>
      <c r="E1295" s="308"/>
      <c r="G1295" s="297"/>
      <c r="H1295" s="297"/>
      <c r="J1295" s="297"/>
      <c r="L1295" s="312"/>
      <c r="N1295" s="297"/>
      <c r="O1295" s="64"/>
    </row>
    <row r="1296" spans="1:15" ht="15" customHeight="1" x14ac:dyDescent="0.2">
      <c r="A1296" s="403"/>
      <c r="C1296" s="404"/>
      <c r="E1296" s="308"/>
      <c r="G1296" s="297"/>
      <c r="H1296" s="297"/>
      <c r="J1296" s="297"/>
      <c r="L1296" s="312"/>
      <c r="N1296" s="297"/>
      <c r="O1296" s="64"/>
    </row>
    <row r="1297" spans="1:15" ht="15" customHeight="1" x14ac:dyDescent="0.2">
      <c r="A1297" s="403"/>
      <c r="C1297" s="404"/>
      <c r="E1297" s="308"/>
      <c r="G1297" s="297"/>
      <c r="H1297" s="297"/>
      <c r="J1297" s="297"/>
      <c r="L1297" s="312"/>
      <c r="N1297" s="297"/>
      <c r="O1297" s="64"/>
    </row>
    <row r="1298" spans="1:15" ht="15" customHeight="1" x14ac:dyDescent="0.2">
      <c r="A1298" s="403"/>
      <c r="C1298" s="404"/>
      <c r="E1298" s="308"/>
      <c r="G1298" s="297"/>
      <c r="H1298" s="297"/>
      <c r="J1298" s="297"/>
      <c r="L1298" s="312"/>
      <c r="N1298" s="297"/>
      <c r="O1298" s="64"/>
    </row>
    <row r="1299" spans="1:15" ht="15" customHeight="1" x14ac:dyDescent="0.2">
      <c r="A1299" s="403"/>
      <c r="C1299" s="404"/>
      <c r="E1299" s="308"/>
      <c r="G1299" s="297"/>
      <c r="H1299" s="297"/>
      <c r="J1299" s="297"/>
      <c r="L1299" s="312"/>
      <c r="N1299" s="297"/>
      <c r="O1299" s="64"/>
    </row>
    <row r="1300" spans="1:15" ht="15" customHeight="1" x14ac:dyDescent="0.2">
      <c r="A1300" s="403"/>
      <c r="C1300" s="404"/>
      <c r="E1300" s="308"/>
      <c r="G1300" s="297"/>
      <c r="H1300" s="297"/>
      <c r="J1300" s="297"/>
      <c r="L1300" s="312"/>
      <c r="N1300" s="297"/>
      <c r="O1300" s="64"/>
    </row>
    <row r="1301" spans="1:15" ht="15" customHeight="1" x14ac:dyDescent="0.2">
      <c r="A1301" s="403"/>
      <c r="C1301" s="404"/>
      <c r="E1301" s="308"/>
      <c r="G1301" s="297"/>
      <c r="H1301" s="297"/>
      <c r="J1301" s="297"/>
      <c r="L1301" s="312"/>
      <c r="N1301" s="297"/>
      <c r="O1301" s="64"/>
    </row>
    <row r="1302" spans="1:15" ht="15" customHeight="1" x14ac:dyDescent="0.2">
      <c r="A1302" s="403"/>
      <c r="C1302" s="404"/>
      <c r="E1302" s="308"/>
      <c r="G1302" s="297"/>
      <c r="H1302" s="297"/>
      <c r="J1302" s="297"/>
      <c r="L1302" s="312"/>
      <c r="N1302" s="297"/>
      <c r="O1302" s="64"/>
    </row>
    <row r="1303" spans="1:15" ht="15" customHeight="1" x14ac:dyDescent="0.2">
      <c r="A1303" s="403"/>
      <c r="C1303" s="404"/>
      <c r="E1303" s="308"/>
      <c r="G1303" s="297"/>
      <c r="H1303" s="297"/>
      <c r="J1303" s="297"/>
      <c r="L1303" s="312"/>
      <c r="N1303" s="297"/>
      <c r="O1303" s="64"/>
    </row>
    <row r="1304" spans="1:15" ht="15" customHeight="1" x14ac:dyDescent="0.2">
      <c r="A1304" s="403"/>
      <c r="C1304" s="404"/>
      <c r="E1304" s="308"/>
      <c r="G1304" s="297"/>
      <c r="H1304" s="297"/>
      <c r="J1304" s="297"/>
      <c r="L1304" s="312"/>
      <c r="N1304" s="297"/>
      <c r="O1304" s="64"/>
    </row>
    <row r="1305" spans="1:15" ht="15" customHeight="1" x14ac:dyDescent="0.2">
      <c r="A1305" s="403"/>
      <c r="C1305" s="404"/>
      <c r="E1305" s="308"/>
      <c r="G1305" s="297"/>
      <c r="H1305" s="297"/>
      <c r="J1305" s="297"/>
      <c r="L1305" s="312"/>
      <c r="N1305" s="297"/>
      <c r="O1305" s="64"/>
    </row>
    <row r="1306" spans="1:15" ht="15" customHeight="1" x14ac:dyDescent="0.2">
      <c r="A1306" s="403"/>
      <c r="C1306" s="404"/>
      <c r="E1306" s="308"/>
      <c r="G1306" s="297"/>
      <c r="H1306" s="297"/>
      <c r="J1306" s="297"/>
      <c r="L1306" s="312"/>
      <c r="N1306" s="297"/>
      <c r="O1306" s="64"/>
    </row>
    <row r="1307" spans="1:15" ht="15" customHeight="1" x14ac:dyDescent="0.2">
      <c r="A1307" s="403"/>
      <c r="C1307" s="404"/>
      <c r="E1307" s="308"/>
      <c r="G1307" s="297"/>
      <c r="H1307" s="297"/>
      <c r="J1307" s="297"/>
      <c r="L1307" s="312"/>
      <c r="N1307" s="297"/>
      <c r="O1307" s="64"/>
    </row>
    <row r="1308" spans="1:15" ht="15" customHeight="1" x14ac:dyDescent="0.2">
      <c r="A1308" s="403"/>
      <c r="C1308" s="404"/>
      <c r="E1308" s="308"/>
      <c r="G1308" s="297"/>
      <c r="H1308" s="297"/>
      <c r="J1308" s="297"/>
      <c r="L1308" s="312"/>
      <c r="N1308" s="297"/>
      <c r="O1308" s="64"/>
    </row>
    <row r="1309" spans="1:15" ht="15" customHeight="1" x14ac:dyDescent="0.2">
      <c r="A1309" s="403"/>
      <c r="C1309" s="404"/>
      <c r="E1309" s="308"/>
      <c r="G1309" s="297"/>
      <c r="H1309" s="297"/>
      <c r="J1309" s="297"/>
      <c r="L1309" s="312"/>
      <c r="N1309" s="297"/>
      <c r="O1309" s="64"/>
    </row>
    <row r="1310" spans="1:15" ht="15" customHeight="1" x14ac:dyDescent="0.2">
      <c r="A1310" s="403"/>
      <c r="C1310" s="404"/>
      <c r="E1310" s="308"/>
      <c r="G1310" s="297"/>
      <c r="H1310" s="297"/>
      <c r="J1310" s="297"/>
      <c r="L1310" s="312"/>
      <c r="N1310" s="297"/>
      <c r="O1310" s="64"/>
    </row>
    <row r="1311" spans="1:15" ht="15" customHeight="1" x14ac:dyDescent="0.2">
      <c r="A1311" s="403"/>
      <c r="C1311" s="404"/>
      <c r="E1311" s="308"/>
      <c r="G1311" s="297"/>
      <c r="H1311" s="297"/>
      <c r="J1311" s="297"/>
      <c r="L1311" s="312"/>
      <c r="N1311" s="297"/>
      <c r="O1311" s="64"/>
    </row>
    <row r="1312" spans="1:15" ht="15" customHeight="1" x14ac:dyDescent="0.2">
      <c r="A1312" s="403"/>
      <c r="C1312" s="404"/>
      <c r="E1312" s="308"/>
      <c r="G1312" s="297"/>
      <c r="H1312" s="297"/>
      <c r="J1312" s="297"/>
      <c r="L1312" s="312"/>
      <c r="N1312" s="297"/>
      <c r="O1312" s="64"/>
    </row>
    <row r="1313" spans="1:15" ht="15" customHeight="1" x14ac:dyDescent="0.2">
      <c r="A1313" s="403"/>
      <c r="C1313" s="404"/>
      <c r="E1313" s="308"/>
      <c r="G1313" s="297"/>
      <c r="H1313" s="297"/>
      <c r="J1313" s="297"/>
      <c r="L1313" s="312"/>
      <c r="N1313" s="297"/>
      <c r="O1313" s="64"/>
    </row>
    <row r="1314" spans="1:15" ht="15" customHeight="1" x14ac:dyDescent="0.2">
      <c r="A1314" s="403"/>
      <c r="C1314" s="404"/>
      <c r="E1314" s="308"/>
      <c r="G1314" s="297"/>
      <c r="H1314" s="297"/>
      <c r="J1314" s="297"/>
      <c r="L1314" s="312"/>
      <c r="N1314" s="297"/>
      <c r="O1314" s="64"/>
    </row>
    <row r="1315" spans="1:15" ht="15" customHeight="1" x14ac:dyDescent="0.2">
      <c r="A1315" s="403"/>
      <c r="C1315" s="404"/>
      <c r="E1315" s="308"/>
      <c r="G1315" s="297"/>
      <c r="H1315" s="297"/>
      <c r="J1315" s="297"/>
      <c r="L1315" s="312"/>
      <c r="N1315" s="297"/>
      <c r="O1315" s="64"/>
    </row>
    <row r="1316" spans="1:15" ht="15" customHeight="1" x14ac:dyDescent="0.2">
      <c r="A1316" s="403"/>
      <c r="C1316" s="404"/>
      <c r="E1316" s="308"/>
      <c r="G1316" s="297"/>
      <c r="H1316" s="297"/>
      <c r="J1316" s="297"/>
      <c r="L1316" s="312"/>
      <c r="N1316" s="297"/>
      <c r="O1316" s="64"/>
    </row>
    <row r="1317" spans="1:15" ht="15" customHeight="1" x14ac:dyDescent="0.2">
      <c r="A1317" s="403"/>
      <c r="C1317" s="404"/>
      <c r="E1317" s="308"/>
      <c r="G1317" s="297"/>
      <c r="H1317" s="297"/>
      <c r="J1317" s="297"/>
      <c r="L1317" s="312"/>
      <c r="N1317" s="297"/>
      <c r="O1317" s="64"/>
    </row>
    <row r="1318" spans="1:15" ht="15" customHeight="1" x14ac:dyDescent="0.2">
      <c r="A1318" s="403"/>
      <c r="C1318" s="404"/>
      <c r="E1318" s="308"/>
      <c r="G1318" s="297"/>
      <c r="H1318" s="297"/>
      <c r="J1318" s="297"/>
      <c r="L1318" s="312"/>
      <c r="N1318" s="297"/>
      <c r="O1318" s="64"/>
    </row>
    <row r="1319" spans="1:15" ht="15" customHeight="1" x14ac:dyDescent="0.2">
      <c r="A1319" s="403"/>
      <c r="C1319" s="404"/>
      <c r="E1319" s="308"/>
      <c r="G1319" s="297"/>
      <c r="H1319" s="297"/>
      <c r="J1319" s="297"/>
      <c r="L1319" s="312"/>
      <c r="N1319" s="297"/>
      <c r="O1319" s="64"/>
    </row>
    <row r="1320" spans="1:15" ht="15" customHeight="1" x14ac:dyDescent="0.2">
      <c r="A1320" s="403"/>
      <c r="C1320" s="404"/>
      <c r="E1320" s="308"/>
      <c r="G1320" s="297"/>
      <c r="H1320" s="297"/>
      <c r="J1320" s="297"/>
      <c r="L1320" s="312"/>
      <c r="N1320" s="297"/>
      <c r="O1320" s="64"/>
    </row>
    <row r="1321" spans="1:15" ht="15" customHeight="1" x14ac:dyDescent="0.2">
      <c r="A1321" s="403"/>
      <c r="C1321" s="404"/>
      <c r="E1321" s="308"/>
      <c r="G1321" s="297"/>
      <c r="H1321" s="297"/>
      <c r="J1321" s="297"/>
      <c r="L1321" s="312"/>
      <c r="N1321" s="297"/>
      <c r="O1321" s="64"/>
    </row>
    <row r="1322" spans="1:15" ht="15" customHeight="1" x14ac:dyDescent="0.2">
      <c r="A1322" s="403"/>
      <c r="C1322" s="404"/>
      <c r="E1322" s="308"/>
      <c r="G1322" s="297"/>
      <c r="H1322" s="297"/>
      <c r="J1322" s="297"/>
      <c r="L1322" s="312"/>
      <c r="N1322" s="297"/>
      <c r="O1322" s="64"/>
    </row>
    <row r="1323" spans="1:15" ht="15" customHeight="1" x14ac:dyDescent="0.2">
      <c r="A1323" s="403"/>
      <c r="C1323" s="404"/>
      <c r="E1323" s="308"/>
      <c r="G1323" s="297"/>
      <c r="H1323" s="297"/>
      <c r="J1323" s="297"/>
      <c r="L1323" s="312"/>
      <c r="N1323" s="297"/>
      <c r="O1323" s="64"/>
    </row>
    <row r="1324" spans="1:15" ht="15" customHeight="1" x14ac:dyDescent="0.2">
      <c r="A1324" s="403"/>
      <c r="C1324" s="404"/>
      <c r="E1324" s="308"/>
      <c r="G1324" s="297"/>
      <c r="H1324" s="297"/>
      <c r="J1324" s="297"/>
      <c r="L1324" s="312"/>
      <c r="N1324" s="297"/>
      <c r="O1324" s="64"/>
    </row>
    <row r="1325" spans="1:15" ht="15" customHeight="1" x14ac:dyDescent="0.2">
      <c r="A1325" s="403"/>
      <c r="C1325" s="404"/>
      <c r="E1325" s="308"/>
      <c r="G1325" s="297"/>
      <c r="H1325" s="297"/>
      <c r="J1325" s="297"/>
      <c r="L1325" s="312"/>
      <c r="N1325" s="297"/>
      <c r="O1325" s="64"/>
    </row>
    <row r="1326" spans="1:15" ht="15" customHeight="1" x14ac:dyDescent="0.2">
      <c r="A1326" s="403"/>
      <c r="C1326" s="404"/>
      <c r="E1326" s="308"/>
      <c r="G1326" s="297"/>
      <c r="H1326" s="297"/>
      <c r="J1326" s="297"/>
      <c r="L1326" s="312"/>
      <c r="N1326" s="297"/>
      <c r="O1326" s="64"/>
    </row>
    <row r="1327" spans="1:15" ht="15" customHeight="1" x14ac:dyDescent="0.2">
      <c r="A1327" s="403"/>
      <c r="C1327" s="404"/>
      <c r="E1327" s="308"/>
      <c r="G1327" s="297"/>
      <c r="H1327" s="297"/>
      <c r="J1327" s="297"/>
      <c r="L1327" s="312"/>
      <c r="N1327" s="297"/>
      <c r="O1327" s="64"/>
    </row>
    <row r="1328" spans="1:15" ht="15" customHeight="1" x14ac:dyDescent="0.2">
      <c r="A1328" s="403"/>
      <c r="C1328" s="404"/>
      <c r="E1328" s="308"/>
      <c r="G1328" s="297"/>
      <c r="H1328" s="297"/>
      <c r="J1328" s="297"/>
      <c r="L1328" s="312"/>
      <c r="N1328" s="297"/>
      <c r="O1328" s="64"/>
    </row>
    <row r="1329" spans="1:15" ht="15" customHeight="1" x14ac:dyDescent="0.2">
      <c r="A1329" s="403"/>
      <c r="C1329" s="404"/>
      <c r="E1329" s="308"/>
      <c r="G1329" s="297"/>
      <c r="H1329" s="297"/>
      <c r="J1329" s="297"/>
      <c r="L1329" s="312"/>
      <c r="N1329" s="297"/>
      <c r="O1329" s="64"/>
    </row>
    <row r="1330" spans="1:15" ht="15" customHeight="1" x14ac:dyDescent="0.2">
      <c r="A1330" s="403"/>
      <c r="C1330" s="404"/>
      <c r="E1330" s="308"/>
      <c r="G1330" s="297"/>
      <c r="H1330" s="297"/>
      <c r="J1330" s="297"/>
      <c r="L1330" s="312"/>
      <c r="N1330" s="297"/>
      <c r="O1330" s="64"/>
    </row>
    <row r="1331" spans="1:15" ht="15" customHeight="1" x14ac:dyDescent="0.2">
      <c r="A1331" s="403"/>
      <c r="C1331" s="404"/>
      <c r="E1331" s="308"/>
      <c r="G1331" s="297"/>
      <c r="H1331" s="297"/>
      <c r="J1331" s="297"/>
      <c r="L1331" s="312"/>
      <c r="N1331" s="297"/>
      <c r="O1331" s="64"/>
    </row>
    <row r="1332" spans="1:15" ht="15" customHeight="1" x14ac:dyDescent="0.2">
      <c r="A1332" s="403"/>
      <c r="C1332" s="404"/>
      <c r="E1332" s="308"/>
      <c r="G1332" s="297"/>
      <c r="H1332" s="297"/>
      <c r="J1332" s="297"/>
      <c r="L1332" s="312"/>
      <c r="N1332" s="297"/>
      <c r="O1332" s="64"/>
    </row>
    <row r="1333" spans="1:15" ht="15" customHeight="1" x14ac:dyDescent="0.2">
      <c r="A1333" s="403"/>
      <c r="C1333" s="404"/>
      <c r="E1333" s="308"/>
      <c r="G1333" s="297"/>
      <c r="H1333" s="297"/>
      <c r="J1333" s="297"/>
      <c r="L1333" s="312"/>
      <c r="N1333" s="297"/>
      <c r="O1333" s="64"/>
    </row>
    <row r="1334" spans="1:15" ht="15" customHeight="1" x14ac:dyDescent="0.2">
      <c r="A1334" s="403"/>
      <c r="C1334" s="404"/>
      <c r="E1334" s="308"/>
      <c r="G1334" s="297"/>
      <c r="H1334" s="297"/>
      <c r="J1334" s="297"/>
      <c r="L1334" s="312"/>
      <c r="N1334" s="297"/>
      <c r="O1334" s="64"/>
    </row>
    <row r="1335" spans="1:15" ht="15" customHeight="1" x14ac:dyDescent="0.2">
      <c r="A1335" s="403"/>
      <c r="C1335" s="404"/>
      <c r="E1335" s="308"/>
      <c r="G1335" s="297"/>
      <c r="H1335" s="297"/>
      <c r="J1335" s="297"/>
      <c r="L1335" s="312"/>
      <c r="N1335" s="297"/>
      <c r="O1335" s="64"/>
    </row>
    <row r="1336" spans="1:15" ht="15" customHeight="1" x14ac:dyDescent="0.2">
      <c r="A1336" s="403"/>
      <c r="C1336" s="404"/>
      <c r="E1336" s="308"/>
      <c r="G1336" s="297"/>
      <c r="H1336" s="297"/>
      <c r="J1336" s="297"/>
      <c r="L1336" s="312"/>
      <c r="N1336" s="297"/>
      <c r="O1336" s="64"/>
    </row>
    <row r="1337" spans="1:15" ht="15" customHeight="1" x14ac:dyDescent="0.2">
      <c r="A1337" s="403"/>
      <c r="C1337" s="404"/>
      <c r="E1337" s="308"/>
      <c r="G1337" s="297"/>
      <c r="H1337" s="297"/>
      <c r="J1337" s="297"/>
      <c r="L1337" s="312"/>
      <c r="N1337" s="297"/>
      <c r="O1337" s="64"/>
    </row>
    <row r="1338" spans="1:15" ht="15" customHeight="1" x14ac:dyDescent="0.2">
      <c r="A1338" s="403"/>
      <c r="C1338" s="404"/>
      <c r="E1338" s="308"/>
      <c r="G1338" s="297"/>
      <c r="H1338" s="297"/>
      <c r="J1338" s="297"/>
      <c r="L1338" s="312"/>
      <c r="N1338" s="297"/>
      <c r="O1338" s="64"/>
    </row>
    <row r="1339" spans="1:15" ht="15" customHeight="1" x14ac:dyDescent="0.2">
      <c r="A1339" s="403"/>
      <c r="C1339" s="404"/>
      <c r="E1339" s="308"/>
      <c r="G1339" s="297"/>
      <c r="H1339" s="297"/>
      <c r="J1339" s="297"/>
      <c r="L1339" s="312"/>
      <c r="N1339" s="297"/>
      <c r="O1339" s="64"/>
    </row>
    <row r="1340" spans="1:15" ht="15" customHeight="1" x14ac:dyDescent="0.2">
      <c r="A1340" s="403"/>
      <c r="C1340" s="404"/>
      <c r="E1340" s="308"/>
      <c r="G1340" s="297"/>
      <c r="H1340" s="297"/>
      <c r="J1340" s="297"/>
      <c r="L1340" s="312"/>
      <c r="N1340" s="297"/>
      <c r="O1340" s="64"/>
    </row>
    <row r="1341" spans="1:15" ht="15" customHeight="1" x14ac:dyDescent="0.2">
      <c r="A1341" s="403"/>
      <c r="C1341" s="404"/>
      <c r="E1341" s="308"/>
      <c r="G1341" s="297"/>
      <c r="H1341" s="297"/>
      <c r="J1341" s="297"/>
      <c r="L1341" s="312"/>
      <c r="N1341" s="297"/>
      <c r="O1341" s="64"/>
    </row>
    <row r="1342" spans="1:15" ht="15" customHeight="1" x14ac:dyDescent="0.2">
      <c r="A1342" s="403"/>
      <c r="C1342" s="404"/>
      <c r="E1342" s="308"/>
      <c r="G1342" s="297"/>
      <c r="H1342" s="297"/>
      <c r="J1342" s="297"/>
      <c r="L1342" s="312"/>
      <c r="N1342" s="297"/>
      <c r="O1342" s="64"/>
    </row>
    <row r="1343" spans="1:15" ht="15" customHeight="1" x14ac:dyDescent="0.2">
      <c r="A1343" s="403"/>
      <c r="C1343" s="404"/>
      <c r="E1343" s="308"/>
      <c r="G1343" s="297"/>
      <c r="H1343" s="297"/>
      <c r="J1343" s="297"/>
      <c r="L1343" s="312"/>
      <c r="N1343" s="297"/>
      <c r="O1343" s="64"/>
    </row>
    <row r="1344" spans="1:15" ht="15" customHeight="1" x14ac:dyDescent="0.2">
      <c r="A1344" s="403"/>
      <c r="C1344" s="404"/>
      <c r="E1344" s="308"/>
      <c r="G1344" s="297"/>
      <c r="H1344" s="297"/>
      <c r="J1344" s="297"/>
      <c r="L1344" s="312"/>
      <c r="N1344" s="297"/>
      <c r="O1344" s="64"/>
    </row>
    <row r="1345" spans="1:15" ht="15" customHeight="1" x14ac:dyDescent="0.2">
      <c r="A1345" s="403"/>
      <c r="C1345" s="404"/>
      <c r="E1345" s="308"/>
      <c r="G1345" s="297"/>
      <c r="H1345" s="297"/>
      <c r="J1345" s="297"/>
      <c r="L1345" s="312"/>
      <c r="N1345" s="297"/>
      <c r="O1345" s="64"/>
    </row>
    <row r="1346" spans="1:15" ht="15" customHeight="1" x14ac:dyDescent="0.2">
      <c r="A1346" s="403"/>
      <c r="C1346" s="404"/>
      <c r="E1346" s="308"/>
      <c r="G1346" s="297"/>
      <c r="H1346" s="297"/>
      <c r="J1346" s="297"/>
      <c r="L1346" s="312"/>
      <c r="N1346" s="297"/>
      <c r="O1346" s="64"/>
    </row>
    <row r="1347" spans="1:15" ht="15" customHeight="1" x14ac:dyDescent="0.2">
      <c r="A1347" s="403"/>
      <c r="C1347" s="404"/>
      <c r="E1347" s="308"/>
      <c r="G1347" s="297"/>
      <c r="H1347" s="297"/>
      <c r="J1347" s="297"/>
      <c r="L1347" s="312"/>
      <c r="N1347" s="297"/>
      <c r="O1347" s="64"/>
    </row>
    <row r="1348" spans="1:15" ht="15" customHeight="1" x14ac:dyDescent="0.2">
      <c r="A1348" s="403"/>
      <c r="C1348" s="404"/>
      <c r="E1348" s="308"/>
      <c r="G1348" s="297"/>
      <c r="H1348" s="297"/>
      <c r="J1348" s="297"/>
      <c r="L1348" s="312"/>
      <c r="N1348" s="297"/>
      <c r="O1348" s="64"/>
    </row>
    <row r="1349" spans="1:15" ht="15" customHeight="1" x14ac:dyDescent="0.2">
      <c r="A1349" s="403"/>
      <c r="C1349" s="404"/>
      <c r="E1349" s="308"/>
      <c r="G1349" s="297"/>
      <c r="H1349" s="297"/>
      <c r="J1349" s="297"/>
      <c r="L1349" s="312"/>
      <c r="N1349" s="297"/>
      <c r="O1349" s="64"/>
    </row>
    <row r="1350" spans="1:15" ht="15" customHeight="1" x14ac:dyDescent="0.2">
      <c r="A1350" s="403"/>
      <c r="C1350" s="404"/>
      <c r="E1350" s="308"/>
      <c r="G1350" s="297"/>
      <c r="H1350" s="297"/>
      <c r="J1350" s="297"/>
      <c r="L1350" s="312"/>
      <c r="N1350" s="297"/>
      <c r="O1350" s="64"/>
    </row>
    <row r="1351" spans="1:15" ht="15" customHeight="1" x14ac:dyDescent="0.2">
      <c r="A1351" s="403"/>
      <c r="C1351" s="404"/>
      <c r="E1351" s="308"/>
      <c r="G1351" s="297"/>
      <c r="H1351" s="297"/>
      <c r="J1351" s="297"/>
      <c r="L1351" s="312"/>
      <c r="N1351" s="297"/>
      <c r="O1351" s="64"/>
    </row>
    <row r="1352" spans="1:15" ht="15" customHeight="1" x14ac:dyDescent="0.2">
      <c r="A1352" s="403"/>
      <c r="C1352" s="404"/>
      <c r="E1352" s="308"/>
      <c r="G1352" s="297"/>
      <c r="H1352" s="297"/>
      <c r="J1352" s="297"/>
      <c r="L1352" s="312"/>
      <c r="N1352" s="297"/>
      <c r="O1352" s="64"/>
    </row>
    <row r="1353" spans="1:15" ht="15" customHeight="1" x14ac:dyDescent="0.2">
      <c r="A1353" s="403"/>
      <c r="C1353" s="404"/>
      <c r="E1353" s="308"/>
      <c r="G1353" s="297"/>
      <c r="H1353" s="297"/>
      <c r="J1353" s="297"/>
      <c r="L1353" s="312"/>
      <c r="N1353" s="297"/>
      <c r="O1353" s="64"/>
    </row>
    <row r="1354" spans="1:15" ht="15" customHeight="1" x14ac:dyDescent="0.2">
      <c r="A1354" s="403"/>
      <c r="C1354" s="404"/>
      <c r="E1354" s="308"/>
      <c r="G1354" s="297"/>
      <c r="H1354" s="297"/>
      <c r="J1354" s="297"/>
      <c r="L1354" s="312"/>
      <c r="N1354" s="297"/>
      <c r="O1354" s="64"/>
    </row>
    <row r="1355" spans="1:15" ht="15" customHeight="1" x14ac:dyDescent="0.2">
      <c r="A1355" s="403"/>
      <c r="C1355" s="404"/>
      <c r="E1355" s="308"/>
      <c r="G1355" s="297"/>
      <c r="H1355" s="297"/>
      <c r="J1355" s="297"/>
      <c r="L1355" s="312"/>
      <c r="N1355" s="297"/>
      <c r="O1355" s="64"/>
    </row>
    <row r="1356" spans="1:15" ht="15" customHeight="1" x14ac:dyDescent="0.2">
      <c r="A1356" s="403"/>
      <c r="C1356" s="404"/>
      <c r="E1356" s="308"/>
      <c r="G1356" s="297"/>
      <c r="H1356" s="297"/>
      <c r="J1356" s="297"/>
      <c r="L1356" s="312"/>
      <c r="N1356" s="297"/>
      <c r="O1356" s="64"/>
    </row>
    <row r="1357" spans="1:15" ht="15" customHeight="1" x14ac:dyDescent="0.2">
      <c r="A1357" s="403"/>
      <c r="C1357" s="404"/>
      <c r="E1357" s="308"/>
      <c r="G1357" s="297"/>
      <c r="H1357" s="297"/>
      <c r="J1357" s="297"/>
      <c r="L1357" s="312"/>
      <c r="N1357" s="297"/>
      <c r="O1357" s="64"/>
    </row>
    <row r="1358" spans="1:15" ht="15" customHeight="1" x14ac:dyDescent="0.2">
      <c r="A1358" s="403"/>
      <c r="C1358" s="404"/>
      <c r="E1358" s="308"/>
      <c r="G1358" s="297"/>
      <c r="H1358" s="297"/>
      <c r="J1358" s="297"/>
      <c r="L1358" s="312"/>
      <c r="N1358" s="297"/>
      <c r="O1358" s="64"/>
    </row>
    <row r="1359" spans="1:15" ht="15" customHeight="1" x14ac:dyDescent="0.2">
      <c r="A1359" s="403"/>
      <c r="C1359" s="404"/>
      <c r="E1359" s="308"/>
      <c r="G1359" s="297"/>
      <c r="H1359" s="297"/>
      <c r="J1359" s="297"/>
      <c r="L1359" s="312"/>
      <c r="N1359" s="297"/>
      <c r="O1359" s="64"/>
    </row>
    <row r="1360" spans="1:15" ht="15" customHeight="1" x14ac:dyDescent="0.2">
      <c r="A1360" s="403"/>
      <c r="C1360" s="404"/>
      <c r="E1360" s="308"/>
      <c r="G1360" s="297"/>
      <c r="H1360" s="297"/>
      <c r="J1360" s="297"/>
      <c r="L1360" s="312"/>
      <c r="N1360" s="297"/>
      <c r="O1360" s="64"/>
    </row>
    <row r="1361" spans="1:15" ht="15" customHeight="1" x14ac:dyDescent="0.2">
      <c r="A1361" s="403"/>
      <c r="C1361" s="404"/>
      <c r="E1361" s="308"/>
      <c r="G1361" s="297"/>
      <c r="H1361" s="297"/>
      <c r="J1361" s="297"/>
      <c r="L1361" s="312"/>
      <c r="N1361" s="297"/>
      <c r="O1361" s="64"/>
    </row>
    <row r="1362" spans="1:15" ht="15" customHeight="1" x14ac:dyDescent="0.2">
      <c r="A1362" s="403"/>
      <c r="C1362" s="404"/>
      <c r="E1362" s="308"/>
      <c r="G1362" s="297"/>
      <c r="H1362" s="297"/>
      <c r="J1362" s="297"/>
      <c r="L1362" s="312"/>
      <c r="N1362" s="297"/>
      <c r="O1362" s="64"/>
    </row>
    <row r="1363" spans="1:15" ht="15" customHeight="1" x14ac:dyDescent="0.2">
      <c r="A1363" s="403"/>
      <c r="C1363" s="404"/>
      <c r="E1363" s="308"/>
      <c r="G1363" s="297"/>
      <c r="H1363" s="297"/>
      <c r="J1363" s="297"/>
      <c r="L1363" s="312"/>
      <c r="N1363" s="297"/>
      <c r="O1363" s="64"/>
    </row>
    <row r="1364" spans="1:15" ht="15" customHeight="1" x14ac:dyDescent="0.2">
      <c r="A1364" s="403"/>
      <c r="C1364" s="404"/>
      <c r="E1364" s="308"/>
      <c r="G1364" s="297"/>
      <c r="H1364" s="297"/>
      <c r="J1364" s="297"/>
      <c r="L1364" s="312"/>
      <c r="N1364" s="297"/>
      <c r="O1364" s="64"/>
    </row>
    <row r="1365" spans="1:15" ht="15" customHeight="1" x14ac:dyDescent="0.2">
      <c r="A1365" s="403"/>
      <c r="C1365" s="404"/>
      <c r="E1365" s="308"/>
      <c r="G1365" s="297"/>
      <c r="H1365" s="297"/>
      <c r="J1365" s="297"/>
      <c r="L1365" s="312"/>
      <c r="N1365" s="297"/>
      <c r="O1365" s="64"/>
    </row>
    <row r="1366" spans="1:15" ht="15" customHeight="1" x14ac:dyDescent="0.2">
      <c r="A1366" s="403"/>
      <c r="C1366" s="404"/>
      <c r="E1366" s="308"/>
      <c r="G1366" s="297"/>
      <c r="H1366" s="297"/>
      <c r="J1366" s="297"/>
      <c r="L1366" s="312"/>
      <c r="N1366" s="297"/>
      <c r="O1366" s="64"/>
    </row>
    <row r="1367" spans="1:15" ht="15" customHeight="1" x14ac:dyDescent="0.2">
      <c r="A1367" s="403"/>
      <c r="C1367" s="404"/>
      <c r="E1367" s="308"/>
      <c r="G1367" s="297"/>
      <c r="H1367" s="297"/>
      <c r="J1367" s="297"/>
      <c r="L1367" s="312"/>
      <c r="N1367" s="297"/>
      <c r="O1367" s="64"/>
    </row>
    <row r="1368" spans="1:15" ht="15" customHeight="1" x14ac:dyDescent="0.2">
      <c r="A1368" s="403"/>
      <c r="C1368" s="404"/>
      <c r="E1368" s="308"/>
      <c r="G1368" s="297"/>
      <c r="H1368" s="297"/>
      <c r="J1368" s="297"/>
      <c r="L1368" s="312"/>
      <c r="N1368" s="297"/>
      <c r="O1368" s="64"/>
    </row>
    <row r="1369" spans="1:15" ht="15" customHeight="1" x14ac:dyDescent="0.2">
      <c r="A1369" s="403"/>
      <c r="C1369" s="404"/>
      <c r="E1369" s="308"/>
      <c r="G1369" s="297"/>
      <c r="H1369" s="297"/>
      <c r="J1369" s="297"/>
      <c r="L1369" s="312"/>
      <c r="N1369" s="297"/>
    </row>
    <row r="1370" spans="1:15" ht="15" customHeight="1" x14ac:dyDescent="0.2">
      <c r="A1370" s="403"/>
      <c r="C1370" s="404"/>
      <c r="E1370" s="308"/>
      <c r="G1370" s="297"/>
      <c r="H1370" s="297"/>
      <c r="J1370" s="297"/>
      <c r="L1370" s="312"/>
      <c r="N1370" s="297"/>
    </row>
    <row r="1371" spans="1:15" ht="15" customHeight="1" x14ac:dyDescent="0.2">
      <c r="A1371" s="403"/>
      <c r="C1371" s="404"/>
      <c r="E1371" s="308"/>
      <c r="G1371" s="297"/>
      <c r="H1371" s="297"/>
      <c r="J1371" s="297"/>
      <c r="L1371" s="312"/>
      <c r="N1371" s="297"/>
    </row>
    <row r="1372" spans="1:15" ht="15" customHeight="1" x14ac:dyDescent="0.2">
      <c r="A1372" s="403"/>
      <c r="C1372" s="404"/>
      <c r="E1372" s="308"/>
      <c r="G1372" s="297"/>
      <c r="H1372" s="297"/>
      <c r="J1372" s="297"/>
      <c r="L1372" s="312"/>
      <c r="N1372" s="297"/>
    </row>
    <row r="1373" spans="1:15" ht="15" customHeight="1" x14ac:dyDescent="0.2">
      <c r="A1373" s="403"/>
      <c r="C1373" s="404"/>
      <c r="E1373" s="308"/>
      <c r="G1373" s="297"/>
      <c r="H1373" s="297"/>
      <c r="J1373" s="297"/>
      <c r="L1373" s="312"/>
      <c r="N1373" s="297"/>
    </row>
    <row r="1374" spans="1:15" ht="15" customHeight="1" x14ac:dyDescent="0.2">
      <c r="A1374" s="403"/>
      <c r="C1374" s="404"/>
      <c r="E1374" s="308"/>
      <c r="G1374" s="297"/>
      <c r="H1374" s="297"/>
      <c r="J1374" s="297"/>
      <c r="L1374" s="312"/>
      <c r="N1374" s="297"/>
    </row>
    <row r="1375" spans="1:15" ht="15" customHeight="1" x14ac:dyDescent="0.2">
      <c r="A1375" s="403"/>
      <c r="C1375" s="404"/>
      <c r="E1375" s="308"/>
      <c r="G1375" s="297"/>
      <c r="H1375" s="297"/>
      <c r="J1375" s="297"/>
      <c r="L1375" s="312"/>
      <c r="N1375" s="297"/>
    </row>
    <row r="1376" spans="1:15" ht="15" customHeight="1" x14ac:dyDescent="0.2">
      <c r="A1376" s="403"/>
      <c r="C1376" s="404"/>
      <c r="E1376" s="308"/>
      <c r="G1376" s="297"/>
      <c r="H1376" s="297"/>
      <c r="J1376" s="297"/>
      <c r="L1376" s="312"/>
      <c r="N1376" s="297"/>
    </row>
    <row r="1377" spans="1:14" ht="15" customHeight="1" x14ac:dyDescent="0.2">
      <c r="A1377" s="403"/>
      <c r="C1377" s="404"/>
      <c r="E1377" s="308"/>
      <c r="G1377" s="297"/>
      <c r="H1377" s="297"/>
      <c r="J1377" s="297"/>
      <c r="L1377" s="312"/>
      <c r="N1377" s="297"/>
    </row>
    <row r="1378" spans="1:14" ht="15" customHeight="1" x14ac:dyDescent="0.2">
      <c r="A1378" s="403"/>
      <c r="C1378" s="404"/>
      <c r="E1378" s="308"/>
      <c r="G1378" s="297"/>
      <c r="H1378" s="297"/>
      <c r="J1378" s="297"/>
      <c r="L1378" s="312"/>
      <c r="N1378" s="297"/>
    </row>
    <row r="1379" spans="1:14" ht="15" customHeight="1" x14ac:dyDescent="0.2">
      <c r="A1379" s="403"/>
      <c r="C1379" s="404"/>
      <c r="E1379" s="308"/>
      <c r="G1379" s="297"/>
      <c r="H1379" s="297"/>
      <c r="J1379" s="297"/>
      <c r="L1379" s="312"/>
      <c r="N1379" s="297"/>
    </row>
    <row r="1380" spans="1:14" ht="15" customHeight="1" x14ac:dyDescent="0.2">
      <c r="A1380" s="403"/>
      <c r="C1380" s="404"/>
      <c r="E1380" s="308"/>
      <c r="G1380" s="297"/>
      <c r="H1380" s="297"/>
      <c r="J1380" s="297"/>
      <c r="L1380" s="312"/>
      <c r="N1380" s="297"/>
    </row>
    <row r="1381" spans="1:14" ht="15" customHeight="1" x14ac:dyDescent="0.2">
      <c r="A1381" s="403"/>
      <c r="C1381" s="404"/>
      <c r="E1381" s="308"/>
      <c r="G1381" s="297"/>
      <c r="H1381" s="297"/>
      <c r="J1381" s="297"/>
      <c r="L1381" s="312"/>
      <c r="N1381" s="297"/>
    </row>
    <row r="1382" spans="1:14" ht="15" customHeight="1" x14ac:dyDescent="0.2">
      <c r="A1382" s="403"/>
      <c r="C1382" s="404"/>
      <c r="E1382" s="308"/>
      <c r="G1382" s="297"/>
      <c r="H1382" s="297"/>
      <c r="J1382" s="297"/>
      <c r="L1382" s="312"/>
      <c r="N1382" s="297"/>
    </row>
    <row r="1383" spans="1:14" ht="15" customHeight="1" x14ac:dyDescent="0.2">
      <c r="A1383" s="403"/>
      <c r="C1383" s="404"/>
      <c r="E1383" s="308"/>
      <c r="G1383" s="297"/>
      <c r="H1383" s="297"/>
      <c r="J1383" s="297"/>
      <c r="L1383" s="312"/>
      <c r="N1383" s="297"/>
    </row>
    <row r="1384" spans="1:14" ht="15" customHeight="1" x14ac:dyDescent="0.2">
      <c r="A1384" s="403"/>
      <c r="C1384" s="404"/>
      <c r="E1384" s="308"/>
      <c r="G1384" s="297"/>
      <c r="H1384" s="297"/>
      <c r="J1384" s="297"/>
      <c r="L1384" s="312"/>
      <c r="N1384" s="297"/>
    </row>
    <row r="1385" spans="1:14" ht="15" customHeight="1" x14ac:dyDescent="0.2">
      <c r="A1385" s="403"/>
      <c r="C1385" s="404"/>
      <c r="E1385" s="308"/>
      <c r="G1385" s="297"/>
      <c r="H1385" s="297"/>
      <c r="J1385" s="297"/>
      <c r="L1385" s="312"/>
      <c r="N1385" s="297"/>
    </row>
    <row r="1386" spans="1:14" ht="15" customHeight="1" x14ac:dyDescent="0.2">
      <c r="A1386" s="403"/>
      <c r="C1386" s="404"/>
      <c r="E1386" s="308"/>
      <c r="G1386" s="297"/>
      <c r="H1386" s="297"/>
      <c r="J1386" s="297"/>
      <c r="L1386" s="312"/>
      <c r="N1386" s="297"/>
    </row>
    <row r="1387" spans="1:14" ht="15" customHeight="1" x14ac:dyDescent="0.2">
      <c r="A1387" s="403"/>
      <c r="C1387" s="404"/>
      <c r="E1387" s="308"/>
      <c r="G1387" s="297"/>
      <c r="H1387" s="297"/>
      <c r="J1387" s="297"/>
      <c r="L1387" s="312"/>
      <c r="N1387" s="297"/>
    </row>
    <row r="1388" spans="1:14" ht="15" customHeight="1" x14ac:dyDescent="0.2">
      <c r="A1388" s="403"/>
      <c r="C1388" s="404"/>
      <c r="E1388" s="308"/>
      <c r="G1388" s="297"/>
      <c r="H1388" s="297"/>
      <c r="J1388" s="297"/>
      <c r="L1388" s="312"/>
      <c r="N1388" s="297"/>
    </row>
    <row r="1389" spans="1:14" ht="15" customHeight="1" x14ac:dyDescent="0.2">
      <c r="A1389" s="403"/>
      <c r="C1389" s="404"/>
      <c r="E1389" s="308"/>
      <c r="G1389" s="297"/>
      <c r="H1389" s="297"/>
      <c r="J1389" s="297"/>
      <c r="L1389" s="312"/>
      <c r="N1389" s="297"/>
    </row>
    <row r="1390" spans="1:14" ht="15" customHeight="1" x14ac:dyDescent="0.2">
      <c r="A1390" s="403"/>
      <c r="C1390" s="404"/>
      <c r="E1390" s="308"/>
      <c r="G1390" s="297"/>
      <c r="H1390" s="297"/>
      <c r="J1390" s="297"/>
      <c r="L1390" s="312"/>
      <c r="N1390" s="297"/>
    </row>
    <row r="1391" spans="1:14" ht="15" customHeight="1" x14ac:dyDescent="0.2">
      <c r="A1391" s="403"/>
      <c r="C1391" s="404"/>
      <c r="E1391" s="308"/>
      <c r="G1391" s="297"/>
      <c r="H1391" s="297"/>
      <c r="J1391" s="297"/>
      <c r="L1391" s="312"/>
      <c r="N1391" s="297"/>
    </row>
    <row r="1392" spans="1:14" ht="15" customHeight="1" x14ac:dyDescent="0.2">
      <c r="A1392" s="403"/>
      <c r="C1392" s="404"/>
      <c r="E1392" s="308"/>
      <c r="G1392" s="297"/>
      <c r="H1392" s="297"/>
      <c r="J1392" s="297"/>
      <c r="L1392" s="312"/>
      <c r="N1392" s="297"/>
    </row>
    <row r="1393" spans="1:14" ht="15" customHeight="1" x14ac:dyDescent="0.2">
      <c r="A1393" s="403"/>
      <c r="C1393" s="404"/>
      <c r="E1393" s="308"/>
      <c r="G1393" s="297"/>
      <c r="H1393" s="297"/>
      <c r="J1393" s="297"/>
      <c r="L1393" s="312"/>
      <c r="N1393" s="297"/>
    </row>
    <row r="1394" spans="1:14" ht="15" customHeight="1" x14ac:dyDescent="0.2">
      <c r="A1394" s="403"/>
      <c r="C1394" s="404"/>
      <c r="E1394" s="308"/>
      <c r="G1394" s="297"/>
      <c r="H1394" s="297"/>
      <c r="J1394" s="297"/>
      <c r="L1394" s="312"/>
      <c r="N1394" s="297"/>
    </row>
    <row r="1395" spans="1:14" ht="15" customHeight="1" x14ac:dyDescent="0.2">
      <c r="A1395" s="403"/>
      <c r="C1395" s="404"/>
      <c r="E1395" s="308"/>
      <c r="G1395" s="297"/>
      <c r="H1395" s="297"/>
      <c r="J1395" s="297"/>
      <c r="L1395" s="312"/>
      <c r="N1395" s="297"/>
    </row>
    <row r="1396" spans="1:14" ht="15" customHeight="1" x14ac:dyDescent="0.2">
      <c r="A1396" s="403"/>
      <c r="C1396" s="404"/>
      <c r="E1396" s="308"/>
      <c r="G1396" s="297"/>
      <c r="H1396" s="297"/>
      <c r="J1396" s="297"/>
      <c r="L1396" s="312"/>
      <c r="N1396" s="297"/>
    </row>
    <row r="1397" spans="1:14" ht="15" customHeight="1" x14ac:dyDescent="0.2">
      <c r="A1397" s="403"/>
      <c r="C1397" s="404"/>
      <c r="E1397" s="308"/>
      <c r="G1397" s="297"/>
      <c r="H1397" s="297"/>
      <c r="J1397" s="297"/>
      <c r="L1397" s="312"/>
      <c r="N1397" s="297"/>
    </row>
    <row r="1398" spans="1:14" ht="15" customHeight="1" x14ac:dyDescent="0.2">
      <c r="A1398" s="403"/>
      <c r="C1398" s="404"/>
      <c r="E1398" s="308"/>
      <c r="G1398" s="297"/>
      <c r="H1398" s="297"/>
      <c r="J1398" s="297"/>
      <c r="L1398" s="312"/>
      <c r="N1398" s="297"/>
    </row>
    <row r="1399" spans="1:14" ht="15" customHeight="1" x14ac:dyDescent="0.2">
      <c r="A1399" s="403"/>
      <c r="C1399" s="404"/>
      <c r="E1399" s="308"/>
      <c r="G1399" s="297"/>
      <c r="H1399" s="297"/>
      <c r="J1399" s="297"/>
      <c r="L1399" s="312"/>
      <c r="N1399" s="297"/>
    </row>
    <row r="1400" spans="1:14" ht="15" customHeight="1" x14ac:dyDescent="0.2">
      <c r="A1400" s="403"/>
      <c r="C1400" s="404"/>
      <c r="E1400" s="308"/>
      <c r="G1400" s="297"/>
      <c r="H1400" s="297"/>
      <c r="J1400" s="297"/>
      <c r="L1400" s="312"/>
      <c r="N1400" s="297"/>
    </row>
    <row r="1401" spans="1:14" ht="15" customHeight="1" x14ac:dyDescent="0.2">
      <c r="A1401" s="403"/>
      <c r="C1401" s="404"/>
      <c r="E1401" s="308"/>
      <c r="G1401" s="297"/>
      <c r="H1401" s="297"/>
      <c r="J1401" s="297"/>
      <c r="L1401" s="312"/>
      <c r="N1401" s="297"/>
    </row>
    <row r="1402" spans="1:14" ht="15" customHeight="1" x14ac:dyDescent="0.2">
      <c r="A1402" s="403"/>
      <c r="C1402" s="404"/>
      <c r="E1402" s="308"/>
      <c r="G1402" s="297"/>
      <c r="H1402" s="297"/>
      <c r="J1402" s="297"/>
      <c r="L1402" s="312"/>
      <c r="N1402" s="297"/>
    </row>
    <row r="1403" spans="1:14" ht="15" customHeight="1" x14ac:dyDescent="0.2">
      <c r="A1403" s="403"/>
      <c r="C1403" s="404"/>
      <c r="E1403" s="308"/>
      <c r="G1403" s="297"/>
      <c r="H1403" s="297"/>
      <c r="J1403" s="297"/>
      <c r="L1403" s="312"/>
      <c r="N1403" s="297"/>
    </row>
    <row r="1404" spans="1:14" ht="15" customHeight="1" x14ac:dyDescent="0.2">
      <c r="A1404" s="403"/>
      <c r="C1404" s="404"/>
      <c r="E1404" s="308"/>
      <c r="G1404" s="297"/>
      <c r="H1404" s="297"/>
      <c r="J1404" s="297"/>
      <c r="L1404" s="312"/>
      <c r="N1404" s="297"/>
    </row>
    <row r="1405" spans="1:14" ht="15" customHeight="1" x14ac:dyDescent="0.2">
      <c r="A1405" s="403"/>
      <c r="C1405" s="404"/>
      <c r="E1405" s="308"/>
      <c r="G1405" s="297"/>
      <c r="H1405" s="297"/>
      <c r="J1405" s="297"/>
      <c r="L1405" s="312"/>
      <c r="N1405" s="297"/>
    </row>
    <row r="1406" spans="1:14" ht="15" customHeight="1" x14ac:dyDescent="0.2">
      <c r="A1406" s="403"/>
      <c r="C1406" s="404"/>
      <c r="E1406" s="308"/>
      <c r="G1406" s="297"/>
      <c r="H1406" s="297"/>
      <c r="J1406" s="297"/>
      <c r="L1406" s="312"/>
      <c r="N1406" s="297"/>
    </row>
    <row r="1407" spans="1:14" ht="15" customHeight="1" x14ac:dyDescent="0.2">
      <c r="A1407" s="403"/>
      <c r="C1407" s="404"/>
      <c r="E1407" s="308"/>
      <c r="G1407" s="297"/>
      <c r="H1407" s="297"/>
      <c r="J1407" s="297"/>
      <c r="L1407" s="312"/>
      <c r="N1407" s="297"/>
    </row>
    <row r="1408" spans="1:14" ht="15" customHeight="1" x14ac:dyDescent="0.2">
      <c r="A1408" s="403"/>
      <c r="C1408" s="404"/>
      <c r="E1408" s="308"/>
      <c r="G1408" s="297"/>
      <c r="H1408" s="297"/>
      <c r="J1408" s="297"/>
      <c r="L1408" s="312"/>
      <c r="N1408" s="297"/>
    </row>
    <row r="1409" spans="1:14" ht="15" customHeight="1" x14ac:dyDescent="0.2">
      <c r="A1409" s="403"/>
      <c r="C1409" s="404"/>
      <c r="E1409" s="308"/>
      <c r="G1409" s="297"/>
      <c r="H1409" s="297"/>
      <c r="J1409" s="297"/>
      <c r="L1409" s="312"/>
      <c r="N1409" s="297"/>
    </row>
    <row r="1410" spans="1:14" ht="15" customHeight="1" x14ac:dyDescent="0.2">
      <c r="A1410" s="403"/>
      <c r="C1410" s="404"/>
      <c r="E1410" s="308"/>
      <c r="G1410" s="297"/>
      <c r="H1410" s="297"/>
      <c r="J1410" s="297"/>
      <c r="L1410" s="312"/>
      <c r="N1410" s="297"/>
    </row>
    <row r="1411" spans="1:14" ht="15" customHeight="1" x14ac:dyDescent="0.2">
      <c r="A1411" s="403"/>
      <c r="C1411" s="404"/>
      <c r="E1411" s="308"/>
      <c r="G1411" s="297"/>
      <c r="H1411" s="297"/>
      <c r="J1411" s="297"/>
      <c r="L1411" s="312"/>
      <c r="N1411" s="297"/>
    </row>
    <row r="1412" spans="1:14" ht="15" customHeight="1" x14ac:dyDescent="0.2">
      <c r="A1412" s="403"/>
      <c r="C1412" s="404"/>
      <c r="E1412" s="308"/>
      <c r="G1412" s="297"/>
      <c r="H1412" s="297"/>
      <c r="J1412" s="297"/>
      <c r="L1412" s="312"/>
      <c r="N1412" s="297"/>
    </row>
    <row r="1413" spans="1:14" ht="15" customHeight="1" x14ac:dyDescent="0.2">
      <c r="A1413" s="403"/>
      <c r="C1413" s="404"/>
      <c r="E1413" s="308"/>
      <c r="G1413" s="297"/>
      <c r="H1413" s="297"/>
      <c r="J1413" s="297"/>
      <c r="L1413" s="312"/>
      <c r="N1413" s="297"/>
    </row>
    <row r="1414" spans="1:14" ht="15" customHeight="1" x14ac:dyDescent="0.2">
      <c r="A1414" s="403"/>
      <c r="C1414" s="404"/>
      <c r="E1414" s="308"/>
      <c r="G1414" s="297"/>
      <c r="H1414" s="297"/>
      <c r="J1414" s="297"/>
      <c r="L1414" s="312"/>
      <c r="N1414" s="297"/>
    </row>
    <row r="1415" spans="1:14" ht="15" customHeight="1" x14ac:dyDescent="0.2">
      <c r="A1415" s="403"/>
      <c r="C1415" s="404"/>
      <c r="E1415" s="308"/>
      <c r="G1415" s="297"/>
      <c r="H1415" s="297"/>
      <c r="J1415" s="297"/>
      <c r="L1415" s="312"/>
      <c r="N1415" s="297"/>
    </row>
    <row r="1416" spans="1:14" ht="15" customHeight="1" x14ac:dyDescent="0.2">
      <c r="A1416" s="403"/>
      <c r="C1416" s="404"/>
      <c r="E1416" s="308"/>
      <c r="G1416" s="297"/>
      <c r="H1416" s="297"/>
      <c r="J1416" s="297"/>
      <c r="L1416" s="312"/>
      <c r="N1416" s="297"/>
    </row>
    <row r="1417" spans="1:14" ht="15" customHeight="1" x14ac:dyDescent="0.2">
      <c r="A1417" s="403"/>
      <c r="C1417" s="404"/>
      <c r="E1417" s="308"/>
      <c r="G1417" s="297"/>
      <c r="H1417" s="297"/>
      <c r="J1417" s="297"/>
      <c r="L1417" s="312"/>
      <c r="N1417" s="297"/>
    </row>
    <row r="1418" spans="1:14" ht="15" customHeight="1" x14ac:dyDescent="0.2">
      <c r="A1418" s="403"/>
      <c r="C1418" s="404"/>
      <c r="E1418" s="308"/>
      <c r="G1418" s="297"/>
      <c r="H1418" s="297"/>
      <c r="J1418" s="297"/>
      <c r="L1418" s="312"/>
      <c r="N1418" s="297"/>
    </row>
    <row r="1419" spans="1:14" ht="15" customHeight="1" x14ac:dyDescent="0.2">
      <c r="A1419" s="403"/>
      <c r="C1419" s="404"/>
      <c r="E1419" s="308"/>
      <c r="G1419" s="297"/>
      <c r="H1419" s="297"/>
      <c r="J1419" s="297"/>
      <c r="L1419" s="312"/>
      <c r="N1419" s="297"/>
    </row>
    <row r="1420" spans="1:14" ht="15" customHeight="1" x14ac:dyDescent="0.2">
      <c r="A1420" s="403"/>
      <c r="C1420" s="404"/>
      <c r="E1420" s="308"/>
      <c r="G1420" s="297"/>
      <c r="H1420" s="297"/>
      <c r="J1420" s="297"/>
      <c r="L1420" s="312"/>
      <c r="N1420" s="297"/>
    </row>
    <row r="1421" spans="1:14" ht="15" customHeight="1" x14ac:dyDescent="0.2">
      <c r="A1421" s="403"/>
      <c r="C1421" s="404"/>
      <c r="E1421" s="308"/>
      <c r="G1421" s="297"/>
      <c r="H1421" s="297"/>
      <c r="J1421" s="297"/>
      <c r="L1421" s="312"/>
      <c r="N1421" s="297"/>
    </row>
    <row r="1422" spans="1:14" ht="15" customHeight="1" x14ac:dyDescent="0.2">
      <c r="A1422" s="403"/>
      <c r="C1422" s="404"/>
      <c r="E1422" s="308"/>
      <c r="G1422" s="297"/>
      <c r="H1422" s="297"/>
      <c r="J1422" s="297"/>
      <c r="L1422" s="312"/>
      <c r="N1422" s="297"/>
    </row>
    <row r="1423" spans="1:14" ht="15" customHeight="1" x14ac:dyDescent="0.2">
      <c r="A1423" s="403"/>
      <c r="C1423" s="404"/>
      <c r="E1423" s="308"/>
      <c r="G1423" s="297"/>
      <c r="H1423" s="297"/>
      <c r="J1423" s="297"/>
      <c r="L1423" s="312"/>
      <c r="N1423" s="297"/>
    </row>
    <row r="1424" spans="1:14" ht="15" customHeight="1" x14ac:dyDescent="0.2">
      <c r="A1424" s="403"/>
      <c r="C1424" s="404"/>
      <c r="E1424" s="308"/>
      <c r="G1424" s="297"/>
      <c r="H1424" s="297"/>
      <c r="J1424" s="297"/>
      <c r="L1424" s="312"/>
      <c r="N1424" s="297"/>
    </row>
    <row r="1425" spans="1:14" ht="15" customHeight="1" x14ac:dyDescent="0.2">
      <c r="A1425" s="403"/>
      <c r="C1425" s="404"/>
      <c r="E1425" s="308"/>
      <c r="G1425" s="297"/>
      <c r="H1425" s="297"/>
      <c r="J1425" s="297"/>
      <c r="L1425" s="312"/>
      <c r="N1425" s="297"/>
    </row>
    <row r="1426" spans="1:14" ht="15" customHeight="1" x14ac:dyDescent="0.2">
      <c r="A1426" s="403"/>
      <c r="C1426" s="404"/>
      <c r="E1426" s="308"/>
      <c r="G1426" s="297"/>
      <c r="H1426" s="297"/>
      <c r="J1426" s="297"/>
      <c r="L1426" s="312"/>
      <c r="N1426" s="297"/>
    </row>
    <row r="1427" spans="1:14" ht="15" customHeight="1" x14ac:dyDescent="0.2">
      <c r="A1427" s="403"/>
      <c r="C1427" s="404"/>
      <c r="E1427" s="308"/>
      <c r="G1427" s="297"/>
      <c r="H1427" s="297"/>
      <c r="J1427" s="297"/>
      <c r="L1427" s="312"/>
      <c r="N1427" s="297"/>
    </row>
    <row r="1428" spans="1:14" ht="15" customHeight="1" x14ac:dyDescent="0.2">
      <c r="A1428" s="403"/>
      <c r="C1428" s="404"/>
      <c r="E1428" s="308"/>
      <c r="G1428" s="297"/>
      <c r="H1428" s="297"/>
      <c r="J1428" s="297"/>
      <c r="L1428" s="312"/>
      <c r="N1428" s="297"/>
    </row>
    <row r="1429" spans="1:14" ht="15" customHeight="1" x14ac:dyDescent="0.2">
      <c r="A1429" s="403"/>
      <c r="C1429" s="404"/>
      <c r="E1429" s="308"/>
      <c r="G1429" s="297"/>
      <c r="H1429" s="297"/>
      <c r="J1429" s="297"/>
      <c r="L1429" s="312"/>
      <c r="N1429" s="297"/>
    </row>
    <row r="1430" spans="1:14" ht="15" customHeight="1" x14ac:dyDescent="0.2">
      <c r="A1430" s="403"/>
      <c r="C1430" s="404"/>
      <c r="E1430" s="308"/>
      <c r="G1430" s="297"/>
      <c r="H1430" s="297"/>
      <c r="J1430" s="297"/>
      <c r="L1430" s="312"/>
      <c r="N1430" s="297"/>
    </row>
    <row r="1431" spans="1:14" ht="15" customHeight="1" x14ac:dyDescent="0.2">
      <c r="A1431" s="403"/>
      <c r="C1431" s="404"/>
      <c r="E1431" s="308"/>
      <c r="G1431" s="297"/>
      <c r="H1431" s="297"/>
      <c r="J1431" s="297"/>
      <c r="L1431" s="312"/>
      <c r="N1431" s="297"/>
    </row>
    <row r="1432" spans="1:14" ht="15" customHeight="1" x14ac:dyDescent="0.2">
      <c r="A1432" s="403"/>
      <c r="C1432" s="404"/>
      <c r="E1432" s="308"/>
      <c r="G1432" s="297"/>
      <c r="H1432" s="297"/>
      <c r="J1432" s="297"/>
      <c r="L1432" s="312"/>
      <c r="N1432" s="297"/>
    </row>
    <row r="1433" spans="1:14" ht="15" customHeight="1" x14ac:dyDescent="0.2">
      <c r="A1433" s="403"/>
      <c r="C1433" s="404"/>
      <c r="E1433" s="308"/>
      <c r="G1433" s="297"/>
      <c r="H1433" s="297"/>
      <c r="J1433" s="297"/>
      <c r="L1433" s="312"/>
      <c r="N1433" s="297"/>
    </row>
    <row r="1434" spans="1:14" ht="15" customHeight="1" x14ac:dyDescent="0.2">
      <c r="A1434" s="403"/>
      <c r="C1434" s="404"/>
      <c r="E1434" s="308"/>
      <c r="G1434" s="297"/>
      <c r="H1434" s="297"/>
      <c r="J1434" s="297"/>
      <c r="L1434" s="312"/>
      <c r="N1434" s="297"/>
    </row>
    <row r="1435" spans="1:14" ht="15" customHeight="1" x14ac:dyDescent="0.2">
      <c r="A1435" s="403"/>
      <c r="C1435" s="404"/>
      <c r="E1435" s="308"/>
      <c r="G1435" s="297"/>
      <c r="H1435" s="297"/>
      <c r="J1435" s="297"/>
      <c r="L1435" s="312"/>
      <c r="N1435" s="297"/>
    </row>
    <row r="1436" spans="1:14" ht="15" customHeight="1" x14ac:dyDescent="0.2">
      <c r="A1436" s="403"/>
      <c r="C1436" s="404"/>
      <c r="E1436" s="308"/>
      <c r="G1436" s="297"/>
      <c r="H1436" s="297"/>
      <c r="J1436" s="297"/>
      <c r="L1436" s="312"/>
      <c r="N1436" s="297"/>
    </row>
    <row r="1437" spans="1:14" ht="15" customHeight="1" x14ac:dyDescent="0.2">
      <c r="A1437" s="403"/>
      <c r="C1437" s="404"/>
      <c r="E1437" s="308"/>
      <c r="G1437" s="297"/>
      <c r="H1437" s="297"/>
      <c r="J1437" s="297"/>
      <c r="L1437" s="312"/>
      <c r="N1437" s="297"/>
    </row>
    <row r="1438" spans="1:14" ht="15" customHeight="1" x14ac:dyDescent="0.2">
      <c r="A1438" s="403"/>
      <c r="C1438" s="404"/>
      <c r="E1438" s="308"/>
      <c r="G1438" s="297"/>
      <c r="H1438" s="297"/>
      <c r="J1438" s="297"/>
      <c r="L1438" s="312"/>
      <c r="N1438" s="297"/>
    </row>
    <row r="1439" spans="1:14" ht="15" customHeight="1" x14ac:dyDescent="0.2">
      <c r="A1439" s="403"/>
      <c r="C1439" s="404"/>
      <c r="E1439" s="308"/>
      <c r="G1439" s="297"/>
      <c r="H1439" s="297"/>
      <c r="J1439" s="297"/>
      <c r="L1439" s="312"/>
      <c r="N1439" s="297"/>
    </row>
    <row r="1440" spans="1:14" ht="15" customHeight="1" x14ac:dyDescent="0.2">
      <c r="A1440" s="403"/>
      <c r="C1440" s="404"/>
      <c r="E1440" s="308"/>
      <c r="G1440" s="297"/>
      <c r="H1440" s="297"/>
      <c r="J1440" s="297"/>
      <c r="L1440" s="312"/>
      <c r="N1440" s="297"/>
    </row>
    <row r="1441" spans="1:14" ht="15" customHeight="1" x14ac:dyDescent="0.2">
      <c r="A1441" s="403"/>
      <c r="C1441" s="404"/>
      <c r="E1441" s="308"/>
      <c r="G1441" s="297"/>
      <c r="H1441" s="297"/>
      <c r="J1441" s="297"/>
      <c r="L1441" s="312"/>
      <c r="N1441" s="297"/>
    </row>
    <row r="1442" spans="1:14" ht="15" customHeight="1" x14ac:dyDescent="0.2">
      <c r="A1442" s="403"/>
      <c r="C1442" s="404"/>
      <c r="E1442" s="308"/>
      <c r="G1442" s="297"/>
      <c r="H1442" s="297"/>
      <c r="J1442" s="297"/>
      <c r="L1442" s="312"/>
      <c r="N1442" s="297"/>
    </row>
    <row r="1443" spans="1:14" ht="15" customHeight="1" x14ac:dyDescent="0.2">
      <c r="A1443" s="403"/>
      <c r="C1443" s="404"/>
      <c r="E1443" s="308"/>
      <c r="G1443" s="297"/>
      <c r="H1443" s="297"/>
      <c r="J1443" s="297"/>
      <c r="L1443" s="312"/>
      <c r="N1443" s="297"/>
    </row>
    <row r="1444" spans="1:14" ht="15" customHeight="1" x14ac:dyDescent="0.2">
      <c r="A1444" s="403"/>
      <c r="C1444" s="404"/>
      <c r="E1444" s="308"/>
      <c r="G1444" s="297"/>
      <c r="H1444" s="297"/>
      <c r="J1444" s="297"/>
      <c r="L1444" s="312"/>
      <c r="N1444" s="297"/>
    </row>
    <row r="1445" spans="1:14" ht="15" customHeight="1" x14ac:dyDescent="0.2">
      <c r="A1445" s="403"/>
      <c r="C1445" s="404"/>
      <c r="E1445" s="308"/>
      <c r="G1445" s="297"/>
      <c r="H1445" s="297"/>
      <c r="J1445" s="297"/>
      <c r="L1445" s="312"/>
      <c r="N1445" s="297"/>
    </row>
    <row r="1446" spans="1:14" ht="15" customHeight="1" x14ac:dyDescent="0.2">
      <c r="A1446" s="403"/>
      <c r="C1446" s="404"/>
      <c r="E1446" s="308"/>
      <c r="G1446" s="297"/>
      <c r="H1446" s="297"/>
      <c r="J1446" s="297"/>
      <c r="L1446" s="312"/>
      <c r="N1446" s="297"/>
    </row>
    <row r="1447" spans="1:14" ht="15" customHeight="1" x14ac:dyDescent="0.2">
      <c r="A1447" s="403"/>
      <c r="C1447" s="404"/>
      <c r="E1447" s="308"/>
      <c r="G1447" s="297"/>
      <c r="H1447" s="297"/>
      <c r="J1447" s="297"/>
      <c r="L1447" s="312"/>
      <c r="N1447" s="297"/>
    </row>
    <row r="1448" spans="1:14" ht="15" customHeight="1" x14ac:dyDescent="0.2">
      <c r="A1448" s="403"/>
      <c r="C1448" s="404"/>
      <c r="E1448" s="308"/>
      <c r="G1448" s="297"/>
      <c r="H1448" s="297"/>
      <c r="J1448" s="297"/>
      <c r="L1448" s="312"/>
      <c r="N1448" s="297"/>
    </row>
    <row r="1449" spans="1:14" ht="15" customHeight="1" x14ac:dyDescent="0.2">
      <c r="A1449" s="403"/>
      <c r="C1449" s="404"/>
      <c r="E1449" s="308"/>
      <c r="G1449" s="297"/>
      <c r="H1449" s="297"/>
      <c r="J1449" s="297"/>
      <c r="L1449" s="312"/>
      <c r="N1449" s="297"/>
    </row>
    <row r="1450" spans="1:14" ht="15" customHeight="1" x14ac:dyDescent="0.2">
      <c r="A1450" s="403"/>
      <c r="C1450" s="404"/>
      <c r="E1450" s="308"/>
      <c r="G1450" s="297"/>
      <c r="H1450" s="297"/>
      <c r="J1450" s="297"/>
      <c r="L1450" s="312"/>
      <c r="N1450" s="297"/>
    </row>
    <row r="1451" spans="1:14" ht="15" customHeight="1" x14ac:dyDescent="0.2">
      <c r="A1451" s="403"/>
      <c r="C1451" s="404"/>
      <c r="E1451" s="308"/>
      <c r="G1451" s="297"/>
      <c r="H1451" s="297"/>
      <c r="J1451" s="297"/>
      <c r="L1451" s="312"/>
      <c r="N1451" s="297"/>
    </row>
    <row r="1452" spans="1:14" ht="15" customHeight="1" x14ac:dyDescent="0.2">
      <c r="A1452" s="403"/>
      <c r="C1452" s="404"/>
      <c r="E1452" s="308"/>
      <c r="G1452" s="297"/>
      <c r="H1452" s="297"/>
      <c r="J1452" s="297"/>
      <c r="L1452" s="312"/>
      <c r="N1452" s="297"/>
    </row>
    <row r="1453" spans="1:14" ht="15" customHeight="1" x14ac:dyDescent="0.2">
      <c r="A1453" s="403"/>
      <c r="C1453" s="404"/>
      <c r="E1453" s="308"/>
      <c r="G1453" s="297"/>
      <c r="H1453" s="297"/>
      <c r="J1453" s="297"/>
      <c r="L1453" s="312"/>
      <c r="N1453" s="297"/>
    </row>
    <row r="1454" spans="1:14" ht="15" customHeight="1" x14ac:dyDescent="0.2">
      <c r="A1454" s="403"/>
      <c r="C1454" s="404"/>
      <c r="E1454" s="308"/>
      <c r="G1454" s="297"/>
      <c r="H1454" s="297"/>
      <c r="J1454" s="297"/>
      <c r="L1454" s="312"/>
      <c r="N1454" s="297"/>
    </row>
    <row r="1455" spans="1:14" ht="15" customHeight="1" x14ac:dyDescent="0.2">
      <c r="A1455" s="403"/>
      <c r="C1455" s="404"/>
      <c r="E1455" s="308"/>
      <c r="G1455" s="297"/>
      <c r="H1455" s="297"/>
      <c r="J1455" s="297"/>
      <c r="L1455" s="312"/>
      <c r="N1455" s="297"/>
    </row>
    <row r="1456" spans="1:14" ht="15" customHeight="1" x14ac:dyDescent="0.2">
      <c r="A1456" s="403"/>
      <c r="C1456" s="404"/>
      <c r="E1456" s="308"/>
      <c r="G1456" s="297"/>
      <c r="H1456" s="297"/>
      <c r="J1456" s="297"/>
      <c r="L1456" s="312"/>
      <c r="N1456" s="297"/>
    </row>
    <row r="1457" spans="1:14" ht="15" customHeight="1" x14ac:dyDescent="0.2">
      <c r="A1457" s="403"/>
      <c r="C1457" s="404"/>
      <c r="E1457" s="308"/>
      <c r="G1457" s="297"/>
      <c r="H1457" s="297"/>
      <c r="J1457" s="297"/>
      <c r="L1457" s="312"/>
      <c r="N1457" s="297"/>
    </row>
    <row r="1458" spans="1:14" ht="15" customHeight="1" x14ac:dyDescent="0.2">
      <c r="A1458" s="403"/>
      <c r="C1458" s="404"/>
      <c r="E1458" s="308"/>
      <c r="G1458" s="297"/>
      <c r="H1458" s="297"/>
      <c r="J1458" s="297"/>
      <c r="L1458" s="312"/>
      <c r="N1458" s="297"/>
    </row>
    <row r="1459" spans="1:14" ht="15" customHeight="1" x14ac:dyDescent="0.2">
      <c r="A1459" s="403"/>
      <c r="C1459" s="404"/>
      <c r="E1459" s="308"/>
      <c r="G1459" s="297"/>
      <c r="H1459" s="297"/>
      <c r="J1459" s="297"/>
      <c r="L1459" s="312"/>
      <c r="N1459" s="297"/>
    </row>
    <row r="1460" spans="1:14" ht="15" customHeight="1" x14ac:dyDescent="0.2">
      <c r="A1460" s="403"/>
      <c r="C1460" s="404"/>
      <c r="E1460" s="308"/>
      <c r="G1460" s="297"/>
      <c r="H1460" s="297"/>
      <c r="J1460" s="297"/>
      <c r="L1460" s="312"/>
      <c r="N1460" s="297"/>
    </row>
    <row r="1461" spans="1:14" ht="15" customHeight="1" x14ac:dyDescent="0.2">
      <c r="A1461" s="403"/>
      <c r="C1461" s="404"/>
      <c r="E1461" s="308"/>
      <c r="G1461" s="297"/>
      <c r="H1461" s="297"/>
      <c r="J1461" s="297"/>
      <c r="L1461" s="312"/>
      <c r="N1461" s="297"/>
    </row>
    <row r="1462" spans="1:14" ht="15" customHeight="1" x14ac:dyDescent="0.2">
      <c r="A1462" s="403"/>
      <c r="C1462" s="404"/>
      <c r="E1462" s="308"/>
      <c r="G1462" s="297"/>
      <c r="H1462" s="297"/>
      <c r="J1462" s="297"/>
      <c r="L1462" s="312"/>
      <c r="N1462" s="297"/>
    </row>
    <row r="1463" spans="1:14" ht="15" customHeight="1" x14ac:dyDescent="0.2">
      <c r="A1463" s="403"/>
      <c r="C1463" s="404"/>
      <c r="E1463" s="308"/>
      <c r="G1463" s="297"/>
      <c r="H1463" s="297"/>
      <c r="J1463" s="297"/>
      <c r="L1463" s="312"/>
      <c r="N1463" s="297"/>
    </row>
    <row r="1464" spans="1:14" ht="15" customHeight="1" x14ac:dyDescent="0.2">
      <c r="A1464" s="403"/>
      <c r="C1464" s="404"/>
      <c r="E1464" s="308"/>
      <c r="G1464" s="297"/>
      <c r="H1464" s="297"/>
      <c r="J1464" s="297"/>
      <c r="L1464" s="312"/>
      <c r="N1464" s="297"/>
    </row>
    <row r="1465" spans="1:14" ht="15" customHeight="1" x14ac:dyDescent="0.2">
      <c r="A1465" s="403"/>
      <c r="C1465" s="404"/>
      <c r="E1465" s="308"/>
      <c r="G1465" s="297"/>
      <c r="H1465" s="297"/>
      <c r="J1465" s="297"/>
      <c r="L1465" s="312"/>
      <c r="N1465" s="297"/>
    </row>
    <row r="1466" spans="1:14" ht="15" customHeight="1" x14ac:dyDescent="0.2">
      <c r="A1466" s="403"/>
      <c r="C1466" s="404"/>
      <c r="E1466" s="308"/>
      <c r="G1466" s="297"/>
      <c r="H1466" s="297"/>
      <c r="J1466" s="297"/>
      <c r="L1466" s="312"/>
      <c r="N1466" s="297"/>
    </row>
    <row r="1467" spans="1:14" ht="15" customHeight="1" x14ac:dyDescent="0.2">
      <c r="A1467" s="403"/>
      <c r="C1467" s="404"/>
      <c r="E1467" s="308"/>
      <c r="G1467" s="297"/>
      <c r="H1467" s="297"/>
      <c r="J1467" s="297"/>
      <c r="L1467" s="312"/>
      <c r="N1467" s="297"/>
    </row>
    <row r="1468" spans="1:14" ht="15" customHeight="1" x14ac:dyDescent="0.2">
      <c r="A1468" s="403"/>
      <c r="C1468" s="404"/>
      <c r="E1468" s="308"/>
      <c r="G1468" s="297"/>
      <c r="H1468" s="297"/>
      <c r="J1468" s="297"/>
      <c r="L1468" s="312"/>
      <c r="N1468" s="297"/>
    </row>
    <row r="1469" spans="1:14" ht="15" customHeight="1" x14ac:dyDescent="0.2">
      <c r="A1469" s="403"/>
      <c r="C1469" s="404"/>
      <c r="E1469" s="308"/>
      <c r="G1469" s="297"/>
      <c r="H1469" s="297"/>
      <c r="J1469" s="297"/>
      <c r="L1469" s="312"/>
      <c r="N1469" s="297"/>
    </row>
    <row r="1470" spans="1:14" ht="15" customHeight="1" x14ac:dyDescent="0.2">
      <c r="A1470" s="403"/>
      <c r="C1470" s="404"/>
      <c r="E1470" s="308"/>
      <c r="G1470" s="297"/>
      <c r="H1470" s="297"/>
      <c r="J1470" s="297"/>
      <c r="L1470" s="312"/>
      <c r="N1470" s="297"/>
    </row>
    <row r="1471" spans="1:14" ht="15" customHeight="1" x14ac:dyDescent="0.2">
      <c r="A1471" s="403"/>
      <c r="C1471" s="404"/>
      <c r="E1471" s="308"/>
      <c r="G1471" s="297"/>
      <c r="H1471" s="297"/>
      <c r="J1471" s="297"/>
      <c r="L1471" s="312"/>
      <c r="N1471" s="297"/>
    </row>
    <row r="1472" spans="1:14" ht="15" customHeight="1" x14ac:dyDescent="0.2">
      <c r="A1472" s="403"/>
      <c r="C1472" s="404"/>
      <c r="E1472" s="308"/>
      <c r="G1472" s="297"/>
      <c r="H1472" s="297"/>
      <c r="J1472" s="297"/>
      <c r="L1472" s="312"/>
      <c r="N1472" s="297"/>
    </row>
    <row r="1473" spans="1:14" ht="15" customHeight="1" x14ac:dyDescent="0.2">
      <c r="A1473" s="403"/>
      <c r="C1473" s="404"/>
      <c r="E1473" s="308"/>
      <c r="G1473" s="297"/>
      <c r="H1473" s="297"/>
      <c r="J1473" s="297"/>
      <c r="L1473" s="312"/>
      <c r="N1473" s="297"/>
    </row>
    <row r="1474" spans="1:14" ht="15" customHeight="1" x14ac:dyDescent="0.2">
      <c r="A1474" s="403"/>
      <c r="C1474" s="404"/>
      <c r="E1474" s="308"/>
      <c r="G1474" s="297"/>
      <c r="H1474" s="297"/>
      <c r="J1474" s="297"/>
      <c r="L1474" s="312"/>
      <c r="N1474" s="297"/>
    </row>
    <row r="1475" spans="1:14" ht="15" customHeight="1" x14ac:dyDescent="0.2">
      <c r="A1475" s="403"/>
      <c r="C1475" s="404"/>
      <c r="E1475" s="308"/>
      <c r="G1475" s="297"/>
      <c r="H1475" s="297"/>
      <c r="J1475" s="297"/>
      <c r="L1475" s="312"/>
      <c r="N1475" s="297"/>
    </row>
    <row r="1476" spans="1:14" ht="15" customHeight="1" x14ac:dyDescent="0.2">
      <c r="A1476" s="403"/>
      <c r="C1476" s="404"/>
      <c r="E1476" s="308"/>
      <c r="G1476" s="297"/>
      <c r="H1476" s="297"/>
      <c r="J1476" s="297"/>
      <c r="L1476" s="312"/>
      <c r="N1476" s="297"/>
    </row>
    <row r="1477" spans="1:14" ht="15" customHeight="1" x14ac:dyDescent="0.2">
      <c r="A1477" s="403"/>
      <c r="C1477" s="404"/>
      <c r="E1477" s="308"/>
      <c r="G1477" s="297"/>
      <c r="H1477" s="297"/>
      <c r="J1477" s="297"/>
      <c r="L1477" s="312"/>
      <c r="N1477" s="297"/>
    </row>
    <row r="1478" spans="1:14" ht="15" customHeight="1" x14ac:dyDescent="0.2">
      <c r="A1478" s="403"/>
      <c r="C1478" s="404"/>
      <c r="E1478" s="308"/>
      <c r="G1478" s="297"/>
      <c r="H1478" s="297"/>
      <c r="J1478" s="297"/>
      <c r="L1478" s="312"/>
      <c r="N1478" s="297"/>
    </row>
    <row r="1479" spans="1:14" ht="15" customHeight="1" x14ac:dyDescent="0.2">
      <c r="A1479" s="403"/>
      <c r="C1479" s="404"/>
      <c r="E1479" s="308"/>
      <c r="G1479" s="297"/>
      <c r="H1479" s="297"/>
      <c r="J1479" s="297"/>
      <c r="L1479" s="312"/>
      <c r="N1479" s="297"/>
    </row>
    <row r="1480" spans="1:14" ht="15" customHeight="1" x14ac:dyDescent="0.2">
      <c r="A1480" s="403"/>
      <c r="C1480" s="404"/>
      <c r="E1480" s="308"/>
      <c r="G1480" s="297"/>
      <c r="H1480" s="297"/>
      <c r="J1480" s="297"/>
      <c r="L1480" s="312"/>
      <c r="N1480" s="297"/>
    </row>
    <row r="1481" spans="1:14" ht="15" customHeight="1" x14ac:dyDescent="0.2">
      <c r="A1481" s="403"/>
      <c r="C1481" s="404"/>
      <c r="E1481" s="308"/>
      <c r="G1481" s="297"/>
      <c r="H1481" s="297"/>
      <c r="J1481" s="297"/>
      <c r="L1481" s="312"/>
      <c r="N1481" s="297"/>
    </row>
    <row r="1482" spans="1:14" ht="15" customHeight="1" x14ac:dyDescent="0.2">
      <c r="A1482" s="403"/>
      <c r="C1482" s="404"/>
      <c r="E1482" s="308"/>
      <c r="G1482" s="297"/>
      <c r="H1482" s="297"/>
      <c r="J1482" s="297"/>
      <c r="L1482" s="312"/>
      <c r="N1482" s="297"/>
    </row>
    <row r="1483" spans="1:14" ht="15" customHeight="1" x14ac:dyDescent="0.2">
      <c r="A1483" s="403"/>
      <c r="C1483" s="404"/>
      <c r="E1483" s="308"/>
      <c r="G1483" s="297"/>
      <c r="H1483" s="297"/>
      <c r="J1483" s="297"/>
      <c r="L1483" s="312"/>
      <c r="N1483" s="297"/>
    </row>
    <row r="1484" spans="1:14" ht="15" customHeight="1" x14ac:dyDescent="0.2">
      <c r="A1484" s="403"/>
      <c r="C1484" s="404"/>
      <c r="E1484" s="308"/>
      <c r="G1484" s="297"/>
      <c r="H1484" s="297"/>
      <c r="J1484" s="297"/>
      <c r="L1484" s="312"/>
      <c r="N1484" s="297"/>
    </row>
    <row r="1485" spans="1:14" ht="15" customHeight="1" x14ac:dyDescent="0.2">
      <c r="A1485" s="403"/>
      <c r="C1485" s="404"/>
      <c r="E1485" s="308"/>
      <c r="G1485" s="297"/>
      <c r="H1485" s="297"/>
      <c r="J1485" s="297"/>
      <c r="L1485" s="312"/>
      <c r="N1485" s="297"/>
    </row>
    <row r="1486" spans="1:14" ht="15" customHeight="1" x14ac:dyDescent="0.2">
      <c r="A1486" s="403"/>
      <c r="C1486" s="404"/>
      <c r="E1486" s="308"/>
      <c r="G1486" s="297"/>
      <c r="H1486" s="297"/>
      <c r="J1486" s="297"/>
      <c r="L1486" s="312"/>
      <c r="N1486" s="297"/>
    </row>
    <row r="1487" spans="1:14" ht="15" customHeight="1" x14ac:dyDescent="0.2">
      <c r="A1487" s="403"/>
      <c r="C1487" s="404"/>
      <c r="E1487" s="308"/>
      <c r="G1487" s="297"/>
      <c r="H1487" s="297"/>
      <c r="J1487" s="297"/>
      <c r="L1487" s="312"/>
      <c r="N1487" s="297"/>
    </row>
    <row r="1488" spans="1:14" ht="15" customHeight="1" x14ac:dyDescent="0.2">
      <c r="A1488" s="403"/>
      <c r="C1488" s="404"/>
      <c r="E1488" s="308"/>
      <c r="G1488" s="297"/>
      <c r="H1488" s="297"/>
      <c r="J1488" s="297"/>
      <c r="L1488" s="312"/>
      <c r="N1488" s="297"/>
    </row>
    <row r="1489" spans="1:14" ht="15" customHeight="1" x14ac:dyDescent="0.2">
      <c r="A1489" s="403"/>
      <c r="C1489" s="404"/>
      <c r="E1489" s="308"/>
      <c r="G1489" s="297"/>
      <c r="H1489" s="297"/>
      <c r="J1489" s="297"/>
      <c r="L1489" s="312"/>
      <c r="N1489" s="297"/>
    </row>
    <row r="1490" spans="1:14" ht="15" customHeight="1" x14ac:dyDescent="0.2">
      <c r="A1490" s="403"/>
      <c r="C1490" s="404"/>
      <c r="E1490" s="308"/>
      <c r="G1490" s="297"/>
      <c r="H1490" s="297"/>
      <c r="J1490" s="297"/>
      <c r="L1490" s="312"/>
      <c r="N1490" s="297"/>
    </row>
    <row r="1491" spans="1:14" ht="15" customHeight="1" x14ac:dyDescent="0.2">
      <c r="A1491" s="403"/>
      <c r="C1491" s="404"/>
      <c r="E1491" s="308"/>
      <c r="G1491" s="297"/>
      <c r="H1491" s="297"/>
      <c r="J1491" s="297"/>
      <c r="L1491" s="312"/>
      <c r="N1491" s="297"/>
    </row>
    <row r="1492" spans="1:14" ht="15" customHeight="1" x14ac:dyDescent="0.2">
      <c r="A1492" s="403"/>
      <c r="C1492" s="404"/>
      <c r="E1492" s="308"/>
      <c r="G1492" s="297"/>
      <c r="H1492" s="297"/>
      <c r="J1492" s="297"/>
      <c r="L1492" s="312"/>
      <c r="N1492" s="297"/>
    </row>
    <row r="1493" spans="1:14" ht="15" customHeight="1" x14ac:dyDescent="0.2">
      <c r="A1493" s="403"/>
      <c r="C1493" s="404"/>
      <c r="E1493" s="308"/>
      <c r="G1493" s="297"/>
      <c r="H1493" s="297"/>
      <c r="J1493" s="297"/>
      <c r="L1493" s="312"/>
      <c r="N1493" s="297"/>
    </row>
    <row r="1494" spans="1:14" ht="15" customHeight="1" x14ac:dyDescent="0.2">
      <c r="A1494" s="403"/>
      <c r="C1494" s="404"/>
      <c r="E1494" s="308"/>
      <c r="G1494" s="297"/>
      <c r="H1494" s="297"/>
      <c r="J1494" s="297"/>
      <c r="L1494" s="312"/>
      <c r="N1494" s="297"/>
    </row>
    <row r="1495" spans="1:14" ht="15" customHeight="1" x14ac:dyDescent="0.2">
      <c r="A1495" s="403"/>
      <c r="C1495" s="404"/>
      <c r="E1495" s="308"/>
      <c r="G1495" s="297"/>
      <c r="H1495" s="297"/>
      <c r="J1495" s="297"/>
      <c r="L1495" s="312"/>
      <c r="N1495" s="297"/>
    </row>
    <row r="1496" spans="1:14" ht="15" customHeight="1" x14ac:dyDescent="0.2">
      <c r="A1496" s="403"/>
      <c r="C1496" s="404"/>
      <c r="E1496" s="308"/>
      <c r="G1496" s="297"/>
      <c r="H1496" s="297"/>
      <c r="J1496" s="297"/>
      <c r="L1496" s="312"/>
      <c r="N1496" s="297"/>
    </row>
    <row r="1497" spans="1:14" ht="15" customHeight="1" x14ac:dyDescent="0.2">
      <c r="A1497" s="403"/>
      <c r="C1497" s="404"/>
      <c r="E1497" s="308"/>
      <c r="G1497" s="297"/>
      <c r="H1497" s="297"/>
      <c r="J1497" s="297"/>
      <c r="L1497" s="312"/>
      <c r="N1497" s="297"/>
    </row>
    <row r="1498" spans="1:14" ht="15" customHeight="1" x14ac:dyDescent="0.2">
      <c r="A1498" s="403"/>
      <c r="C1498" s="404"/>
      <c r="E1498" s="308"/>
      <c r="G1498" s="297"/>
      <c r="H1498" s="297"/>
      <c r="J1498" s="297"/>
      <c r="L1498" s="312"/>
      <c r="N1498" s="297"/>
    </row>
    <row r="1499" spans="1:14" ht="15" customHeight="1" x14ac:dyDescent="0.2">
      <c r="A1499" s="403"/>
      <c r="C1499" s="404"/>
      <c r="E1499" s="308"/>
      <c r="G1499" s="297"/>
      <c r="H1499" s="297"/>
      <c r="J1499" s="297"/>
      <c r="L1499" s="312"/>
      <c r="N1499" s="297"/>
    </row>
    <row r="1500" spans="1:14" ht="15" customHeight="1" x14ac:dyDescent="0.2">
      <c r="A1500" s="403"/>
      <c r="C1500" s="404"/>
      <c r="E1500" s="308"/>
      <c r="G1500" s="297"/>
      <c r="H1500" s="297"/>
      <c r="J1500" s="297"/>
      <c r="L1500" s="312"/>
      <c r="N1500" s="297"/>
    </row>
    <row r="1501" spans="1:14" ht="15" customHeight="1" x14ac:dyDescent="0.2">
      <c r="A1501" s="403"/>
      <c r="C1501" s="404"/>
      <c r="E1501" s="308"/>
      <c r="G1501" s="297"/>
      <c r="H1501" s="297"/>
      <c r="J1501" s="297"/>
      <c r="L1501" s="312"/>
      <c r="N1501" s="297"/>
    </row>
    <row r="1502" spans="1:14" ht="15" customHeight="1" x14ac:dyDescent="0.2">
      <c r="A1502" s="403"/>
      <c r="C1502" s="404"/>
      <c r="E1502" s="308"/>
      <c r="G1502" s="297"/>
      <c r="H1502" s="297"/>
      <c r="J1502" s="297"/>
      <c r="L1502" s="312"/>
      <c r="N1502" s="297"/>
    </row>
    <row r="1503" spans="1:14" ht="15" customHeight="1" x14ac:dyDescent="0.2">
      <c r="A1503" s="403"/>
      <c r="C1503" s="404"/>
      <c r="E1503" s="308"/>
      <c r="G1503" s="297"/>
      <c r="H1503" s="297"/>
      <c r="J1503" s="297"/>
      <c r="L1503" s="312"/>
      <c r="N1503" s="297"/>
    </row>
    <row r="1504" spans="1:14" ht="15" customHeight="1" x14ac:dyDescent="0.2">
      <c r="A1504" s="403"/>
      <c r="C1504" s="404"/>
      <c r="E1504" s="308"/>
      <c r="G1504" s="297"/>
      <c r="H1504" s="297"/>
      <c r="J1504" s="297"/>
      <c r="L1504" s="312"/>
      <c r="N1504" s="297"/>
    </row>
    <row r="1505" spans="1:14" ht="15" customHeight="1" x14ac:dyDescent="0.2">
      <c r="A1505" s="403"/>
      <c r="C1505" s="404"/>
      <c r="E1505" s="308"/>
      <c r="G1505" s="297"/>
      <c r="H1505" s="297"/>
      <c r="J1505" s="297"/>
      <c r="L1505" s="312"/>
      <c r="N1505" s="297"/>
    </row>
    <row r="1506" spans="1:14" ht="15" customHeight="1" x14ac:dyDescent="0.2">
      <c r="A1506" s="403"/>
      <c r="C1506" s="404"/>
      <c r="E1506" s="308"/>
      <c r="G1506" s="297"/>
      <c r="H1506" s="297"/>
      <c r="J1506" s="297"/>
      <c r="L1506" s="312"/>
      <c r="N1506" s="297"/>
    </row>
    <row r="1507" spans="1:14" ht="15" customHeight="1" x14ac:dyDescent="0.2">
      <c r="A1507" s="403"/>
      <c r="C1507" s="404"/>
      <c r="E1507" s="308"/>
      <c r="G1507" s="297"/>
      <c r="H1507" s="297"/>
      <c r="J1507" s="297"/>
      <c r="L1507" s="312"/>
      <c r="N1507" s="297"/>
    </row>
    <row r="1508" spans="1:14" ht="15" customHeight="1" x14ac:dyDescent="0.2">
      <c r="A1508" s="403"/>
      <c r="C1508" s="404"/>
      <c r="E1508" s="308"/>
      <c r="G1508" s="297"/>
      <c r="H1508" s="297"/>
      <c r="J1508" s="297"/>
      <c r="L1508" s="312"/>
      <c r="N1508" s="297"/>
    </row>
    <row r="1509" spans="1:14" ht="15" customHeight="1" x14ac:dyDescent="0.2">
      <c r="A1509" s="403"/>
      <c r="C1509" s="404"/>
      <c r="E1509" s="308"/>
      <c r="G1509" s="297"/>
      <c r="H1509" s="297"/>
      <c r="J1509" s="297"/>
      <c r="L1509" s="312"/>
      <c r="N1509" s="297"/>
    </row>
    <row r="1510" spans="1:14" ht="15" customHeight="1" x14ac:dyDescent="0.2">
      <c r="A1510" s="403"/>
      <c r="C1510" s="404"/>
      <c r="E1510" s="308"/>
      <c r="G1510" s="297"/>
      <c r="H1510" s="297"/>
      <c r="J1510" s="297"/>
      <c r="L1510" s="312"/>
      <c r="N1510" s="297"/>
    </row>
    <row r="1511" spans="1:14" ht="15" customHeight="1" x14ac:dyDescent="0.2">
      <c r="A1511" s="403"/>
      <c r="C1511" s="404"/>
      <c r="E1511" s="308"/>
      <c r="G1511" s="297"/>
      <c r="H1511" s="297"/>
      <c r="J1511" s="297"/>
      <c r="L1511" s="312"/>
      <c r="N1511" s="297"/>
    </row>
    <row r="1512" spans="1:14" ht="15" customHeight="1" x14ac:dyDescent="0.2">
      <c r="A1512" s="403"/>
      <c r="C1512" s="404"/>
      <c r="E1512" s="308"/>
      <c r="G1512" s="297"/>
      <c r="H1512" s="297"/>
      <c r="J1512" s="297"/>
      <c r="L1512" s="312"/>
      <c r="N1512" s="297"/>
    </row>
    <row r="1513" spans="1:14" ht="15" customHeight="1" x14ac:dyDescent="0.2">
      <c r="A1513" s="403"/>
      <c r="C1513" s="404"/>
      <c r="E1513" s="308"/>
      <c r="G1513" s="297"/>
      <c r="H1513" s="297"/>
      <c r="J1513" s="297"/>
      <c r="L1513" s="312"/>
      <c r="N1513" s="297"/>
    </row>
    <row r="1514" spans="1:14" ht="15" customHeight="1" x14ac:dyDescent="0.2">
      <c r="A1514" s="403"/>
      <c r="C1514" s="404"/>
      <c r="E1514" s="308"/>
      <c r="G1514" s="297"/>
      <c r="H1514" s="297"/>
      <c r="J1514" s="297"/>
      <c r="L1514" s="312"/>
      <c r="N1514" s="297"/>
    </row>
    <row r="1515" spans="1:14" ht="15" customHeight="1" x14ac:dyDescent="0.2">
      <c r="A1515" s="403"/>
      <c r="C1515" s="404"/>
      <c r="E1515" s="308"/>
      <c r="G1515" s="297"/>
      <c r="H1515" s="297"/>
      <c r="J1515" s="297"/>
      <c r="L1515" s="312"/>
      <c r="N1515" s="297"/>
    </row>
    <row r="1516" spans="1:14" ht="15" customHeight="1" x14ac:dyDescent="0.2">
      <c r="A1516" s="403"/>
      <c r="C1516" s="404"/>
      <c r="E1516" s="308"/>
      <c r="G1516" s="297"/>
      <c r="H1516" s="297"/>
      <c r="J1516" s="297"/>
      <c r="L1516" s="312"/>
      <c r="N1516" s="297"/>
    </row>
    <row r="1517" spans="1:14" ht="15" customHeight="1" x14ac:dyDescent="0.2">
      <c r="A1517" s="403"/>
      <c r="C1517" s="404"/>
      <c r="E1517" s="308"/>
      <c r="G1517" s="297"/>
      <c r="H1517" s="297"/>
      <c r="J1517" s="297"/>
      <c r="L1517" s="312"/>
      <c r="N1517" s="297"/>
    </row>
    <row r="1518" spans="1:14" ht="15" customHeight="1" x14ac:dyDescent="0.2">
      <c r="A1518" s="403"/>
      <c r="C1518" s="404"/>
      <c r="E1518" s="308"/>
      <c r="G1518" s="297"/>
      <c r="H1518" s="297"/>
      <c r="J1518" s="297"/>
      <c r="L1518" s="312"/>
      <c r="N1518" s="297"/>
    </row>
    <row r="1519" spans="1:14" ht="15" customHeight="1" x14ac:dyDescent="0.2">
      <c r="A1519" s="403"/>
      <c r="C1519" s="404"/>
      <c r="E1519" s="308"/>
      <c r="G1519" s="297"/>
      <c r="H1519" s="297"/>
      <c r="J1519" s="297"/>
      <c r="L1519" s="312"/>
      <c r="N1519" s="297"/>
    </row>
    <row r="1520" spans="1:14" ht="15" customHeight="1" x14ac:dyDescent="0.2">
      <c r="A1520" s="403"/>
      <c r="C1520" s="404"/>
      <c r="E1520" s="308"/>
      <c r="G1520" s="297"/>
      <c r="H1520" s="297"/>
      <c r="J1520" s="297"/>
      <c r="L1520" s="312"/>
      <c r="N1520" s="297"/>
    </row>
    <row r="1521" spans="1:14" ht="15" customHeight="1" x14ac:dyDescent="0.2">
      <c r="A1521" s="403"/>
      <c r="C1521" s="404"/>
      <c r="E1521" s="308"/>
      <c r="G1521" s="297"/>
      <c r="H1521" s="297"/>
      <c r="J1521" s="297"/>
      <c r="L1521" s="312"/>
      <c r="N1521" s="297"/>
    </row>
    <row r="1522" spans="1:14" ht="15" customHeight="1" x14ac:dyDescent="0.2">
      <c r="A1522" s="403"/>
      <c r="C1522" s="404"/>
      <c r="E1522" s="308"/>
      <c r="G1522" s="297"/>
      <c r="H1522" s="297"/>
      <c r="J1522" s="297"/>
      <c r="L1522" s="312"/>
      <c r="N1522" s="297"/>
    </row>
    <row r="1523" spans="1:14" ht="15" customHeight="1" x14ac:dyDescent="0.2">
      <c r="A1523" s="403"/>
      <c r="C1523" s="404"/>
      <c r="E1523" s="308"/>
      <c r="G1523" s="297"/>
      <c r="H1523" s="297"/>
      <c r="J1523" s="297"/>
      <c r="L1523" s="312"/>
      <c r="N1523" s="297"/>
    </row>
    <row r="1524" spans="1:14" ht="15" customHeight="1" x14ac:dyDescent="0.2">
      <c r="A1524" s="403"/>
      <c r="C1524" s="404"/>
      <c r="E1524" s="308"/>
      <c r="G1524" s="297"/>
      <c r="H1524" s="297"/>
      <c r="J1524" s="297"/>
      <c r="L1524" s="312"/>
      <c r="N1524" s="297"/>
    </row>
    <row r="1525" spans="1:14" ht="15" customHeight="1" x14ac:dyDescent="0.2">
      <c r="A1525" s="403"/>
      <c r="C1525" s="404"/>
      <c r="E1525" s="308"/>
      <c r="G1525" s="297"/>
      <c r="H1525" s="297"/>
      <c r="J1525" s="297"/>
      <c r="L1525" s="312"/>
      <c r="N1525" s="297"/>
    </row>
    <row r="1526" spans="1:14" ht="15" customHeight="1" x14ac:dyDescent="0.2">
      <c r="A1526" s="403"/>
      <c r="C1526" s="404"/>
      <c r="E1526" s="308"/>
      <c r="G1526" s="297"/>
      <c r="H1526" s="297"/>
      <c r="J1526" s="297"/>
      <c r="L1526" s="312"/>
      <c r="N1526" s="297"/>
    </row>
    <row r="1527" spans="1:14" ht="15" customHeight="1" x14ac:dyDescent="0.2">
      <c r="A1527" s="403"/>
      <c r="C1527" s="404"/>
      <c r="E1527" s="308"/>
      <c r="G1527" s="297"/>
      <c r="H1527" s="297"/>
      <c r="J1527" s="297"/>
      <c r="L1527" s="312"/>
      <c r="N1527" s="297"/>
    </row>
    <row r="1528" spans="1:14" ht="15" customHeight="1" x14ac:dyDescent="0.2">
      <c r="A1528" s="403"/>
      <c r="C1528" s="404"/>
      <c r="E1528" s="308"/>
      <c r="G1528" s="297"/>
      <c r="H1528" s="297"/>
      <c r="J1528" s="297"/>
      <c r="L1528" s="312"/>
      <c r="N1528" s="297"/>
    </row>
    <row r="1529" spans="1:14" ht="15" customHeight="1" x14ac:dyDescent="0.2">
      <c r="A1529" s="403"/>
      <c r="C1529" s="404"/>
      <c r="E1529" s="308"/>
      <c r="G1529" s="297"/>
      <c r="H1529" s="297"/>
      <c r="J1529" s="297"/>
      <c r="L1529" s="312"/>
      <c r="N1529" s="297"/>
    </row>
    <row r="1530" spans="1:14" ht="15" customHeight="1" x14ac:dyDescent="0.2">
      <c r="A1530" s="403"/>
      <c r="C1530" s="404"/>
      <c r="E1530" s="308"/>
      <c r="G1530" s="297"/>
      <c r="H1530" s="297"/>
      <c r="J1530" s="297"/>
      <c r="L1530" s="312"/>
      <c r="N1530" s="297"/>
    </row>
    <row r="1531" spans="1:14" ht="15" customHeight="1" x14ac:dyDescent="0.2">
      <c r="A1531" s="403"/>
      <c r="C1531" s="404"/>
      <c r="E1531" s="308"/>
      <c r="G1531" s="297"/>
      <c r="H1531" s="297"/>
      <c r="J1531" s="297"/>
      <c r="L1531" s="312"/>
      <c r="N1531" s="297"/>
    </row>
    <row r="1532" spans="1:14" ht="15" customHeight="1" x14ac:dyDescent="0.2">
      <c r="A1532" s="403"/>
      <c r="C1532" s="404"/>
      <c r="E1532" s="308"/>
      <c r="G1532" s="297"/>
      <c r="H1532" s="297"/>
      <c r="J1532" s="297"/>
      <c r="L1532" s="312"/>
      <c r="N1532" s="297"/>
    </row>
    <row r="1533" spans="1:14" ht="15" customHeight="1" x14ac:dyDescent="0.2">
      <c r="A1533" s="403"/>
      <c r="C1533" s="404"/>
      <c r="E1533" s="308"/>
      <c r="G1533" s="297"/>
      <c r="H1533" s="297"/>
      <c r="J1533" s="297"/>
      <c r="L1533" s="312"/>
      <c r="N1533" s="297"/>
    </row>
    <row r="1534" spans="1:14" ht="15" customHeight="1" x14ac:dyDescent="0.2">
      <c r="A1534" s="403"/>
      <c r="C1534" s="404"/>
      <c r="E1534" s="308"/>
      <c r="G1534" s="297"/>
      <c r="H1534" s="297"/>
      <c r="J1534" s="297"/>
      <c r="L1534" s="312"/>
      <c r="N1534" s="297"/>
    </row>
    <row r="1535" spans="1:14" ht="15" customHeight="1" x14ac:dyDescent="0.2">
      <c r="A1535" s="403"/>
      <c r="C1535" s="404"/>
      <c r="E1535" s="308"/>
      <c r="G1535" s="297"/>
      <c r="H1535" s="297"/>
      <c r="J1535" s="297"/>
      <c r="L1535" s="312"/>
      <c r="N1535" s="297"/>
    </row>
    <row r="1536" spans="1:14" ht="15" customHeight="1" x14ac:dyDescent="0.2">
      <c r="A1536" s="403"/>
      <c r="C1536" s="404"/>
      <c r="E1536" s="308"/>
      <c r="G1536" s="297"/>
      <c r="H1536" s="297"/>
      <c r="J1536" s="297"/>
      <c r="L1536" s="312"/>
      <c r="N1536" s="297"/>
    </row>
    <row r="1537" spans="1:14" ht="15" customHeight="1" x14ac:dyDescent="0.2">
      <c r="A1537" s="403"/>
      <c r="C1537" s="404"/>
      <c r="E1537" s="308"/>
      <c r="G1537" s="297"/>
      <c r="H1537" s="297"/>
      <c r="J1537" s="297"/>
      <c r="L1537" s="312"/>
      <c r="N1537" s="297"/>
    </row>
    <row r="1538" spans="1:14" ht="15" customHeight="1" x14ac:dyDescent="0.2">
      <c r="A1538" s="403"/>
      <c r="C1538" s="404"/>
      <c r="E1538" s="308"/>
      <c r="G1538" s="297"/>
      <c r="H1538" s="297"/>
      <c r="J1538" s="297"/>
      <c r="L1538" s="312"/>
      <c r="N1538" s="297"/>
    </row>
    <row r="1539" spans="1:14" ht="15" customHeight="1" x14ac:dyDescent="0.2">
      <c r="A1539" s="403"/>
      <c r="C1539" s="404"/>
      <c r="E1539" s="308"/>
      <c r="G1539" s="297"/>
      <c r="H1539" s="297"/>
      <c r="J1539" s="297"/>
      <c r="L1539" s="312"/>
      <c r="N1539" s="297"/>
    </row>
    <row r="1540" spans="1:14" ht="15" customHeight="1" x14ac:dyDescent="0.2">
      <c r="A1540" s="403"/>
      <c r="C1540" s="404"/>
      <c r="E1540" s="308"/>
      <c r="G1540" s="297"/>
      <c r="H1540" s="297"/>
      <c r="J1540" s="297"/>
      <c r="L1540" s="312"/>
      <c r="N1540" s="297"/>
    </row>
    <row r="1541" spans="1:14" ht="15" customHeight="1" x14ac:dyDescent="0.2">
      <c r="A1541" s="403"/>
      <c r="C1541" s="404"/>
      <c r="E1541" s="308"/>
      <c r="G1541" s="297"/>
      <c r="H1541" s="297"/>
      <c r="J1541" s="297"/>
      <c r="L1541" s="312"/>
      <c r="N1541" s="297"/>
    </row>
    <row r="1542" spans="1:14" ht="15" customHeight="1" x14ac:dyDescent="0.2">
      <c r="A1542" s="403"/>
      <c r="C1542" s="404"/>
      <c r="E1542" s="308"/>
      <c r="G1542" s="297"/>
      <c r="H1542" s="297"/>
      <c r="J1542" s="297"/>
      <c r="L1542" s="312"/>
      <c r="N1542" s="297"/>
    </row>
    <row r="1543" spans="1:14" ht="15" customHeight="1" x14ac:dyDescent="0.2">
      <c r="A1543" s="403"/>
      <c r="C1543" s="404"/>
      <c r="E1543" s="308"/>
      <c r="G1543" s="297"/>
      <c r="H1543" s="297"/>
      <c r="J1543" s="297"/>
      <c r="L1543" s="312"/>
      <c r="N1543" s="297"/>
    </row>
    <row r="1544" spans="1:14" ht="15" customHeight="1" x14ac:dyDescent="0.2">
      <c r="A1544" s="403"/>
      <c r="C1544" s="404"/>
      <c r="E1544" s="308"/>
      <c r="G1544" s="297"/>
      <c r="H1544" s="297"/>
      <c r="J1544" s="297"/>
      <c r="L1544" s="312"/>
      <c r="N1544" s="297"/>
    </row>
    <row r="1545" spans="1:14" ht="15" customHeight="1" x14ac:dyDescent="0.2">
      <c r="A1545" s="403"/>
      <c r="C1545" s="404"/>
      <c r="E1545" s="308"/>
      <c r="G1545" s="297"/>
      <c r="H1545" s="297"/>
      <c r="J1545" s="297"/>
      <c r="L1545" s="312"/>
      <c r="N1545" s="297"/>
    </row>
    <row r="1546" spans="1:14" ht="15" customHeight="1" x14ac:dyDescent="0.2">
      <c r="A1546" s="403"/>
      <c r="C1546" s="404"/>
      <c r="E1546" s="308"/>
      <c r="G1546" s="297"/>
      <c r="H1546" s="297"/>
      <c r="J1546" s="297"/>
      <c r="L1546" s="312"/>
      <c r="N1546" s="297"/>
    </row>
    <row r="1547" spans="1:14" ht="15" customHeight="1" x14ac:dyDescent="0.2">
      <c r="A1547" s="403"/>
      <c r="C1547" s="404"/>
      <c r="E1547" s="308"/>
      <c r="G1547" s="297"/>
      <c r="H1547" s="297"/>
      <c r="J1547" s="297"/>
      <c r="L1547" s="312"/>
      <c r="N1547" s="297"/>
    </row>
    <row r="1548" spans="1:14" ht="15" customHeight="1" x14ac:dyDescent="0.2">
      <c r="A1548" s="403"/>
      <c r="C1548" s="404"/>
      <c r="E1548" s="308"/>
      <c r="G1548" s="297"/>
      <c r="H1548" s="297"/>
      <c r="J1548" s="297"/>
      <c r="L1548" s="312"/>
      <c r="N1548" s="297"/>
    </row>
    <row r="1549" spans="1:14" ht="15" customHeight="1" x14ac:dyDescent="0.2">
      <c r="A1549" s="403"/>
      <c r="C1549" s="404"/>
      <c r="E1549" s="308"/>
      <c r="G1549" s="297"/>
      <c r="H1549" s="297"/>
      <c r="J1549" s="297"/>
      <c r="L1549" s="312"/>
      <c r="N1549" s="297"/>
    </row>
    <row r="1550" spans="1:14" ht="15" customHeight="1" x14ac:dyDescent="0.2">
      <c r="A1550" s="403"/>
      <c r="C1550" s="404"/>
      <c r="E1550" s="308"/>
      <c r="G1550" s="297"/>
      <c r="H1550" s="297"/>
      <c r="J1550" s="297"/>
      <c r="L1550" s="312"/>
      <c r="N1550" s="297"/>
    </row>
    <row r="1551" spans="1:14" ht="15" customHeight="1" x14ac:dyDescent="0.2">
      <c r="A1551" s="403"/>
      <c r="C1551" s="404"/>
      <c r="E1551" s="308"/>
      <c r="G1551" s="297"/>
      <c r="H1551" s="297"/>
      <c r="J1551" s="297"/>
      <c r="L1551" s="312"/>
      <c r="N1551" s="297"/>
    </row>
    <row r="1552" spans="1:14" ht="15" customHeight="1" x14ac:dyDescent="0.2">
      <c r="A1552" s="403"/>
      <c r="C1552" s="404"/>
      <c r="E1552" s="308"/>
      <c r="G1552" s="297"/>
      <c r="H1552" s="297"/>
      <c r="J1552" s="297"/>
      <c r="L1552" s="312"/>
      <c r="N1552" s="297"/>
    </row>
    <row r="1553" spans="1:14" ht="15" customHeight="1" x14ac:dyDescent="0.2">
      <c r="A1553" s="403"/>
      <c r="C1553" s="404"/>
      <c r="E1553" s="308"/>
      <c r="G1553" s="297"/>
      <c r="H1553" s="297"/>
      <c r="J1553" s="297"/>
      <c r="L1553" s="312"/>
      <c r="N1553" s="297"/>
    </row>
    <row r="1554" spans="1:14" ht="15" customHeight="1" x14ac:dyDescent="0.2">
      <c r="A1554" s="403"/>
      <c r="C1554" s="404"/>
      <c r="E1554" s="308"/>
      <c r="G1554" s="297"/>
      <c r="H1554" s="297"/>
      <c r="J1554" s="297"/>
      <c r="L1554" s="312"/>
      <c r="N1554" s="297"/>
    </row>
    <row r="1555" spans="1:14" ht="15" customHeight="1" x14ac:dyDescent="0.2">
      <c r="A1555" s="403"/>
      <c r="C1555" s="404"/>
      <c r="E1555" s="308"/>
      <c r="G1555" s="297"/>
      <c r="H1555" s="297"/>
      <c r="J1555" s="297"/>
      <c r="L1555" s="312"/>
      <c r="N1555" s="297"/>
    </row>
    <row r="1556" spans="1:14" ht="15" customHeight="1" x14ac:dyDescent="0.2">
      <c r="A1556" s="403"/>
      <c r="C1556" s="404"/>
      <c r="E1556" s="308"/>
      <c r="G1556" s="297"/>
      <c r="H1556" s="297"/>
      <c r="J1556" s="297"/>
      <c r="L1556" s="312"/>
      <c r="N1556" s="297"/>
    </row>
    <row r="1557" spans="1:14" ht="15" customHeight="1" x14ac:dyDescent="0.2">
      <c r="A1557" s="403"/>
      <c r="C1557" s="404"/>
      <c r="E1557" s="308"/>
      <c r="G1557" s="297"/>
      <c r="H1557" s="297"/>
      <c r="J1557" s="297"/>
      <c r="L1557" s="312"/>
      <c r="N1557" s="297"/>
    </row>
    <row r="1558" spans="1:14" ht="15" customHeight="1" x14ac:dyDescent="0.2">
      <c r="A1558" s="403"/>
      <c r="C1558" s="404"/>
      <c r="E1558" s="308"/>
      <c r="G1558" s="297"/>
      <c r="H1558" s="297"/>
      <c r="J1558" s="297"/>
      <c r="L1558" s="312"/>
      <c r="N1558" s="297"/>
    </row>
    <row r="1559" spans="1:14" ht="15" customHeight="1" x14ac:dyDescent="0.2">
      <c r="A1559" s="403"/>
      <c r="C1559" s="404"/>
      <c r="E1559" s="308"/>
      <c r="G1559" s="297"/>
      <c r="H1559" s="297"/>
      <c r="J1559" s="297"/>
      <c r="L1559" s="312"/>
      <c r="N1559" s="297"/>
    </row>
    <row r="1560" spans="1:14" ht="15" customHeight="1" x14ac:dyDescent="0.2">
      <c r="A1560" s="403"/>
      <c r="C1560" s="404"/>
      <c r="E1560" s="308"/>
      <c r="G1560" s="297"/>
      <c r="H1560" s="297"/>
      <c r="J1560" s="297"/>
      <c r="L1560" s="312"/>
      <c r="N1560" s="297"/>
    </row>
    <row r="1561" spans="1:14" ht="15" customHeight="1" x14ac:dyDescent="0.2">
      <c r="A1561" s="403"/>
      <c r="C1561" s="404"/>
      <c r="E1561" s="308"/>
      <c r="G1561" s="297"/>
      <c r="H1561" s="297"/>
      <c r="J1561" s="297"/>
      <c r="L1561" s="312"/>
      <c r="N1561" s="297"/>
    </row>
    <row r="1562" spans="1:14" ht="15" customHeight="1" x14ac:dyDescent="0.2">
      <c r="A1562" s="403"/>
      <c r="C1562" s="404"/>
      <c r="E1562" s="308"/>
      <c r="G1562" s="297"/>
      <c r="H1562" s="297"/>
      <c r="J1562" s="297"/>
      <c r="L1562" s="312"/>
      <c r="N1562" s="297"/>
    </row>
    <row r="1563" spans="1:14" ht="15" customHeight="1" x14ac:dyDescent="0.2">
      <c r="A1563" s="403"/>
      <c r="C1563" s="404"/>
      <c r="E1563" s="308"/>
      <c r="G1563" s="297"/>
      <c r="H1563" s="297"/>
      <c r="J1563" s="297"/>
      <c r="L1563" s="312"/>
      <c r="N1563" s="297"/>
    </row>
    <row r="1564" spans="1:14" ht="15" customHeight="1" x14ac:dyDescent="0.2">
      <c r="A1564" s="403"/>
      <c r="C1564" s="404"/>
      <c r="E1564" s="308"/>
      <c r="G1564" s="297"/>
      <c r="H1564" s="297"/>
      <c r="J1564" s="297"/>
      <c r="L1564" s="312"/>
      <c r="N1564" s="297"/>
    </row>
    <row r="1565" spans="1:14" ht="15" customHeight="1" x14ac:dyDescent="0.2">
      <c r="A1565" s="403"/>
      <c r="C1565" s="404"/>
      <c r="E1565" s="308"/>
      <c r="G1565" s="297"/>
      <c r="H1565" s="297"/>
      <c r="J1565" s="297"/>
      <c r="L1565" s="312"/>
      <c r="N1565" s="297"/>
    </row>
    <row r="1566" spans="1:14" ht="15" customHeight="1" x14ac:dyDescent="0.2">
      <c r="A1566" s="403"/>
      <c r="C1566" s="404"/>
      <c r="E1566" s="308"/>
      <c r="G1566" s="297"/>
      <c r="H1566" s="297"/>
      <c r="J1566" s="297"/>
      <c r="L1566" s="312"/>
      <c r="N1566" s="297"/>
    </row>
    <row r="1567" spans="1:14" ht="15" customHeight="1" x14ac:dyDescent="0.2">
      <c r="A1567" s="403"/>
      <c r="C1567" s="404"/>
      <c r="E1567" s="308"/>
      <c r="G1567" s="297"/>
      <c r="H1567" s="297"/>
      <c r="J1567" s="297"/>
      <c r="L1567" s="312"/>
      <c r="N1567" s="297"/>
    </row>
    <row r="1568" spans="1:14" ht="15" customHeight="1" x14ac:dyDescent="0.2">
      <c r="A1568" s="403"/>
      <c r="C1568" s="404"/>
      <c r="E1568" s="308"/>
      <c r="G1568" s="297"/>
      <c r="H1568" s="297"/>
      <c r="J1568" s="297"/>
      <c r="L1568" s="312"/>
      <c r="N1568" s="297"/>
    </row>
    <row r="1569" spans="1:14" ht="15" customHeight="1" x14ac:dyDescent="0.2">
      <c r="A1569" s="403"/>
      <c r="C1569" s="404"/>
      <c r="E1569" s="308"/>
      <c r="G1569" s="297"/>
      <c r="H1569" s="297"/>
      <c r="J1569" s="297"/>
      <c r="L1569" s="312"/>
      <c r="N1569" s="297"/>
    </row>
    <row r="1570" spans="1:14" ht="15" customHeight="1" x14ac:dyDescent="0.2">
      <c r="A1570" s="403"/>
      <c r="C1570" s="404"/>
      <c r="E1570" s="308"/>
      <c r="G1570" s="297"/>
      <c r="H1570" s="297"/>
      <c r="J1570" s="297"/>
      <c r="L1570" s="312"/>
      <c r="N1570" s="297"/>
    </row>
    <row r="1571" spans="1:14" ht="15" customHeight="1" x14ac:dyDescent="0.2">
      <c r="A1571" s="403"/>
      <c r="C1571" s="404"/>
      <c r="E1571" s="308"/>
      <c r="G1571" s="297"/>
      <c r="H1571" s="297"/>
      <c r="J1571" s="297"/>
      <c r="L1571" s="312"/>
      <c r="N1571" s="297"/>
    </row>
    <row r="1572" spans="1:14" ht="15" customHeight="1" x14ac:dyDescent="0.2">
      <c r="A1572" s="403"/>
      <c r="C1572" s="404"/>
      <c r="E1572" s="308"/>
      <c r="G1572" s="297"/>
      <c r="H1572" s="297"/>
      <c r="J1572" s="297"/>
      <c r="L1572" s="312"/>
      <c r="N1572" s="297"/>
    </row>
    <row r="1573" spans="1:14" ht="15" customHeight="1" x14ac:dyDescent="0.2">
      <c r="A1573" s="403"/>
      <c r="C1573" s="404"/>
      <c r="E1573" s="308"/>
      <c r="G1573" s="297"/>
      <c r="H1573" s="297"/>
      <c r="J1573" s="297"/>
      <c r="L1573" s="312"/>
      <c r="N1573" s="297"/>
    </row>
    <row r="1574" spans="1:14" ht="15" customHeight="1" x14ac:dyDescent="0.2">
      <c r="A1574" s="403"/>
      <c r="C1574" s="404"/>
      <c r="E1574" s="308"/>
      <c r="G1574" s="297"/>
      <c r="H1574" s="297"/>
      <c r="J1574" s="297"/>
      <c r="L1574" s="312"/>
      <c r="N1574" s="297"/>
    </row>
    <row r="1575" spans="1:14" ht="15" customHeight="1" x14ac:dyDescent="0.2">
      <c r="A1575" s="403"/>
      <c r="C1575" s="404"/>
      <c r="E1575" s="308"/>
      <c r="G1575" s="297"/>
      <c r="H1575" s="297"/>
      <c r="J1575" s="297"/>
      <c r="L1575" s="312"/>
      <c r="N1575" s="297"/>
    </row>
    <row r="1576" spans="1:14" ht="15" customHeight="1" x14ac:dyDescent="0.2">
      <c r="A1576" s="403"/>
      <c r="C1576" s="404"/>
      <c r="E1576" s="308"/>
      <c r="G1576" s="297"/>
      <c r="H1576" s="297"/>
      <c r="J1576" s="297"/>
      <c r="L1576" s="312"/>
      <c r="N1576" s="297"/>
    </row>
    <row r="1577" spans="1:14" ht="15" customHeight="1" x14ac:dyDescent="0.2">
      <c r="A1577" s="403"/>
      <c r="C1577" s="404"/>
      <c r="E1577" s="308"/>
      <c r="G1577" s="297"/>
      <c r="H1577" s="297"/>
      <c r="J1577" s="297"/>
      <c r="L1577" s="312"/>
      <c r="N1577" s="297"/>
    </row>
    <row r="1578" spans="1:14" ht="15" customHeight="1" x14ac:dyDescent="0.2">
      <c r="A1578" s="403"/>
      <c r="C1578" s="404"/>
      <c r="E1578" s="308"/>
      <c r="G1578" s="297"/>
      <c r="H1578" s="297"/>
      <c r="J1578" s="297"/>
      <c r="L1578" s="312"/>
      <c r="N1578" s="297"/>
    </row>
    <row r="1579" spans="1:14" ht="15" customHeight="1" x14ac:dyDescent="0.2">
      <c r="A1579" s="403"/>
      <c r="C1579" s="404"/>
      <c r="E1579" s="308"/>
      <c r="G1579" s="297"/>
      <c r="H1579" s="297"/>
      <c r="J1579" s="297"/>
      <c r="L1579" s="312"/>
      <c r="N1579" s="297"/>
    </row>
    <row r="1580" spans="1:14" ht="15" customHeight="1" x14ac:dyDescent="0.2">
      <c r="A1580" s="403"/>
      <c r="C1580" s="404"/>
      <c r="E1580" s="308"/>
      <c r="G1580" s="297"/>
      <c r="H1580" s="297"/>
      <c r="J1580" s="297"/>
      <c r="L1580" s="312"/>
      <c r="N1580" s="297"/>
    </row>
    <row r="1581" spans="1:14" ht="15" customHeight="1" x14ac:dyDescent="0.2">
      <c r="A1581" s="403"/>
      <c r="C1581" s="404"/>
      <c r="E1581" s="308"/>
      <c r="G1581" s="297"/>
      <c r="H1581" s="297"/>
      <c r="J1581" s="297"/>
      <c r="L1581" s="312"/>
      <c r="N1581" s="297"/>
    </row>
    <row r="1582" spans="1:14" ht="15" customHeight="1" x14ac:dyDescent="0.2">
      <c r="A1582" s="403"/>
      <c r="C1582" s="404"/>
      <c r="E1582" s="308"/>
      <c r="G1582" s="297"/>
      <c r="H1582" s="297"/>
      <c r="J1582" s="297"/>
      <c r="L1582" s="312"/>
      <c r="N1582" s="297"/>
    </row>
    <row r="1583" spans="1:14" ht="15" customHeight="1" x14ac:dyDescent="0.2">
      <c r="A1583" s="403"/>
      <c r="C1583" s="404"/>
      <c r="E1583" s="308"/>
      <c r="G1583" s="297"/>
      <c r="H1583" s="297"/>
      <c r="J1583" s="297"/>
      <c r="L1583" s="312"/>
      <c r="N1583" s="297"/>
    </row>
    <row r="1584" spans="1:14" ht="15" customHeight="1" x14ac:dyDescent="0.2">
      <c r="A1584" s="403"/>
      <c r="C1584" s="404"/>
      <c r="E1584" s="308"/>
      <c r="G1584" s="297"/>
      <c r="H1584" s="297"/>
      <c r="J1584" s="297"/>
      <c r="L1584" s="312"/>
      <c r="N1584" s="297"/>
    </row>
    <row r="1585" spans="1:14" ht="15" customHeight="1" x14ac:dyDescent="0.2">
      <c r="A1585" s="403"/>
      <c r="C1585" s="404"/>
      <c r="E1585" s="308"/>
      <c r="G1585" s="297"/>
      <c r="H1585" s="297"/>
      <c r="J1585" s="297"/>
      <c r="L1585" s="312"/>
      <c r="N1585" s="297"/>
    </row>
    <row r="1586" spans="1:14" ht="15" customHeight="1" x14ac:dyDescent="0.2">
      <c r="A1586" s="403"/>
      <c r="C1586" s="404"/>
      <c r="E1586" s="308"/>
      <c r="G1586" s="297"/>
      <c r="H1586" s="297"/>
      <c r="J1586" s="297"/>
      <c r="L1586" s="312"/>
      <c r="N1586" s="297"/>
    </row>
    <row r="1587" spans="1:14" ht="15" customHeight="1" x14ac:dyDescent="0.2">
      <c r="A1587" s="403"/>
      <c r="C1587" s="404"/>
      <c r="E1587" s="308"/>
      <c r="G1587" s="297"/>
      <c r="H1587" s="297"/>
      <c r="J1587" s="297"/>
      <c r="L1587" s="312"/>
      <c r="N1587" s="297"/>
    </row>
    <row r="1588" spans="1:14" ht="15" customHeight="1" x14ac:dyDescent="0.2">
      <c r="A1588" s="403"/>
      <c r="C1588" s="404"/>
      <c r="E1588" s="308"/>
      <c r="G1588" s="297"/>
      <c r="H1588" s="297"/>
      <c r="J1588" s="297"/>
      <c r="L1588" s="312"/>
      <c r="N1588" s="297"/>
    </row>
    <row r="1589" spans="1:14" ht="15" customHeight="1" x14ac:dyDescent="0.2">
      <c r="A1589" s="403"/>
      <c r="C1589" s="404"/>
      <c r="E1589" s="308"/>
      <c r="G1589" s="297"/>
      <c r="H1589" s="297"/>
      <c r="J1589" s="297"/>
      <c r="L1589" s="312"/>
      <c r="N1589" s="297"/>
    </row>
    <row r="1590" spans="1:14" ht="15" customHeight="1" x14ac:dyDescent="0.2">
      <c r="A1590" s="403"/>
      <c r="C1590" s="404"/>
      <c r="E1590" s="308"/>
      <c r="G1590" s="297"/>
      <c r="H1590" s="297"/>
      <c r="J1590" s="297"/>
      <c r="L1590" s="312"/>
      <c r="N1590" s="297"/>
    </row>
    <row r="1591" spans="1:14" ht="15" customHeight="1" x14ac:dyDescent="0.2">
      <c r="A1591" s="403"/>
      <c r="C1591" s="404"/>
      <c r="E1591" s="308"/>
      <c r="G1591" s="297"/>
      <c r="H1591" s="297"/>
      <c r="J1591" s="297"/>
      <c r="L1591" s="312"/>
      <c r="N1591" s="297"/>
    </row>
    <row r="1592" spans="1:14" ht="15" customHeight="1" x14ac:dyDescent="0.2">
      <c r="A1592" s="403"/>
      <c r="C1592" s="404"/>
      <c r="E1592" s="308"/>
      <c r="G1592" s="297"/>
      <c r="H1592" s="297"/>
      <c r="J1592" s="297"/>
      <c r="L1592" s="312"/>
      <c r="N1592" s="297"/>
    </row>
    <row r="1593" spans="1:14" ht="15" customHeight="1" x14ac:dyDescent="0.2">
      <c r="A1593" s="403"/>
      <c r="C1593" s="404"/>
      <c r="E1593" s="308"/>
      <c r="G1593" s="297"/>
      <c r="H1593" s="297"/>
      <c r="J1593" s="297"/>
      <c r="L1593" s="312"/>
      <c r="N1593" s="297"/>
    </row>
    <row r="1594" spans="1:14" ht="15" customHeight="1" x14ac:dyDescent="0.2">
      <c r="A1594" s="403"/>
      <c r="C1594" s="404"/>
      <c r="E1594" s="308"/>
      <c r="G1594" s="297"/>
      <c r="H1594" s="297"/>
      <c r="J1594" s="297"/>
      <c r="L1594" s="312"/>
      <c r="N1594" s="297"/>
    </row>
    <row r="1595" spans="1:14" ht="15" customHeight="1" x14ac:dyDescent="0.2">
      <c r="A1595" s="403"/>
      <c r="C1595" s="404"/>
      <c r="E1595" s="308"/>
      <c r="G1595" s="297"/>
      <c r="H1595" s="297"/>
      <c r="J1595" s="297"/>
      <c r="L1595" s="312"/>
      <c r="N1595" s="297"/>
    </row>
    <row r="1596" spans="1:14" ht="15" customHeight="1" x14ac:dyDescent="0.2">
      <c r="A1596" s="403"/>
      <c r="C1596" s="404"/>
      <c r="E1596" s="308"/>
      <c r="G1596" s="297"/>
      <c r="H1596" s="297"/>
      <c r="J1596" s="297"/>
      <c r="L1596" s="312"/>
      <c r="N1596" s="297"/>
    </row>
    <row r="1597" spans="1:14" ht="15" customHeight="1" x14ac:dyDescent="0.2">
      <c r="A1597" s="403"/>
      <c r="C1597" s="404"/>
      <c r="E1597" s="308"/>
      <c r="G1597" s="297"/>
      <c r="H1597" s="297"/>
      <c r="J1597" s="297"/>
      <c r="L1597" s="312"/>
      <c r="N1597" s="297"/>
    </row>
    <row r="1598" spans="1:14" ht="15" customHeight="1" x14ac:dyDescent="0.2">
      <c r="A1598" s="403"/>
      <c r="C1598" s="404"/>
      <c r="E1598" s="308"/>
      <c r="G1598" s="297"/>
      <c r="H1598" s="297"/>
      <c r="J1598" s="297"/>
      <c r="L1598" s="312"/>
      <c r="N1598" s="297"/>
    </row>
    <row r="1599" spans="1:14" ht="15" customHeight="1" x14ac:dyDescent="0.2">
      <c r="A1599" s="403"/>
      <c r="C1599" s="404"/>
      <c r="E1599" s="308"/>
      <c r="G1599" s="297"/>
      <c r="H1599" s="297"/>
      <c r="J1599" s="297"/>
      <c r="L1599" s="312"/>
      <c r="N1599" s="297"/>
    </row>
    <row r="1600" spans="1:14" ht="15" customHeight="1" x14ac:dyDescent="0.2">
      <c r="A1600" s="403"/>
      <c r="C1600" s="404"/>
      <c r="E1600" s="308"/>
      <c r="G1600" s="297"/>
      <c r="H1600" s="297"/>
      <c r="J1600" s="297"/>
      <c r="L1600" s="312"/>
      <c r="N1600" s="297"/>
    </row>
    <row r="1601" spans="1:14" ht="15" customHeight="1" x14ac:dyDescent="0.2">
      <c r="A1601" s="403"/>
      <c r="C1601" s="404"/>
      <c r="E1601" s="308"/>
      <c r="G1601" s="297"/>
      <c r="H1601" s="297"/>
      <c r="J1601" s="297"/>
      <c r="L1601" s="312"/>
      <c r="N1601" s="297"/>
    </row>
    <row r="1602" spans="1:14" ht="15" customHeight="1" x14ac:dyDescent="0.2">
      <c r="A1602" s="403"/>
      <c r="C1602" s="404"/>
      <c r="E1602" s="308"/>
      <c r="G1602" s="297"/>
      <c r="H1602" s="297"/>
      <c r="J1602" s="297"/>
      <c r="L1602" s="312"/>
      <c r="N1602" s="297"/>
    </row>
    <row r="1603" spans="1:14" ht="15" customHeight="1" x14ac:dyDescent="0.2">
      <c r="A1603" s="403"/>
      <c r="C1603" s="404"/>
      <c r="E1603" s="308"/>
      <c r="G1603" s="297"/>
      <c r="H1603" s="297"/>
      <c r="J1603" s="297"/>
      <c r="L1603" s="312"/>
      <c r="N1603" s="297"/>
    </row>
    <row r="1604" spans="1:14" ht="15" customHeight="1" x14ac:dyDescent="0.2">
      <c r="A1604" s="403"/>
      <c r="C1604" s="404"/>
      <c r="E1604" s="308"/>
      <c r="G1604" s="297"/>
      <c r="H1604" s="297"/>
      <c r="J1604" s="297"/>
      <c r="L1604" s="312"/>
      <c r="N1604" s="297"/>
    </row>
    <row r="1605" spans="1:14" ht="15" customHeight="1" x14ac:dyDescent="0.2">
      <c r="A1605" s="403"/>
      <c r="C1605" s="404"/>
      <c r="E1605" s="308"/>
      <c r="G1605" s="297"/>
      <c r="H1605" s="297"/>
      <c r="J1605" s="297"/>
      <c r="L1605" s="312"/>
      <c r="N1605" s="297"/>
    </row>
    <row r="1606" spans="1:14" ht="15" customHeight="1" x14ac:dyDescent="0.2">
      <c r="A1606" s="403"/>
      <c r="C1606" s="404"/>
      <c r="E1606" s="308"/>
      <c r="G1606" s="297"/>
      <c r="H1606" s="297"/>
      <c r="J1606" s="297"/>
      <c r="L1606" s="312"/>
      <c r="N1606" s="297"/>
    </row>
    <row r="1607" spans="1:14" ht="15" customHeight="1" x14ac:dyDescent="0.2">
      <c r="A1607" s="403"/>
      <c r="C1607" s="404"/>
      <c r="E1607" s="308"/>
      <c r="G1607" s="297"/>
      <c r="H1607" s="297"/>
      <c r="J1607" s="297"/>
      <c r="L1607" s="312"/>
      <c r="N1607" s="297"/>
    </row>
    <row r="1608" spans="1:14" ht="15" customHeight="1" x14ac:dyDescent="0.2">
      <c r="A1608" s="403"/>
      <c r="C1608" s="404"/>
      <c r="E1608" s="308"/>
      <c r="G1608" s="297"/>
      <c r="H1608" s="297"/>
      <c r="J1608" s="297"/>
      <c r="L1608" s="312"/>
      <c r="N1608" s="297"/>
    </row>
    <row r="1609" spans="1:14" ht="15" customHeight="1" x14ac:dyDescent="0.2">
      <c r="A1609" s="403"/>
      <c r="C1609" s="404"/>
      <c r="E1609" s="308"/>
      <c r="G1609" s="297"/>
      <c r="H1609" s="297"/>
      <c r="J1609" s="297"/>
      <c r="L1609" s="312"/>
      <c r="N1609" s="297"/>
    </row>
    <row r="1610" spans="1:14" ht="15" customHeight="1" x14ac:dyDescent="0.2">
      <c r="A1610" s="403"/>
      <c r="C1610" s="404"/>
      <c r="E1610" s="308"/>
      <c r="G1610" s="297"/>
      <c r="H1610" s="297"/>
      <c r="J1610" s="297"/>
      <c r="L1610" s="312"/>
      <c r="N1610" s="297"/>
    </row>
    <row r="1611" spans="1:14" ht="15" customHeight="1" x14ac:dyDescent="0.2">
      <c r="A1611" s="403"/>
      <c r="C1611" s="404"/>
      <c r="E1611" s="308"/>
      <c r="G1611" s="297"/>
      <c r="H1611" s="297"/>
      <c r="J1611" s="297"/>
      <c r="L1611" s="312"/>
      <c r="N1611" s="297"/>
    </row>
    <row r="1612" spans="1:14" ht="15" customHeight="1" x14ac:dyDescent="0.2">
      <c r="A1612" s="403"/>
      <c r="C1612" s="404"/>
      <c r="E1612" s="308"/>
      <c r="G1612" s="297"/>
      <c r="H1612" s="297"/>
      <c r="J1612" s="297"/>
      <c r="L1612" s="312"/>
      <c r="N1612" s="297"/>
    </row>
    <row r="1613" spans="1:14" ht="15" customHeight="1" x14ac:dyDescent="0.2">
      <c r="A1613" s="403"/>
      <c r="C1613" s="404"/>
      <c r="E1613" s="308"/>
      <c r="G1613" s="297"/>
      <c r="H1613" s="297"/>
      <c r="J1613" s="297"/>
      <c r="L1613" s="312"/>
      <c r="N1613" s="297"/>
    </row>
    <row r="1614" spans="1:14" ht="15" customHeight="1" x14ac:dyDescent="0.2">
      <c r="A1614" s="403"/>
      <c r="C1614" s="404"/>
      <c r="E1614" s="308"/>
      <c r="G1614" s="297"/>
      <c r="H1614" s="297"/>
      <c r="J1614" s="297"/>
      <c r="L1614" s="312"/>
      <c r="N1614" s="297"/>
    </row>
    <row r="1615" spans="1:14" ht="15" customHeight="1" x14ac:dyDescent="0.2">
      <c r="A1615" s="403"/>
      <c r="C1615" s="404"/>
      <c r="E1615" s="308"/>
      <c r="G1615" s="297"/>
      <c r="H1615" s="297"/>
      <c r="J1615" s="297"/>
      <c r="L1615" s="312"/>
      <c r="N1615" s="297"/>
    </row>
    <row r="1616" spans="1:14" ht="15" customHeight="1" x14ac:dyDescent="0.2">
      <c r="A1616" s="403"/>
      <c r="C1616" s="404"/>
      <c r="E1616" s="308"/>
      <c r="G1616" s="297"/>
      <c r="H1616" s="297"/>
      <c r="J1616" s="297"/>
      <c r="L1616" s="312"/>
      <c r="N1616" s="297"/>
    </row>
    <row r="1617" spans="1:14" ht="15" customHeight="1" x14ac:dyDescent="0.2">
      <c r="A1617" s="403"/>
      <c r="C1617" s="404"/>
      <c r="E1617" s="308"/>
      <c r="G1617" s="297"/>
      <c r="H1617" s="297"/>
      <c r="J1617" s="297"/>
      <c r="L1617" s="312"/>
      <c r="N1617" s="297"/>
    </row>
    <row r="1618" spans="1:14" ht="15" customHeight="1" x14ac:dyDescent="0.2">
      <c r="A1618" s="403"/>
      <c r="C1618" s="404"/>
      <c r="E1618" s="308"/>
      <c r="G1618" s="297"/>
      <c r="H1618" s="297"/>
      <c r="J1618" s="297"/>
      <c r="L1618" s="312"/>
      <c r="N1618" s="297"/>
    </row>
    <row r="1619" spans="1:14" ht="15" customHeight="1" x14ac:dyDescent="0.2">
      <c r="A1619" s="403"/>
      <c r="C1619" s="404"/>
      <c r="E1619" s="308"/>
      <c r="G1619" s="297"/>
      <c r="H1619" s="297"/>
      <c r="J1619" s="297"/>
      <c r="L1619" s="312"/>
      <c r="N1619" s="297"/>
    </row>
    <row r="1620" spans="1:14" ht="15" customHeight="1" x14ac:dyDescent="0.2">
      <c r="A1620" s="403"/>
      <c r="C1620" s="404"/>
      <c r="E1620" s="308"/>
      <c r="G1620" s="297"/>
      <c r="H1620" s="297"/>
      <c r="J1620" s="297"/>
      <c r="L1620" s="312"/>
      <c r="N1620" s="297"/>
    </row>
    <row r="1621" spans="1:14" ht="15" customHeight="1" x14ac:dyDescent="0.2">
      <c r="A1621" s="403"/>
      <c r="C1621" s="404"/>
      <c r="E1621" s="308"/>
      <c r="G1621" s="297"/>
      <c r="H1621" s="297"/>
      <c r="J1621" s="297"/>
      <c r="L1621" s="312"/>
      <c r="N1621" s="297"/>
    </row>
    <row r="1622" spans="1:14" ht="15" customHeight="1" x14ac:dyDescent="0.2">
      <c r="A1622" s="403"/>
      <c r="C1622" s="404"/>
      <c r="E1622" s="308"/>
      <c r="G1622" s="297"/>
      <c r="H1622" s="297"/>
      <c r="J1622" s="297"/>
      <c r="L1622" s="312"/>
      <c r="N1622" s="297"/>
    </row>
    <row r="1623" spans="1:14" ht="15" customHeight="1" x14ac:dyDescent="0.2">
      <c r="A1623" s="403"/>
      <c r="C1623" s="404"/>
      <c r="E1623" s="308"/>
      <c r="G1623" s="297"/>
      <c r="H1623" s="297"/>
      <c r="J1623" s="297"/>
      <c r="L1623" s="312"/>
      <c r="N1623" s="297"/>
    </row>
    <row r="1624" spans="1:14" ht="15" customHeight="1" x14ac:dyDescent="0.2">
      <c r="A1624" s="403"/>
      <c r="C1624" s="404"/>
      <c r="E1624" s="308"/>
      <c r="G1624" s="297"/>
      <c r="H1624" s="297"/>
      <c r="J1624" s="297"/>
      <c r="L1624" s="312"/>
      <c r="N1624" s="297"/>
    </row>
    <row r="1625" spans="1:14" ht="15" customHeight="1" x14ac:dyDescent="0.2">
      <c r="A1625" s="403"/>
      <c r="C1625" s="404"/>
      <c r="E1625" s="308"/>
      <c r="G1625" s="297"/>
      <c r="H1625" s="297"/>
      <c r="J1625" s="297"/>
      <c r="L1625" s="312"/>
      <c r="N1625" s="297"/>
    </row>
    <row r="1626" spans="1:14" ht="15" customHeight="1" x14ac:dyDescent="0.2">
      <c r="A1626" s="403"/>
      <c r="C1626" s="404"/>
      <c r="E1626" s="308"/>
      <c r="G1626" s="297"/>
      <c r="H1626" s="297"/>
      <c r="J1626" s="297"/>
      <c r="L1626" s="312"/>
      <c r="N1626" s="297"/>
    </row>
    <row r="1627" spans="1:14" ht="15" customHeight="1" x14ac:dyDescent="0.2">
      <c r="A1627" s="403"/>
      <c r="C1627" s="404"/>
      <c r="E1627" s="308"/>
      <c r="G1627" s="297"/>
      <c r="H1627" s="297"/>
      <c r="J1627" s="297"/>
      <c r="L1627" s="312"/>
      <c r="N1627" s="297"/>
    </row>
    <row r="1628" spans="1:14" ht="15" customHeight="1" x14ac:dyDescent="0.2">
      <c r="A1628" s="403"/>
      <c r="C1628" s="404"/>
      <c r="E1628" s="308"/>
      <c r="G1628" s="297"/>
      <c r="H1628" s="297"/>
      <c r="J1628" s="297"/>
      <c r="L1628" s="312"/>
      <c r="N1628" s="297"/>
    </row>
    <row r="1629" spans="1:14" ht="15" customHeight="1" x14ac:dyDescent="0.2">
      <c r="A1629" s="403"/>
      <c r="C1629" s="404"/>
      <c r="E1629" s="308"/>
      <c r="G1629" s="297"/>
      <c r="H1629" s="297"/>
      <c r="J1629" s="297"/>
      <c r="L1629" s="312"/>
      <c r="N1629" s="297"/>
    </row>
    <row r="1630" spans="1:14" ht="15" customHeight="1" x14ac:dyDescent="0.2">
      <c r="A1630" s="403"/>
      <c r="C1630" s="404"/>
      <c r="E1630" s="308"/>
      <c r="G1630" s="297"/>
      <c r="H1630" s="297"/>
      <c r="J1630" s="297"/>
      <c r="L1630" s="312"/>
      <c r="N1630" s="297"/>
    </row>
    <row r="1631" spans="1:14" ht="15" customHeight="1" x14ac:dyDescent="0.2">
      <c r="A1631" s="403"/>
      <c r="C1631" s="404"/>
      <c r="E1631" s="308"/>
      <c r="G1631" s="297"/>
      <c r="H1631" s="297"/>
      <c r="J1631" s="297"/>
      <c r="L1631" s="312"/>
      <c r="N1631" s="297"/>
    </row>
    <row r="1632" spans="1:14" ht="15" customHeight="1" x14ac:dyDescent="0.2">
      <c r="A1632" s="403"/>
      <c r="C1632" s="404"/>
      <c r="E1632" s="308"/>
      <c r="G1632" s="297"/>
      <c r="H1632" s="297"/>
      <c r="J1632" s="297"/>
      <c r="L1632" s="312"/>
      <c r="N1632" s="297"/>
    </row>
    <row r="1633" spans="1:14" ht="15" customHeight="1" x14ac:dyDescent="0.2">
      <c r="A1633" s="403"/>
      <c r="C1633" s="404"/>
      <c r="E1633" s="308"/>
      <c r="G1633" s="297"/>
      <c r="H1633" s="297"/>
      <c r="J1633" s="297"/>
      <c r="L1633" s="312"/>
      <c r="N1633" s="297"/>
    </row>
    <row r="1634" spans="1:14" ht="15" customHeight="1" x14ac:dyDescent="0.2">
      <c r="A1634" s="403"/>
      <c r="C1634" s="404"/>
      <c r="E1634" s="308"/>
      <c r="G1634" s="297"/>
      <c r="H1634" s="297"/>
      <c r="J1634" s="297"/>
      <c r="L1634" s="312"/>
      <c r="N1634" s="297"/>
    </row>
    <row r="1635" spans="1:14" ht="15" customHeight="1" x14ac:dyDescent="0.2">
      <c r="A1635" s="403"/>
      <c r="C1635" s="404"/>
      <c r="E1635" s="308"/>
      <c r="G1635" s="297"/>
      <c r="H1635" s="297"/>
      <c r="J1635" s="297"/>
      <c r="L1635" s="312"/>
      <c r="N1635" s="297"/>
    </row>
    <row r="1636" spans="1:14" ht="15" customHeight="1" x14ac:dyDescent="0.2">
      <c r="A1636" s="403"/>
      <c r="C1636" s="404"/>
      <c r="E1636" s="308"/>
      <c r="G1636" s="297"/>
      <c r="H1636" s="297"/>
      <c r="J1636" s="297"/>
      <c r="L1636" s="312"/>
      <c r="N1636" s="297"/>
    </row>
    <row r="1637" spans="1:14" ht="15" customHeight="1" x14ac:dyDescent="0.2">
      <c r="A1637" s="403"/>
      <c r="C1637" s="404"/>
      <c r="E1637" s="308"/>
      <c r="G1637" s="297"/>
      <c r="H1637" s="297"/>
      <c r="J1637" s="297"/>
      <c r="L1637" s="312"/>
      <c r="N1637" s="297"/>
    </row>
    <row r="1638" spans="1:14" ht="15" customHeight="1" x14ac:dyDescent="0.2">
      <c r="A1638" s="403"/>
      <c r="C1638" s="404"/>
      <c r="E1638" s="308"/>
      <c r="G1638" s="297"/>
      <c r="H1638" s="297"/>
      <c r="J1638" s="297"/>
      <c r="L1638" s="312"/>
      <c r="N1638" s="297"/>
    </row>
    <row r="1639" spans="1:14" ht="15" customHeight="1" x14ac:dyDescent="0.2">
      <c r="A1639" s="403"/>
      <c r="C1639" s="404"/>
      <c r="E1639" s="308"/>
      <c r="G1639" s="297"/>
      <c r="H1639" s="297"/>
      <c r="J1639" s="297"/>
      <c r="L1639" s="312"/>
      <c r="N1639" s="297"/>
    </row>
    <row r="1640" spans="1:14" ht="15" customHeight="1" x14ac:dyDescent="0.2">
      <c r="A1640" s="403"/>
      <c r="C1640" s="404"/>
      <c r="E1640" s="308"/>
      <c r="G1640" s="297"/>
      <c r="H1640" s="297"/>
      <c r="J1640" s="297"/>
      <c r="L1640" s="312"/>
      <c r="N1640" s="297"/>
    </row>
    <row r="1641" spans="1:14" ht="15" customHeight="1" x14ac:dyDescent="0.2">
      <c r="A1641" s="403"/>
      <c r="C1641" s="404"/>
      <c r="E1641" s="308"/>
      <c r="G1641" s="297"/>
      <c r="H1641" s="297"/>
      <c r="J1641" s="297"/>
      <c r="L1641" s="312"/>
      <c r="N1641" s="297"/>
    </row>
    <row r="1642" spans="1:14" ht="15" customHeight="1" x14ac:dyDescent="0.2">
      <c r="A1642" s="403"/>
      <c r="C1642" s="404"/>
      <c r="E1642" s="308"/>
      <c r="G1642" s="297"/>
      <c r="H1642" s="297"/>
      <c r="J1642" s="297"/>
      <c r="L1642" s="312"/>
      <c r="N1642" s="297"/>
    </row>
    <row r="1643" spans="1:14" ht="15" customHeight="1" x14ac:dyDescent="0.2">
      <c r="A1643" s="403"/>
      <c r="C1643" s="404"/>
      <c r="E1643" s="308"/>
      <c r="G1643" s="297"/>
      <c r="H1643" s="297"/>
      <c r="J1643" s="297"/>
      <c r="L1643" s="312"/>
      <c r="N1643" s="297"/>
    </row>
    <row r="1644" spans="1:14" ht="15" customHeight="1" x14ac:dyDescent="0.2">
      <c r="A1644" s="403"/>
      <c r="C1644" s="404"/>
      <c r="E1644" s="308"/>
      <c r="G1644" s="297"/>
      <c r="H1644" s="297"/>
      <c r="J1644" s="297"/>
      <c r="L1644" s="312"/>
      <c r="N1644" s="297"/>
    </row>
    <row r="1645" spans="1:14" ht="15" customHeight="1" x14ac:dyDescent="0.2">
      <c r="A1645" s="403"/>
      <c r="C1645" s="404"/>
      <c r="E1645" s="308"/>
      <c r="G1645" s="297"/>
      <c r="H1645" s="297"/>
      <c r="J1645" s="297"/>
      <c r="L1645" s="312"/>
      <c r="N1645" s="297"/>
    </row>
    <row r="1646" spans="1:14" ht="15" customHeight="1" x14ac:dyDescent="0.2">
      <c r="A1646" s="403"/>
      <c r="C1646" s="404"/>
      <c r="E1646" s="308"/>
      <c r="G1646" s="297"/>
      <c r="H1646" s="297"/>
      <c r="J1646" s="297"/>
      <c r="L1646" s="312"/>
      <c r="N1646" s="297"/>
    </row>
    <row r="1647" spans="1:14" ht="15" customHeight="1" x14ac:dyDescent="0.2">
      <c r="A1647" s="403"/>
      <c r="C1647" s="404"/>
      <c r="E1647" s="308"/>
      <c r="G1647" s="297"/>
      <c r="H1647" s="297"/>
      <c r="J1647" s="297"/>
      <c r="L1647" s="312"/>
      <c r="N1647" s="297"/>
    </row>
    <row r="1648" spans="1:14" ht="15" customHeight="1" x14ac:dyDescent="0.2">
      <c r="A1648" s="403"/>
      <c r="C1648" s="404"/>
      <c r="E1648" s="308"/>
      <c r="G1648" s="297"/>
      <c r="H1648" s="297"/>
      <c r="J1648" s="297"/>
      <c r="L1648" s="312"/>
      <c r="N1648" s="297"/>
    </row>
    <row r="1649" spans="1:14" ht="15" customHeight="1" x14ac:dyDescent="0.2">
      <c r="A1649" s="403"/>
      <c r="C1649" s="404"/>
      <c r="E1649" s="308"/>
      <c r="G1649" s="297"/>
      <c r="H1649" s="297"/>
      <c r="J1649" s="297"/>
      <c r="L1649" s="312"/>
      <c r="N1649" s="297"/>
    </row>
    <row r="1650" spans="1:14" ht="15" customHeight="1" x14ac:dyDescent="0.2">
      <c r="A1650" s="403"/>
      <c r="C1650" s="404"/>
      <c r="E1650" s="308"/>
      <c r="G1650" s="297"/>
      <c r="H1650" s="297"/>
      <c r="J1650" s="297"/>
      <c r="L1650" s="312"/>
      <c r="N1650" s="297"/>
    </row>
    <row r="1651" spans="1:14" ht="15" customHeight="1" x14ac:dyDescent="0.2">
      <c r="A1651" s="403"/>
      <c r="C1651" s="404"/>
      <c r="E1651" s="308"/>
      <c r="G1651" s="297"/>
      <c r="H1651" s="297"/>
      <c r="J1651" s="297"/>
      <c r="L1651" s="312"/>
      <c r="N1651" s="297"/>
    </row>
    <row r="1652" spans="1:14" ht="15" customHeight="1" x14ac:dyDescent="0.2">
      <c r="A1652" s="403"/>
      <c r="C1652" s="404"/>
      <c r="E1652" s="308"/>
      <c r="G1652" s="297"/>
      <c r="H1652" s="297"/>
      <c r="J1652" s="297"/>
      <c r="L1652" s="312"/>
      <c r="N1652" s="297"/>
    </row>
    <row r="1653" spans="1:14" ht="15" customHeight="1" x14ac:dyDescent="0.2">
      <c r="A1653" s="403"/>
      <c r="C1653" s="404"/>
      <c r="E1653" s="308"/>
      <c r="G1653" s="297"/>
      <c r="H1653" s="297"/>
      <c r="J1653" s="297"/>
      <c r="L1653" s="312"/>
      <c r="N1653" s="297"/>
    </row>
    <row r="1654" spans="1:14" ht="15" customHeight="1" x14ac:dyDescent="0.2">
      <c r="A1654" s="403"/>
      <c r="C1654" s="404"/>
      <c r="E1654" s="308"/>
      <c r="G1654" s="297"/>
      <c r="H1654" s="297"/>
      <c r="J1654" s="297"/>
      <c r="L1654" s="312"/>
      <c r="N1654" s="297"/>
    </row>
    <row r="1655" spans="1:14" ht="15" customHeight="1" x14ac:dyDescent="0.2">
      <c r="A1655" s="403"/>
      <c r="C1655" s="404"/>
      <c r="E1655" s="308"/>
      <c r="G1655" s="297"/>
      <c r="H1655" s="297"/>
      <c r="J1655" s="297"/>
      <c r="L1655" s="312"/>
      <c r="N1655" s="297"/>
    </row>
    <row r="1656" spans="1:14" ht="15" customHeight="1" x14ac:dyDescent="0.2">
      <c r="A1656" s="403"/>
      <c r="C1656" s="404"/>
      <c r="E1656" s="308"/>
      <c r="G1656" s="297"/>
      <c r="H1656" s="297"/>
      <c r="J1656" s="297"/>
      <c r="L1656" s="312"/>
      <c r="N1656" s="297"/>
    </row>
    <row r="1657" spans="1:14" ht="15" customHeight="1" x14ac:dyDescent="0.2">
      <c r="A1657" s="403"/>
      <c r="C1657" s="404"/>
      <c r="E1657" s="308"/>
      <c r="G1657" s="297"/>
      <c r="H1657" s="297"/>
      <c r="J1657" s="297"/>
      <c r="L1657" s="312"/>
      <c r="N1657" s="297"/>
    </row>
    <row r="1658" spans="1:14" ht="15" customHeight="1" x14ac:dyDescent="0.2">
      <c r="A1658" s="403"/>
      <c r="C1658" s="404"/>
      <c r="E1658" s="308"/>
      <c r="G1658" s="297"/>
      <c r="H1658" s="297"/>
      <c r="J1658" s="297"/>
      <c r="L1658" s="312"/>
      <c r="N1658" s="297"/>
    </row>
    <row r="1659" spans="1:14" ht="15" customHeight="1" x14ac:dyDescent="0.2">
      <c r="A1659" s="403"/>
      <c r="C1659" s="404"/>
      <c r="E1659" s="308"/>
      <c r="G1659" s="297"/>
      <c r="H1659" s="297"/>
      <c r="J1659" s="297"/>
      <c r="L1659" s="312"/>
      <c r="N1659" s="297"/>
    </row>
    <row r="1660" spans="1:14" ht="15" customHeight="1" x14ac:dyDescent="0.2">
      <c r="A1660" s="403"/>
      <c r="C1660" s="404"/>
      <c r="E1660" s="308"/>
      <c r="G1660" s="297"/>
      <c r="H1660" s="297"/>
      <c r="J1660" s="297"/>
      <c r="L1660" s="312"/>
      <c r="N1660" s="297"/>
    </row>
    <row r="1661" spans="1:14" ht="15" customHeight="1" x14ac:dyDescent="0.2">
      <c r="A1661" s="403"/>
      <c r="C1661" s="404"/>
      <c r="E1661" s="308"/>
      <c r="G1661" s="297"/>
      <c r="H1661" s="297"/>
      <c r="J1661" s="297"/>
      <c r="L1661" s="312"/>
      <c r="N1661" s="297"/>
    </row>
    <row r="1662" spans="1:14" ht="15" customHeight="1" x14ac:dyDescent="0.2">
      <c r="A1662" s="403"/>
      <c r="C1662" s="404"/>
      <c r="E1662" s="308"/>
      <c r="G1662" s="297"/>
      <c r="H1662" s="297"/>
      <c r="J1662" s="297"/>
      <c r="L1662" s="312"/>
      <c r="N1662" s="297"/>
    </row>
    <row r="1663" spans="1:14" ht="15" customHeight="1" x14ac:dyDescent="0.2">
      <c r="A1663" s="403"/>
      <c r="C1663" s="404"/>
      <c r="E1663" s="308"/>
      <c r="G1663" s="297"/>
      <c r="H1663" s="297"/>
      <c r="J1663" s="297"/>
      <c r="L1663" s="312"/>
      <c r="N1663" s="297"/>
    </row>
    <row r="1664" spans="1:14" ht="15" customHeight="1" x14ac:dyDescent="0.2">
      <c r="A1664" s="403"/>
      <c r="C1664" s="404"/>
      <c r="E1664" s="308"/>
      <c r="G1664" s="297"/>
      <c r="H1664" s="297"/>
      <c r="J1664" s="297"/>
      <c r="L1664" s="312"/>
      <c r="N1664" s="297"/>
    </row>
    <row r="1665" spans="1:14" ht="15" customHeight="1" x14ac:dyDescent="0.2">
      <c r="A1665" s="403"/>
      <c r="C1665" s="404"/>
      <c r="E1665" s="308"/>
      <c r="G1665" s="297"/>
      <c r="H1665" s="297"/>
      <c r="J1665" s="297"/>
      <c r="L1665" s="312"/>
      <c r="N1665" s="297"/>
    </row>
    <row r="1666" spans="1:14" ht="15" customHeight="1" x14ac:dyDescent="0.2">
      <c r="A1666" s="403"/>
      <c r="C1666" s="404"/>
      <c r="E1666" s="308"/>
      <c r="G1666" s="297"/>
      <c r="H1666" s="297"/>
      <c r="J1666" s="297"/>
      <c r="L1666" s="312"/>
      <c r="N1666" s="297"/>
    </row>
    <row r="1667" spans="1:14" ht="15" customHeight="1" x14ac:dyDescent="0.2">
      <c r="A1667" s="403"/>
      <c r="C1667" s="404"/>
      <c r="E1667" s="308"/>
      <c r="G1667" s="297"/>
      <c r="H1667" s="297"/>
      <c r="J1667" s="297"/>
      <c r="L1667" s="312"/>
      <c r="N1667" s="297"/>
    </row>
    <row r="1668" spans="1:14" ht="15" customHeight="1" x14ac:dyDescent="0.2">
      <c r="A1668" s="403"/>
      <c r="C1668" s="404"/>
      <c r="E1668" s="308"/>
      <c r="G1668" s="297"/>
      <c r="H1668" s="297"/>
      <c r="J1668" s="297"/>
      <c r="L1668" s="312"/>
      <c r="N1668" s="297"/>
    </row>
    <row r="1669" spans="1:14" ht="15" customHeight="1" x14ac:dyDescent="0.2">
      <c r="A1669" s="403"/>
      <c r="C1669" s="404"/>
      <c r="E1669" s="308"/>
      <c r="G1669" s="297"/>
      <c r="H1669" s="297"/>
      <c r="J1669" s="297"/>
      <c r="L1669" s="312"/>
      <c r="N1669" s="297"/>
    </row>
    <row r="1670" spans="1:14" ht="15" customHeight="1" x14ac:dyDescent="0.2">
      <c r="A1670" s="403"/>
      <c r="C1670" s="404"/>
      <c r="E1670" s="308"/>
      <c r="G1670" s="297"/>
      <c r="H1670" s="297"/>
      <c r="J1670" s="297"/>
      <c r="L1670" s="312"/>
      <c r="N1670" s="297"/>
    </row>
    <row r="1671" spans="1:14" ht="15" customHeight="1" x14ac:dyDescent="0.2">
      <c r="A1671" s="403"/>
      <c r="C1671" s="404"/>
      <c r="E1671" s="308"/>
      <c r="G1671" s="297"/>
      <c r="H1671" s="297"/>
      <c r="J1671" s="297"/>
      <c r="L1671" s="312"/>
      <c r="N1671" s="297"/>
    </row>
    <row r="1672" spans="1:14" ht="15" customHeight="1" x14ac:dyDescent="0.2">
      <c r="A1672" s="403"/>
      <c r="C1672" s="404"/>
      <c r="E1672" s="308"/>
      <c r="G1672" s="297"/>
      <c r="H1672" s="297"/>
      <c r="J1672" s="297"/>
      <c r="L1672" s="312"/>
      <c r="N1672" s="297"/>
    </row>
    <row r="1673" spans="1:14" ht="15" customHeight="1" x14ac:dyDescent="0.2">
      <c r="A1673" s="403"/>
      <c r="C1673" s="404"/>
      <c r="E1673" s="308"/>
      <c r="G1673" s="297"/>
      <c r="H1673" s="297"/>
      <c r="J1673" s="297"/>
      <c r="L1673" s="312"/>
      <c r="N1673" s="297"/>
    </row>
    <row r="1674" spans="1:14" ht="15" customHeight="1" x14ac:dyDescent="0.2">
      <c r="A1674" s="403"/>
      <c r="C1674" s="404"/>
      <c r="E1674" s="308"/>
      <c r="G1674" s="297"/>
      <c r="H1674" s="297"/>
      <c r="J1674" s="297"/>
      <c r="L1674" s="312"/>
      <c r="N1674" s="297"/>
    </row>
    <row r="1675" spans="1:14" ht="15" customHeight="1" x14ac:dyDescent="0.2">
      <c r="A1675" s="403"/>
      <c r="C1675" s="404"/>
      <c r="E1675" s="308"/>
      <c r="G1675" s="297"/>
      <c r="H1675" s="297"/>
      <c r="J1675" s="297"/>
      <c r="L1675" s="312"/>
      <c r="N1675" s="297"/>
    </row>
    <row r="1676" spans="1:14" ht="15" customHeight="1" x14ac:dyDescent="0.2">
      <c r="A1676" s="403"/>
      <c r="C1676" s="404"/>
      <c r="E1676" s="308"/>
      <c r="G1676" s="297"/>
      <c r="H1676" s="297"/>
      <c r="J1676" s="297"/>
      <c r="L1676" s="312"/>
      <c r="N1676" s="297"/>
    </row>
    <row r="1677" spans="1:14" ht="15" customHeight="1" x14ac:dyDescent="0.2">
      <c r="A1677" s="403"/>
      <c r="C1677" s="404"/>
      <c r="E1677" s="308"/>
      <c r="G1677" s="297"/>
      <c r="H1677" s="297"/>
      <c r="J1677" s="297"/>
      <c r="L1677" s="312"/>
      <c r="N1677" s="297"/>
    </row>
    <row r="1678" spans="1:14" ht="15" customHeight="1" x14ac:dyDescent="0.2">
      <c r="A1678" s="403"/>
      <c r="C1678" s="404"/>
      <c r="E1678" s="308"/>
      <c r="G1678" s="297"/>
      <c r="H1678" s="297"/>
      <c r="J1678" s="297"/>
      <c r="L1678" s="312"/>
      <c r="N1678" s="297"/>
    </row>
    <row r="1679" spans="1:14" ht="15" customHeight="1" x14ac:dyDescent="0.2">
      <c r="A1679" s="403"/>
      <c r="C1679" s="404"/>
      <c r="E1679" s="308"/>
      <c r="G1679" s="297"/>
      <c r="H1679" s="297"/>
      <c r="J1679" s="297"/>
      <c r="L1679" s="312"/>
      <c r="N1679" s="297"/>
    </row>
    <row r="1680" spans="1:14" ht="15" customHeight="1" x14ac:dyDescent="0.2">
      <c r="A1680" s="403"/>
      <c r="C1680" s="404"/>
      <c r="E1680" s="308"/>
      <c r="G1680" s="297"/>
      <c r="H1680" s="297"/>
      <c r="J1680" s="297"/>
      <c r="L1680" s="312"/>
      <c r="N1680" s="297"/>
    </row>
    <row r="1681" spans="1:14" ht="15" customHeight="1" x14ac:dyDescent="0.2">
      <c r="A1681" s="403"/>
      <c r="C1681" s="404"/>
      <c r="E1681" s="308"/>
      <c r="G1681" s="297"/>
      <c r="H1681" s="297"/>
      <c r="J1681" s="297"/>
      <c r="L1681" s="312"/>
      <c r="N1681" s="297"/>
    </row>
    <row r="1682" spans="1:14" ht="15" customHeight="1" x14ac:dyDescent="0.2">
      <c r="A1682" s="403"/>
      <c r="C1682" s="404"/>
      <c r="E1682" s="308"/>
      <c r="G1682" s="297"/>
      <c r="H1682" s="297"/>
      <c r="J1682" s="297"/>
      <c r="L1682" s="312"/>
      <c r="N1682" s="297"/>
    </row>
    <row r="1683" spans="1:14" ht="15" customHeight="1" x14ac:dyDescent="0.2">
      <c r="A1683" s="403"/>
      <c r="C1683" s="404"/>
      <c r="E1683" s="308"/>
      <c r="G1683" s="297"/>
      <c r="H1683" s="297"/>
      <c r="J1683" s="297"/>
      <c r="L1683" s="312"/>
      <c r="N1683" s="297"/>
    </row>
    <row r="1684" spans="1:14" ht="15" customHeight="1" x14ac:dyDescent="0.2">
      <c r="A1684" s="403"/>
      <c r="C1684" s="404"/>
      <c r="E1684" s="308"/>
      <c r="G1684" s="297"/>
      <c r="H1684" s="297"/>
      <c r="J1684" s="297"/>
      <c r="L1684" s="312"/>
      <c r="N1684" s="297"/>
    </row>
    <row r="1685" spans="1:14" ht="15" customHeight="1" x14ac:dyDescent="0.2">
      <c r="A1685" s="403"/>
      <c r="C1685" s="404"/>
      <c r="E1685" s="308"/>
      <c r="G1685" s="297"/>
      <c r="H1685" s="297"/>
      <c r="J1685" s="297"/>
      <c r="L1685" s="312"/>
      <c r="N1685" s="297"/>
    </row>
    <row r="1686" spans="1:14" ht="15" customHeight="1" x14ac:dyDescent="0.2">
      <c r="A1686" s="403"/>
      <c r="C1686" s="404"/>
      <c r="E1686" s="308"/>
      <c r="G1686" s="297"/>
      <c r="H1686" s="297"/>
      <c r="J1686" s="297"/>
      <c r="L1686" s="312"/>
      <c r="N1686" s="297"/>
    </row>
    <row r="1687" spans="1:14" ht="15" customHeight="1" x14ac:dyDescent="0.2">
      <c r="A1687" s="403"/>
      <c r="C1687" s="404"/>
      <c r="E1687" s="308"/>
      <c r="G1687" s="297"/>
      <c r="H1687" s="297"/>
      <c r="J1687" s="297"/>
      <c r="L1687" s="312"/>
      <c r="N1687" s="297"/>
    </row>
    <row r="1688" spans="1:14" ht="15" customHeight="1" x14ac:dyDescent="0.2">
      <c r="A1688" s="403"/>
      <c r="C1688" s="404"/>
      <c r="E1688" s="308"/>
      <c r="G1688" s="297"/>
      <c r="H1688" s="297"/>
      <c r="J1688" s="297"/>
      <c r="L1688" s="312"/>
      <c r="N1688" s="297"/>
    </row>
    <row r="1689" spans="1:14" ht="15" customHeight="1" x14ac:dyDescent="0.2">
      <c r="A1689" s="403"/>
      <c r="C1689" s="404"/>
      <c r="E1689" s="308"/>
      <c r="G1689" s="297"/>
      <c r="H1689" s="297"/>
      <c r="J1689" s="297"/>
      <c r="L1689" s="312"/>
      <c r="N1689" s="297"/>
    </row>
    <row r="1690" spans="1:14" ht="15" customHeight="1" x14ac:dyDescent="0.2">
      <c r="A1690" s="403"/>
      <c r="C1690" s="404"/>
      <c r="E1690" s="308"/>
      <c r="G1690" s="297"/>
      <c r="H1690" s="297"/>
      <c r="J1690" s="297"/>
      <c r="L1690" s="312"/>
      <c r="N1690" s="297"/>
    </row>
    <row r="1691" spans="1:14" ht="15" customHeight="1" x14ac:dyDescent="0.2">
      <c r="A1691" s="403"/>
      <c r="C1691" s="404"/>
      <c r="E1691" s="308"/>
      <c r="G1691" s="297"/>
      <c r="H1691" s="297"/>
      <c r="J1691" s="297"/>
      <c r="L1691" s="312"/>
      <c r="N1691" s="297"/>
    </row>
    <row r="1692" spans="1:14" ht="15" customHeight="1" x14ac:dyDescent="0.2">
      <c r="A1692" s="403"/>
      <c r="C1692" s="404"/>
      <c r="E1692" s="308"/>
      <c r="G1692" s="297"/>
      <c r="H1692" s="297"/>
      <c r="J1692" s="297"/>
      <c r="L1692" s="312"/>
      <c r="N1692" s="297"/>
    </row>
    <row r="1693" spans="1:14" ht="15" customHeight="1" x14ac:dyDescent="0.2">
      <c r="A1693" s="403"/>
      <c r="C1693" s="404"/>
      <c r="E1693" s="308"/>
      <c r="G1693" s="297"/>
      <c r="H1693" s="297"/>
      <c r="J1693" s="297"/>
      <c r="L1693" s="312"/>
      <c r="N1693" s="297"/>
    </row>
    <row r="1694" spans="1:14" ht="15" customHeight="1" x14ac:dyDescent="0.2">
      <c r="A1694" s="403"/>
      <c r="C1694" s="404"/>
      <c r="E1694" s="308"/>
      <c r="G1694" s="297"/>
      <c r="H1694" s="297"/>
      <c r="J1694" s="297"/>
      <c r="L1694" s="312"/>
      <c r="N1694" s="297"/>
    </row>
    <row r="1695" spans="1:14" ht="15" customHeight="1" x14ac:dyDescent="0.2">
      <c r="A1695" s="403"/>
      <c r="C1695" s="404"/>
      <c r="E1695" s="308"/>
      <c r="G1695" s="297"/>
      <c r="H1695" s="297"/>
      <c r="J1695" s="297"/>
      <c r="L1695" s="312"/>
      <c r="N1695" s="297"/>
    </row>
    <row r="1696" spans="1:14" ht="15" customHeight="1" x14ac:dyDescent="0.2">
      <c r="A1696" s="403"/>
      <c r="C1696" s="404"/>
      <c r="E1696" s="308"/>
      <c r="G1696" s="297"/>
      <c r="H1696" s="297"/>
      <c r="J1696" s="297"/>
      <c r="L1696" s="312"/>
      <c r="N1696" s="297"/>
    </row>
    <row r="1697" spans="1:14" ht="15" customHeight="1" x14ac:dyDescent="0.2">
      <c r="A1697" s="403"/>
      <c r="C1697" s="404"/>
      <c r="E1697" s="308"/>
      <c r="G1697" s="297"/>
      <c r="H1697" s="297"/>
      <c r="J1697" s="297"/>
      <c r="L1697" s="312"/>
      <c r="N1697" s="297"/>
    </row>
    <row r="1698" spans="1:14" ht="15" customHeight="1" x14ac:dyDescent="0.2">
      <c r="A1698" s="403"/>
      <c r="C1698" s="404"/>
      <c r="E1698" s="308"/>
      <c r="G1698" s="297"/>
      <c r="H1698" s="297"/>
      <c r="J1698" s="297"/>
      <c r="L1698" s="312"/>
      <c r="N1698" s="297"/>
    </row>
    <row r="1699" spans="1:14" ht="15" customHeight="1" x14ac:dyDescent="0.2">
      <c r="A1699" s="403"/>
      <c r="C1699" s="404"/>
      <c r="E1699" s="308"/>
      <c r="G1699" s="297"/>
      <c r="H1699" s="297"/>
      <c r="J1699" s="297"/>
      <c r="L1699" s="312"/>
      <c r="N1699" s="297"/>
    </row>
    <row r="1700" spans="1:14" ht="15" customHeight="1" x14ac:dyDescent="0.2">
      <c r="A1700" s="403"/>
      <c r="C1700" s="404"/>
      <c r="E1700" s="308"/>
      <c r="G1700" s="297"/>
      <c r="H1700" s="297"/>
      <c r="J1700" s="297"/>
      <c r="L1700" s="312"/>
      <c r="N1700" s="297"/>
    </row>
    <row r="1701" spans="1:14" ht="15" customHeight="1" x14ac:dyDescent="0.2">
      <c r="A1701" s="403"/>
      <c r="C1701" s="404"/>
      <c r="E1701" s="308"/>
      <c r="G1701" s="297"/>
      <c r="H1701" s="297"/>
      <c r="J1701" s="297"/>
      <c r="L1701" s="312"/>
      <c r="N1701" s="297"/>
    </row>
    <row r="1702" spans="1:14" ht="15" customHeight="1" x14ac:dyDescent="0.2">
      <c r="A1702" s="403"/>
      <c r="C1702" s="404"/>
      <c r="E1702" s="308"/>
      <c r="G1702" s="297"/>
      <c r="H1702" s="297"/>
      <c r="J1702" s="297"/>
      <c r="L1702" s="312"/>
      <c r="N1702" s="297"/>
    </row>
    <row r="1703" spans="1:14" ht="15" customHeight="1" x14ac:dyDescent="0.2">
      <c r="A1703" s="403"/>
      <c r="C1703" s="404"/>
      <c r="E1703" s="308"/>
      <c r="G1703" s="297"/>
      <c r="H1703" s="297"/>
      <c r="J1703" s="297"/>
      <c r="L1703" s="312"/>
      <c r="N1703" s="297"/>
    </row>
    <row r="1704" spans="1:14" ht="15" customHeight="1" x14ac:dyDescent="0.2">
      <c r="A1704" s="403"/>
      <c r="C1704" s="404"/>
      <c r="E1704" s="308"/>
      <c r="G1704" s="297"/>
      <c r="H1704" s="297"/>
      <c r="J1704" s="297"/>
      <c r="L1704" s="312"/>
      <c r="N1704" s="297"/>
    </row>
    <row r="1705" spans="1:14" ht="15" customHeight="1" x14ac:dyDescent="0.2">
      <c r="A1705" s="403"/>
      <c r="C1705" s="404"/>
      <c r="E1705" s="308"/>
      <c r="G1705" s="297"/>
      <c r="H1705" s="297"/>
      <c r="J1705" s="297"/>
      <c r="L1705" s="312"/>
      <c r="N1705" s="297"/>
    </row>
    <row r="1706" spans="1:14" ht="15" customHeight="1" x14ac:dyDescent="0.2">
      <c r="A1706" s="403"/>
      <c r="C1706" s="404"/>
      <c r="E1706" s="308"/>
      <c r="G1706" s="297"/>
      <c r="H1706" s="297"/>
      <c r="J1706" s="297"/>
      <c r="L1706" s="312"/>
      <c r="N1706" s="297"/>
    </row>
    <row r="1707" spans="1:14" ht="15" customHeight="1" x14ac:dyDescent="0.2">
      <c r="A1707" s="403"/>
      <c r="C1707" s="404"/>
      <c r="E1707" s="308"/>
      <c r="G1707" s="297"/>
      <c r="H1707" s="297"/>
      <c r="J1707" s="297"/>
      <c r="L1707" s="312"/>
      <c r="N1707" s="297"/>
    </row>
    <row r="1708" spans="1:14" ht="15" customHeight="1" x14ac:dyDescent="0.2">
      <c r="A1708" s="403"/>
      <c r="C1708" s="404"/>
      <c r="E1708" s="308"/>
      <c r="G1708" s="297"/>
      <c r="H1708" s="297"/>
      <c r="J1708" s="297"/>
      <c r="L1708" s="312"/>
      <c r="N1708" s="297"/>
    </row>
    <row r="1709" spans="1:14" ht="15" customHeight="1" x14ac:dyDescent="0.2">
      <c r="A1709" s="403"/>
      <c r="C1709" s="404"/>
      <c r="E1709" s="308"/>
      <c r="G1709" s="297"/>
      <c r="H1709" s="297"/>
      <c r="J1709" s="297"/>
      <c r="L1709" s="312"/>
      <c r="N1709" s="297"/>
    </row>
    <row r="1710" spans="1:14" ht="15" customHeight="1" x14ac:dyDescent="0.2">
      <c r="A1710" s="403"/>
      <c r="C1710" s="404"/>
      <c r="E1710" s="308"/>
      <c r="G1710" s="297"/>
      <c r="H1710" s="297"/>
      <c r="J1710" s="297"/>
      <c r="L1710" s="312"/>
      <c r="N1710" s="297"/>
    </row>
    <row r="1711" spans="1:14" ht="15" customHeight="1" x14ac:dyDescent="0.2">
      <c r="A1711" s="403"/>
      <c r="C1711" s="404"/>
      <c r="E1711" s="308"/>
      <c r="G1711" s="297"/>
      <c r="H1711" s="297"/>
      <c r="J1711" s="297"/>
      <c r="L1711" s="312"/>
      <c r="N1711" s="297"/>
    </row>
    <row r="1712" spans="1:14" ht="15" customHeight="1" x14ac:dyDescent="0.2">
      <c r="A1712" s="403"/>
      <c r="C1712" s="404"/>
      <c r="E1712" s="308"/>
      <c r="G1712" s="297"/>
      <c r="H1712" s="297"/>
      <c r="J1712" s="297"/>
      <c r="L1712" s="312"/>
      <c r="N1712" s="297"/>
    </row>
    <row r="1713" spans="1:14" ht="15" customHeight="1" x14ac:dyDescent="0.2">
      <c r="A1713" s="403"/>
      <c r="C1713" s="404"/>
      <c r="E1713" s="308"/>
      <c r="G1713" s="297"/>
      <c r="H1713" s="297"/>
      <c r="J1713" s="297"/>
      <c r="L1713" s="312"/>
      <c r="N1713" s="297"/>
    </row>
    <row r="1714" spans="1:14" ht="15" customHeight="1" x14ac:dyDescent="0.2">
      <c r="A1714" s="403"/>
      <c r="C1714" s="404"/>
      <c r="E1714" s="308"/>
      <c r="G1714" s="297"/>
      <c r="H1714" s="297"/>
      <c r="J1714" s="297"/>
      <c r="L1714" s="312"/>
      <c r="N1714" s="297"/>
    </row>
    <row r="1715" spans="1:14" ht="15" customHeight="1" x14ac:dyDescent="0.2">
      <c r="A1715" s="403"/>
      <c r="C1715" s="404"/>
      <c r="E1715" s="308"/>
      <c r="G1715" s="297"/>
      <c r="H1715" s="297"/>
      <c r="J1715" s="297"/>
      <c r="L1715" s="312"/>
      <c r="N1715" s="297"/>
    </row>
    <row r="1716" spans="1:14" ht="15" customHeight="1" x14ac:dyDescent="0.2">
      <c r="A1716" s="403"/>
      <c r="C1716" s="404"/>
      <c r="E1716" s="308"/>
      <c r="G1716" s="297"/>
      <c r="H1716" s="297"/>
      <c r="J1716" s="297"/>
      <c r="L1716" s="312"/>
      <c r="N1716" s="297"/>
    </row>
    <row r="1717" spans="1:14" ht="15" customHeight="1" x14ac:dyDescent="0.2">
      <c r="A1717" s="403"/>
      <c r="C1717" s="404"/>
      <c r="E1717" s="308"/>
      <c r="G1717" s="297"/>
      <c r="H1717" s="297"/>
      <c r="J1717" s="297"/>
      <c r="L1717" s="312"/>
      <c r="N1717" s="297"/>
    </row>
    <row r="1718" spans="1:14" ht="15" customHeight="1" x14ac:dyDescent="0.2">
      <c r="A1718" s="403"/>
      <c r="C1718" s="404"/>
      <c r="E1718" s="308"/>
      <c r="G1718" s="297"/>
      <c r="H1718" s="297"/>
      <c r="J1718" s="297"/>
      <c r="L1718" s="312"/>
      <c r="N1718" s="297"/>
    </row>
    <row r="1719" spans="1:14" ht="15" customHeight="1" x14ac:dyDescent="0.2">
      <c r="A1719" s="403"/>
      <c r="C1719" s="404"/>
      <c r="E1719" s="308"/>
      <c r="G1719" s="297"/>
      <c r="H1719" s="297"/>
      <c r="J1719" s="297"/>
      <c r="L1719" s="312"/>
      <c r="N1719" s="297"/>
    </row>
    <row r="1720" spans="1:14" ht="15" customHeight="1" x14ac:dyDescent="0.2">
      <c r="A1720" s="403"/>
      <c r="C1720" s="404"/>
      <c r="E1720" s="308"/>
      <c r="G1720" s="297"/>
      <c r="H1720" s="297"/>
      <c r="J1720" s="297"/>
      <c r="L1720" s="312"/>
      <c r="N1720" s="297"/>
    </row>
    <row r="1721" spans="1:14" ht="15" customHeight="1" x14ac:dyDescent="0.2">
      <c r="A1721" s="403"/>
      <c r="C1721" s="404"/>
      <c r="E1721" s="308"/>
      <c r="G1721" s="297"/>
      <c r="H1721" s="297"/>
      <c r="J1721" s="297"/>
      <c r="L1721" s="312"/>
      <c r="N1721" s="297"/>
    </row>
    <row r="1722" spans="1:14" ht="15" customHeight="1" x14ac:dyDescent="0.2">
      <c r="A1722" s="403"/>
      <c r="C1722" s="404"/>
      <c r="E1722" s="308"/>
      <c r="G1722" s="297"/>
      <c r="H1722" s="297"/>
      <c r="J1722" s="297"/>
      <c r="L1722" s="312"/>
      <c r="N1722" s="297"/>
    </row>
    <row r="1723" spans="1:14" ht="15" customHeight="1" x14ac:dyDescent="0.2">
      <c r="A1723" s="403"/>
      <c r="C1723" s="404"/>
      <c r="E1723" s="308"/>
      <c r="G1723" s="297"/>
      <c r="H1723" s="297"/>
      <c r="J1723" s="297"/>
      <c r="L1723" s="312"/>
      <c r="N1723" s="297"/>
    </row>
    <row r="1724" spans="1:14" ht="15" customHeight="1" x14ac:dyDescent="0.2">
      <c r="A1724" s="403"/>
      <c r="C1724" s="404"/>
      <c r="E1724" s="308"/>
      <c r="G1724" s="297"/>
      <c r="H1724" s="297"/>
      <c r="J1724" s="297"/>
      <c r="L1724" s="312"/>
      <c r="N1724" s="297"/>
    </row>
    <row r="1725" spans="1:14" ht="15" customHeight="1" x14ac:dyDescent="0.2">
      <c r="A1725" s="403"/>
      <c r="C1725" s="404"/>
      <c r="E1725" s="308"/>
      <c r="G1725" s="297"/>
      <c r="H1725" s="297"/>
      <c r="J1725" s="297"/>
      <c r="L1725" s="312"/>
      <c r="N1725" s="297"/>
    </row>
    <row r="1726" spans="1:14" ht="15" customHeight="1" x14ac:dyDescent="0.2">
      <c r="A1726" s="403"/>
      <c r="C1726" s="404"/>
      <c r="E1726" s="308"/>
      <c r="G1726" s="297"/>
      <c r="H1726" s="297"/>
      <c r="J1726" s="297"/>
      <c r="L1726" s="312"/>
      <c r="N1726" s="297"/>
    </row>
    <row r="1727" spans="1:14" ht="15" customHeight="1" x14ac:dyDescent="0.2">
      <c r="A1727" s="403"/>
      <c r="C1727" s="404"/>
      <c r="E1727" s="308"/>
      <c r="G1727" s="297"/>
      <c r="H1727" s="297"/>
      <c r="J1727" s="297"/>
      <c r="L1727" s="312"/>
      <c r="N1727" s="297"/>
    </row>
    <row r="1728" spans="1:14" ht="15" customHeight="1" x14ac:dyDescent="0.2">
      <c r="A1728" s="403"/>
      <c r="C1728" s="404"/>
      <c r="E1728" s="308"/>
      <c r="G1728" s="297"/>
      <c r="H1728" s="297"/>
      <c r="J1728" s="297"/>
      <c r="L1728" s="312"/>
      <c r="N1728" s="297"/>
    </row>
    <row r="1729" spans="1:14" ht="15" customHeight="1" x14ac:dyDescent="0.2">
      <c r="A1729" s="403"/>
      <c r="C1729" s="404"/>
      <c r="E1729" s="308"/>
      <c r="G1729" s="297"/>
      <c r="H1729" s="297"/>
      <c r="J1729" s="297"/>
      <c r="L1729" s="312"/>
      <c r="N1729" s="297"/>
    </row>
    <row r="1730" spans="1:14" ht="15" customHeight="1" x14ac:dyDescent="0.2">
      <c r="A1730" s="403"/>
      <c r="C1730" s="404"/>
      <c r="E1730" s="308"/>
      <c r="G1730" s="297"/>
      <c r="H1730" s="297"/>
      <c r="J1730" s="297"/>
      <c r="L1730" s="312"/>
      <c r="N1730" s="297"/>
    </row>
    <row r="1731" spans="1:14" ht="15" customHeight="1" x14ac:dyDescent="0.2">
      <c r="A1731" s="403"/>
      <c r="C1731" s="404"/>
      <c r="E1731" s="308"/>
      <c r="G1731" s="297"/>
      <c r="H1731" s="297"/>
      <c r="J1731" s="297"/>
      <c r="L1731" s="312"/>
      <c r="N1731" s="297"/>
    </row>
    <row r="1732" spans="1:14" ht="15" customHeight="1" x14ac:dyDescent="0.2">
      <c r="A1732" s="403"/>
      <c r="C1732" s="404"/>
      <c r="E1732" s="308"/>
      <c r="G1732" s="297"/>
      <c r="H1732" s="297"/>
      <c r="J1732" s="297"/>
      <c r="L1732" s="312"/>
      <c r="N1732" s="297"/>
    </row>
    <row r="1733" spans="1:14" ht="15" customHeight="1" x14ac:dyDescent="0.2">
      <c r="A1733" s="403"/>
      <c r="C1733" s="404"/>
      <c r="E1733" s="308"/>
      <c r="G1733" s="297"/>
      <c r="H1733" s="297"/>
      <c r="J1733" s="297"/>
      <c r="L1733" s="312"/>
      <c r="N1733" s="297"/>
    </row>
    <row r="1734" spans="1:14" ht="15" customHeight="1" x14ac:dyDescent="0.2">
      <c r="A1734" s="403"/>
      <c r="C1734" s="404"/>
      <c r="E1734" s="308"/>
      <c r="G1734" s="297"/>
      <c r="H1734" s="297"/>
      <c r="J1734" s="297"/>
      <c r="L1734" s="312"/>
      <c r="N1734" s="297"/>
    </row>
    <row r="1735" spans="1:14" ht="15" customHeight="1" x14ac:dyDescent="0.2">
      <c r="A1735" s="403"/>
      <c r="C1735" s="404"/>
      <c r="E1735" s="308"/>
      <c r="G1735" s="297"/>
      <c r="H1735" s="297"/>
      <c r="J1735" s="297"/>
      <c r="L1735" s="312"/>
      <c r="N1735" s="297"/>
    </row>
    <row r="1736" spans="1:14" ht="15" customHeight="1" x14ac:dyDescent="0.2">
      <c r="A1736" s="403"/>
      <c r="C1736" s="404"/>
      <c r="E1736" s="308"/>
      <c r="G1736" s="297"/>
      <c r="H1736" s="297"/>
      <c r="J1736" s="297"/>
      <c r="L1736" s="312"/>
      <c r="N1736" s="297"/>
    </row>
    <row r="1737" spans="1:14" ht="15" customHeight="1" x14ac:dyDescent="0.2">
      <c r="A1737" s="403"/>
      <c r="C1737" s="404"/>
      <c r="E1737" s="308"/>
      <c r="F1737" s="407">
        <f>SUM(F1738:F1751)</f>
        <v>0</v>
      </c>
      <c r="G1737" s="297"/>
      <c r="H1737" s="297"/>
      <c r="J1737" s="297"/>
      <c r="L1737" s="312"/>
      <c r="N1737" s="297"/>
    </row>
    <row r="1738" spans="1:14" ht="15" customHeight="1" x14ac:dyDescent="0.2">
      <c r="A1738" s="403"/>
      <c r="C1738" s="404"/>
      <c r="E1738" s="308"/>
      <c r="G1738" s="297"/>
      <c r="H1738" s="297"/>
      <c r="J1738" s="297"/>
      <c r="L1738" s="312"/>
      <c r="N1738" s="297"/>
    </row>
    <row r="1739" spans="1:14" ht="15" customHeight="1" x14ac:dyDescent="0.2">
      <c r="A1739" s="403"/>
      <c r="C1739" s="404"/>
      <c r="E1739" s="308"/>
      <c r="G1739" s="297"/>
      <c r="H1739" s="297"/>
      <c r="J1739" s="297"/>
      <c r="L1739" s="312"/>
      <c r="N1739" s="297"/>
    </row>
    <row r="1740" spans="1:14" ht="15" customHeight="1" x14ac:dyDescent="0.2">
      <c r="A1740" s="403"/>
      <c r="C1740" s="404"/>
      <c r="E1740" s="308"/>
      <c r="G1740" s="297"/>
      <c r="H1740" s="297"/>
      <c r="J1740" s="297"/>
      <c r="L1740" s="312"/>
      <c r="N1740" s="297"/>
    </row>
    <row r="1741" spans="1:14" ht="15" customHeight="1" x14ac:dyDescent="0.2">
      <c r="A1741" s="403"/>
      <c r="C1741" s="404"/>
      <c r="E1741" s="308"/>
      <c r="G1741" s="297"/>
      <c r="H1741" s="297"/>
      <c r="J1741" s="297"/>
      <c r="L1741" s="312"/>
      <c r="N1741" s="297"/>
    </row>
    <row r="1742" spans="1:14" ht="15" customHeight="1" x14ac:dyDescent="0.2">
      <c r="A1742" s="403"/>
      <c r="C1742" s="404"/>
      <c r="E1742" s="308"/>
      <c r="G1742" s="297"/>
      <c r="H1742" s="297"/>
      <c r="J1742" s="297"/>
      <c r="L1742" s="312"/>
      <c r="N1742" s="297"/>
    </row>
    <row r="1743" spans="1:14" ht="15" customHeight="1" x14ac:dyDescent="0.2">
      <c r="A1743" s="403"/>
      <c r="C1743" s="404"/>
      <c r="E1743" s="308"/>
      <c r="G1743" s="297"/>
      <c r="H1743" s="297"/>
      <c r="J1743" s="297"/>
      <c r="L1743" s="312"/>
      <c r="N1743" s="297"/>
    </row>
    <row r="1744" spans="1:14" ht="15" customHeight="1" x14ac:dyDescent="0.2">
      <c r="A1744" s="403"/>
      <c r="C1744" s="404"/>
      <c r="E1744" s="308"/>
      <c r="G1744" s="297"/>
      <c r="H1744" s="297"/>
      <c r="J1744" s="297"/>
      <c r="L1744" s="312"/>
      <c r="N1744" s="297"/>
    </row>
    <row r="1745" spans="1:14" ht="15" customHeight="1" x14ac:dyDescent="0.2">
      <c r="A1745" s="403"/>
      <c r="C1745" s="404"/>
      <c r="E1745" s="308"/>
      <c r="G1745" s="297"/>
      <c r="H1745" s="297"/>
      <c r="J1745" s="297"/>
      <c r="L1745" s="312"/>
      <c r="N1745" s="297"/>
    </row>
    <row r="1746" spans="1:14" ht="15" customHeight="1" x14ac:dyDescent="0.2">
      <c r="A1746" s="403"/>
      <c r="C1746" s="404"/>
      <c r="E1746" s="308"/>
      <c r="G1746" s="297"/>
      <c r="H1746" s="297"/>
      <c r="J1746" s="297"/>
      <c r="L1746" s="312"/>
      <c r="N1746" s="297"/>
    </row>
    <row r="1747" spans="1:14" ht="15" customHeight="1" x14ac:dyDescent="0.2">
      <c r="A1747" s="403"/>
      <c r="C1747" s="404"/>
      <c r="E1747" s="308"/>
      <c r="G1747" s="297"/>
      <c r="H1747" s="297"/>
      <c r="J1747" s="297"/>
      <c r="L1747" s="312"/>
      <c r="N1747" s="297"/>
    </row>
    <row r="1748" spans="1:14" ht="15" customHeight="1" x14ac:dyDescent="0.2">
      <c r="A1748" s="403"/>
      <c r="C1748" s="404"/>
      <c r="E1748" s="308"/>
      <c r="G1748" s="297"/>
      <c r="H1748" s="297"/>
      <c r="J1748" s="297"/>
      <c r="L1748" s="312"/>
      <c r="N1748" s="297"/>
    </row>
    <row r="1749" spans="1:14" ht="15" customHeight="1" x14ac:dyDescent="0.2">
      <c r="A1749" s="403"/>
      <c r="C1749" s="404"/>
      <c r="E1749" s="308"/>
      <c r="G1749" s="297"/>
      <c r="H1749" s="297"/>
      <c r="J1749" s="297"/>
      <c r="L1749" s="312"/>
      <c r="N1749" s="297"/>
    </row>
    <row r="1750" spans="1:14" ht="15" customHeight="1" x14ac:dyDescent="0.2">
      <c r="A1750" s="403"/>
      <c r="C1750" s="404"/>
      <c r="E1750" s="308"/>
      <c r="G1750" s="297"/>
      <c r="H1750" s="297"/>
      <c r="J1750" s="297"/>
      <c r="L1750" s="312"/>
      <c r="N1750" s="297"/>
    </row>
    <row r="1751" spans="1:14" ht="15" customHeight="1" x14ac:dyDescent="0.2">
      <c r="A1751" s="403"/>
      <c r="C1751" s="404"/>
      <c r="E1751" s="308"/>
      <c r="G1751" s="297"/>
      <c r="H1751" s="297"/>
      <c r="J1751" s="297"/>
      <c r="L1751" s="312"/>
      <c r="N1751" s="297"/>
    </row>
    <row r="1752" spans="1:14" ht="15" customHeight="1" x14ac:dyDescent="0.2">
      <c r="A1752" s="403"/>
      <c r="C1752" s="404"/>
      <c r="E1752" s="308"/>
      <c r="G1752" s="297"/>
      <c r="H1752" s="297"/>
      <c r="J1752" s="297"/>
      <c r="L1752" s="312"/>
      <c r="N1752" s="297"/>
    </row>
    <row r="1753" spans="1:14" ht="15" customHeight="1" x14ac:dyDescent="0.2">
      <c r="A1753" s="403"/>
      <c r="C1753" s="404"/>
      <c r="E1753" s="308"/>
      <c r="G1753" s="297"/>
      <c r="H1753" s="297"/>
      <c r="J1753" s="297"/>
      <c r="L1753" s="312"/>
      <c r="N1753" s="297"/>
    </row>
    <row r="1754" spans="1:14" ht="15" customHeight="1" x14ac:dyDescent="0.2">
      <c r="A1754" s="403"/>
      <c r="C1754" s="404"/>
      <c r="E1754" s="308"/>
      <c r="G1754" s="297"/>
      <c r="H1754" s="297"/>
      <c r="J1754" s="297"/>
      <c r="L1754" s="312"/>
      <c r="N1754" s="297"/>
    </row>
    <row r="1755" spans="1:14" ht="15" customHeight="1" x14ac:dyDescent="0.2">
      <c r="A1755" s="403"/>
      <c r="C1755" s="404"/>
      <c r="E1755" s="308"/>
      <c r="G1755" s="297"/>
      <c r="H1755" s="297"/>
      <c r="J1755" s="297"/>
      <c r="L1755" s="312"/>
      <c r="N1755" s="297"/>
    </row>
    <row r="1756" spans="1:14" ht="15" customHeight="1" x14ac:dyDescent="0.2">
      <c r="A1756" s="403"/>
      <c r="C1756" s="404"/>
      <c r="E1756" s="308"/>
      <c r="G1756" s="297"/>
      <c r="H1756" s="297"/>
      <c r="J1756" s="297"/>
      <c r="L1756" s="312"/>
      <c r="N1756" s="297"/>
    </row>
    <row r="1757" spans="1:14" ht="15" customHeight="1" x14ac:dyDescent="0.2">
      <c r="A1757" s="403"/>
      <c r="C1757" s="404"/>
      <c r="E1757" s="308"/>
      <c r="G1757" s="297"/>
      <c r="H1757" s="297"/>
      <c r="J1757" s="297"/>
      <c r="L1757" s="312"/>
      <c r="N1757" s="297"/>
    </row>
    <row r="1758" spans="1:14" ht="15" customHeight="1" x14ac:dyDescent="0.2">
      <c r="A1758" s="403"/>
      <c r="C1758" s="404"/>
      <c r="E1758" s="308"/>
      <c r="G1758" s="297"/>
      <c r="H1758" s="297"/>
      <c r="J1758" s="297"/>
      <c r="L1758" s="312"/>
      <c r="N1758" s="297"/>
    </row>
    <row r="1759" spans="1:14" ht="15" customHeight="1" x14ac:dyDescent="0.2">
      <c r="A1759" s="403"/>
      <c r="C1759" s="404"/>
      <c r="E1759" s="308"/>
      <c r="G1759" s="297"/>
      <c r="H1759" s="297"/>
      <c r="J1759" s="297"/>
      <c r="L1759" s="312"/>
      <c r="N1759" s="297"/>
    </row>
    <row r="1760" spans="1:14" ht="15" customHeight="1" x14ac:dyDescent="0.2">
      <c r="A1760" s="403"/>
      <c r="C1760" s="404"/>
      <c r="E1760" s="308"/>
      <c r="G1760" s="297"/>
      <c r="H1760" s="297"/>
      <c r="J1760" s="297"/>
      <c r="L1760" s="312"/>
      <c r="N1760" s="297"/>
    </row>
    <row r="1761" spans="1:14" ht="15" customHeight="1" x14ac:dyDescent="0.2">
      <c r="A1761" s="403"/>
      <c r="C1761" s="404"/>
      <c r="E1761" s="308"/>
      <c r="G1761" s="297"/>
      <c r="H1761" s="297"/>
      <c r="J1761" s="297"/>
      <c r="L1761" s="312"/>
      <c r="N1761" s="297"/>
    </row>
    <row r="1762" spans="1:14" ht="15" customHeight="1" x14ac:dyDescent="0.2">
      <c r="A1762" s="403"/>
      <c r="C1762" s="404"/>
      <c r="E1762" s="308"/>
      <c r="G1762" s="297"/>
      <c r="H1762" s="297"/>
      <c r="J1762" s="297"/>
      <c r="L1762" s="312"/>
      <c r="N1762" s="297"/>
    </row>
    <row r="1763" spans="1:14" ht="15" customHeight="1" x14ac:dyDescent="0.2">
      <c r="A1763" s="403"/>
      <c r="C1763" s="404"/>
      <c r="E1763" s="308"/>
      <c r="G1763" s="297"/>
      <c r="H1763" s="297"/>
      <c r="J1763" s="297"/>
      <c r="L1763" s="312"/>
      <c r="N1763" s="297"/>
    </row>
    <row r="1764" spans="1:14" ht="15" customHeight="1" x14ac:dyDescent="0.2">
      <c r="A1764" s="403"/>
      <c r="C1764" s="404"/>
      <c r="E1764" s="308"/>
      <c r="G1764" s="297"/>
      <c r="H1764" s="297"/>
      <c r="J1764" s="297"/>
      <c r="L1764" s="312"/>
      <c r="N1764" s="297"/>
    </row>
    <row r="1765" spans="1:14" ht="15" customHeight="1" x14ac:dyDescent="0.2">
      <c r="A1765" s="403"/>
      <c r="C1765" s="404"/>
      <c r="E1765" s="308"/>
      <c r="G1765" s="297"/>
      <c r="H1765" s="297"/>
      <c r="J1765" s="297"/>
      <c r="L1765" s="312"/>
      <c r="N1765" s="297"/>
    </row>
    <row r="1766" spans="1:14" ht="15" customHeight="1" x14ac:dyDescent="0.2">
      <c r="A1766" s="403"/>
      <c r="C1766" s="404"/>
      <c r="E1766" s="308"/>
      <c r="G1766" s="297"/>
      <c r="H1766" s="297"/>
      <c r="J1766" s="297"/>
      <c r="L1766" s="312"/>
      <c r="N1766" s="297"/>
    </row>
    <row r="1767" spans="1:14" ht="15" customHeight="1" x14ac:dyDescent="0.2">
      <c r="A1767" s="403"/>
      <c r="C1767" s="404"/>
      <c r="E1767" s="308"/>
      <c r="G1767" s="297"/>
      <c r="H1767" s="297"/>
      <c r="J1767" s="297"/>
      <c r="L1767" s="312"/>
      <c r="N1767" s="297"/>
    </row>
    <row r="1768" spans="1:14" ht="15" customHeight="1" x14ac:dyDescent="0.2">
      <c r="A1768" s="403"/>
      <c r="C1768" s="404"/>
      <c r="E1768" s="308"/>
      <c r="G1768" s="297"/>
      <c r="H1768" s="297"/>
      <c r="J1768" s="297"/>
      <c r="L1768" s="312"/>
      <c r="N1768" s="297"/>
    </row>
    <row r="1769" spans="1:14" ht="15" customHeight="1" x14ac:dyDescent="0.2">
      <c r="A1769" s="403"/>
      <c r="C1769" s="404"/>
      <c r="E1769" s="308"/>
      <c r="G1769" s="297"/>
      <c r="H1769" s="297"/>
      <c r="J1769" s="297"/>
      <c r="L1769" s="312"/>
      <c r="N1769" s="297"/>
    </row>
    <row r="1770" spans="1:14" ht="15" customHeight="1" x14ac:dyDescent="0.2">
      <c r="A1770" s="403"/>
      <c r="C1770" s="404"/>
      <c r="E1770" s="308"/>
      <c r="G1770" s="297"/>
      <c r="H1770" s="297"/>
      <c r="J1770" s="297"/>
      <c r="L1770" s="312"/>
      <c r="N1770" s="297"/>
    </row>
    <row r="1771" spans="1:14" ht="15" customHeight="1" x14ac:dyDescent="0.2">
      <c r="A1771" s="403"/>
      <c r="C1771" s="404"/>
      <c r="E1771" s="308"/>
      <c r="G1771" s="297"/>
      <c r="H1771" s="297"/>
      <c r="J1771" s="297"/>
      <c r="L1771" s="312"/>
      <c r="N1771" s="297"/>
    </row>
    <row r="1772" spans="1:14" ht="15" customHeight="1" x14ac:dyDescent="0.2">
      <c r="A1772" s="403"/>
      <c r="C1772" s="404"/>
      <c r="E1772" s="308"/>
      <c r="G1772" s="297"/>
      <c r="H1772" s="297"/>
      <c r="J1772" s="297"/>
      <c r="L1772" s="312"/>
      <c r="N1772" s="297"/>
    </row>
    <row r="1773" spans="1:14" ht="15" customHeight="1" x14ac:dyDescent="0.2">
      <c r="A1773" s="403"/>
      <c r="C1773" s="404"/>
      <c r="E1773" s="308"/>
      <c r="G1773" s="297"/>
      <c r="H1773" s="297"/>
      <c r="J1773" s="297"/>
      <c r="L1773" s="312"/>
      <c r="N1773" s="297"/>
    </row>
    <row r="1774" spans="1:14" ht="15" customHeight="1" x14ac:dyDescent="0.2">
      <c r="A1774" s="403"/>
      <c r="C1774" s="404"/>
      <c r="E1774" s="308"/>
      <c r="G1774" s="297"/>
      <c r="H1774" s="297"/>
      <c r="J1774" s="297"/>
      <c r="L1774" s="312"/>
      <c r="N1774" s="297"/>
    </row>
    <row r="1775" spans="1:14" ht="15" customHeight="1" x14ac:dyDescent="0.2">
      <c r="A1775" s="403"/>
      <c r="C1775" s="404"/>
      <c r="E1775" s="308"/>
      <c r="G1775" s="297"/>
      <c r="H1775" s="297"/>
      <c r="J1775" s="297"/>
      <c r="L1775" s="312"/>
      <c r="N1775" s="297"/>
    </row>
    <row r="1776" spans="1:14" ht="15" customHeight="1" x14ac:dyDescent="0.2">
      <c r="A1776" s="403"/>
      <c r="C1776" s="404"/>
      <c r="E1776" s="308"/>
      <c r="G1776" s="297"/>
      <c r="H1776" s="297"/>
      <c r="J1776" s="297"/>
      <c r="L1776" s="312"/>
      <c r="N1776" s="297"/>
    </row>
    <row r="1777" spans="1:14" ht="15" customHeight="1" x14ac:dyDescent="0.2">
      <c r="A1777" s="403"/>
      <c r="C1777" s="404"/>
      <c r="E1777" s="308"/>
      <c r="G1777" s="297"/>
      <c r="H1777" s="297"/>
      <c r="J1777" s="297"/>
      <c r="L1777" s="312"/>
      <c r="N1777" s="297"/>
    </row>
    <row r="1778" spans="1:14" ht="15" customHeight="1" x14ac:dyDescent="0.2">
      <c r="A1778" s="403"/>
      <c r="C1778" s="404"/>
      <c r="E1778" s="308"/>
      <c r="G1778" s="297"/>
      <c r="H1778" s="297"/>
      <c r="J1778" s="297"/>
      <c r="L1778" s="312"/>
      <c r="N1778" s="297"/>
    </row>
    <row r="1779" spans="1:14" ht="15" customHeight="1" x14ac:dyDescent="0.2">
      <c r="A1779" s="403"/>
      <c r="C1779" s="404"/>
      <c r="E1779" s="308"/>
      <c r="G1779" s="297"/>
      <c r="H1779" s="297"/>
      <c r="J1779" s="297"/>
      <c r="L1779" s="312"/>
      <c r="N1779" s="297"/>
    </row>
    <row r="1780" spans="1:14" ht="15" customHeight="1" x14ac:dyDescent="0.2">
      <c r="A1780" s="403"/>
      <c r="C1780" s="404"/>
      <c r="E1780" s="308"/>
      <c r="G1780" s="297"/>
      <c r="H1780" s="297"/>
      <c r="J1780" s="297"/>
      <c r="L1780" s="312"/>
      <c r="N1780" s="297"/>
    </row>
    <row r="1781" spans="1:14" ht="15" customHeight="1" x14ac:dyDescent="0.2">
      <c r="A1781" s="403"/>
      <c r="C1781" s="404"/>
      <c r="E1781" s="308"/>
      <c r="G1781" s="297"/>
      <c r="H1781" s="297"/>
      <c r="J1781" s="297"/>
      <c r="L1781" s="312"/>
      <c r="N1781" s="297"/>
    </row>
    <row r="1782" spans="1:14" ht="15" customHeight="1" x14ac:dyDescent="0.2">
      <c r="A1782" s="403"/>
      <c r="C1782" s="404"/>
      <c r="E1782" s="308"/>
      <c r="G1782" s="297"/>
      <c r="H1782" s="297"/>
      <c r="J1782" s="297"/>
      <c r="L1782" s="312"/>
      <c r="N1782" s="297"/>
    </row>
    <row r="1783" spans="1:14" ht="15" customHeight="1" x14ac:dyDescent="0.2">
      <c r="A1783" s="403"/>
      <c r="C1783" s="404"/>
      <c r="E1783" s="308"/>
      <c r="G1783" s="297"/>
      <c r="H1783" s="297"/>
      <c r="J1783" s="297"/>
      <c r="L1783" s="312"/>
      <c r="N1783" s="297"/>
    </row>
    <row r="1784" spans="1:14" ht="15" customHeight="1" x14ac:dyDescent="0.2">
      <c r="A1784" s="403"/>
      <c r="C1784" s="404"/>
      <c r="E1784" s="308"/>
      <c r="G1784" s="297"/>
      <c r="H1784" s="297"/>
      <c r="J1784" s="297"/>
      <c r="L1784" s="312"/>
      <c r="N1784" s="297"/>
    </row>
    <row r="1785" spans="1:14" ht="15" customHeight="1" x14ac:dyDescent="0.2">
      <c r="A1785" s="403"/>
      <c r="C1785" s="404"/>
      <c r="E1785" s="308"/>
      <c r="G1785" s="297"/>
      <c r="H1785" s="297"/>
      <c r="J1785" s="297"/>
      <c r="L1785" s="312"/>
      <c r="N1785" s="297"/>
    </row>
    <row r="1786" spans="1:14" ht="15" customHeight="1" x14ac:dyDescent="0.2">
      <c r="A1786" s="403"/>
      <c r="C1786" s="404"/>
      <c r="E1786" s="308"/>
      <c r="G1786" s="297"/>
      <c r="H1786" s="297"/>
      <c r="J1786" s="297"/>
      <c r="L1786" s="312"/>
      <c r="N1786" s="297"/>
    </row>
    <row r="1787" spans="1:14" ht="15" customHeight="1" x14ac:dyDescent="0.2">
      <c r="A1787" s="403"/>
      <c r="C1787" s="404"/>
      <c r="E1787" s="308"/>
      <c r="G1787" s="297"/>
      <c r="H1787" s="297"/>
      <c r="J1787" s="297"/>
      <c r="L1787" s="312"/>
      <c r="N1787" s="297"/>
    </row>
    <row r="1788" spans="1:14" ht="15" customHeight="1" x14ac:dyDescent="0.2">
      <c r="A1788" s="403"/>
      <c r="C1788" s="404"/>
      <c r="E1788" s="308"/>
      <c r="G1788" s="297"/>
      <c r="H1788" s="297"/>
      <c r="J1788" s="297"/>
      <c r="L1788" s="312"/>
      <c r="N1788" s="297"/>
    </row>
    <row r="1789" spans="1:14" ht="15" customHeight="1" x14ac:dyDescent="0.2">
      <c r="A1789" s="403"/>
      <c r="C1789" s="404"/>
      <c r="E1789" s="308"/>
      <c r="G1789" s="297"/>
      <c r="H1789" s="297"/>
      <c r="J1789" s="297"/>
      <c r="L1789" s="312"/>
      <c r="N1789" s="297"/>
    </row>
    <row r="1790" spans="1:14" ht="15" customHeight="1" x14ac:dyDescent="0.2">
      <c r="A1790" s="403"/>
      <c r="C1790" s="404"/>
      <c r="E1790" s="308"/>
      <c r="G1790" s="297"/>
      <c r="H1790" s="297"/>
      <c r="J1790" s="297"/>
      <c r="L1790" s="312"/>
      <c r="N1790" s="297"/>
    </row>
    <row r="1791" spans="1:14" ht="15" customHeight="1" x14ac:dyDescent="0.2">
      <c r="A1791" s="403"/>
      <c r="C1791" s="404"/>
      <c r="E1791" s="308"/>
      <c r="G1791" s="297"/>
      <c r="H1791" s="297"/>
      <c r="J1791" s="297"/>
      <c r="L1791" s="312"/>
      <c r="N1791" s="297"/>
    </row>
    <row r="1792" spans="1:14" ht="15" customHeight="1" x14ac:dyDescent="0.2">
      <c r="A1792" s="403"/>
      <c r="C1792" s="404"/>
      <c r="E1792" s="308"/>
      <c r="G1792" s="297"/>
      <c r="H1792" s="297"/>
      <c r="J1792" s="297"/>
      <c r="L1792" s="312"/>
      <c r="N1792" s="297"/>
    </row>
    <row r="1793" spans="1:14" ht="15" customHeight="1" x14ac:dyDescent="0.2">
      <c r="A1793" s="403"/>
      <c r="C1793" s="404"/>
      <c r="E1793" s="308"/>
      <c r="G1793" s="297"/>
      <c r="H1793" s="297"/>
      <c r="J1793" s="297"/>
      <c r="L1793" s="312"/>
      <c r="N1793" s="297"/>
    </row>
    <row r="1794" spans="1:14" ht="15" customHeight="1" x14ac:dyDescent="0.2">
      <c r="A1794" s="403"/>
      <c r="C1794" s="404"/>
      <c r="E1794" s="308"/>
      <c r="G1794" s="297"/>
      <c r="H1794" s="297"/>
      <c r="J1794" s="297"/>
      <c r="L1794" s="312"/>
      <c r="N1794" s="297"/>
    </row>
    <row r="1795" spans="1:14" ht="15" customHeight="1" x14ac:dyDescent="0.2">
      <c r="A1795" s="403"/>
      <c r="C1795" s="404"/>
      <c r="E1795" s="308"/>
      <c r="G1795" s="297"/>
      <c r="H1795" s="297"/>
      <c r="J1795" s="297"/>
      <c r="L1795" s="312"/>
      <c r="N1795" s="297"/>
    </row>
    <row r="1796" spans="1:14" ht="15" customHeight="1" x14ac:dyDescent="0.2">
      <c r="A1796" s="403"/>
      <c r="C1796" s="404"/>
      <c r="E1796" s="308"/>
      <c r="G1796" s="297"/>
      <c r="H1796" s="297"/>
      <c r="J1796" s="297"/>
      <c r="L1796" s="312"/>
      <c r="N1796" s="297"/>
    </row>
    <row r="1797" spans="1:14" ht="15" customHeight="1" x14ac:dyDescent="0.2">
      <c r="A1797" s="403"/>
      <c r="C1797" s="404"/>
      <c r="E1797" s="308"/>
      <c r="G1797" s="297"/>
      <c r="H1797" s="297"/>
      <c r="J1797" s="297"/>
      <c r="L1797" s="312"/>
      <c r="N1797" s="297"/>
    </row>
    <row r="1798" spans="1:14" ht="15" customHeight="1" x14ac:dyDescent="0.2">
      <c r="A1798" s="403"/>
      <c r="C1798" s="404"/>
      <c r="E1798" s="308"/>
      <c r="G1798" s="297"/>
      <c r="H1798" s="297"/>
      <c r="J1798" s="297"/>
      <c r="L1798" s="312"/>
      <c r="N1798" s="297"/>
    </row>
    <row r="1799" spans="1:14" ht="15" customHeight="1" x14ac:dyDescent="0.2">
      <c r="A1799" s="403"/>
      <c r="C1799" s="404"/>
      <c r="E1799" s="308"/>
      <c r="G1799" s="297"/>
      <c r="H1799" s="297"/>
      <c r="J1799" s="297"/>
      <c r="L1799" s="312"/>
      <c r="N1799" s="297"/>
    </row>
    <row r="1800" spans="1:14" ht="15" customHeight="1" x14ac:dyDescent="0.2">
      <c r="A1800" s="403"/>
      <c r="C1800" s="404"/>
      <c r="E1800" s="308"/>
      <c r="G1800" s="297"/>
      <c r="H1800" s="297"/>
      <c r="J1800" s="297"/>
      <c r="L1800" s="312"/>
      <c r="N1800" s="297"/>
    </row>
    <row r="1801" spans="1:14" ht="15" customHeight="1" x14ac:dyDescent="0.2">
      <c r="A1801" s="403"/>
      <c r="C1801" s="404"/>
      <c r="E1801" s="308"/>
      <c r="G1801" s="297"/>
      <c r="H1801" s="297"/>
      <c r="J1801" s="297"/>
      <c r="L1801" s="312"/>
      <c r="N1801" s="297"/>
    </row>
    <row r="1802" spans="1:14" ht="15" customHeight="1" x14ac:dyDescent="0.2">
      <c r="A1802" s="403"/>
      <c r="C1802" s="404"/>
      <c r="E1802" s="308"/>
      <c r="G1802" s="297"/>
      <c r="H1802" s="297"/>
      <c r="J1802" s="297"/>
      <c r="L1802" s="312"/>
      <c r="N1802" s="297"/>
    </row>
    <row r="1803" spans="1:14" ht="15" customHeight="1" x14ac:dyDescent="0.2">
      <c r="A1803" s="403"/>
      <c r="C1803" s="404"/>
      <c r="E1803" s="308"/>
      <c r="G1803" s="297"/>
      <c r="H1803" s="297"/>
      <c r="J1803" s="297"/>
      <c r="L1803" s="312"/>
      <c r="N1803" s="297"/>
    </row>
    <row r="1804" spans="1:14" ht="15" customHeight="1" x14ac:dyDescent="0.2">
      <c r="A1804" s="403"/>
      <c r="C1804" s="404"/>
      <c r="E1804" s="308"/>
      <c r="G1804" s="297"/>
      <c r="H1804" s="297"/>
      <c r="J1804" s="297"/>
      <c r="L1804" s="312"/>
      <c r="N1804" s="297"/>
    </row>
    <row r="1805" spans="1:14" ht="15" customHeight="1" x14ac:dyDescent="0.2">
      <c r="A1805" s="403"/>
      <c r="C1805" s="404"/>
      <c r="E1805" s="308"/>
      <c r="G1805" s="297"/>
      <c r="H1805" s="297"/>
      <c r="J1805" s="297"/>
      <c r="L1805" s="312"/>
      <c r="N1805" s="297"/>
    </row>
    <row r="1806" spans="1:14" ht="15" customHeight="1" x14ac:dyDescent="0.2">
      <c r="A1806" s="403"/>
      <c r="C1806" s="404"/>
      <c r="E1806" s="308"/>
      <c r="G1806" s="297"/>
      <c r="H1806" s="297"/>
      <c r="J1806" s="297"/>
      <c r="L1806" s="312"/>
      <c r="N1806" s="297"/>
    </row>
    <row r="1807" spans="1:14" ht="15" customHeight="1" x14ac:dyDescent="0.2">
      <c r="A1807" s="403"/>
      <c r="C1807" s="404"/>
      <c r="E1807" s="308"/>
      <c r="G1807" s="297"/>
      <c r="H1807" s="297"/>
      <c r="J1807" s="297"/>
      <c r="L1807" s="312"/>
      <c r="N1807" s="297"/>
    </row>
    <row r="1808" spans="1:14" ht="15" customHeight="1" x14ac:dyDescent="0.2">
      <c r="A1808" s="403"/>
      <c r="C1808" s="404"/>
      <c r="E1808" s="308"/>
      <c r="G1808" s="297"/>
      <c r="H1808" s="297"/>
      <c r="J1808" s="297"/>
      <c r="L1808" s="312"/>
      <c r="N1808" s="297"/>
    </row>
    <row r="1809" spans="1:14" ht="15" customHeight="1" x14ac:dyDescent="0.2">
      <c r="A1809" s="403"/>
      <c r="C1809" s="404"/>
      <c r="E1809" s="308"/>
      <c r="G1809" s="297"/>
      <c r="H1809" s="297"/>
      <c r="J1809" s="297"/>
      <c r="L1809" s="312"/>
      <c r="N1809" s="297"/>
    </row>
    <row r="1810" spans="1:14" ht="15" customHeight="1" x14ac:dyDescent="0.2">
      <c r="A1810" s="403"/>
      <c r="C1810" s="404"/>
      <c r="E1810" s="308"/>
      <c r="G1810" s="297"/>
      <c r="H1810" s="297"/>
      <c r="J1810" s="297"/>
      <c r="L1810" s="312"/>
      <c r="N1810" s="297"/>
    </row>
    <row r="1811" spans="1:14" ht="15" customHeight="1" x14ac:dyDescent="0.2">
      <c r="A1811" s="403"/>
      <c r="C1811" s="404"/>
      <c r="E1811" s="308"/>
      <c r="G1811" s="297"/>
      <c r="H1811" s="297"/>
      <c r="J1811" s="297"/>
      <c r="L1811" s="312"/>
      <c r="N1811" s="297"/>
    </row>
    <row r="1812" spans="1:14" ht="15" customHeight="1" x14ac:dyDescent="0.2">
      <c r="A1812" s="403"/>
      <c r="C1812" s="404"/>
      <c r="E1812" s="308"/>
      <c r="G1812" s="297"/>
      <c r="H1812" s="297"/>
      <c r="J1812" s="297"/>
      <c r="L1812" s="312"/>
      <c r="N1812" s="297"/>
    </row>
    <row r="1813" spans="1:14" ht="15" customHeight="1" x14ac:dyDescent="0.2">
      <c r="A1813" s="403"/>
      <c r="C1813" s="404"/>
      <c r="E1813" s="308"/>
      <c r="G1813" s="297"/>
      <c r="H1813" s="297"/>
      <c r="J1813" s="297"/>
      <c r="L1813" s="312"/>
      <c r="N1813" s="297"/>
    </row>
    <row r="1814" spans="1:14" ht="15" customHeight="1" x14ac:dyDescent="0.2">
      <c r="A1814" s="403"/>
      <c r="C1814" s="404"/>
      <c r="E1814" s="308"/>
      <c r="G1814" s="297"/>
      <c r="H1814" s="297"/>
      <c r="J1814" s="297"/>
      <c r="L1814" s="312"/>
      <c r="N1814" s="297"/>
    </row>
    <row r="1815" spans="1:14" ht="15" customHeight="1" x14ac:dyDescent="0.2">
      <c r="A1815" s="403"/>
      <c r="C1815" s="404"/>
      <c r="E1815" s="308"/>
      <c r="G1815" s="297"/>
      <c r="H1815" s="297"/>
      <c r="J1815" s="297"/>
      <c r="L1815" s="312"/>
      <c r="N1815" s="297"/>
    </row>
    <row r="1816" spans="1:14" ht="15" customHeight="1" x14ac:dyDescent="0.2">
      <c r="A1816" s="403"/>
      <c r="C1816" s="404"/>
      <c r="E1816" s="308"/>
      <c r="G1816" s="297"/>
      <c r="H1816" s="297"/>
      <c r="J1816" s="297"/>
      <c r="L1816" s="312"/>
      <c r="N1816" s="297"/>
    </row>
    <row r="1817" spans="1:14" ht="15" customHeight="1" x14ac:dyDescent="0.2">
      <c r="A1817" s="403"/>
      <c r="C1817" s="404"/>
      <c r="E1817" s="308"/>
      <c r="G1817" s="297"/>
      <c r="H1817" s="297"/>
      <c r="J1817" s="297"/>
      <c r="L1817" s="312"/>
      <c r="N1817" s="297"/>
    </row>
    <row r="1818" spans="1:14" ht="15" customHeight="1" x14ac:dyDescent="0.2">
      <c r="A1818" s="403"/>
      <c r="C1818" s="404"/>
      <c r="E1818" s="308"/>
      <c r="G1818" s="297"/>
      <c r="H1818" s="297"/>
      <c r="J1818" s="297"/>
      <c r="L1818" s="312"/>
      <c r="N1818" s="297"/>
    </row>
    <row r="1819" spans="1:14" ht="15" customHeight="1" x14ac:dyDescent="0.2">
      <c r="A1819" s="403"/>
      <c r="C1819" s="404"/>
      <c r="E1819" s="308"/>
      <c r="G1819" s="297"/>
      <c r="H1819" s="297"/>
      <c r="J1819" s="297"/>
      <c r="L1819" s="312"/>
      <c r="N1819" s="297"/>
    </row>
    <row r="1820" spans="1:14" ht="15" customHeight="1" x14ac:dyDescent="0.2">
      <c r="A1820" s="403"/>
      <c r="C1820" s="404"/>
      <c r="E1820" s="308"/>
      <c r="G1820" s="297"/>
      <c r="H1820" s="297"/>
      <c r="J1820" s="297"/>
      <c r="L1820" s="312"/>
      <c r="N1820" s="297"/>
    </row>
    <row r="1821" spans="1:14" ht="15" customHeight="1" x14ac:dyDescent="0.2">
      <c r="A1821" s="403"/>
      <c r="C1821" s="404"/>
      <c r="E1821" s="308"/>
      <c r="G1821" s="297"/>
      <c r="H1821" s="297"/>
      <c r="J1821" s="297"/>
      <c r="L1821" s="312"/>
      <c r="N1821" s="297"/>
    </row>
    <row r="1822" spans="1:14" ht="15" customHeight="1" x14ac:dyDescent="0.2">
      <c r="A1822" s="403"/>
      <c r="C1822" s="404"/>
      <c r="E1822" s="308"/>
      <c r="G1822" s="297"/>
      <c r="H1822" s="297"/>
      <c r="J1822" s="297"/>
      <c r="L1822" s="312"/>
      <c r="N1822" s="297"/>
    </row>
    <row r="1823" spans="1:14" ht="15" customHeight="1" x14ac:dyDescent="0.2">
      <c r="A1823" s="403"/>
      <c r="C1823" s="404"/>
      <c r="E1823" s="308"/>
      <c r="G1823" s="297"/>
      <c r="H1823" s="297"/>
      <c r="J1823" s="297"/>
      <c r="L1823" s="312"/>
      <c r="N1823" s="297"/>
    </row>
    <row r="1824" spans="1:14" ht="15" customHeight="1" x14ac:dyDescent="0.2">
      <c r="A1824" s="403"/>
      <c r="C1824" s="404"/>
      <c r="E1824" s="308"/>
      <c r="G1824" s="297"/>
      <c r="H1824" s="297"/>
      <c r="J1824" s="297"/>
      <c r="L1824" s="312"/>
      <c r="N1824" s="297"/>
    </row>
    <row r="1825" spans="1:14" ht="15" customHeight="1" x14ac:dyDescent="0.2">
      <c r="A1825" s="403"/>
      <c r="C1825" s="404"/>
      <c r="E1825" s="308"/>
      <c r="G1825" s="297"/>
      <c r="H1825" s="297"/>
      <c r="J1825" s="297"/>
      <c r="L1825" s="312"/>
      <c r="N1825" s="297"/>
    </row>
    <row r="1826" spans="1:14" ht="15" customHeight="1" x14ac:dyDescent="0.2">
      <c r="A1826" s="403"/>
      <c r="C1826" s="404"/>
      <c r="E1826" s="308"/>
      <c r="G1826" s="297"/>
      <c r="H1826" s="297"/>
      <c r="J1826" s="297"/>
      <c r="L1826" s="312"/>
      <c r="N1826" s="297"/>
    </row>
    <row r="1827" spans="1:14" ht="15" customHeight="1" x14ac:dyDescent="0.2">
      <c r="A1827" s="403"/>
      <c r="C1827" s="404"/>
      <c r="E1827" s="308"/>
      <c r="G1827" s="297"/>
      <c r="H1827" s="297"/>
      <c r="J1827" s="297"/>
      <c r="L1827" s="312"/>
      <c r="N1827" s="297"/>
    </row>
    <row r="1828" spans="1:14" ht="15" customHeight="1" x14ac:dyDescent="0.2">
      <c r="A1828" s="403"/>
      <c r="C1828" s="404"/>
      <c r="E1828" s="308"/>
      <c r="G1828" s="297"/>
      <c r="H1828" s="297"/>
      <c r="J1828" s="297"/>
      <c r="L1828" s="312"/>
      <c r="N1828" s="297"/>
    </row>
    <row r="1829" spans="1:14" ht="15" customHeight="1" x14ac:dyDescent="0.2">
      <c r="A1829" s="403"/>
      <c r="C1829" s="404"/>
      <c r="E1829" s="308"/>
      <c r="G1829" s="297"/>
      <c r="H1829" s="297"/>
      <c r="J1829" s="297"/>
      <c r="L1829" s="312"/>
      <c r="N1829" s="297"/>
    </row>
    <row r="1830" spans="1:14" ht="15" customHeight="1" x14ac:dyDescent="0.2">
      <c r="A1830" s="403"/>
      <c r="C1830" s="404"/>
      <c r="E1830" s="308"/>
      <c r="G1830" s="297"/>
      <c r="H1830" s="297"/>
      <c r="J1830" s="297"/>
      <c r="L1830" s="312"/>
      <c r="N1830" s="297"/>
    </row>
    <row r="1831" spans="1:14" ht="15" customHeight="1" x14ac:dyDescent="0.2">
      <c r="A1831" s="403"/>
      <c r="C1831" s="404"/>
      <c r="E1831" s="308"/>
      <c r="G1831" s="297"/>
      <c r="H1831" s="297"/>
      <c r="J1831" s="297"/>
      <c r="L1831" s="312"/>
      <c r="N1831" s="297"/>
    </row>
    <row r="1832" spans="1:14" ht="15" customHeight="1" x14ac:dyDescent="0.2">
      <c r="A1832" s="403"/>
      <c r="C1832" s="404"/>
      <c r="E1832" s="308"/>
      <c r="G1832" s="297"/>
      <c r="H1832" s="297"/>
      <c r="J1832" s="297"/>
      <c r="L1832" s="312"/>
      <c r="N1832" s="297"/>
    </row>
    <row r="1833" spans="1:14" ht="15" customHeight="1" x14ac:dyDescent="0.2">
      <c r="A1833" s="403"/>
      <c r="C1833" s="404"/>
      <c r="E1833" s="308"/>
      <c r="G1833" s="297"/>
      <c r="H1833" s="297"/>
      <c r="J1833" s="297"/>
      <c r="L1833" s="312"/>
      <c r="N1833" s="297"/>
    </row>
    <row r="1834" spans="1:14" ht="15" customHeight="1" x14ac:dyDescent="0.2">
      <c r="A1834" s="403"/>
      <c r="C1834" s="404"/>
      <c r="E1834" s="308"/>
      <c r="G1834" s="297"/>
      <c r="H1834" s="297"/>
      <c r="J1834" s="297"/>
      <c r="L1834" s="312"/>
      <c r="N1834" s="297"/>
    </row>
    <row r="1835" spans="1:14" ht="15" customHeight="1" x14ac:dyDescent="0.2">
      <c r="A1835" s="403"/>
      <c r="C1835" s="404"/>
      <c r="E1835" s="308"/>
      <c r="G1835" s="297"/>
      <c r="H1835" s="297"/>
      <c r="J1835" s="297"/>
      <c r="L1835" s="312"/>
      <c r="N1835" s="297"/>
    </row>
    <row r="1836" spans="1:14" ht="15" customHeight="1" x14ac:dyDescent="0.2">
      <c r="A1836" s="403"/>
      <c r="C1836" s="404"/>
      <c r="E1836" s="308"/>
      <c r="G1836" s="297"/>
      <c r="H1836" s="297"/>
      <c r="J1836" s="297"/>
      <c r="L1836" s="312"/>
      <c r="N1836" s="297"/>
    </row>
    <row r="1837" spans="1:14" ht="15" customHeight="1" x14ac:dyDescent="0.2">
      <c r="A1837" s="403"/>
      <c r="C1837" s="404"/>
      <c r="E1837" s="308"/>
      <c r="G1837" s="297"/>
      <c r="H1837" s="297"/>
      <c r="J1837" s="297"/>
      <c r="L1837" s="312"/>
      <c r="N1837" s="297"/>
    </row>
    <row r="1838" spans="1:14" ht="15" customHeight="1" x14ac:dyDescent="0.2">
      <c r="A1838" s="403"/>
      <c r="C1838" s="404"/>
      <c r="E1838" s="308"/>
      <c r="G1838" s="297"/>
      <c r="H1838" s="297"/>
      <c r="J1838" s="297"/>
      <c r="L1838" s="312"/>
      <c r="N1838" s="297"/>
    </row>
    <row r="1839" spans="1:14" ht="15" customHeight="1" x14ac:dyDescent="0.2">
      <c r="A1839" s="403"/>
      <c r="C1839" s="404"/>
      <c r="E1839" s="308"/>
      <c r="G1839" s="297"/>
      <c r="H1839" s="297"/>
      <c r="J1839" s="297"/>
      <c r="L1839" s="312"/>
      <c r="N1839" s="297"/>
    </row>
    <row r="1840" spans="1:14" ht="15" customHeight="1" x14ac:dyDescent="0.2">
      <c r="A1840" s="403"/>
      <c r="C1840" s="404"/>
      <c r="E1840" s="308"/>
      <c r="G1840" s="297"/>
      <c r="H1840" s="297"/>
      <c r="J1840" s="297"/>
      <c r="L1840" s="312"/>
      <c r="N1840" s="297"/>
    </row>
    <row r="1841" spans="1:14" ht="15" customHeight="1" x14ac:dyDescent="0.2">
      <c r="A1841" s="403"/>
      <c r="C1841" s="404"/>
      <c r="E1841" s="308"/>
      <c r="G1841" s="297"/>
      <c r="H1841" s="297"/>
      <c r="J1841" s="297"/>
      <c r="L1841" s="312"/>
      <c r="N1841" s="297"/>
    </row>
    <row r="1842" spans="1:14" ht="15" customHeight="1" x14ac:dyDescent="0.2">
      <c r="A1842" s="403"/>
      <c r="C1842" s="404"/>
      <c r="E1842" s="308"/>
      <c r="G1842" s="297"/>
      <c r="H1842" s="297"/>
      <c r="J1842" s="297"/>
      <c r="L1842" s="312"/>
      <c r="N1842" s="297"/>
    </row>
    <row r="1843" spans="1:14" ht="15" customHeight="1" x14ac:dyDescent="0.2">
      <c r="A1843" s="403"/>
      <c r="C1843" s="404"/>
      <c r="E1843" s="308"/>
      <c r="G1843" s="297"/>
      <c r="H1843" s="297"/>
      <c r="J1843" s="297"/>
      <c r="L1843" s="312"/>
      <c r="N1843" s="297"/>
    </row>
    <row r="1844" spans="1:14" ht="15" customHeight="1" x14ac:dyDescent="0.2">
      <c r="A1844" s="403"/>
      <c r="C1844" s="404"/>
      <c r="E1844" s="308"/>
      <c r="G1844" s="297"/>
      <c r="H1844" s="297"/>
      <c r="J1844" s="297"/>
      <c r="L1844" s="312"/>
      <c r="N1844" s="297"/>
    </row>
    <row r="1845" spans="1:14" ht="15" customHeight="1" x14ac:dyDescent="0.2">
      <c r="A1845" s="403"/>
      <c r="C1845" s="404"/>
      <c r="E1845" s="308"/>
      <c r="G1845" s="297"/>
      <c r="H1845" s="297"/>
      <c r="J1845" s="297"/>
      <c r="L1845" s="312"/>
      <c r="N1845" s="297"/>
    </row>
    <row r="1846" spans="1:14" ht="15" customHeight="1" x14ac:dyDescent="0.2">
      <c r="A1846" s="403"/>
      <c r="C1846" s="404"/>
      <c r="E1846" s="308"/>
      <c r="G1846" s="297"/>
      <c r="H1846" s="297"/>
      <c r="J1846" s="297"/>
      <c r="L1846" s="312"/>
      <c r="N1846" s="297"/>
    </row>
    <row r="1847" spans="1:14" ht="15" customHeight="1" x14ac:dyDescent="0.2">
      <c r="A1847" s="403"/>
      <c r="C1847" s="404"/>
      <c r="E1847" s="308"/>
      <c r="G1847" s="297"/>
      <c r="H1847" s="297"/>
      <c r="J1847" s="297"/>
      <c r="L1847" s="312"/>
      <c r="N1847" s="297"/>
    </row>
    <row r="1848" spans="1:14" ht="15" customHeight="1" x14ac:dyDescent="0.2">
      <c r="A1848" s="403"/>
      <c r="C1848" s="404"/>
      <c r="E1848" s="308"/>
      <c r="G1848" s="297"/>
      <c r="H1848" s="297"/>
      <c r="J1848" s="297"/>
      <c r="L1848" s="312"/>
      <c r="N1848" s="297"/>
    </row>
    <row r="1849" spans="1:14" ht="15" customHeight="1" x14ac:dyDescent="0.2">
      <c r="A1849" s="403"/>
      <c r="C1849" s="404"/>
      <c r="E1849" s="308"/>
      <c r="G1849" s="297"/>
      <c r="H1849" s="297"/>
      <c r="J1849" s="297"/>
      <c r="L1849" s="312"/>
      <c r="N1849" s="297"/>
    </row>
    <row r="1850" spans="1:14" ht="15" customHeight="1" x14ac:dyDescent="0.2">
      <c r="A1850" s="403"/>
      <c r="C1850" s="404"/>
      <c r="E1850" s="308"/>
      <c r="G1850" s="297"/>
      <c r="H1850" s="297"/>
      <c r="J1850" s="297"/>
      <c r="L1850" s="312"/>
      <c r="N1850" s="297"/>
    </row>
    <row r="1851" spans="1:14" ht="15" customHeight="1" x14ac:dyDescent="0.2">
      <c r="A1851" s="403"/>
      <c r="C1851" s="404"/>
      <c r="E1851" s="308"/>
      <c r="G1851" s="297"/>
      <c r="H1851" s="297"/>
      <c r="J1851" s="297"/>
      <c r="L1851" s="312"/>
      <c r="N1851" s="297"/>
    </row>
    <row r="1852" spans="1:14" ht="15" customHeight="1" x14ac:dyDescent="0.2">
      <c r="A1852" s="403"/>
      <c r="C1852" s="404"/>
      <c r="E1852" s="308"/>
      <c r="G1852" s="297"/>
      <c r="H1852" s="297"/>
      <c r="J1852" s="297"/>
      <c r="L1852" s="312"/>
      <c r="N1852" s="297"/>
    </row>
    <row r="1853" spans="1:14" ht="15" customHeight="1" x14ac:dyDescent="0.2">
      <c r="A1853" s="403"/>
      <c r="C1853" s="404"/>
      <c r="E1853" s="308"/>
      <c r="G1853" s="297"/>
      <c r="H1853" s="297"/>
      <c r="J1853" s="297"/>
      <c r="L1853" s="312"/>
      <c r="N1853" s="297"/>
    </row>
    <row r="1854" spans="1:14" ht="15" customHeight="1" x14ac:dyDescent="0.2">
      <c r="A1854" s="403"/>
      <c r="C1854" s="404"/>
      <c r="E1854" s="308"/>
      <c r="G1854" s="297"/>
      <c r="H1854" s="297"/>
      <c r="J1854" s="297"/>
      <c r="L1854" s="312"/>
      <c r="N1854" s="297"/>
    </row>
    <row r="1855" spans="1:14" ht="15" customHeight="1" x14ac:dyDescent="0.2">
      <c r="A1855" s="403"/>
      <c r="C1855" s="404"/>
      <c r="E1855" s="308"/>
      <c r="G1855" s="297"/>
      <c r="H1855" s="297"/>
      <c r="J1855" s="297"/>
      <c r="L1855" s="312"/>
      <c r="N1855" s="297"/>
    </row>
    <row r="1856" spans="1:14" ht="15" customHeight="1" x14ac:dyDescent="0.2">
      <c r="A1856" s="403"/>
      <c r="C1856" s="404"/>
      <c r="E1856" s="308"/>
      <c r="G1856" s="297"/>
      <c r="H1856" s="297"/>
      <c r="J1856" s="297"/>
      <c r="L1856" s="312"/>
      <c r="N1856" s="297"/>
    </row>
    <row r="1857" spans="1:14" ht="15" customHeight="1" x14ac:dyDescent="0.2">
      <c r="A1857" s="403"/>
      <c r="C1857" s="404"/>
      <c r="E1857" s="308"/>
      <c r="G1857" s="297"/>
      <c r="H1857" s="297"/>
      <c r="J1857" s="297"/>
      <c r="L1857" s="312"/>
      <c r="N1857" s="297"/>
    </row>
    <row r="1858" spans="1:14" ht="15" customHeight="1" x14ac:dyDescent="0.2">
      <c r="A1858" s="403"/>
      <c r="C1858" s="404"/>
      <c r="E1858" s="308"/>
      <c r="G1858" s="297"/>
      <c r="H1858" s="297"/>
      <c r="J1858" s="297"/>
      <c r="L1858" s="312"/>
      <c r="N1858" s="297"/>
    </row>
    <row r="1859" spans="1:14" ht="15" customHeight="1" x14ac:dyDescent="0.2">
      <c r="A1859" s="403"/>
      <c r="C1859" s="404"/>
      <c r="E1859" s="308"/>
      <c r="G1859" s="297"/>
      <c r="H1859" s="297"/>
      <c r="J1859" s="297"/>
      <c r="L1859" s="312"/>
      <c r="N1859" s="297"/>
    </row>
    <row r="1860" spans="1:14" ht="15" customHeight="1" x14ac:dyDescent="0.2">
      <c r="A1860" s="403"/>
      <c r="C1860" s="404"/>
      <c r="E1860" s="308"/>
      <c r="G1860" s="297"/>
      <c r="H1860" s="297"/>
      <c r="J1860" s="297"/>
      <c r="L1860" s="312"/>
      <c r="N1860" s="297"/>
    </row>
    <row r="1861" spans="1:14" ht="15" customHeight="1" x14ac:dyDescent="0.2">
      <c r="A1861" s="403"/>
      <c r="C1861" s="404"/>
      <c r="E1861" s="308"/>
      <c r="G1861" s="297"/>
      <c r="H1861" s="297"/>
      <c r="J1861" s="297"/>
      <c r="L1861" s="312"/>
      <c r="N1861" s="297"/>
    </row>
    <row r="1862" spans="1:14" ht="15" customHeight="1" x14ac:dyDescent="0.2">
      <c r="A1862" s="403"/>
      <c r="C1862" s="404"/>
      <c r="E1862" s="308"/>
      <c r="G1862" s="297"/>
      <c r="H1862" s="297"/>
      <c r="J1862" s="297"/>
      <c r="L1862" s="312"/>
      <c r="N1862" s="297"/>
    </row>
    <row r="1863" spans="1:14" ht="15" customHeight="1" x14ac:dyDescent="0.2">
      <c r="A1863" s="403"/>
      <c r="C1863" s="404"/>
      <c r="E1863" s="308"/>
      <c r="G1863" s="297"/>
      <c r="H1863" s="297"/>
      <c r="J1863" s="297"/>
      <c r="L1863" s="312"/>
      <c r="N1863" s="297"/>
    </row>
    <row r="1864" spans="1:14" ht="15" customHeight="1" x14ac:dyDescent="0.2">
      <c r="A1864" s="403"/>
      <c r="C1864" s="404"/>
      <c r="E1864" s="308"/>
      <c r="G1864" s="297"/>
      <c r="H1864" s="297"/>
      <c r="J1864" s="297"/>
      <c r="L1864" s="312"/>
      <c r="N1864" s="297"/>
    </row>
    <row r="1865" spans="1:14" ht="15" customHeight="1" x14ac:dyDescent="0.2">
      <c r="A1865" s="403"/>
      <c r="C1865" s="404"/>
      <c r="E1865" s="308"/>
      <c r="G1865" s="297"/>
      <c r="H1865" s="297"/>
      <c r="J1865" s="297"/>
      <c r="L1865" s="312"/>
      <c r="N1865" s="297"/>
    </row>
    <row r="1866" spans="1:14" ht="15" customHeight="1" x14ac:dyDescent="0.2">
      <c r="A1866" s="403"/>
      <c r="C1866" s="404"/>
      <c r="E1866" s="308"/>
      <c r="G1866" s="297"/>
      <c r="H1866" s="297"/>
      <c r="J1866" s="297"/>
      <c r="L1866" s="312"/>
      <c r="N1866" s="297"/>
    </row>
    <row r="1867" spans="1:14" ht="15" customHeight="1" x14ac:dyDescent="0.2">
      <c r="A1867" s="403"/>
      <c r="C1867" s="404"/>
      <c r="E1867" s="308"/>
      <c r="G1867" s="297"/>
      <c r="H1867" s="297"/>
      <c r="J1867" s="297"/>
      <c r="L1867" s="312"/>
      <c r="N1867" s="297"/>
    </row>
    <row r="1868" spans="1:14" ht="15" customHeight="1" x14ac:dyDescent="0.2">
      <c r="A1868" s="403"/>
      <c r="C1868" s="404"/>
      <c r="E1868" s="308"/>
      <c r="G1868" s="297"/>
      <c r="H1868" s="297"/>
      <c r="J1868" s="297"/>
      <c r="L1868" s="312"/>
      <c r="N1868" s="297"/>
    </row>
    <row r="1869" spans="1:14" ht="15" customHeight="1" x14ac:dyDescent="0.2">
      <c r="A1869" s="403"/>
      <c r="C1869" s="404"/>
      <c r="E1869" s="308"/>
      <c r="G1869" s="297"/>
      <c r="H1869" s="297"/>
      <c r="J1869" s="297"/>
      <c r="L1869" s="312"/>
      <c r="N1869" s="297"/>
    </row>
    <row r="1870" spans="1:14" ht="15" customHeight="1" x14ac:dyDescent="0.2">
      <c r="A1870" s="403"/>
      <c r="C1870" s="404"/>
      <c r="E1870" s="308"/>
      <c r="G1870" s="297"/>
      <c r="H1870" s="297"/>
      <c r="J1870" s="297"/>
      <c r="L1870" s="312"/>
      <c r="N1870" s="297"/>
    </row>
    <row r="1871" spans="1:14" ht="15" customHeight="1" x14ac:dyDescent="0.2">
      <c r="A1871" s="403"/>
      <c r="C1871" s="404"/>
      <c r="E1871" s="308"/>
      <c r="G1871" s="297"/>
      <c r="H1871" s="297"/>
      <c r="J1871" s="297"/>
      <c r="L1871" s="312"/>
      <c r="N1871" s="297"/>
    </row>
    <row r="1872" spans="1:14" ht="15" customHeight="1" x14ac:dyDescent="0.2">
      <c r="A1872" s="403"/>
      <c r="C1872" s="404"/>
      <c r="E1872" s="308"/>
      <c r="G1872" s="297"/>
      <c r="H1872" s="297"/>
      <c r="J1872" s="297"/>
      <c r="L1872" s="312"/>
      <c r="N1872" s="297"/>
    </row>
    <row r="1873" spans="1:14" ht="15" customHeight="1" x14ac:dyDescent="0.2">
      <c r="A1873" s="403"/>
      <c r="C1873" s="404"/>
      <c r="E1873" s="308"/>
      <c r="G1873" s="297"/>
      <c r="H1873" s="297"/>
      <c r="J1873" s="297"/>
      <c r="L1873" s="312"/>
      <c r="N1873" s="297"/>
    </row>
    <row r="1874" spans="1:14" ht="15" customHeight="1" x14ac:dyDescent="0.2">
      <c r="A1874" s="403"/>
      <c r="C1874" s="404"/>
      <c r="E1874" s="308"/>
      <c r="G1874" s="297"/>
      <c r="H1874" s="297"/>
      <c r="J1874" s="297"/>
      <c r="L1874" s="312"/>
      <c r="N1874" s="297"/>
    </row>
    <row r="1875" spans="1:14" ht="15" customHeight="1" x14ac:dyDescent="0.2">
      <c r="A1875" s="403"/>
      <c r="C1875" s="404"/>
      <c r="E1875" s="308"/>
      <c r="G1875" s="297"/>
      <c r="H1875" s="297"/>
      <c r="J1875" s="297"/>
      <c r="L1875" s="312"/>
      <c r="N1875" s="297"/>
    </row>
    <row r="1876" spans="1:14" ht="15" customHeight="1" x14ac:dyDescent="0.2">
      <c r="A1876" s="403"/>
      <c r="C1876" s="404"/>
      <c r="E1876" s="308"/>
      <c r="G1876" s="297"/>
      <c r="H1876" s="297"/>
      <c r="J1876" s="297"/>
      <c r="L1876" s="312"/>
      <c r="N1876" s="297"/>
    </row>
    <row r="1877" spans="1:14" ht="15" customHeight="1" x14ac:dyDescent="0.2">
      <c r="A1877" s="403"/>
      <c r="C1877" s="404"/>
      <c r="E1877" s="308"/>
      <c r="G1877" s="297"/>
      <c r="H1877" s="297"/>
      <c r="J1877" s="297"/>
      <c r="L1877" s="312"/>
      <c r="N1877" s="297"/>
    </row>
    <row r="1878" spans="1:14" ht="15" customHeight="1" x14ac:dyDescent="0.2">
      <c r="A1878" s="403"/>
      <c r="C1878" s="404"/>
      <c r="E1878" s="308"/>
      <c r="G1878" s="297"/>
      <c r="H1878" s="297"/>
      <c r="J1878" s="297"/>
      <c r="L1878" s="312"/>
      <c r="N1878" s="297"/>
    </row>
    <row r="1879" spans="1:14" ht="15" customHeight="1" x14ac:dyDescent="0.2">
      <c r="A1879" s="403"/>
      <c r="C1879" s="404"/>
      <c r="E1879" s="308"/>
      <c r="G1879" s="297"/>
      <c r="H1879" s="297"/>
      <c r="J1879" s="297"/>
      <c r="L1879" s="312"/>
      <c r="N1879" s="297"/>
    </row>
    <row r="1880" spans="1:14" ht="15" customHeight="1" x14ac:dyDescent="0.2">
      <c r="A1880" s="403"/>
      <c r="C1880" s="404"/>
      <c r="E1880" s="308"/>
      <c r="G1880" s="297"/>
      <c r="H1880" s="297"/>
      <c r="J1880" s="297"/>
      <c r="L1880" s="312"/>
      <c r="N1880" s="297"/>
    </row>
    <row r="1881" spans="1:14" ht="15" customHeight="1" x14ac:dyDescent="0.2">
      <c r="A1881" s="403"/>
      <c r="C1881" s="404"/>
      <c r="E1881" s="308"/>
      <c r="G1881" s="297"/>
      <c r="H1881" s="297"/>
      <c r="J1881" s="297"/>
      <c r="L1881" s="312"/>
      <c r="N1881" s="297"/>
    </row>
    <row r="1882" spans="1:14" ht="15" customHeight="1" x14ac:dyDescent="0.2">
      <c r="A1882" s="403"/>
      <c r="C1882" s="404"/>
      <c r="E1882" s="308"/>
      <c r="G1882" s="297"/>
      <c r="H1882" s="297"/>
      <c r="J1882" s="297"/>
      <c r="L1882" s="312"/>
      <c r="N1882" s="297"/>
    </row>
    <row r="1883" spans="1:14" ht="15" customHeight="1" x14ac:dyDescent="0.2">
      <c r="A1883" s="403"/>
      <c r="C1883" s="404"/>
      <c r="E1883" s="308"/>
      <c r="G1883" s="297"/>
      <c r="H1883" s="297"/>
      <c r="J1883" s="297"/>
      <c r="L1883" s="312"/>
      <c r="N1883" s="297"/>
    </row>
    <row r="1884" spans="1:14" ht="15" customHeight="1" x14ac:dyDescent="0.2">
      <c r="A1884" s="403"/>
      <c r="C1884" s="404"/>
      <c r="E1884" s="308"/>
      <c r="G1884" s="297"/>
      <c r="H1884" s="297"/>
      <c r="J1884" s="297"/>
      <c r="L1884" s="312"/>
      <c r="N1884" s="297"/>
    </row>
    <row r="1885" spans="1:14" ht="15" customHeight="1" x14ac:dyDescent="0.2">
      <c r="A1885" s="403"/>
      <c r="C1885" s="404"/>
      <c r="E1885" s="308"/>
      <c r="G1885" s="297"/>
      <c r="H1885" s="297"/>
      <c r="J1885" s="297"/>
      <c r="L1885" s="312"/>
      <c r="N1885" s="297"/>
    </row>
    <row r="1886" spans="1:14" ht="15" customHeight="1" x14ac:dyDescent="0.2">
      <c r="A1886" s="403"/>
      <c r="C1886" s="404"/>
      <c r="E1886" s="308"/>
      <c r="G1886" s="297"/>
      <c r="H1886" s="297"/>
      <c r="J1886" s="297"/>
      <c r="L1886" s="312"/>
      <c r="N1886" s="297"/>
    </row>
    <row r="1887" spans="1:14" ht="15" customHeight="1" x14ac:dyDescent="0.2">
      <c r="A1887" s="403"/>
      <c r="C1887" s="404"/>
      <c r="E1887" s="308"/>
      <c r="G1887" s="297"/>
      <c r="H1887" s="297"/>
      <c r="J1887" s="297"/>
      <c r="L1887" s="312"/>
      <c r="N1887" s="297"/>
    </row>
    <row r="1888" spans="1:14" ht="15" customHeight="1" x14ac:dyDescent="0.2">
      <c r="A1888" s="403"/>
      <c r="C1888" s="404"/>
      <c r="E1888" s="308"/>
      <c r="G1888" s="297"/>
      <c r="H1888" s="297"/>
      <c r="J1888" s="297"/>
      <c r="L1888" s="312"/>
      <c r="N1888" s="297"/>
    </row>
    <row r="1889" spans="1:14" ht="15" customHeight="1" x14ac:dyDescent="0.2">
      <c r="A1889" s="403"/>
      <c r="C1889" s="404"/>
      <c r="E1889" s="308"/>
      <c r="G1889" s="297"/>
      <c r="H1889" s="297"/>
      <c r="J1889" s="297"/>
      <c r="L1889" s="312"/>
      <c r="N1889" s="297"/>
    </row>
    <row r="1890" spans="1:14" ht="15" customHeight="1" x14ac:dyDescent="0.2">
      <c r="A1890" s="403"/>
      <c r="C1890" s="404"/>
      <c r="E1890" s="308"/>
      <c r="G1890" s="297"/>
      <c r="H1890" s="297"/>
      <c r="J1890" s="297"/>
      <c r="L1890" s="312"/>
      <c r="N1890" s="297"/>
    </row>
    <row r="1891" spans="1:14" ht="15" customHeight="1" x14ac:dyDescent="0.2">
      <c r="A1891" s="403"/>
      <c r="C1891" s="404"/>
      <c r="E1891" s="308"/>
      <c r="G1891" s="297"/>
      <c r="H1891" s="297"/>
      <c r="J1891" s="297"/>
      <c r="L1891" s="312"/>
      <c r="N1891" s="297"/>
    </row>
    <row r="1892" spans="1:14" ht="15" customHeight="1" x14ac:dyDescent="0.2">
      <c r="A1892" s="403"/>
      <c r="C1892" s="404"/>
      <c r="E1892" s="308"/>
      <c r="G1892" s="297"/>
      <c r="H1892" s="297"/>
      <c r="J1892" s="297"/>
      <c r="L1892" s="312"/>
      <c r="N1892" s="297"/>
    </row>
    <row r="1893" spans="1:14" ht="15" customHeight="1" x14ac:dyDescent="0.2">
      <c r="A1893" s="403"/>
      <c r="C1893" s="404"/>
      <c r="E1893" s="308"/>
      <c r="G1893" s="297"/>
      <c r="H1893" s="297"/>
      <c r="J1893" s="297"/>
      <c r="L1893" s="312"/>
      <c r="N1893" s="297"/>
    </row>
    <row r="1894" spans="1:14" ht="15" customHeight="1" x14ac:dyDescent="0.2">
      <c r="A1894" s="403"/>
      <c r="C1894" s="404"/>
      <c r="E1894" s="308"/>
      <c r="G1894" s="297"/>
      <c r="H1894" s="297"/>
      <c r="J1894" s="297"/>
      <c r="L1894" s="312"/>
      <c r="N1894" s="297"/>
    </row>
    <row r="1895" spans="1:14" ht="15" customHeight="1" x14ac:dyDescent="0.2">
      <c r="A1895" s="403"/>
      <c r="B1895" s="396"/>
      <c r="C1895" s="404"/>
      <c r="E1895" s="308"/>
      <c r="G1895" s="297"/>
      <c r="H1895" s="297"/>
      <c r="I1895" s="401"/>
      <c r="J1895" s="297"/>
      <c r="K1895" s="401"/>
      <c r="L1895" s="312"/>
      <c r="M1895" s="402"/>
      <c r="N1895" s="297"/>
    </row>
    <row r="1896" spans="1:14" ht="15" customHeight="1" x14ac:dyDescent="0.2">
      <c r="A1896" s="408"/>
      <c r="B1896" s="409"/>
      <c r="C1896" s="410"/>
      <c r="D1896" s="411"/>
      <c r="E1896" s="412"/>
      <c r="F1896" s="413"/>
      <c r="G1896" s="414"/>
      <c r="H1896" s="414"/>
      <c r="I1896" s="415"/>
      <c r="J1896" s="414"/>
      <c r="K1896" s="415"/>
      <c r="L1896" s="416"/>
      <c r="M1896" s="417"/>
      <c r="N1896" s="414"/>
    </row>
  </sheetData>
  <mergeCells count="7">
    <mergeCell ref="P350:R350"/>
    <mergeCell ref="A1:F1"/>
    <mergeCell ref="A2:F2"/>
    <mergeCell ref="A5:A6"/>
    <mergeCell ref="B5:B6"/>
    <mergeCell ref="C5:D6"/>
    <mergeCell ref="E5:E6"/>
  </mergeCells>
  <printOptions horizontalCentered="1"/>
  <pageMargins left="0.43307086614173229" right="0.11811023622047245" top="0.39370078740157483" bottom="0.23622047244094491" header="0.15748031496062992" footer="0.15748031496062992"/>
  <pageSetup paperSize="9" scale="67" fitToHeight="0" orientation="portrait" r:id="rId1"/>
  <colBreaks count="1" manualBreakCount="1">
    <brk id="6" max="37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0000"/>
  </sheetPr>
  <dimension ref="A1:N1724"/>
  <sheetViews>
    <sheetView view="pageBreakPreview" zoomScale="90" zoomScaleSheetLayoutView="90" workbookViewId="0">
      <pane ySplit="1680" topLeftCell="A7" activePane="bottomLeft"/>
      <selection activeCell="F6" sqref="F5:F6"/>
      <selection pane="bottomLeft" activeCell="E14" sqref="E14"/>
    </sheetView>
  </sheetViews>
  <sheetFormatPr defaultRowHeight="12.75" x14ac:dyDescent="0.2"/>
  <cols>
    <col min="1" max="1" width="6.140625" style="294" customWidth="1"/>
    <col min="2" max="2" width="86.140625" style="191" customWidth="1"/>
    <col min="3" max="3" width="11.28515625" style="206" customWidth="1"/>
    <col min="4" max="4" width="8.42578125" style="192" customWidth="1"/>
    <col min="5" max="5" width="14.28515625" style="183" customWidth="1"/>
    <col min="6" max="6" width="18.42578125" style="193" customWidth="1"/>
    <col min="7" max="7" width="11.5703125" style="61" hidden="1" customWidth="1"/>
    <col min="8" max="8" width="53.28515625" style="61" hidden="1" customWidth="1"/>
    <col min="9" max="10" width="0" style="61" hidden="1" customWidth="1"/>
    <col min="11" max="11" width="17.140625" style="61" hidden="1" customWidth="1"/>
    <col min="12" max="12" width="21.28515625" style="62" hidden="1" customWidth="1"/>
    <col min="13" max="13" width="14" style="62" hidden="1" customWidth="1"/>
    <col min="14" max="14" width="9.5703125" style="61" hidden="1" customWidth="1"/>
    <col min="15" max="15" width="9.85546875" style="61" bestFit="1" customWidth="1"/>
    <col min="16" max="16384" width="9.140625" style="61"/>
  </cols>
  <sheetData>
    <row r="1" spans="1:14" x14ac:dyDescent="0.2">
      <c r="A1" s="2070" t="s">
        <v>2288</v>
      </c>
      <c r="B1" s="2070"/>
      <c r="C1" s="2070"/>
      <c r="D1" s="2070"/>
      <c r="E1" s="2070"/>
      <c r="F1" s="2070"/>
    </row>
    <row r="2" spans="1:14" x14ac:dyDescent="0.2">
      <c r="A2" s="2071" t="s">
        <v>1153</v>
      </c>
      <c r="B2" s="2071"/>
      <c r="C2" s="2071"/>
      <c r="D2" s="2071"/>
      <c r="E2" s="2071"/>
      <c r="F2" s="2071"/>
      <c r="N2" s="70"/>
    </row>
    <row r="3" spans="1:14" ht="15" customHeight="1" x14ac:dyDescent="0.2">
      <c r="A3" s="67"/>
      <c r="B3" s="67"/>
      <c r="C3" s="67"/>
      <c r="D3" s="67"/>
      <c r="E3" s="68"/>
      <c r="F3" s="67"/>
      <c r="N3" s="70"/>
    </row>
    <row r="4" spans="1:14" ht="13.5" thickBot="1" x14ac:dyDescent="0.25">
      <c r="A4" s="67"/>
      <c r="B4" s="67"/>
      <c r="C4" s="67"/>
      <c r="D4" s="67"/>
      <c r="E4" s="68"/>
      <c r="F4" s="67"/>
      <c r="N4" s="70"/>
    </row>
    <row r="5" spans="1:14" s="80" customFormat="1" ht="15" customHeight="1" x14ac:dyDescent="0.25">
      <c r="A5" s="2098" t="s">
        <v>1</v>
      </c>
      <c r="B5" s="2100" t="s">
        <v>850</v>
      </c>
      <c r="C5" s="2102" t="s">
        <v>2</v>
      </c>
      <c r="D5" s="2103"/>
      <c r="E5" s="2106" t="s">
        <v>851</v>
      </c>
      <c r="F5" s="2131" t="s">
        <v>852</v>
      </c>
      <c r="J5" s="500"/>
      <c r="L5" s="501"/>
      <c r="M5" s="81"/>
      <c r="N5" s="500"/>
    </row>
    <row r="6" spans="1:14" s="80" customFormat="1" ht="15" customHeight="1" thickBot="1" x14ac:dyDescent="0.3">
      <c r="A6" s="2099"/>
      <c r="B6" s="2101"/>
      <c r="C6" s="2104"/>
      <c r="D6" s="2105"/>
      <c r="E6" s="2107"/>
      <c r="F6" s="2132" t="s">
        <v>853</v>
      </c>
      <c r="J6" s="500"/>
      <c r="L6" s="501"/>
      <c r="M6" s="81"/>
      <c r="N6" s="500"/>
    </row>
    <row r="7" spans="1:14" s="80" customFormat="1" ht="15" customHeight="1" x14ac:dyDescent="0.25">
      <c r="A7" s="502"/>
      <c r="B7" s="59"/>
      <c r="C7" s="503"/>
      <c r="D7" s="504"/>
      <c r="E7" s="190"/>
      <c r="F7" s="505"/>
      <c r="J7" s="500"/>
      <c r="L7" s="501"/>
      <c r="M7" s="81"/>
      <c r="N7" s="500"/>
    </row>
    <row r="8" spans="1:14" s="540" customFormat="1" ht="15" customHeight="1" x14ac:dyDescent="0.25">
      <c r="A8" s="126" t="s">
        <v>575</v>
      </c>
      <c r="B8" s="127" t="s">
        <v>1754</v>
      </c>
      <c r="C8" s="533">
        <f>C10+C16+C20+C24</f>
        <v>1190</v>
      </c>
      <c r="D8" s="534" t="s">
        <v>119</v>
      </c>
      <c r="E8" s="87"/>
      <c r="F8" s="541">
        <f>F10+F16+F20+F24</f>
        <v>1523600000</v>
      </c>
      <c r="G8" s="535"/>
      <c r="H8" s="536" t="s">
        <v>1149</v>
      </c>
      <c r="I8" s="536">
        <v>1</v>
      </c>
      <c r="J8" s="536" t="s">
        <v>16</v>
      </c>
      <c r="K8" s="536">
        <v>0</v>
      </c>
      <c r="L8" s="537">
        <v>0</v>
      </c>
      <c r="M8" s="538"/>
      <c r="N8" s="539">
        <f>L8-M8</f>
        <v>0</v>
      </c>
    </row>
    <row r="9" spans="1:14" s="80" customFormat="1" ht="15" customHeight="1" x14ac:dyDescent="0.25">
      <c r="A9" s="502"/>
      <c r="B9" s="59"/>
      <c r="C9" s="503"/>
      <c r="D9" s="504"/>
      <c r="E9" s="190"/>
      <c r="F9" s="505"/>
      <c r="J9" s="500"/>
      <c r="L9" s="501"/>
      <c r="M9" s="81"/>
      <c r="N9" s="500"/>
    </row>
    <row r="10" spans="1:14" s="540" customFormat="1" ht="15" customHeight="1" x14ac:dyDescent="0.25">
      <c r="A10" s="126" t="s">
        <v>1726</v>
      </c>
      <c r="B10" s="128" t="s">
        <v>1154</v>
      </c>
      <c r="C10" s="533">
        <f>SUM(C12:C15)</f>
        <v>1050</v>
      </c>
      <c r="D10" s="534" t="s">
        <v>119</v>
      </c>
      <c r="E10" s="87"/>
      <c r="F10" s="541">
        <f>SUM(F12:F14)</f>
        <v>1450225000</v>
      </c>
      <c r="G10" s="535"/>
      <c r="H10" s="539"/>
      <c r="J10" s="542"/>
      <c r="L10" s="543"/>
      <c r="M10" s="538"/>
      <c r="N10" s="542"/>
    </row>
    <row r="11" spans="1:14" s="177" customFormat="1" ht="9.9499999999999993" customHeight="1" x14ac:dyDescent="0.25">
      <c r="A11" s="152"/>
      <c r="B11" s="131"/>
      <c r="C11" s="506"/>
      <c r="D11" s="507"/>
      <c r="E11" s="117"/>
      <c r="F11" s="118"/>
      <c r="G11" s="147"/>
      <c r="H11" s="508"/>
      <c r="J11" s="509"/>
      <c r="L11" s="510"/>
      <c r="M11" s="176"/>
      <c r="N11" s="509"/>
    </row>
    <row r="12" spans="1:14" s="177" customFormat="1" ht="15" customHeight="1" x14ac:dyDescent="0.25">
      <c r="A12" s="511">
        <v>1</v>
      </c>
      <c r="B12" s="116" t="str">
        <f>'DEFINITIF (APBNP)'!B3159</f>
        <v>Pengadaan Bus Besar BRT Euro II Engine Model 2 (dua) Pintu (termasuk supervisi)</v>
      </c>
      <c r="C12" s="506">
        <f>'DEFINITIF (APBNP)'!C3159</f>
        <v>25</v>
      </c>
      <c r="D12" s="162" t="str">
        <f>'DEFINITIF (APBNP)'!D3159</f>
        <v>UNIT</v>
      </c>
      <c r="E12" s="116">
        <f>'DEFINITIF (APBNP)'!E3159</f>
        <v>1300000</v>
      </c>
      <c r="F12" s="118">
        <f>E12*C12</f>
        <v>32500000</v>
      </c>
      <c r="G12" s="147"/>
      <c r="H12" s="509"/>
      <c r="J12" s="509"/>
      <c r="L12" s="510"/>
      <c r="M12" s="176"/>
      <c r="N12" s="512"/>
    </row>
    <row r="13" spans="1:14" s="177" customFormat="1" ht="15" customHeight="1" x14ac:dyDescent="0.25">
      <c r="A13" s="511">
        <v>2</v>
      </c>
      <c r="B13" s="116" t="str">
        <f>'DEFINITIF (APBNP)'!B3160</f>
        <v>Pengadaan Bus Besar BRT Euro II Engine Model 2 (dua) Pintu (termasuk supervisi) (APBNP)</v>
      </c>
      <c r="C13" s="506">
        <f>'DEFINITIF (APBNP)'!C3160</f>
        <v>1000</v>
      </c>
      <c r="D13" s="162" t="str">
        <f>'DEFINITIF (APBNP)'!D3160</f>
        <v>UNIT</v>
      </c>
      <c r="E13" s="116">
        <f>'DEFINITIF (APBNP)'!E3160</f>
        <v>1402100</v>
      </c>
      <c r="F13" s="118">
        <f>E13*C13</f>
        <v>1402100000</v>
      </c>
      <c r="G13" s="147"/>
      <c r="H13" s="509"/>
      <c r="J13" s="509"/>
      <c r="L13" s="510"/>
      <c r="M13" s="176"/>
      <c r="N13" s="512"/>
    </row>
    <row r="14" spans="1:14" s="177" customFormat="1" ht="15" customHeight="1" x14ac:dyDescent="0.25">
      <c r="A14" s="511">
        <v>3</v>
      </c>
      <c r="B14" s="116" t="str">
        <f>'DEFINITIF (APBNP)'!B3161</f>
        <v>Pengadaan Bus Ukuran Sedang BRT</v>
      </c>
      <c r="C14" s="506">
        <f>'DEFINITIF (APBNP)'!C3161</f>
        <v>25</v>
      </c>
      <c r="D14" s="162" t="str">
        <f>'DEFINITIF (APBNP)'!D3161</f>
        <v>UNIT</v>
      </c>
      <c r="E14" s="116">
        <f>'DEFINITIF (APBNP)'!E3161</f>
        <v>625000</v>
      </c>
      <c r="F14" s="118">
        <f>E14*C14</f>
        <v>15625000</v>
      </c>
      <c r="G14" s="147"/>
      <c r="H14" s="509"/>
      <c r="J14" s="509"/>
      <c r="L14" s="510"/>
      <c r="M14" s="176"/>
      <c r="N14" s="512"/>
    </row>
    <row r="15" spans="1:14" s="522" customFormat="1" ht="15" customHeight="1" x14ac:dyDescent="0.25">
      <c r="A15" s="514"/>
      <c r="B15" s="515"/>
      <c r="C15" s="516"/>
      <c r="D15" s="517"/>
      <c r="E15" s="518"/>
      <c r="F15" s="519"/>
      <c r="G15" s="520"/>
      <c r="H15" s="521"/>
      <c r="J15" s="521"/>
      <c r="L15" s="523"/>
      <c r="M15" s="524"/>
      <c r="N15" s="521"/>
    </row>
    <row r="16" spans="1:14" s="540" customFormat="1" ht="15" customHeight="1" x14ac:dyDescent="0.25">
      <c r="A16" s="126" t="s">
        <v>1729</v>
      </c>
      <c r="B16" s="128" t="s">
        <v>1465</v>
      </c>
      <c r="C16" s="533">
        <f>SUM(C18:C19)</f>
        <v>50</v>
      </c>
      <c r="D16" s="534" t="s">
        <v>119</v>
      </c>
      <c r="E16" s="87"/>
      <c r="F16" s="541">
        <f>SUM(F18:F19)</f>
        <v>28750000</v>
      </c>
      <c r="G16" s="535"/>
      <c r="H16" s="539"/>
      <c r="J16" s="542"/>
      <c r="L16" s="543"/>
      <c r="M16" s="538"/>
      <c r="N16" s="542"/>
    </row>
    <row r="17" spans="1:14" s="177" customFormat="1" ht="9.9499999999999993" customHeight="1" x14ac:dyDescent="0.25">
      <c r="A17" s="152"/>
      <c r="B17" s="131"/>
      <c r="C17" s="506"/>
      <c r="D17" s="507"/>
      <c r="E17" s="117"/>
      <c r="F17" s="118"/>
      <c r="G17" s="147"/>
      <c r="H17" s="508"/>
      <c r="J17" s="509"/>
      <c r="L17" s="510"/>
      <c r="M17" s="176"/>
      <c r="N17" s="509"/>
    </row>
    <row r="18" spans="1:14" s="177" customFormat="1" ht="15" customHeight="1" x14ac:dyDescent="0.25">
      <c r="A18" s="158">
        <v>1</v>
      </c>
      <c r="B18" s="116" t="str">
        <f>'DEFINITIF (APBNP)'!B3162</f>
        <v xml:space="preserve">Pengadaan Bus Sekolah/Umum/Pelajar/Kampus (termasuk supervisi) </v>
      </c>
      <c r="C18" s="506">
        <f>'DEFINITIF (APBNP)'!C3162</f>
        <v>50</v>
      </c>
      <c r="D18" s="162" t="str">
        <f>'DEFINITIF (APBNP)'!D3162</f>
        <v>UNIT</v>
      </c>
      <c r="E18" s="116">
        <f>'DEFINITIF (APBNP)'!E3162</f>
        <v>575000</v>
      </c>
      <c r="F18" s="118">
        <f>E18*C18</f>
        <v>28750000</v>
      </c>
      <c r="G18" s="147"/>
      <c r="H18" s="509"/>
      <c r="J18" s="509"/>
      <c r="L18" s="510"/>
      <c r="M18" s="176"/>
      <c r="N18" s="509"/>
    </row>
    <row r="19" spans="1:14" s="522" customFormat="1" ht="15" customHeight="1" x14ac:dyDescent="0.25">
      <c r="A19" s="514"/>
      <c r="B19" s="518"/>
      <c r="C19" s="516"/>
      <c r="D19" s="517"/>
      <c r="E19" s="518"/>
      <c r="F19" s="519"/>
      <c r="G19" s="520"/>
      <c r="H19" s="521"/>
      <c r="J19" s="521"/>
      <c r="L19" s="523"/>
      <c r="M19" s="524"/>
      <c r="N19" s="521"/>
    </row>
    <row r="20" spans="1:14" s="540" customFormat="1" ht="15" customHeight="1" x14ac:dyDescent="0.25">
      <c r="A20" s="126" t="s">
        <v>1732</v>
      </c>
      <c r="B20" s="128" t="s">
        <v>1464</v>
      </c>
      <c r="C20" s="533">
        <f>SUM(C22:C23)</f>
        <v>15</v>
      </c>
      <c r="D20" s="534" t="s">
        <v>119</v>
      </c>
      <c r="E20" s="87"/>
      <c r="F20" s="541">
        <f>SUM(F22:F23)</f>
        <v>9375000</v>
      </c>
      <c r="G20" s="535"/>
      <c r="H20" s="539"/>
      <c r="J20" s="542"/>
      <c r="L20" s="543"/>
      <c r="M20" s="538"/>
      <c r="N20" s="542"/>
    </row>
    <row r="21" spans="1:14" s="177" customFormat="1" ht="9.9499999999999993" customHeight="1" x14ac:dyDescent="0.25">
      <c r="A21" s="139"/>
      <c r="B21" s="131"/>
      <c r="C21" s="506"/>
      <c r="D21" s="507"/>
      <c r="E21" s="117"/>
      <c r="F21" s="118"/>
      <c r="G21" s="147"/>
      <c r="H21" s="508"/>
      <c r="J21" s="509"/>
      <c r="L21" s="510"/>
      <c r="M21" s="176"/>
      <c r="N21" s="509"/>
    </row>
    <row r="22" spans="1:14" s="177" customFormat="1" ht="15" customHeight="1" x14ac:dyDescent="0.25">
      <c r="A22" s="158">
        <v>1</v>
      </c>
      <c r="B22" s="116" t="str">
        <f>'DEFINITIF (APBNP)'!B3163</f>
        <v>Pengadaan Bus Ukuran Sedang AC Engine &gt;= 120 PS (Sarana Pemadu Moda) termasuk supervisi)</v>
      </c>
      <c r="C22" s="506">
        <f>'DEFINITIF (APBNP)'!C3163</f>
        <v>15</v>
      </c>
      <c r="D22" s="162" t="str">
        <f>'DEFINITIF (APBNP)'!D3163</f>
        <v>UNIT</v>
      </c>
      <c r="E22" s="116">
        <f>'DEFINITIF (APBNP)'!E3163</f>
        <v>625000</v>
      </c>
      <c r="F22" s="118">
        <f>E22*C22</f>
        <v>9375000</v>
      </c>
      <c r="G22" s="147"/>
      <c r="H22" s="509"/>
      <c r="J22" s="509"/>
      <c r="L22" s="510"/>
      <c r="M22" s="176"/>
      <c r="N22" s="509"/>
    </row>
    <row r="23" spans="1:14" s="522" customFormat="1" ht="15" customHeight="1" x14ac:dyDescent="0.25">
      <c r="A23" s="514"/>
      <c r="B23" s="518"/>
      <c r="C23" s="516"/>
      <c r="D23" s="517"/>
      <c r="E23" s="518"/>
      <c r="F23" s="519"/>
      <c r="G23" s="520"/>
      <c r="H23" s="521"/>
      <c r="J23" s="521"/>
      <c r="L23" s="523"/>
      <c r="M23" s="524"/>
      <c r="N23" s="521"/>
    </row>
    <row r="24" spans="1:14" s="157" customFormat="1" ht="15" customHeight="1" x14ac:dyDescent="0.25">
      <c r="A24" s="83" t="s">
        <v>618</v>
      </c>
      <c r="B24" s="128" t="s">
        <v>1155</v>
      </c>
      <c r="C24" s="544">
        <f>C26</f>
        <v>75</v>
      </c>
      <c r="D24" s="545" t="s">
        <v>119</v>
      </c>
      <c r="E24" s="546">
        <f>E26</f>
        <v>470000</v>
      </c>
      <c r="F24" s="547">
        <f>F26</f>
        <v>35250000</v>
      </c>
      <c r="G24" s="153"/>
      <c r="H24" s="548"/>
      <c r="J24" s="548"/>
      <c r="L24" s="549"/>
      <c r="M24" s="155"/>
      <c r="N24" s="548"/>
    </row>
    <row r="25" spans="1:14" s="555" customFormat="1" ht="9.9499999999999993" customHeight="1" x14ac:dyDescent="0.25">
      <c r="A25" s="217"/>
      <c r="B25" s="131"/>
      <c r="C25" s="550"/>
      <c r="D25" s="551"/>
      <c r="E25" s="552"/>
      <c r="F25" s="553"/>
      <c r="G25" s="142"/>
      <c r="H25" s="554"/>
      <c r="J25" s="554"/>
      <c r="L25" s="556"/>
      <c r="M25" s="557"/>
      <c r="N25" s="554"/>
    </row>
    <row r="26" spans="1:14" s="80" customFormat="1" ht="15" customHeight="1" x14ac:dyDescent="0.25">
      <c r="A26" s="94">
        <v>1</v>
      </c>
      <c r="B26" s="525" t="str">
        <f>'DEFINITIF (APBNP)'!B2945</f>
        <v xml:space="preserve">Pengadaan Bus Perintis </v>
      </c>
      <c r="C26" s="526">
        <f>'DEFINITIF (APBNP)'!C2945</f>
        <v>75</v>
      </c>
      <c r="D26" s="527" t="s">
        <v>119</v>
      </c>
      <c r="E26" s="525">
        <f>'DEFINITIF (APBNP)'!E2945</f>
        <v>470000</v>
      </c>
      <c r="F26" s="519">
        <f>C26*E26</f>
        <v>35250000</v>
      </c>
      <c r="G26" s="160"/>
      <c r="H26" s="500"/>
      <c r="J26" s="500"/>
      <c r="L26" s="501"/>
      <c r="M26" s="81"/>
      <c r="N26" s="500"/>
    </row>
    <row r="27" spans="1:14" s="80" customFormat="1" ht="15" customHeight="1" thickBot="1" x14ac:dyDescent="0.3">
      <c r="A27" s="528"/>
      <c r="B27" s="529"/>
      <c r="C27" s="530"/>
      <c r="D27" s="531"/>
      <c r="E27" s="1769"/>
      <c r="F27" s="532"/>
      <c r="G27" s="160"/>
      <c r="H27" s="500"/>
      <c r="J27" s="500"/>
      <c r="L27" s="501"/>
      <c r="M27" s="81"/>
      <c r="N27" s="500"/>
    </row>
    <row r="28" spans="1:14" s="64" customFormat="1" x14ac:dyDescent="0.2">
      <c r="A28" s="1856"/>
      <c r="B28" s="180"/>
      <c r="C28" s="181"/>
      <c r="D28" s="182"/>
      <c r="E28" s="183"/>
      <c r="F28" s="1857"/>
      <c r="L28" s="187"/>
      <c r="M28" s="187"/>
    </row>
    <row r="29" spans="1:14" s="64" customFormat="1" x14ac:dyDescent="0.2">
      <c r="A29" s="1856"/>
      <c r="B29" s="180"/>
      <c r="C29" s="181"/>
      <c r="D29" s="182"/>
      <c r="E29" s="183"/>
      <c r="F29" s="1858"/>
      <c r="L29" s="187"/>
      <c r="M29" s="187"/>
    </row>
    <row r="30" spans="1:14" s="64" customFormat="1" ht="13.5" thickBot="1" x14ac:dyDescent="0.25">
      <c r="A30" s="1856"/>
      <c r="B30" s="180"/>
      <c r="C30" s="181"/>
      <c r="D30" s="182"/>
      <c r="E30" s="183"/>
      <c r="F30" s="1857"/>
      <c r="L30" s="187"/>
      <c r="M30" s="187"/>
    </row>
    <row r="31" spans="1:14" s="64" customFormat="1" x14ac:dyDescent="0.2">
      <c r="A31" s="1943"/>
      <c r="B31" s="1944"/>
      <c r="C31" s="1945"/>
      <c r="D31" s="1946"/>
      <c r="E31" s="1768"/>
      <c r="F31" s="1947"/>
      <c r="L31" s="187"/>
      <c r="M31" s="187"/>
    </row>
    <row r="32" spans="1:14" s="64" customFormat="1" ht="13.5" thickBot="1" x14ac:dyDescent="0.25">
      <c r="A32" s="1948"/>
      <c r="B32" s="1949"/>
      <c r="C32" s="1950"/>
      <c r="D32" s="1951"/>
      <c r="E32" s="1769"/>
      <c r="F32" s="1952"/>
      <c r="L32" s="187"/>
      <c r="M32" s="187"/>
    </row>
    <row r="33" spans="1:13" s="64" customFormat="1" x14ac:dyDescent="0.2">
      <c r="A33" s="1856"/>
      <c r="B33" s="180"/>
      <c r="C33" s="181"/>
      <c r="D33" s="182"/>
      <c r="E33" s="183"/>
      <c r="F33" s="1857"/>
      <c r="L33" s="187"/>
      <c r="M33" s="187"/>
    </row>
    <row r="34" spans="1:13" s="64" customFormat="1" x14ac:dyDescent="0.2">
      <c r="A34" s="1856"/>
      <c r="B34" s="180"/>
      <c r="C34" s="181"/>
      <c r="D34" s="182"/>
      <c r="E34" s="183"/>
      <c r="F34" s="1857"/>
      <c r="L34" s="187"/>
      <c r="M34" s="187"/>
    </row>
    <row r="35" spans="1:13" s="64" customFormat="1" x14ac:dyDescent="0.2">
      <c r="A35" s="1856"/>
      <c r="B35" s="180"/>
      <c r="C35" s="181"/>
      <c r="D35" s="182"/>
      <c r="E35" s="183"/>
      <c r="F35" s="1857"/>
      <c r="L35" s="187"/>
      <c r="M35" s="187"/>
    </row>
    <row r="36" spans="1:13" s="64" customFormat="1" x14ac:dyDescent="0.2">
      <c r="A36" s="1856"/>
      <c r="B36" s="180"/>
      <c r="C36" s="181"/>
      <c r="D36" s="182"/>
      <c r="E36" s="183"/>
      <c r="F36" s="1857"/>
      <c r="L36" s="187"/>
      <c r="M36" s="187"/>
    </row>
    <row r="37" spans="1:13" s="64" customFormat="1" x14ac:dyDescent="0.2">
      <c r="A37" s="1856"/>
      <c r="B37" s="180"/>
      <c r="C37" s="181"/>
      <c r="D37" s="182"/>
      <c r="E37" s="183"/>
      <c r="F37" s="1857"/>
      <c r="L37" s="187"/>
      <c r="M37" s="187"/>
    </row>
    <row r="38" spans="1:13" s="64" customFormat="1" x14ac:dyDescent="0.2">
      <c r="A38" s="1856"/>
      <c r="B38" s="180"/>
      <c r="C38" s="181"/>
      <c r="D38" s="182"/>
      <c r="E38" s="183"/>
      <c r="F38" s="1857"/>
      <c r="L38" s="187"/>
      <c r="M38" s="187"/>
    </row>
    <row r="39" spans="1:13" s="64" customFormat="1" x14ac:dyDescent="0.2">
      <c r="A39" s="1856"/>
      <c r="B39" s="180"/>
      <c r="C39" s="181"/>
      <c r="D39" s="182"/>
      <c r="E39" s="183"/>
      <c r="F39" s="1857"/>
      <c r="L39" s="187"/>
      <c r="M39" s="187"/>
    </row>
    <row r="40" spans="1:13" s="64" customFormat="1" x14ac:dyDescent="0.2">
      <c r="A40" s="1856"/>
      <c r="B40" s="180"/>
      <c r="C40" s="181"/>
      <c r="D40" s="182"/>
      <c r="E40" s="183"/>
      <c r="F40" s="1857"/>
      <c r="L40" s="187"/>
      <c r="M40" s="187"/>
    </row>
    <row r="41" spans="1:13" s="64" customFormat="1" x14ac:dyDescent="0.2">
      <c r="A41" s="1856"/>
      <c r="B41" s="180"/>
      <c r="C41" s="181"/>
      <c r="D41" s="182"/>
      <c r="E41" s="183"/>
      <c r="F41" s="1857"/>
      <c r="L41" s="187"/>
      <c r="M41" s="187"/>
    </row>
    <row r="42" spans="1:13" s="64" customFormat="1" x14ac:dyDescent="0.2">
      <c r="A42" s="1856"/>
      <c r="B42" s="180"/>
      <c r="C42" s="181"/>
      <c r="D42" s="182"/>
      <c r="E42" s="183"/>
      <c r="F42" s="1857"/>
      <c r="L42" s="187"/>
      <c r="M42" s="187"/>
    </row>
    <row r="43" spans="1:13" s="64" customFormat="1" x14ac:dyDescent="0.2">
      <c r="A43" s="1856"/>
      <c r="B43" s="180"/>
      <c r="C43" s="181"/>
      <c r="D43" s="182"/>
      <c r="E43" s="183"/>
      <c r="F43" s="1857"/>
      <c r="L43" s="187"/>
      <c r="M43" s="187"/>
    </row>
    <row r="44" spans="1:13" s="64" customFormat="1" x14ac:dyDescent="0.2">
      <c r="A44" s="1856"/>
      <c r="B44" s="180"/>
      <c r="C44" s="181"/>
      <c r="D44" s="182"/>
      <c r="E44" s="183"/>
      <c r="F44" s="1857"/>
      <c r="L44" s="187"/>
      <c r="M44" s="187"/>
    </row>
    <row r="45" spans="1:13" s="64" customFormat="1" x14ac:dyDescent="0.2">
      <c r="A45" s="1856"/>
      <c r="B45" s="180"/>
      <c r="C45" s="181"/>
      <c r="D45" s="182"/>
      <c r="E45" s="183"/>
      <c r="F45" s="1857"/>
      <c r="L45" s="187"/>
      <c r="M45" s="187"/>
    </row>
    <row r="46" spans="1:13" s="64" customFormat="1" x14ac:dyDescent="0.2">
      <c r="A46" s="1856"/>
      <c r="B46" s="180"/>
      <c r="C46" s="181"/>
      <c r="D46" s="182"/>
      <c r="E46" s="183"/>
      <c r="F46" s="1857"/>
      <c r="L46" s="187"/>
      <c r="M46" s="187"/>
    </row>
    <row r="47" spans="1:13" s="64" customFormat="1" x14ac:dyDescent="0.2">
      <c r="A47" s="1856"/>
      <c r="B47" s="180"/>
      <c r="C47" s="181"/>
      <c r="D47" s="182"/>
      <c r="E47" s="183"/>
      <c r="F47" s="1857"/>
      <c r="L47" s="187"/>
      <c r="M47" s="187"/>
    </row>
    <row r="48" spans="1:13" s="64" customFormat="1" x14ac:dyDescent="0.2">
      <c r="A48" s="1856"/>
      <c r="B48" s="180"/>
      <c r="C48" s="181"/>
      <c r="D48" s="182"/>
      <c r="E48" s="183"/>
      <c r="F48" s="1857"/>
      <c r="L48" s="187"/>
      <c r="M48" s="187"/>
    </row>
    <row r="49" spans="1:14" s="64" customFormat="1" x14ac:dyDescent="0.2">
      <c r="A49" s="1856"/>
      <c r="B49" s="180"/>
      <c r="C49" s="181"/>
      <c r="D49" s="182"/>
      <c r="E49" s="183"/>
      <c r="F49" s="1857"/>
      <c r="L49" s="187"/>
      <c r="M49" s="187"/>
    </row>
    <row r="50" spans="1:14" s="64" customFormat="1" x14ac:dyDescent="0.2">
      <c r="A50" s="1856"/>
      <c r="B50" s="180"/>
      <c r="C50" s="181"/>
      <c r="D50" s="182"/>
      <c r="E50" s="183"/>
      <c r="F50" s="1857"/>
      <c r="L50" s="187"/>
      <c r="M50" s="187"/>
    </row>
    <row r="51" spans="1:14" s="64" customFormat="1" ht="13.5" thickBot="1" x14ac:dyDescent="0.25">
      <c r="A51" s="1930"/>
      <c r="B51" s="1861"/>
      <c r="C51" s="1931"/>
      <c r="D51" s="1863"/>
      <c r="E51" s="1932"/>
      <c r="F51" s="1865"/>
      <c r="L51" s="187"/>
      <c r="M51" s="187"/>
    </row>
    <row r="52" spans="1:14" s="64" customFormat="1" x14ac:dyDescent="0.2">
      <c r="A52" s="1898"/>
      <c r="B52" s="1899"/>
      <c r="C52" s="1900"/>
      <c r="D52" s="1901"/>
      <c r="E52" s="1902"/>
      <c r="F52" s="1903"/>
      <c r="L52" s="187"/>
      <c r="M52" s="187"/>
    </row>
    <row r="53" spans="1:14" s="64" customFormat="1" x14ac:dyDescent="0.2">
      <c r="A53" s="291"/>
      <c r="B53" s="180"/>
      <c r="C53" s="181"/>
      <c r="D53" s="182"/>
      <c r="E53" s="183"/>
      <c r="F53" s="184"/>
      <c r="L53" s="187"/>
      <c r="M53" s="187"/>
    </row>
    <row r="54" spans="1:14" s="64" customFormat="1" x14ac:dyDescent="0.2">
      <c r="A54" s="1856"/>
      <c r="B54" s="180"/>
      <c r="C54" s="181"/>
      <c r="D54" s="182"/>
      <c r="E54" s="183"/>
      <c r="F54" s="1857"/>
      <c r="L54" s="187"/>
      <c r="M54" s="187"/>
    </row>
    <row r="55" spans="1:14" s="64" customFormat="1" x14ac:dyDescent="0.2">
      <c r="A55" s="1856"/>
      <c r="B55" s="180"/>
      <c r="C55" s="181"/>
      <c r="D55" s="182"/>
      <c r="E55" s="183"/>
      <c r="F55" s="1857"/>
      <c r="L55" s="187"/>
      <c r="M55" s="187"/>
    </row>
    <row r="56" spans="1:14" s="64" customFormat="1" x14ac:dyDescent="0.2">
      <c r="A56" s="1856"/>
      <c r="B56" s="180"/>
      <c r="C56" s="181"/>
      <c r="D56" s="182"/>
      <c r="E56" s="183"/>
      <c r="F56" s="1857"/>
      <c r="L56" s="187"/>
      <c r="M56" s="187"/>
    </row>
    <row r="57" spans="1:14" x14ac:dyDescent="0.2">
      <c r="A57" s="1859"/>
      <c r="B57" s="180"/>
      <c r="C57" s="189"/>
      <c r="D57" s="182"/>
      <c r="E57" s="190"/>
      <c r="F57" s="1857"/>
      <c r="G57" s="70"/>
      <c r="H57" s="70"/>
      <c r="J57" s="70"/>
      <c r="L57" s="71"/>
      <c r="N57" s="70"/>
    </row>
    <row r="58" spans="1:14" x14ac:dyDescent="0.2">
      <c r="A58" s="1859"/>
      <c r="B58" s="180"/>
      <c r="C58" s="189"/>
      <c r="D58" s="182"/>
      <c r="E58" s="190"/>
      <c r="F58" s="1857"/>
      <c r="G58" s="70"/>
      <c r="H58" s="70"/>
      <c r="J58" s="70"/>
      <c r="L58" s="71"/>
      <c r="N58" s="70"/>
    </row>
    <row r="59" spans="1:14" x14ac:dyDescent="0.2">
      <c r="A59" s="1859"/>
      <c r="B59" s="180"/>
      <c r="C59" s="189"/>
      <c r="D59" s="182"/>
      <c r="E59" s="190"/>
      <c r="F59" s="1857"/>
      <c r="G59" s="70"/>
      <c r="H59" s="70"/>
      <c r="J59" s="70"/>
      <c r="L59" s="71"/>
      <c r="N59" s="70"/>
    </row>
    <row r="60" spans="1:14" x14ac:dyDescent="0.2">
      <c r="A60" s="1859"/>
      <c r="B60" s="180"/>
      <c r="C60" s="189"/>
      <c r="D60" s="182"/>
      <c r="E60" s="190"/>
      <c r="F60" s="1857"/>
      <c r="G60" s="70"/>
      <c r="H60" s="70"/>
      <c r="J60" s="70"/>
      <c r="L60" s="71"/>
      <c r="N60" s="70"/>
    </row>
    <row r="61" spans="1:14" x14ac:dyDescent="0.2">
      <c r="A61" s="1859"/>
      <c r="B61" s="180"/>
      <c r="C61" s="189"/>
      <c r="D61" s="182"/>
      <c r="E61" s="190"/>
      <c r="F61" s="1857"/>
      <c r="G61" s="70"/>
      <c r="H61" s="70"/>
      <c r="J61" s="70"/>
      <c r="L61" s="71"/>
      <c r="N61" s="70"/>
    </row>
    <row r="62" spans="1:14" x14ac:dyDescent="0.2">
      <c r="A62" s="1859"/>
      <c r="B62" s="180"/>
      <c r="C62" s="189"/>
      <c r="D62" s="182"/>
      <c r="E62" s="190"/>
      <c r="F62" s="1857"/>
      <c r="G62" s="70"/>
      <c r="H62" s="70"/>
      <c r="J62" s="70"/>
      <c r="L62" s="71"/>
      <c r="N62" s="70"/>
    </row>
    <row r="63" spans="1:14" x14ac:dyDescent="0.2">
      <c r="A63" s="1859"/>
      <c r="B63" s="180"/>
      <c r="C63" s="189"/>
      <c r="D63" s="182"/>
      <c r="E63" s="190"/>
      <c r="F63" s="1857"/>
      <c r="G63" s="70"/>
      <c r="H63" s="70"/>
      <c r="J63" s="70"/>
      <c r="L63" s="71"/>
      <c r="N63" s="70"/>
    </row>
    <row r="64" spans="1:14" x14ac:dyDescent="0.2">
      <c r="A64" s="1859"/>
      <c r="B64" s="180"/>
      <c r="C64" s="189"/>
      <c r="D64" s="182"/>
      <c r="E64" s="190"/>
      <c r="F64" s="1857"/>
      <c r="G64" s="70"/>
      <c r="H64" s="70"/>
      <c r="J64" s="70"/>
      <c r="L64" s="71"/>
      <c r="N64" s="70"/>
    </row>
    <row r="65" spans="1:14" x14ac:dyDescent="0.2">
      <c r="A65" s="1859"/>
      <c r="B65" s="180"/>
      <c r="C65" s="189"/>
      <c r="D65" s="182"/>
      <c r="E65" s="190"/>
      <c r="F65" s="1857"/>
      <c r="G65" s="70"/>
      <c r="H65" s="70"/>
      <c r="J65" s="70"/>
      <c r="L65" s="71"/>
      <c r="N65" s="70"/>
    </row>
    <row r="66" spans="1:14" x14ac:dyDescent="0.2">
      <c r="A66" s="1859"/>
      <c r="B66" s="180"/>
      <c r="C66" s="189"/>
      <c r="D66" s="182"/>
      <c r="E66" s="190"/>
      <c r="F66" s="1857"/>
      <c r="G66" s="70"/>
      <c r="H66" s="70"/>
      <c r="J66" s="70"/>
      <c r="L66" s="71"/>
      <c r="N66" s="70"/>
    </row>
    <row r="67" spans="1:14" x14ac:dyDescent="0.2">
      <c r="A67" s="1859"/>
      <c r="B67" s="180"/>
      <c r="C67" s="189"/>
      <c r="D67" s="182"/>
      <c r="E67" s="190"/>
      <c r="F67" s="1857"/>
      <c r="G67" s="70"/>
      <c r="H67" s="70"/>
      <c r="J67" s="70"/>
      <c r="L67" s="71"/>
      <c r="N67" s="70"/>
    </row>
    <row r="68" spans="1:14" x14ac:dyDescent="0.2">
      <c r="A68" s="1859"/>
      <c r="B68" s="180"/>
      <c r="C68" s="189"/>
      <c r="D68" s="182"/>
      <c r="E68" s="190"/>
      <c r="F68" s="1857"/>
      <c r="G68" s="70"/>
      <c r="H68" s="70"/>
      <c r="J68" s="70"/>
      <c r="L68" s="71"/>
      <c r="N68" s="70"/>
    </row>
    <row r="69" spans="1:14" x14ac:dyDescent="0.2">
      <c r="A69" s="1859"/>
      <c r="B69" s="180"/>
      <c r="C69" s="189"/>
      <c r="D69" s="182"/>
      <c r="E69" s="190"/>
      <c r="F69" s="1857"/>
      <c r="G69" s="70"/>
      <c r="H69" s="70"/>
      <c r="J69" s="70"/>
      <c r="L69" s="71"/>
      <c r="N69" s="70"/>
    </row>
    <row r="70" spans="1:14" x14ac:dyDescent="0.2">
      <c r="A70" s="1859"/>
      <c r="B70" s="180"/>
      <c r="C70" s="189"/>
      <c r="D70" s="182"/>
      <c r="E70" s="190"/>
      <c r="F70" s="1857"/>
      <c r="G70" s="70"/>
      <c r="H70" s="70"/>
      <c r="J70" s="70"/>
      <c r="L70" s="71"/>
      <c r="N70" s="70"/>
    </row>
    <row r="71" spans="1:14" x14ac:dyDescent="0.2">
      <c r="A71" s="1859"/>
      <c r="B71" s="180"/>
      <c r="C71" s="189"/>
      <c r="D71" s="182"/>
      <c r="E71" s="190"/>
      <c r="F71" s="1857"/>
      <c r="G71" s="70"/>
      <c r="H71" s="70"/>
      <c r="J71" s="70"/>
      <c r="L71" s="71"/>
      <c r="N71" s="70"/>
    </row>
    <row r="72" spans="1:14" x14ac:dyDescent="0.2">
      <c r="A72" s="1859"/>
      <c r="B72" s="180"/>
      <c r="C72" s="189"/>
      <c r="D72" s="182"/>
      <c r="E72" s="190"/>
      <c r="F72" s="1857"/>
      <c r="G72" s="70"/>
      <c r="H72" s="70"/>
      <c r="J72" s="70"/>
      <c r="L72" s="71"/>
      <c r="N72" s="70"/>
    </row>
    <row r="73" spans="1:14" x14ac:dyDescent="0.2">
      <c r="A73" s="1859"/>
      <c r="B73" s="180"/>
      <c r="C73" s="189"/>
      <c r="D73" s="182"/>
      <c r="E73" s="190"/>
      <c r="F73" s="1857"/>
      <c r="G73" s="70"/>
      <c r="H73" s="70"/>
      <c r="J73" s="70"/>
      <c r="L73" s="71"/>
      <c r="N73" s="70"/>
    </row>
    <row r="74" spans="1:14" x14ac:dyDescent="0.2">
      <c r="A74" s="1859"/>
      <c r="B74" s="180"/>
      <c r="C74" s="189"/>
      <c r="D74" s="182"/>
      <c r="E74" s="190"/>
      <c r="F74" s="1857"/>
      <c r="G74" s="70"/>
      <c r="H74" s="70"/>
      <c r="J74" s="70"/>
      <c r="L74" s="71"/>
      <c r="N74" s="70"/>
    </row>
    <row r="75" spans="1:14" x14ac:dyDescent="0.2">
      <c r="A75" s="1859"/>
      <c r="B75" s="180"/>
      <c r="C75" s="189"/>
      <c r="D75" s="182"/>
      <c r="E75" s="190"/>
      <c r="F75" s="1857"/>
      <c r="G75" s="70"/>
      <c r="H75" s="70"/>
      <c r="J75" s="70"/>
      <c r="L75" s="71"/>
      <c r="N75" s="70"/>
    </row>
    <row r="76" spans="1:14" x14ac:dyDescent="0.2">
      <c r="A76" s="1859"/>
      <c r="B76" s="180"/>
      <c r="C76" s="189"/>
      <c r="D76" s="182"/>
      <c r="E76" s="190"/>
      <c r="F76" s="1857"/>
      <c r="G76" s="70"/>
      <c r="H76" s="70"/>
      <c r="J76" s="70"/>
      <c r="L76" s="71"/>
      <c r="N76" s="70"/>
    </row>
    <row r="77" spans="1:14" x14ac:dyDescent="0.2">
      <c r="A77" s="1859"/>
      <c r="B77" s="180"/>
      <c r="C77" s="189"/>
      <c r="D77" s="182"/>
      <c r="E77" s="190"/>
      <c r="F77" s="1857"/>
      <c r="G77" s="70"/>
      <c r="H77" s="70"/>
      <c r="J77" s="70"/>
      <c r="L77" s="71"/>
      <c r="N77" s="70"/>
    </row>
    <row r="78" spans="1:14" x14ac:dyDescent="0.2">
      <c r="A78" s="1859"/>
      <c r="B78" s="180"/>
      <c r="C78" s="189"/>
      <c r="D78" s="182"/>
      <c r="E78" s="190"/>
      <c r="F78" s="1857"/>
      <c r="G78" s="70"/>
      <c r="H78" s="70"/>
      <c r="J78" s="70"/>
      <c r="L78" s="71"/>
      <c r="N78" s="70"/>
    </row>
    <row r="79" spans="1:14" x14ac:dyDescent="0.2">
      <c r="A79" s="1859"/>
      <c r="B79" s="180"/>
      <c r="C79" s="189"/>
      <c r="D79" s="182"/>
      <c r="E79" s="190"/>
      <c r="F79" s="1857"/>
      <c r="G79" s="70"/>
      <c r="H79" s="70"/>
      <c r="J79" s="70"/>
      <c r="L79" s="71"/>
      <c r="N79" s="70"/>
    </row>
    <row r="80" spans="1:14" x14ac:dyDescent="0.2">
      <c r="A80" s="1859"/>
      <c r="B80" s="180"/>
      <c r="C80" s="189"/>
      <c r="D80" s="182"/>
      <c r="E80" s="190"/>
      <c r="F80" s="1857"/>
      <c r="G80" s="70"/>
      <c r="H80" s="70"/>
      <c r="J80" s="70"/>
      <c r="L80" s="71"/>
      <c r="N80" s="70"/>
    </row>
    <row r="81" spans="1:14" x14ac:dyDescent="0.2">
      <c r="A81" s="1859"/>
      <c r="B81" s="180"/>
      <c r="C81" s="189"/>
      <c r="D81" s="182"/>
      <c r="E81" s="190"/>
      <c r="F81" s="1857"/>
      <c r="G81" s="70"/>
      <c r="H81" s="70"/>
      <c r="J81" s="70"/>
      <c r="L81" s="71"/>
      <c r="N81" s="70"/>
    </row>
    <row r="82" spans="1:14" x14ac:dyDescent="0.2">
      <c r="A82" s="1859"/>
      <c r="B82" s="180"/>
      <c r="C82" s="189"/>
      <c r="D82" s="182"/>
      <c r="E82" s="190"/>
      <c r="F82" s="1857"/>
      <c r="G82" s="70"/>
      <c r="H82" s="70"/>
      <c r="J82" s="70"/>
      <c r="L82" s="71"/>
      <c r="N82" s="70"/>
    </row>
    <row r="83" spans="1:14" x14ac:dyDescent="0.2">
      <c r="A83" s="1859"/>
      <c r="B83" s="180"/>
      <c r="C83" s="189"/>
      <c r="D83" s="182"/>
      <c r="E83" s="190"/>
      <c r="F83" s="1857"/>
      <c r="G83" s="70"/>
      <c r="H83" s="70"/>
      <c r="J83" s="70"/>
      <c r="L83" s="71"/>
      <c r="N83" s="70"/>
    </row>
    <row r="84" spans="1:14" x14ac:dyDescent="0.2">
      <c r="A84" s="1859"/>
      <c r="B84" s="180"/>
      <c r="C84" s="189"/>
      <c r="D84" s="182"/>
      <c r="E84" s="190"/>
      <c r="F84" s="1857"/>
      <c r="G84" s="70"/>
      <c r="H84" s="70"/>
      <c r="J84" s="70"/>
      <c r="L84" s="71"/>
      <c r="N84" s="70"/>
    </row>
    <row r="85" spans="1:14" x14ac:dyDescent="0.2">
      <c r="A85" s="1859"/>
      <c r="B85" s="180"/>
      <c r="C85" s="189"/>
      <c r="D85" s="182"/>
      <c r="E85" s="190"/>
      <c r="F85" s="1857"/>
      <c r="G85" s="70"/>
      <c r="H85" s="70"/>
      <c r="J85" s="70"/>
      <c r="L85" s="71"/>
      <c r="N85" s="70"/>
    </row>
    <row r="86" spans="1:14" x14ac:dyDescent="0.2">
      <c r="A86" s="1859"/>
      <c r="B86" s="180"/>
      <c r="C86" s="189"/>
      <c r="D86" s="182"/>
      <c r="E86" s="190"/>
      <c r="F86" s="1857"/>
      <c r="G86" s="70"/>
      <c r="H86" s="70"/>
      <c r="J86" s="70"/>
      <c r="L86" s="71"/>
      <c r="N86" s="70"/>
    </row>
    <row r="87" spans="1:14" x14ac:dyDescent="0.2">
      <c r="A87" s="1859"/>
      <c r="B87" s="180"/>
      <c r="C87" s="189"/>
      <c r="D87" s="182"/>
      <c r="E87" s="190"/>
      <c r="F87" s="1857"/>
      <c r="G87" s="70"/>
      <c r="H87" s="70"/>
      <c r="J87" s="70"/>
      <c r="L87" s="71"/>
      <c r="N87" s="70"/>
    </row>
    <row r="88" spans="1:14" x14ac:dyDescent="0.2">
      <c r="A88" s="1859"/>
      <c r="B88" s="180"/>
      <c r="C88" s="189"/>
      <c r="D88" s="182"/>
      <c r="E88" s="190"/>
      <c r="F88" s="1857"/>
      <c r="G88" s="70"/>
      <c r="H88" s="70"/>
      <c r="J88" s="70"/>
      <c r="L88" s="71"/>
      <c r="N88" s="70"/>
    </row>
    <row r="89" spans="1:14" x14ac:dyDescent="0.2">
      <c r="A89" s="1859"/>
      <c r="B89" s="180"/>
      <c r="C89" s="189"/>
      <c r="D89" s="182"/>
      <c r="E89" s="190"/>
      <c r="F89" s="1857"/>
      <c r="G89" s="70"/>
      <c r="H89" s="70"/>
      <c r="J89" s="70"/>
      <c r="L89" s="71"/>
      <c r="N89" s="70"/>
    </row>
    <row r="90" spans="1:14" x14ac:dyDescent="0.2">
      <c r="A90" s="1859"/>
      <c r="B90" s="180"/>
      <c r="C90" s="189"/>
      <c r="D90" s="182"/>
      <c r="E90" s="190"/>
      <c r="F90" s="1857"/>
      <c r="G90" s="70"/>
      <c r="H90" s="70"/>
      <c r="J90" s="70"/>
      <c r="L90" s="71"/>
      <c r="N90" s="70"/>
    </row>
    <row r="91" spans="1:14" x14ac:dyDescent="0.2">
      <c r="A91" s="1859"/>
      <c r="B91" s="180"/>
      <c r="C91" s="189"/>
      <c r="D91" s="182"/>
      <c r="E91" s="190"/>
      <c r="F91" s="1857"/>
      <c r="G91" s="70"/>
      <c r="H91" s="70"/>
      <c r="J91" s="70"/>
      <c r="L91" s="71"/>
      <c r="N91" s="70"/>
    </row>
    <row r="92" spans="1:14" x14ac:dyDescent="0.2">
      <c r="A92" s="1859"/>
      <c r="B92" s="180"/>
      <c r="C92" s="189"/>
      <c r="D92" s="182"/>
      <c r="E92" s="190"/>
      <c r="F92" s="1857"/>
      <c r="G92" s="70"/>
      <c r="H92" s="70"/>
      <c r="J92" s="70"/>
      <c r="L92" s="71"/>
      <c r="N92" s="70"/>
    </row>
    <row r="93" spans="1:14" x14ac:dyDescent="0.2">
      <c r="A93" s="1859"/>
      <c r="B93" s="180"/>
      <c r="C93" s="189"/>
      <c r="D93" s="182"/>
      <c r="E93" s="190"/>
      <c r="F93" s="1857"/>
      <c r="G93" s="70"/>
      <c r="H93" s="70"/>
      <c r="J93" s="70"/>
      <c r="L93" s="71"/>
      <c r="N93" s="70"/>
    </row>
    <row r="94" spans="1:14" x14ac:dyDescent="0.2">
      <c r="A94" s="1859"/>
      <c r="B94" s="180"/>
      <c r="C94" s="189"/>
      <c r="D94" s="182"/>
      <c r="E94" s="190"/>
      <c r="F94" s="1857"/>
      <c r="G94" s="70"/>
      <c r="H94" s="70"/>
      <c r="J94" s="70"/>
      <c r="L94" s="71"/>
      <c r="N94" s="70"/>
    </row>
    <row r="95" spans="1:14" x14ac:dyDescent="0.2">
      <c r="A95" s="1859"/>
      <c r="B95" s="180"/>
      <c r="C95" s="189"/>
      <c r="D95" s="182"/>
      <c r="E95" s="190"/>
      <c r="F95" s="1857"/>
      <c r="G95" s="70"/>
      <c r="H95" s="70"/>
      <c r="J95" s="70"/>
      <c r="L95" s="71"/>
      <c r="N95" s="70"/>
    </row>
    <row r="96" spans="1:14" x14ac:dyDescent="0.2">
      <c r="A96" s="1859"/>
      <c r="B96" s="180"/>
      <c r="C96" s="189"/>
      <c r="D96" s="182"/>
      <c r="E96" s="190"/>
      <c r="F96" s="1857"/>
      <c r="G96" s="70"/>
      <c r="H96" s="70"/>
      <c r="J96" s="70"/>
      <c r="L96" s="71"/>
      <c r="N96" s="70"/>
    </row>
    <row r="97" spans="1:14" x14ac:dyDescent="0.2">
      <c r="A97" s="1859"/>
      <c r="B97" s="180"/>
      <c r="C97" s="189"/>
      <c r="D97" s="182"/>
      <c r="E97" s="190"/>
      <c r="F97" s="1857"/>
      <c r="G97" s="70"/>
      <c r="H97" s="70"/>
      <c r="J97" s="70"/>
      <c r="L97" s="71"/>
      <c r="N97" s="70"/>
    </row>
    <row r="98" spans="1:14" x14ac:dyDescent="0.2">
      <c r="A98" s="1859"/>
      <c r="B98" s="180"/>
      <c r="C98" s="189"/>
      <c r="D98" s="182"/>
      <c r="E98" s="190"/>
      <c r="F98" s="1857"/>
      <c r="G98" s="70"/>
      <c r="H98" s="70"/>
      <c r="J98" s="70"/>
      <c r="L98" s="71"/>
      <c r="N98" s="70"/>
    </row>
    <row r="99" spans="1:14" x14ac:dyDescent="0.2">
      <c r="A99" s="1859"/>
      <c r="B99" s="180"/>
      <c r="C99" s="189"/>
      <c r="D99" s="182"/>
      <c r="E99" s="190"/>
      <c r="F99" s="1857"/>
      <c r="G99" s="70"/>
      <c r="H99" s="70"/>
      <c r="J99" s="70"/>
      <c r="L99" s="71"/>
      <c r="N99" s="70"/>
    </row>
    <row r="100" spans="1:14" x14ac:dyDescent="0.2">
      <c r="A100" s="1859"/>
      <c r="B100" s="180"/>
      <c r="C100" s="189"/>
      <c r="D100" s="182"/>
      <c r="E100" s="190"/>
      <c r="F100" s="1857"/>
      <c r="G100" s="70"/>
      <c r="H100" s="70"/>
      <c r="J100" s="70"/>
      <c r="L100" s="71"/>
      <c r="N100" s="70"/>
    </row>
    <row r="101" spans="1:14" x14ac:dyDescent="0.2">
      <c r="A101" s="1859"/>
      <c r="B101" s="180"/>
      <c r="C101" s="189"/>
      <c r="D101" s="182"/>
      <c r="E101" s="190"/>
      <c r="F101" s="1857"/>
      <c r="G101" s="70"/>
      <c r="H101" s="70"/>
      <c r="J101" s="70"/>
      <c r="L101" s="71"/>
      <c r="N101" s="70"/>
    </row>
    <row r="102" spans="1:14" x14ac:dyDescent="0.2">
      <c r="A102" s="1859"/>
      <c r="B102" s="180"/>
      <c r="C102" s="189"/>
      <c r="D102" s="182"/>
      <c r="E102" s="190"/>
      <c r="F102" s="1857"/>
      <c r="G102" s="70"/>
      <c r="H102" s="70"/>
      <c r="J102" s="70"/>
      <c r="L102" s="71"/>
      <c r="N102" s="70"/>
    </row>
    <row r="103" spans="1:14" x14ac:dyDescent="0.2">
      <c r="A103" s="1859"/>
      <c r="B103" s="180"/>
      <c r="C103" s="189"/>
      <c r="D103" s="182"/>
      <c r="E103" s="190"/>
      <c r="F103" s="1857"/>
      <c r="G103" s="70"/>
      <c r="H103" s="70"/>
      <c r="J103" s="70"/>
      <c r="L103" s="71"/>
      <c r="N103" s="70"/>
    </row>
    <row r="104" spans="1:14" x14ac:dyDescent="0.2">
      <c r="A104" s="1859"/>
      <c r="B104" s="180"/>
      <c r="C104" s="189"/>
      <c r="D104" s="182"/>
      <c r="E104" s="190"/>
      <c r="F104" s="1857"/>
      <c r="G104" s="70"/>
      <c r="H104" s="70"/>
      <c r="J104" s="70"/>
      <c r="L104" s="71"/>
      <c r="N104" s="70"/>
    </row>
    <row r="105" spans="1:14" x14ac:dyDescent="0.2">
      <c r="A105" s="1859"/>
      <c r="B105" s="180"/>
      <c r="C105" s="189"/>
      <c r="D105" s="182"/>
      <c r="E105" s="190"/>
      <c r="F105" s="1857"/>
      <c r="G105" s="70"/>
      <c r="H105" s="70"/>
      <c r="J105" s="70"/>
      <c r="L105" s="71"/>
      <c r="N105" s="70"/>
    </row>
    <row r="106" spans="1:14" x14ac:dyDescent="0.2">
      <c r="A106" s="1859"/>
      <c r="B106" s="180"/>
      <c r="C106" s="189"/>
      <c r="D106" s="182"/>
      <c r="E106" s="190"/>
      <c r="F106" s="1857"/>
      <c r="G106" s="70"/>
      <c r="H106" s="70"/>
      <c r="J106" s="70"/>
      <c r="L106" s="71"/>
      <c r="N106" s="70"/>
    </row>
    <row r="107" spans="1:14" x14ac:dyDescent="0.2">
      <c r="A107" s="1859"/>
      <c r="B107" s="180"/>
      <c r="C107" s="189"/>
      <c r="D107" s="182"/>
      <c r="E107" s="190"/>
      <c r="F107" s="1857"/>
      <c r="G107" s="70"/>
      <c r="H107" s="70"/>
      <c r="J107" s="70"/>
      <c r="L107" s="71"/>
      <c r="N107" s="70"/>
    </row>
    <row r="108" spans="1:14" x14ac:dyDescent="0.2">
      <c r="A108" s="1859"/>
      <c r="B108" s="180"/>
      <c r="C108" s="189"/>
      <c r="D108" s="182"/>
      <c r="E108" s="190"/>
      <c r="F108" s="1857"/>
      <c r="G108" s="70"/>
      <c r="H108" s="70"/>
      <c r="J108" s="70"/>
      <c r="L108" s="71"/>
      <c r="N108" s="70"/>
    </row>
    <row r="109" spans="1:14" x14ac:dyDescent="0.2">
      <c r="A109" s="1859"/>
      <c r="B109" s="180"/>
      <c r="C109" s="189"/>
      <c r="D109" s="182"/>
      <c r="E109" s="190"/>
      <c r="F109" s="1857"/>
      <c r="G109" s="70"/>
      <c r="H109" s="70"/>
      <c r="J109" s="70"/>
      <c r="L109" s="71"/>
      <c r="N109" s="70"/>
    </row>
    <row r="110" spans="1:14" x14ac:dyDescent="0.2">
      <c r="A110" s="1859"/>
      <c r="B110" s="180"/>
      <c r="C110" s="189"/>
      <c r="D110" s="182"/>
      <c r="E110" s="190"/>
      <c r="F110" s="1857"/>
      <c r="G110" s="70"/>
      <c r="H110" s="70"/>
      <c r="J110" s="70"/>
      <c r="L110" s="71"/>
      <c r="N110" s="70"/>
    </row>
    <row r="111" spans="1:14" x14ac:dyDescent="0.2">
      <c r="A111" s="1859"/>
      <c r="B111" s="180"/>
      <c r="C111" s="189"/>
      <c r="D111" s="182"/>
      <c r="E111" s="190"/>
      <c r="F111" s="1857"/>
      <c r="G111" s="70"/>
      <c r="H111" s="70"/>
      <c r="J111" s="70"/>
      <c r="L111" s="71"/>
      <c r="N111" s="70"/>
    </row>
    <row r="112" spans="1:14" x14ac:dyDescent="0.2">
      <c r="A112" s="1859"/>
      <c r="B112" s="180"/>
      <c r="C112" s="189"/>
      <c r="D112" s="182"/>
      <c r="E112" s="190"/>
      <c r="F112" s="1857"/>
      <c r="G112" s="70"/>
      <c r="H112" s="70"/>
      <c r="J112" s="70"/>
      <c r="L112" s="71"/>
      <c r="N112" s="70"/>
    </row>
    <row r="113" spans="1:14" x14ac:dyDescent="0.2">
      <c r="A113" s="1859"/>
      <c r="B113" s="180"/>
      <c r="C113" s="189"/>
      <c r="D113" s="182"/>
      <c r="E113" s="190"/>
      <c r="F113" s="1857"/>
      <c r="G113" s="70"/>
      <c r="H113" s="70"/>
      <c r="J113" s="70"/>
      <c r="L113" s="71"/>
      <c r="N113" s="70"/>
    </row>
    <row r="114" spans="1:14" x14ac:dyDescent="0.2">
      <c r="A114" s="1859"/>
      <c r="B114" s="180"/>
      <c r="C114" s="189"/>
      <c r="D114" s="182"/>
      <c r="E114" s="190"/>
      <c r="F114" s="1857"/>
      <c r="G114" s="70"/>
      <c r="H114" s="70"/>
      <c r="J114" s="70"/>
      <c r="L114" s="71"/>
      <c r="N114" s="70"/>
    </row>
    <row r="115" spans="1:14" x14ac:dyDescent="0.2">
      <c r="A115" s="1859"/>
      <c r="B115" s="180"/>
      <c r="C115" s="189"/>
      <c r="D115" s="182"/>
      <c r="E115" s="190"/>
      <c r="F115" s="1857"/>
      <c r="G115" s="70"/>
      <c r="H115" s="70"/>
      <c r="J115" s="70"/>
      <c r="L115" s="71"/>
      <c r="N115" s="70"/>
    </row>
    <row r="116" spans="1:14" x14ac:dyDescent="0.2">
      <c r="A116" s="1859"/>
      <c r="B116" s="180"/>
      <c r="C116" s="189"/>
      <c r="D116" s="182"/>
      <c r="E116" s="190"/>
      <c r="F116" s="1857"/>
      <c r="G116" s="70"/>
      <c r="H116" s="70"/>
      <c r="J116" s="70"/>
      <c r="L116" s="71"/>
      <c r="N116" s="70"/>
    </row>
    <row r="117" spans="1:14" x14ac:dyDescent="0.2">
      <c r="A117" s="1859"/>
      <c r="B117" s="180"/>
      <c r="C117" s="189"/>
      <c r="D117" s="182"/>
      <c r="E117" s="190"/>
      <c r="F117" s="1857"/>
      <c r="G117" s="70"/>
      <c r="H117" s="70"/>
      <c r="J117" s="70"/>
      <c r="L117" s="71"/>
      <c r="N117" s="70"/>
    </row>
    <row r="118" spans="1:14" x14ac:dyDescent="0.2">
      <c r="A118" s="1859"/>
      <c r="B118" s="180"/>
      <c r="C118" s="189"/>
      <c r="D118" s="182"/>
      <c r="E118" s="190"/>
      <c r="F118" s="1857"/>
      <c r="G118" s="70"/>
      <c r="H118" s="70"/>
      <c r="J118" s="70"/>
      <c r="L118" s="71"/>
      <c r="N118" s="70"/>
    </row>
    <row r="119" spans="1:14" x14ac:dyDescent="0.2">
      <c r="A119" s="1859"/>
      <c r="B119" s="180"/>
      <c r="C119" s="189"/>
      <c r="D119" s="182"/>
      <c r="E119" s="190"/>
      <c r="F119" s="1857"/>
      <c r="G119" s="70"/>
      <c r="H119" s="70"/>
      <c r="J119" s="70"/>
      <c r="L119" s="71"/>
      <c r="N119" s="70"/>
    </row>
    <row r="120" spans="1:14" x14ac:dyDescent="0.2">
      <c r="A120" s="1859"/>
      <c r="B120" s="180"/>
      <c r="C120" s="189"/>
      <c r="D120" s="182"/>
      <c r="E120" s="190"/>
      <c r="F120" s="1857"/>
      <c r="G120" s="70"/>
      <c r="H120" s="70"/>
      <c r="J120" s="70"/>
      <c r="L120" s="71"/>
      <c r="N120" s="70"/>
    </row>
    <row r="121" spans="1:14" x14ac:dyDescent="0.2">
      <c r="A121" s="1859"/>
      <c r="B121" s="180"/>
      <c r="C121" s="189"/>
      <c r="D121" s="182"/>
      <c r="E121" s="190"/>
      <c r="F121" s="1857"/>
      <c r="G121" s="70"/>
      <c r="H121" s="70"/>
      <c r="J121" s="70"/>
      <c r="L121" s="71"/>
      <c r="N121" s="70"/>
    </row>
    <row r="122" spans="1:14" x14ac:dyDescent="0.2">
      <c r="A122" s="1859"/>
      <c r="B122" s="180"/>
      <c r="C122" s="189"/>
      <c r="D122" s="182"/>
      <c r="E122" s="190"/>
      <c r="F122" s="1857"/>
      <c r="G122" s="70"/>
      <c r="H122" s="70"/>
      <c r="J122" s="70"/>
      <c r="L122" s="71"/>
      <c r="N122" s="70"/>
    </row>
    <row r="123" spans="1:14" x14ac:dyDescent="0.2">
      <c r="A123" s="1859"/>
      <c r="B123" s="180"/>
      <c r="C123" s="189"/>
      <c r="D123" s="182"/>
      <c r="E123" s="190"/>
      <c r="F123" s="1857"/>
      <c r="G123" s="70"/>
      <c r="H123" s="70"/>
      <c r="J123" s="70"/>
      <c r="L123" s="71"/>
      <c r="N123" s="70"/>
    </row>
    <row r="124" spans="1:14" x14ac:dyDescent="0.2">
      <c r="A124" s="1859"/>
      <c r="B124" s="180"/>
      <c r="C124" s="189"/>
      <c r="D124" s="182"/>
      <c r="E124" s="190"/>
      <c r="F124" s="1857"/>
      <c r="G124" s="70"/>
      <c r="H124" s="70"/>
      <c r="J124" s="70"/>
      <c r="L124" s="71"/>
      <c r="N124" s="70"/>
    </row>
    <row r="125" spans="1:14" x14ac:dyDescent="0.2">
      <c r="A125" s="1859"/>
      <c r="B125" s="180"/>
      <c r="C125" s="189"/>
      <c r="D125" s="182"/>
      <c r="E125" s="190"/>
      <c r="F125" s="1857"/>
      <c r="G125" s="70"/>
      <c r="H125" s="70"/>
      <c r="J125" s="70"/>
      <c r="L125" s="71"/>
      <c r="N125" s="70"/>
    </row>
    <row r="126" spans="1:14" x14ac:dyDescent="0.2">
      <c r="A126" s="1859"/>
      <c r="B126" s="180"/>
      <c r="C126" s="189"/>
      <c r="D126" s="182"/>
      <c r="E126" s="190"/>
      <c r="F126" s="1857"/>
      <c r="G126" s="70"/>
      <c r="H126" s="70"/>
      <c r="J126" s="70"/>
      <c r="L126" s="71"/>
      <c r="N126" s="70"/>
    </row>
    <row r="127" spans="1:14" x14ac:dyDescent="0.2">
      <c r="A127" s="1859"/>
      <c r="B127" s="180"/>
      <c r="C127" s="189"/>
      <c r="D127" s="182"/>
      <c r="E127" s="190"/>
      <c r="F127" s="1857"/>
      <c r="G127" s="70"/>
      <c r="H127" s="70"/>
      <c r="J127" s="70"/>
      <c r="L127" s="71"/>
      <c r="N127" s="70"/>
    </row>
    <row r="128" spans="1:14" x14ac:dyDescent="0.2">
      <c r="A128" s="1859"/>
      <c r="B128" s="180"/>
      <c r="C128" s="189"/>
      <c r="D128" s="182"/>
      <c r="E128" s="190"/>
      <c r="F128" s="1857"/>
      <c r="G128" s="70"/>
      <c r="H128" s="70"/>
      <c r="J128" s="70"/>
      <c r="L128" s="71"/>
      <c r="N128" s="70"/>
    </row>
    <row r="129" spans="1:14" x14ac:dyDescent="0.2">
      <c r="A129" s="1859"/>
      <c r="B129" s="180"/>
      <c r="C129" s="189"/>
      <c r="D129" s="182"/>
      <c r="E129" s="190"/>
      <c r="F129" s="1857"/>
      <c r="G129" s="70"/>
      <c r="H129" s="70"/>
      <c r="J129" s="70"/>
      <c r="L129" s="71"/>
      <c r="N129" s="70"/>
    </row>
    <row r="130" spans="1:14" x14ac:dyDescent="0.2">
      <c r="A130" s="1859"/>
      <c r="B130" s="180"/>
      <c r="C130" s="189"/>
      <c r="D130" s="182"/>
      <c r="E130" s="190"/>
      <c r="F130" s="1857"/>
      <c r="G130" s="70"/>
      <c r="H130" s="70"/>
      <c r="J130" s="70"/>
      <c r="L130" s="71"/>
      <c r="N130" s="70"/>
    </row>
    <row r="131" spans="1:14" x14ac:dyDescent="0.2">
      <c r="A131" s="1859"/>
      <c r="B131" s="180"/>
      <c r="C131" s="189"/>
      <c r="D131" s="182"/>
      <c r="E131" s="190"/>
      <c r="F131" s="1857"/>
      <c r="G131" s="70"/>
      <c r="H131" s="70"/>
      <c r="J131" s="70"/>
      <c r="L131" s="71"/>
      <c r="N131" s="70"/>
    </row>
    <row r="132" spans="1:14" x14ac:dyDescent="0.2">
      <c r="A132" s="1859"/>
      <c r="B132" s="180"/>
      <c r="C132" s="189"/>
      <c r="D132" s="182"/>
      <c r="E132" s="190"/>
      <c r="F132" s="1857"/>
      <c r="G132" s="70"/>
      <c r="H132" s="70"/>
      <c r="J132" s="70"/>
      <c r="L132" s="71"/>
      <c r="N132" s="70"/>
    </row>
    <row r="133" spans="1:14" x14ac:dyDescent="0.2">
      <c r="A133" s="1859"/>
      <c r="B133" s="180"/>
      <c r="C133" s="189"/>
      <c r="D133" s="182"/>
      <c r="E133" s="190"/>
      <c r="F133" s="1857"/>
      <c r="G133" s="70"/>
      <c r="H133" s="70"/>
      <c r="J133" s="70"/>
      <c r="L133" s="71"/>
      <c r="N133" s="70"/>
    </row>
    <row r="134" spans="1:14" x14ac:dyDescent="0.2">
      <c r="A134" s="1859"/>
      <c r="B134" s="180"/>
      <c r="C134" s="189"/>
      <c r="D134" s="182"/>
      <c r="E134" s="190"/>
      <c r="F134" s="1857"/>
      <c r="G134" s="70"/>
      <c r="H134" s="70"/>
      <c r="J134" s="70"/>
      <c r="L134" s="71"/>
      <c r="N134" s="70"/>
    </row>
    <row r="135" spans="1:14" x14ac:dyDescent="0.2">
      <c r="A135" s="1859"/>
      <c r="B135" s="180"/>
      <c r="C135" s="189"/>
      <c r="D135" s="182"/>
      <c r="E135" s="190"/>
      <c r="F135" s="1857"/>
      <c r="G135" s="70"/>
      <c r="H135" s="70"/>
      <c r="J135" s="70"/>
      <c r="L135" s="71"/>
      <c r="N135" s="70"/>
    </row>
    <row r="136" spans="1:14" x14ac:dyDescent="0.2">
      <c r="A136" s="1859"/>
      <c r="B136" s="180"/>
      <c r="C136" s="189"/>
      <c r="D136" s="182"/>
      <c r="E136" s="190"/>
      <c r="F136" s="1857"/>
      <c r="G136" s="70"/>
      <c r="H136" s="70"/>
      <c r="J136" s="70"/>
      <c r="L136" s="71"/>
      <c r="N136" s="70"/>
    </row>
    <row r="137" spans="1:14" x14ac:dyDescent="0.2">
      <c r="A137" s="1859"/>
      <c r="B137" s="180"/>
      <c r="C137" s="189"/>
      <c r="D137" s="182"/>
      <c r="E137" s="190"/>
      <c r="F137" s="1857"/>
      <c r="G137" s="70"/>
      <c r="H137" s="70"/>
      <c r="J137" s="70"/>
      <c r="L137" s="71"/>
      <c r="N137" s="70"/>
    </row>
    <row r="138" spans="1:14" x14ac:dyDescent="0.2">
      <c r="A138" s="1859"/>
      <c r="B138" s="180"/>
      <c r="C138" s="189"/>
      <c r="D138" s="182"/>
      <c r="E138" s="190"/>
      <c r="F138" s="1857"/>
      <c r="G138" s="70"/>
      <c r="H138" s="70"/>
      <c r="J138" s="70"/>
      <c r="L138" s="71"/>
      <c r="N138" s="70"/>
    </row>
    <row r="139" spans="1:14" x14ac:dyDescent="0.2">
      <c r="A139" s="1859"/>
      <c r="B139" s="180"/>
      <c r="C139" s="189"/>
      <c r="D139" s="182"/>
      <c r="E139" s="190"/>
      <c r="F139" s="1857"/>
      <c r="G139" s="70"/>
      <c r="H139" s="70"/>
      <c r="J139" s="70"/>
      <c r="L139" s="71"/>
      <c r="N139" s="70"/>
    </row>
    <row r="140" spans="1:14" x14ac:dyDescent="0.2">
      <c r="A140" s="1859"/>
      <c r="B140" s="180"/>
      <c r="C140" s="189"/>
      <c r="D140" s="182"/>
      <c r="E140" s="190"/>
      <c r="F140" s="1857"/>
      <c r="G140" s="70"/>
      <c r="H140" s="70"/>
      <c r="J140" s="70"/>
      <c r="L140" s="71"/>
      <c r="N140" s="70"/>
    </row>
    <row r="141" spans="1:14" x14ac:dyDescent="0.2">
      <c r="A141" s="1859"/>
      <c r="B141" s="180"/>
      <c r="C141" s="189"/>
      <c r="D141" s="182"/>
      <c r="E141" s="190"/>
      <c r="F141" s="1857"/>
      <c r="G141" s="70"/>
      <c r="H141" s="70"/>
      <c r="J141" s="70"/>
      <c r="L141" s="71"/>
      <c r="N141" s="70"/>
    </row>
    <row r="142" spans="1:14" x14ac:dyDescent="0.2">
      <c r="A142" s="1859"/>
      <c r="B142" s="180"/>
      <c r="C142" s="189"/>
      <c r="D142" s="182"/>
      <c r="E142" s="190"/>
      <c r="F142" s="1857"/>
      <c r="G142" s="70"/>
      <c r="H142" s="70"/>
      <c r="J142" s="70"/>
      <c r="L142" s="71"/>
      <c r="N142" s="70"/>
    </row>
    <row r="143" spans="1:14" x14ac:dyDescent="0.2">
      <c r="A143" s="1859"/>
      <c r="B143" s="180"/>
      <c r="C143" s="189"/>
      <c r="D143" s="182"/>
      <c r="E143" s="190"/>
      <c r="F143" s="1857"/>
      <c r="G143" s="70"/>
      <c r="H143" s="70"/>
      <c r="J143" s="70"/>
      <c r="L143" s="71"/>
      <c r="N143" s="70"/>
    </row>
    <row r="144" spans="1:14" x14ac:dyDescent="0.2">
      <c r="A144" s="1859"/>
      <c r="B144" s="180"/>
      <c r="C144" s="189"/>
      <c r="D144" s="182"/>
      <c r="E144" s="190"/>
      <c r="F144" s="1857"/>
      <c r="G144" s="70"/>
      <c r="H144" s="70"/>
      <c r="J144" s="70"/>
      <c r="L144" s="71"/>
      <c r="N144" s="70"/>
    </row>
    <row r="145" spans="1:14" x14ac:dyDescent="0.2">
      <c r="A145" s="1859"/>
      <c r="B145" s="180"/>
      <c r="C145" s="189"/>
      <c r="D145" s="182"/>
      <c r="E145" s="190"/>
      <c r="F145" s="1857"/>
      <c r="G145" s="70"/>
      <c r="H145" s="70"/>
      <c r="J145" s="70"/>
      <c r="L145" s="71"/>
      <c r="N145" s="70"/>
    </row>
    <row r="146" spans="1:14" x14ac:dyDescent="0.2">
      <c r="A146" s="1859"/>
      <c r="B146" s="180"/>
      <c r="C146" s="189"/>
      <c r="D146" s="182"/>
      <c r="E146" s="190"/>
      <c r="F146" s="1857"/>
      <c r="G146" s="70"/>
      <c r="H146" s="70"/>
      <c r="J146" s="70"/>
      <c r="L146" s="71"/>
      <c r="N146" s="70"/>
    </row>
    <row r="147" spans="1:14" x14ac:dyDescent="0.2">
      <c r="A147" s="1859"/>
      <c r="B147" s="180"/>
      <c r="C147" s="189"/>
      <c r="D147" s="182"/>
      <c r="E147" s="190"/>
      <c r="F147" s="1857"/>
      <c r="G147" s="70"/>
      <c r="H147" s="70"/>
      <c r="J147" s="70"/>
      <c r="L147" s="71"/>
      <c r="N147" s="70"/>
    </row>
    <row r="148" spans="1:14" x14ac:dyDescent="0.2">
      <c r="A148" s="1859"/>
      <c r="B148" s="180"/>
      <c r="C148" s="189"/>
      <c r="D148" s="182"/>
      <c r="E148" s="190"/>
      <c r="F148" s="1857"/>
      <c r="G148" s="70"/>
      <c r="H148" s="70"/>
      <c r="J148" s="70"/>
      <c r="L148" s="71"/>
      <c r="N148" s="70"/>
    </row>
    <row r="149" spans="1:14" x14ac:dyDescent="0.2">
      <c r="A149" s="1859"/>
      <c r="B149" s="180"/>
      <c r="C149" s="189"/>
      <c r="D149" s="182"/>
      <c r="E149" s="190"/>
      <c r="F149" s="1857"/>
      <c r="G149" s="70"/>
      <c r="H149" s="70"/>
      <c r="J149" s="70"/>
      <c r="L149" s="71"/>
      <c r="N149" s="70"/>
    </row>
    <row r="150" spans="1:14" x14ac:dyDescent="0.2">
      <c r="A150" s="1859"/>
      <c r="B150" s="180"/>
      <c r="C150" s="189"/>
      <c r="D150" s="182"/>
      <c r="E150" s="190"/>
      <c r="F150" s="1857"/>
      <c r="G150" s="70"/>
      <c r="H150" s="70"/>
      <c r="J150" s="70"/>
      <c r="L150" s="71"/>
      <c r="N150" s="70"/>
    </row>
    <row r="151" spans="1:14" x14ac:dyDescent="0.2">
      <c r="A151" s="1859"/>
      <c r="B151" s="180"/>
      <c r="C151" s="189"/>
      <c r="D151" s="182"/>
      <c r="E151" s="190"/>
      <c r="F151" s="1857"/>
      <c r="G151" s="70"/>
      <c r="H151" s="70"/>
      <c r="J151" s="70"/>
      <c r="L151" s="71"/>
      <c r="N151" s="70"/>
    </row>
    <row r="152" spans="1:14" x14ac:dyDescent="0.2">
      <c r="A152" s="1859"/>
      <c r="B152" s="180"/>
      <c r="C152" s="189"/>
      <c r="D152" s="182"/>
      <c r="E152" s="190"/>
      <c r="F152" s="1857"/>
      <c r="G152" s="70"/>
      <c r="H152" s="70"/>
      <c r="J152" s="70"/>
      <c r="L152" s="71"/>
      <c r="N152" s="70"/>
    </row>
    <row r="153" spans="1:14" x14ac:dyDescent="0.2">
      <c r="A153" s="1859"/>
      <c r="B153" s="180"/>
      <c r="C153" s="189"/>
      <c r="D153" s="182"/>
      <c r="E153" s="190"/>
      <c r="F153" s="1857"/>
      <c r="G153" s="70"/>
      <c r="H153" s="70"/>
      <c r="J153" s="70"/>
      <c r="L153" s="71"/>
      <c r="N153" s="70"/>
    </row>
    <row r="154" spans="1:14" x14ac:dyDescent="0.2">
      <c r="A154" s="1859"/>
      <c r="B154" s="180"/>
      <c r="C154" s="189"/>
      <c r="D154" s="182"/>
      <c r="E154" s="190"/>
      <c r="F154" s="1857"/>
      <c r="G154" s="70"/>
      <c r="H154" s="70"/>
      <c r="J154" s="70"/>
      <c r="L154" s="71"/>
      <c r="N154" s="70"/>
    </row>
    <row r="155" spans="1:14" x14ac:dyDescent="0.2">
      <c r="A155" s="1859"/>
      <c r="B155" s="180"/>
      <c r="C155" s="189"/>
      <c r="D155" s="182"/>
      <c r="E155" s="190"/>
      <c r="F155" s="1857"/>
      <c r="G155" s="70"/>
      <c r="H155" s="70"/>
      <c r="J155" s="70"/>
      <c r="L155" s="71"/>
      <c r="N155" s="70"/>
    </row>
    <row r="156" spans="1:14" x14ac:dyDescent="0.2">
      <c r="A156" s="1859"/>
      <c r="B156" s="180"/>
      <c r="C156" s="189"/>
      <c r="D156" s="182"/>
      <c r="E156" s="190"/>
      <c r="F156" s="1857"/>
      <c r="G156" s="70"/>
      <c r="H156" s="70"/>
      <c r="J156" s="70"/>
      <c r="L156" s="71"/>
      <c r="N156" s="70"/>
    </row>
    <row r="157" spans="1:14" x14ac:dyDescent="0.2">
      <c r="A157" s="1859"/>
      <c r="B157" s="180"/>
      <c r="C157" s="189"/>
      <c r="D157" s="182"/>
      <c r="E157" s="190"/>
      <c r="F157" s="1857"/>
      <c r="G157" s="70"/>
      <c r="H157" s="70"/>
      <c r="J157" s="70"/>
      <c r="L157" s="71"/>
      <c r="N157" s="70"/>
    </row>
    <row r="158" spans="1:14" x14ac:dyDescent="0.2">
      <c r="A158" s="1859"/>
      <c r="B158" s="180"/>
      <c r="C158" s="189"/>
      <c r="D158" s="182"/>
      <c r="E158" s="190"/>
      <c r="F158" s="1857"/>
      <c r="G158" s="70"/>
      <c r="H158" s="70"/>
      <c r="J158" s="70"/>
      <c r="L158" s="71"/>
      <c r="N158" s="70"/>
    </row>
    <row r="159" spans="1:14" x14ac:dyDescent="0.2">
      <c r="A159" s="1859"/>
      <c r="B159" s="180"/>
      <c r="C159" s="189"/>
      <c r="D159" s="182"/>
      <c r="E159" s="190"/>
      <c r="F159" s="1857"/>
      <c r="G159" s="70"/>
      <c r="H159" s="70"/>
      <c r="J159" s="70"/>
      <c r="L159" s="71"/>
      <c r="N159" s="70"/>
    </row>
    <row r="160" spans="1:14" x14ac:dyDescent="0.2">
      <c r="A160" s="1859"/>
      <c r="B160" s="180"/>
      <c r="C160" s="189"/>
      <c r="D160" s="182"/>
      <c r="E160" s="190"/>
      <c r="F160" s="1857"/>
      <c r="G160" s="70"/>
      <c r="H160" s="70"/>
      <c r="J160" s="70"/>
      <c r="L160" s="71"/>
      <c r="N160" s="70"/>
    </row>
    <row r="161" spans="1:14" x14ac:dyDescent="0.2">
      <c r="A161" s="1859"/>
      <c r="B161" s="180"/>
      <c r="C161" s="189"/>
      <c r="D161" s="182"/>
      <c r="E161" s="190"/>
      <c r="F161" s="1857"/>
      <c r="G161" s="70"/>
      <c r="H161" s="70"/>
      <c r="J161" s="70"/>
      <c r="L161" s="71"/>
      <c r="N161" s="70"/>
    </row>
    <row r="162" spans="1:14" x14ac:dyDescent="0.2">
      <c r="A162" s="1859"/>
      <c r="B162" s="180"/>
      <c r="C162" s="189"/>
      <c r="D162" s="182"/>
      <c r="E162" s="190"/>
      <c r="F162" s="1857"/>
      <c r="G162" s="70"/>
      <c r="H162" s="70"/>
      <c r="J162" s="70"/>
      <c r="L162" s="71"/>
      <c r="N162" s="70"/>
    </row>
    <row r="163" spans="1:14" x14ac:dyDescent="0.2">
      <c r="A163" s="1859"/>
      <c r="B163" s="180"/>
      <c r="C163" s="189"/>
      <c r="D163" s="182"/>
      <c r="E163" s="190"/>
      <c r="F163" s="1857"/>
      <c r="G163" s="70"/>
      <c r="H163" s="70"/>
      <c r="J163" s="70"/>
      <c r="L163" s="71"/>
      <c r="N163" s="70"/>
    </row>
    <row r="164" spans="1:14" x14ac:dyDescent="0.2">
      <c r="A164" s="1859"/>
      <c r="B164" s="180"/>
      <c r="C164" s="189"/>
      <c r="D164" s="182"/>
      <c r="E164" s="190"/>
      <c r="F164" s="1857"/>
      <c r="G164" s="70"/>
      <c r="H164" s="70"/>
      <c r="J164" s="70"/>
      <c r="L164" s="71"/>
      <c r="N164" s="70"/>
    </row>
    <row r="165" spans="1:14" x14ac:dyDescent="0.2">
      <c r="A165" s="1859"/>
      <c r="B165" s="180"/>
      <c r="C165" s="189"/>
      <c r="D165" s="182"/>
      <c r="E165" s="190"/>
      <c r="F165" s="1857"/>
      <c r="G165" s="70"/>
      <c r="H165" s="70"/>
      <c r="J165" s="70"/>
      <c r="L165" s="71"/>
      <c r="N165" s="70"/>
    </row>
    <row r="166" spans="1:14" x14ac:dyDescent="0.2">
      <c r="A166" s="1859"/>
      <c r="B166" s="180"/>
      <c r="C166" s="189"/>
      <c r="D166" s="182"/>
      <c r="E166" s="190"/>
      <c r="F166" s="1857"/>
      <c r="G166" s="70"/>
      <c r="H166" s="70"/>
      <c r="J166" s="70"/>
      <c r="L166" s="71"/>
      <c r="N166" s="70"/>
    </row>
    <row r="167" spans="1:14" x14ac:dyDescent="0.2">
      <c r="A167" s="1859"/>
      <c r="B167" s="180"/>
      <c r="C167" s="189"/>
      <c r="D167" s="182"/>
      <c r="E167" s="190"/>
      <c r="F167" s="1857"/>
      <c r="G167" s="70"/>
      <c r="H167" s="70"/>
      <c r="J167" s="70"/>
      <c r="L167" s="71"/>
      <c r="N167" s="70"/>
    </row>
    <row r="168" spans="1:14" x14ac:dyDescent="0.2">
      <c r="A168" s="1859"/>
      <c r="B168" s="180"/>
      <c r="C168" s="189"/>
      <c r="D168" s="182"/>
      <c r="E168" s="190"/>
      <c r="F168" s="1857"/>
      <c r="G168" s="70"/>
      <c r="H168" s="70"/>
      <c r="J168" s="70"/>
      <c r="L168" s="71"/>
      <c r="N168" s="70"/>
    </row>
    <row r="169" spans="1:14" x14ac:dyDescent="0.2">
      <c r="A169" s="1859"/>
      <c r="B169" s="180"/>
      <c r="C169" s="189"/>
      <c r="D169" s="182"/>
      <c r="E169" s="190"/>
      <c r="F169" s="1857"/>
      <c r="G169" s="70"/>
      <c r="H169" s="70"/>
      <c r="J169" s="70"/>
      <c r="L169" s="71"/>
      <c r="N169" s="70"/>
    </row>
    <row r="170" spans="1:14" x14ac:dyDescent="0.2">
      <c r="A170" s="1859"/>
      <c r="B170" s="180"/>
      <c r="C170" s="189"/>
      <c r="D170" s="182"/>
      <c r="E170" s="190"/>
      <c r="F170" s="1857"/>
      <c r="G170" s="70"/>
      <c r="H170" s="70"/>
      <c r="J170" s="70"/>
      <c r="L170" s="71"/>
      <c r="N170" s="70"/>
    </row>
    <row r="171" spans="1:14" x14ac:dyDescent="0.2">
      <c r="A171" s="1859"/>
      <c r="B171" s="180"/>
      <c r="C171" s="189"/>
      <c r="D171" s="182"/>
      <c r="E171" s="190"/>
      <c r="F171" s="1857"/>
      <c r="G171" s="70"/>
      <c r="H171" s="70"/>
      <c r="J171" s="70"/>
      <c r="L171" s="71"/>
      <c r="N171" s="70"/>
    </row>
    <row r="172" spans="1:14" x14ac:dyDescent="0.2">
      <c r="A172" s="1859"/>
      <c r="B172" s="180"/>
      <c r="C172" s="189"/>
      <c r="D172" s="182"/>
      <c r="E172" s="190"/>
      <c r="F172" s="1857"/>
      <c r="G172" s="70"/>
      <c r="H172" s="70"/>
      <c r="J172" s="70"/>
      <c r="L172" s="71"/>
      <c r="N172" s="70"/>
    </row>
    <row r="173" spans="1:14" x14ac:dyDescent="0.2">
      <c r="A173" s="1859"/>
      <c r="B173" s="180"/>
      <c r="C173" s="189"/>
      <c r="D173" s="182"/>
      <c r="E173" s="190"/>
      <c r="F173" s="1857"/>
      <c r="G173" s="70"/>
      <c r="H173" s="70"/>
      <c r="J173" s="70"/>
      <c r="L173" s="71"/>
      <c r="N173" s="70"/>
    </row>
    <row r="174" spans="1:14" x14ac:dyDescent="0.2">
      <c r="A174" s="1859"/>
      <c r="B174" s="180"/>
      <c r="C174" s="189"/>
      <c r="D174" s="182"/>
      <c r="E174" s="190"/>
      <c r="F174" s="1857"/>
      <c r="G174" s="70"/>
      <c r="H174" s="70"/>
      <c r="J174" s="70"/>
      <c r="L174" s="71"/>
      <c r="N174" s="70"/>
    </row>
    <row r="175" spans="1:14" x14ac:dyDescent="0.2">
      <c r="A175" s="1859"/>
      <c r="B175" s="180"/>
      <c r="C175" s="189"/>
      <c r="D175" s="182"/>
      <c r="E175" s="190"/>
      <c r="F175" s="1857"/>
      <c r="G175" s="70"/>
      <c r="H175" s="70"/>
      <c r="J175" s="70"/>
      <c r="L175" s="71"/>
      <c r="N175" s="70"/>
    </row>
    <row r="176" spans="1:14" x14ac:dyDescent="0.2">
      <c r="A176" s="1859"/>
      <c r="B176" s="180"/>
      <c r="C176" s="189"/>
      <c r="D176" s="182"/>
      <c r="E176" s="190"/>
      <c r="F176" s="1857"/>
      <c r="G176" s="70"/>
      <c r="H176" s="70"/>
      <c r="J176" s="70"/>
      <c r="L176" s="71"/>
      <c r="N176" s="70"/>
    </row>
    <row r="177" spans="1:14" x14ac:dyDescent="0.2">
      <c r="A177" s="1859"/>
      <c r="B177" s="180"/>
      <c r="C177" s="189"/>
      <c r="D177" s="182"/>
      <c r="E177" s="190"/>
      <c r="F177" s="1857"/>
      <c r="G177" s="70"/>
      <c r="H177" s="70"/>
      <c r="J177" s="70"/>
      <c r="L177" s="71"/>
      <c r="N177" s="70"/>
    </row>
    <row r="178" spans="1:14" x14ac:dyDescent="0.2">
      <c r="A178" s="1859"/>
      <c r="B178" s="180"/>
      <c r="C178" s="189"/>
      <c r="D178" s="182"/>
      <c r="E178" s="190"/>
      <c r="F178" s="1857"/>
      <c r="G178" s="70"/>
      <c r="H178" s="70"/>
      <c r="J178" s="70"/>
      <c r="L178" s="71"/>
      <c r="N178" s="70"/>
    </row>
    <row r="179" spans="1:14" x14ac:dyDescent="0.2">
      <c r="A179" s="1859"/>
      <c r="B179" s="180"/>
      <c r="C179" s="189"/>
      <c r="D179" s="182"/>
      <c r="E179" s="190"/>
      <c r="F179" s="1857"/>
      <c r="G179" s="70"/>
      <c r="H179" s="70"/>
      <c r="J179" s="70"/>
      <c r="L179" s="71"/>
      <c r="N179" s="70"/>
    </row>
    <row r="180" spans="1:14" x14ac:dyDescent="0.2">
      <c r="A180" s="1859"/>
      <c r="B180" s="180"/>
      <c r="C180" s="189"/>
      <c r="D180" s="182"/>
      <c r="E180" s="190"/>
      <c r="F180" s="1857"/>
      <c r="G180" s="70"/>
      <c r="H180" s="70"/>
      <c r="J180" s="70"/>
      <c r="L180" s="71"/>
      <c r="N180" s="70"/>
    </row>
    <row r="181" spans="1:14" x14ac:dyDescent="0.2">
      <c r="A181" s="1859"/>
      <c r="B181" s="180"/>
      <c r="C181" s="189"/>
      <c r="D181" s="182"/>
      <c r="E181" s="190"/>
      <c r="F181" s="1857"/>
      <c r="G181" s="70"/>
      <c r="H181" s="70"/>
      <c r="J181" s="70"/>
      <c r="L181" s="71"/>
      <c r="N181" s="70"/>
    </row>
    <row r="182" spans="1:14" x14ac:dyDescent="0.2">
      <c r="A182" s="1859"/>
      <c r="B182" s="180"/>
      <c r="C182" s="189"/>
      <c r="D182" s="182"/>
      <c r="E182" s="190"/>
      <c r="F182" s="1857"/>
      <c r="G182" s="70"/>
      <c r="H182" s="70"/>
      <c r="J182" s="70"/>
      <c r="L182" s="71"/>
      <c r="N182" s="70"/>
    </row>
    <row r="183" spans="1:14" x14ac:dyDescent="0.2">
      <c r="A183" s="1859"/>
      <c r="B183" s="180"/>
      <c r="C183" s="189"/>
      <c r="D183" s="182"/>
      <c r="E183" s="190"/>
      <c r="F183" s="1857"/>
      <c r="G183" s="70"/>
      <c r="H183" s="70"/>
      <c r="J183" s="70"/>
      <c r="L183" s="71"/>
      <c r="N183" s="70"/>
    </row>
    <row r="184" spans="1:14" x14ac:dyDescent="0.2">
      <c r="A184" s="1859"/>
      <c r="B184" s="180"/>
      <c r="C184" s="189"/>
      <c r="D184" s="182"/>
      <c r="E184" s="190"/>
      <c r="F184" s="1857"/>
      <c r="G184" s="70"/>
      <c r="H184" s="70"/>
      <c r="J184" s="70"/>
      <c r="L184" s="71"/>
      <c r="N184" s="70"/>
    </row>
    <row r="185" spans="1:14" x14ac:dyDescent="0.2">
      <c r="A185" s="1859"/>
      <c r="B185" s="180"/>
      <c r="C185" s="189"/>
      <c r="D185" s="182"/>
      <c r="E185" s="190"/>
      <c r="F185" s="1857"/>
      <c r="G185" s="70"/>
      <c r="H185" s="70"/>
      <c r="J185" s="70"/>
      <c r="L185" s="71"/>
      <c r="N185" s="70"/>
    </row>
    <row r="186" spans="1:14" x14ac:dyDescent="0.2">
      <c r="A186" s="1859"/>
      <c r="B186" s="180"/>
      <c r="C186" s="189"/>
      <c r="D186" s="182"/>
      <c r="E186" s="190"/>
      <c r="F186" s="1857"/>
      <c r="G186" s="70"/>
      <c r="H186" s="70"/>
      <c r="J186" s="70"/>
      <c r="L186" s="71"/>
      <c r="N186" s="70"/>
    </row>
    <row r="187" spans="1:14" x14ac:dyDescent="0.2">
      <c r="A187" s="1859"/>
      <c r="B187" s="180"/>
      <c r="C187" s="189"/>
      <c r="D187" s="182"/>
      <c r="E187" s="190"/>
      <c r="F187" s="1857"/>
      <c r="G187" s="70"/>
      <c r="H187" s="70"/>
      <c r="J187" s="70"/>
      <c r="L187" s="71"/>
      <c r="N187" s="70"/>
    </row>
    <row r="188" spans="1:14" x14ac:dyDescent="0.2">
      <c r="A188" s="1859"/>
      <c r="B188" s="180"/>
      <c r="C188" s="189"/>
      <c r="D188" s="182"/>
      <c r="E188" s="190"/>
      <c r="F188" s="1857"/>
      <c r="G188" s="70"/>
      <c r="H188" s="70"/>
      <c r="J188" s="70"/>
      <c r="L188" s="71"/>
      <c r="N188" s="70"/>
    </row>
    <row r="189" spans="1:14" x14ac:dyDescent="0.2">
      <c r="A189" s="1859"/>
      <c r="B189" s="180"/>
      <c r="C189" s="189"/>
      <c r="D189" s="182"/>
      <c r="E189" s="190"/>
      <c r="F189" s="1857"/>
      <c r="G189" s="70"/>
      <c r="H189" s="70"/>
      <c r="J189" s="70"/>
      <c r="L189" s="71"/>
      <c r="N189" s="70"/>
    </row>
    <row r="190" spans="1:14" x14ac:dyDescent="0.2">
      <c r="A190" s="1859"/>
      <c r="B190" s="180"/>
      <c r="C190" s="189"/>
      <c r="D190" s="182"/>
      <c r="E190" s="190"/>
      <c r="F190" s="1857"/>
      <c r="G190" s="70"/>
      <c r="H190" s="70"/>
      <c r="J190" s="70"/>
      <c r="L190" s="71"/>
      <c r="N190" s="70"/>
    </row>
    <row r="191" spans="1:14" x14ac:dyDescent="0.2">
      <c r="A191" s="1859"/>
      <c r="B191" s="180"/>
      <c r="C191" s="189"/>
      <c r="D191" s="182"/>
      <c r="E191" s="190"/>
      <c r="F191" s="1857"/>
      <c r="G191" s="70"/>
      <c r="H191" s="70"/>
      <c r="J191" s="70"/>
      <c r="L191" s="71"/>
      <c r="N191" s="70"/>
    </row>
    <row r="192" spans="1:14" x14ac:dyDescent="0.2">
      <c r="A192" s="1859"/>
      <c r="B192" s="180"/>
      <c r="C192" s="189"/>
      <c r="D192" s="182"/>
      <c r="E192" s="190"/>
      <c r="F192" s="1857"/>
      <c r="G192" s="70"/>
      <c r="H192" s="70"/>
      <c r="J192" s="70"/>
      <c r="L192" s="71"/>
      <c r="N192" s="70"/>
    </row>
    <row r="193" spans="1:14" x14ac:dyDescent="0.2">
      <c r="A193" s="1859"/>
      <c r="B193" s="180"/>
      <c r="C193" s="189"/>
      <c r="D193" s="182"/>
      <c r="E193" s="190"/>
      <c r="F193" s="1857"/>
      <c r="G193" s="70"/>
      <c r="H193" s="70"/>
      <c r="J193" s="70"/>
      <c r="L193" s="71"/>
      <c r="N193" s="70"/>
    </row>
    <row r="194" spans="1:14" x14ac:dyDescent="0.2">
      <c r="A194" s="1859"/>
      <c r="B194" s="180"/>
      <c r="C194" s="189"/>
      <c r="D194" s="182"/>
      <c r="E194" s="190"/>
      <c r="F194" s="1857"/>
      <c r="G194" s="70"/>
      <c r="H194" s="70"/>
      <c r="J194" s="70"/>
      <c r="L194" s="71"/>
      <c r="N194" s="70"/>
    </row>
    <row r="195" spans="1:14" x14ac:dyDescent="0.2">
      <c r="A195" s="1859"/>
      <c r="B195" s="180"/>
      <c r="C195" s="189"/>
      <c r="D195" s="182"/>
      <c r="E195" s="190"/>
      <c r="F195" s="1857"/>
      <c r="G195" s="70"/>
      <c r="H195" s="70"/>
      <c r="J195" s="70"/>
      <c r="L195" s="71"/>
      <c r="N195" s="70"/>
    </row>
    <row r="196" spans="1:14" x14ac:dyDescent="0.2">
      <c r="A196" s="1859"/>
      <c r="B196" s="180"/>
      <c r="C196" s="189"/>
      <c r="D196" s="182"/>
      <c r="E196" s="190"/>
      <c r="F196" s="1857"/>
      <c r="G196" s="70"/>
      <c r="H196" s="70"/>
      <c r="J196" s="70"/>
      <c r="L196" s="71"/>
      <c r="N196" s="70"/>
    </row>
    <row r="197" spans="1:14" x14ac:dyDescent="0.2">
      <c r="A197" s="1859"/>
      <c r="B197" s="180"/>
      <c r="C197" s="189"/>
      <c r="D197" s="182"/>
      <c r="E197" s="190"/>
      <c r="F197" s="1857"/>
      <c r="G197" s="70"/>
      <c r="H197" s="70"/>
      <c r="J197" s="70"/>
      <c r="L197" s="71"/>
      <c r="N197" s="70"/>
    </row>
    <row r="198" spans="1:14" x14ac:dyDescent="0.2">
      <c r="A198" s="1859"/>
      <c r="B198" s="180"/>
      <c r="C198" s="189"/>
      <c r="D198" s="182"/>
      <c r="E198" s="190"/>
      <c r="F198" s="1857"/>
      <c r="G198" s="70"/>
      <c r="H198" s="70"/>
      <c r="J198" s="70"/>
      <c r="L198" s="71"/>
      <c r="N198" s="70"/>
    </row>
    <row r="199" spans="1:14" x14ac:dyDescent="0.2">
      <c r="A199" s="1859"/>
      <c r="B199" s="180"/>
      <c r="C199" s="189"/>
      <c r="D199" s="182"/>
      <c r="E199" s="190"/>
      <c r="F199" s="1857"/>
      <c r="G199" s="70"/>
      <c r="H199" s="70"/>
      <c r="J199" s="70"/>
      <c r="L199" s="71"/>
      <c r="N199" s="70"/>
    </row>
    <row r="200" spans="1:14" x14ac:dyDescent="0.2">
      <c r="A200" s="1859"/>
      <c r="B200" s="180"/>
      <c r="C200" s="189"/>
      <c r="D200" s="182"/>
      <c r="E200" s="190"/>
      <c r="F200" s="1857"/>
      <c r="G200" s="70"/>
      <c r="H200" s="70"/>
      <c r="J200" s="70"/>
      <c r="L200" s="71"/>
      <c r="N200" s="70"/>
    </row>
    <row r="201" spans="1:14" x14ac:dyDescent="0.2">
      <c r="A201" s="1859"/>
      <c r="B201" s="180"/>
      <c r="C201" s="189"/>
      <c r="D201" s="182"/>
      <c r="E201" s="190"/>
      <c r="F201" s="1857"/>
      <c r="G201" s="70"/>
      <c r="H201" s="70"/>
      <c r="J201" s="70"/>
      <c r="L201" s="71"/>
      <c r="N201" s="70"/>
    </row>
    <row r="202" spans="1:14" x14ac:dyDescent="0.2">
      <c r="A202" s="1859"/>
      <c r="B202" s="180"/>
      <c r="C202" s="189"/>
      <c r="D202" s="182"/>
      <c r="E202" s="190"/>
      <c r="F202" s="1857"/>
      <c r="G202" s="70"/>
      <c r="H202" s="70"/>
      <c r="J202" s="70"/>
      <c r="L202" s="71"/>
      <c r="N202" s="70"/>
    </row>
    <row r="203" spans="1:14" x14ac:dyDescent="0.2">
      <c r="A203" s="1859"/>
      <c r="B203" s="180"/>
      <c r="C203" s="189"/>
      <c r="D203" s="182"/>
      <c r="E203" s="190"/>
      <c r="F203" s="1857"/>
      <c r="G203" s="70"/>
      <c r="H203" s="70"/>
      <c r="J203" s="70"/>
      <c r="L203" s="71"/>
      <c r="N203" s="70"/>
    </row>
    <row r="204" spans="1:14" x14ac:dyDescent="0.2">
      <c r="A204" s="1859"/>
      <c r="B204" s="180"/>
      <c r="C204" s="189"/>
      <c r="D204" s="182"/>
      <c r="E204" s="190"/>
      <c r="F204" s="1857"/>
      <c r="G204" s="70"/>
      <c r="H204" s="70"/>
      <c r="J204" s="70"/>
      <c r="L204" s="71"/>
      <c r="N204" s="70"/>
    </row>
    <row r="205" spans="1:14" x14ac:dyDescent="0.2">
      <c r="A205" s="1859"/>
      <c r="B205" s="180"/>
      <c r="C205" s="189"/>
      <c r="D205" s="182"/>
      <c r="E205" s="190"/>
      <c r="F205" s="1857"/>
      <c r="G205" s="70"/>
      <c r="H205" s="70"/>
      <c r="J205" s="70"/>
      <c r="L205" s="71"/>
      <c r="N205" s="70"/>
    </row>
    <row r="206" spans="1:14" x14ac:dyDescent="0.2">
      <c r="A206" s="1859"/>
      <c r="B206" s="180"/>
      <c r="C206" s="189"/>
      <c r="D206" s="182"/>
      <c r="E206" s="190"/>
      <c r="F206" s="1857"/>
      <c r="G206" s="70"/>
      <c r="H206" s="70"/>
      <c r="J206" s="70"/>
      <c r="L206" s="71"/>
      <c r="N206" s="70"/>
    </row>
    <row r="207" spans="1:14" x14ac:dyDescent="0.2">
      <c r="A207" s="1859"/>
      <c r="B207" s="180"/>
      <c r="C207" s="189"/>
      <c r="D207" s="182"/>
      <c r="E207" s="190"/>
      <c r="F207" s="1857"/>
      <c r="G207" s="70"/>
      <c r="H207" s="70"/>
      <c r="J207" s="70"/>
      <c r="L207" s="71"/>
      <c r="N207" s="70"/>
    </row>
    <row r="208" spans="1:14" x14ac:dyDescent="0.2">
      <c r="A208" s="1859"/>
      <c r="B208" s="180"/>
      <c r="C208" s="189"/>
      <c r="D208" s="182"/>
      <c r="E208" s="190"/>
      <c r="F208" s="1857"/>
      <c r="G208" s="70"/>
      <c r="H208" s="70"/>
      <c r="J208" s="70"/>
      <c r="L208" s="71"/>
      <c r="N208" s="70"/>
    </row>
    <row r="209" spans="1:14" x14ac:dyDescent="0.2">
      <c r="A209" s="1859"/>
      <c r="B209" s="180"/>
      <c r="C209" s="189"/>
      <c r="D209" s="182"/>
      <c r="E209" s="190"/>
      <c r="F209" s="1857"/>
      <c r="G209" s="70"/>
      <c r="H209" s="70"/>
      <c r="J209" s="70"/>
      <c r="L209" s="71"/>
      <c r="N209" s="70"/>
    </row>
    <row r="210" spans="1:14" x14ac:dyDescent="0.2">
      <c r="A210" s="1859"/>
      <c r="B210" s="180"/>
      <c r="C210" s="189"/>
      <c r="D210" s="182"/>
      <c r="E210" s="190"/>
      <c r="F210" s="1857"/>
      <c r="G210" s="70"/>
      <c r="H210" s="70"/>
      <c r="J210" s="70"/>
      <c r="L210" s="71"/>
      <c r="N210" s="70"/>
    </row>
    <row r="211" spans="1:14" x14ac:dyDescent="0.2">
      <c r="A211" s="1859"/>
      <c r="B211" s="180"/>
      <c r="C211" s="189"/>
      <c r="D211" s="182"/>
      <c r="E211" s="190"/>
      <c r="F211" s="1857"/>
      <c r="G211" s="70"/>
      <c r="H211" s="70"/>
      <c r="J211" s="70"/>
      <c r="L211" s="71"/>
      <c r="N211" s="70"/>
    </row>
    <row r="212" spans="1:14" x14ac:dyDescent="0.2">
      <c r="A212" s="1859"/>
      <c r="B212" s="180"/>
      <c r="C212" s="189"/>
      <c r="D212" s="182"/>
      <c r="E212" s="190"/>
      <c r="F212" s="1857"/>
      <c r="G212" s="70"/>
      <c r="H212" s="70"/>
      <c r="J212" s="70"/>
      <c r="L212" s="71"/>
      <c r="N212" s="70"/>
    </row>
    <row r="213" spans="1:14" x14ac:dyDescent="0.2">
      <c r="A213" s="1859"/>
      <c r="B213" s="180"/>
      <c r="C213" s="189"/>
      <c r="D213" s="182"/>
      <c r="E213" s="190"/>
      <c r="F213" s="1857"/>
      <c r="G213" s="70"/>
      <c r="H213" s="70"/>
      <c r="J213" s="70"/>
      <c r="L213" s="71"/>
      <c r="N213" s="70"/>
    </row>
    <row r="214" spans="1:14" x14ac:dyDescent="0.2">
      <c r="A214" s="1859"/>
      <c r="B214" s="180"/>
      <c r="C214" s="189"/>
      <c r="D214" s="182"/>
      <c r="E214" s="190"/>
      <c r="F214" s="1857"/>
      <c r="G214" s="70"/>
      <c r="H214" s="70"/>
      <c r="J214" s="70"/>
      <c r="L214" s="71"/>
      <c r="N214" s="70"/>
    </row>
    <row r="215" spans="1:14" x14ac:dyDescent="0.2">
      <c r="A215" s="1859"/>
      <c r="B215" s="180"/>
      <c r="C215" s="189"/>
      <c r="D215" s="182"/>
      <c r="E215" s="190"/>
      <c r="F215" s="1857"/>
      <c r="G215" s="70"/>
      <c r="H215" s="70"/>
      <c r="J215" s="70"/>
      <c r="L215" s="71"/>
      <c r="N215" s="70"/>
    </row>
    <row r="216" spans="1:14" x14ac:dyDescent="0.2">
      <c r="A216" s="1859"/>
      <c r="B216" s="180"/>
      <c r="C216" s="189"/>
      <c r="D216" s="182"/>
      <c r="E216" s="190"/>
      <c r="F216" s="1857"/>
      <c r="G216" s="70"/>
      <c r="H216" s="70"/>
      <c r="J216" s="70"/>
      <c r="L216" s="71"/>
      <c r="N216" s="70"/>
    </row>
    <row r="217" spans="1:14" x14ac:dyDescent="0.2">
      <c r="A217" s="1859"/>
      <c r="B217" s="180"/>
      <c r="C217" s="189"/>
      <c r="D217" s="182"/>
      <c r="E217" s="190"/>
      <c r="F217" s="1857"/>
      <c r="G217" s="70"/>
      <c r="H217" s="70"/>
      <c r="J217" s="70"/>
      <c r="L217" s="71"/>
      <c r="N217" s="70"/>
    </row>
    <row r="218" spans="1:14" x14ac:dyDescent="0.2">
      <c r="A218" s="1859"/>
      <c r="B218" s="180"/>
      <c r="C218" s="189"/>
      <c r="D218" s="182"/>
      <c r="E218" s="190"/>
      <c r="F218" s="1857"/>
      <c r="G218" s="70"/>
      <c r="H218" s="70"/>
      <c r="J218" s="70"/>
      <c r="L218" s="71"/>
      <c r="N218" s="70"/>
    </row>
    <row r="219" spans="1:14" x14ac:dyDescent="0.2">
      <c r="A219" s="1859"/>
      <c r="B219" s="180"/>
      <c r="C219" s="189"/>
      <c r="D219" s="182"/>
      <c r="E219" s="190"/>
      <c r="F219" s="1857"/>
      <c r="G219" s="70"/>
      <c r="H219" s="70"/>
      <c r="J219" s="70"/>
      <c r="L219" s="71"/>
      <c r="N219" s="70"/>
    </row>
    <row r="220" spans="1:14" x14ac:dyDescent="0.2">
      <c r="A220" s="1859"/>
      <c r="B220" s="180"/>
      <c r="C220" s="189"/>
      <c r="D220" s="182"/>
      <c r="E220" s="190"/>
      <c r="F220" s="1857"/>
      <c r="G220" s="70"/>
      <c r="H220" s="70"/>
      <c r="J220" s="70"/>
      <c r="L220" s="71"/>
      <c r="N220" s="70"/>
    </row>
    <row r="221" spans="1:14" x14ac:dyDescent="0.2">
      <c r="A221" s="1859"/>
      <c r="B221" s="180"/>
      <c r="C221" s="189"/>
      <c r="D221" s="182"/>
      <c r="E221" s="190"/>
      <c r="F221" s="1857"/>
      <c r="G221" s="70"/>
      <c r="H221" s="70"/>
      <c r="J221" s="70"/>
      <c r="L221" s="71"/>
      <c r="N221" s="70"/>
    </row>
    <row r="222" spans="1:14" x14ac:dyDescent="0.2">
      <c r="A222" s="1859"/>
      <c r="B222" s="180"/>
      <c r="C222" s="189"/>
      <c r="D222" s="182"/>
      <c r="E222" s="190"/>
      <c r="F222" s="1857"/>
      <c r="G222" s="70"/>
      <c r="H222" s="70"/>
      <c r="J222" s="70"/>
      <c r="L222" s="71"/>
      <c r="N222" s="70"/>
    </row>
    <row r="223" spans="1:14" x14ac:dyDescent="0.2">
      <c r="A223" s="1859"/>
      <c r="B223" s="180"/>
      <c r="C223" s="189"/>
      <c r="D223" s="182"/>
      <c r="E223" s="190"/>
      <c r="F223" s="1857"/>
      <c r="G223" s="70"/>
      <c r="H223" s="70"/>
      <c r="J223" s="70"/>
      <c r="L223" s="71"/>
      <c r="N223" s="70"/>
    </row>
    <row r="224" spans="1:14" x14ac:dyDescent="0.2">
      <c r="A224" s="1859"/>
      <c r="B224" s="180"/>
      <c r="C224" s="189"/>
      <c r="D224" s="182"/>
      <c r="E224" s="190"/>
      <c r="F224" s="1857"/>
      <c r="G224" s="70"/>
      <c r="H224" s="70"/>
      <c r="J224" s="70"/>
      <c r="L224" s="71"/>
      <c r="N224" s="70"/>
    </row>
    <row r="225" spans="1:14" x14ac:dyDescent="0.2">
      <c r="A225" s="1859"/>
      <c r="B225" s="180"/>
      <c r="C225" s="189"/>
      <c r="D225" s="182"/>
      <c r="E225" s="190"/>
      <c r="F225" s="1857"/>
      <c r="G225" s="70"/>
      <c r="H225" s="70"/>
      <c r="J225" s="70"/>
      <c r="L225" s="71"/>
      <c r="N225" s="70"/>
    </row>
    <row r="226" spans="1:14" x14ac:dyDescent="0.2">
      <c r="A226" s="1859"/>
      <c r="B226" s="180"/>
      <c r="C226" s="189"/>
      <c r="D226" s="182"/>
      <c r="E226" s="190"/>
      <c r="F226" s="1857"/>
      <c r="G226" s="70"/>
      <c r="H226" s="70"/>
      <c r="J226" s="70"/>
      <c r="L226" s="71"/>
      <c r="N226" s="70"/>
    </row>
    <row r="227" spans="1:14" x14ac:dyDescent="0.2">
      <c r="A227" s="1859"/>
      <c r="B227" s="180"/>
      <c r="C227" s="189"/>
      <c r="D227" s="182"/>
      <c r="E227" s="190"/>
      <c r="F227" s="1857"/>
      <c r="G227" s="70"/>
      <c r="H227" s="70"/>
      <c r="J227" s="70"/>
      <c r="L227" s="71"/>
      <c r="N227" s="70"/>
    </row>
    <row r="228" spans="1:14" x14ac:dyDescent="0.2">
      <c r="A228" s="1859"/>
      <c r="B228" s="180"/>
      <c r="C228" s="189"/>
      <c r="D228" s="182"/>
      <c r="E228" s="190"/>
      <c r="F228" s="1857"/>
      <c r="G228" s="70"/>
      <c r="H228" s="70"/>
      <c r="J228" s="70"/>
      <c r="L228" s="71"/>
      <c r="N228" s="70"/>
    </row>
    <row r="229" spans="1:14" x14ac:dyDescent="0.2">
      <c r="A229" s="1859"/>
      <c r="B229" s="180"/>
      <c r="C229" s="189"/>
      <c r="D229" s="182"/>
      <c r="E229" s="190"/>
      <c r="F229" s="1857"/>
      <c r="G229" s="70"/>
      <c r="H229" s="70"/>
      <c r="J229" s="70"/>
      <c r="L229" s="71"/>
      <c r="N229" s="70"/>
    </row>
    <row r="230" spans="1:14" x14ac:dyDescent="0.2">
      <c r="A230" s="1859"/>
      <c r="B230" s="180"/>
      <c r="C230" s="189"/>
      <c r="D230" s="182"/>
      <c r="E230" s="190"/>
      <c r="F230" s="1857"/>
      <c r="G230" s="70"/>
      <c r="H230" s="70"/>
      <c r="J230" s="70"/>
      <c r="L230" s="71"/>
      <c r="N230" s="70"/>
    </row>
    <row r="231" spans="1:14" x14ac:dyDescent="0.2">
      <c r="A231" s="1859"/>
      <c r="B231" s="180"/>
      <c r="C231" s="189"/>
      <c r="D231" s="182"/>
      <c r="E231" s="190"/>
      <c r="F231" s="1857"/>
      <c r="G231" s="70"/>
      <c r="H231" s="70"/>
      <c r="J231" s="70"/>
      <c r="L231" s="71"/>
      <c r="N231" s="70"/>
    </row>
    <row r="232" spans="1:14" x14ac:dyDescent="0.2">
      <c r="A232" s="1859"/>
      <c r="B232" s="180"/>
      <c r="C232" s="189"/>
      <c r="D232" s="182"/>
      <c r="E232" s="190"/>
      <c r="F232" s="1857"/>
      <c r="G232" s="70"/>
      <c r="H232" s="70"/>
      <c r="J232" s="70"/>
      <c r="L232" s="71"/>
      <c r="N232" s="70"/>
    </row>
    <row r="233" spans="1:14" x14ac:dyDescent="0.2">
      <c r="A233" s="1859"/>
      <c r="B233" s="180"/>
      <c r="C233" s="189"/>
      <c r="D233" s="182"/>
      <c r="E233" s="190"/>
      <c r="F233" s="1857"/>
      <c r="G233" s="70"/>
      <c r="H233" s="70"/>
      <c r="J233" s="70"/>
      <c r="L233" s="71"/>
      <c r="N233" s="70"/>
    </row>
    <row r="234" spans="1:14" x14ac:dyDescent="0.2">
      <c r="A234" s="1859"/>
      <c r="B234" s="180"/>
      <c r="C234" s="189"/>
      <c r="D234" s="182"/>
      <c r="E234" s="190"/>
      <c r="F234" s="1857"/>
      <c r="G234" s="70"/>
      <c r="H234" s="70"/>
      <c r="J234" s="70"/>
      <c r="L234" s="71"/>
      <c r="N234" s="70"/>
    </row>
    <row r="235" spans="1:14" x14ac:dyDescent="0.2">
      <c r="A235" s="1859"/>
      <c r="B235" s="180"/>
      <c r="C235" s="189"/>
      <c r="D235" s="182"/>
      <c r="E235" s="190"/>
      <c r="F235" s="1857"/>
      <c r="G235" s="70"/>
      <c r="H235" s="70"/>
      <c r="J235" s="70"/>
      <c r="L235" s="71"/>
      <c r="N235" s="70"/>
    </row>
    <row r="236" spans="1:14" x14ac:dyDescent="0.2">
      <c r="A236" s="1859"/>
      <c r="B236" s="180"/>
      <c r="C236" s="189"/>
      <c r="D236" s="182"/>
      <c r="E236" s="190"/>
      <c r="F236" s="1857"/>
      <c r="G236" s="70"/>
      <c r="H236" s="70"/>
      <c r="J236" s="70"/>
      <c r="L236" s="71"/>
      <c r="N236" s="70"/>
    </row>
    <row r="237" spans="1:14" x14ac:dyDescent="0.2">
      <c r="A237" s="1859"/>
      <c r="B237" s="180"/>
      <c r="C237" s="189"/>
      <c r="D237" s="182"/>
      <c r="E237" s="190"/>
      <c r="F237" s="1857"/>
      <c r="G237" s="70"/>
      <c r="H237" s="70"/>
      <c r="J237" s="70"/>
      <c r="L237" s="71"/>
      <c r="N237" s="70"/>
    </row>
    <row r="238" spans="1:14" x14ac:dyDescent="0.2">
      <c r="A238" s="1859"/>
      <c r="B238" s="180"/>
      <c r="C238" s="189"/>
      <c r="D238" s="182"/>
      <c r="E238" s="190"/>
      <c r="F238" s="1857"/>
      <c r="G238" s="70"/>
      <c r="H238" s="70"/>
      <c r="J238" s="70"/>
      <c r="L238" s="71"/>
      <c r="N238" s="70"/>
    </row>
    <row r="239" spans="1:14" x14ac:dyDescent="0.2">
      <c r="A239" s="1859"/>
      <c r="B239" s="180"/>
      <c r="C239" s="189"/>
      <c r="D239" s="182"/>
      <c r="E239" s="190"/>
      <c r="F239" s="1857"/>
      <c r="G239" s="70"/>
      <c r="H239" s="70"/>
      <c r="J239" s="70"/>
      <c r="L239" s="71"/>
      <c r="N239" s="70"/>
    </row>
    <row r="240" spans="1:14" x14ac:dyDescent="0.2">
      <c r="A240" s="1859"/>
      <c r="B240" s="180"/>
      <c r="C240" s="189"/>
      <c r="D240" s="182"/>
      <c r="E240" s="190"/>
      <c r="F240" s="1857"/>
      <c r="G240" s="70"/>
      <c r="H240" s="70"/>
      <c r="J240" s="70"/>
      <c r="L240" s="71"/>
      <c r="N240" s="70"/>
    </row>
    <row r="241" spans="1:14" x14ac:dyDescent="0.2">
      <c r="A241" s="1859"/>
      <c r="B241" s="180"/>
      <c r="C241" s="189"/>
      <c r="D241" s="182"/>
      <c r="E241" s="190"/>
      <c r="F241" s="1857"/>
      <c r="G241" s="70"/>
      <c r="H241" s="70"/>
      <c r="J241" s="70"/>
      <c r="L241" s="71"/>
      <c r="N241" s="70"/>
    </row>
    <row r="242" spans="1:14" x14ac:dyDescent="0.2">
      <c r="A242" s="1859"/>
      <c r="B242" s="180"/>
      <c r="C242" s="189"/>
      <c r="D242" s="182"/>
      <c r="E242" s="190"/>
      <c r="F242" s="1857"/>
      <c r="G242" s="70"/>
      <c r="H242" s="70"/>
      <c r="J242" s="70"/>
      <c r="L242" s="71"/>
      <c r="N242" s="70"/>
    </row>
    <row r="243" spans="1:14" x14ac:dyDescent="0.2">
      <c r="A243" s="1859"/>
      <c r="B243" s="180"/>
      <c r="C243" s="189"/>
      <c r="D243" s="182"/>
      <c r="E243" s="190"/>
      <c r="F243" s="1857"/>
      <c r="G243" s="70"/>
      <c r="H243" s="70"/>
      <c r="J243" s="70"/>
      <c r="L243" s="71"/>
      <c r="N243" s="70"/>
    </row>
    <row r="244" spans="1:14" x14ac:dyDescent="0.2">
      <c r="A244" s="1859"/>
      <c r="B244" s="180"/>
      <c r="C244" s="189"/>
      <c r="D244" s="182"/>
      <c r="E244" s="190"/>
      <c r="F244" s="1857"/>
      <c r="G244" s="70"/>
      <c r="H244" s="70"/>
      <c r="J244" s="70"/>
      <c r="L244" s="71"/>
      <c r="N244" s="70"/>
    </row>
    <row r="245" spans="1:14" x14ac:dyDescent="0.2">
      <c r="A245" s="1859"/>
      <c r="B245" s="180"/>
      <c r="C245" s="189"/>
      <c r="D245" s="182"/>
      <c r="E245" s="190"/>
      <c r="F245" s="1857"/>
      <c r="G245" s="70"/>
      <c r="H245" s="70"/>
      <c r="J245" s="70"/>
      <c r="L245" s="71"/>
      <c r="N245" s="70"/>
    </row>
    <row r="246" spans="1:14" x14ac:dyDescent="0.2">
      <c r="A246" s="1859"/>
      <c r="B246" s="180"/>
      <c r="C246" s="189"/>
      <c r="D246" s="182"/>
      <c r="E246" s="190"/>
      <c r="F246" s="1857"/>
      <c r="G246" s="70"/>
      <c r="H246" s="70"/>
      <c r="J246" s="70"/>
      <c r="L246" s="71"/>
      <c r="N246" s="70"/>
    </row>
    <row r="247" spans="1:14" x14ac:dyDescent="0.2">
      <c r="A247" s="1859"/>
      <c r="B247" s="180"/>
      <c r="C247" s="189"/>
      <c r="D247" s="182"/>
      <c r="E247" s="190"/>
      <c r="F247" s="1857"/>
      <c r="G247" s="70"/>
      <c r="H247" s="70"/>
      <c r="J247" s="70"/>
      <c r="L247" s="71"/>
      <c r="N247" s="70"/>
    </row>
    <row r="248" spans="1:14" x14ac:dyDescent="0.2">
      <c r="A248" s="1859"/>
      <c r="B248" s="180"/>
      <c r="C248" s="189"/>
      <c r="D248" s="182"/>
      <c r="E248" s="190"/>
      <c r="F248" s="1857"/>
      <c r="G248" s="70"/>
      <c r="H248" s="70"/>
      <c r="J248" s="70"/>
      <c r="L248" s="71"/>
      <c r="N248" s="70"/>
    </row>
    <row r="249" spans="1:14" x14ac:dyDescent="0.2">
      <c r="A249" s="1859"/>
      <c r="B249" s="180"/>
      <c r="C249" s="189"/>
      <c r="D249" s="182"/>
      <c r="E249" s="190"/>
      <c r="F249" s="1857"/>
      <c r="G249" s="70"/>
      <c r="H249" s="70"/>
      <c r="J249" s="70"/>
      <c r="L249" s="71"/>
      <c r="N249" s="70"/>
    </row>
    <row r="250" spans="1:14" x14ac:dyDescent="0.2">
      <c r="A250" s="1859"/>
      <c r="B250" s="180"/>
      <c r="C250" s="189"/>
      <c r="D250" s="182"/>
      <c r="E250" s="190"/>
      <c r="F250" s="1857"/>
      <c r="G250" s="70"/>
      <c r="H250" s="70"/>
      <c r="J250" s="70"/>
      <c r="L250" s="71"/>
      <c r="N250" s="70"/>
    </row>
    <row r="251" spans="1:14" x14ac:dyDescent="0.2">
      <c r="A251" s="1859"/>
      <c r="B251" s="180"/>
      <c r="C251" s="189"/>
      <c r="D251" s="182"/>
      <c r="E251" s="190"/>
      <c r="F251" s="1857"/>
      <c r="G251" s="70"/>
      <c r="H251" s="70"/>
      <c r="J251" s="70"/>
      <c r="L251" s="71"/>
      <c r="N251" s="70"/>
    </row>
    <row r="252" spans="1:14" x14ac:dyDescent="0.2">
      <c r="A252" s="1859"/>
      <c r="B252" s="180"/>
      <c r="C252" s="189"/>
      <c r="D252" s="182"/>
      <c r="E252" s="190"/>
      <c r="F252" s="1857"/>
      <c r="G252" s="70"/>
      <c r="H252" s="70"/>
      <c r="J252" s="70"/>
      <c r="L252" s="71"/>
      <c r="N252" s="70"/>
    </row>
    <row r="253" spans="1:14" x14ac:dyDescent="0.2">
      <c r="A253" s="1859"/>
      <c r="B253" s="180"/>
      <c r="C253" s="189"/>
      <c r="D253" s="182"/>
      <c r="E253" s="190"/>
      <c r="F253" s="1857"/>
      <c r="G253" s="70"/>
      <c r="H253" s="70"/>
      <c r="J253" s="70"/>
      <c r="L253" s="71"/>
      <c r="N253" s="70"/>
    </row>
    <row r="254" spans="1:14" x14ac:dyDescent="0.2">
      <c r="A254" s="1859"/>
      <c r="B254" s="180"/>
      <c r="C254" s="189"/>
      <c r="D254" s="182"/>
      <c r="E254" s="190"/>
      <c r="F254" s="1857"/>
      <c r="G254" s="70"/>
      <c r="H254" s="70"/>
      <c r="J254" s="70"/>
      <c r="L254" s="71"/>
      <c r="N254" s="70"/>
    </row>
    <row r="255" spans="1:14" x14ac:dyDescent="0.2">
      <c r="A255" s="1859"/>
      <c r="B255" s="180"/>
      <c r="C255" s="189"/>
      <c r="D255" s="182"/>
      <c r="E255" s="190"/>
      <c r="F255" s="1857"/>
      <c r="G255" s="70"/>
      <c r="H255" s="70"/>
      <c r="J255" s="70"/>
      <c r="L255" s="71"/>
      <c r="N255" s="70"/>
    </row>
    <row r="256" spans="1:14" x14ac:dyDescent="0.2">
      <c r="A256" s="1859"/>
      <c r="B256" s="180"/>
      <c r="C256" s="189"/>
      <c r="D256" s="182"/>
      <c r="E256" s="190"/>
      <c r="F256" s="1857"/>
      <c r="G256" s="70"/>
      <c r="H256" s="70"/>
      <c r="J256" s="70"/>
      <c r="L256" s="71"/>
      <c r="N256" s="70"/>
    </row>
    <row r="257" spans="1:14" x14ac:dyDescent="0.2">
      <c r="A257" s="1859"/>
      <c r="B257" s="180"/>
      <c r="C257" s="189"/>
      <c r="D257" s="182"/>
      <c r="E257" s="190"/>
      <c r="F257" s="1857"/>
      <c r="G257" s="70"/>
      <c r="H257" s="70"/>
      <c r="J257" s="70"/>
      <c r="L257" s="71"/>
      <c r="N257" s="70"/>
    </row>
    <row r="258" spans="1:14" x14ac:dyDescent="0.2">
      <c r="A258" s="1859"/>
      <c r="B258" s="180"/>
      <c r="C258" s="189"/>
      <c r="D258" s="182"/>
      <c r="E258" s="190"/>
      <c r="F258" s="1857"/>
      <c r="G258" s="70"/>
      <c r="H258" s="70"/>
      <c r="J258" s="70"/>
      <c r="L258" s="71"/>
      <c r="N258" s="70"/>
    </row>
    <row r="259" spans="1:14" x14ac:dyDescent="0.2">
      <c r="A259" s="1859"/>
      <c r="B259" s="180"/>
      <c r="C259" s="189"/>
      <c r="D259" s="182"/>
      <c r="E259" s="190"/>
      <c r="F259" s="1857"/>
      <c r="G259" s="70"/>
      <c r="H259" s="70"/>
      <c r="J259" s="70"/>
      <c r="L259" s="71"/>
      <c r="N259" s="70"/>
    </row>
    <row r="260" spans="1:14" x14ac:dyDescent="0.2">
      <c r="A260" s="1859"/>
      <c r="B260" s="180"/>
      <c r="C260" s="189"/>
      <c r="D260" s="182"/>
      <c r="E260" s="190"/>
      <c r="F260" s="1857"/>
      <c r="G260" s="70"/>
      <c r="H260" s="70"/>
      <c r="J260" s="70"/>
      <c r="L260" s="71"/>
      <c r="N260" s="70"/>
    </row>
    <row r="261" spans="1:14" x14ac:dyDescent="0.2">
      <c r="A261" s="1859"/>
      <c r="B261" s="180"/>
      <c r="C261" s="189"/>
      <c r="D261" s="182"/>
      <c r="E261" s="190"/>
      <c r="F261" s="1857"/>
      <c r="G261" s="70"/>
      <c r="H261" s="70"/>
      <c r="J261" s="70"/>
      <c r="L261" s="71"/>
      <c r="N261" s="70"/>
    </row>
    <row r="262" spans="1:14" x14ac:dyDescent="0.2">
      <c r="A262" s="1859"/>
      <c r="B262" s="180"/>
      <c r="C262" s="189"/>
      <c r="D262" s="182"/>
      <c r="E262" s="190"/>
      <c r="F262" s="1857"/>
      <c r="G262" s="70"/>
      <c r="H262" s="70"/>
      <c r="J262" s="70"/>
      <c r="L262" s="71"/>
      <c r="N262" s="70"/>
    </row>
    <row r="263" spans="1:14" x14ac:dyDescent="0.2">
      <c r="A263" s="1859"/>
      <c r="B263" s="180"/>
      <c r="C263" s="189"/>
      <c r="D263" s="182"/>
      <c r="E263" s="190"/>
      <c r="F263" s="1857"/>
      <c r="G263" s="70"/>
      <c r="H263" s="70"/>
      <c r="J263" s="70"/>
      <c r="L263" s="71"/>
      <c r="N263" s="70"/>
    </row>
    <row r="264" spans="1:14" x14ac:dyDescent="0.2">
      <c r="A264" s="1859"/>
      <c r="B264" s="180"/>
      <c r="C264" s="189"/>
      <c r="D264" s="182"/>
      <c r="E264" s="190"/>
      <c r="F264" s="1857"/>
      <c r="G264" s="70"/>
      <c r="H264" s="70"/>
      <c r="J264" s="70"/>
      <c r="L264" s="71"/>
      <c r="N264" s="70"/>
    </row>
    <row r="265" spans="1:14" x14ac:dyDescent="0.2">
      <c r="A265" s="1859"/>
      <c r="B265" s="180"/>
      <c r="C265" s="189"/>
      <c r="D265" s="182"/>
      <c r="E265" s="190"/>
      <c r="F265" s="1857"/>
      <c r="G265" s="70"/>
      <c r="H265" s="70"/>
      <c r="J265" s="70"/>
      <c r="L265" s="71"/>
      <c r="N265" s="70"/>
    </row>
    <row r="266" spans="1:14" x14ac:dyDescent="0.2">
      <c r="A266" s="1859"/>
      <c r="B266" s="180"/>
      <c r="C266" s="189"/>
      <c r="D266" s="182"/>
      <c r="E266" s="190"/>
      <c r="F266" s="1857"/>
      <c r="G266" s="70"/>
      <c r="H266" s="70"/>
      <c r="J266" s="70"/>
      <c r="L266" s="71"/>
      <c r="N266" s="70"/>
    </row>
    <row r="267" spans="1:14" x14ac:dyDescent="0.2">
      <c r="A267" s="1859"/>
      <c r="B267" s="180"/>
      <c r="C267" s="189"/>
      <c r="D267" s="182"/>
      <c r="E267" s="190"/>
      <c r="F267" s="1857"/>
      <c r="G267" s="70"/>
      <c r="H267" s="70"/>
      <c r="J267" s="70"/>
      <c r="L267" s="71"/>
      <c r="N267" s="70"/>
    </row>
    <row r="268" spans="1:14" x14ac:dyDescent="0.2">
      <c r="A268" s="1859"/>
      <c r="B268" s="180"/>
      <c r="C268" s="189"/>
      <c r="D268" s="182"/>
      <c r="E268" s="190"/>
      <c r="F268" s="1857"/>
      <c r="G268" s="70"/>
      <c r="H268" s="70"/>
      <c r="J268" s="70"/>
      <c r="L268" s="71"/>
      <c r="N268" s="70"/>
    </row>
    <row r="269" spans="1:14" x14ac:dyDescent="0.2">
      <c r="A269" s="1859"/>
      <c r="B269" s="180"/>
      <c r="C269" s="189"/>
      <c r="D269" s="182"/>
      <c r="E269" s="190"/>
      <c r="F269" s="1857"/>
      <c r="G269" s="70"/>
      <c r="H269" s="70"/>
      <c r="J269" s="70"/>
      <c r="L269" s="71"/>
      <c r="N269" s="70"/>
    </row>
    <row r="270" spans="1:14" x14ac:dyDescent="0.2">
      <c r="A270" s="1859"/>
      <c r="B270" s="180"/>
      <c r="C270" s="189"/>
      <c r="D270" s="182"/>
      <c r="E270" s="190"/>
      <c r="F270" s="1857"/>
      <c r="G270" s="70"/>
      <c r="H270" s="70"/>
      <c r="J270" s="70"/>
      <c r="L270" s="71"/>
      <c r="N270" s="70"/>
    </row>
    <row r="271" spans="1:14" x14ac:dyDescent="0.2">
      <c r="A271" s="1859"/>
      <c r="B271" s="180"/>
      <c r="C271" s="189"/>
      <c r="D271" s="182"/>
      <c r="E271" s="190"/>
      <c r="F271" s="1857"/>
      <c r="G271" s="70"/>
      <c r="H271" s="70"/>
      <c r="J271" s="70"/>
      <c r="L271" s="71"/>
      <c r="N271" s="70"/>
    </row>
    <row r="272" spans="1:14" x14ac:dyDescent="0.2">
      <c r="A272" s="1859"/>
      <c r="B272" s="180"/>
      <c r="C272" s="189"/>
      <c r="D272" s="182"/>
      <c r="E272" s="190"/>
      <c r="F272" s="1857"/>
      <c r="G272" s="70"/>
      <c r="H272" s="70"/>
      <c r="J272" s="70"/>
      <c r="L272" s="71"/>
      <c r="N272" s="70"/>
    </row>
    <row r="273" spans="1:14" x14ac:dyDescent="0.2">
      <c r="A273" s="1859"/>
      <c r="B273" s="180"/>
      <c r="C273" s="189"/>
      <c r="D273" s="182"/>
      <c r="E273" s="190"/>
      <c r="F273" s="1857"/>
      <c r="G273" s="70"/>
      <c r="H273" s="70"/>
      <c r="J273" s="70"/>
      <c r="L273" s="71"/>
      <c r="N273" s="70"/>
    </row>
    <row r="274" spans="1:14" x14ac:dyDescent="0.2">
      <c r="A274" s="1859"/>
      <c r="B274" s="180"/>
      <c r="C274" s="189"/>
      <c r="D274" s="182"/>
      <c r="E274" s="190"/>
      <c r="F274" s="1857"/>
      <c r="G274" s="70"/>
      <c r="H274" s="70"/>
      <c r="J274" s="70"/>
      <c r="L274" s="71"/>
      <c r="N274" s="70"/>
    </row>
    <row r="275" spans="1:14" x14ac:dyDescent="0.2">
      <c r="A275" s="1859"/>
      <c r="B275" s="180"/>
      <c r="C275" s="189"/>
      <c r="D275" s="182"/>
      <c r="E275" s="190"/>
      <c r="F275" s="1857"/>
      <c r="G275" s="70"/>
      <c r="H275" s="70"/>
      <c r="J275" s="70"/>
      <c r="L275" s="71"/>
      <c r="N275" s="70"/>
    </row>
    <row r="276" spans="1:14" x14ac:dyDescent="0.2">
      <c r="A276" s="1859"/>
      <c r="B276" s="180"/>
      <c r="C276" s="189"/>
      <c r="D276" s="182"/>
      <c r="E276" s="190"/>
      <c r="F276" s="1857"/>
      <c r="G276" s="70"/>
      <c r="H276" s="70"/>
      <c r="J276" s="70"/>
      <c r="L276" s="71"/>
      <c r="N276" s="70"/>
    </row>
    <row r="277" spans="1:14" x14ac:dyDescent="0.2">
      <c r="A277" s="1859"/>
      <c r="B277" s="180"/>
      <c r="C277" s="189"/>
      <c r="D277" s="182"/>
      <c r="E277" s="190"/>
      <c r="F277" s="1857"/>
      <c r="G277" s="70"/>
      <c r="H277" s="70"/>
      <c r="J277" s="70"/>
      <c r="L277" s="71"/>
      <c r="N277" s="70"/>
    </row>
    <row r="278" spans="1:14" x14ac:dyDescent="0.2">
      <c r="A278" s="1859"/>
      <c r="B278" s="180"/>
      <c r="C278" s="189"/>
      <c r="D278" s="182"/>
      <c r="E278" s="190"/>
      <c r="F278" s="1857"/>
      <c r="G278" s="70"/>
      <c r="H278" s="70"/>
      <c r="J278" s="70"/>
      <c r="L278" s="71"/>
      <c r="N278" s="70"/>
    </row>
    <row r="279" spans="1:14" x14ac:dyDescent="0.2">
      <c r="A279" s="1859"/>
      <c r="B279" s="180"/>
      <c r="C279" s="189"/>
      <c r="D279" s="182"/>
      <c r="E279" s="190"/>
      <c r="F279" s="1857"/>
      <c r="G279" s="70"/>
      <c r="H279" s="70"/>
      <c r="J279" s="70"/>
      <c r="L279" s="71"/>
      <c r="N279" s="70"/>
    </row>
    <row r="280" spans="1:14" x14ac:dyDescent="0.2">
      <c r="A280" s="1859"/>
      <c r="B280" s="180"/>
      <c r="C280" s="189"/>
      <c r="D280" s="182"/>
      <c r="E280" s="190"/>
      <c r="F280" s="1857"/>
      <c r="G280" s="70"/>
      <c r="H280" s="70"/>
      <c r="J280" s="70"/>
      <c r="L280" s="71"/>
      <c r="N280" s="70"/>
    </row>
    <row r="281" spans="1:14" x14ac:dyDescent="0.2">
      <c r="A281" s="1859"/>
      <c r="B281" s="180"/>
      <c r="C281" s="189"/>
      <c r="D281" s="182"/>
      <c r="E281" s="190"/>
      <c r="F281" s="1857"/>
      <c r="G281" s="70"/>
      <c r="H281" s="70"/>
      <c r="J281" s="70"/>
      <c r="L281" s="71"/>
      <c r="N281" s="70"/>
    </row>
    <row r="282" spans="1:14" x14ac:dyDescent="0.2">
      <c r="A282" s="1859"/>
      <c r="B282" s="180"/>
      <c r="C282" s="189"/>
      <c r="D282" s="182"/>
      <c r="E282" s="190"/>
      <c r="F282" s="1857"/>
      <c r="G282" s="70"/>
      <c r="H282" s="70"/>
      <c r="J282" s="70"/>
      <c r="L282" s="71"/>
      <c r="N282" s="70"/>
    </row>
    <row r="283" spans="1:14" x14ac:dyDescent="0.2">
      <c r="A283" s="1859"/>
      <c r="B283" s="180"/>
      <c r="C283" s="189"/>
      <c r="D283" s="182"/>
      <c r="E283" s="190"/>
      <c r="F283" s="1857"/>
      <c r="G283" s="70"/>
      <c r="H283" s="70"/>
      <c r="J283" s="70"/>
      <c r="L283" s="71"/>
      <c r="N283" s="70"/>
    </row>
    <row r="284" spans="1:14" x14ac:dyDescent="0.2">
      <c r="A284" s="1859"/>
      <c r="B284" s="180"/>
      <c r="C284" s="189"/>
      <c r="D284" s="182"/>
      <c r="E284" s="190"/>
      <c r="F284" s="1857"/>
      <c r="G284" s="70"/>
      <c r="H284" s="70"/>
      <c r="J284" s="70"/>
      <c r="L284" s="71"/>
      <c r="N284" s="70"/>
    </row>
    <row r="285" spans="1:14" x14ac:dyDescent="0.2">
      <c r="A285" s="1859"/>
      <c r="B285" s="180"/>
      <c r="C285" s="189"/>
      <c r="D285" s="182"/>
      <c r="E285" s="190"/>
      <c r="F285" s="1857"/>
      <c r="G285" s="70"/>
      <c r="H285" s="70"/>
      <c r="J285" s="70"/>
      <c r="L285" s="71"/>
      <c r="N285" s="70"/>
    </row>
    <row r="286" spans="1:14" x14ac:dyDescent="0.2">
      <c r="A286" s="1859"/>
      <c r="B286" s="180"/>
      <c r="C286" s="189"/>
      <c r="D286" s="182"/>
      <c r="E286" s="190"/>
      <c r="F286" s="1857"/>
      <c r="G286" s="70"/>
      <c r="H286" s="70"/>
      <c r="J286" s="70"/>
      <c r="L286" s="71"/>
      <c r="N286" s="70"/>
    </row>
    <row r="287" spans="1:14" x14ac:dyDescent="0.2">
      <c r="A287" s="1859"/>
      <c r="B287" s="180"/>
      <c r="C287" s="189"/>
      <c r="D287" s="182"/>
      <c r="E287" s="190"/>
      <c r="F287" s="1857"/>
      <c r="G287" s="70"/>
      <c r="H287" s="70"/>
      <c r="J287" s="70"/>
      <c r="L287" s="71"/>
      <c r="N287" s="70"/>
    </row>
    <row r="288" spans="1:14" x14ac:dyDescent="0.2">
      <c r="A288" s="1859"/>
      <c r="B288" s="180"/>
      <c r="C288" s="189"/>
      <c r="D288" s="182"/>
      <c r="E288" s="190"/>
      <c r="F288" s="1857"/>
      <c r="G288" s="70"/>
      <c r="H288" s="70"/>
      <c r="J288" s="70"/>
      <c r="L288" s="71"/>
      <c r="N288" s="70"/>
    </row>
    <row r="289" spans="1:14" x14ac:dyDescent="0.2">
      <c r="A289" s="1859"/>
      <c r="B289" s="180"/>
      <c r="C289" s="189"/>
      <c r="D289" s="182"/>
      <c r="E289" s="190"/>
      <c r="F289" s="1857"/>
      <c r="G289" s="70"/>
      <c r="H289" s="70"/>
      <c r="J289" s="70"/>
      <c r="L289" s="71"/>
      <c r="N289" s="70"/>
    </row>
    <row r="290" spans="1:14" x14ac:dyDescent="0.2">
      <c r="A290" s="1859"/>
      <c r="B290" s="180"/>
      <c r="C290" s="189"/>
      <c r="D290" s="182"/>
      <c r="E290" s="190"/>
      <c r="F290" s="1857"/>
      <c r="G290" s="70"/>
      <c r="H290" s="70"/>
      <c r="J290" s="70"/>
      <c r="L290" s="71"/>
      <c r="N290" s="70"/>
    </row>
    <row r="291" spans="1:14" x14ac:dyDescent="0.2">
      <c r="A291" s="1859"/>
      <c r="B291" s="180"/>
      <c r="C291" s="189"/>
      <c r="D291" s="182"/>
      <c r="E291" s="190"/>
      <c r="F291" s="1857"/>
      <c r="G291" s="70"/>
      <c r="H291" s="70"/>
      <c r="J291" s="70"/>
      <c r="L291" s="71"/>
      <c r="N291" s="70"/>
    </row>
    <row r="292" spans="1:14" x14ac:dyDescent="0.2">
      <c r="A292" s="1859"/>
      <c r="B292" s="180"/>
      <c r="C292" s="189"/>
      <c r="D292" s="182"/>
      <c r="E292" s="190"/>
      <c r="F292" s="1857"/>
      <c r="G292" s="70"/>
      <c r="H292" s="70"/>
      <c r="J292" s="70"/>
      <c r="L292" s="71"/>
      <c r="N292" s="70"/>
    </row>
    <row r="293" spans="1:14" x14ac:dyDescent="0.2">
      <c r="A293" s="1859"/>
      <c r="B293" s="180"/>
      <c r="C293" s="189"/>
      <c r="D293" s="182"/>
      <c r="E293" s="190"/>
      <c r="F293" s="1857"/>
      <c r="G293" s="70"/>
      <c r="H293" s="70"/>
      <c r="J293" s="70"/>
      <c r="L293" s="71"/>
      <c r="N293" s="70"/>
    </row>
    <row r="294" spans="1:14" x14ac:dyDescent="0.2">
      <c r="A294" s="1859"/>
      <c r="B294" s="180"/>
      <c r="C294" s="189"/>
      <c r="D294" s="182"/>
      <c r="E294" s="190"/>
      <c r="F294" s="1857"/>
      <c r="G294" s="70"/>
      <c r="H294" s="70"/>
      <c r="J294" s="70"/>
      <c r="L294" s="71"/>
      <c r="N294" s="70"/>
    </row>
    <row r="295" spans="1:14" x14ac:dyDescent="0.2">
      <c r="A295" s="1859"/>
      <c r="B295" s="180"/>
      <c r="C295" s="189"/>
      <c r="D295" s="182"/>
      <c r="E295" s="190"/>
      <c r="F295" s="1857"/>
      <c r="G295" s="70"/>
      <c r="H295" s="70"/>
      <c r="J295" s="70"/>
      <c r="L295" s="71"/>
      <c r="N295" s="70"/>
    </row>
    <row r="296" spans="1:14" x14ac:dyDescent="0.2">
      <c r="A296" s="1859"/>
      <c r="B296" s="180"/>
      <c r="C296" s="189"/>
      <c r="D296" s="182"/>
      <c r="E296" s="190"/>
      <c r="F296" s="1857"/>
      <c r="G296" s="70"/>
      <c r="H296" s="70"/>
      <c r="J296" s="70"/>
      <c r="L296" s="71"/>
      <c r="N296" s="70"/>
    </row>
    <row r="297" spans="1:14" x14ac:dyDescent="0.2">
      <c r="A297" s="1859"/>
      <c r="B297" s="180"/>
      <c r="C297" s="189"/>
      <c r="D297" s="182"/>
      <c r="E297" s="190"/>
      <c r="F297" s="1857"/>
      <c r="G297" s="70"/>
      <c r="H297" s="70"/>
      <c r="J297" s="70"/>
      <c r="L297" s="71"/>
      <c r="N297" s="70"/>
    </row>
    <row r="298" spans="1:14" x14ac:dyDescent="0.2">
      <c r="A298" s="1859"/>
      <c r="B298" s="180"/>
      <c r="C298" s="189"/>
      <c r="D298" s="182"/>
      <c r="E298" s="190"/>
      <c r="F298" s="1857"/>
      <c r="G298" s="70"/>
      <c r="H298" s="70"/>
      <c r="J298" s="70"/>
      <c r="L298" s="71"/>
      <c r="N298" s="70"/>
    </row>
    <row r="299" spans="1:14" x14ac:dyDescent="0.2">
      <c r="A299" s="1859"/>
      <c r="B299" s="180"/>
      <c r="C299" s="189"/>
      <c r="D299" s="182"/>
      <c r="E299" s="190"/>
      <c r="F299" s="1857"/>
      <c r="G299" s="70"/>
      <c r="H299" s="70"/>
      <c r="J299" s="70"/>
      <c r="L299" s="71"/>
      <c r="N299" s="70"/>
    </row>
    <row r="300" spans="1:14" x14ac:dyDescent="0.2">
      <c r="A300" s="1859"/>
      <c r="B300" s="180"/>
      <c r="C300" s="189"/>
      <c r="D300" s="182"/>
      <c r="E300" s="190"/>
      <c r="F300" s="1857"/>
      <c r="G300" s="70"/>
      <c r="H300" s="70"/>
      <c r="J300" s="70"/>
      <c r="L300" s="71"/>
      <c r="N300" s="70"/>
    </row>
    <row r="301" spans="1:14" x14ac:dyDescent="0.2">
      <c r="A301" s="1859"/>
      <c r="B301" s="180"/>
      <c r="C301" s="189"/>
      <c r="D301" s="182"/>
      <c r="E301" s="190"/>
      <c r="F301" s="1857"/>
      <c r="G301" s="70"/>
      <c r="H301" s="70"/>
      <c r="J301" s="70"/>
      <c r="L301" s="71"/>
      <c r="N301" s="70"/>
    </row>
    <row r="302" spans="1:14" x14ac:dyDescent="0.2">
      <c r="A302" s="1859"/>
      <c r="B302" s="180"/>
      <c r="C302" s="189"/>
      <c r="D302" s="182"/>
      <c r="E302" s="190"/>
      <c r="F302" s="1857"/>
      <c r="G302" s="70"/>
      <c r="H302" s="70"/>
      <c r="J302" s="70"/>
      <c r="L302" s="71"/>
      <c r="N302" s="70"/>
    </row>
    <row r="303" spans="1:14" x14ac:dyDescent="0.2">
      <c r="A303" s="1859"/>
      <c r="B303" s="180"/>
      <c r="C303" s="189"/>
      <c r="D303" s="182"/>
      <c r="E303" s="190"/>
      <c r="F303" s="1857"/>
      <c r="G303" s="70"/>
      <c r="H303" s="70"/>
      <c r="J303" s="70"/>
      <c r="L303" s="71"/>
      <c r="N303" s="70"/>
    </row>
    <row r="304" spans="1:14" x14ac:dyDescent="0.2">
      <c r="A304" s="1859"/>
      <c r="B304" s="180"/>
      <c r="C304" s="189"/>
      <c r="D304" s="182"/>
      <c r="E304" s="190"/>
      <c r="F304" s="1857"/>
      <c r="G304" s="70"/>
      <c r="H304" s="70"/>
      <c r="J304" s="70"/>
      <c r="L304" s="71"/>
      <c r="N304" s="70"/>
    </row>
    <row r="305" spans="1:14" x14ac:dyDescent="0.2">
      <c r="A305" s="1859"/>
      <c r="B305" s="180"/>
      <c r="C305" s="189"/>
      <c r="D305" s="182"/>
      <c r="E305" s="190"/>
      <c r="F305" s="1857"/>
      <c r="G305" s="70"/>
      <c r="H305" s="70"/>
      <c r="J305" s="70"/>
      <c r="L305" s="71"/>
      <c r="N305" s="70"/>
    </row>
    <row r="306" spans="1:14" x14ac:dyDescent="0.2">
      <c r="A306" s="1859"/>
      <c r="B306" s="180"/>
      <c r="C306" s="189"/>
      <c r="D306" s="182"/>
      <c r="E306" s="190"/>
      <c r="F306" s="1857"/>
      <c r="G306" s="70"/>
      <c r="H306" s="70"/>
      <c r="J306" s="70"/>
      <c r="L306" s="71"/>
      <c r="N306" s="70"/>
    </row>
    <row r="307" spans="1:14" x14ac:dyDescent="0.2">
      <c r="A307" s="1859"/>
      <c r="B307" s="180"/>
      <c r="C307" s="189"/>
      <c r="D307" s="182"/>
      <c r="E307" s="190"/>
      <c r="F307" s="1857"/>
      <c r="G307" s="70"/>
      <c r="H307" s="70"/>
      <c r="J307" s="70"/>
      <c r="L307" s="71"/>
      <c r="N307" s="70"/>
    </row>
    <row r="308" spans="1:14" x14ac:dyDescent="0.2">
      <c r="A308" s="1859"/>
      <c r="B308" s="180"/>
      <c r="C308" s="189"/>
      <c r="D308" s="182"/>
      <c r="E308" s="190"/>
      <c r="F308" s="1857"/>
      <c r="G308" s="70"/>
      <c r="H308" s="70"/>
      <c r="J308" s="70"/>
      <c r="L308" s="71"/>
      <c r="N308" s="70"/>
    </row>
    <row r="309" spans="1:14" x14ac:dyDescent="0.2">
      <c r="A309" s="1859"/>
      <c r="B309" s="180"/>
      <c r="C309" s="189"/>
      <c r="D309" s="182"/>
      <c r="E309" s="190"/>
      <c r="F309" s="1857"/>
      <c r="G309" s="70"/>
      <c r="H309" s="70"/>
      <c r="J309" s="70"/>
      <c r="L309" s="71"/>
      <c r="N309" s="70"/>
    </row>
    <row r="310" spans="1:14" x14ac:dyDescent="0.2">
      <c r="A310" s="1859"/>
      <c r="B310" s="180"/>
      <c r="C310" s="189"/>
      <c r="D310" s="182"/>
      <c r="E310" s="190"/>
      <c r="F310" s="1857"/>
      <c r="G310" s="70"/>
      <c r="H310" s="70"/>
      <c r="J310" s="70"/>
      <c r="L310" s="71"/>
      <c r="N310" s="70"/>
    </row>
    <row r="311" spans="1:14" x14ac:dyDescent="0.2">
      <c r="A311" s="1859"/>
      <c r="B311" s="180"/>
      <c r="C311" s="189"/>
      <c r="D311" s="182"/>
      <c r="E311" s="190"/>
      <c r="F311" s="1857"/>
      <c r="G311" s="70"/>
      <c r="H311" s="70"/>
      <c r="J311" s="70"/>
      <c r="L311" s="71"/>
      <c r="N311" s="70"/>
    </row>
    <row r="312" spans="1:14" x14ac:dyDescent="0.2">
      <c r="A312" s="1859"/>
      <c r="B312" s="180"/>
      <c r="C312" s="189"/>
      <c r="D312" s="182"/>
      <c r="E312" s="190"/>
      <c r="F312" s="1857"/>
      <c r="G312" s="70"/>
      <c r="H312" s="70"/>
      <c r="J312" s="70"/>
      <c r="L312" s="71"/>
      <c r="N312" s="70"/>
    </row>
    <row r="313" spans="1:14" x14ac:dyDescent="0.2">
      <c r="A313" s="1859"/>
      <c r="B313" s="180"/>
      <c r="C313" s="189"/>
      <c r="D313" s="182"/>
      <c r="E313" s="190"/>
      <c r="F313" s="1857"/>
      <c r="G313" s="70"/>
      <c r="H313" s="70"/>
      <c r="J313" s="70"/>
      <c r="L313" s="71"/>
      <c r="N313" s="70"/>
    </row>
    <row r="314" spans="1:14" x14ac:dyDescent="0.2">
      <c r="A314" s="1859"/>
      <c r="B314" s="180"/>
      <c r="C314" s="189"/>
      <c r="D314" s="182"/>
      <c r="E314" s="190"/>
      <c r="F314" s="1857"/>
      <c r="G314" s="70"/>
      <c r="H314" s="70"/>
      <c r="J314" s="70"/>
      <c r="L314" s="71"/>
      <c r="N314" s="70"/>
    </row>
    <row r="315" spans="1:14" x14ac:dyDescent="0.2">
      <c r="A315" s="1859"/>
      <c r="B315" s="180"/>
      <c r="C315" s="189"/>
      <c r="D315" s="182"/>
      <c r="E315" s="190"/>
      <c r="F315" s="1857"/>
      <c r="G315" s="70"/>
      <c r="H315" s="70"/>
      <c r="J315" s="70"/>
      <c r="L315" s="71"/>
      <c r="N315" s="70"/>
    </row>
    <row r="316" spans="1:14" x14ac:dyDescent="0.2">
      <c r="A316" s="1859"/>
      <c r="B316" s="180"/>
      <c r="C316" s="189"/>
      <c r="D316" s="182"/>
      <c r="E316" s="190"/>
      <c r="F316" s="1857"/>
      <c r="G316" s="70"/>
      <c r="H316" s="70"/>
      <c r="J316" s="70"/>
      <c r="L316" s="71"/>
      <c r="N316" s="70"/>
    </row>
    <row r="317" spans="1:14" x14ac:dyDescent="0.2">
      <c r="A317" s="1859"/>
      <c r="B317" s="180"/>
      <c r="C317" s="189"/>
      <c r="D317" s="182"/>
      <c r="E317" s="190"/>
      <c r="F317" s="1857"/>
      <c r="G317" s="70"/>
      <c r="H317" s="70"/>
      <c r="J317" s="70"/>
      <c r="L317" s="71"/>
      <c r="N317" s="70"/>
    </row>
    <row r="318" spans="1:14" x14ac:dyDescent="0.2">
      <c r="A318" s="1859"/>
      <c r="B318" s="180"/>
      <c r="C318" s="189"/>
      <c r="D318" s="182"/>
      <c r="E318" s="190"/>
      <c r="F318" s="1857"/>
      <c r="G318" s="70"/>
      <c r="H318" s="70"/>
      <c r="J318" s="70"/>
      <c r="L318" s="71"/>
      <c r="N318" s="70"/>
    </row>
    <row r="319" spans="1:14" x14ac:dyDescent="0.2">
      <c r="A319" s="1859"/>
      <c r="B319" s="180"/>
      <c r="C319" s="189"/>
      <c r="D319" s="182"/>
      <c r="E319" s="190"/>
      <c r="F319" s="1857"/>
      <c r="G319" s="70"/>
      <c r="H319" s="70"/>
      <c r="J319" s="70"/>
      <c r="L319" s="71"/>
      <c r="N319" s="70"/>
    </row>
    <row r="320" spans="1:14" x14ac:dyDescent="0.2">
      <c r="A320" s="1859"/>
      <c r="B320" s="180"/>
      <c r="C320" s="189"/>
      <c r="D320" s="182"/>
      <c r="E320" s="190"/>
      <c r="F320" s="1857"/>
      <c r="G320" s="70"/>
      <c r="H320" s="70"/>
      <c r="J320" s="70"/>
      <c r="L320" s="71"/>
      <c r="N320" s="70"/>
    </row>
    <row r="321" spans="1:14" x14ac:dyDescent="0.2">
      <c r="A321" s="1859"/>
      <c r="B321" s="180"/>
      <c r="C321" s="189"/>
      <c r="D321" s="182"/>
      <c r="E321" s="190"/>
      <c r="F321" s="1857"/>
      <c r="G321" s="70"/>
      <c r="H321" s="70"/>
      <c r="J321" s="70"/>
      <c r="L321" s="71"/>
      <c r="N321" s="70"/>
    </row>
    <row r="322" spans="1:14" x14ac:dyDescent="0.2">
      <c r="A322" s="1859"/>
      <c r="B322" s="180"/>
      <c r="C322" s="189"/>
      <c r="D322" s="182"/>
      <c r="E322" s="190"/>
      <c r="F322" s="1857"/>
      <c r="G322" s="70"/>
      <c r="H322" s="70"/>
      <c r="J322" s="70"/>
      <c r="L322" s="71"/>
      <c r="N322" s="70"/>
    </row>
    <row r="323" spans="1:14" x14ac:dyDescent="0.2">
      <c r="A323" s="1859"/>
      <c r="B323" s="180"/>
      <c r="C323" s="189"/>
      <c r="D323" s="182"/>
      <c r="E323" s="190"/>
      <c r="F323" s="1857"/>
      <c r="G323" s="70"/>
      <c r="H323" s="70"/>
      <c r="J323" s="70"/>
      <c r="L323" s="71"/>
      <c r="N323" s="70"/>
    </row>
    <row r="324" spans="1:14" x14ac:dyDescent="0.2">
      <c r="A324" s="1859"/>
      <c r="B324" s="180"/>
      <c r="C324" s="189"/>
      <c r="D324" s="182"/>
      <c r="E324" s="190"/>
      <c r="F324" s="1857"/>
      <c r="G324" s="70"/>
      <c r="H324" s="70"/>
      <c r="J324" s="70"/>
      <c r="L324" s="71"/>
      <c r="N324" s="70"/>
    </row>
    <row r="325" spans="1:14" x14ac:dyDescent="0.2">
      <c r="A325" s="1859"/>
      <c r="B325" s="180"/>
      <c r="C325" s="189"/>
      <c r="D325" s="182"/>
      <c r="E325" s="190"/>
      <c r="F325" s="1857"/>
      <c r="G325" s="70"/>
      <c r="H325" s="70"/>
      <c r="J325" s="70"/>
      <c r="L325" s="71"/>
      <c r="N325" s="70"/>
    </row>
    <row r="326" spans="1:14" x14ac:dyDescent="0.2">
      <c r="A326" s="1859"/>
      <c r="B326" s="180"/>
      <c r="C326" s="189"/>
      <c r="D326" s="182"/>
      <c r="E326" s="190"/>
      <c r="F326" s="1857"/>
      <c r="G326" s="70"/>
      <c r="H326" s="70"/>
      <c r="J326" s="70"/>
      <c r="L326" s="71"/>
      <c r="N326" s="70"/>
    </row>
    <row r="327" spans="1:14" x14ac:dyDescent="0.2">
      <c r="A327" s="1859"/>
      <c r="B327" s="180"/>
      <c r="C327" s="189"/>
      <c r="D327" s="182"/>
      <c r="E327" s="190"/>
      <c r="F327" s="1857"/>
      <c r="G327" s="70"/>
      <c r="H327" s="70"/>
      <c r="J327" s="70"/>
      <c r="L327" s="71"/>
      <c r="N327" s="70"/>
    </row>
    <row r="328" spans="1:14" x14ac:dyDescent="0.2">
      <c r="A328" s="1859"/>
      <c r="B328" s="180"/>
      <c r="C328" s="189"/>
      <c r="D328" s="182"/>
      <c r="E328" s="190"/>
      <c r="F328" s="1857"/>
      <c r="G328" s="70"/>
      <c r="H328" s="70"/>
      <c r="J328" s="70"/>
      <c r="L328" s="71"/>
      <c r="N328" s="70"/>
    </row>
    <row r="329" spans="1:14" x14ac:dyDescent="0.2">
      <c r="A329" s="1859"/>
      <c r="B329" s="180"/>
      <c r="C329" s="189"/>
      <c r="D329" s="182"/>
      <c r="E329" s="190"/>
      <c r="F329" s="1857"/>
      <c r="G329" s="70"/>
      <c r="H329" s="70"/>
      <c r="J329" s="70"/>
      <c r="L329" s="71"/>
      <c r="N329" s="70"/>
    </row>
    <row r="330" spans="1:14" x14ac:dyDescent="0.2">
      <c r="A330" s="1859"/>
      <c r="B330" s="180"/>
      <c r="C330" s="189"/>
      <c r="D330" s="182"/>
      <c r="E330" s="190"/>
      <c r="F330" s="1857"/>
      <c r="G330" s="70"/>
      <c r="H330" s="70"/>
      <c r="J330" s="70"/>
      <c r="L330" s="71"/>
      <c r="N330" s="70"/>
    </row>
    <row r="331" spans="1:14" x14ac:dyDescent="0.2">
      <c r="A331" s="1859"/>
      <c r="B331" s="180"/>
      <c r="C331" s="189"/>
      <c r="D331" s="182"/>
      <c r="E331" s="190"/>
      <c r="F331" s="1857"/>
      <c r="G331" s="70"/>
      <c r="H331" s="70"/>
      <c r="J331" s="70"/>
      <c r="L331" s="71"/>
      <c r="N331" s="70"/>
    </row>
    <row r="332" spans="1:14" x14ac:dyDescent="0.2">
      <c r="A332" s="1859"/>
      <c r="B332" s="180"/>
      <c r="C332" s="189"/>
      <c r="D332" s="182"/>
      <c r="E332" s="190"/>
      <c r="F332" s="1857"/>
      <c r="G332" s="70"/>
      <c r="H332" s="70"/>
      <c r="J332" s="70"/>
      <c r="L332" s="71"/>
      <c r="N332" s="70"/>
    </row>
    <row r="333" spans="1:14" x14ac:dyDescent="0.2">
      <c r="A333" s="1859"/>
      <c r="B333" s="180"/>
      <c r="C333" s="189"/>
      <c r="D333" s="182"/>
      <c r="E333" s="190"/>
      <c r="F333" s="1857"/>
      <c r="G333" s="70"/>
      <c r="H333" s="70"/>
      <c r="J333" s="70"/>
      <c r="L333" s="71"/>
      <c r="N333" s="70"/>
    </row>
    <row r="334" spans="1:14" x14ac:dyDescent="0.2">
      <c r="A334" s="1859"/>
      <c r="B334" s="180"/>
      <c r="C334" s="189"/>
      <c r="D334" s="182"/>
      <c r="E334" s="190"/>
      <c r="F334" s="1857"/>
      <c r="G334" s="70"/>
      <c r="H334" s="70"/>
      <c r="J334" s="70"/>
      <c r="L334" s="71"/>
      <c r="N334" s="70"/>
    </row>
    <row r="335" spans="1:14" x14ac:dyDescent="0.2">
      <c r="A335" s="1859"/>
      <c r="B335" s="180"/>
      <c r="C335" s="189"/>
      <c r="D335" s="182"/>
      <c r="E335" s="190"/>
      <c r="F335" s="1857"/>
      <c r="G335" s="70"/>
      <c r="H335" s="70"/>
      <c r="J335" s="70"/>
      <c r="L335" s="71"/>
      <c r="N335" s="70"/>
    </row>
    <row r="336" spans="1:14" x14ac:dyDescent="0.2">
      <c r="A336" s="1859"/>
      <c r="B336" s="180"/>
      <c r="C336" s="189"/>
      <c r="D336" s="182"/>
      <c r="E336" s="190"/>
      <c r="F336" s="1857"/>
      <c r="G336" s="70"/>
      <c r="H336" s="70"/>
      <c r="J336" s="70"/>
      <c r="L336" s="71"/>
      <c r="N336" s="70"/>
    </row>
    <row r="337" spans="1:14" x14ac:dyDescent="0.2">
      <c r="A337" s="1859"/>
      <c r="B337" s="180"/>
      <c r="C337" s="189"/>
      <c r="D337" s="182"/>
      <c r="E337" s="190"/>
      <c r="F337" s="1857"/>
      <c r="G337" s="70"/>
      <c r="H337" s="70"/>
      <c r="J337" s="70"/>
      <c r="L337" s="71"/>
      <c r="N337" s="70"/>
    </row>
    <row r="338" spans="1:14" x14ac:dyDescent="0.2">
      <c r="A338" s="1859"/>
      <c r="B338" s="180"/>
      <c r="C338" s="189"/>
      <c r="D338" s="182"/>
      <c r="E338" s="190"/>
      <c r="F338" s="1857"/>
      <c r="G338" s="70"/>
      <c r="H338" s="70"/>
      <c r="J338" s="70"/>
      <c r="L338" s="71"/>
      <c r="N338" s="70"/>
    </row>
    <row r="339" spans="1:14" x14ac:dyDescent="0.2">
      <c r="A339" s="1859"/>
      <c r="B339" s="180"/>
      <c r="C339" s="189"/>
      <c r="D339" s="182"/>
      <c r="E339" s="190"/>
      <c r="F339" s="1857"/>
      <c r="G339" s="70"/>
      <c r="H339" s="70"/>
      <c r="J339" s="70"/>
      <c r="L339" s="71"/>
      <c r="N339" s="70"/>
    </row>
    <row r="340" spans="1:14" x14ac:dyDescent="0.2">
      <c r="A340" s="1859"/>
      <c r="B340" s="180"/>
      <c r="C340" s="189"/>
      <c r="D340" s="182"/>
      <c r="E340" s="190"/>
      <c r="F340" s="1857"/>
      <c r="G340" s="70"/>
      <c r="H340" s="70"/>
      <c r="J340" s="70"/>
      <c r="L340" s="71"/>
      <c r="N340" s="70"/>
    </row>
    <row r="341" spans="1:14" x14ac:dyDescent="0.2">
      <c r="A341" s="1859"/>
      <c r="B341" s="180"/>
      <c r="C341" s="189"/>
      <c r="D341" s="182"/>
      <c r="E341" s="190"/>
      <c r="F341" s="1857"/>
      <c r="G341" s="70"/>
      <c r="H341" s="70"/>
      <c r="J341" s="70"/>
      <c r="L341" s="71"/>
      <c r="N341" s="70"/>
    </row>
    <row r="342" spans="1:14" x14ac:dyDescent="0.2">
      <c r="A342" s="1859"/>
      <c r="B342" s="180"/>
      <c r="C342" s="189"/>
      <c r="D342" s="182"/>
      <c r="E342" s="190"/>
      <c r="F342" s="1857"/>
      <c r="G342" s="70"/>
      <c r="H342" s="70"/>
      <c r="J342" s="70"/>
      <c r="L342" s="71"/>
      <c r="N342" s="70"/>
    </row>
    <row r="343" spans="1:14" x14ac:dyDescent="0.2">
      <c r="A343" s="1859"/>
      <c r="B343" s="180"/>
      <c r="C343" s="189"/>
      <c r="D343" s="182"/>
      <c r="E343" s="190"/>
      <c r="F343" s="1857"/>
      <c r="G343" s="70"/>
      <c r="H343" s="70"/>
      <c r="J343" s="70"/>
      <c r="L343" s="71"/>
      <c r="N343" s="70"/>
    </row>
    <row r="344" spans="1:14" x14ac:dyDescent="0.2">
      <c r="A344" s="1859"/>
      <c r="B344" s="180"/>
      <c r="C344" s="189"/>
      <c r="D344" s="182"/>
      <c r="E344" s="190"/>
      <c r="F344" s="1857"/>
      <c r="G344" s="70"/>
      <c r="H344" s="70"/>
      <c r="J344" s="70"/>
      <c r="L344" s="71"/>
      <c r="N344" s="70"/>
    </row>
    <row r="345" spans="1:14" ht="13.5" thickBot="1" x14ac:dyDescent="0.25">
      <c r="A345" s="1860"/>
      <c r="B345" s="1861"/>
      <c r="C345" s="1862"/>
      <c r="D345" s="1863"/>
      <c r="E345" s="1864"/>
      <c r="F345" s="1865"/>
      <c r="G345" s="70"/>
      <c r="H345" s="70"/>
      <c r="J345" s="70"/>
      <c r="L345" s="71"/>
      <c r="N345" s="70"/>
    </row>
    <row r="346" spans="1:14" x14ac:dyDescent="0.2">
      <c r="A346" s="292"/>
      <c r="B346" s="180"/>
      <c r="C346" s="189"/>
      <c r="D346" s="182"/>
      <c r="E346" s="190"/>
      <c r="F346" s="184"/>
      <c r="G346" s="70"/>
      <c r="H346" s="70"/>
      <c r="J346" s="70"/>
      <c r="L346" s="71"/>
      <c r="N346" s="70"/>
    </row>
    <row r="347" spans="1:14" x14ac:dyDescent="0.2">
      <c r="A347" s="292"/>
      <c r="B347" s="180"/>
      <c r="C347" s="189"/>
      <c r="D347" s="182"/>
      <c r="E347" s="190"/>
      <c r="F347" s="184"/>
      <c r="G347" s="70"/>
      <c r="H347" s="70"/>
      <c r="J347" s="70"/>
      <c r="L347" s="71"/>
      <c r="N347" s="70"/>
    </row>
    <row r="348" spans="1:14" x14ac:dyDescent="0.2">
      <c r="A348" s="292"/>
      <c r="B348" s="180"/>
      <c r="C348" s="189"/>
      <c r="D348" s="182"/>
      <c r="E348" s="190"/>
      <c r="F348" s="184"/>
      <c r="G348" s="70"/>
      <c r="H348" s="70"/>
      <c r="J348" s="70"/>
      <c r="L348" s="71"/>
      <c r="N348" s="70"/>
    </row>
    <row r="349" spans="1:14" x14ac:dyDescent="0.2">
      <c r="A349" s="292"/>
      <c r="B349" s="180"/>
      <c r="C349" s="189"/>
      <c r="D349" s="182"/>
      <c r="E349" s="190"/>
      <c r="F349" s="184"/>
      <c r="G349" s="70"/>
      <c r="H349" s="70"/>
      <c r="J349" s="70"/>
      <c r="L349" s="71"/>
      <c r="N349" s="70"/>
    </row>
    <row r="350" spans="1:14" x14ac:dyDescent="0.2">
      <c r="A350" s="292"/>
      <c r="B350" s="180"/>
      <c r="C350" s="189"/>
      <c r="D350" s="182"/>
      <c r="E350" s="190"/>
      <c r="F350" s="184"/>
      <c r="G350" s="70"/>
      <c r="H350" s="70"/>
      <c r="J350" s="70"/>
      <c r="L350" s="71"/>
      <c r="N350" s="70"/>
    </row>
    <row r="351" spans="1:14" x14ac:dyDescent="0.2">
      <c r="A351" s="292"/>
      <c r="B351" s="180"/>
      <c r="C351" s="189"/>
      <c r="D351" s="182"/>
      <c r="E351" s="190"/>
      <c r="F351" s="184"/>
      <c r="G351" s="70"/>
      <c r="H351" s="70"/>
      <c r="J351" s="70"/>
      <c r="L351" s="71"/>
      <c r="N351" s="70"/>
    </row>
    <row r="352" spans="1:14" x14ac:dyDescent="0.2">
      <c r="A352" s="292"/>
      <c r="B352" s="180"/>
      <c r="C352" s="189"/>
      <c r="D352" s="182"/>
      <c r="E352" s="190"/>
      <c r="F352" s="184"/>
      <c r="G352" s="70"/>
      <c r="H352" s="70"/>
      <c r="J352" s="70"/>
      <c r="L352" s="71"/>
      <c r="N352" s="70"/>
    </row>
    <row r="353" spans="1:14" x14ac:dyDescent="0.2">
      <c r="A353" s="292"/>
      <c r="B353" s="180"/>
      <c r="C353" s="189"/>
      <c r="D353" s="182"/>
      <c r="E353" s="190"/>
      <c r="F353" s="184"/>
      <c r="G353" s="70"/>
      <c r="H353" s="70"/>
      <c r="J353" s="70"/>
      <c r="L353" s="71"/>
      <c r="N353" s="70"/>
    </row>
    <row r="354" spans="1:14" x14ac:dyDescent="0.2">
      <c r="A354" s="292"/>
      <c r="B354" s="180"/>
      <c r="C354" s="189"/>
      <c r="D354" s="182"/>
      <c r="E354" s="190"/>
      <c r="F354" s="184"/>
      <c r="G354" s="70"/>
      <c r="H354" s="70"/>
      <c r="J354" s="70"/>
      <c r="L354" s="71"/>
      <c r="N354" s="70"/>
    </row>
    <row r="355" spans="1:14" x14ac:dyDescent="0.2">
      <c r="A355" s="292"/>
      <c r="B355" s="180"/>
      <c r="C355" s="189"/>
      <c r="D355" s="182"/>
      <c r="E355" s="190"/>
      <c r="F355" s="184"/>
      <c r="G355" s="70"/>
      <c r="H355" s="70"/>
      <c r="J355" s="70"/>
      <c r="L355" s="71"/>
      <c r="N355" s="70"/>
    </row>
    <row r="356" spans="1:14" x14ac:dyDescent="0.2">
      <c r="A356" s="292"/>
      <c r="B356" s="180"/>
      <c r="C356" s="189"/>
      <c r="D356" s="182"/>
      <c r="E356" s="190"/>
      <c r="F356" s="184"/>
      <c r="G356" s="70"/>
      <c r="H356" s="70"/>
      <c r="J356" s="70"/>
      <c r="L356" s="71"/>
      <c r="N356" s="70"/>
    </row>
    <row r="357" spans="1:14" x14ac:dyDescent="0.2">
      <c r="A357" s="292"/>
      <c r="B357" s="180"/>
      <c r="C357" s="189"/>
      <c r="D357" s="182"/>
      <c r="E357" s="190"/>
      <c r="F357" s="184"/>
      <c r="G357" s="70"/>
      <c r="H357" s="70"/>
      <c r="J357" s="70"/>
      <c r="L357" s="71"/>
      <c r="N357" s="70"/>
    </row>
    <row r="358" spans="1:14" x14ac:dyDescent="0.2">
      <c r="A358" s="292"/>
      <c r="B358" s="180"/>
      <c r="C358" s="189"/>
      <c r="D358" s="182"/>
      <c r="E358" s="190"/>
      <c r="F358" s="184"/>
      <c r="G358" s="70"/>
      <c r="H358" s="70"/>
      <c r="J358" s="70"/>
      <c r="L358" s="71"/>
      <c r="N358" s="70"/>
    </row>
    <row r="359" spans="1:14" x14ac:dyDescent="0.2">
      <c r="A359" s="292"/>
      <c r="B359" s="180"/>
      <c r="C359" s="189"/>
      <c r="D359" s="182"/>
      <c r="E359" s="190"/>
      <c r="F359" s="184"/>
      <c r="G359" s="70"/>
      <c r="H359" s="70"/>
      <c r="J359" s="70"/>
      <c r="L359" s="71"/>
      <c r="N359" s="70"/>
    </row>
    <row r="360" spans="1:14" x14ac:dyDescent="0.2">
      <c r="A360" s="292"/>
      <c r="B360" s="180"/>
      <c r="C360" s="189"/>
      <c r="D360" s="182"/>
      <c r="E360" s="190"/>
      <c r="F360" s="184"/>
      <c r="G360" s="70"/>
      <c r="H360" s="70"/>
      <c r="J360" s="70"/>
      <c r="L360" s="71"/>
      <c r="N360" s="70"/>
    </row>
    <row r="361" spans="1:14" x14ac:dyDescent="0.2">
      <c r="A361" s="292"/>
      <c r="B361" s="180"/>
      <c r="C361" s="189"/>
      <c r="D361" s="182"/>
      <c r="E361" s="190"/>
      <c r="F361" s="184"/>
      <c r="G361" s="70"/>
      <c r="H361" s="70"/>
      <c r="J361" s="70"/>
      <c r="L361" s="71"/>
      <c r="N361" s="70"/>
    </row>
    <row r="362" spans="1:14" x14ac:dyDescent="0.2">
      <c r="A362" s="292"/>
      <c r="B362" s="180"/>
      <c r="C362" s="189"/>
      <c r="D362" s="182"/>
      <c r="E362" s="190"/>
      <c r="F362" s="184"/>
      <c r="G362" s="70"/>
      <c r="H362" s="70"/>
      <c r="J362" s="70"/>
      <c r="L362" s="71"/>
      <c r="N362" s="70"/>
    </row>
    <row r="363" spans="1:14" x14ac:dyDescent="0.2">
      <c r="A363" s="292"/>
      <c r="B363" s="180"/>
      <c r="C363" s="189"/>
      <c r="D363" s="182"/>
      <c r="E363" s="190"/>
      <c r="F363" s="184"/>
      <c r="G363" s="70"/>
      <c r="H363" s="70"/>
      <c r="J363" s="70"/>
      <c r="L363" s="71"/>
      <c r="N363" s="70"/>
    </row>
    <row r="364" spans="1:14" x14ac:dyDescent="0.2">
      <c r="A364" s="292"/>
      <c r="B364" s="180"/>
      <c r="C364" s="189"/>
      <c r="D364" s="182"/>
      <c r="E364" s="190"/>
      <c r="F364" s="184"/>
      <c r="G364" s="70"/>
      <c r="H364" s="70"/>
      <c r="J364" s="70"/>
      <c r="L364" s="71"/>
      <c r="N364" s="70"/>
    </row>
    <row r="365" spans="1:14" x14ac:dyDescent="0.2">
      <c r="A365" s="292"/>
      <c r="B365" s="180"/>
      <c r="C365" s="189"/>
      <c r="D365" s="182"/>
      <c r="E365" s="190"/>
      <c r="F365" s="184"/>
      <c r="G365" s="70"/>
      <c r="H365" s="70"/>
      <c r="J365" s="70"/>
      <c r="L365" s="71"/>
      <c r="N365" s="70"/>
    </row>
    <row r="366" spans="1:14" x14ac:dyDescent="0.2">
      <c r="A366" s="292"/>
      <c r="B366" s="180"/>
      <c r="C366" s="189"/>
      <c r="D366" s="182"/>
      <c r="E366" s="190"/>
      <c r="F366" s="184"/>
      <c r="G366" s="70"/>
      <c r="H366" s="70"/>
      <c r="J366" s="70"/>
      <c r="L366" s="71"/>
      <c r="N366" s="70"/>
    </row>
    <row r="367" spans="1:14" x14ac:dyDescent="0.2">
      <c r="A367" s="292"/>
      <c r="B367" s="180"/>
      <c r="C367" s="189"/>
      <c r="D367" s="182"/>
      <c r="E367" s="190"/>
      <c r="F367" s="184"/>
      <c r="G367" s="70"/>
      <c r="H367" s="70"/>
      <c r="J367" s="70"/>
      <c r="L367" s="71"/>
      <c r="N367" s="70"/>
    </row>
    <row r="368" spans="1:14" x14ac:dyDescent="0.2">
      <c r="A368" s="292"/>
      <c r="B368" s="180"/>
      <c r="C368" s="189"/>
      <c r="D368" s="182"/>
      <c r="E368" s="190"/>
      <c r="F368" s="184"/>
      <c r="G368" s="70"/>
      <c r="H368" s="70"/>
      <c r="J368" s="70"/>
      <c r="L368" s="71"/>
      <c r="N368" s="70"/>
    </row>
    <row r="369" spans="1:14" x14ac:dyDescent="0.2">
      <c r="A369" s="292"/>
      <c r="B369" s="180"/>
      <c r="C369" s="189"/>
      <c r="D369" s="182"/>
      <c r="E369" s="190"/>
      <c r="F369" s="184"/>
      <c r="G369" s="70"/>
      <c r="H369" s="70"/>
      <c r="J369" s="70"/>
      <c r="L369" s="71"/>
      <c r="N369" s="70"/>
    </row>
    <row r="370" spans="1:14" x14ac:dyDescent="0.2">
      <c r="A370" s="292"/>
      <c r="B370" s="180"/>
      <c r="C370" s="189"/>
      <c r="D370" s="182"/>
      <c r="E370" s="190"/>
      <c r="F370" s="184"/>
      <c r="G370" s="70"/>
      <c r="H370" s="70"/>
      <c r="J370" s="70"/>
      <c r="L370" s="71"/>
      <c r="N370" s="70"/>
    </row>
    <row r="371" spans="1:14" x14ac:dyDescent="0.2">
      <c r="A371" s="292"/>
      <c r="B371" s="180"/>
      <c r="C371" s="189"/>
      <c r="D371" s="182"/>
      <c r="E371" s="190"/>
      <c r="F371" s="184"/>
      <c r="G371" s="70"/>
      <c r="H371" s="70"/>
      <c r="J371" s="70"/>
      <c r="L371" s="71"/>
      <c r="N371" s="70"/>
    </row>
    <row r="372" spans="1:14" x14ac:dyDescent="0.2">
      <c r="A372" s="292"/>
      <c r="B372" s="180"/>
      <c r="C372" s="189"/>
      <c r="D372" s="182"/>
      <c r="E372" s="190"/>
      <c r="F372" s="184"/>
      <c r="G372" s="70"/>
      <c r="H372" s="70"/>
      <c r="J372" s="70"/>
      <c r="L372" s="71"/>
      <c r="N372" s="70"/>
    </row>
    <row r="373" spans="1:14" x14ac:dyDescent="0.2">
      <c r="A373" s="292"/>
      <c r="B373" s="180"/>
      <c r="C373" s="189"/>
      <c r="D373" s="182"/>
      <c r="E373" s="190"/>
      <c r="F373" s="184"/>
      <c r="G373" s="70"/>
      <c r="H373" s="70"/>
      <c r="J373" s="70"/>
      <c r="L373" s="71"/>
      <c r="N373" s="70"/>
    </row>
    <row r="374" spans="1:14" x14ac:dyDescent="0.2">
      <c r="A374" s="292"/>
      <c r="B374" s="180"/>
      <c r="C374" s="189"/>
      <c r="D374" s="182"/>
      <c r="E374" s="190"/>
      <c r="F374" s="184"/>
      <c r="G374" s="70"/>
      <c r="H374" s="70"/>
      <c r="J374" s="70"/>
      <c r="L374" s="71"/>
      <c r="N374" s="70"/>
    </row>
    <row r="375" spans="1:14" x14ac:dyDescent="0.2">
      <c r="A375" s="292"/>
      <c r="B375" s="180"/>
      <c r="C375" s="189"/>
      <c r="D375" s="182"/>
      <c r="E375" s="190"/>
      <c r="F375" s="184"/>
      <c r="G375" s="70"/>
      <c r="H375" s="70"/>
      <c r="J375" s="70"/>
      <c r="L375" s="71"/>
      <c r="N375" s="70"/>
    </row>
    <row r="376" spans="1:14" x14ac:dyDescent="0.2">
      <c r="A376" s="292"/>
      <c r="B376" s="180"/>
      <c r="C376" s="189"/>
      <c r="D376" s="182"/>
      <c r="E376" s="190"/>
      <c r="F376" s="184"/>
      <c r="G376" s="70"/>
      <c r="H376" s="70"/>
      <c r="J376" s="70"/>
      <c r="L376" s="71"/>
      <c r="N376" s="70"/>
    </row>
    <row r="377" spans="1:14" x14ac:dyDescent="0.2">
      <c r="A377" s="292"/>
      <c r="B377" s="180"/>
      <c r="C377" s="189"/>
      <c r="D377" s="182"/>
      <c r="E377" s="190"/>
      <c r="F377" s="184"/>
      <c r="G377" s="70"/>
      <c r="H377" s="70"/>
      <c r="J377" s="70"/>
      <c r="L377" s="71"/>
      <c r="N377" s="70"/>
    </row>
    <row r="378" spans="1:14" x14ac:dyDescent="0.2">
      <c r="A378" s="292"/>
      <c r="B378" s="180"/>
      <c r="C378" s="189"/>
      <c r="D378" s="182"/>
      <c r="E378" s="190"/>
      <c r="F378" s="184"/>
      <c r="G378" s="70"/>
      <c r="H378" s="70"/>
      <c r="J378" s="70"/>
      <c r="L378" s="71"/>
      <c r="N378" s="70"/>
    </row>
    <row r="379" spans="1:14" x14ac:dyDescent="0.2">
      <c r="A379" s="292"/>
      <c r="B379" s="180"/>
      <c r="C379" s="189"/>
      <c r="D379" s="182"/>
      <c r="E379" s="190"/>
      <c r="F379" s="184"/>
      <c r="G379" s="70"/>
      <c r="H379" s="70"/>
      <c r="J379" s="70"/>
      <c r="L379" s="71"/>
      <c r="N379" s="70"/>
    </row>
    <row r="380" spans="1:14" x14ac:dyDescent="0.2">
      <c r="A380" s="292"/>
      <c r="B380" s="180"/>
      <c r="C380" s="189"/>
      <c r="D380" s="182"/>
      <c r="E380" s="190"/>
      <c r="F380" s="184"/>
      <c r="G380" s="70"/>
      <c r="H380" s="70"/>
      <c r="J380" s="70"/>
      <c r="L380" s="71"/>
      <c r="N380" s="70"/>
    </row>
    <row r="381" spans="1:14" x14ac:dyDescent="0.2">
      <c r="A381" s="292"/>
      <c r="B381" s="180"/>
      <c r="C381" s="189"/>
      <c r="D381" s="182"/>
      <c r="E381" s="190"/>
      <c r="F381" s="184"/>
      <c r="G381" s="70"/>
      <c r="H381" s="70"/>
      <c r="J381" s="70"/>
      <c r="L381" s="71"/>
      <c r="N381" s="70"/>
    </row>
    <row r="382" spans="1:14" x14ac:dyDescent="0.2">
      <c r="A382" s="292"/>
      <c r="B382" s="180"/>
      <c r="C382" s="189"/>
      <c r="D382" s="182"/>
      <c r="E382" s="190"/>
      <c r="F382" s="184"/>
      <c r="G382" s="70"/>
      <c r="H382" s="70"/>
      <c r="J382" s="70"/>
      <c r="L382" s="71"/>
      <c r="N382" s="70"/>
    </row>
    <row r="383" spans="1:14" x14ac:dyDescent="0.2">
      <c r="A383" s="292"/>
      <c r="B383" s="180"/>
      <c r="C383" s="189"/>
      <c r="D383" s="182"/>
      <c r="E383" s="190"/>
      <c r="F383" s="184"/>
      <c r="G383" s="70"/>
      <c r="H383" s="70"/>
      <c r="J383" s="70"/>
      <c r="L383" s="71"/>
      <c r="N383" s="70"/>
    </row>
    <row r="384" spans="1:14" x14ac:dyDescent="0.2">
      <c r="A384" s="292"/>
      <c r="B384" s="180"/>
      <c r="C384" s="189"/>
      <c r="D384" s="182"/>
      <c r="E384" s="190"/>
      <c r="F384" s="184"/>
      <c r="G384" s="70"/>
      <c r="H384" s="70"/>
      <c r="J384" s="70"/>
      <c r="L384" s="71"/>
      <c r="N384" s="70"/>
    </row>
    <row r="385" spans="1:14" x14ac:dyDescent="0.2">
      <c r="A385" s="292"/>
      <c r="B385" s="180"/>
      <c r="C385" s="189"/>
      <c r="D385" s="182"/>
      <c r="E385" s="190"/>
      <c r="F385" s="184"/>
      <c r="G385" s="70"/>
      <c r="H385" s="70"/>
      <c r="J385" s="70"/>
      <c r="L385" s="71"/>
      <c r="N385" s="70"/>
    </row>
    <row r="386" spans="1:14" x14ac:dyDescent="0.2">
      <c r="A386" s="292"/>
      <c r="B386" s="180"/>
      <c r="C386" s="189"/>
      <c r="D386" s="182"/>
      <c r="E386" s="190"/>
      <c r="F386" s="184"/>
      <c r="G386" s="70"/>
      <c r="H386" s="70"/>
      <c r="J386" s="70"/>
      <c r="L386" s="71"/>
      <c r="N386" s="70"/>
    </row>
    <row r="387" spans="1:14" x14ac:dyDescent="0.2">
      <c r="A387" s="292"/>
      <c r="B387" s="180"/>
      <c r="C387" s="189"/>
      <c r="D387" s="182"/>
      <c r="E387" s="190"/>
      <c r="F387" s="184"/>
      <c r="G387" s="70"/>
      <c r="H387" s="70"/>
      <c r="J387" s="70"/>
      <c r="L387" s="71"/>
      <c r="N387" s="70"/>
    </row>
    <row r="388" spans="1:14" x14ac:dyDescent="0.2">
      <c r="A388" s="292"/>
      <c r="B388" s="180"/>
      <c r="C388" s="189"/>
      <c r="D388" s="182"/>
      <c r="E388" s="190"/>
      <c r="F388" s="184"/>
      <c r="G388" s="70"/>
      <c r="H388" s="70"/>
      <c r="J388" s="70"/>
      <c r="L388" s="71"/>
      <c r="N388" s="70"/>
    </row>
    <row r="389" spans="1:14" x14ac:dyDescent="0.2">
      <c r="A389" s="292"/>
      <c r="C389" s="189"/>
      <c r="E389" s="190"/>
      <c r="G389" s="70"/>
      <c r="H389" s="70"/>
      <c r="J389" s="70"/>
      <c r="L389" s="71"/>
      <c r="N389" s="70"/>
    </row>
    <row r="390" spans="1:14" x14ac:dyDescent="0.2">
      <c r="A390" s="292"/>
      <c r="C390" s="189"/>
      <c r="E390" s="190"/>
      <c r="G390" s="70"/>
      <c r="H390" s="70"/>
      <c r="J390" s="70"/>
      <c r="L390" s="71"/>
      <c r="N390" s="70"/>
    </row>
    <row r="391" spans="1:14" x14ac:dyDescent="0.2">
      <c r="A391" s="292"/>
      <c r="C391" s="189"/>
      <c r="E391" s="190"/>
      <c r="G391" s="70"/>
      <c r="H391" s="70"/>
      <c r="J391" s="70"/>
      <c r="L391" s="71"/>
      <c r="N391" s="70"/>
    </row>
    <row r="392" spans="1:14" x14ac:dyDescent="0.2">
      <c r="A392" s="292"/>
      <c r="C392" s="189"/>
      <c r="E392" s="190"/>
      <c r="G392" s="70"/>
      <c r="H392" s="70"/>
      <c r="J392" s="70"/>
      <c r="L392" s="71"/>
      <c r="N392" s="70"/>
    </row>
    <row r="393" spans="1:14" x14ac:dyDescent="0.2">
      <c r="A393" s="292"/>
      <c r="C393" s="189"/>
      <c r="E393" s="190"/>
      <c r="G393" s="70"/>
      <c r="H393" s="70"/>
      <c r="J393" s="70"/>
      <c r="L393" s="71"/>
      <c r="N393" s="70"/>
    </row>
    <row r="394" spans="1:14" x14ac:dyDescent="0.2">
      <c r="A394" s="292"/>
      <c r="C394" s="189"/>
      <c r="E394" s="190"/>
      <c r="G394" s="70"/>
      <c r="H394" s="70"/>
      <c r="J394" s="70"/>
      <c r="L394" s="71"/>
      <c r="N394" s="70"/>
    </row>
    <row r="395" spans="1:14" x14ac:dyDescent="0.2">
      <c r="A395" s="292"/>
      <c r="C395" s="189"/>
      <c r="E395" s="190"/>
      <c r="G395" s="70"/>
      <c r="H395" s="70"/>
      <c r="J395" s="70"/>
      <c r="L395" s="71"/>
      <c r="N395" s="70"/>
    </row>
    <row r="396" spans="1:14" x14ac:dyDescent="0.2">
      <c r="A396" s="292"/>
      <c r="C396" s="189"/>
      <c r="E396" s="190"/>
      <c r="G396" s="70"/>
      <c r="H396" s="70"/>
      <c r="J396" s="70"/>
      <c r="L396" s="71"/>
      <c r="N396" s="70"/>
    </row>
    <row r="397" spans="1:14" x14ac:dyDescent="0.2">
      <c r="A397" s="292"/>
      <c r="C397" s="189"/>
      <c r="E397" s="190"/>
      <c r="G397" s="70"/>
      <c r="H397" s="70"/>
      <c r="J397" s="70"/>
      <c r="L397" s="71"/>
      <c r="N397" s="70"/>
    </row>
    <row r="398" spans="1:14" x14ac:dyDescent="0.2">
      <c r="A398" s="292"/>
      <c r="C398" s="189"/>
      <c r="E398" s="190"/>
      <c r="G398" s="70"/>
      <c r="H398" s="70"/>
      <c r="J398" s="70"/>
      <c r="L398" s="71"/>
      <c r="N398" s="70"/>
    </row>
    <row r="399" spans="1:14" x14ac:dyDescent="0.2">
      <c r="A399" s="292"/>
      <c r="C399" s="189"/>
      <c r="E399" s="190"/>
      <c r="G399" s="70"/>
      <c r="H399" s="70"/>
      <c r="J399" s="70"/>
      <c r="L399" s="71"/>
      <c r="N399" s="70"/>
    </row>
    <row r="400" spans="1:14" x14ac:dyDescent="0.2">
      <c r="A400" s="292"/>
      <c r="C400" s="189"/>
      <c r="E400" s="190"/>
      <c r="G400" s="70"/>
      <c r="H400" s="70"/>
      <c r="J400" s="70"/>
      <c r="L400" s="71"/>
      <c r="N400" s="70"/>
    </row>
    <row r="401" spans="1:14" x14ac:dyDescent="0.2">
      <c r="A401" s="292"/>
      <c r="C401" s="189"/>
      <c r="E401" s="190"/>
      <c r="G401" s="70"/>
      <c r="H401" s="70"/>
      <c r="J401" s="70"/>
      <c r="L401" s="71"/>
      <c r="N401" s="70"/>
    </row>
    <row r="402" spans="1:14" x14ac:dyDescent="0.2">
      <c r="A402" s="292"/>
      <c r="C402" s="189"/>
      <c r="E402" s="190"/>
      <c r="G402" s="70"/>
      <c r="H402" s="70"/>
      <c r="J402" s="70"/>
      <c r="L402" s="71"/>
      <c r="N402" s="70"/>
    </row>
    <row r="403" spans="1:14" x14ac:dyDescent="0.2">
      <c r="A403" s="292"/>
      <c r="C403" s="189"/>
      <c r="E403" s="190"/>
      <c r="G403" s="70"/>
      <c r="H403" s="70"/>
      <c r="J403" s="70"/>
      <c r="L403" s="71"/>
      <c r="N403" s="70"/>
    </row>
    <row r="404" spans="1:14" x14ac:dyDescent="0.2">
      <c r="A404" s="292"/>
      <c r="C404" s="189"/>
      <c r="E404" s="190"/>
      <c r="G404" s="70"/>
      <c r="H404" s="70"/>
      <c r="J404" s="70"/>
      <c r="L404" s="71"/>
      <c r="N404" s="70"/>
    </row>
    <row r="405" spans="1:14" x14ac:dyDescent="0.2">
      <c r="A405" s="292"/>
      <c r="C405" s="189"/>
      <c r="E405" s="190"/>
      <c r="G405" s="70"/>
      <c r="H405" s="70"/>
      <c r="J405" s="70"/>
      <c r="L405" s="71"/>
      <c r="N405" s="70"/>
    </row>
    <row r="406" spans="1:14" x14ac:dyDescent="0.2">
      <c r="A406" s="292"/>
      <c r="C406" s="189"/>
      <c r="E406" s="190"/>
      <c r="G406" s="70"/>
      <c r="H406" s="70"/>
      <c r="J406" s="70"/>
      <c r="L406" s="71"/>
      <c r="N406" s="70"/>
    </row>
    <row r="407" spans="1:14" x14ac:dyDescent="0.2">
      <c r="A407" s="292"/>
      <c r="C407" s="189"/>
      <c r="E407" s="190"/>
      <c r="G407" s="70"/>
      <c r="H407" s="70"/>
      <c r="J407" s="70"/>
      <c r="L407" s="71"/>
      <c r="N407" s="70"/>
    </row>
    <row r="408" spans="1:14" x14ac:dyDescent="0.2">
      <c r="A408" s="292"/>
      <c r="C408" s="189"/>
      <c r="E408" s="190"/>
      <c r="G408" s="70"/>
      <c r="H408" s="70"/>
      <c r="J408" s="70"/>
      <c r="L408" s="71"/>
      <c r="N408" s="70"/>
    </row>
    <row r="409" spans="1:14" x14ac:dyDescent="0.2">
      <c r="A409" s="292"/>
      <c r="C409" s="189"/>
      <c r="E409" s="190"/>
      <c r="G409" s="70"/>
      <c r="H409" s="70"/>
      <c r="J409" s="70"/>
      <c r="L409" s="71"/>
      <c r="N409" s="70"/>
    </row>
    <row r="410" spans="1:14" x14ac:dyDescent="0.2">
      <c r="A410" s="292"/>
      <c r="C410" s="189"/>
      <c r="E410" s="190"/>
      <c r="G410" s="70"/>
      <c r="H410" s="70"/>
      <c r="J410" s="70"/>
      <c r="L410" s="71"/>
      <c r="N410" s="70"/>
    </row>
    <row r="411" spans="1:14" x14ac:dyDescent="0.2">
      <c r="A411" s="292"/>
      <c r="C411" s="189"/>
      <c r="E411" s="190"/>
      <c r="G411" s="70"/>
      <c r="H411" s="70"/>
      <c r="J411" s="70"/>
      <c r="L411" s="71"/>
      <c r="N411" s="70"/>
    </row>
    <row r="412" spans="1:14" x14ac:dyDescent="0.2">
      <c r="A412" s="292"/>
      <c r="C412" s="189"/>
      <c r="E412" s="190"/>
      <c r="G412" s="70"/>
      <c r="H412" s="70"/>
      <c r="J412" s="70"/>
      <c r="L412" s="71"/>
      <c r="N412" s="70"/>
    </row>
    <row r="413" spans="1:14" x14ac:dyDescent="0.2">
      <c r="A413" s="292"/>
      <c r="C413" s="189"/>
      <c r="E413" s="190"/>
      <c r="G413" s="70"/>
      <c r="H413" s="70"/>
      <c r="J413" s="70"/>
      <c r="L413" s="71"/>
      <c r="N413" s="70"/>
    </row>
    <row r="414" spans="1:14" x14ac:dyDescent="0.2">
      <c r="A414" s="292"/>
      <c r="C414" s="189"/>
      <c r="E414" s="190"/>
      <c r="G414" s="70"/>
      <c r="H414" s="70"/>
      <c r="J414" s="70"/>
      <c r="L414" s="71"/>
      <c r="N414" s="70"/>
    </row>
    <row r="415" spans="1:14" x14ac:dyDescent="0.2">
      <c r="A415" s="292"/>
      <c r="C415" s="189"/>
      <c r="E415" s="190"/>
      <c r="G415" s="70"/>
      <c r="H415" s="70"/>
      <c r="J415" s="70"/>
      <c r="L415" s="71"/>
      <c r="N415" s="70"/>
    </row>
    <row r="416" spans="1:14" x14ac:dyDescent="0.2">
      <c r="A416" s="292"/>
      <c r="C416" s="189"/>
      <c r="E416" s="190"/>
      <c r="G416" s="70"/>
      <c r="H416" s="70"/>
      <c r="J416" s="70"/>
      <c r="L416" s="71"/>
      <c r="N416" s="70"/>
    </row>
    <row r="417" spans="1:14" x14ac:dyDescent="0.2">
      <c r="A417" s="292"/>
      <c r="C417" s="189"/>
      <c r="E417" s="190"/>
      <c r="G417" s="70"/>
      <c r="H417" s="70"/>
      <c r="J417" s="70"/>
      <c r="L417" s="71"/>
      <c r="N417" s="70"/>
    </row>
    <row r="418" spans="1:14" x14ac:dyDescent="0.2">
      <c r="A418" s="292"/>
      <c r="C418" s="189"/>
      <c r="E418" s="190"/>
      <c r="G418" s="70"/>
      <c r="H418" s="70"/>
      <c r="J418" s="70"/>
      <c r="L418" s="71"/>
      <c r="N418" s="70"/>
    </row>
    <row r="419" spans="1:14" x14ac:dyDescent="0.2">
      <c r="A419" s="292"/>
      <c r="C419" s="189"/>
      <c r="E419" s="190"/>
      <c r="G419" s="70"/>
      <c r="H419" s="70"/>
      <c r="J419" s="70"/>
      <c r="L419" s="71"/>
      <c r="N419" s="70"/>
    </row>
    <row r="420" spans="1:14" x14ac:dyDescent="0.2">
      <c r="A420" s="292"/>
      <c r="C420" s="189"/>
      <c r="E420" s="190"/>
      <c r="G420" s="70"/>
      <c r="H420" s="70"/>
      <c r="J420" s="70"/>
      <c r="L420" s="71"/>
      <c r="N420" s="70"/>
    </row>
    <row r="421" spans="1:14" x14ac:dyDescent="0.2">
      <c r="A421" s="292"/>
      <c r="C421" s="189"/>
      <c r="E421" s="190"/>
      <c r="G421" s="70"/>
      <c r="H421" s="70"/>
      <c r="J421" s="70"/>
      <c r="L421" s="71"/>
      <c r="N421" s="70"/>
    </row>
    <row r="422" spans="1:14" x14ac:dyDescent="0.2">
      <c r="A422" s="292"/>
      <c r="C422" s="189"/>
      <c r="E422" s="190"/>
      <c r="G422" s="70"/>
      <c r="H422" s="70"/>
      <c r="J422" s="70"/>
      <c r="L422" s="71"/>
      <c r="N422" s="70"/>
    </row>
    <row r="423" spans="1:14" x14ac:dyDescent="0.2">
      <c r="A423" s="292"/>
      <c r="C423" s="189"/>
      <c r="E423" s="190"/>
      <c r="G423" s="70"/>
      <c r="H423" s="70"/>
      <c r="J423" s="70"/>
      <c r="L423" s="71"/>
      <c r="N423" s="70"/>
    </row>
    <row r="424" spans="1:14" x14ac:dyDescent="0.2">
      <c r="A424" s="292"/>
      <c r="C424" s="189"/>
      <c r="E424" s="190"/>
      <c r="G424" s="70"/>
      <c r="H424" s="70"/>
      <c r="J424" s="70"/>
      <c r="L424" s="71"/>
      <c r="N424" s="70"/>
    </row>
    <row r="425" spans="1:14" x14ac:dyDescent="0.2">
      <c r="A425" s="292"/>
      <c r="C425" s="189"/>
      <c r="E425" s="190"/>
      <c r="G425" s="70"/>
      <c r="H425" s="70"/>
      <c r="J425" s="70"/>
      <c r="L425" s="71"/>
      <c r="N425" s="70"/>
    </row>
    <row r="426" spans="1:14" x14ac:dyDescent="0.2">
      <c r="A426" s="292"/>
      <c r="C426" s="189"/>
      <c r="E426" s="190"/>
      <c r="G426" s="70"/>
      <c r="H426" s="70"/>
      <c r="J426" s="70"/>
      <c r="L426" s="71"/>
      <c r="N426" s="70"/>
    </row>
    <row r="427" spans="1:14" x14ac:dyDescent="0.2">
      <c r="A427" s="292"/>
      <c r="C427" s="189"/>
      <c r="E427" s="190"/>
      <c r="G427" s="70"/>
      <c r="H427" s="70"/>
      <c r="J427" s="70"/>
      <c r="L427" s="71"/>
      <c r="N427" s="70"/>
    </row>
    <row r="428" spans="1:14" x14ac:dyDescent="0.2">
      <c r="A428" s="292"/>
      <c r="C428" s="189"/>
      <c r="E428" s="190"/>
      <c r="G428" s="70"/>
      <c r="H428" s="70"/>
      <c r="J428" s="70"/>
      <c r="L428" s="71"/>
      <c r="N428" s="70"/>
    </row>
    <row r="429" spans="1:14" x14ac:dyDescent="0.2">
      <c r="A429" s="292"/>
      <c r="C429" s="189"/>
      <c r="E429" s="190"/>
      <c r="G429" s="70"/>
      <c r="H429" s="70"/>
      <c r="J429" s="70"/>
      <c r="L429" s="71"/>
      <c r="N429" s="70"/>
    </row>
    <row r="430" spans="1:14" x14ac:dyDescent="0.2">
      <c r="A430" s="292"/>
      <c r="C430" s="189"/>
      <c r="E430" s="190"/>
      <c r="G430" s="70"/>
      <c r="H430" s="70"/>
      <c r="J430" s="70"/>
      <c r="L430" s="71"/>
      <c r="N430" s="70"/>
    </row>
    <row r="431" spans="1:14" x14ac:dyDescent="0.2">
      <c r="A431" s="292"/>
      <c r="C431" s="189"/>
      <c r="E431" s="190"/>
      <c r="G431" s="70"/>
      <c r="H431" s="70"/>
      <c r="J431" s="70"/>
      <c r="L431" s="71"/>
      <c r="N431" s="70"/>
    </row>
    <row r="432" spans="1:14" x14ac:dyDescent="0.2">
      <c r="A432" s="292"/>
      <c r="C432" s="189"/>
      <c r="E432" s="190"/>
      <c r="G432" s="70"/>
      <c r="H432" s="70"/>
      <c r="J432" s="70"/>
      <c r="L432" s="71"/>
      <c r="N432" s="70"/>
    </row>
    <row r="433" spans="1:14" x14ac:dyDescent="0.2">
      <c r="A433" s="292"/>
      <c r="C433" s="189"/>
      <c r="E433" s="190"/>
      <c r="G433" s="70"/>
      <c r="H433" s="70"/>
      <c r="J433" s="70"/>
      <c r="L433" s="71"/>
      <c r="N433" s="70"/>
    </row>
    <row r="434" spans="1:14" x14ac:dyDescent="0.2">
      <c r="A434" s="292"/>
      <c r="C434" s="189"/>
      <c r="E434" s="190"/>
      <c r="G434" s="70"/>
      <c r="H434" s="70"/>
      <c r="J434" s="70"/>
      <c r="L434" s="71"/>
      <c r="N434" s="70"/>
    </row>
    <row r="435" spans="1:14" x14ac:dyDescent="0.2">
      <c r="A435" s="292"/>
      <c r="C435" s="189"/>
      <c r="E435" s="190"/>
      <c r="G435" s="70"/>
      <c r="H435" s="70"/>
      <c r="J435" s="70"/>
      <c r="L435" s="71"/>
      <c r="N435" s="70"/>
    </row>
    <row r="436" spans="1:14" x14ac:dyDescent="0.2">
      <c r="A436" s="292"/>
      <c r="C436" s="189"/>
      <c r="E436" s="190"/>
      <c r="G436" s="70"/>
      <c r="H436" s="70"/>
      <c r="J436" s="70"/>
      <c r="L436" s="71"/>
      <c r="N436" s="70"/>
    </row>
    <row r="437" spans="1:14" x14ac:dyDescent="0.2">
      <c r="A437" s="292"/>
      <c r="C437" s="189"/>
      <c r="E437" s="190"/>
      <c r="G437" s="70"/>
      <c r="H437" s="70"/>
      <c r="J437" s="70"/>
      <c r="L437" s="71"/>
      <c r="N437" s="70"/>
    </row>
    <row r="438" spans="1:14" x14ac:dyDescent="0.2">
      <c r="A438" s="292"/>
      <c r="C438" s="189"/>
      <c r="E438" s="190"/>
      <c r="G438" s="70"/>
      <c r="H438" s="70"/>
      <c r="J438" s="70"/>
      <c r="L438" s="71"/>
      <c r="N438" s="70"/>
    </row>
    <row r="439" spans="1:14" x14ac:dyDescent="0.2">
      <c r="A439" s="292"/>
      <c r="C439" s="189"/>
      <c r="E439" s="190"/>
      <c r="G439" s="70"/>
      <c r="H439" s="70"/>
      <c r="J439" s="70"/>
      <c r="L439" s="71"/>
      <c r="N439" s="70"/>
    </row>
    <row r="440" spans="1:14" x14ac:dyDescent="0.2">
      <c r="A440" s="292"/>
      <c r="C440" s="189"/>
      <c r="E440" s="190"/>
      <c r="G440" s="70"/>
      <c r="H440" s="70"/>
      <c r="J440" s="70"/>
      <c r="L440" s="71"/>
      <c r="N440" s="70"/>
    </row>
    <row r="441" spans="1:14" x14ac:dyDescent="0.2">
      <c r="A441" s="292"/>
      <c r="C441" s="189"/>
      <c r="E441" s="190"/>
      <c r="G441" s="70"/>
      <c r="H441" s="70"/>
      <c r="J441" s="70"/>
      <c r="L441" s="71"/>
      <c r="N441" s="70"/>
    </row>
    <row r="442" spans="1:14" x14ac:dyDescent="0.2">
      <c r="A442" s="292"/>
      <c r="C442" s="189"/>
      <c r="E442" s="190"/>
      <c r="G442" s="70"/>
      <c r="H442" s="70"/>
      <c r="J442" s="70"/>
      <c r="L442" s="71"/>
      <c r="N442" s="70"/>
    </row>
    <row r="443" spans="1:14" x14ac:dyDescent="0.2">
      <c r="A443" s="292"/>
      <c r="C443" s="189"/>
      <c r="E443" s="190"/>
      <c r="G443" s="70"/>
      <c r="H443" s="70"/>
      <c r="J443" s="70"/>
      <c r="L443" s="71"/>
      <c r="N443" s="70"/>
    </row>
    <row r="444" spans="1:14" x14ac:dyDescent="0.2">
      <c r="A444" s="292"/>
      <c r="C444" s="189"/>
      <c r="E444" s="190"/>
      <c r="G444" s="70"/>
      <c r="H444" s="70"/>
      <c r="J444" s="70"/>
      <c r="L444" s="71"/>
      <c r="N444" s="70"/>
    </row>
    <row r="445" spans="1:14" x14ac:dyDescent="0.2">
      <c r="A445" s="292"/>
      <c r="C445" s="189"/>
      <c r="E445" s="190"/>
      <c r="G445" s="70"/>
      <c r="H445" s="70"/>
      <c r="J445" s="70"/>
      <c r="L445" s="71"/>
      <c r="N445" s="70"/>
    </row>
    <row r="446" spans="1:14" x14ac:dyDescent="0.2">
      <c r="A446" s="292"/>
      <c r="C446" s="189"/>
      <c r="E446" s="190"/>
      <c r="G446" s="70"/>
      <c r="H446" s="70"/>
      <c r="J446" s="70"/>
      <c r="L446" s="71"/>
      <c r="N446" s="70"/>
    </row>
    <row r="447" spans="1:14" x14ac:dyDescent="0.2">
      <c r="A447" s="292"/>
      <c r="C447" s="189"/>
      <c r="E447" s="190"/>
      <c r="G447" s="70"/>
      <c r="H447" s="70"/>
      <c r="J447" s="70"/>
      <c r="L447" s="71"/>
      <c r="N447" s="70"/>
    </row>
    <row r="448" spans="1:14" x14ac:dyDescent="0.2">
      <c r="A448" s="292"/>
      <c r="C448" s="189"/>
      <c r="E448" s="190"/>
      <c r="G448" s="70"/>
      <c r="H448" s="70"/>
      <c r="J448" s="70"/>
      <c r="L448" s="71"/>
      <c r="N448" s="70"/>
    </row>
    <row r="449" spans="1:14" x14ac:dyDescent="0.2">
      <c r="A449" s="292"/>
      <c r="C449" s="189"/>
      <c r="E449" s="190"/>
      <c r="G449" s="70"/>
      <c r="H449" s="70"/>
      <c r="J449" s="70"/>
      <c r="L449" s="71"/>
      <c r="N449" s="70"/>
    </row>
    <row r="450" spans="1:14" x14ac:dyDescent="0.2">
      <c r="A450" s="292"/>
      <c r="C450" s="189"/>
      <c r="E450" s="190"/>
      <c r="G450" s="70"/>
      <c r="H450" s="70"/>
      <c r="J450" s="70"/>
      <c r="L450" s="71"/>
      <c r="N450" s="70"/>
    </row>
    <row r="451" spans="1:14" x14ac:dyDescent="0.2">
      <c r="A451" s="292"/>
      <c r="C451" s="189"/>
      <c r="E451" s="190"/>
      <c r="G451" s="70"/>
      <c r="H451" s="70"/>
      <c r="J451" s="70"/>
      <c r="L451" s="71"/>
      <c r="N451" s="70"/>
    </row>
    <row r="452" spans="1:14" x14ac:dyDescent="0.2">
      <c r="A452" s="292"/>
      <c r="C452" s="189"/>
      <c r="E452" s="190"/>
      <c r="G452" s="70"/>
      <c r="H452" s="70"/>
      <c r="J452" s="70"/>
      <c r="L452" s="71"/>
      <c r="N452" s="70"/>
    </row>
    <row r="453" spans="1:14" x14ac:dyDescent="0.2">
      <c r="A453" s="292"/>
      <c r="C453" s="189"/>
      <c r="E453" s="190"/>
      <c r="G453" s="70"/>
      <c r="H453" s="70"/>
      <c r="J453" s="70"/>
      <c r="L453" s="71"/>
      <c r="N453" s="70"/>
    </row>
    <row r="454" spans="1:14" x14ac:dyDescent="0.2">
      <c r="A454" s="292"/>
      <c r="C454" s="189"/>
      <c r="E454" s="190"/>
      <c r="G454" s="70"/>
      <c r="H454" s="70"/>
      <c r="J454" s="70"/>
      <c r="L454" s="71"/>
      <c r="N454" s="70"/>
    </row>
    <row r="455" spans="1:14" x14ac:dyDescent="0.2">
      <c r="A455" s="292"/>
      <c r="C455" s="189"/>
      <c r="E455" s="190"/>
      <c r="G455" s="70"/>
      <c r="H455" s="70"/>
      <c r="J455" s="70"/>
      <c r="L455" s="71"/>
      <c r="N455" s="70"/>
    </row>
    <row r="456" spans="1:14" x14ac:dyDescent="0.2">
      <c r="A456" s="292"/>
      <c r="C456" s="189"/>
      <c r="E456" s="190"/>
      <c r="G456" s="70"/>
      <c r="H456" s="70"/>
      <c r="J456" s="70"/>
      <c r="L456" s="71"/>
      <c r="N456" s="70"/>
    </row>
    <row r="457" spans="1:14" x14ac:dyDescent="0.2">
      <c r="A457" s="292"/>
      <c r="C457" s="189"/>
      <c r="E457" s="190"/>
      <c r="G457" s="70"/>
      <c r="H457" s="70"/>
      <c r="J457" s="70"/>
      <c r="L457" s="71"/>
      <c r="N457" s="70"/>
    </row>
    <row r="458" spans="1:14" x14ac:dyDescent="0.2">
      <c r="A458" s="292"/>
      <c r="C458" s="189"/>
      <c r="E458" s="190"/>
      <c r="G458" s="70"/>
      <c r="H458" s="70"/>
      <c r="J458" s="70"/>
      <c r="L458" s="71"/>
      <c r="N458" s="70"/>
    </row>
    <row r="459" spans="1:14" x14ac:dyDescent="0.2">
      <c r="A459" s="292"/>
      <c r="C459" s="189"/>
      <c r="E459" s="190"/>
      <c r="G459" s="70"/>
      <c r="H459" s="70"/>
      <c r="J459" s="70"/>
      <c r="L459" s="71"/>
      <c r="N459" s="70"/>
    </row>
    <row r="460" spans="1:14" x14ac:dyDescent="0.2">
      <c r="A460" s="292"/>
      <c r="C460" s="189"/>
      <c r="E460" s="190"/>
      <c r="G460" s="70"/>
      <c r="H460" s="70"/>
      <c r="J460" s="70"/>
      <c r="L460" s="71"/>
      <c r="N460" s="70"/>
    </row>
    <row r="461" spans="1:14" x14ac:dyDescent="0.2">
      <c r="A461" s="292"/>
      <c r="C461" s="189"/>
      <c r="E461" s="190"/>
      <c r="G461" s="70"/>
      <c r="H461" s="70"/>
      <c r="J461" s="70"/>
      <c r="L461" s="71"/>
      <c r="N461" s="70"/>
    </row>
    <row r="462" spans="1:14" x14ac:dyDescent="0.2">
      <c r="A462" s="292"/>
      <c r="C462" s="189"/>
      <c r="E462" s="190"/>
      <c r="G462" s="70"/>
      <c r="H462" s="70"/>
      <c r="J462" s="70"/>
      <c r="L462" s="71"/>
      <c r="N462" s="70"/>
    </row>
    <row r="463" spans="1:14" x14ac:dyDescent="0.2">
      <c r="A463" s="292"/>
      <c r="C463" s="189"/>
      <c r="E463" s="190"/>
      <c r="G463" s="70"/>
      <c r="H463" s="70"/>
      <c r="J463" s="70"/>
      <c r="L463" s="71"/>
      <c r="N463" s="70"/>
    </row>
    <row r="464" spans="1:14" x14ac:dyDescent="0.2">
      <c r="A464" s="292"/>
      <c r="C464" s="189"/>
      <c r="E464" s="190"/>
      <c r="G464" s="70"/>
      <c r="H464" s="70"/>
      <c r="J464" s="70"/>
      <c r="L464" s="71"/>
      <c r="N464" s="70"/>
    </row>
    <row r="465" spans="1:14" x14ac:dyDescent="0.2">
      <c r="A465" s="292"/>
      <c r="C465" s="189"/>
      <c r="E465" s="190"/>
      <c r="G465" s="70"/>
      <c r="H465" s="70"/>
      <c r="J465" s="70"/>
      <c r="L465" s="71"/>
      <c r="N465" s="70"/>
    </row>
    <row r="466" spans="1:14" x14ac:dyDescent="0.2">
      <c r="A466" s="292"/>
      <c r="C466" s="189"/>
      <c r="E466" s="190"/>
      <c r="G466" s="70"/>
      <c r="H466" s="70"/>
      <c r="J466" s="70"/>
      <c r="L466" s="71"/>
      <c r="N466" s="70"/>
    </row>
    <row r="467" spans="1:14" x14ac:dyDescent="0.2">
      <c r="A467" s="292"/>
      <c r="C467" s="189"/>
      <c r="E467" s="190"/>
      <c r="G467" s="70"/>
      <c r="H467" s="70"/>
      <c r="J467" s="70"/>
      <c r="L467" s="71"/>
      <c r="N467" s="70"/>
    </row>
    <row r="468" spans="1:14" x14ac:dyDescent="0.2">
      <c r="A468" s="292"/>
      <c r="C468" s="189"/>
      <c r="E468" s="190"/>
      <c r="G468" s="70"/>
      <c r="H468" s="70"/>
      <c r="J468" s="70"/>
      <c r="L468" s="71"/>
      <c r="N468" s="70"/>
    </row>
    <row r="469" spans="1:14" x14ac:dyDescent="0.2">
      <c r="A469" s="292"/>
      <c r="C469" s="189"/>
      <c r="E469" s="190"/>
      <c r="G469" s="70"/>
      <c r="H469" s="70"/>
      <c r="J469" s="70"/>
      <c r="L469" s="71"/>
      <c r="N469" s="70"/>
    </row>
    <row r="470" spans="1:14" x14ac:dyDescent="0.2">
      <c r="A470" s="292"/>
      <c r="C470" s="189"/>
      <c r="E470" s="190"/>
      <c r="G470" s="70"/>
      <c r="H470" s="70"/>
      <c r="J470" s="70"/>
      <c r="L470" s="71"/>
      <c r="N470" s="70"/>
    </row>
    <row r="471" spans="1:14" x14ac:dyDescent="0.2">
      <c r="A471" s="292"/>
      <c r="C471" s="189"/>
      <c r="E471" s="190"/>
      <c r="G471" s="70"/>
      <c r="H471" s="70"/>
      <c r="J471" s="70"/>
      <c r="L471" s="71"/>
      <c r="N471" s="70"/>
    </row>
    <row r="472" spans="1:14" x14ac:dyDescent="0.2">
      <c r="A472" s="292"/>
      <c r="C472" s="189"/>
      <c r="E472" s="190"/>
      <c r="G472" s="70"/>
      <c r="H472" s="70"/>
      <c r="J472" s="70"/>
      <c r="L472" s="71"/>
      <c r="N472" s="70"/>
    </row>
    <row r="473" spans="1:14" x14ac:dyDescent="0.2">
      <c r="A473" s="292"/>
      <c r="C473" s="189"/>
      <c r="E473" s="190"/>
      <c r="G473" s="70"/>
      <c r="H473" s="70"/>
      <c r="J473" s="70"/>
      <c r="L473" s="71"/>
      <c r="N473" s="70"/>
    </row>
    <row r="474" spans="1:14" x14ac:dyDescent="0.2">
      <c r="A474" s="292"/>
      <c r="C474" s="189"/>
      <c r="E474" s="190"/>
      <c r="G474" s="70"/>
      <c r="H474" s="70"/>
      <c r="J474" s="70"/>
      <c r="L474" s="71"/>
      <c r="N474" s="70"/>
    </row>
    <row r="475" spans="1:14" x14ac:dyDescent="0.2">
      <c r="A475" s="292"/>
      <c r="C475" s="189"/>
      <c r="E475" s="190"/>
      <c r="G475" s="70"/>
      <c r="H475" s="70"/>
      <c r="J475" s="70"/>
      <c r="L475" s="71"/>
      <c r="N475" s="70"/>
    </row>
    <row r="476" spans="1:14" x14ac:dyDescent="0.2">
      <c r="A476" s="292"/>
      <c r="C476" s="189"/>
      <c r="E476" s="190"/>
      <c r="G476" s="70"/>
      <c r="H476" s="70"/>
      <c r="J476" s="70"/>
      <c r="L476" s="71"/>
      <c r="N476" s="70"/>
    </row>
    <row r="477" spans="1:14" x14ac:dyDescent="0.2">
      <c r="A477" s="292"/>
      <c r="C477" s="189"/>
      <c r="E477" s="190"/>
      <c r="G477" s="70"/>
      <c r="H477" s="70"/>
      <c r="J477" s="70"/>
      <c r="L477" s="71"/>
      <c r="N477" s="70"/>
    </row>
    <row r="478" spans="1:14" x14ac:dyDescent="0.2">
      <c r="A478" s="292"/>
      <c r="C478" s="189"/>
      <c r="E478" s="190"/>
      <c r="G478" s="70"/>
      <c r="H478" s="70"/>
      <c r="J478" s="70"/>
      <c r="L478" s="71"/>
      <c r="N478" s="70"/>
    </row>
    <row r="479" spans="1:14" x14ac:dyDescent="0.2">
      <c r="A479" s="292"/>
      <c r="C479" s="189"/>
      <c r="E479" s="190"/>
      <c r="G479" s="70"/>
      <c r="H479" s="70"/>
      <c r="J479" s="70"/>
      <c r="L479" s="71"/>
      <c r="N479" s="70"/>
    </row>
    <row r="480" spans="1:14" x14ac:dyDescent="0.2">
      <c r="A480" s="292"/>
      <c r="C480" s="189"/>
      <c r="E480" s="190"/>
      <c r="G480" s="70"/>
      <c r="H480" s="70"/>
      <c r="J480" s="70"/>
      <c r="L480" s="71"/>
      <c r="N480" s="70"/>
    </row>
    <row r="481" spans="1:14" x14ac:dyDescent="0.2">
      <c r="A481" s="292"/>
      <c r="C481" s="189"/>
      <c r="E481" s="190"/>
      <c r="G481" s="70"/>
      <c r="H481" s="70"/>
      <c r="J481" s="70"/>
      <c r="L481" s="71"/>
      <c r="N481" s="70"/>
    </row>
    <row r="482" spans="1:14" x14ac:dyDescent="0.2">
      <c r="A482" s="292"/>
      <c r="C482" s="189"/>
      <c r="E482" s="190"/>
      <c r="G482" s="70"/>
      <c r="H482" s="70"/>
      <c r="J482" s="70"/>
      <c r="L482" s="71"/>
      <c r="N482" s="70"/>
    </row>
    <row r="483" spans="1:14" x14ac:dyDescent="0.2">
      <c r="A483" s="292"/>
      <c r="C483" s="189"/>
      <c r="E483" s="190"/>
      <c r="G483" s="70"/>
      <c r="H483" s="70"/>
      <c r="J483" s="70"/>
      <c r="L483" s="71"/>
      <c r="N483" s="70"/>
    </row>
    <row r="484" spans="1:14" x14ac:dyDescent="0.2">
      <c r="A484" s="292"/>
      <c r="C484" s="189"/>
      <c r="E484" s="190"/>
      <c r="G484" s="70"/>
      <c r="H484" s="70"/>
      <c r="J484" s="70"/>
      <c r="L484" s="71"/>
      <c r="N484" s="70"/>
    </row>
    <row r="485" spans="1:14" x14ac:dyDescent="0.2">
      <c r="A485" s="292"/>
      <c r="C485" s="189"/>
      <c r="E485" s="190"/>
      <c r="G485" s="70"/>
      <c r="H485" s="70"/>
      <c r="J485" s="70"/>
      <c r="L485" s="71"/>
      <c r="N485" s="70"/>
    </row>
    <row r="486" spans="1:14" x14ac:dyDescent="0.2">
      <c r="A486" s="292"/>
      <c r="C486" s="189"/>
      <c r="E486" s="190"/>
      <c r="G486" s="70"/>
      <c r="H486" s="70"/>
      <c r="J486" s="70"/>
      <c r="L486" s="71"/>
      <c r="N486" s="70"/>
    </row>
    <row r="487" spans="1:14" x14ac:dyDescent="0.2">
      <c r="A487" s="292"/>
      <c r="C487" s="189"/>
      <c r="E487" s="190"/>
      <c r="G487" s="70"/>
      <c r="H487" s="70"/>
      <c r="J487" s="70"/>
      <c r="L487" s="71"/>
      <c r="N487" s="70"/>
    </row>
    <row r="488" spans="1:14" x14ac:dyDescent="0.2">
      <c r="A488" s="292"/>
      <c r="C488" s="189"/>
      <c r="E488" s="190"/>
      <c r="G488" s="70"/>
      <c r="H488" s="70"/>
      <c r="J488" s="70"/>
      <c r="L488" s="71"/>
      <c r="N488" s="70"/>
    </row>
    <row r="489" spans="1:14" x14ac:dyDescent="0.2">
      <c r="A489" s="292"/>
      <c r="C489" s="189"/>
      <c r="E489" s="190"/>
      <c r="G489" s="70"/>
      <c r="H489" s="70"/>
      <c r="J489" s="70"/>
      <c r="L489" s="71"/>
      <c r="N489" s="70"/>
    </row>
    <row r="490" spans="1:14" x14ac:dyDescent="0.2">
      <c r="A490" s="292"/>
      <c r="C490" s="189"/>
      <c r="E490" s="190"/>
      <c r="G490" s="70"/>
      <c r="H490" s="70"/>
      <c r="J490" s="70"/>
      <c r="L490" s="71"/>
      <c r="N490" s="70"/>
    </row>
    <row r="491" spans="1:14" x14ac:dyDescent="0.2">
      <c r="A491" s="292"/>
      <c r="C491" s="189"/>
      <c r="E491" s="190"/>
      <c r="G491" s="70"/>
      <c r="H491" s="70"/>
      <c r="J491" s="70"/>
      <c r="L491" s="71"/>
      <c r="N491" s="70"/>
    </row>
    <row r="492" spans="1:14" x14ac:dyDescent="0.2">
      <c r="A492" s="292"/>
      <c r="C492" s="189"/>
      <c r="E492" s="190"/>
      <c r="G492" s="70"/>
      <c r="H492" s="70"/>
      <c r="J492" s="70"/>
      <c r="L492" s="71"/>
      <c r="N492" s="70"/>
    </row>
    <row r="493" spans="1:14" x14ac:dyDescent="0.2">
      <c r="A493" s="292"/>
      <c r="C493" s="189"/>
      <c r="E493" s="190"/>
      <c r="G493" s="70"/>
      <c r="H493" s="70"/>
      <c r="J493" s="70"/>
      <c r="L493" s="71"/>
      <c r="N493" s="70"/>
    </row>
    <row r="494" spans="1:14" x14ac:dyDescent="0.2">
      <c r="A494" s="292"/>
      <c r="C494" s="189"/>
      <c r="E494" s="190"/>
      <c r="G494" s="70"/>
      <c r="H494" s="70"/>
      <c r="J494" s="70"/>
      <c r="L494" s="71"/>
      <c r="N494" s="70"/>
    </row>
    <row r="495" spans="1:14" x14ac:dyDescent="0.2">
      <c r="A495" s="292"/>
      <c r="C495" s="189"/>
      <c r="E495" s="190"/>
      <c r="G495" s="70"/>
      <c r="H495" s="70"/>
      <c r="J495" s="70"/>
      <c r="L495" s="71"/>
      <c r="N495" s="70"/>
    </row>
    <row r="496" spans="1:14" x14ac:dyDescent="0.2">
      <c r="A496" s="292"/>
      <c r="C496" s="189"/>
      <c r="E496" s="190"/>
      <c r="G496" s="70"/>
      <c r="H496" s="70"/>
      <c r="J496" s="70"/>
      <c r="L496" s="71"/>
      <c r="N496" s="70"/>
    </row>
    <row r="497" spans="1:14" x14ac:dyDescent="0.2">
      <c r="A497" s="292"/>
      <c r="C497" s="189"/>
      <c r="E497" s="190"/>
      <c r="G497" s="70"/>
      <c r="H497" s="70"/>
      <c r="J497" s="70"/>
      <c r="L497" s="71"/>
      <c r="N497" s="70"/>
    </row>
    <row r="498" spans="1:14" x14ac:dyDescent="0.2">
      <c r="A498" s="292"/>
      <c r="C498" s="189"/>
      <c r="E498" s="190"/>
      <c r="G498" s="70"/>
      <c r="H498" s="70"/>
      <c r="J498" s="70"/>
      <c r="L498" s="71"/>
      <c r="N498" s="70"/>
    </row>
    <row r="499" spans="1:14" x14ac:dyDescent="0.2">
      <c r="A499" s="292"/>
      <c r="C499" s="189"/>
      <c r="E499" s="190"/>
      <c r="G499" s="70"/>
      <c r="H499" s="70"/>
      <c r="J499" s="70"/>
      <c r="L499" s="71"/>
      <c r="N499" s="70"/>
    </row>
    <row r="500" spans="1:14" x14ac:dyDescent="0.2">
      <c r="A500" s="292"/>
      <c r="C500" s="189"/>
      <c r="E500" s="190"/>
      <c r="G500" s="70"/>
      <c r="H500" s="70"/>
      <c r="J500" s="70"/>
      <c r="L500" s="71"/>
      <c r="N500" s="70"/>
    </row>
    <row r="501" spans="1:14" x14ac:dyDescent="0.2">
      <c r="A501" s="292"/>
      <c r="C501" s="189"/>
      <c r="E501" s="190"/>
      <c r="G501" s="70"/>
      <c r="H501" s="70"/>
      <c r="J501" s="70"/>
      <c r="L501" s="71"/>
      <c r="N501" s="70"/>
    </row>
    <row r="502" spans="1:14" x14ac:dyDescent="0.2">
      <c r="A502" s="292"/>
      <c r="C502" s="189"/>
      <c r="E502" s="190"/>
      <c r="G502" s="70"/>
      <c r="H502" s="70"/>
      <c r="J502" s="70"/>
      <c r="L502" s="71"/>
      <c r="N502" s="70"/>
    </row>
    <row r="503" spans="1:14" x14ac:dyDescent="0.2">
      <c r="A503" s="292"/>
      <c r="C503" s="189"/>
      <c r="E503" s="190"/>
      <c r="G503" s="70"/>
      <c r="H503" s="70"/>
      <c r="J503" s="70"/>
      <c r="L503" s="71"/>
      <c r="N503" s="70"/>
    </row>
    <row r="504" spans="1:14" x14ac:dyDescent="0.2">
      <c r="A504" s="292"/>
      <c r="C504" s="189"/>
      <c r="E504" s="190"/>
      <c r="G504" s="70"/>
      <c r="H504" s="70"/>
      <c r="J504" s="70"/>
      <c r="L504" s="71"/>
      <c r="N504" s="70"/>
    </row>
    <row r="505" spans="1:14" x14ac:dyDescent="0.2">
      <c r="A505" s="292"/>
      <c r="C505" s="189"/>
      <c r="E505" s="190"/>
      <c r="G505" s="70"/>
      <c r="H505" s="70"/>
      <c r="J505" s="70"/>
      <c r="L505" s="71"/>
      <c r="N505" s="70"/>
    </row>
    <row r="506" spans="1:14" x14ac:dyDescent="0.2">
      <c r="A506" s="292"/>
      <c r="C506" s="189"/>
      <c r="E506" s="190"/>
      <c r="G506" s="70"/>
      <c r="H506" s="70"/>
      <c r="J506" s="70"/>
      <c r="L506" s="71"/>
      <c r="N506" s="70"/>
    </row>
    <row r="507" spans="1:14" x14ac:dyDescent="0.2">
      <c r="A507" s="292"/>
      <c r="C507" s="189"/>
      <c r="E507" s="190"/>
      <c r="G507" s="70"/>
      <c r="H507" s="70"/>
      <c r="J507" s="70"/>
      <c r="L507" s="71"/>
      <c r="N507" s="70"/>
    </row>
    <row r="508" spans="1:14" x14ac:dyDescent="0.2">
      <c r="A508" s="292"/>
      <c r="C508" s="189"/>
      <c r="E508" s="190"/>
      <c r="G508" s="70"/>
      <c r="H508" s="70"/>
      <c r="J508" s="70"/>
      <c r="L508" s="71"/>
      <c r="N508" s="70"/>
    </row>
    <row r="509" spans="1:14" x14ac:dyDescent="0.2">
      <c r="A509" s="292"/>
      <c r="C509" s="189"/>
      <c r="E509" s="190"/>
      <c r="G509" s="70"/>
      <c r="H509" s="70"/>
      <c r="J509" s="70"/>
      <c r="L509" s="71"/>
      <c r="N509" s="70"/>
    </row>
    <row r="510" spans="1:14" x14ac:dyDescent="0.2">
      <c r="A510" s="292"/>
      <c r="C510" s="189"/>
      <c r="E510" s="190"/>
      <c r="G510" s="70"/>
      <c r="H510" s="70"/>
      <c r="J510" s="70"/>
      <c r="L510" s="71"/>
      <c r="N510" s="70"/>
    </row>
    <row r="511" spans="1:14" x14ac:dyDescent="0.2">
      <c r="A511" s="292"/>
      <c r="C511" s="189"/>
      <c r="E511" s="190"/>
      <c r="G511" s="70"/>
      <c r="H511" s="70"/>
      <c r="J511" s="70"/>
      <c r="L511" s="71"/>
      <c r="N511" s="70"/>
    </row>
    <row r="512" spans="1:14" x14ac:dyDescent="0.2">
      <c r="A512" s="292"/>
      <c r="C512" s="189"/>
      <c r="E512" s="190"/>
      <c r="G512" s="70"/>
      <c r="H512" s="70"/>
      <c r="J512" s="70"/>
      <c r="L512" s="71"/>
      <c r="N512" s="70"/>
    </row>
    <row r="513" spans="1:14" x14ac:dyDescent="0.2">
      <c r="A513" s="292"/>
      <c r="C513" s="189"/>
      <c r="E513" s="190"/>
      <c r="G513" s="70"/>
      <c r="H513" s="70"/>
      <c r="J513" s="70"/>
      <c r="L513" s="71"/>
      <c r="N513" s="70"/>
    </row>
    <row r="514" spans="1:14" x14ac:dyDescent="0.2">
      <c r="A514" s="292"/>
      <c r="C514" s="189"/>
      <c r="E514" s="190"/>
      <c r="G514" s="70"/>
      <c r="H514" s="70"/>
      <c r="J514" s="70"/>
      <c r="L514" s="71"/>
      <c r="N514" s="70"/>
    </row>
    <row r="515" spans="1:14" x14ac:dyDescent="0.2">
      <c r="A515" s="292"/>
      <c r="C515" s="189"/>
      <c r="E515" s="190"/>
      <c r="G515" s="70"/>
      <c r="H515" s="70"/>
      <c r="J515" s="70"/>
      <c r="L515" s="71"/>
      <c r="N515" s="70"/>
    </row>
    <row r="516" spans="1:14" x14ac:dyDescent="0.2">
      <c r="A516" s="292"/>
      <c r="C516" s="189"/>
      <c r="E516" s="190"/>
      <c r="G516" s="70"/>
      <c r="H516" s="70"/>
      <c r="J516" s="70"/>
      <c r="L516" s="71"/>
      <c r="N516" s="70"/>
    </row>
    <row r="517" spans="1:14" x14ac:dyDescent="0.2">
      <c r="A517" s="292"/>
      <c r="C517" s="189"/>
      <c r="E517" s="190"/>
      <c r="G517" s="70"/>
      <c r="H517" s="70"/>
      <c r="J517" s="70"/>
      <c r="L517" s="71"/>
      <c r="N517" s="70"/>
    </row>
    <row r="518" spans="1:14" x14ac:dyDescent="0.2">
      <c r="A518" s="292"/>
      <c r="C518" s="189"/>
      <c r="E518" s="190"/>
      <c r="G518" s="70"/>
      <c r="H518" s="70"/>
      <c r="J518" s="70"/>
      <c r="L518" s="71"/>
      <c r="N518" s="70"/>
    </row>
    <row r="519" spans="1:14" x14ac:dyDescent="0.2">
      <c r="A519" s="292"/>
      <c r="C519" s="189"/>
      <c r="E519" s="190"/>
      <c r="G519" s="70"/>
      <c r="H519" s="70"/>
      <c r="J519" s="70"/>
      <c r="L519" s="71"/>
      <c r="N519" s="70"/>
    </row>
    <row r="520" spans="1:14" x14ac:dyDescent="0.2">
      <c r="A520" s="292"/>
      <c r="C520" s="189"/>
      <c r="E520" s="190"/>
      <c r="G520" s="70"/>
      <c r="H520" s="70"/>
      <c r="J520" s="70"/>
      <c r="L520" s="71"/>
      <c r="N520" s="70"/>
    </row>
    <row r="521" spans="1:14" x14ac:dyDescent="0.2">
      <c r="A521" s="292"/>
      <c r="C521" s="189"/>
      <c r="E521" s="190"/>
      <c r="G521" s="70"/>
      <c r="H521" s="70"/>
      <c r="J521" s="70"/>
      <c r="L521" s="71"/>
      <c r="N521" s="70"/>
    </row>
    <row r="522" spans="1:14" x14ac:dyDescent="0.2">
      <c r="A522" s="292"/>
      <c r="C522" s="189"/>
      <c r="E522" s="190"/>
      <c r="G522" s="70"/>
      <c r="H522" s="70"/>
      <c r="J522" s="70"/>
      <c r="L522" s="71"/>
      <c r="N522" s="70"/>
    </row>
    <row r="523" spans="1:14" x14ac:dyDescent="0.2">
      <c r="A523" s="292"/>
      <c r="C523" s="189"/>
      <c r="E523" s="190"/>
      <c r="G523" s="70"/>
      <c r="H523" s="70"/>
      <c r="J523" s="70"/>
      <c r="L523" s="71"/>
      <c r="N523" s="70"/>
    </row>
    <row r="524" spans="1:14" x14ac:dyDescent="0.2">
      <c r="A524" s="292"/>
      <c r="C524" s="189"/>
      <c r="E524" s="190"/>
      <c r="G524" s="70"/>
      <c r="H524" s="70"/>
      <c r="J524" s="70"/>
      <c r="L524" s="71"/>
      <c r="N524" s="70"/>
    </row>
    <row r="525" spans="1:14" x14ac:dyDescent="0.2">
      <c r="A525" s="292"/>
      <c r="C525" s="189"/>
      <c r="E525" s="190"/>
      <c r="G525" s="70"/>
      <c r="H525" s="70"/>
      <c r="J525" s="70"/>
      <c r="L525" s="71"/>
      <c r="N525" s="70"/>
    </row>
    <row r="526" spans="1:14" x14ac:dyDescent="0.2">
      <c r="A526" s="292"/>
      <c r="C526" s="189"/>
      <c r="E526" s="190"/>
      <c r="G526" s="70"/>
      <c r="H526" s="70"/>
      <c r="J526" s="70"/>
      <c r="L526" s="71"/>
      <c r="N526" s="70"/>
    </row>
    <row r="527" spans="1:14" x14ac:dyDescent="0.2">
      <c r="A527" s="292"/>
      <c r="C527" s="189"/>
      <c r="E527" s="190"/>
      <c r="G527" s="70"/>
      <c r="H527" s="70"/>
      <c r="J527" s="70"/>
      <c r="L527" s="71"/>
      <c r="N527" s="70"/>
    </row>
    <row r="528" spans="1:14" x14ac:dyDescent="0.2">
      <c r="A528" s="292"/>
      <c r="C528" s="189"/>
      <c r="E528" s="190"/>
      <c r="G528" s="70"/>
      <c r="H528" s="70"/>
      <c r="J528" s="70"/>
      <c r="L528" s="71"/>
      <c r="N528" s="70"/>
    </row>
    <row r="529" spans="1:14" x14ac:dyDescent="0.2">
      <c r="A529" s="292"/>
      <c r="C529" s="189"/>
      <c r="E529" s="190"/>
      <c r="G529" s="70"/>
      <c r="H529" s="70"/>
      <c r="J529" s="70"/>
      <c r="L529" s="71"/>
      <c r="N529" s="70"/>
    </row>
    <row r="530" spans="1:14" x14ac:dyDescent="0.2">
      <c r="A530" s="292"/>
      <c r="C530" s="189"/>
      <c r="E530" s="190"/>
      <c r="G530" s="70"/>
      <c r="H530" s="70"/>
      <c r="J530" s="70"/>
      <c r="L530" s="71"/>
      <c r="N530" s="70"/>
    </row>
    <row r="531" spans="1:14" x14ac:dyDescent="0.2">
      <c r="A531" s="292"/>
      <c r="C531" s="189"/>
      <c r="E531" s="190"/>
      <c r="G531" s="70"/>
      <c r="H531" s="70"/>
      <c r="J531" s="70"/>
      <c r="L531" s="71"/>
      <c r="N531" s="70"/>
    </row>
    <row r="532" spans="1:14" x14ac:dyDescent="0.2">
      <c r="A532" s="292"/>
      <c r="C532" s="189"/>
      <c r="E532" s="190"/>
      <c r="G532" s="70"/>
      <c r="H532" s="70"/>
      <c r="J532" s="70"/>
      <c r="L532" s="71"/>
      <c r="N532" s="70"/>
    </row>
    <row r="533" spans="1:14" x14ac:dyDescent="0.2">
      <c r="A533" s="292"/>
      <c r="C533" s="189"/>
      <c r="E533" s="190"/>
      <c r="G533" s="70"/>
      <c r="H533" s="70"/>
      <c r="J533" s="70"/>
      <c r="L533" s="71"/>
      <c r="N533" s="70"/>
    </row>
    <row r="534" spans="1:14" x14ac:dyDescent="0.2">
      <c r="A534" s="292"/>
      <c r="C534" s="189"/>
      <c r="E534" s="190"/>
      <c r="G534" s="70"/>
      <c r="H534" s="70"/>
      <c r="J534" s="70"/>
      <c r="L534" s="71"/>
      <c r="N534" s="70"/>
    </row>
    <row r="535" spans="1:14" x14ac:dyDescent="0.2">
      <c r="A535" s="292"/>
      <c r="C535" s="189"/>
      <c r="E535" s="190"/>
      <c r="G535" s="70"/>
      <c r="H535" s="70"/>
      <c r="J535" s="70"/>
      <c r="L535" s="71"/>
      <c r="N535" s="70"/>
    </row>
    <row r="536" spans="1:14" x14ac:dyDescent="0.2">
      <c r="A536" s="292"/>
      <c r="C536" s="189"/>
      <c r="E536" s="190"/>
      <c r="G536" s="70"/>
      <c r="H536" s="70"/>
      <c r="J536" s="70"/>
      <c r="L536" s="71"/>
      <c r="N536" s="70"/>
    </row>
    <row r="537" spans="1:14" x14ac:dyDescent="0.2">
      <c r="A537" s="292"/>
      <c r="C537" s="189"/>
      <c r="E537" s="190"/>
      <c r="G537" s="70"/>
      <c r="H537" s="70"/>
      <c r="J537" s="70"/>
      <c r="L537" s="71"/>
      <c r="N537" s="70"/>
    </row>
    <row r="538" spans="1:14" x14ac:dyDescent="0.2">
      <c r="A538" s="292"/>
      <c r="C538" s="189"/>
      <c r="E538" s="190"/>
      <c r="G538" s="70"/>
      <c r="H538" s="70"/>
      <c r="J538" s="70"/>
      <c r="L538" s="71"/>
      <c r="N538" s="70"/>
    </row>
    <row r="539" spans="1:14" x14ac:dyDescent="0.2">
      <c r="A539" s="292"/>
      <c r="C539" s="189"/>
      <c r="E539" s="190"/>
      <c r="G539" s="70"/>
      <c r="H539" s="70"/>
      <c r="J539" s="70"/>
      <c r="L539" s="71"/>
      <c r="N539" s="70"/>
    </row>
    <row r="540" spans="1:14" x14ac:dyDescent="0.2">
      <c r="A540" s="292"/>
      <c r="C540" s="189"/>
      <c r="E540" s="190"/>
      <c r="G540" s="70"/>
      <c r="H540" s="70"/>
      <c r="J540" s="70"/>
      <c r="L540" s="71"/>
      <c r="N540" s="70"/>
    </row>
    <row r="541" spans="1:14" x14ac:dyDescent="0.2">
      <c r="A541" s="292"/>
      <c r="C541" s="189"/>
      <c r="E541" s="190"/>
      <c r="G541" s="70"/>
      <c r="H541" s="70"/>
      <c r="J541" s="70"/>
      <c r="L541" s="71"/>
      <c r="N541" s="70"/>
    </row>
    <row r="542" spans="1:14" x14ac:dyDescent="0.2">
      <c r="A542" s="292"/>
      <c r="C542" s="189"/>
      <c r="E542" s="190"/>
      <c r="G542" s="70"/>
      <c r="H542" s="70"/>
      <c r="J542" s="70"/>
      <c r="L542" s="71"/>
      <c r="N542" s="70"/>
    </row>
    <row r="543" spans="1:14" x14ac:dyDescent="0.2">
      <c r="A543" s="292"/>
      <c r="C543" s="189"/>
      <c r="E543" s="190"/>
      <c r="G543" s="70"/>
      <c r="H543" s="70"/>
      <c r="J543" s="70"/>
      <c r="L543" s="71"/>
      <c r="N543" s="70"/>
    </row>
    <row r="544" spans="1:14" x14ac:dyDescent="0.2">
      <c r="A544" s="292"/>
      <c r="C544" s="189"/>
      <c r="E544" s="190"/>
      <c r="G544" s="70"/>
      <c r="H544" s="70"/>
      <c r="J544" s="70"/>
      <c r="L544" s="71"/>
      <c r="N544" s="70"/>
    </row>
    <row r="545" spans="1:14" x14ac:dyDescent="0.2">
      <c r="A545" s="292"/>
      <c r="C545" s="189"/>
      <c r="E545" s="190"/>
      <c r="G545" s="70"/>
      <c r="H545" s="70"/>
      <c r="J545" s="70"/>
      <c r="L545" s="71"/>
      <c r="N545" s="70"/>
    </row>
    <row r="546" spans="1:14" x14ac:dyDescent="0.2">
      <c r="A546" s="292"/>
      <c r="C546" s="189"/>
      <c r="E546" s="190"/>
      <c r="G546" s="70"/>
      <c r="H546" s="70"/>
      <c r="J546" s="70"/>
      <c r="L546" s="71"/>
      <c r="N546" s="70"/>
    </row>
    <row r="547" spans="1:14" x14ac:dyDescent="0.2">
      <c r="A547" s="292"/>
      <c r="C547" s="189"/>
      <c r="E547" s="190"/>
      <c r="G547" s="70"/>
      <c r="H547" s="70"/>
      <c r="J547" s="70"/>
      <c r="L547" s="71"/>
      <c r="N547" s="70"/>
    </row>
    <row r="548" spans="1:14" x14ac:dyDescent="0.2">
      <c r="A548" s="292"/>
      <c r="C548" s="189"/>
      <c r="E548" s="190"/>
      <c r="G548" s="70"/>
      <c r="H548" s="70"/>
      <c r="J548" s="70"/>
      <c r="L548" s="71"/>
      <c r="N548" s="70"/>
    </row>
    <row r="549" spans="1:14" x14ac:dyDescent="0.2">
      <c r="A549" s="292"/>
      <c r="C549" s="189"/>
      <c r="E549" s="190"/>
      <c r="G549" s="70"/>
      <c r="H549" s="70"/>
      <c r="J549" s="70"/>
      <c r="L549" s="71"/>
      <c r="N549" s="70"/>
    </row>
    <row r="550" spans="1:14" x14ac:dyDescent="0.2">
      <c r="A550" s="292"/>
      <c r="C550" s="189"/>
      <c r="E550" s="190"/>
      <c r="G550" s="70"/>
      <c r="H550" s="70"/>
      <c r="J550" s="70"/>
      <c r="L550" s="71"/>
      <c r="N550" s="70"/>
    </row>
    <row r="551" spans="1:14" x14ac:dyDescent="0.2">
      <c r="A551" s="292"/>
      <c r="C551" s="189"/>
      <c r="E551" s="190"/>
      <c r="G551" s="70"/>
      <c r="H551" s="70"/>
      <c r="J551" s="70"/>
      <c r="L551" s="71"/>
      <c r="N551" s="70"/>
    </row>
    <row r="552" spans="1:14" x14ac:dyDescent="0.2">
      <c r="A552" s="292"/>
      <c r="C552" s="189"/>
      <c r="E552" s="190"/>
      <c r="G552" s="70"/>
      <c r="H552" s="70"/>
      <c r="J552" s="70"/>
      <c r="L552" s="71"/>
      <c r="N552" s="70"/>
    </row>
    <row r="553" spans="1:14" x14ac:dyDescent="0.2">
      <c r="A553" s="292"/>
      <c r="C553" s="189"/>
      <c r="E553" s="190"/>
      <c r="G553" s="70"/>
      <c r="H553" s="70"/>
      <c r="J553" s="70"/>
      <c r="L553" s="71"/>
      <c r="N553" s="70"/>
    </row>
    <row r="554" spans="1:14" x14ac:dyDescent="0.2">
      <c r="A554" s="292"/>
      <c r="C554" s="189"/>
      <c r="E554" s="190"/>
      <c r="G554" s="70"/>
      <c r="H554" s="70"/>
      <c r="J554" s="70"/>
      <c r="L554" s="71"/>
      <c r="N554" s="70"/>
    </row>
    <row r="555" spans="1:14" x14ac:dyDescent="0.2">
      <c r="A555" s="292"/>
      <c r="C555" s="189"/>
      <c r="E555" s="190"/>
      <c r="G555" s="70"/>
      <c r="H555" s="70"/>
      <c r="J555" s="70"/>
      <c r="L555" s="71"/>
      <c r="N555" s="70"/>
    </row>
    <row r="556" spans="1:14" x14ac:dyDescent="0.2">
      <c r="A556" s="292"/>
      <c r="C556" s="189"/>
      <c r="E556" s="190"/>
      <c r="G556" s="70"/>
      <c r="H556" s="70"/>
      <c r="J556" s="70"/>
      <c r="L556" s="71"/>
      <c r="N556" s="70"/>
    </row>
    <row r="557" spans="1:14" x14ac:dyDescent="0.2">
      <c r="A557" s="292"/>
      <c r="C557" s="189"/>
      <c r="E557" s="190"/>
      <c r="G557" s="70"/>
      <c r="H557" s="70"/>
      <c r="J557" s="70"/>
      <c r="L557" s="71"/>
      <c r="N557" s="70"/>
    </row>
    <row r="558" spans="1:14" x14ac:dyDescent="0.2">
      <c r="A558" s="292"/>
      <c r="C558" s="189"/>
      <c r="E558" s="190"/>
      <c r="G558" s="70"/>
      <c r="H558" s="70"/>
      <c r="J558" s="70"/>
      <c r="L558" s="71"/>
      <c r="N558" s="70"/>
    </row>
    <row r="559" spans="1:14" x14ac:dyDescent="0.2">
      <c r="A559" s="292"/>
      <c r="C559" s="189"/>
      <c r="E559" s="190"/>
      <c r="G559" s="70"/>
      <c r="H559" s="70"/>
      <c r="J559" s="70"/>
      <c r="L559" s="71"/>
      <c r="N559" s="70"/>
    </row>
    <row r="560" spans="1:14" x14ac:dyDescent="0.2">
      <c r="A560" s="292"/>
      <c r="C560" s="189"/>
      <c r="E560" s="190"/>
      <c r="G560" s="70"/>
      <c r="H560" s="70"/>
      <c r="J560" s="70"/>
      <c r="L560" s="71"/>
      <c r="N560" s="70"/>
    </row>
    <row r="561" spans="1:14" x14ac:dyDescent="0.2">
      <c r="A561" s="292"/>
      <c r="C561" s="189"/>
      <c r="E561" s="190"/>
      <c r="G561" s="70"/>
      <c r="H561" s="70"/>
      <c r="J561" s="70"/>
      <c r="L561" s="71"/>
      <c r="N561" s="70"/>
    </row>
    <row r="562" spans="1:14" x14ac:dyDescent="0.2">
      <c r="A562" s="292"/>
      <c r="C562" s="189"/>
      <c r="E562" s="190"/>
      <c r="G562" s="70"/>
      <c r="H562" s="70"/>
      <c r="J562" s="70"/>
      <c r="L562" s="71"/>
      <c r="N562" s="70"/>
    </row>
    <row r="563" spans="1:14" x14ac:dyDescent="0.2">
      <c r="A563" s="292"/>
      <c r="C563" s="189"/>
      <c r="E563" s="190"/>
      <c r="G563" s="70"/>
      <c r="H563" s="70"/>
      <c r="J563" s="70"/>
      <c r="L563" s="71"/>
      <c r="N563" s="70"/>
    </row>
    <row r="564" spans="1:14" x14ac:dyDescent="0.2">
      <c r="A564" s="292"/>
      <c r="C564" s="189"/>
      <c r="E564" s="190"/>
      <c r="G564" s="70"/>
      <c r="H564" s="70"/>
      <c r="J564" s="70"/>
      <c r="L564" s="71"/>
      <c r="N564" s="70"/>
    </row>
    <row r="565" spans="1:14" x14ac:dyDescent="0.2">
      <c r="A565" s="292"/>
      <c r="C565" s="189"/>
      <c r="E565" s="190"/>
      <c r="G565" s="70"/>
      <c r="H565" s="70"/>
      <c r="J565" s="70"/>
      <c r="L565" s="71"/>
      <c r="N565" s="70"/>
    </row>
    <row r="566" spans="1:14" x14ac:dyDescent="0.2">
      <c r="A566" s="292"/>
      <c r="C566" s="189"/>
      <c r="E566" s="190"/>
      <c r="G566" s="70"/>
      <c r="H566" s="70"/>
      <c r="J566" s="70"/>
      <c r="L566" s="71"/>
      <c r="N566" s="70"/>
    </row>
    <row r="567" spans="1:14" x14ac:dyDescent="0.2">
      <c r="A567" s="292"/>
      <c r="C567" s="189"/>
      <c r="E567" s="190"/>
      <c r="G567" s="70"/>
      <c r="H567" s="70"/>
      <c r="J567" s="70"/>
      <c r="L567" s="71"/>
      <c r="N567" s="70"/>
    </row>
    <row r="568" spans="1:14" x14ac:dyDescent="0.2">
      <c r="A568" s="292"/>
      <c r="C568" s="189"/>
      <c r="E568" s="190"/>
      <c r="G568" s="70"/>
      <c r="H568" s="70"/>
      <c r="J568" s="70"/>
      <c r="L568" s="71"/>
      <c r="N568" s="70"/>
    </row>
    <row r="569" spans="1:14" x14ac:dyDescent="0.2">
      <c r="A569" s="292"/>
      <c r="C569" s="189"/>
      <c r="E569" s="190"/>
      <c r="G569" s="70"/>
      <c r="H569" s="70"/>
      <c r="J569" s="70"/>
      <c r="L569" s="71"/>
      <c r="N569" s="70"/>
    </row>
    <row r="570" spans="1:14" x14ac:dyDescent="0.2">
      <c r="A570" s="292"/>
      <c r="C570" s="189"/>
      <c r="E570" s="190"/>
      <c r="G570" s="70"/>
      <c r="H570" s="70"/>
      <c r="J570" s="70"/>
      <c r="L570" s="71"/>
      <c r="N570" s="70"/>
    </row>
    <row r="571" spans="1:14" x14ac:dyDescent="0.2">
      <c r="A571" s="292"/>
      <c r="C571" s="189"/>
      <c r="E571" s="190"/>
      <c r="G571" s="70"/>
      <c r="H571" s="70"/>
      <c r="J571" s="70"/>
      <c r="L571" s="71"/>
      <c r="N571" s="70"/>
    </row>
    <row r="572" spans="1:14" x14ac:dyDescent="0.2">
      <c r="A572" s="292"/>
      <c r="C572" s="189"/>
      <c r="E572" s="190"/>
      <c r="G572" s="70"/>
      <c r="H572" s="70"/>
      <c r="J572" s="70"/>
      <c r="L572" s="71"/>
      <c r="N572" s="70"/>
    </row>
    <row r="573" spans="1:14" x14ac:dyDescent="0.2">
      <c r="A573" s="292"/>
      <c r="C573" s="189"/>
      <c r="E573" s="190"/>
      <c r="G573" s="70"/>
      <c r="H573" s="70"/>
      <c r="J573" s="70"/>
      <c r="L573" s="71"/>
      <c r="N573" s="70"/>
    </row>
    <row r="574" spans="1:14" x14ac:dyDescent="0.2">
      <c r="A574" s="292"/>
      <c r="C574" s="189"/>
      <c r="E574" s="190"/>
      <c r="G574" s="70"/>
      <c r="H574" s="70"/>
      <c r="J574" s="70"/>
      <c r="L574" s="71"/>
      <c r="N574" s="70"/>
    </row>
    <row r="575" spans="1:14" x14ac:dyDescent="0.2">
      <c r="A575" s="292"/>
      <c r="C575" s="189"/>
      <c r="E575" s="190"/>
      <c r="G575" s="70"/>
      <c r="H575" s="70"/>
      <c r="J575" s="70"/>
      <c r="L575" s="71"/>
      <c r="N575" s="70"/>
    </row>
    <row r="576" spans="1:14" x14ac:dyDescent="0.2">
      <c r="A576" s="292"/>
      <c r="C576" s="189"/>
      <c r="E576" s="190"/>
      <c r="G576" s="70"/>
      <c r="H576" s="70"/>
      <c r="J576" s="70"/>
      <c r="L576" s="71"/>
      <c r="N576" s="70"/>
    </row>
    <row r="577" spans="1:14" x14ac:dyDescent="0.2">
      <c r="A577" s="292"/>
      <c r="C577" s="189"/>
      <c r="E577" s="190"/>
      <c r="G577" s="70"/>
      <c r="H577" s="70"/>
      <c r="J577" s="70"/>
      <c r="L577" s="71"/>
      <c r="N577" s="70"/>
    </row>
    <row r="578" spans="1:14" x14ac:dyDescent="0.2">
      <c r="A578" s="292"/>
      <c r="C578" s="189"/>
      <c r="E578" s="190"/>
      <c r="G578" s="70"/>
      <c r="H578" s="70"/>
      <c r="J578" s="70"/>
      <c r="L578" s="71"/>
      <c r="N578" s="70"/>
    </row>
    <row r="579" spans="1:14" x14ac:dyDescent="0.2">
      <c r="A579" s="292"/>
      <c r="C579" s="189"/>
      <c r="E579" s="190"/>
      <c r="G579" s="70"/>
      <c r="H579" s="70"/>
      <c r="J579" s="70"/>
      <c r="L579" s="71"/>
      <c r="N579" s="70"/>
    </row>
    <row r="580" spans="1:14" x14ac:dyDescent="0.2">
      <c r="A580" s="292"/>
      <c r="C580" s="189"/>
      <c r="E580" s="190"/>
      <c r="G580" s="70"/>
      <c r="H580" s="70"/>
      <c r="J580" s="70"/>
      <c r="L580" s="71"/>
      <c r="N580" s="70"/>
    </row>
    <row r="581" spans="1:14" x14ac:dyDescent="0.2">
      <c r="A581" s="292"/>
      <c r="C581" s="189"/>
      <c r="E581" s="190"/>
      <c r="G581" s="70"/>
      <c r="H581" s="70"/>
      <c r="J581" s="70"/>
      <c r="L581" s="71"/>
      <c r="N581" s="70"/>
    </row>
    <row r="582" spans="1:14" x14ac:dyDescent="0.2">
      <c r="A582" s="292"/>
      <c r="C582" s="189"/>
      <c r="E582" s="190"/>
      <c r="G582" s="70"/>
      <c r="H582" s="70"/>
      <c r="J582" s="70"/>
      <c r="L582" s="71"/>
      <c r="N582" s="70"/>
    </row>
    <row r="583" spans="1:14" x14ac:dyDescent="0.2">
      <c r="A583" s="292"/>
      <c r="C583" s="189"/>
      <c r="E583" s="190"/>
      <c r="G583" s="70"/>
      <c r="H583" s="70"/>
      <c r="J583" s="70"/>
      <c r="L583" s="71"/>
      <c r="N583" s="70"/>
    </row>
    <row r="584" spans="1:14" x14ac:dyDescent="0.2">
      <c r="A584" s="292"/>
      <c r="C584" s="189"/>
      <c r="E584" s="190"/>
      <c r="G584" s="70"/>
      <c r="H584" s="70"/>
      <c r="J584" s="70"/>
      <c r="L584" s="71"/>
      <c r="N584" s="70"/>
    </row>
    <row r="585" spans="1:14" x14ac:dyDescent="0.2">
      <c r="A585" s="292"/>
      <c r="C585" s="189"/>
      <c r="E585" s="190"/>
      <c r="G585" s="70"/>
      <c r="H585" s="70"/>
      <c r="J585" s="70"/>
      <c r="L585" s="71"/>
      <c r="N585" s="70"/>
    </row>
    <row r="586" spans="1:14" x14ac:dyDescent="0.2">
      <c r="A586" s="292"/>
      <c r="C586" s="189"/>
      <c r="E586" s="190"/>
      <c r="G586" s="70"/>
      <c r="H586" s="70"/>
      <c r="J586" s="70"/>
      <c r="L586" s="71"/>
      <c r="N586" s="70"/>
    </row>
    <row r="587" spans="1:14" x14ac:dyDescent="0.2">
      <c r="A587" s="292"/>
      <c r="C587" s="189"/>
      <c r="E587" s="190"/>
      <c r="G587" s="70"/>
      <c r="H587" s="70"/>
      <c r="J587" s="70"/>
      <c r="L587" s="71"/>
      <c r="N587" s="70"/>
    </row>
    <row r="588" spans="1:14" x14ac:dyDescent="0.2">
      <c r="A588" s="292"/>
      <c r="C588" s="189"/>
      <c r="E588" s="190"/>
      <c r="G588" s="70"/>
      <c r="H588" s="70"/>
      <c r="J588" s="70"/>
      <c r="L588" s="71"/>
      <c r="N588" s="70"/>
    </row>
    <row r="589" spans="1:14" x14ac:dyDescent="0.2">
      <c r="A589" s="292"/>
      <c r="C589" s="189"/>
      <c r="E589" s="190"/>
      <c r="G589" s="70"/>
      <c r="H589" s="70"/>
      <c r="J589" s="70"/>
      <c r="L589" s="71"/>
      <c r="N589" s="70"/>
    </row>
    <row r="590" spans="1:14" x14ac:dyDescent="0.2">
      <c r="A590" s="292"/>
      <c r="C590" s="189"/>
      <c r="E590" s="190"/>
      <c r="G590" s="70"/>
      <c r="H590" s="70"/>
      <c r="J590" s="70"/>
      <c r="L590" s="71"/>
      <c r="N590" s="70"/>
    </row>
    <row r="591" spans="1:14" x14ac:dyDescent="0.2">
      <c r="A591" s="292"/>
      <c r="C591" s="189"/>
      <c r="E591" s="190"/>
      <c r="G591" s="70"/>
      <c r="H591" s="70"/>
      <c r="J591" s="70"/>
      <c r="L591" s="71"/>
      <c r="N591" s="70"/>
    </row>
    <row r="592" spans="1:14" x14ac:dyDescent="0.2">
      <c r="A592" s="292"/>
      <c r="C592" s="189"/>
      <c r="E592" s="190"/>
      <c r="G592" s="70"/>
      <c r="H592" s="70"/>
      <c r="J592" s="70"/>
      <c r="L592" s="71"/>
      <c r="N592" s="70"/>
    </row>
    <row r="593" spans="1:14" x14ac:dyDescent="0.2">
      <c r="A593" s="292"/>
      <c r="C593" s="189"/>
      <c r="E593" s="190"/>
      <c r="G593" s="70"/>
      <c r="H593" s="70"/>
      <c r="J593" s="70"/>
      <c r="L593" s="71"/>
      <c r="N593" s="70"/>
    </row>
    <row r="594" spans="1:14" x14ac:dyDescent="0.2">
      <c r="A594" s="292"/>
      <c r="C594" s="189"/>
      <c r="E594" s="190"/>
      <c r="G594" s="70"/>
      <c r="H594" s="70"/>
      <c r="J594" s="70"/>
      <c r="L594" s="71"/>
      <c r="N594" s="70"/>
    </row>
    <row r="595" spans="1:14" x14ac:dyDescent="0.2">
      <c r="A595" s="292"/>
      <c r="C595" s="189"/>
      <c r="E595" s="190"/>
      <c r="G595" s="70"/>
      <c r="H595" s="70"/>
      <c r="J595" s="70"/>
      <c r="L595" s="71"/>
      <c r="N595" s="70"/>
    </row>
    <row r="596" spans="1:14" x14ac:dyDescent="0.2">
      <c r="A596" s="292"/>
      <c r="C596" s="189"/>
      <c r="E596" s="190"/>
      <c r="G596" s="70"/>
      <c r="H596" s="70"/>
      <c r="J596" s="70"/>
      <c r="L596" s="71"/>
      <c r="N596" s="70"/>
    </row>
    <row r="597" spans="1:14" x14ac:dyDescent="0.2">
      <c r="A597" s="292"/>
      <c r="C597" s="189"/>
      <c r="E597" s="190"/>
      <c r="G597" s="70"/>
      <c r="H597" s="70"/>
      <c r="J597" s="70"/>
      <c r="L597" s="71"/>
      <c r="N597" s="70"/>
    </row>
    <row r="598" spans="1:14" x14ac:dyDescent="0.2">
      <c r="A598" s="292"/>
      <c r="C598" s="189"/>
      <c r="E598" s="190"/>
      <c r="G598" s="70"/>
      <c r="H598" s="70"/>
      <c r="J598" s="70"/>
      <c r="L598" s="71"/>
      <c r="N598" s="70"/>
    </row>
    <row r="599" spans="1:14" x14ac:dyDescent="0.2">
      <c r="A599" s="292"/>
      <c r="C599" s="189"/>
      <c r="E599" s="190"/>
      <c r="G599" s="70"/>
      <c r="H599" s="70"/>
      <c r="J599" s="70"/>
      <c r="L599" s="71"/>
      <c r="N599" s="70"/>
    </row>
    <row r="600" spans="1:14" x14ac:dyDescent="0.2">
      <c r="A600" s="292"/>
      <c r="C600" s="189"/>
      <c r="E600" s="190"/>
      <c r="G600" s="70"/>
      <c r="H600" s="70"/>
      <c r="J600" s="70"/>
      <c r="L600" s="71"/>
      <c r="N600" s="70"/>
    </row>
    <row r="601" spans="1:14" x14ac:dyDescent="0.2">
      <c r="A601" s="292"/>
      <c r="C601" s="189"/>
      <c r="E601" s="190"/>
      <c r="G601" s="70"/>
      <c r="H601" s="70"/>
      <c r="J601" s="70"/>
      <c r="L601" s="71"/>
      <c r="N601" s="70"/>
    </row>
    <row r="602" spans="1:14" x14ac:dyDescent="0.2">
      <c r="A602" s="292"/>
      <c r="C602" s="189"/>
      <c r="E602" s="190"/>
      <c r="G602" s="70"/>
      <c r="H602" s="70"/>
      <c r="J602" s="70"/>
      <c r="L602" s="71"/>
      <c r="N602" s="70"/>
    </row>
    <row r="603" spans="1:14" x14ac:dyDescent="0.2">
      <c r="A603" s="292"/>
      <c r="C603" s="189"/>
      <c r="E603" s="190"/>
      <c r="G603" s="70"/>
      <c r="H603" s="70"/>
      <c r="J603" s="70"/>
      <c r="L603" s="71"/>
      <c r="N603" s="70"/>
    </row>
    <row r="604" spans="1:14" x14ac:dyDescent="0.2">
      <c r="A604" s="292"/>
      <c r="C604" s="189"/>
      <c r="E604" s="190"/>
      <c r="G604" s="70"/>
      <c r="H604" s="70"/>
      <c r="J604" s="70"/>
      <c r="L604" s="71"/>
      <c r="N604" s="70"/>
    </row>
    <row r="605" spans="1:14" x14ac:dyDescent="0.2">
      <c r="A605" s="292"/>
      <c r="C605" s="189"/>
      <c r="E605" s="190"/>
      <c r="G605" s="70"/>
      <c r="H605" s="70"/>
      <c r="J605" s="70"/>
      <c r="L605" s="71"/>
      <c r="N605" s="70"/>
    </row>
    <row r="606" spans="1:14" x14ac:dyDescent="0.2">
      <c r="A606" s="292"/>
      <c r="C606" s="189"/>
      <c r="E606" s="190"/>
      <c r="G606" s="70"/>
      <c r="H606" s="70"/>
      <c r="J606" s="70"/>
      <c r="L606" s="71"/>
      <c r="N606" s="70"/>
    </row>
    <row r="607" spans="1:14" x14ac:dyDescent="0.2">
      <c r="A607" s="292"/>
      <c r="C607" s="189"/>
      <c r="E607" s="190"/>
      <c r="G607" s="70"/>
      <c r="H607" s="70"/>
      <c r="J607" s="70"/>
      <c r="L607" s="71"/>
      <c r="N607" s="70"/>
    </row>
    <row r="608" spans="1:14" x14ac:dyDescent="0.2">
      <c r="A608" s="292"/>
      <c r="C608" s="189"/>
      <c r="E608" s="190"/>
      <c r="G608" s="70"/>
      <c r="H608" s="70"/>
      <c r="J608" s="70"/>
      <c r="L608" s="71"/>
      <c r="N608" s="70"/>
    </row>
    <row r="609" spans="1:14" x14ac:dyDescent="0.2">
      <c r="A609" s="292"/>
      <c r="C609" s="189"/>
      <c r="E609" s="190"/>
      <c r="G609" s="70"/>
      <c r="H609" s="70"/>
      <c r="J609" s="70"/>
      <c r="L609" s="71"/>
      <c r="N609" s="70"/>
    </row>
    <row r="610" spans="1:14" x14ac:dyDescent="0.2">
      <c r="A610" s="292"/>
      <c r="C610" s="189"/>
      <c r="E610" s="190"/>
      <c r="G610" s="70"/>
      <c r="H610" s="70"/>
      <c r="J610" s="70"/>
      <c r="L610" s="71"/>
      <c r="N610" s="70"/>
    </row>
    <row r="611" spans="1:14" x14ac:dyDescent="0.2">
      <c r="A611" s="292"/>
      <c r="C611" s="189"/>
      <c r="E611" s="190"/>
      <c r="G611" s="70"/>
      <c r="H611" s="70"/>
      <c r="J611" s="70"/>
      <c r="L611" s="71"/>
      <c r="N611" s="70"/>
    </row>
    <row r="612" spans="1:14" x14ac:dyDescent="0.2">
      <c r="A612" s="292"/>
      <c r="C612" s="189"/>
      <c r="E612" s="190"/>
      <c r="G612" s="70"/>
      <c r="H612" s="70"/>
      <c r="J612" s="70"/>
      <c r="L612" s="71"/>
      <c r="N612" s="70"/>
    </row>
    <row r="613" spans="1:14" x14ac:dyDescent="0.2">
      <c r="A613" s="292"/>
      <c r="C613" s="189"/>
      <c r="E613" s="190"/>
      <c r="G613" s="70"/>
      <c r="H613" s="70"/>
      <c r="J613" s="70"/>
      <c r="L613" s="71"/>
      <c r="N613" s="70"/>
    </row>
    <row r="614" spans="1:14" x14ac:dyDescent="0.2">
      <c r="A614" s="292"/>
      <c r="C614" s="189"/>
      <c r="E614" s="190"/>
      <c r="G614" s="70"/>
      <c r="H614" s="70"/>
      <c r="J614" s="70"/>
      <c r="L614" s="71"/>
      <c r="N614" s="70"/>
    </row>
    <row r="615" spans="1:14" x14ac:dyDescent="0.2">
      <c r="A615" s="292"/>
      <c r="C615" s="189"/>
      <c r="E615" s="190"/>
      <c r="G615" s="70"/>
      <c r="H615" s="70"/>
      <c r="J615" s="70"/>
      <c r="L615" s="71"/>
      <c r="N615" s="70"/>
    </row>
    <row r="616" spans="1:14" x14ac:dyDescent="0.2">
      <c r="A616" s="292"/>
      <c r="C616" s="189"/>
      <c r="E616" s="190"/>
      <c r="G616" s="70"/>
      <c r="H616" s="70"/>
      <c r="J616" s="70"/>
      <c r="L616" s="71"/>
      <c r="N616" s="70"/>
    </row>
    <row r="617" spans="1:14" x14ac:dyDescent="0.2">
      <c r="A617" s="292"/>
      <c r="C617" s="189"/>
      <c r="E617" s="190"/>
      <c r="G617" s="70"/>
      <c r="H617" s="70"/>
      <c r="J617" s="70"/>
      <c r="L617" s="71"/>
      <c r="N617" s="70"/>
    </row>
    <row r="618" spans="1:14" x14ac:dyDescent="0.2">
      <c r="A618" s="292"/>
      <c r="C618" s="189"/>
      <c r="E618" s="190"/>
      <c r="G618" s="70"/>
      <c r="H618" s="70"/>
      <c r="J618" s="70"/>
      <c r="L618" s="71"/>
      <c r="N618" s="70"/>
    </row>
    <row r="619" spans="1:14" x14ac:dyDescent="0.2">
      <c r="A619" s="292"/>
      <c r="C619" s="189"/>
      <c r="E619" s="190"/>
      <c r="G619" s="70"/>
      <c r="H619" s="70"/>
      <c r="J619" s="70"/>
      <c r="L619" s="71"/>
      <c r="N619" s="70"/>
    </row>
    <row r="620" spans="1:14" x14ac:dyDescent="0.2">
      <c r="A620" s="292"/>
      <c r="C620" s="189"/>
      <c r="E620" s="190"/>
      <c r="G620" s="70"/>
      <c r="H620" s="70"/>
      <c r="J620" s="70"/>
      <c r="L620" s="71"/>
      <c r="N620" s="70"/>
    </row>
    <row r="621" spans="1:14" x14ac:dyDescent="0.2">
      <c r="A621" s="292"/>
      <c r="C621" s="189"/>
      <c r="E621" s="190"/>
      <c r="G621" s="70"/>
      <c r="H621" s="70"/>
      <c r="J621" s="70"/>
      <c r="L621" s="71"/>
      <c r="N621" s="70"/>
    </row>
    <row r="622" spans="1:14" x14ac:dyDescent="0.2">
      <c r="A622" s="292"/>
      <c r="C622" s="189"/>
      <c r="E622" s="190"/>
      <c r="G622" s="70"/>
      <c r="H622" s="70"/>
      <c r="J622" s="70"/>
      <c r="L622" s="71"/>
      <c r="N622" s="70"/>
    </row>
    <row r="623" spans="1:14" x14ac:dyDescent="0.2">
      <c r="A623" s="292"/>
      <c r="C623" s="189"/>
      <c r="E623" s="190"/>
      <c r="G623" s="70"/>
      <c r="H623" s="70"/>
      <c r="J623" s="70"/>
      <c r="L623" s="71"/>
      <c r="N623" s="70"/>
    </row>
    <row r="624" spans="1:14" x14ac:dyDescent="0.2">
      <c r="A624" s="292"/>
      <c r="C624" s="189"/>
      <c r="E624" s="190"/>
      <c r="G624" s="70"/>
      <c r="H624" s="70"/>
      <c r="J624" s="70"/>
      <c r="L624" s="71"/>
      <c r="N624" s="70"/>
    </row>
    <row r="625" spans="1:14" x14ac:dyDescent="0.2">
      <c r="A625" s="292"/>
      <c r="C625" s="189"/>
      <c r="E625" s="190"/>
      <c r="G625" s="70"/>
      <c r="H625" s="70"/>
      <c r="J625" s="70"/>
      <c r="L625" s="71"/>
      <c r="N625" s="70"/>
    </row>
    <row r="626" spans="1:14" x14ac:dyDescent="0.2">
      <c r="A626" s="292"/>
      <c r="C626" s="189"/>
      <c r="E626" s="190"/>
      <c r="G626" s="70"/>
      <c r="H626" s="70"/>
      <c r="J626" s="70"/>
      <c r="L626" s="71"/>
      <c r="N626" s="70"/>
    </row>
    <row r="627" spans="1:14" x14ac:dyDescent="0.2">
      <c r="A627" s="292"/>
      <c r="C627" s="189"/>
      <c r="E627" s="190"/>
      <c r="G627" s="70"/>
      <c r="H627" s="70"/>
      <c r="J627" s="70"/>
      <c r="L627" s="71"/>
      <c r="N627" s="70"/>
    </row>
    <row r="628" spans="1:14" x14ac:dyDescent="0.2">
      <c r="A628" s="292"/>
      <c r="C628" s="189"/>
      <c r="E628" s="190"/>
      <c r="G628" s="70"/>
      <c r="H628" s="70"/>
      <c r="J628" s="70"/>
      <c r="L628" s="71"/>
      <c r="N628" s="70"/>
    </row>
    <row r="629" spans="1:14" x14ac:dyDescent="0.2">
      <c r="A629" s="292"/>
      <c r="C629" s="189"/>
      <c r="E629" s="190"/>
      <c r="G629" s="70"/>
      <c r="H629" s="70"/>
      <c r="J629" s="70"/>
      <c r="L629" s="71"/>
      <c r="N629" s="70"/>
    </row>
    <row r="630" spans="1:14" x14ac:dyDescent="0.2">
      <c r="A630" s="292"/>
      <c r="C630" s="189"/>
      <c r="E630" s="190"/>
      <c r="G630" s="70"/>
      <c r="H630" s="70"/>
      <c r="J630" s="70"/>
      <c r="L630" s="71"/>
      <c r="N630" s="70"/>
    </row>
    <row r="631" spans="1:14" x14ac:dyDescent="0.2">
      <c r="A631" s="292"/>
      <c r="C631" s="189"/>
      <c r="E631" s="190"/>
      <c r="G631" s="70"/>
      <c r="H631" s="70"/>
      <c r="J631" s="70"/>
      <c r="L631" s="71"/>
      <c r="N631" s="70"/>
    </row>
    <row r="632" spans="1:14" x14ac:dyDescent="0.2">
      <c r="A632" s="292"/>
      <c r="C632" s="189"/>
      <c r="E632" s="190"/>
      <c r="G632" s="70"/>
      <c r="H632" s="70"/>
      <c r="J632" s="70"/>
      <c r="L632" s="71"/>
      <c r="N632" s="70"/>
    </row>
    <row r="633" spans="1:14" x14ac:dyDescent="0.2">
      <c r="A633" s="292"/>
      <c r="C633" s="189"/>
      <c r="E633" s="190"/>
      <c r="G633" s="70"/>
      <c r="H633" s="70"/>
      <c r="J633" s="70"/>
      <c r="L633" s="71"/>
      <c r="N633" s="70"/>
    </row>
    <row r="634" spans="1:14" x14ac:dyDescent="0.2">
      <c r="A634" s="292"/>
      <c r="C634" s="189"/>
      <c r="E634" s="190"/>
      <c r="G634" s="70"/>
      <c r="H634" s="70"/>
      <c r="J634" s="70"/>
      <c r="L634" s="71"/>
      <c r="N634" s="70"/>
    </row>
    <row r="635" spans="1:14" x14ac:dyDescent="0.2">
      <c r="A635" s="292"/>
      <c r="C635" s="189"/>
      <c r="E635" s="190"/>
      <c r="G635" s="70"/>
      <c r="H635" s="70"/>
      <c r="J635" s="70"/>
      <c r="L635" s="71"/>
      <c r="N635" s="70"/>
    </row>
    <row r="636" spans="1:14" x14ac:dyDescent="0.2">
      <c r="A636" s="292"/>
      <c r="C636" s="189"/>
      <c r="E636" s="190"/>
      <c r="G636" s="70"/>
      <c r="H636" s="70"/>
      <c r="J636" s="70"/>
      <c r="L636" s="71"/>
      <c r="N636" s="70"/>
    </row>
    <row r="637" spans="1:14" x14ac:dyDescent="0.2">
      <c r="A637" s="292"/>
      <c r="C637" s="189"/>
      <c r="E637" s="190"/>
      <c r="G637" s="70"/>
      <c r="H637" s="70"/>
      <c r="J637" s="70"/>
      <c r="L637" s="71"/>
      <c r="N637" s="70"/>
    </row>
    <row r="638" spans="1:14" x14ac:dyDescent="0.2">
      <c r="A638" s="292"/>
      <c r="C638" s="189"/>
      <c r="E638" s="190"/>
      <c r="G638" s="70"/>
      <c r="H638" s="70"/>
      <c r="J638" s="70"/>
      <c r="L638" s="71"/>
      <c r="N638" s="70"/>
    </row>
    <row r="639" spans="1:14" x14ac:dyDescent="0.2">
      <c r="A639" s="292"/>
      <c r="C639" s="189"/>
      <c r="E639" s="190"/>
      <c r="G639" s="70"/>
      <c r="H639" s="70"/>
      <c r="J639" s="70"/>
      <c r="L639" s="71"/>
      <c r="N639" s="70"/>
    </row>
    <row r="640" spans="1:14" x14ac:dyDescent="0.2">
      <c r="A640" s="292"/>
      <c r="C640" s="189"/>
      <c r="E640" s="190"/>
      <c r="G640" s="70"/>
      <c r="H640" s="70"/>
      <c r="J640" s="70"/>
      <c r="L640" s="71"/>
      <c r="N640" s="70"/>
    </row>
    <row r="641" spans="1:14" x14ac:dyDescent="0.2">
      <c r="A641" s="292"/>
      <c r="C641" s="189"/>
      <c r="E641" s="190"/>
      <c r="G641" s="70"/>
      <c r="H641" s="70"/>
      <c r="J641" s="70"/>
      <c r="L641" s="71"/>
      <c r="N641" s="70"/>
    </row>
    <row r="642" spans="1:14" x14ac:dyDescent="0.2">
      <c r="A642" s="292"/>
      <c r="C642" s="189"/>
      <c r="E642" s="190"/>
      <c r="G642" s="70"/>
      <c r="H642" s="70"/>
      <c r="J642" s="70"/>
      <c r="L642" s="71"/>
      <c r="N642" s="70"/>
    </row>
    <row r="643" spans="1:14" x14ac:dyDescent="0.2">
      <c r="A643" s="292"/>
      <c r="C643" s="189"/>
      <c r="E643" s="190"/>
      <c r="G643" s="70"/>
      <c r="H643" s="70"/>
      <c r="J643" s="70"/>
      <c r="L643" s="71"/>
      <c r="N643" s="70"/>
    </row>
    <row r="644" spans="1:14" x14ac:dyDescent="0.2">
      <c r="A644" s="292"/>
      <c r="C644" s="189"/>
      <c r="E644" s="190"/>
      <c r="G644" s="70"/>
      <c r="H644" s="70"/>
      <c r="J644" s="70"/>
      <c r="L644" s="71"/>
      <c r="N644" s="70"/>
    </row>
    <row r="645" spans="1:14" x14ac:dyDescent="0.2">
      <c r="A645" s="292"/>
      <c r="C645" s="189"/>
      <c r="E645" s="190"/>
      <c r="G645" s="70"/>
      <c r="H645" s="70"/>
      <c r="J645" s="70"/>
      <c r="L645" s="71"/>
      <c r="N645" s="70"/>
    </row>
    <row r="646" spans="1:14" x14ac:dyDescent="0.2">
      <c r="A646" s="292"/>
      <c r="C646" s="189"/>
      <c r="E646" s="190"/>
      <c r="G646" s="70"/>
      <c r="H646" s="70"/>
      <c r="J646" s="70"/>
      <c r="L646" s="71"/>
      <c r="N646" s="70"/>
    </row>
    <row r="647" spans="1:14" x14ac:dyDescent="0.2">
      <c r="A647" s="292"/>
      <c r="C647" s="189"/>
      <c r="E647" s="190"/>
      <c r="G647" s="70"/>
      <c r="H647" s="70"/>
      <c r="J647" s="70"/>
      <c r="L647" s="71"/>
      <c r="N647" s="70"/>
    </row>
    <row r="648" spans="1:14" x14ac:dyDescent="0.2">
      <c r="A648" s="292"/>
      <c r="C648" s="189"/>
      <c r="E648" s="190"/>
      <c r="G648" s="70"/>
      <c r="H648" s="70"/>
      <c r="J648" s="70"/>
      <c r="L648" s="71"/>
      <c r="N648" s="70"/>
    </row>
    <row r="649" spans="1:14" x14ac:dyDescent="0.2">
      <c r="A649" s="292"/>
      <c r="C649" s="189"/>
      <c r="E649" s="190"/>
      <c r="G649" s="70"/>
      <c r="H649" s="70"/>
      <c r="J649" s="70"/>
      <c r="L649" s="71"/>
      <c r="N649" s="70"/>
    </row>
    <row r="650" spans="1:14" x14ac:dyDescent="0.2">
      <c r="A650" s="292"/>
      <c r="C650" s="189"/>
      <c r="E650" s="190"/>
      <c r="G650" s="70"/>
      <c r="H650" s="70"/>
      <c r="J650" s="70"/>
      <c r="L650" s="71"/>
      <c r="N650" s="70"/>
    </row>
    <row r="651" spans="1:14" x14ac:dyDescent="0.2">
      <c r="A651" s="292"/>
      <c r="C651" s="189"/>
      <c r="E651" s="190"/>
      <c r="G651" s="70"/>
      <c r="H651" s="70"/>
      <c r="J651" s="70"/>
      <c r="L651" s="71"/>
      <c r="N651" s="70"/>
    </row>
    <row r="652" spans="1:14" x14ac:dyDescent="0.2">
      <c r="A652" s="292"/>
      <c r="C652" s="189"/>
      <c r="E652" s="190"/>
      <c r="G652" s="70"/>
      <c r="H652" s="70"/>
      <c r="J652" s="70"/>
      <c r="L652" s="71"/>
      <c r="N652" s="70"/>
    </row>
    <row r="653" spans="1:14" x14ac:dyDescent="0.2">
      <c r="A653" s="292"/>
      <c r="C653" s="189"/>
      <c r="E653" s="190"/>
      <c r="G653" s="70"/>
      <c r="H653" s="70"/>
      <c r="J653" s="70"/>
      <c r="L653" s="71"/>
      <c r="N653" s="70"/>
    </row>
    <row r="654" spans="1:14" x14ac:dyDescent="0.2">
      <c r="A654" s="292"/>
      <c r="C654" s="189"/>
      <c r="E654" s="190"/>
      <c r="G654" s="70"/>
      <c r="H654" s="70"/>
      <c r="J654" s="70"/>
      <c r="L654" s="71"/>
      <c r="N654" s="70"/>
    </row>
    <row r="655" spans="1:14" x14ac:dyDescent="0.2">
      <c r="A655" s="292"/>
      <c r="C655" s="189"/>
      <c r="E655" s="190"/>
      <c r="G655" s="70"/>
      <c r="H655" s="70"/>
      <c r="J655" s="70"/>
      <c r="L655" s="71"/>
      <c r="N655" s="70"/>
    </row>
    <row r="656" spans="1:14" x14ac:dyDescent="0.2">
      <c r="A656" s="292"/>
      <c r="C656" s="189"/>
      <c r="E656" s="190"/>
      <c r="G656" s="70"/>
      <c r="H656" s="70"/>
      <c r="J656" s="70"/>
      <c r="L656" s="71"/>
      <c r="N656" s="70"/>
    </row>
    <row r="657" spans="1:14" x14ac:dyDescent="0.2">
      <c r="A657" s="292"/>
      <c r="C657" s="189"/>
      <c r="E657" s="190"/>
      <c r="G657" s="70"/>
      <c r="H657" s="70"/>
      <c r="J657" s="70"/>
      <c r="L657" s="71"/>
      <c r="N657" s="70"/>
    </row>
    <row r="658" spans="1:14" x14ac:dyDescent="0.2">
      <c r="A658" s="292"/>
      <c r="C658" s="189"/>
      <c r="E658" s="190"/>
      <c r="G658" s="70"/>
      <c r="H658" s="70"/>
      <c r="J658" s="70"/>
      <c r="L658" s="71"/>
      <c r="N658" s="70"/>
    </row>
    <row r="659" spans="1:14" x14ac:dyDescent="0.2">
      <c r="A659" s="292"/>
      <c r="C659" s="189"/>
      <c r="E659" s="190"/>
      <c r="G659" s="70"/>
      <c r="H659" s="70"/>
      <c r="J659" s="70"/>
      <c r="L659" s="71"/>
      <c r="N659" s="70"/>
    </row>
    <row r="660" spans="1:14" x14ac:dyDescent="0.2">
      <c r="A660" s="292"/>
      <c r="C660" s="189"/>
      <c r="E660" s="190"/>
      <c r="G660" s="70"/>
      <c r="H660" s="70"/>
      <c r="J660" s="70"/>
      <c r="L660" s="71"/>
      <c r="N660" s="70"/>
    </row>
    <row r="661" spans="1:14" x14ac:dyDescent="0.2">
      <c r="A661" s="292"/>
      <c r="C661" s="189"/>
      <c r="E661" s="190"/>
      <c r="G661" s="70"/>
      <c r="H661" s="70"/>
      <c r="J661" s="70"/>
      <c r="L661" s="71"/>
      <c r="N661" s="70"/>
    </row>
    <row r="662" spans="1:14" x14ac:dyDescent="0.2">
      <c r="A662" s="292"/>
      <c r="C662" s="189"/>
      <c r="E662" s="190"/>
      <c r="G662" s="70"/>
      <c r="H662" s="70"/>
      <c r="J662" s="70"/>
      <c r="L662" s="71"/>
      <c r="N662" s="70"/>
    </row>
    <row r="663" spans="1:14" x14ac:dyDescent="0.2">
      <c r="A663" s="292"/>
      <c r="C663" s="189"/>
      <c r="E663" s="190"/>
      <c r="G663" s="70"/>
      <c r="H663" s="70"/>
      <c r="J663" s="70"/>
      <c r="L663" s="71"/>
      <c r="N663" s="70"/>
    </row>
    <row r="664" spans="1:14" x14ac:dyDescent="0.2">
      <c r="A664" s="292"/>
      <c r="C664" s="189"/>
      <c r="E664" s="190"/>
      <c r="G664" s="70"/>
      <c r="H664" s="70"/>
      <c r="J664" s="70"/>
      <c r="L664" s="71"/>
      <c r="N664" s="70"/>
    </row>
    <row r="665" spans="1:14" x14ac:dyDescent="0.2">
      <c r="A665" s="292"/>
      <c r="C665" s="189"/>
      <c r="E665" s="190"/>
      <c r="G665" s="70"/>
      <c r="H665" s="70"/>
      <c r="J665" s="70"/>
      <c r="L665" s="71"/>
      <c r="N665" s="70"/>
    </row>
    <row r="666" spans="1:14" x14ac:dyDescent="0.2">
      <c r="A666" s="292"/>
      <c r="C666" s="189"/>
      <c r="E666" s="190"/>
      <c r="G666" s="70"/>
      <c r="H666" s="70"/>
      <c r="J666" s="70"/>
      <c r="L666" s="71"/>
      <c r="N666" s="70"/>
    </row>
    <row r="667" spans="1:14" x14ac:dyDescent="0.2">
      <c r="A667" s="292"/>
      <c r="C667" s="189"/>
      <c r="E667" s="190"/>
      <c r="G667" s="70"/>
      <c r="H667" s="70"/>
      <c r="J667" s="70"/>
      <c r="L667" s="71"/>
      <c r="N667" s="70"/>
    </row>
    <row r="668" spans="1:14" x14ac:dyDescent="0.2">
      <c r="A668" s="292"/>
      <c r="C668" s="189"/>
      <c r="E668" s="190"/>
      <c r="G668" s="70"/>
      <c r="H668" s="70"/>
      <c r="J668" s="70"/>
      <c r="L668" s="71"/>
      <c r="N668" s="70"/>
    </row>
    <row r="669" spans="1:14" x14ac:dyDescent="0.2">
      <c r="A669" s="292"/>
      <c r="C669" s="189"/>
      <c r="E669" s="190"/>
      <c r="G669" s="70"/>
      <c r="H669" s="70"/>
      <c r="J669" s="70"/>
      <c r="L669" s="71"/>
      <c r="N669" s="70"/>
    </row>
    <row r="670" spans="1:14" x14ac:dyDescent="0.2">
      <c r="A670" s="292"/>
      <c r="C670" s="189"/>
      <c r="E670" s="190"/>
      <c r="G670" s="70"/>
      <c r="H670" s="70"/>
      <c r="J670" s="70"/>
      <c r="L670" s="71"/>
      <c r="N670" s="70"/>
    </row>
    <row r="671" spans="1:14" x14ac:dyDescent="0.2">
      <c r="A671" s="292"/>
      <c r="C671" s="189"/>
      <c r="E671" s="190"/>
      <c r="G671" s="70"/>
      <c r="H671" s="70"/>
      <c r="J671" s="70"/>
      <c r="L671" s="71"/>
      <c r="N671" s="70"/>
    </row>
    <row r="672" spans="1:14" x14ac:dyDescent="0.2">
      <c r="A672" s="292"/>
      <c r="C672" s="189"/>
      <c r="E672" s="190"/>
      <c r="G672" s="70"/>
      <c r="H672" s="70"/>
      <c r="J672" s="70"/>
      <c r="L672" s="71"/>
      <c r="N672" s="70"/>
    </row>
    <row r="673" spans="1:14" x14ac:dyDescent="0.2">
      <c r="A673" s="292"/>
      <c r="C673" s="189"/>
      <c r="E673" s="190"/>
      <c r="G673" s="70"/>
      <c r="H673" s="70"/>
      <c r="J673" s="70"/>
      <c r="L673" s="71"/>
      <c r="N673" s="70"/>
    </row>
    <row r="674" spans="1:14" x14ac:dyDescent="0.2">
      <c r="A674" s="292"/>
      <c r="C674" s="189"/>
      <c r="E674" s="190"/>
      <c r="G674" s="70"/>
      <c r="H674" s="70"/>
      <c r="J674" s="70"/>
      <c r="L674" s="71"/>
      <c r="N674" s="70"/>
    </row>
    <row r="675" spans="1:14" x14ac:dyDescent="0.2">
      <c r="A675" s="292"/>
      <c r="C675" s="189"/>
      <c r="E675" s="190"/>
      <c r="G675" s="70"/>
      <c r="H675" s="70"/>
      <c r="J675" s="70"/>
      <c r="L675" s="71"/>
      <c r="N675" s="70"/>
    </row>
    <row r="676" spans="1:14" x14ac:dyDescent="0.2">
      <c r="A676" s="292"/>
      <c r="C676" s="189"/>
      <c r="E676" s="190"/>
      <c r="G676" s="70"/>
      <c r="H676" s="70"/>
      <c r="J676" s="70"/>
      <c r="L676" s="71"/>
      <c r="N676" s="70"/>
    </row>
    <row r="677" spans="1:14" x14ac:dyDescent="0.2">
      <c r="A677" s="292"/>
      <c r="C677" s="189"/>
      <c r="E677" s="190"/>
      <c r="G677" s="70"/>
      <c r="H677" s="70"/>
      <c r="J677" s="70"/>
      <c r="L677" s="71"/>
      <c r="N677" s="70"/>
    </row>
    <row r="678" spans="1:14" x14ac:dyDescent="0.2">
      <c r="A678" s="292"/>
      <c r="C678" s="189"/>
      <c r="E678" s="190"/>
      <c r="G678" s="70"/>
      <c r="H678" s="70"/>
      <c r="J678" s="70"/>
      <c r="L678" s="71"/>
      <c r="N678" s="70"/>
    </row>
    <row r="679" spans="1:14" x14ac:dyDescent="0.2">
      <c r="A679" s="292"/>
      <c r="C679" s="189"/>
      <c r="E679" s="190"/>
      <c r="G679" s="70"/>
      <c r="H679" s="70"/>
      <c r="J679" s="70"/>
      <c r="L679" s="71"/>
      <c r="N679" s="70"/>
    </row>
    <row r="680" spans="1:14" x14ac:dyDescent="0.2">
      <c r="A680" s="292"/>
      <c r="C680" s="189"/>
      <c r="E680" s="190"/>
      <c r="G680" s="70"/>
      <c r="H680" s="70"/>
      <c r="J680" s="70"/>
      <c r="L680" s="71"/>
      <c r="N680" s="70"/>
    </row>
    <row r="681" spans="1:14" x14ac:dyDescent="0.2">
      <c r="A681" s="292"/>
      <c r="C681" s="189"/>
      <c r="E681" s="190"/>
      <c r="G681" s="70"/>
      <c r="H681" s="70"/>
      <c r="J681" s="70"/>
      <c r="L681" s="71"/>
      <c r="N681" s="70"/>
    </row>
    <row r="682" spans="1:14" x14ac:dyDescent="0.2">
      <c r="A682" s="292"/>
      <c r="C682" s="189"/>
      <c r="E682" s="190"/>
      <c r="G682" s="70"/>
      <c r="H682" s="70"/>
      <c r="J682" s="70"/>
      <c r="L682" s="71"/>
      <c r="N682" s="70"/>
    </row>
    <row r="683" spans="1:14" x14ac:dyDescent="0.2">
      <c r="A683" s="292"/>
      <c r="C683" s="189"/>
      <c r="E683" s="190"/>
      <c r="G683" s="70"/>
      <c r="H683" s="70"/>
      <c r="J683" s="70"/>
      <c r="L683" s="71"/>
      <c r="N683" s="70"/>
    </row>
    <row r="684" spans="1:14" x14ac:dyDescent="0.2">
      <c r="A684" s="292"/>
      <c r="C684" s="189"/>
      <c r="E684" s="190"/>
      <c r="G684" s="70"/>
      <c r="H684" s="70"/>
      <c r="J684" s="70"/>
      <c r="L684" s="71"/>
      <c r="N684" s="70"/>
    </row>
    <row r="685" spans="1:14" x14ac:dyDescent="0.2">
      <c r="A685" s="292"/>
      <c r="C685" s="189"/>
      <c r="E685" s="190"/>
      <c r="G685" s="70"/>
      <c r="H685" s="70"/>
      <c r="J685" s="70"/>
      <c r="L685" s="71"/>
      <c r="N685" s="70"/>
    </row>
    <row r="686" spans="1:14" x14ac:dyDescent="0.2">
      <c r="A686" s="292"/>
      <c r="C686" s="189"/>
      <c r="E686" s="190"/>
      <c r="G686" s="70"/>
      <c r="H686" s="70"/>
      <c r="J686" s="70"/>
      <c r="L686" s="71"/>
      <c r="N686" s="70"/>
    </row>
    <row r="687" spans="1:14" x14ac:dyDescent="0.2">
      <c r="A687" s="292"/>
      <c r="C687" s="189"/>
      <c r="E687" s="190"/>
      <c r="G687" s="70"/>
      <c r="H687" s="70"/>
      <c r="J687" s="70"/>
      <c r="L687" s="71"/>
      <c r="N687" s="70"/>
    </row>
    <row r="688" spans="1:14" x14ac:dyDescent="0.2">
      <c r="A688" s="292"/>
      <c r="C688" s="189"/>
      <c r="E688" s="190"/>
      <c r="G688" s="70"/>
      <c r="H688" s="70"/>
      <c r="J688" s="70"/>
      <c r="L688" s="71"/>
      <c r="N688" s="70"/>
    </row>
    <row r="689" spans="1:14" x14ac:dyDescent="0.2">
      <c r="A689" s="292"/>
      <c r="C689" s="189"/>
      <c r="E689" s="190"/>
      <c r="G689" s="70"/>
      <c r="H689" s="70"/>
      <c r="J689" s="70"/>
      <c r="L689" s="71"/>
      <c r="N689" s="70"/>
    </row>
    <row r="690" spans="1:14" x14ac:dyDescent="0.2">
      <c r="A690" s="292"/>
      <c r="C690" s="189"/>
      <c r="E690" s="190"/>
      <c r="G690" s="70"/>
      <c r="H690" s="70"/>
      <c r="J690" s="70"/>
      <c r="L690" s="71"/>
      <c r="N690" s="70"/>
    </row>
    <row r="691" spans="1:14" x14ac:dyDescent="0.2">
      <c r="A691" s="292"/>
      <c r="C691" s="189"/>
      <c r="E691" s="190"/>
      <c r="G691" s="70"/>
      <c r="H691" s="70"/>
      <c r="J691" s="70"/>
      <c r="L691" s="71"/>
      <c r="N691" s="70"/>
    </row>
    <row r="692" spans="1:14" x14ac:dyDescent="0.2">
      <c r="A692" s="292"/>
      <c r="C692" s="189"/>
      <c r="E692" s="190"/>
      <c r="G692" s="70"/>
      <c r="H692" s="70"/>
      <c r="J692" s="70"/>
      <c r="L692" s="71"/>
      <c r="N692" s="70"/>
    </row>
    <row r="693" spans="1:14" x14ac:dyDescent="0.2">
      <c r="A693" s="292"/>
      <c r="C693" s="189"/>
      <c r="E693" s="190"/>
      <c r="G693" s="70"/>
      <c r="H693" s="70"/>
      <c r="J693" s="70"/>
      <c r="L693" s="71"/>
      <c r="N693" s="70"/>
    </row>
    <row r="694" spans="1:14" x14ac:dyDescent="0.2">
      <c r="A694" s="292"/>
      <c r="C694" s="189"/>
      <c r="E694" s="190"/>
      <c r="G694" s="70"/>
      <c r="H694" s="70"/>
      <c r="J694" s="70"/>
      <c r="L694" s="71"/>
      <c r="N694" s="70"/>
    </row>
    <row r="695" spans="1:14" x14ac:dyDescent="0.2">
      <c r="A695" s="292"/>
      <c r="C695" s="189"/>
      <c r="E695" s="190"/>
      <c r="G695" s="70"/>
      <c r="H695" s="70"/>
      <c r="J695" s="70"/>
      <c r="L695" s="71"/>
      <c r="N695" s="70"/>
    </row>
    <row r="696" spans="1:14" x14ac:dyDescent="0.2">
      <c r="A696" s="292"/>
      <c r="C696" s="189"/>
      <c r="E696" s="190"/>
      <c r="G696" s="70"/>
      <c r="H696" s="70"/>
      <c r="J696" s="70"/>
      <c r="L696" s="71"/>
      <c r="N696" s="70"/>
    </row>
    <row r="697" spans="1:14" x14ac:dyDescent="0.2">
      <c r="A697" s="292"/>
      <c r="C697" s="189"/>
      <c r="E697" s="190"/>
      <c r="G697" s="70"/>
      <c r="H697" s="70"/>
      <c r="J697" s="70"/>
      <c r="L697" s="71"/>
      <c r="N697" s="70"/>
    </row>
    <row r="698" spans="1:14" x14ac:dyDescent="0.2">
      <c r="A698" s="292"/>
      <c r="C698" s="189"/>
      <c r="E698" s="190"/>
      <c r="G698" s="70"/>
      <c r="H698" s="70"/>
      <c r="J698" s="70"/>
      <c r="L698" s="71"/>
      <c r="N698" s="70"/>
    </row>
    <row r="699" spans="1:14" x14ac:dyDescent="0.2">
      <c r="A699" s="292"/>
      <c r="C699" s="189"/>
      <c r="E699" s="190"/>
      <c r="G699" s="70"/>
      <c r="H699" s="70"/>
      <c r="J699" s="70"/>
      <c r="L699" s="71"/>
      <c r="N699" s="70"/>
    </row>
    <row r="700" spans="1:14" x14ac:dyDescent="0.2">
      <c r="A700" s="292"/>
      <c r="C700" s="189"/>
      <c r="E700" s="190"/>
      <c r="G700" s="70"/>
      <c r="H700" s="70"/>
      <c r="J700" s="70"/>
      <c r="L700" s="71"/>
      <c r="N700" s="70"/>
    </row>
    <row r="701" spans="1:14" x14ac:dyDescent="0.2">
      <c r="A701" s="292"/>
      <c r="C701" s="189"/>
      <c r="E701" s="190"/>
      <c r="G701" s="70"/>
      <c r="H701" s="70"/>
      <c r="J701" s="70"/>
      <c r="L701" s="71"/>
      <c r="N701" s="70"/>
    </row>
    <row r="702" spans="1:14" x14ac:dyDescent="0.2">
      <c r="A702" s="292"/>
      <c r="C702" s="189"/>
      <c r="E702" s="190"/>
      <c r="G702" s="70"/>
      <c r="H702" s="70"/>
      <c r="J702" s="70"/>
      <c r="L702" s="71"/>
      <c r="N702" s="70"/>
    </row>
    <row r="703" spans="1:14" x14ac:dyDescent="0.2">
      <c r="A703" s="292"/>
      <c r="C703" s="189"/>
      <c r="E703" s="190"/>
      <c r="G703" s="70"/>
      <c r="H703" s="70"/>
      <c r="J703" s="70"/>
      <c r="L703" s="71"/>
      <c r="N703" s="70"/>
    </row>
    <row r="704" spans="1:14" x14ac:dyDescent="0.2">
      <c r="A704" s="292"/>
      <c r="C704" s="189"/>
      <c r="E704" s="190"/>
      <c r="G704" s="70"/>
      <c r="H704" s="70"/>
      <c r="J704" s="70"/>
      <c r="L704" s="71"/>
      <c r="N704" s="70"/>
    </row>
    <row r="705" spans="1:14" x14ac:dyDescent="0.2">
      <c r="A705" s="292"/>
      <c r="C705" s="189"/>
      <c r="E705" s="190"/>
      <c r="G705" s="70"/>
      <c r="H705" s="70"/>
      <c r="J705" s="70"/>
      <c r="L705" s="71"/>
      <c r="N705" s="70"/>
    </row>
    <row r="706" spans="1:14" x14ac:dyDescent="0.2">
      <c r="A706" s="292"/>
      <c r="C706" s="189"/>
      <c r="E706" s="190"/>
      <c r="G706" s="70"/>
      <c r="H706" s="70"/>
      <c r="J706" s="70"/>
      <c r="L706" s="71"/>
      <c r="N706" s="70"/>
    </row>
    <row r="707" spans="1:14" x14ac:dyDescent="0.2">
      <c r="A707" s="292"/>
      <c r="C707" s="189"/>
      <c r="E707" s="190"/>
      <c r="G707" s="70"/>
      <c r="H707" s="70"/>
      <c r="J707" s="70"/>
      <c r="L707" s="71"/>
      <c r="N707" s="70"/>
    </row>
    <row r="708" spans="1:14" x14ac:dyDescent="0.2">
      <c r="A708" s="292"/>
      <c r="C708" s="189"/>
      <c r="E708" s="190"/>
      <c r="G708" s="70"/>
      <c r="H708" s="70"/>
      <c r="J708" s="70"/>
      <c r="L708" s="71"/>
      <c r="N708" s="70"/>
    </row>
    <row r="709" spans="1:14" x14ac:dyDescent="0.2">
      <c r="A709" s="292"/>
      <c r="C709" s="189"/>
      <c r="E709" s="190"/>
      <c r="G709" s="70"/>
      <c r="H709" s="70"/>
      <c r="J709" s="70"/>
      <c r="L709" s="71"/>
      <c r="N709" s="70"/>
    </row>
    <row r="710" spans="1:14" x14ac:dyDescent="0.2">
      <c r="A710" s="292"/>
      <c r="C710" s="189"/>
      <c r="E710" s="190"/>
      <c r="G710" s="70"/>
      <c r="H710" s="70"/>
      <c r="J710" s="70"/>
      <c r="L710" s="71"/>
      <c r="N710" s="70"/>
    </row>
    <row r="711" spans="1:14" x14ac:dyDescent="0.2">
      <c r="A711" s="292"/>
      <c r="C711" s="189"/>
      <c r="E711" s="190"/>
      <c r="G711" s="70"/>
      <c r="H711" s="70"/>
      <c r="J711" s="70"/>
      <c r="L711" s="71"/>
      <c r="N711" s="70"/>
    </row>
    <row r="712" spans="1:14" x14ac:dyDescent="0.2">
      <c r="A712" s="292"/>
      <c r="C712" s="189"/>
      <c r="E712" s="190"/>
      <c r="G712" s="70"/>
      <c r="H712" s="70"/>
      <c r="J712" s="70"/>
      <c r="L712" s="71"/>
      <c r="N712" s="70"/>
    </row>
    <row r="713" spans="1:14" x14ac:dyDescent="0.2">
      <c r="A713" s="292"/>
      <c r="C713" s="189"/>
      <c r="E713" s="190"/>
      <c r="G713" s="70"/>
      <c r="H713" s="70"/>
      <c r="J713" s="70"/>
      <c r="L713" s="71"/>
      <c r="N713" s="70"/>
    </row>
    <row r="714" spans="1:14" x14ac:dyDescent="0.2">
      <c r="A714" s="292"/>
      <c r="C714" s="189"/>
      <c r="E714" s="190"/>
      <c r="G714" s="70"/>
      <c r="H714" s="70"/>
      <c r="J714" s="70"/>
      <c r="L714" s="71"/>
      <c r="N714" s="70"/>
    </row>
    <row r="715" spans="1:14" x14ac:dyDescent="0.2">
      <c r="A715" s="292"/>
      <c r="C715" s="189"/>
      <c r="E715" s="190"/>
      <c r="G715" s="70"/>
      <c r="H715" s="70"/>
      <c r="J715" s="70"/>
      <c r="L715" s="71"/>
      <c r="N715" s="70"/>
    </row>
    <row r="716" spans="1:14" x14ac:dyDescent="0.2">
      <c r="A716" s="292"/>
      <c r="C716" s="189"/>
      <c r="E716" s="190"/>
      <c r="G716" s="70"/>
      <c r="H716" s="70"/>
      <c r="J716" s="70"/>
      <c r="L716" s="71"/>
      <c r="N716" s="70"/>
    </row>
    <row r="717" spans="1:14" x14ac:dyDescent="0.2">
      <c r="A717" s="292"/>
      <c r="C717" s="189"/>
      <c r="E717" s="190"/>
      <c r="G717" s="70"/>
      <c r="H717" s="70"/>
      <c r="J717" s="70"/>
      <c r="L717" s="71"/>
      <c r="N717" s="70"/>
    </row>
    <row r="718" spans="1:14" x14ac:dyDescent="0.2">
      <c r="A718" s="292"/>
      <c r="C718" s="189"/>
      <c r="E718" s="190"/>
      <c r="G718" s="70"/>
      <c r="H718" s="70"/>
      <c r="J718" s="70"/>
      <c r="L718" s="71"/>
      <c r="N718" s="70"/>
    </row>
    <row r="719" spans="1:14" x14ac:dyDescent="0.2">
      <c r="A719" s="292"/>
      <c r="C719" s="189"/>
      <c r="E719" s="190"/>
      <c r="G719" s="70"/>
      <c r="H719" s="70"/>
      <c r="J719" s="70"/>
      <c r="L719" s="71"/>
      <c r="N719" s="70"/>
    </row>
    <row r="720" spans="1:14" x14ac:dyDescent="0.2">
      <c r="A720" s="292"/>
      <c r="C720" s="189"/>
      <c r="E720" s="190"/>
      <c r="G720" s="70"/>
      <c r="H720" s="70"/>
      <c r="J720" s="70"/>
      <c r="L720" s="71"/>
      <c r="N720" s="70"/>
    </row>
    <row r="721" spans="1:14" x14ac:dyDescent="0.2">
      <c r="A721" s="292"/>
      <c r="C721" s="189"/>
      <c r="E721" s="190"/>
      <c r="G721" s="70"/>
      <c r="H721" s="70"/>
      <c r="J721" s="70"/>
      <c r="L721" s="71"/>
      <c r="N721" s="70"/>
    </row>
    <row r="722" spans="1:14" x14ac:dyDescent="0.2">
      <c r="A722" s="292"/>
      <c r="C722" s="189"/>
      <c r="E722" s="190"/>
      <c r="G722" s="70"/>
      <c r="H722" s="70"/>
      <c r="J722" s="70"/>
      <c r="L722" s="71"/>
      <c r="N722" s="70"/>
    </row>
    <row r="723" spans="1:14" x14ac:dyDescent="0.2">
      <c r="A723" s="292"/>
      <c r="C723" s="189"/>
      <c r="E723" s="190"/>
      <c r="G723" s="70"/>
      <c r="H723" s="70"/>
      <c r="J723" s="70"/>
      <c r="L723" s="71"/>
      <c r="N723" s="70"/>
    </row>
    <row r="724" spans="1:14" x14ac:dyDescent="0.2">
      <c r="A724" s="292"/>
      <c r="C724" s="189"/>
      <c r="E724" s="190"/>
      <c r="G724" s="70"/>
      <c r="H724" s="70"/>
      <c r="J724" s="70"/>
      <c r="L724" s="71"/>
      <c r="N724" s="70"/>
    </row>
    <row r="725" spans="1:14" x14ac:dyDescent="0.2">
      <c r="A725" s="292"/>
      <c r="C725" s="189"/>
      <c r="E725" s="190"/>
      <c r="G725" s="70"/>
      <c r="H725" s="70"/>
      <c r="J725" s="70"/>
      <c r="L725" s="71"/>
      <c r="N725" s="70"/>
    </row>
    <row r="726" spans="1:14" x14ac:dyDescent="0.2">
      <c r="A726" s="292"/>
      <c r="C726" s="189"/>
      <c r="E726" s="190"/>
      <c r="G726" s="70"/>
      <c r="H726" s="70"/>
      <c r="J726" s="70"/>
      <c r="L726" s="71"/>
      <c r="N726" s="70"/>
    </row>
    <row r="727" spans="1:14" x14ac:dyDescent="0.2">
      <c r="A727" s="292"/>
      <c r="C727" s="189"/>
      <c r="E727" s="190"/>
      <c r="G727" s="70"/>
      <c r="H727" s="70"/>
      <c r="J727" s="70"/>
      <c r="L727" s="71"/>
      <c r="N727" s="70"/>
    </row>
    <row r="728" spans="1:14" x14ac:dyDescent="0.2">
      <c r="A728" s="292"/>
      <c r="C728" s="189"/>
      <c r="E728" s="190"/>
      <c r="G728" s="70"/>
      <c r="H728" s="70"/>
      <c r="J728" s="70"/>
      <c r="L728" s="71"/>
      <c r="N728" s="70"/>
    </row>
    <row r="729" spans="1:14" x14ac:dyDescent="0.2">
      <c r="A729" s="292"/>
      <c r="C729" s="189"/>
      <c r="E729" s="190"/>
      <c r="G729" s="70"/>
      <c r="H729" s="70"/>
      <c r="J729" s="70"/>
      <c r="L729" s="71"/>
      <c r="N729" s="70"/>
    </row>
    <row r="730" spans="1:14" x14ac:dyDescent="0.2">
      <c r="A730" s="292"/>
      <c r="C730" s="189"/>
      <c r="E730" s="190"/>
      <c r="G730" s="70"/>
      <c r="H730" s="70"/>
      <c r="J730" s="70"/>
      <c r="L730" s="71"/>
      <c r="N730" s="70"/>
    </row>
    <row r="731" spans="1:14" x14ac:dyDescent="0.2">
      <c r="A731" s="292"/>
      <c r="C731" s="189"/>
      <c r="E731" s="190"/>
      <c r="G731" s="70"/>
      <c r="H731" s="70"/>
      <c r="J731" s="70"/>
      <c r="L731" s="71"/>
      <c r="N731" s="70"/>
    </row>
    <row r="732" spans="1:14" x14ac:dyDescent="0.2">
      <c r="A732" s="292"/>
      <c r="C732" s="189"/>
      <c r="E732" s="190"/>
      <c r="G732" s="70"/>
      <c r="H732" s="70"/>
      <c r="J732" s="70"/>
      <c r="L732" s="71"/>
      <c r="N732" s="70"/>
    </row>
    <row r="733" spans="1:14" x14ac:dyDescent="0.2">
      <c r="A733" s="292"/>
      <c r="C733" s="189"/>
      <c r="E733" s="190"/>
      <c r="G733" s="70"/>
      <c r="H733" s="70"/>
      <c r="J733" s="70"/>
      <c r="L733" s="71"/>
      <c r="N733" s="70"/>
    </row>
    <row r="734" spans="1:14" x14ac:dyDescent="0.2">
      <c r="A734" s="292"/>
      <c r="C734" s="189"/>
      <c r="E734" s="190"/>
      <c r="G734" s="70"/>
      <c r="H734" s="70"/>
      <c r="J734" s="70"/>
      <c r="L734" s="71"/>
      <c r="N734" s="70"/>
    </row>
    <row r="735" spans="1:14" x14ac:dyDescent="0.2">
      <c r="A735" s="292"/>
      <c r="C735" s="189"/>
      <c r="E735" s="190"/>
      <c r="G735" s="70"/>
      <c r="H735" s="70"/>
      <c r="J735" s="70"/>
      <c r="L735" s="71"/>
      <c r="N735" s="70"/>
    </row>
    <row r="736" spans="1:14" x14ac:dyDescent="0.2">
      <c r="A736" s="292"/>
      <c r="C736" s="189"/>
      <c r="E736" s="190"/>
      <c r="G736" s="70"/>
      <c r="H736" s="70"/>
      <c r="J736" s="70"/>
      <c r="L736" s="71"/>
      <c r="N736" s="70"/>
    </row>
    <row r="737" spans="1:14" x14ac:dyDescent="0.2">
      <c r="A737" s="292"/>
      <c r="C737" s="189"/>
      <c r="E737" s="190"/>
      <c r="G737" s="70"/>
      <c r="H737" s="70"/>
      <c r="J737" s="70"/>
      <c r="L737" s="71"/>
      <c r="N737" s="70"/>
    </row>
    <row r="738" spans="1:14" x14ac:dyDescent="0.2">
      <c r="A738" s="292"/>
      <c r="C738" s="189"/>
      <c r="E738" s="190"/>
      <c r="G738" s="70"/>
      <c r="H738" s="70"/>
      <c r="J738" s="70"/>
      <c r="L738" s="71"/>
      <c r="N738" s="70"/>
    </row>
    <row r="739" spans="1:14" x14ac:dyDescent="0.2">
      <c r="A739" s="292"/>
      <c r="C739" s="189"/>
      <c r="E739" s="190"/>
      <c r="G739" s="70"/>
      <c r="H739" s="70"/>
      <c r="J739" s="70"/>
      <c r="L739" s="71"/>
      <c r="N739" s="70"/>
    </row>
    <row r="740" spans="1:14" x14ac:dyDescent="0.2">
      <c r="A740" s="292"/>
      <c r="C740" s="189"/>
      <c r="E740" s="190"/>
      <c r="G740" s="70"/>
      <c r="H740" s="70"/>
      <c r="J740" s="70"/>
      <c r="L740" s="71"/>
      <c r="N740" s="70"/>
    </row>
    <row r="741" spans="1:14" x14ac:dyDescent="0.2">
      <c r="A741" s="292"/>
      <c r="C741" s="189"/>
      <c r="E741" s="190"/>
      <c r="G741" s="70"/>
      <c r="H741" s="70"/>
      <c r="J741" s="70"/>
      <c r="L741" s="71"/>
      <c r="N741" s="70"/>
    </row>
    <row r="742" spans="1:14" x14ac:dyDescent="0.2">
      <c r="A742" s="292"/>
      <c r="C742" s="189"/>
      <c r="E742" s="190"/>
      <c r="G742" s="70"/>
      <c r="H742" s="70"/>
      <c r="J742" s="70"/>
      <c r="L742" s="71"/>
      <c r="N742" s="70"/>
    </row>
    <row r="743" spans="1:14" x14ac:dyDescent="0.2">
      <c r="A743" s="292"/>
      <c r="C743" s="189"/>
      <c r="E743" s="190"/>
      <c r="G743" s="70"/>
      <c r="H743" s="70"/>
      <c r="J743" s="70"/>
      <c r="L743" s="71"/>
      <c r="N743" s="70"/>
    </row>
    <row r="744" spans="1:14" x14ac:dyDescent="0.2">
      <c r="A744" s="292"/>
      <c r="C744" s="189"/>
      <c r="E744" s="190"/>
      <c r="G744" s="70"/>
      <c r="H744" s="70"/>
      <c r="J744" s="70"/>
      <c r="L744" s="71"/>
      <c r="N744" s="70"/>
    </row>
    <row r="745" spans="1:14" x14ac:dyDescent="0.2">
      <c r="A745" s="292"/>
      <c r="C745" s="189"/>
      <c r="E745" s="190"/>
      <c r="G745" s="70"/>
      <c r="H745" s="70"/>
      <c r="J745" s="70"/>
      <c r="L745" s="71"/>
      <c r="N745" s="70"/>
    </row>
    <row r="746" spans="1:14" x14ac:dyDescent="0.2">
      <c r="A746" s="292"/>
      <c r="C746" s="189"/>
      <c r="E746" s="190"/>
      <c r="G746" s="70"/>
      <c r="H746" s="70"/>
      <c r="J746" s="70"/>
      <c r="L746" s="71"/>
      <c r="N746" s="70"/>
    </row>
    <row r="747" spans="1:14" x14ac:dyDescent="0.2">
      <c r="A747" s="292"/>
      <c r="C747" s="189"/>
      <c r="E747" s="190"/>
      <c r="G747" s="70"/>
      <c r="H747" s="70"/>
      <c r="J747" s="70"/>
      <c r="L747" s="71"/>
      <c r="N747" s="70"/>
    </row>
    <row r="748" spans="1:14" x14ac:dyDescent="0.2">
      <c r="A748" s="292"/>
      <c r="C748" s="189"/>
      <c r="E748" s="190"/>
      <c r="G748" s="70"/>
      <c r="H748" s="70"/>
      <c r="J748" s="70"/>
      <c r="L748" s="71"/>
      <c r="N748" s="70"/>
    </row>
    <row r="749" spans="1:14" x14ac:dyDescent="0.2">
      <c r="A749" s="292"/>
      <c r="C749" s="189"/>
      <c r="E749" s="190"/>
      <c r="G749" s="70"/>
      <c r="H749" s="70"/>
      <c r="J749" s="70"/>
      <c r="L749" s="71"/>
      <c r="N749" s="70"/>
    </row>
    <row r="750" spans="1:14" x14ac:dyDescent="0.2">
      <c r="A750" s="292"/>
      <c r="C750" s="189"/>
      <c r="E750" s="190"/>
      <c r="G750" s="70"/>
      <c r="H750" s="70"/>
      <c r="J750" s="70"/>
      <c r="L750" s="71"/>
      <c r="N750" s="70"/>
    </row>
    <row r="751" spans="1:14" x14ac:dyDescent="0.2">
      <c r="A751" s="292"/>
      <c r="C751" s="189"/>
      <c r="E751" s="190"/>
      <c r="G751" s="70"/>
      <c r="H751" s="70"/>
      <c r="J751" s="70"/>
      <c r="L751" s="71"/>
      <c r="N751" s="70"/>
    </row>
    <row r="752" spans="1:14" x14ac:dyDescent="0.2">
      <c r="A752" s="292"/>
      <c r="C752" s="189"/>
      <c r="E752" s="190"/>
      <c r="G752" s="70"/>
      <c r="H752" s="70"/>
      <c r="J752" s="70"/>
      <c r="L752" s="71"/>
      <c r="N752" s="70"/>
    </row>
    <row r="753" spans="1:14" x14ac:dyDescent="0.2">
      <c r="A753" s="292"/>
      <c r="C753" s="189"/>
      <c r="E753" s="190"/>
      <c r="G753" s="70"/>
      <c r="H753" s="70"/>
      <c r="J753" s="70"/>
      <c r="L753" s="71"/>
      <c r="N753" s="70"/>
    </row>
    <row r="754" spans="1:14" x14ac:dyDescent="0.2">
      <c r="A754" s="292"/>
      <c r="C754" s="189"/>
      <c r="E754" s="190"/>
      <c r="G754" s="70"/>
      <c r="H754" s="70"/>
      <c r="J754" s="70"/>
      <c r="L754" s="71"/>
      <c r="N754" s="70"/>
    </row>
    <row r="755" spans="1:14" x14ac:dyDescent="0.2">
      <c r="A755" s="292"/>
      <c r="C755" s="189"/>
      <c r="E755" s="190"/>
      <c r="G755" s="70"/>
      <c r="H755" s="70"/>
      <c r="J755" s="70"/>
      <c r="L755" s="71"/>
      <c r="N755" s="70"/>
    </row>
    <row r="756" spans="1:14" x14ac:dyDescent="0.2">
      <c r="A756" s="292"/>
      <c r="C756" s="189"/>
      <c r="E756" s="190"/>
      <c r="G756" s="70"/>
      <c r="H756" s="70"/>
      <c r="J756" s="70"/>
      <c r="L756" s="71"/>
      <c r="N756" s="70"/>
    </row>
    <row r="757" spans="1:14" x14ac:dyDescent="0.2">
      <c r="A757" s="292"/>
      <c r="C757" s="189"/>
      <c r="E757" s="190"/>
      <c r="G757" s="70"/>
      <c r="H757" s="70"/>
      <c r="J757" s="70"/>
      <c r="L757" s="71"/>
      <c r="N757" s="70"/>
    </row>
    <row r="758" spans="1:14" x14ac:dyDescent="0.2">
      <c r="A758" s="292"/>
      <c r="C758" s="189"/>
      <c r="E758" s="190"/>
      <c r="G758" s="70"/>
      <c r="H758" s="70"/>
      <c r="J758" s="70"/>
      <c r="L758" s="71"/>
      <c r="N758" s="70"/>
    </row>
    <row r="759" spans="1:14" x14ac:dyDescent="0.2">
      <c r="A759" s="292"/>
      <c r="C759" s="189"/>
      <c r="E759" s="190"/>
      <c r="G759" s="70"/>
      <c r="H759" s="70"/>
      <c r="J759" s="70"/>
      <c r="L759" s="71"/>
      <c r="N759" s="70"/>
    </row>
    <row r="760" spans="1:14" x14ac:dyDescent="0.2">
      <c r="A760" s="292"/>
      <c r="C760" s="189"/>
      <c r="E760" s="190"/>
      <c r="G760" s="70"/>
      <c r="H760" s="70"/>
      <c r="J760" s="70"/>
      <c r="L760" s="71"/>
      <c r="N760" s="70"/>
    </row>
    <row r="761" spans="1:14" x14ac:dyDescent="0.2">
      <c r="A761" s="292"/>
      <c r="C761" s="189"/>
      <c r="E761" s="190"/>
      <c r="G761" s="70"/>
      <c r="H761" s="70"/>
      <c r="J761" s="70"/>
      <c r="L761" s="71"/>
      <c r="N761" s="70"/>
    </row>
    <row r="762" spans="1:14" x14ac:dyDescent="0.2">
      <c r="A762" s="292"/>
      <c r="C762" s="189"/>
      <c r="E762" s="190"/>
      <c r="G762" s="70"/>
      <c r="H762" s="70"/>
      <c r="J762" s="70"/>
      <c r="L762" s="71"/>
      <c r="N762" s="70"/>
    </row>
    <row r="763" spans="1:14" x14ac:dyDescent="0.2">
      <c r="A763" s="292"/>
      <c r="C763" s="189"/>
      <c r="E763" s="190"/>
      <c r="G763" s="70"/>
      <c r="H763" s="70"/>
      <c r="J763" s="70"/>
      <c r="L763" s="71"/>
      <c r="N763" s="70"/>
    </row>
    <row r="764" spans="1:14" x14ac:dyDescent="0.2">
      <c r="A764" s="292"/>
      <c r="C764" s="189"/>
      <c r="E764" s="190"/>
      <c r="G764" s="70"/>
      <c r="H764" s="70"/>
      <c r="J764" s="70"/>
      <c r="L764" s="71"/>
      <c r="N764" s="70"/>
    </row>
    <row r="765" spans="1:14" x14ac:dyDescent="0.2">
      <c r="A765" s="292"/>
      <c r="C765" s="189"/>
      <c r="E765" s="190"/>
      <c r="G765" s="70"/>
      <c r="H765" s="70"/>
      <c r="J765" s="70"/>
      <c r="L765" s="71"/>
      <c r="N765" s="70"/>
    </row>
    <row r="766" spans="1:14" x14ac:dyDescent="0.2">
      <c r="A766" s="292"/>
      <c r="C766" s="189"/>
      <c r="E766" s="190"/>
      <c r="G766" s="70"/>
      <c r="H766" s="70"/>
      <c r="J766" s="70"/>
      <c r="L766" s="71"/>
      <c r="N766" s="70"/>
    </row>
    <row r="767" spans="1:14" x14ac:dyDescent="0.2">
      <c r="A767" s="292"/>
      <c r="C767" s="189"/>
      <c r="E767" s="190"/>
      <c r="G767" s="70"/>
      <c r="H767" s="70"/>
      <c r="J767" s="70"/>
      <c r="L767" s="71"/>
      <c r="N767" s="70"/>
    </row>
    <row r="768" spans="1:14" x14ac:dyDescent="0.2">
      <c r="A768" s="292"/>
      <c r="C768" s="189"/>
      <c r="E768" s="190"/>
      <c r="G768" s="70"/>
      <c r="H768" s="70"/>
      <c r="J768" s="70"/>
      <c r="L768" s="71"/>
      <c r="N768" s="70"/>
    </row>
    <row r="769" spans="1:14" x14ac:dyDescent="0.2">
      <c r="A769" s="292"/>
      <c r="C769" s="189"/>
      <c r="E769" s="190"/>
      <c r="G769" s="70"/>
      <c r="H769" s="70"/>
      <c r="J769" s="70"/>
      <c r="L769" s="71"/>
      <c r="N769" s="70"/>
    </row>
    <row r="770" spans="1:14" x14ac:dyDescent="0.2">
      <c r="A770" s="292"/>
      <c r="C770" s="189"/>
      <c r="E770" s="190"/>
      <c r="G770" s="70"/>
      <c r="H770" s="70"/>
      <c r="J770" s="70"/>
      <c r="L770" s="71"/>
      <c r="N770" s="70"/>
    </row>
    <row r="771" spans="1:14" x14ac:dyDescent="0.2">
      <c r="A771" s="292"/>
      <c r="C771" s="189"/>
      <c r="E771" s="190"/>
      <c r="G771" s="70"/>
      <c r="H771" s="70"/>
      <c r="J771" s="70"/>
      <c r="L771" s="71"/>
      <c r="N771" s="70"/>
    </row>
    <row r="772" spans="1:14" x14ac:dyDescent="0.2">
      <c r="A772" s="292"/>
      <c r="C772" s="189"/>
      <c r="E772" s="190"/>
      <c r="G772" s="70"/>
      <c r="H772" s="70"/>
      <c r="J772" s="70"/>
      <c r="L772" s="71"/>
      <c r="N772" s="70"/>
    </row>
    <row r="773" spans="1:14" x14ac:dyDescent="0.2">
      <c r="A773" s="292"/>
      <c r="C773" s="189"/>
      <c r="E773" s="190"/>
      <c r="G773" s="70"/>
      <c r="H773" s="70"/>
      <c r="J773" s="70"/>
      <c r="L773" s="71"/>
      <c r="N773" s="70"/>
    </row>
    <row r="774" spans="1:14" x14ac:dyDescent="0.2">
      <c r="A774" s="292"/>
      <c r="C774" s="189"/>
      <c r="E774" s="190"/>
      <c r="G774" s="70"/>
      <c r="H774" s="70"/>
      <c r="J774" s="70"/>
      <c r="L774" s="71"/>
      <c r="N774" s="70"/>
    </row>
    <row r="775" spans="1:14" x14ac:dyDescent="0.2">
      <c r="A775" s="292"/>
      <c r="C775" s="189"/>
      <c r="E775" s="190"/>
      <c r="G775" s="70"/>
      <c r="H775" s="70"/>
      <c r="J775" s="70"/>
      <c r="L775" s="71"/>
      <c r="N775" s="70"/>
    </row>
    <row r="776" spans="1:14" x14ac:dyDescent="0.2">
      <c r="A776" s="292"/>
      <c r="C776" s="189"/>
      <c r="E776" s="190"/>
      <c r="G776" s="70"/>
      <c r="H776" s="70"/>
      <c r="J776" s="70"/>
      <c r="L776" s="71"/>
      <c r="N776" s="70"/>
    </row>
    <row r="777" spans="1:14" x14ac:dyDescent="0.2">
      <c r="A777" s="292"/>
      <c r="C777" s="189"/>
      <c r="E777" s="190"/>
      <c r="G777" s="70"/>
      <c r="H777" s="70"/>
      <c r="J777" s="70"/>
      <c r="L777" s="71"/>
      <c r="N777" s="70"/>
    </row>
    <row r="778" spans="1:14" x14ac:dyDescent="0.2">
      <c r="A778" s="292"/>
      <c r="C778" s="189"/>
      <c r="E778" s="190"/>
      <c r="G778" s="70"/>
      <c r="H778" s="70"/>
      <c r="J778" s="70"/>
      <c r="L778" s="71"/>
      <c r="N778" s="70"/>
    </row>
    <row r="779" spans="1:14" x14ac:dyDescent="0.2">
      <c r="A779" s="292"/>
      <c r="C779" s="189"/>
      <c r="E779" s="190"/>
      <c r="G779" s="70"/>
      <c r="H779" s="70"/>
      <c r="J779" s="70"/>
      <c r="L779" s="71"/>
      <c r="N779" s="70"/>
    </row>
    <row r="780" spans="1:14" x14ac:dyDescent="0.2">
      <c r="A780" s="292"/>
      <c r="C780" s="189"/>
      <c r="E780" s="190"/>
      <c r="G780" s="70"/>
      <c r="H780" s="70"/>
      <c r="J780" s="70"/>
      <c r="L780" s="71"/>
      <c r="N780" s="70"/>
    </row>
    <row r="781" spans="1:14" x14ac:dyDescent="0.2">
      <c r="A781" s="292"/>
      <c r="C781" s="189"/>
      <c r="E781" s="190"/>
      <c r="G781" s="70"/>
      <c r="H781" s="70"/>
      <c r="J781" s="70"/>
      <c r="L781" s="71"/>
      <c r="N781" s="70"/>
    </row>
    <row r="782" spans="1:14" x14ac:dyDescent="0.2">
      <c r="A782" s="292"/>
      <c r="C782" s="189"/>
      <c r="E782" s="190"/>
      <c r="G782" s="70"/>
      <c r="H782" s="70"/>
      <c r="J782" s="70"/>
      <c r="L782" s="71"/>
      <c r="N782" s="70"/>
    </row>
    <row r="783" spans="1:14" x14ac:dyDescent="0.2">
      <c r="A783" s="292"/>
      <c r="C783" s="189"/>
      <c r="E783" s="190"/>
      <c r="G783" s="70"/>
      <c r="H783" s="70"/>
      <c r="J783" s="70"/>
      <c r="L783" s="71"/>
      <c r="N783" s="70"/>
    </row>
    <row r="784" spans="1:14" x14ac:dyDescent="0.2">
      <c r="A784" s="292"/>
      <c r="C784" s="189"/>
      <c r="E784" s="190"/>
      <c r="G784" s="70"/>
      <c r="H784" s="70"/>
      <c r="J784" s="70"/>
      <c r="L784" s="71"/>
      <c r="N784" s="70"/>
    </row>
    <row r="785" spans="1:14" x14ac:dyDescent="0.2">
      <c r="A785" s="292"/>
      <c r="C785" s="189"/>
      <c r="E785" s="190"/>
      <c r="G785" s="70"/>
      <c r="H785" s="70"/>
      <c r="J785" s="70"/>
      <c r="L785" s="71"/>
      <c r="N785" s="70"/>
    </row>
    <row r="786" spans="1:14" x14ac:dyDescent="0.2">
      <c r="A786" s="292"/>
      <c r="C786" s="189"/>
      <c r="E786" s="190"/>
      <c r="G786" s="70"/>
      <c r="H786" s="70"/>
      <c r="J786" s="70"/>
      <c r="L786" s="71"/>
      <c r="N786" s="70"/>
    </row>
    <row r="787" spans="1:14" x14ac:dyDescent="0.2">
      <c r="A787" s="292"/>
      <c r="C787" s="189"/>
      <c r="E787" s="190"/>
      <c r="G787" s="70"/>
      <c r="H787" s="70"/>
      <c r="J787" s="70"/>
      <c r="L787" s="71"/>
      <c r="N787" s="70"/>
    </row>
    <row r="788" spans="1:14" x14ac:dyDescent="0.2">
      <c r="A788" s="292"/>
      <c r="C788" s="189"/>
      <c r="E788" s="190"/>
      <c r="G788" s="70"/>
      <c r="H788" s="70"/>
      <c r="J788" s="70"/>
      <c r="L788" s="71"/>
      <c r="N788" s="70"/>
    </row>
    <row r="789" spans="1:14" x14ac:dyDescent="0.2">
      <c r="A789" s="292"/>
      <c r="C789" s="189"/>
      <c r="E789" s="190"/>
      <c r="G789" s="70"/>
      <c r="H789" s="70"/>
      <c r="J789" s="70"/>
      <c r="L789" s="71"/>
      <c r="N789" s="70"/>
    </row>
    <row r="790" spans="1:14" x14ac:dyDescent="0.2">
      <c r="A790" s="292"/>
      <c r="C790" s="189"/>
      <c r="E790" s="190"/>
      <c r="G790" s="70"/>
      <c r="H790" s="70"/>
      <c r="J790" s="70"/>
      <c r="L790" s="71"/>
      <c r="N790" s="70"/>
    </row>
    <row r="791" spans="1:14" x14ac:dyDescent="0.2">
      <c r="A791" s="292"/>
      <c r="C791" s="189"/>
      <c r="E791" s="190"/>
      <c r="G791" s="70"/>
      <c r="H791" s="70"/>
      <c r="J791" s="70"/>
      <c r="L791" s="71"/>
      <c r="N791" s="70"/>
    </row>
    <row r="792" spans="1:14" x14ac:dyDescent="0.2">
      <c r="A792" s="292"/>
      <c r="C792" s="189"/>
      <c r="E792" s="190"/>
      <c r="G792" s="70"/>
      <c r="H792" s="70"/>
      <c r="J792" s="70"/>
      <c r="L792" s="71"/>
      <c r="N792" s="70"/>
    </row>
    <row r="793" spans="1:14" x14ac:dyDescent="0.2">
      <c r="A793" s="292"/>
      <c r="C793" s="189"/>
      <c r="E793" s="190"/>
      <c r="G793" s="70"/>
      <c r="H793" s="70"/>
      <c r="J793" s="70"/>
      <c r="L793" s="71"/>
      <c r="N793" s="70"/>
    </row>
    <row r="794" spans="1:14" x14ac:dyDescent="0.2">
      <c r="A794" s="292"/>
      <c r="C794" s="189"/>
      <c r="E794" s="190"/>
      <c r="G794" s="70"/>
      <c r="H794" s="70"/>
      <c r="J794" s="70"/>
      <c r="L794" s="71"/>
      <c r="N794" s="70"/>
    </row>
    <row r="795" spans="1:14" x14ac:dyDescent="0.2">
      <c r="A795" s="292"/>
      <c r="C795" s="189"/>
      <c r="E795" s="190"/>
      <c r="G795" s="70"/>
      <c r="H795" s="70"/>
      <c r="J795" s="70"/>
      <c r="L795" s="71"/>
      <c r="N795" s="70"/>
    </row>
    <row r="796" spans="1:14" x14ac:dyDescent="0.2">
      <c r="A796" s="292"/>
      <c r="C796" s="189"/>
      <c r="E796" s="190"/>
      <c r="G796" s="70"/>
      <c r="H796" s="70"/>
      <c r="J796" s="70"/>
      <c r="L796" s="71"/>
      <c r="N796" s="70"/>
    </row>
    <row r="797" spans="1:14" x14ac:dyDescent="0.2">
      <c r="A797" s="292"/>
      <c r="C797" s="189"/>
      <c r="E797" s="190"/>
      <c r="G797" s="70"/>
      <c r="H797" s="70"/>
      <c r="J797" s="70"/>
      <c r="L797" s="71"/>
      <c r="N797" s="70"/>
    </row>
    <row r="798" spans="1:14" x14ac:dyDescent="0.2">
      <c r="A798" s="292"/>
      <c r="C798" s="189"/>
      <c r="E798" s="190"/>
      <c r="G798" s="70"/>
      <c r="H798" s="70"/>
      <c r="J798" s="70"/>
      <c r="L798" s="71"/>
      <c r="N798" s="70"/>
    </row>
    <row r="799" spans="1:14" x14ac:dyDescent="0.2">
      <c r="A799" s="292"/>
      <c r="C799" s="189"/>
      <c r="E799" s="190"/>
      <c r="G799" s="70"/>
      <c r="H799" s="70"/>
      <c r="J799" s="70"/>
      <c r="L799" s="71"/>
      <c r="N799" s="70"/>
    </row>
    <row r="800" spans="1:14" x14ac:dyDescent="0.2">
      <c r="A800" s="292"/>
      <c r="C800" s="189"/>
      <c r="E800" s="190"/>
      <c r="G800" s="70"/>
      <c r="H800" s="70"/>
      <c r="J800" s="70"/>
      <c r="L800" s="71"/>
      <c r="N800" s="70"/>
    </row>
    <row r="801" spans="1:14" x14ac:dyDescent="0.2">
      <c r="A801" s="292"/>
      <c r="C801" s="189"/>
      <c r="E801" s="190"/>
      <c r="G801" s="70"/>
      <c r="H801" s="70"/>
      <c r="J801" s="70"/>
      <c r="L801" s="71"/>
      <c r="N801" s="70"/>
    </row>
    <row r="802" spans="1:14" x14ac:dyDescent="0.2">
      <c r="A802" s="292"/>
      <c r="C802" s="189"/>
      <c r="E802" s="190"/>
      <c r="G802" s="70"/>
      <c r="H802" s="70"/>
      <c r="J802" s="70"/>
      <c r="L802" s="71"/>
      <c r="N802" s="70"/>
    </row>
    <row r="803" spans="1:14" x14ac:dyDescent="0.2">
      <c r="A803" s="292"/>
      <c r="C803" s="189"/>
      <c r="E803" s="190"/>
      <c r="G803" s="70"/>
      <c r="H803" s="70"/>
      <c r="J803" s="70"/>
      <c r="L803" s="71"/>
      <c r="N803" s="70"/>
    </row>
    <row r="804" spans="1:14" x14ac:dyDescent="0.2">
      <c r="A804" s="292"/>
      <c r="C804" s="189"/>
      <c r="E804" s="190"/>
      <c r="G804" s="70"/>
      <c r="H804" s="70"/>
      <c r="J804" s="70"/>
      <c r="L804" s="71"/>
      <c r="N804" s="70"/>
    </row>
    <row r="805" spans="1:14" x14ac:dyDescent="0.2">
      <c r="A805" s="292"/>
      <c r="C805" s="189"/>
      <c r="E805" s="190"/>
      <c r="G805" s="70"/>
      <c r="H805" s="70"/>
      <c r="J805" s="70"/>
      <c r="L805" s="71"/>
      <c r="N805" s="70"/>
    </row>
    <row r="806" spans="1:14" x14ac:dyDescent="0.2">
      <c r="A806" s="292"/>
      <c r="C806" s="189"/>
      <c r="E806" s="190"/>
      <c r="G806" s="70"/>
      <c r="H806" s="70"/>
      <c r="J806" s="70"/>
      <c r="L806" s="71"/>
      <c r="N806" s="70"/>
    </row>
    <row r="807" spans="1:14" x14ac:dyDescent="0.2">
      <c r="A807" s="292"/>
      <c r="C807" s="189"/>
      <c r="E807" s="190"/>
      <c r="G807" s="70"/>
      <c r="H807" s="70"/>
      <c r="J807" s="70"/>
      <c r="L807" s="71"/>
      <c r="N807" s="70"/>
    </row>
    <row r="808" spans="1:14" x14ac:dyDescent="0.2">
      <c r="A808" s="292"/>
      <c r="C808" s="189"/>
      <c r="E808" s="190"/>
      <c r="G808" s="70"/>
      <c r="H808" s="70"/>
      <c r="J808" s="70"/>
      <c r="L808" s="71"/>
      <c r="N808" s="70"/>
    </row>
    <row r="809" spans="1:14" x14ac:dyDescent="0.2">
      <c r="A809" s="292"/>
      <c r="C809" s="189"/>
      <c r="E809" s="190"/>
      <c r="G809" s="70"/>
      <c r="H809" s="70"/>
      <c r="J809" s="70"/>
      <c r="L809" s="71"/>
      <c r="N809" s="70"/>
    </row>
    <row r="810" spans="1:14" x14ac:dyDescent="0.2">
      <c r="A810" s="292"/>
      <c r="C810" s="189"/>
      <c r="E810" s="190"/>
      <c r="G810" s="70"/>
      <c r="H810" s="70"/>
      <c r="J810" s="70"/>
      <c r="L810" s="71"/>
      <c r="N810" s="70"/>
    </row>
    <row r="811" spans="1:14" x14ac:dyDescent="0.2">
      <c r="A811" s="292"/>
      <c r="C811" s="189"/>
      <c r="E811" s="190"/>
      <c r="G811" s="70"/>
      <c r="H811" s="70"/>
      <c r="J811" s="70"/>
      <c r="L811" s="71"/>
      <c r="N811" s="70"/>
    </row>
    <row r="812" spans="1:14" x14ac:dyDescent="0.2">
      <c r="A812" s="292"/>
      <c r="C812" s="189"/>
      <c r="E812" s="190"/>
      <c r="G812" s="70"/>
      <c r="H812" s="70"/>
      <c r="J812" s="70"/>
      <c r="L812" s="71"/>
      <c r="N812" s="70"/>
    </row>
    <row r="813" spans="1:14" x14ac:dyDescent="0.2">
      <c r="A813" s="292"/>
      <c r="C813" s="189"/>
      <c r="E813" s="190"/>
      <c r="G813" s="70"/>
      <c r="H813" s="70"/>
      <c r="J813" s="70"/>
      <c r="L813" s="71"/>
      <c r="N813" s="70"/>
    </row>
    <row r="814" spans="1:14" x14ac:dyDescent="0.2">
      <c r="A814" s="292"/>
      <c r="C814" s="189"/>
      <c r="E814" s="190"/>
      <c r="G814" s="70"/>
      <c r="H814" s="70"/>
      <c r="J814" s="70"/>
      <c r="L814" s="71"/>
      <c r="N814" s="70"/>
    </row>
    <row r="815" spans="1:14" x14ac:dyDescent="0.2">
      <c r="A815" s="292"/>
      <c r="C815" s="189"/>
      <c r="E815" s="190"/>
      <c r="G815" s="70"/>
      <c r="H815" s="70"/>
      <c r="J815" s="70"/>
      <c r="L815" s="71"/>
      <c r="N815" s="70"/>
    </row>
    <row r="816" spans="1:14" x14ac:dyDescent="0.2">
      <c r="A816" s="292"/>
      <c r="C816" s="189"/>
      <c r="E816" s="190"/>
      <c r="G816" s="70"/>
      <c r="H816" s="70"/>
      <c r="J816" s="70"/>
      <c r="L816" s="71"/>
      <c r="N816" s="70"/>
    </row>
    <row r="817" spans="1:14" x14ac:dyDescent="0.2">
      <c r="A817" s="292"/>
      <c r="C817" s="189"/>
      <c r="E817" s="190"/>
      <c r="G817" s="70"/>
      <c r="H817" s="70"/>
      <c r="J817" s="70"/>
      <c r="L817" s="71"/>
      <c r="N817" s="70"/>
    </row>
    <row r="818" spans="1:14" x14ac:dyDescent="0.2">
      <c r="A818" s="292"/>
      <c r="C818" s="189"/>
      <c r="E818" s="190"/>
      <c r="G818" s="70"/>
      <c r="H818" s="70"/>
      <c r="J818" s="70"/>
      <c r="L818" s="71"/>
      <c r="N818" s="70"/>
    </row>
    <row r="819" spans="1:14" x14ac:dyDescent="0.2">
      <c r="A819" s="292"/>
      <c r="C819" s="189"/>
      <c r="E819" s="190"/>
      <c r="G819" s="70"/>
      <c r="H819" s="70"/>
      <c r="J819" s="70"/>
      <c r="L819" s="71"/>
      <c r="N819" s="70"/>
    </row>
    <row r="820" spans="1:14" x14ac:dyDescent="0.2">
      <c r="A820" s="292"/>
      <c r="C820" s="189"/>
      <c r="E820" s="190"/>
      <c r="G820" s="70"/>
      <c r="H820" s="70"/>
      <c r="J820" s="70"/>
      <c r="L820" s="71"/>
      <c r="N820" s="70"/>
    </row>
    <row r="821" spans="1:14" x14ac:dyDescent="0.2">
      <c r="A821" s="292"/>
      <c r="C821" s="189"/>
      <c r="E821" s="190"/>
      <c r="G821" s="70"/>
      <c r="H821" s="70"/>
      <c r="J821" s="70"/>
      <c r="L821" s="71"/>
      <c r="N821" s="70"/>
    </row>
    <row r="822" spans="1:14" x14ac:dyDescent="0.2">
      <c r="A822" s="292"/>
      <c r="C822" s="189"/>
      <c r="E822" s="190"/>
      <c r="G822" s="70"/>
      <c r="H822" s="70"/>
      <c r="J822" s="70"/>
      <c r="L822" s="71"/>
      <c r="N822" s="70"/>
    </row>
    <row r="823" spans="1:14" x14ac:dyDescent="0.2">
      <c r="A823" s="292"/>
      <c r="C823" s="189"/>
      <c r="E823" s="190"/>
      <c r="G823" s="70"/>
      <c r="H823" s="70"/>
      <c r="J823" s="70"/>
      <c r="L823" s="71"/>
      <c r="N823" s="70"/>
    </row>
    <row r="824" spans="1:14" x14ac:dyDescent="0.2">
      <c r="A824" s="292"/>
      <c r="C824" s="189"/>
      <c r="E824" s="190"/>
      <c r="G824" s="70"/>
      <c r="H824" s="70"/>
      <c r="J824" s="70"/>
      <c r="L824" s="71"/>
      <c r="N824" s="70"/>
    </row>
    <row r="825" spans="1:14" x14ac:dyDescent="0.2">
      <c r="A825" s="292"/>
      <c r="C825" s="189"/>
      <c r="E825" s="190"/>
      <c r="G825" s="70"/>
      <c r="H825" s="70"/>
      <c r="J825" s="70"/>
      <c r="L825" s="71"/>
      <c r="N825" s="70"/>
    </row>
    <row r="826" spans="1:14" x14ac:dyDescent="0.2">
      <c r="A826" s="292"/>
      <c r="C826" s="189"/>
      <c r="E826" s="190"/>
      <c r="G826" s="70"/>
      <c r="H826" s="70"/>
      <c r="J826" s="70"/>
      <c r="L826" s="71"/>
      <c r="N826" s="70"/>
    </row>
    <row r="827" spans="1:14" x14ac:dyDescent="0.2">
      <c r="A827" s="292"/>
      <c r="C827" s="189"/>
      <c r="E827" s="190"/>
      <c r="G827" s="70"/>
      <c r="H827" s="70"/>
      <c r="J827" s="70"/>
      <c r="L827" s="71"/>
      <c r="N827" s="70"/>
    </row>
    <row r="828" spans="1:14" x14ac:dyDescent="0.2">
      <c r="A828" s="292"/>
      <c r="C828" s="189"/>
      <c r="E828" s="190"/>
      <c r="G828" s="70"/>
      <c r="H828" s="70"/>
      <c r="J828" s="70"/>
      <c r="L828" s="71"/>
      <c r="N828" s="70"/>
    </row>
    <row r="829" spans="1:14" x14ac:dyDescent="0.2">
      <c r="A829" s="292"/>
      <c r="C829" s="189"/>
      <c r="E829" s="190"/>
      <c r="G829" s="70"/>
      <c r="H829" s="70"/>
      <c r="J829" s="70"/>
      <c r="L829" s="71"/>
      <c r="N829" s="70"/>
    </row>
    <row r="830" spans="1:14" x14ac:dyDescent="0.2">
      <c r="A830" s="292"/>
      <c r="C830" s="189"/>
      <c r="E830" s="190"/>
      <c r="G830" s="70"/>
      <c r="H830" s="70"/>
      <c r="J830" s="70"/>
      <c r="L830" s="71"/>
      <c r="N830" s="70"/>
    </row>
    <row r="831" spans="1:14" x14ac:dyDescent="0.2">
      <c r="A831" s="292"/>
      <c r="C831" s="189"/>
      <c r="E831" s="190"/>
      <c r="G831" s="70"/>
      <c r="H831" s="70"/>
      <c r="J831" s="70"/>
      <c r="L831" s="71"/>
      <c r="N831" s="70"/>
    </row>
    <row r="832" spans="1:14" x14ac:dyDescent="0.2">
      <c r="A832" s="292"/>
      <c r="C832" s="189"/>
      <c r="E832" s="190"/>
      <c r="G832" s="70"/>
      <c r="H832" s="70"/>
      <c r="J832" s="70"/>
      <c r="L832" s="71"/>
      <c r="N832" s="70"/>
    </row>
    <row r="833" spans="1:14" x14ac:dyDescent="0.2">
      <c r="A833" s="292"/>
      <c r="C833" s="189"/>
      <c r="E833" s="190"/>
      <c r="G833" s="70"/>
      <c r="H833" s="70"/>
      <c r="J833" s="70"/>
      <c r="L833" s="71"/>
      <c r="N833" s="70"/>
    </row>
    <row r="834" spans="1:14" x14ac:dyDescent="0.2">
      <c r="A834" s="292"/>
      <c r="C834" s="189"/>
      <c r="E834" s="190"/>
      <c r="G834" s="70"/>
      <c r="H834" s="70"/>
      <c r="J834" s="70"/>
      <c r="L834" s="71"/>
      <c r="N834" s="70"/>
    </row>
    <row r="835" spans="1:14" x14ac:dyDescent="0.2">
      <c r="A835" s="292"/>
      <c r="C835" s="189"/>
      <c r="E835" s="190"/>
      <c r="G835" s="70"/>
      <c r="H835" s="70"/>
      <c r="J835" s="70"/>
      <c r="L835" s="71"/>
      <c r="N835" s="70"/>
    </row>
    <row r="836" spans="1:14" x14ac:dyDescent="0.2">
      <c r="A836" s="292"/>
      <c r="C836" s="189"/>
      <c r="E836" s="190"/>
      <c r="G836" s="70"/>
      <c r="H836" s="70"/>
      <c r="J836" s="70"/>
      <c r="L836" s="71"/>
      <c r="N836" s="70"/>
    </row>
    <row r="837" spans="1:14" x14ac:dyDescent="0.2">
      <c r="A837" s="292"/>
      <c r="C837" s="189"/>
      <c r="E837" s="190"/>
      <c r="G837" s="70"/>
      <c r="H837" s="70"/>
      <c r="J837" s="70"/>
      <c r="L837" s="71"/>
      <c r="N837" s="70"/>
    </row>
    <row r="838" spans="1:14" x14ac:dyDescent="0.2">
      <c r="A838" s="292"/>
      <c r="C838" s="189"/>
      <c r="E838" s="190"/>
      <c r="G838" s="70"/>
      <c r="H838" s="70"/>
      <c r="J838" s="70"/>
      <c r="L838" s="71"/>
      <c r="N838" s="70"/>
    </row>
    <row r="839" spans="1:14" x14ac:dyDescent="0.2">
      <c r="A839" s="292"/>
      <c r="C839" s="189"/>
      <c r="E839" s="190"/>
      <c r="G839" s="70"/>
      <c r="H839" s="70"/>
      <c r="J839" s="70"/>
      <c r="L839" s="71"/>
      <c r="N839" s="70"/>
    </row>
    <row r="840" spans="1:14" x14ac:dyDescent="0.2">
      <c r="A840" s="292"/>
      <c r="C840" s="189"/>
      <c r="E840" s="190"/>
      <c r="G840" s="70"/>
      <c r="H840" s="70"/>
      <c r="J840" s="70"/>
      <c r="L840" s="71"/>
      <c r="N840" s="70"/>
    </row>
    <row r="841" spans="1:14" x14ac:dyDescent="0.2">
      <c r="A841" s="292"/>
      <c r="C841" s="189"/>
      <c r="E841" s="190"/>
      <c r="G841" s="70"/>
      <c r="H841" s="70"/>
      <c r="J841" s="70"/>
      <c r="L841" s="71"/>
      <c r="N841" s="70"/>
    </row>
    <row r="842" spans="1:14" x14ac:dyDescent="0.2">
      <c r="A842" s="292"/>
      <c r="C842" s="189"/>
      <c r="E842" s="190"/>
      <c r="G842" s="70"/>
      <c r="H842" s="70"/>
      <c r="J842" s="70"/>
      <c r="L842" s="71"/>
      <c r="N842" s="70"/>
    </row>
    <row r="843" spans="1:14" x14ac:dyDescent="0.2">
      <c r="A843" s="292"/>
      <c r="C843" s="189"/>
      <c r="E843" s="190"/>
      <c r="G843" s="70"/>
      <c r="H843" s="70"/>
      <c r="J843" s="70"/>
      <c r="L843" s="71"/>
      <c r="N843" s="70"/>
    </row>
    <row r="844" spans="1:14" x14ac:dyDescent="0.2">
      <c r="A844" s="292"/>
      <c r="C844" s="189"/>
      <c r="E844" s="190"/>
      <c r="G844" s="70"/>
      <c r="H844" s="70"/>
      <c r="J844" s="70"/>
      <c r="L844" s="71"/>
      <c r="N844" s="70"/>
    </row>
    <row r="845" spans="1:14" x14ac:dyDescent="0.2">
      <c r="A845" s="292"/>
      <c r="C845" s="189"/>
      <c r="E845" s="190"/>
      <c r="G845" s="70"/>
      <c r="H845" s="70"/>
      <c r="J845" s="70"/>
      <c r="L845" s="71"/>
      <c r="N845" s="70"/>
    </row>
    <row r="846" spans="1:14" x14ac:dyDescent="0.2">
      <c r="A846" s="292"/>
      <c r="C846" s="189"/>
      <c r="E846" s="190"/>
      <c r="G846" s="70"/>
      <c r="H846" s="70"/>
      <c r="J846" s="70"/>
      <c r="L846" s="71"/>
      <c r="N846" s="70"/>
    </row>
    <row r="847" spans="1:14" x14ac:dyDescent="0.2">
      <c r="A847" s="292"/>
      <c r="C847" s="189"/>
      <c r="E847" s="190"/>
      <c r="G847" s="70"/>
      <c r="H847" s="70"/>
      <c r="J847" s="70"/>
      <c r="L847" s="71"/>
      <c r="N847" s="70"/>
    </row>
    <row r="848" spans="1:14" x14ac:dyDescent="0.2">
      <c r="A848" s="292"/>
      <c r="C848" s="189"/>
      <c r="E848" s="190"/>
      <c r="G848" s="70"/>
      <c r="H848" s="70"/>
      <c r="J848" s="70"/>
      <c r="L848" s="71"/>
      <c r="N848" s="70"/>
    </row>
    <row r="849" spans="1:14" x14ac:dyDescent="0.2">
      <c r="A849" s="292"/>
      <c r="C849" s="189"/>
      <c r="E849" s="190"/>
      <c r="G849" s="70"/>
      <c r="H849" s="70"/>
      <c r="J849" s="70"/>
      <c r="L849" s="71"/>
      <c r="N849" s="70"/>
    </row>
    <row r="850" spans="1:14" x14ac:dyDescent="0.2">
      <c r="A850" s="292"/>
      <c r="C850" s="189"/>
      <c r="E850" s="190"/>
      <c r="G850" s="70"/>
      <c r="H850" s="70"/>
      <c r="J850" s="70"/>
      <c r="L850" s="71"/>
      <c r="N850" s="70"/>
    </row>
    <row r="851" spans="1:14" x14ac:dyDescent="0.2">
      <c r="A851" s="292"/>
      <c r="C851" s="189"/>
      <c r="E851" s="190"/>
      <c r="G851" s="70"/>
      <c r="H851" s="70"/>
      <c r="J851" s="70"/>
      <c r="L851" s="71"/>
      <c r="N851" s="70"/>
    </row>
    <row r="852" spans="1:14" x14ac:dyDescent="0.2">
      <c r="A852" s="292"/>
      <c r="C852" s="189"/>
      <c r="E852" s="190"/>
      <c r="G852" s="70"/>
      <c r="H852" s="70"/>
      <c r="J852" s="70"/>
      <c r="L852" s="71"/>
      <c r="N852" s="70"/>
    </row>
    <row r="853" spans="1:14" x14ac:dyDescent="0.2">
      <c r="A853" s="292"/>
      <c r="C853" s="189"/>
      <c r="E853" s="190"/>
      <c r="G853" s="70"/>
      <c r="H853" s="70"/>
      <c r="J853" s="70"/>
      <c r="L853" s="71"/>
      <c r="N853" s="70"/>
    </row>
    <row r="854" spans="1:14" x14ac:dyDescent="0.2">
      <c r="A854" s="292"/>
      <c r="C854" s="189"/>
      <c r="E854" s="190"/>
      <c r="G854" s="70"/>
      <c r="H854" s="70"/>
      <c r="J854" s="70"/>
      <c r="L854" s="71"/>
      <c r="N854" s="70"/>
    </row>
    <row r="855" spans="1:14" x14ac:dyDescent="0.2">
      <c r="A855" s="292"/>
      <c r="C855" s="189"/>
      <c r="E855" s="190"/>
      <c r="G855" s="70"/>
      <c r="H855" s="70"/>
      <c r="J855" s="70"/>
      <c r="L855" s="71"/>
      <c r="N855" s="70"/>
    </row>
    <row r="856" spans="1:14" x14ac:dyDescent="0.2">
      <c r="A856" s="292"/>
      <c r="C856" s="189"/>
      <c r="E856" s="190"/>
      <c r="G856" s="70"/>
      <c r="H856" s="70"/>
      <c r="J856" s="70"/>
      <c r="L856" s="71"/>
      <c r="N856" s="70"/>
    </row>
    <row r="857" spans="1:14" x14ac:dyDescent="0.2">
      <c r="A857" s="292"/>
      <c r="C857" s="189"/>
      <c r="E857" s="190"/>
      <c r="G857" s="70"/>
      <c r="H857" s="70"/>
      <c r="J857" s="70"/>
      <c r="L857" s="71"/>
      <c r="N857" s="70"/>
    </row>
    <row r="858" spans="1:14" x14ac:dyDescent="0.2">
      <c r="A858" s="292"/>
      <c r="C858" s="189"/>
      <c r="E858" s="190"/>
      <c r="G858" s="70"/>
      <c r="H858" s="70"/>
      <c r="J858" s="70"/>
      <c r="L858" s="71"/>
      <c r="N858" s="70"/>
    </row>
    <row r="859" spans="1:14" x14ac:dyDescent="0.2">
      <c r="A859" s="292"/>
      <c r="C859" s="189"/>
      <c r="E859" s="190"/>
      <c r="G859" s="70"/>
      <c r="H859" s="70"/>
      <c r="J859" s="70"/>
      <c r="L859" s="71"/>
      <c r="N859" s="70"/>
    </row>
    <row r="860" spans="1:14" x14ac:dyDescent="0.2">
      <c r="A860" s="292"/>
      <c r="C860" s="189"/>
      <c r="E860" s="190"/>
      <c r="G860" s="70"/>
      <c r="H860" s="70"/>
      <c r="J860" s="70"/>
      <c r="L860" s="71"/>
      <c r="N860" s="70"/>
    </row>
    <row r="861" spans="1:14" x14ac:dyDescent="0.2">
      <c r="A861" s="292"/>
      <c r="C861" s="189"/>
      <c r="E861" s="190"/>
      <c r="G861" s="70"/>
      <c r="H861" s="70"/>
      <c r="J861" s="70"/>
      <c r="L861" s="71"/>
      <c r="N861" s="70"/>
    </row>
    <row r="862" spans="1:14" x14ac:dyDescent="0.2">
      <c r="A862" s="292"/>
      <c r="C862" s="189"/>
      <c r="E862" s="190"/>
      <c r="G862" s="70"/>
      <c r="H862" s="70"/>
      <c r="J862" s="70"/>
      <c r="L862" s="71"/>
      <c r="N862" s="70"/>
    </row>
    <row r="863" spans="1:14" x14ac:dyDescent="0.2">
      <c r="A863" s="292"/>
      <c r="C863" s="189"/>
      <c r="E863" s="190"/>
      <c r="G863" s="70"/>
      <c r="H863" s="70"/>
      <c r="J863" s="70"/>
      <c r="L863" s="71"/>
      <c r="N863" s="70"/>
    </row>
    <row r="864" spans="1:14" x14ac:dyDescent="0.2">
      <c r="A864" s="292"/>
      <c r="C864" s="189"/>
      <c r="E864" s="190"/>
      <c r="G864" s="70"/>
      <c r="H864" s="70"/>
      <c r="J864" s="70"/>
      <c r="L864" s="71"/>
      <c r="N864" s="70"/>
    </row>
    <row r="865" spans="1:14" x14ac:dyDescent="0.2">
      <c r="A865" s="292"/>
      <c r="C865" s="189"/>
      <c r="E865" s="190"/>
      <c r="G865" s="70"/>
      <c r="H865" s="70"/>
      <c r="J865" s="70"/>
      <c r="L865" s="71"/>
      <c r="N865" s="70"/>
    </row>
    <row r="866" spans="1:14" x14ac:dyDescent="0.2">
      <c r="A866" s="292"/>
      <c r="C866" s="189"/>
      <c r="E866" s="190"/>
      <c r="G866" s="70"/>
      <c r="H866" s="70"/>
      <c r="J866" s="70"/>
      <c r="L866" s="71"/>
      <c r="N866" s="70"/>
    </row>
    <row r="867" spans="1:14" x14ac:dyDescent="0.2">
      <c r="A867" s="292"/>
      <c r="C867" s="189"/>
      <c r="E867" s="190"/>
      <c r="G867" s="70"/>
      <c r="H867" s="70"/>
      <c r="J867" s="70"/>
      <c r="L867" s="71"/>
      <c r="N867" s="70"/>
    </row>
    <row r="868" spans="1:14" x14ac:dyDescent="0.2">
      <c r="A868" s="292"/>
      <c r="C868" s="189"/>
      <c r="E868" s="190"/>
      <c r="G868" s="70"/>
      <c r="H868" s="70"/>
      <c r="J868" s="70"/>
      <c r="L868" s="71"/>
      <c r="N868" s="70"/>
    </row>
    <row r="869" spans="1:14" x14ac:dyDescent="0.2">
      <c r="A869" s="292"/>
      <c r="C869" s="189"/>
      <c r="E869" s="190"/>
      <c r="G869" s="70"/>
      <c r="H869" s="70"/>
      <c r="J869" s="70"/>
      <c r="L869" s="71"/>
      <c r="N869" s="70"/>
    </row>
    <row r="870" spans="1:14" x14ac:dyDescent="0.2">
      <c r="A870" s="292"/>
      <c r="C870" s="189"/>
      <c r="E870" s="190"/>
      <c r="G870" s="70"/>
      <c r="H870" s="70"/>
      <c r="J870" s="70"/>
      <c r="L870" s="71"/>
      <c r="N870" s="70"/>
    </row>
    <row r="871" spans="1:14" x14ac:dyDescent="0.2">
      <c r="A871" s="292"/>
      <c r="C871" s="189"/>
      <c r="E871" s="190"/>
      <c r="G871" s="70"/>
      <c r="H871" s="70"/>
      <c r="J871" s="70"/>
      <c r="L871" s="71"/>
      <c r="N871" s="70"/>
    </row>
    <row r="872" spans="1:14" x14ac:dyDescent="0.2">
      <c r="A872" s="292"/>
      <c r="C872" s="189"/>
      <c r="E872" s="190"/>
      <c r="G872" s="70"/>
      <c r="H872" s="70"/>
      <c r="J872" s="70"/>
      <c r="L872" s="71"/>
      <c r="N872" s="70"/>
    </row>
    <row r="873" spans="1:14" x14ac:dyDescent="0.2">
      <c r="A873" s="292"/>
      <c r="C873" s="189"/>
      <c r="E873" s="190"/>
      <c r="G873" s="70"/>
      <c r="H873" s="70"/>
      <c r="J873" s="70"/>
      <c r="L873" s="71"/>
      <c r="N873" s="70"/>
    </row>
    <row r="874" spans="1:14" x14ac:dyDescent="0.2">
      <c r="A874" s="292"/>
      <c r="C874" s="189"/>
      <c r="E874" s="190"/>
      <c r="G874" s="70"/>
      <c r="H874" s="70"/>
      <c r="J874" s="70"/>
      <c r="L874" s="71"/>
      <c r="N874" s="70"/>
    </row>
    <row r="875" spans="1:14" x14ac:dyDescent="0.2">
      <c r="A875" s="292"/>
      <c r="C875" s="189"/>
      <c r="E875" s="190"/>
      <c r="G875" s="70"/>
      <c r="H875" s="70"/>
      <c r="J875" s="70"/>
      <c r="L875" s="71"/>
      <c r="N875" s="70"/>
    </row>
    <row r="876" spans="1:14" x14ac:dyDescent="0.2">
      <c r="A876" s="292"/>
      <c r="C876" s="189"/>
      <c r="E876" s="190"/>
      <c r="G876" s="70"/>
      <c r="H876" s="70"/>
      <c r="J876" s="70"/>
      <c r="L876" s="71"/>
      <c r="N876" s="70"/>
    </row>
    <row r="877" spans="1:14" x14ac:dyDescent="0.2">
      <c r="A877" s="292"/>
      <c r="C877" s="189"/>
      <c r="E877" s="190"/>
      <c r="G877" s="70"/>
      <c r="H877" s="70"/>
      <c r="J877" s="70"/>
      <c r="L877" s="71"/>
      <c r="N877" s="70"/>
    </row>
    <row r="878" spans="1:14" x14ac:dyDescent="0.2">
      <c r="A878" s="292"/>
      <c r="C878" s="189"/>
      <c r="E878" s="190"/>
      <c r="G878" s="70"/>
      <c r="H878" s="70"/>
      <c r="J878" s="70"/>
      <c r="L878" s="71"/>
      <c r="N878" s="70"/>
    </row>
    <row r="879" spans="1:14" x14ac:dyDescent="0.2">
      <c r="A879" s="292"/>
      <c r="C879" s="189"/>
      <c r="E879" s="190"/>
      <c r="G879" s="70"/>
      <c r="H879" s="70"/>
      <c r="J879" s="70"/>
      <c r="L879" s="71"/>
      <c r="N879" s="70"/>
    </row>
    <row r="880" spans="1:14" x14ac:dyDescent="0.2">
      <c r="A880" s="292"/>
      <c r="C880" s="189"/>
      <c r="E880" s="190"/>
      <c r="G880" s="70"/>
      <c r="H880" s="70"/>
      <c r="J880" s="70"/>
      <c r="L880" s="71"/>
      <c r="N880" s="70"/>
    </row>
    <row r="881" spans="1:14" x14ac:dyDescent="0.2">
      <c r="A881" s="292"/>
      <c r="C881" s="189"/>
      <c r="E881" s="190"/>
      <c r="G881" s="70"/>
      <c r="H881" s="70"/>
      <c r="J881" s="70"/>
      <c r="L881" s="71"/>
      <c r="N881" s="70"/>
    </row>
    <row r="882" spans="1:14" x14ac:dyDescent="0.2">
      <c r="A882" s="292"/>
      <c r="C882" s="189"/>
      <c r="E882" s="190"/>
      <c r="G882" s="70"/>
      <c r="H882" s="70"/>
      <c r="J882" s="70"/>
      <c r="L882" s="71"/>
      <c r="N882" s="70"/>
    </row>
    <row r="883" spans="1:14" x14ac:dyDescent="0.2">
      <c r="A883" s="292"/>
      <c r="C883" s="189"/>
      <c r="E883" s="190"/>
      <c r="G883" s="70"/>
      <c r="H883" s="70"/>
      <c r="J883" s="70"/>
      <c r="L883" s="71"/>
      <c r="N883" s="70"/>
    </row>
    <row r="884" spans="1:14" x14ac:dyDescent="0.2">
      <c r="A884" s="292"/>
      <c r="C884" s="189"/>
      <c r="E884" s="190"/>
      <c r="G884" s="70"/>
      <c r="H884" s="70"/>
      <c r="J884" s="70"/>
      <c r="L884" s="71"/>
      <c r="N884" s="70"/>
    </row>
    <row r="885" spans="1:14" x14ac:dyDescent="0.2">
      <c r="A885" s="292"/>
      <c r="C885" s="189"/>
      <c r="E885" s="190"/>
      <c r="G885" s="70"/>
      <c r="H885" s="70"/>
      <c r="J885" s="70"/>
      <c r="L885" s="71"/>
      <c r="N885" s="70"/>
    </row>
    <row r="886" spans="1:14" x14ac:dyDescent="0.2">
      <c r="A886" s="292"/>
      <c r="C886" s="189"/>
      <c r="E886" s="190"/>
      <c r="G886" s="70"/>
      <c r="H886" s="70"/>
      <c r="J886" s="70"/>
      <c r="L886" s="71"/>
      <c r="N886" s="70"/>
    </row>
    <row r="887" spans="1:14" x14ac:dyDescent="0.2">
      <c r="A887" s="292"/>
      <c r="C887" s="189"/>
      <c r="E887" s="190"/>
      <c r="G887" s="70"/>
      <c r="H887" s="70"/>
      <c r="J887" s="70"/>
      <c r="L887" s="71"/>
      <c r="N887" s="70"/>
    </row>
    <row r="888" spans="1:14" x14ac:dyDescent="0.2">
      <c r="A888" s="292"/>
      <c r="C888" s="189"/>
      <c r="E888" s="190"/>
      <c r="G888" s="70"/>
      <c r="H888" s="70"/>
      <c r="J888" s="70"/>
      <c r="L888" s="71"/>
      <c r="N888" s="70"/>
    </row>
    <row r="889" spans="1:14" x14ac:dyDescent="0.2">
      <c r="A889" s="292"/>
      <c r="C889" s="189"/>
      <c r="E889" s="190"/>
      <c r="G889" s="70"/>
      <c r="H889" s="70"/>
      <c r="J889" s="70"/>
      <c r="L889" s="71"/>
      <c r="N889" s="70"/>
    </row>
    <row r="890" spans="1:14" x14ac:dyDescent="0.2">
      <c r="A890" s="292"/>
      <c r="C890" s="189"/>
      <c r="E890" s="190"/>
      <c r="G890" s="70"/>
      <c r="H890" s="70"/>
      <c r="J890" s="70"/>
      <c r="L890" s="71"/>
      <c r="N890" s="70"/>
    </row>
    <row r="891" spans="1:14" x14ac:dyDescent="0.2">
      <c r="A891" s="292"/>
      <c r="C891" s="189"/>
      <c r="E891" s="190"/>
      <c r="G891" s="70"/>
      <c r="H891" s="70"/>
      <c r="J891" s="70"/>
      <c r="L891" s="71"/>
      <c r="N891" s="70"/>
    </row>
    <row r="892" spans="1:14" x14ac:dyDescent="0.2">
      <c r="A892" s="292"/>
      <c r="C892" s="189"/>
      <c r="E892" s="190"/>
      <c r="G892" s="70"/>
      <c r="H892" s="70"/>
      <c r="J892" s="70"/>
      <c r="L892" s="71"/>
      <c r="N892" s="70"/>
    </row>
    <row r="893" spans="1:14" x14ac:dyDescent="0.2">
      <c r="A893" s="292"/>
      <c r="C893" s="189"/>
      <c r="E893" s="190"/>
      <c r="G893" s="70"/>
      <c r="H893" s="70"/>
      <c r="J893" s="70"/>
      <c r="L893" s="71"/>
      <c r="N893" s="70"/>
    </row>
    <row r="894" spans="1:14" x14ac:dyDescent="0.2">
      <c r="A894" s="292"/>
      <c r="C894" s="189"/>
      <c r="E894" s="190"/>
      <c r="G894" s="70"/>
      <c r="H894" s="70"/>
      <c r="J894" s="70"/>
      <c r="L894" s="71"/>
      <c r="N894" s="70"/>
    </row>
    <row r="895" spans="1:14" x14ac:dyDescent="0.2">
      <c r="A895" s="292"/>
      <c r="C895" s="189"/>
      <c r="E895" s="190"/>
      <c r="G895" s="70"/>
      <c r="H895" s="70"/>
      <c r="J895" s="70"/>
      <c r="L895" s="71"/>
      <c r="N895" s="70"/>
    </row>
    <row r="896" spans="1:14" x14ac:dyDescent="0.2">
      <c r="A896" s="292"/>
      <c r="C896" s="189"/>
      <c r="E896" s="190"/>
      <c r="G896" s="70"/>
      <c r="H896" s="70"/>
      <c r="J896" s="70"/>
      <c r="L896" s="71"/>
      <c r="N896" s="70"/>
    </row>
    <row r="897" spans="1:14" x14ac:dyDescent="0.2">
      <c r="A897" s="292"/>
      <c r="C897" s="189"/>
      <c r="E897" s="190"/>
      <c r="G897" s="70"/>
      <c r="H897" s="70"/>
      <c r="J897" s="70"/>
      <c r="L897" s="71"/>
      <c r="N897" s="70"/>
    </row>
    <row r="898" spans="1:14" x14ac:dyDescent="0.2">
      <c r="A898" s="292"/>
      <c r="C898" s="189"/>
      <c r="E898" s="190"/>
      <c r="G898" s="70"/>
      <c r="H898" s="70"/>
      <c r="J898" s="70"/>
      <c r="L898" s="71"/>
      <c r="N898" s="70"/>
    </row>
    <row r="899" spans="1:14" x14ac:dyDescent="0.2">
      <c r="A899" s="292"/>
      <c r="C899" s="189"/>
      <c r="E899" s="190"/>
      <c r="G899" s="70"/>
      <c r="H899" s="70"/>
      <c r="J899" s="70"/>
      <c r="L899" s="71"/>
      <c r="N899" s="70"/>
    </row>
    <row r="900" spans="1:14" x14ac:dyDescent="0.2">
      <c r="A900" s="292"/>
      <c r="C900" s="189"/>
      <c r="E900" s="190"/>
      <c r="G900" s="70"/>
      <c r="H900" s="70"/>
      <c r="J900" s="70"/>
      <c r="L900" s="71"/>
      <c r="N900" s="70"/>
    </row>
    <row r="901" spans="1:14" x14ac:dyDescent="0.2">
      <c r="A901" s="292"/>
      <c r="C901" s="189"/>
      <c r="E901" s="190"/>
      <c r="G901" s="70"/>
      <c r="H901" s="70"/>
      <c r="J901" s="70"/>
      <c r="L901" s="71"/>
      <c r="N901" s="70"/>
    </row>
    <row r="902" spans="1:14" x14ac:dyDescent="0.2">
      <c r="A902" s="292"/>
      <c r="C902" s="189"/>
      <c r="E902" s="190"/>
      <c r="G902" s="70"/>
      <c r="H902" s="70"/>
      <c r="J902" s="70"/>
      <c r="L902" s="71"/>
      <c r="N902" s="70"/>
    </row>
    <row r="903" spans="1:14" x14ac:dyDescent="0.2">
      <c r="A903" s="292"/>
      <c r="C903" s="189"/>
      <c r="E903" s="190"/>
      <c r="G903" s="70"/>
      <c r="H903" s="70"/>
      <c r="J903" s="70"/>
      <c r="L903" s="71"/>
      <c r="N903" s="70"/>
    </row>
    <row r="904" spans="1:14" x14ac:dyDescent="0.2">
      <c r="A904" s="292"/>
      <c r="C904" s="189"/>
      <c r="E904" s="190"/>
      <c r="G904" s="70"/>
      <c r="H904" s="70"/>
      <c r="J904" s="70"/>
      <c r="L904" s="71"/>
      <c r="N904" s="70"/>
    </row>
    <row r="905" spans="1:14" x14ac:dyDescent="0.2">
      <c r="A905" s="292"/>
      <c r="C905" s="189"/>
      <c r="E905" s="190"/>
      <c r="G905" s="70"/>
      <c r="H905" s="70"/>
      <c r="J905" s="70"/>
      <c r="L905" s="71"/>
      <c r="N905" s="70"/>
    </row>
    <row r="906" spans="1:14" x14ac:dyDescent="0.2">
      <c r="A906" s="292"/>
      <c r="C906" s="189"/>
      <c r="E906" s="190"/>
      <c r="G906" s="70"/>
      <c r="H906" s="70"/>
      <c r="J906" s="70"/>
      <c r="L906" s="71"/>
      <c r="N906" s="70"/>
    </row>
    <row r="907" spans="1:14" x14ac:dyDescent="0.2">
      <c r="A907" s="292"/>
      <c r="C907" s="189"/>
      <c r="E907" s="190"/>
      <c r="G907" s="70"/>
      <c r="H907" s="70"/>
      <c r="J907" s="70"/>
      <c r="L907" s="71"/>
      <c r="N907" s="70"/>
    </row>
    <row r="908" spans="1:14" x14ac:dyDescent="0.2">
      <c r="A908" s="292"/>
      <c r="C908" s="189"/>
      <c r="E908" s="190"/>
      <c r="G908" s="70"/>
      <c r="H908" s="70"/>
      <c r="J908" s="70"/>
      <c r="L908" s="71"/>
      <c r="N908" s="70"/>
    </row>
    <row r="909" spans="1:14" x14ac:dyDescent="0.2">
      <c r="A909" s="292"/>
      <c r="C909" s="189"/>
      <c r="E909" s="190"/>
      <c r="G909" s="70"/>
      <c r="H909" s="70"/>
      <c r="J909" s="70"/>
      <c r="L909" s="71"/>
      <c r="N909" s="70"/>
    </row>
    <row r="910" spans="1:14" x14ac:dyDescent="0.2">
      <c r="A910" s="292"/>
      <c r="C910" s="189"/>
      <c r="E910" s="190"/>
      <c r="G910" s="70"/>
      <c r="H910" s="70"/>
      <c r="J910" s="70"/>
      <c r="L910" s="71"/>
      <c r="N910" s="70"/>
    </row>
    <row r="911" spans="1:14" x14ac:dyDescent="0.2">
      <c r="A911" s="292"/>
      <c r="C911" s="189"/>
      <c r="E911" s="190"/>
      <c r="G911" s="70"/>
      <c r="H911" s="70"/>
      <c r="J911" s="70"/>
      <c r="L911" s="71"/>
      <c r="N911" s="70"/>
    </row>
    <row r="912" spans="1:14" x14ac:dyDescent="0.2">
      <c r="A912" s="292"/>
      <c r="C912" s="189"/>
      <c r="E912" s="190"/>
      <c r="G912" s="70"/>
      <c r="H912" s="70"/>
      <c r="J912" s="70"/>
      <c r="L912" s="71"/>
      <c r="N912" s="70"/>
    </row>
    <row r="913" spans="1:14" x14ac:dyDescent="0.2">
      <c r="A913" s="292"/>
      <c r="C913" s="189"/>
      <c r="E913" s="190"/>
      <c r="G913" s="70"/>
      <c r="H913" s="70"/>
      <c r="J913" s="70"/>
      <c r="L913" s="71"/>
      <c r="N913" s="70"/>
    </row>
    <row r="914" spans="1:14" x14ac:dyDescent="0.2">
      <c r="A914" s="292"/>
      <c r="C914" s="189"/>
      <c r="E914" s="190"/>
      <c r="G914" s="70"/>
      <c r="H914" s="70"/>
      <c r="J914" s="70"/>
      <c r="L914" s="71"/>
      <c r="N914" s="70"/>
    </row>
    <row r="915" spans="1:14" x14ac:dyDescent="0.2">
      <c r="A915" s="292"/>
      <c r="C915" s="189"/>
      <c r="E915" s="190"/>
      <c r="G915" s="70"/>
      <c r="H915" s="70"/>
      <c r="J915" s="70"/>
      <c r="L915" s="71"/>
      <c r="N915" s="70"/>
    </row>
    <row r="916" spans="1:14" x14ac:dyDescent="0.2">
      <c r="A916" s="292"/>
      <c r="C916" s="189"/>
      <c r="E916" s="190"/>
      <c r="G916" s="70"/>
      <c r="H916" s="70"/>
      <c r="J916" s="70"/>
      <c r="L916" s="71"/>
      <c r="N916" s="70"/>
    </row>
    <row r="917" spans="1:14" x14ac:dyDescent="0.2">
      <c r="A917" s="292"/>
      <c r="C917" s="189"/>
      <c r="E917" s="190"/>
      <c r="G917" s="70"/>
      <c r="H917" s="70"/>
      <c r="J917" s="70"/>
      <c r="L917" s="71"/>
      <c r="N917" s="70"/>
    </row>
    <row r="918" spans="1:14" x14ac:dyDescent="0.2">
      <c r="A918" s="292"/>
      <c r="C918" s="189"/>
      <c r="E918" s="190"/>
      <c r="G918" s="70"/>
      <c r="H918" s="70"/>
      <c r="J918" s="70"/>
      <c r="L918" s="71"/>
      <c r="N918" s="70"/>
    </row>
    <row r="919" spans="1:14" x14ac:dyDescent="0.2">
      <c r="A919" s="292"/>
      <c r="C919" s="189"/>
      <c r="E919" s="190"/>
      <c r="G919" s="70"/>
      <c r="H919" s="70"/>
      <c r="J919" s="70"/>
      <c r="L919" s="71"/>
      <c r="N919" s="70"/>
    </row>
    <row r="920" spans="1:14" x14ac:dyDescent="0.2">
      <c r="A920" s="292"/>
      <c r="C920" s="189"/>
      <c r="E920" s="190"/>
      <c r="G920" s="70"/>
      <c r="H920" s="70"/>
      <c r="J920" s="70"/>
      <c r="L920" s="71"/>
      <c r="N920" s="70"/>
    </row>
    <row r="921" spans="1:14" x14ac:dyDescent="0.2">
      <c r="A921" s="292"/>
      <c r="C921" s="189"/>
      <c r="E921" s="190"/>
      <c r="G921" s="70"/>
      <c r="H921" s="70"/>
      <c r="J921" s="70"/>
      <c r="L921" s="71"/>
      <c r="N921" s="70"/>
    </row>
    <row r="922" spans="1:14" x14ac:dyDescent="0.2">
      <c r="A922" s="292"/>
      <c r="C922" s="189"/>
      <c r="E922" s="190"/>
      <c r="G922" s="70"/>
      <c r="H922" s="70"/>
      <c r="J922" s="70"/>
      <c r="L922" s="71"/>
      <c r="N922" s="70"/>
    </row>
    <row r="923" spans="1:14" x14ac:dyDescent="0.2">
      <c r="A923" s="292"/>
      <c r="C923" s="189"/>
      <c r="E923" s="190"/>
      <c r="G923" s="70"/>
      <c r="H923" s="70"/>
      <c r="J923" s="70"/>
      <c r="L923" s="71"/>
      <c r="N923" s="70"/>
    </row>
    <row r="924" spans="1:14" x14ac:dyDescent="0.2">
      <c r="A924" s="292"/>
      <c r="C924" s="189"/>
      <c r="E924" s="190"/>
      <c r="G924" s="70"/>
      <c r="H924" s="70"/>
      <c r="J924" s="70"/>
      <c r="L924" s="71"/>
      <c r="N924" s="70"/>
    </row>
    <row r="925" spans="1:14" x14ac:dyDescent="0.2">
      <c r="A925" s="292"/>
      <c r="C925" s="189"/>
      <c r="E925" s="190"/>
      <c r="G925" s="70"/>
      <c r="H925" s="70"/>
      <c r="J925" s="70"/>
      <c r="L925" s="71"/>
      <c r="N925" s="70"/>
    </row>
    <row r="926" spans="1:14" x14ac:dyDescent="0.2">
      <c r="A926" s="292"/>
      <c r="C926" s="189"/>
      <c r="E926" s="190"/>
      <c r="G926" s="70"/>
      <c r="H926" s="70"/>
      <c r="J926" s="70"/>
      <c r="L926" s="71"/>
      <c r="N926" s="70"/>
    </row>
    <row r="927" spans="1:14" x14ac:dyDescent="0.2">
      <c r="A927" s="292"/>
      <c r="C927" s="189"/>
      <c r="E927" s="190"/>
      <c r="G927" s="70"/>
      <c r="H927" s="70"/>
      <c r="J927" s="70"/>
      <c r="L927" s="71"/>
      <c r="N927" s="70"/>
    </row>
    <row r="928" spans="1:14" x14ac:dyDescent="0.2">
      <c r="A928" s="292"/>
      <c r="C928" s="189"/>
      <c r="E928" s="190"/>
      <c r="G928" s="70"/>
      <c r="H928" s="70"/>
      <c r="J928" s="70"/>
      <c r="L928" s="71"/>
      <c r="N928" s="70"/>
    </row>
    <row r="929" spans="1:14" x14ac:dyDescent="0.2">
      <c r="A929" s="292"/>
      <c r="C929" s="189"/>
      <c r="E929" s="190"/>
      <c r="G929" s="70"/>
      <c r="H929" s="70"/>
      <c r="J929" s="70"/>
      <c r="L929" s="71"/>
      <c r="N929" s="70"/>
    </row>
    <row r="930" spans="1:14" x14ac:dyDescent="0.2">
      <c r="A930" s="292"/>
      <c r="C930" s="189"/>
      <c r="E930" s="190"/>
      <c r="G930" s="70"/>
      <c r="H930" s="70"/>
      <c r="J930" s="70"/>
      <c r="L930" s="71"/>
      <c r="N930" s="70"/>
    </row>
    <row r="931" spans="1:14" x14ac:dyDescent="0.2">
      <c r="A931" s="292"/>
      <c r="C931" s="189"/>
      <c r="E931" s="190"/>
      <c r="G931" s="70"/>
      <c r="H931" s="70"/>
      <c r="J931" s="70"/>
      <c r="L931" s="71"/>
      <c r="N931" s="70"/>
    </row>
    <row r="932" spans="1:14" x14ac:dyDescent="0.2">
      <c r="A932" s="292"/>
      <c r="C932" s="189"/>
      <c r="E932" s="190"/>
      <c r="G932" s="70"/>
      <c r="H932" s="70"/>
      <c r="J932" s="70"/>
      <c r="L932" s="71"/>
      <c r="N932" s="70"/>
    </row>
    <row r="933" spans="1:14" x14ac:dyDescent="0.2">
      <c r="A933" s="292"/>
      <c r="C933" s="189"/>
      <c r="E933" s="190"/>
      <c r="G933" s="70"/>
      <c r="H933" s="70"/>
      <c r="J933" s="70"/>
      <c r="L933" s="71"/>
      <c r="N933" s="70"/>
    </row>
    <row r="934" spans="1:14" x14ac:dyDescent="0.2">
      <c r="A934" s="292"/>
      <c r="C934" s="189"/>
      <c r="E934" s="190"/>
      <c r="G934" s="70"/>
      <c r="H934" s="70"/>
      <c r="J934" s="70"/>
      <c r="L934" s="71"/>
      <c r="N934" s="70"/>
    </row>
    <row r="935" spans="1:14" x14ac:dyDescent="0.2">
      <c r="A935" s="292"/>
      <c r="C935" s="189"/>
      <c r="E935" s="190"/>
      <c r="G935" s="70"/>
      <c r="H935" s="70"/>
      <c r="J935" s="70"/>
      <c r="L935" s="71"/>
      <c r="N935" s="70"/>
    </row>
    <row r="936" spans="1:14" x14ac:dyDescent="0.2">
      <c r="A936" s="292"/>
      <c r="C936" s="189"/>
      <c r="E936" s="190"/>
      <c r="G936" s="70"/>
      <c r="H936" s="70"/>
      <c r="J936" s="70"/>
      <c r="L936" s="71"/>
      <c r="N936" s="70"/>
    </row>
    <row r="937" spans="1:14" x14ac:dyDescent="0.2">
      <c r="A937" s="292"/>
      <c r="C937" s="189"/>
      <c r="E937" s="190"/>
      <c r="G937" s="70"/>
      <c r="H937" s="70"/>
      <c r="J937" s="70"/>
      <c r="L937" s="71"/>
      <c r="N937" s="70"/>
    </row>
    <row r="938" spans="1:14" x14ac:dyDescent="0.2">
      <c r="A938" s="292"/>
      <c r="C938" s="189"/>
      <c r="E938" s="190"/>
      <c r="G938" s="70"/>
      <c r="H938" s="70"/>
      <c r="J938" s="70"/>
      <c r="L938" s="71"/>
      <c r="N938" s="70"/>
    </row>
    <row r="939" spans="1:14" x14ac:dyDescent="0.2">
      <c r="A939" s="292"/>
      <c r="C939" s="189"/>
      <c r="E939" s="190"/>
      <c r="G939" s="70"/>
      <c r="H939" s="70"/>
      <c r="J939" s="70"/>
      <c r="L939" s="71"/>
      <c r="N939" s="70"/>
    </row>
    <row r="940" spans="1:14" x14ac:dyDescent="0.2">
      <c r="A940" s="292"/>
      <c r="C940" s="189"/>
      <c r="E940" s="190"/>
      <c r="G940" s="70"/>
      <c r="H940" s="70"/>
      <c r="J940" s="70"/>
      <c r="L940" s="71"/>
      <c r="N940" s="70"/>
    </row>
    <row r="941" spans="1:14" x14ac:dyDescent="0.2">
      <c r="A941" s="292"/>
      <c r="C941" s="189"/>
      <c r="E941" s="190"/>
      <c r="G941" s="70"/>
      <c r="H941" s="70"/>
      <c r="J941" s="70"/>
      <c r="L941" s="71"/>
      <c r="N941" s="70"/>
    </row>
    <row r="942" spans="1:14" x14ac:dyDescent="0.2">
      <c r="A942" s="292"/>
      <c r="C942" s="189"/>
      <c r="E942" s="190"/>
      <c r="G942" s="70"/>
      <c r="H942" s="70"/>
      <c r="J942" s="70"/>
      <c r="L942" s="71"/>
      <c r="N942" s="70"/>
    </row>
    <row r="943" spans="1:14" x14ac:dyDescent="0.2">
      <c r="A943" s="292"/>
      <c r="C943" s="189"/>
      <c r="E943" s="190"/>
      <c r="G943" s="70"/>
      <c r="H943" s="70"/>
      <c r="J943" s="70"/>
      <c r="L943" s="71"/>
      <c r="N943" s="70"/>
    </row>
    <row r="944" spans="1:14" x14ac:dyDescent="0.2">
      <c r="A944" s="292"/>
      <c r="C944" s="189"/>
      <c r="E944" s="190"/>
      <c r="G944" s="70"/>
      <c r="H944" s="70"/>
      <c r="J944" s="70"/>
      <c r="L944" s="71"/>
      <c r="N944" s="70"/>
    </row>
    <row r="945" spans="1:14" x14ac:dyDescent="0.2">
      <c r="A945" s="292"/>
      <c r="C945" s="189"/>
      <c r="E945" s="190"/>
      <c r="G945" s="70"/>
      <c r="H945" s="70"/>
      <c r="J945" s="70"/>
      <c r="L945" s="71"/>
      <c r="N945" s="70"/>
    </row>
    <row r="946" spans="1:14" x14ac:dyDescent="0.2">
      <c r="A946" s="292"/>
      <c r="C946" s="189"/>
      <c r="E946" s="190"/>
      <c r="G946" s="70"/>
      <c r="H946" s="70"/>
      <c r="J946" s="70"/>
      <c r="L946" s="71"/>
      <c r="N946" s="70"/>
    </row>
    <row r="947" spans="1:14" x14ac:dyDescent="0.2">
      <c r="A947" s="292"/>
      <c r="C947" s="189"/>
      <c r="E947" s="190"/>
      <c r="G947" s="70"/>
      <c r="H947" s="70"/>
      <c r="J947" s="70"/>
      <c r="L947" s="71"/>
      <c r="N947" s="70"/>
    </row>
    <row r="948" spans="1:14" x14ac:dyDescent="0.2">
      <c r="A948" s="292"/>
      <c r="C948" s="189"/>
      <c r="E948" s="190"/>
      <c r="G948" s="70"/>
      <c r="H948" s="70"/>
      <c r="J948" s="70"/>
      <c r="L948" s="71"/>
      <c r="N948" s="70"/>
    </row>
    <row r="949" spans="1:14" x14ac:dyDescent="0.2">
      <c r="A949" s="292"/>
      <c r="C949" s="189"/>
      <c r="E949" s="190"/>
      <c r="G949" s="70"/>
      <c r="H949" s="70"/>
      <c r="J949" s="70"/>
      <c r="L949" s="71"/>
      <c r="N949" s="70"/>
    </row>
    <row r="950" spans="1:14" x14ac:dyDescent="0.2">
      <c r="A950" s="292"/>
      <c r="C950" s="189"/>
      <c r="E950" s="190"/>
      <c r="G950" s="70"/>
      <c r="H950" s="70"/>
      <c r="J950" s="70"/>
      <c r="L950" s="71"/>
      <c r="N950" s="70"/>
    </row>
    <row r="951" spans="1:14" x14ac:dyDescent="0.2">
      <c r="A951" s="292"/>
      <c r="C951" s="189"/>
      <c r="E951" s="190"/>
      <c r="G951" s="70"/>
      <c r="H951" s="70"/>
      <c r="J951" s="70"/>
      <c r="L951" s="71"/>
      <c r="N951" s="70"/>
    </row>
    <row r="952" spans="1:14" x14ac:dyDescent="0.2">
      <c r="A952" s="292"/>
      <c r="C952" s="189"/>
      <c r="E952" s="190"/>
      <c r="G952" s="70"/>
      <c r="H952" s="70"/>
      <c r="J952" s="70"/>
      <c r="L952" s="71"/>
      <c r="N952" s="70"/>
    </row>
    <row r="953" spans="1:14" x14ac:dyDescent="0.2">
      <c r="A953" s="292"/>
      <c r="C953" s="189"/>
      <c r="E953" s="190"/>
      <c r="G953" s="70"/>
      <c r="H953" s="70"/>
      <c r="J953" s="70"/>
      <c r="L953" s="71"/>
      <c r="N953" s="70"/>
    </row>
    <row r="954" spans="1:14" x14ac:dyDescent="0.2">
      <c r="A954" s="292"/>
      <c r="C954" s="189"/>
      <c r="E954" s="190"/>
      <c r="G954" s="70"/>
      <c r="H954" s="70"/>
      <c r="J954" s="70"/>
      <c r="L954" s="71"/>
      <c r="N954" s="70"/>
    </row>
    <row r="955" spans="1:14" x14ac:dyDescent="0.2">
      <c r="A955" s="292"/>
      <c r="C955" s="189"/>
      <c r="E955" s="190"/>
      <c r="G955" s="70"/>
      <c r="H955" s="70"/>
      <c r="J955" s="70"/>
      <c r="L955" s="71"/>
      <c r="N955" s="70"/>
    </row>
    <row r="956" spans="1:14" x14ac:dyDescent="0.2">
      <c r="A956" s="292"/>
      <c r="C956" s="189"/>
      <c r="E956" s="190"/>
      <c r="G956" s="70"/>
      <c r="H956" s="70"/>
      <c r="J956" s="70"/>
      <c r="L956" s="71"/>
      <c r="N956" s="70"/>
    </row>
    <row r="957" spans="1:14" x14ac:dyDescent="0.2">
      <c r="A957" s="292"/>
      <c r="C957" s="189"/>
      <c r="E957" s="190"/>
      <c r="G957" s="70"/>
      <c r="H957" s="70"/>
      <c r="J957" s="70"/>
      <c r="L957" s="71"/>
      <c r="N957" s="70"/>
    </row>
    <row r="958" spans="1:14" x14ac:dyDescent="0.2">
      <c r="A958" s="292"/>
      <c r="C958" s="189"/>
      <c r="E958" s="190"/>
      <c r="G958" s="70"/>
      <c r="H958" s="70"/>
      <c r="J958" s="70"/>
      <c r="L958" s="71"/>
      <c r="N958" s="70"/>
    </row>
    <row r="959" spans="1:14" x14ac:dyDescent="0.2">
      <c r="A959" s="292"/>
      <c r="C959" s="189"/>
      <c r="E959" s="190"/>
      <c r="G959" s="70"/>
      <c r="H959" s="70"/>
      <c r="J959" s="70"/>
      <c r="L959" s="71"/>
      <c r="N959" s="70"/>
    </row>
    <row r="960" spans="1:14" x14ac:dyDescent="0.2">
      <c r="A960" s="292"/>
      <c r="C960" s="189"/>
      <c r="E960" s="190"/>
      <c r="G960" s="70"/>
      <c r="H960" s="70"/>
      <c r="J960" s="70"/>
      <c r="L960" s="71"/>
      <c r="N960" s="70"/>
    </row>
    <row r="961" spans="1:14" x14ac:dyDescent="0.2">
      <c r="A961" s="292"/>
      <c r="C961" s="189"/>
      <c r="E961" s="190"/>
      <c r="G961" s="70"/>
      <c r="H961" s="70"/>
      <c r="J961" s="70"/>
      <c r="L961" s="71"/>
      <c r="N961" s="70"/>
    </row>
    <row r="962" spans="1:14" x14ac:dyDescent="0.2">
      <c r="A962" s="292"/>
      <c r="C962" s="189"/>
      <c r="E962" s="190"/>
      <c r="G962" s="70"/>
      <c r="H962" s="70"/>
      <c r="J962" s="70"/>
      <c r="L962" s="71"/>
      <c r="N962" s="70"/>
    </row>
    <row r="963" spans="1:14" x14ac:dyDescent="0.2">
      <c r="A963" s="292"/>
      <c r="C963" s="189"/>
      <c r="E963" s="190"/>
      <c r="G963" s="70"/>
      <c r="H963" s="70"/>
      <c r="J963" s="70"/>
      <c r="L963" s="71"/>
      <c r="N963" s="70"/>
    </row>
    <row r="964" spans="1:14" x14ac:dyDescent="0.2">
      <c r="A964" s="292"/>
      <c r="C964" s="189"/>
      <c r="E964" s="190"/>
      <c r="G964" s="70"/>
      <c r="H964" s="70"/>
      <c r="J964" s="70"/>
      <c r="L964" s="71"/>
      <c r="N964" s="70"/>
    </row>
    <row r="965" spans="1:14" x14ac:dyDescent="0.2">
      <c r="A965" s="292"/>
      <c r="C965" s="189"/>
      <c r="E965" s="190"/>
      <c r="G965" s="70"/>
      <c r="H965" s="70"/>
      <c r="J965" s="70"/>
      <c r="L965" s="71"/>
      <c r="N965" s="70"/>
    </row>
    <row r="966" spans="1:14" x14ac:dyDescent="0.2">
      <c r="A966" s="292"/>
      <c r="C966" s="189"/>
      <c r="E966" s="190"/>
      <c r="G966" s="70"/>
      <c r="H966" s="70"/>
      <c r="J966" s="70"/>
      <c r="L966" s="71"/>
      <c r="N966" s="70"/>
    </row>
    <row r="967" spans="1:14" x14ac:dyDescent="0.2">
      <c r="A967" s="292"/>
      <c r="C967" s="189"/>
      <c r="E967" s="190"/>
      <c r="G967" s="70"/>
      <c r="H967" s="70"/>
      <c r="J967" s="70"/>
      <c r="L967" s="71"/>
      <c r="N967" s="70"/>
    </row>
    <row r="968" spans="1:14" x14ac:dyDescent="0.2">
      <c r="A968" s="292"/>
      <c r="C968" s="189"/>
      <c r="E968" s="190"/>
      <c r="G968" s="70"/>
      <c r="H968" s="70"/>
      <c r="J968" s="70"/>
      <c r="L968" s="71"/>
      <c r="N968" s="70"/>
    </row>
    <row r="969" spans="1:14" x14ac:dyDescent="0.2">
      <c r="A969" s="292"/>
      <c r="C969" s="189"/>
      <c r="E969" s="190"/>
      <c r="G969" s="70"/>
      <c r="H969" s="70"/>
      <c r="J969" s="70"/>
      <c r="L969" s="71"/>
      <c r="N969" s="70"/>
    </row>
    <row r="970" spans="1:14" x14ac:dyDescent="0.2">
      <c r="A970" s="292"/>
      <c r="C970" s="189"/>
      <c r="E970" s="190"/>
      <c r="G970" s="70"/>
      <c r="H970" s="70"/>
      <c r="J970" s="70"/>
      <c r="L970" s="71"/>
      <c r="N970" s="70"/>
    </row>
    <row r="971" spans="1:14" x14ac:dyDescent="0.2">
      <c r="A971" s="292"/>
      <c r="C971" s="189"/>
      <c r="E971" s="190"/>
      <c r="G971" s="70"/>
      <c r="H971" s="70"/>
      <c r="J971" s="70"/>
      <c r="L971" s="71"/>
      <c r="N971" s="70"/>
    </row>
    <row r="972" spans="1:14" x14ac:dyDescent="0.2">
      <c r="A972" s="292"/>
      <c r="C972" s="189"/>
      <c r="E972" s="190"/>
      <c r="G972" s="70"/>
      <c r="H972" s="70"/>
      <c r="J972" s="70"/>
      <c r="L972" s="71"/>
      <c r="N972" s="70"/>
    </row>
    <row r="973" spans="1:14" x14ac:dyDescent="0.2">
      <c r="A973" s="292"/>
      <c r="C973" s="189"/>
      <c r="E973" s="190"/>
      <c r="G973" s="70"/>
      <c r="H973" s="70"/>
      <c r="J973" s="70"/>
      <c r="L973" s="71"/>
      <c r="N973" s="70"/>
    </row>
    <row r="974" spans="1:14" x14ac:dyDescent="0.2">
      <c r="A974" s="292"/>
      <c r="C974" s="189"/>
      <c r="E974" s="190"/>
      <c r="G974" s="70"/>
      <c r="H974" s="70"/>
      <c r="J974" s="70"/>
      <c r="L974" s="71"/>
      <c r="N974" s="70"/>
    </row>
    <row r="975" spans="1:14" x14ac:dyDescent="0.2">
      <c r="A975" s="292"/>
      <c r="C975" s="189"/>
      <c r="E975" s="190"/>
      <c r="G975" s="70"/>
      <c r="H975" s="70"/>
      <c r="J975" s="70"/>
      <c r="L975" s="71"/>
      <c r="N975" s="70"/>
    </row>
    <row r="976" spans="1:14" x14ac:dyDescent="0.2">
      <c r="A976" s="292"/>
      <c r="C976" s="189"/>
      <c r="E976" s="190"/>
      <c r="G976" s="70"/>
      <c r="H976" s="70"/>
      <c r="J976" s="70"/>
      <c r="L976" s="71"/>
      <c r="N976" s="70"/>
    </row>
    <row r="977" spans="1:14" x14ac:dyDescent="0.2">
      <c r="A977" s="292"/>
      <c r="C977" s="189"/>
      <c r="E977" s="190"/>
      <c r="G977" s="70"/>
      <c r="H977" s="70"/>
      <c r="J977" s="70"/>
      <c r="L977" s="71"/>
      <c r="N977" s="70"/>
    </row>
    <row r="978" spans="1:14" x14ac:dyDescent="0.2">
      <c r="A978" s="292"/>
      <c r="C978" s="189"/>
      <c r="E978" s="190"/>
      <c r="G978" s="70"/>
      <c r="H978" s="70"/>
      <c r="J978" s="70"/>
      <c r="L978" s="71"/>
      <c r="N978" s="70"/>
    </row>
    <row r="979" spans="1:14" x14ac:dyDescent="0.2">
      <c r="A979" s="292"/>
      <c r="C979" s="189"/>
      <c r="E979" s="190"/>
      <c r="G979" s="70"/>
      <c r="H979" s="70"/>
      <c r="J979" s="70"/>
      <c r="L979" s="71"/>
      <c r="N979" s="70"/>
    </row>
    <row r="980" spans="1:14" x14ac:dyDescent="0.2">
      <c r="A980" s="292"/>
      <c r="C980" s="189"/>
      <c r="E980" s="190"/>
      <c r="G980" s="70"/>
      <c r="H980" s="70"/>
      <c r="J980" s="70"/>
      <c r="L980" s="71"/>
      <c r="N980" s="70"/>
    </row>
    <row r="981" spans="1:14" x14ac:dyDescent="0.2">
      <c r="A981" s="292"/>
      <c r="C981" s="189"/>
      <c r="E981" s="190"/>
      <c r="G981" s="70"/>
      <c r="H981" s="70"/>
      <c r="J981" s="70"/>
      <c r="L981" s="71"/>
      <c r="N981" s="70"/>
    </row>
    <row r="982" spans="1:14" x14ac:dyDescent="0.2">
      <c r="A982" s="292"/>
      <c r="C982" s="189"/>
      <c r="E982" s="190"/>
      <c r="G982" s="70"/>
      <c r="H982" s="70"/>
      <c r="J982" s="70"/>
      <c r="L982" s="71"/>
      <c r="N982" s="70"/>
    </row>
    <row r="983" spans="1:14" x14ac:dyDescent="0.2">
      <c r="A983" s="292"/>
      <c r="C983" s="189"/>
      <c r="E983" s="190"/>
      <c r="G983" s="70"/>
      <c r="H983" s="70"/>
      <c r="J983" s="70"/>
      <c r="L983" s="71"/>
      <c r="N983" s="70"/>
    </row>
    <row r="984" spans="1:14" x14ac:dyDescent="0.2">
      <c r="A984" s="292"/>
      <c r="C984" s="189"/>
      <c r="E984" s="190"/>
      <c r="G984" s="70"/>
      <c r="H984" s="70"/>
      <c r="J984" s="70"/>
      <c r="L984" s="71"/>
      <c r="N984" s="70"/>
    </row>
    <row r="985" spans="1:14" x14ac:dyDescent="0.2">
      <c r="A985" s="292"/>
      <c r="C985" s="189"/>
      <c r="E985" s="190"/>
      <c r="G985" s="70"/>
      <c r="H985" s="70"/>
      <c r="J985" s="70"/>
      <c r="L985" s="71"/>
      <c r="N985" s="70"/>
    </row>
    <row r="986" spans="1:14" x14ac:dyDescent="0.2">
      <c r="A986" s="292"/>
      <c r="C986" s="189"/>
      <c r="E986" s="190"/>
      <c r="G986" s="70"/>
      <c r="H986" s="70"/>
      <c r="J986" s="70"/>
      <c r="L986" s="71"/>
      <c r="N986" s="70"/>
    </row>
    <row r="987" spans="1:14" x14ac:dyDescent="0.2">
      <c r="A987" s="292"/>
      <c r="C987" s="189"/>
      <c r="E987" s="190"/>
      <c r="G987" s="70"/>
      <c r="H987" s="70"/>
      <c r="J987" s="70"/>
      <c r="L987" s="71"/>
      <c r="N987" s="70"/>
    </row>
    <row r="988" spans="1:14" x14ac:dyDescent="0.2">
      <c r="A988" s="292"/>
      <c r="C988" s="189"/>
      <c r="E988" s="190"/>
      <c r="G988" s="70"/>
      <c r="H988" s="70"/>
      <c r="J988" s="70"/>
      <c r="L988" s="71"/>
      <c r="N988" s="70"/>
    </row>
    <row r="989" spans="1:14" x14ac:dyDescent="0.2">
      <c r="A989" s="292"/>
      <c r="C989" s="189"/>
      <c r="E989" s="190"/>
      <c r="G989" s="70"/>
      <c r="H989" s="70"/>
      <c r="J989" s="70"/>
      <c r="L989" s="71"/>
      <c r="N989" s="70"/>
    </row>
    <row r="990" spans="1:14" x14ac:dyDescent="0.2">
      <c r="A990" s="292"/>
      <c r="C990" s="189"/>
      <c r="E990" s="190"/>
      <c r="G990" s="70"/>
      <c r="H990" s="70"/>
      <c r="J990" s="70"/>
      <c r="L990" s="71"/>
      <c r="N990" s="70"/>
    </row>
    <row r="991" spans="1:14" x14ac:dyDescent="0.2">
      <c r="A991" s="292"/>
      <c r="C991" s="189"/>
      <c r="E991" s="190"/>
      <c r="G991" s="70"/>
      <c r="H991" s="70"/>
      <c r="J991" s="70"/>
      <c r="L991" s="71"/>
      <c r="N991" s="70"/>
    </row>
    <row r="992" spans="1:14" x14ac:dyDescent="0.2">
      <c r="A992" s="292"/>
      <c r="C992" s="189"/>
      <c r="E992" s="190"/>
      <c r="G992" s="70"/>
      <c r="H992" s="70"/>
      <c r="J992" s="70"/>
      <c r="L992" s="71"/>
      <c r="N992" s="70"/>
    </row>
    <row r="993" spans="1:14" x14ac:dyDescent="0.2">
      <c r="A993" s="292"/>
      <c r="C993" s="189"/>
      <c r="E993" s="190"/>
      <c r="G993" s="70"/>
      <c r="H993" s="70"/>
      <c r="J993" s="70"/>
      <c r="L993" s="71"/>
      <c r="N993" s="70"/>
    </row>
    <row r="994" spans="1:14" x14ac:dyDescent="0.2">
      <c r="A994" s="292"/>
      <c r="C994" s="189"/>
      <c r="E994" s="190"/>
      <c r="G994" s="70"/>
      <c r="H994" s="70"/>
      <c r="J994" s="70"/>
      <c r="L994" s="71"/>
      <c r="N994" s="70"/>
    </row>
    <row r="995" spans="1:14" x14ac:dyDescent="0.2">
      <c r="A995" s="292"/>
      <c r="C995" s="189"/>
      <c r="E995" s="190"/>
      <c r="G995" s="70"/>
      <c r="H995" s="70"/>
      <c r="J995" s="70"/>
      <c r="L995" s="71"/>
      <c r="N995" s="70"/>
    </row>
    <row r="996" spans="1:14" x14ac:dyDescent="0.2">
      <c r="A996" s="292"/>
      <c r="C996" s="189"/>
      <c r="E996" s="190"/>
      <c r="G996" s="70"/>
      <c r="H996" s="70"/>
      <c r="J996" s="70"/>
      <c r="L996" s="71"/>
      <c r="N996" s="70"/>
    </row>
    <row r="997" spans="1:14" x14ac:dyDescent="0.2">
      <c r="A997" s="292"/>
      <c r="C997" s="189"/>
      <c r="E997" s="190"/>
      <c r="G997" s="70"/>
      <c r="H997" s="70"/>
      <c r="J997" s="70"/>
      <c r="L997" s="71"/>
      <c r="N997" s="70"/>
    </row>
    <row r="998" spans="1:14" x14ac:dyDescent="0.2">
      <c r="A998" s="292"/>
      <c r="C998" s="189"/>
      <c r="E998" s="190"/>
      <c r="G998" s="70"/>
      <c r="H998" s="70"/>
      <c r="J998" s="70"/>
      <c r="L998" s="71"/>
      <c r="N998" s="70"/>
    </row>
    <row r="999" spans="1:14" x14ac:dyDescent="0.2">
      <c r="A999" s="292"/>
      <c r="C999" s="189"/>
      <c r="E999" s="190"/>
      <c r="G999" s="70"/>
      <c r="H999" s="70"/>
      <c r="J999" s="70"/>
      <c r="L999" s="71"/>
      <c r="N999" s="70"/>
    </row>
    <row r="1000" spans="1:14" x14ac:dyDescent="0.2">
      <c r="A1000" s="292"/>
      <c r="C1000" s="189"/>
      <c r="E1000" s="190"/>
      <c r="G1000" s="70"/>
      <c r="H1000" s="70"/>
      <c r="J1000" s="70"/>
      <c r="L1000" s="71"/>
      <c r="N1000" s="70"/>
    </row>
    <row r="1001" spans="1:14" x14ac:dyDescent="0.2">
      <c r="A1001" s="292"/>
      <c r="C1001" s="189"/>
      <c r="E1001" s="190"/>
      <c r="G1001" s="70"/>
      <c r="H1001" s="70"/>
      <c r="J1001" s="70"/>
      <c r="L1001" s="71"/>
      <c r="N1001" s="70"/>
    </row>
    <row r="1002" spans="1:14" x14ac:dyDescent="0.2">
      <c r="A1002" s="292"/>
      <c r="C1002" s="189"/>
      <c r="E1002" s="190"/>
      <c r="G1002" s="70"/>
      <c r="H1002" s="70"/>
      <c r="J1002" s="70"/>
      <c r="L1002" s="71"/>
      <c r="N1002" s="70"/>
    </row>
    <row r="1003" spans="1:14" x14ac:dyDescent="0.2">
      <c r="A1003" s="292"/>
      <c r="C1003" s="189"/>
      <c r="E1003" s="190"/>
      <c r="G1003" s="70"/>
      <c r="H1003" s="70"/>
      <c r="J1003" s="70"/>
      <c r="L1003" s="71"/>
      <c r="N1003" s="70"/>
    </row>
    <row r="1004" spans="1:14" x14ac:dyDescent="0.2">
      <c r="A1004" s="292"/>
      <c r="C1004" s="189"/>
      <c r="E1004" s="190"/>
      <c r="G1004" s="70"/>
      <c r="H1004" s="70"/>
      <c r="J1004" s="70"/>
      <c r="L1004" s="71"/>
      <c r="N1004" s="70"/>
    </row>
    <row r="1005" spans="1:14" x14ac:dyDescent="0.2">
      <c r="A1005" s="292"/>
      <c r="C1005" s="189"/>
      <c r="E1005" s="190"/>
      <c r="G1005" s="70"/>
      <c r="H1005" s="70"/>
      <c r="J1005" s="70"/>
      <c r="L1005" s="71"/>
      <c r="N1005" s="70"/>
    </row>
    <row r="1006" spans="1:14" x14ac:dyDescent="0.2">
      <c r="A1006" s="292"/>
      <c r="C1006" s="189"/>
      <c r="E1006" s="190"/>
      <c r="G1006" s="70"/>
      <c r="H1006" s="70"/>
      <c r="J1006" s="70"/>
      <c r="L1006" s="71"/>
      <c r="N1006" s="70"/>
    </row>
    <row r="1007" spans="1:14" x14ac:dyDescent="0.2">
      <c r="A1007" s="292"/>
      <c r="C1007" s="189"/>
      <c r="E1007" s="190"/>
      <c r="G1007" s="70"/>
      <c r="H1007" s="70"/>
      <c r="J1007" s="70"/>
      <c r="L1007" s="71"/>
      <c r="N1007" s="70"/>
    </row>
    <row r="1008" spans="1:14" x14ac:dyDescent="0.2">
      <c r="A1008" s="292"/>
      <c r="C1008" s="189"/>
      <c r="E1008" s="190"/>
      <c r="G1008" s="70"/>
      <c r="H1008" s="70"/>
      <c r="J1008" s="70"/>
      <c r="L1008" s="71"/>
      <c r="N1008" s="70"/>
    </row>
    <row r="1009" spans="1:14" x14ac:dyDescent="0.2">
      <c r="A1009" s="292"/>
      <c r="C1009" s="189"/>
      <c r="E1009" s="190"/>
      <c r="G1009" s="70"/>
      <c r="H1009" s="70"/>
      <c r="J1009" s="70"/>
      <c r="L1009" s="71"/>
      <c r="N1009" s="70"/>
    </row>
    <row r="1010" spans="1:14" x14ac:dyDescent="0.2">
      <c r="A1010" s="292"/>
      <c r="C1010" s="189"/>
      <c r="E1010" s="190"/>
      <c r="G1010" s="70"/>
      <c r="H1010" s="70"/>
      <c r="J1010" s="70"/>
      <c r="L1010" s="71"/>
      <c r="N1010" s="70"/>
    </row>
    <row r="1011" spans="1:14" x14ac:dyDescent="0.2">
      <c r="A1011" s="292"/>
      <c r="C1011" s="189"/>
      <c r="E1011" s="190"/>
      <c r="G1011" s="70"/>
      <c r="H1011" s="70"/>
      <c r="J1011" s="70"/>
      <c r="L1011" s="71"/>
      <c r="N1011" s="70"/>
    </row>
    <row r="1012" spans="1:14" x14ac:dyDescent="0.2">
      <c r="A1012" s="292"/>
      <c r="C1012" s="189"/>
      <c r="E1012" s="190"/>
      <c r="G1012" s="70"/>
      <c r="H1012" s="70"/>
      <c r="J1012" s="70"/>
      <c r="L1012" s="71"/>
      <c r="N1012" s="70"/>
    </row>
    <row r="1013" spans="1:14" x14ac:dyDescent="0.2">
      <c r="A1013" s="292"/>
      <c r="C1013" s="189"/>
      <c r="E1013" s="190"/>
      <c r="G1013" s="70"/>
      <c r="H1013" s="70"/>
      <c r="J1013" s="70"/>
      <c r="L1013" s="71"/>
      <c r="N1013" s="70"/>
    </row>
    <row r="1014" spans="1:14" x14ac:dyDescent="0.2">
      <c r="A1014" s="292"/>
      <c r="C1014" s="189"/>
      <c r="E1014" s="190"/>
      <c r="G1014" s="70"/>
      <c r="H1014" s="70"/>
      <c r="J1014" s="70"/>
      <c r="L1014" s="71"/>
      <c r="N1014" s="70"/>
    </row>
    <row r="1015" spans="1:14" x14ac:dyDescent="0.2">
      <c r="A1015" s="292"/>
      <c r="C1015" s="189"/>
      <c r="E1015" s="190"/>
      <c r="G1015" s="70"/>
      <c r="H1015" s="70"/>
      <c r="J1015" s="70"/>
      <c r="L1015" s="71"/>
      <c r="N1015" s="70"/>
    </row>
    <row r="1016" spans="1:14" x14ac:dyDescent="0.2">
      <c r="A1016" s="292"/>
      <c r="C1016" s="189"/>
      <c r="E1016" s="190"/>
      <c r="G1016" s="70"/>
      <c r="H1016" s="70"/>
      <c r="J1016" s="70"/>
      <c r="L1016" s="71"/>
      <c r="N1016" s="70"/>
    </row>
    <row r="1017" spans="1:14" x14ac:dyDescent="0.2">
      <c r="A1017" s="292"/>
      <c r="C1017" s="189"/>
      <c r="E1017" s="190"/>
      <c r="G1017" s="70"/>
      <c r="H1017" s="70"/>
      <c r="J1017" s="70"/>
      <c r="L1017" s="71"/>
      <c r="N1017" s="70"/>
    </row>
    <row r="1018" spans="1:14" x14ac:dyDescent="0.2">
      <c r="A1018" s="292"/>
      <c r="C1018" s="189"/>
      <c r="E1018" s="190"/>
      <c r="G1018" s="70"/>
      <c r="H1018" s="70"/>
      <c r="J1018" s="70"/>
      <c r="L1018" s="71"/>
      <c r="N1018" s="70"/>
    </row>
    <row r="1019" spans="1:14" x14ac:dyDescent="0.2">
      <c r="A1019" s="292"/>
      <c r="C1019" s="189"/>
      <c r="E1019" s="190"/>
      <c r="G1019" s="70"/>
      <c r="H1019" s="70"/>
      <c r="J1019" s="70"/>
      <c r="L1019" s="71"/>
      <c r="N1019" s="70"/>
    </row>
    <row r="1020" spans="1:14" x14ac:dyDescent="0.2">
      <c r="A1020" s="292"/>
      <c r="C1020" s="189"/>
      <c r="E1020" s="190"/>
      <c r="G1020" s="70"/>
      <c r="H1020" s="70"/>
      <c r="J1020" s="70"/>
      <c r="L1020" s="71"/>
      <c r="N1020" s="70"/>
    </row>
    <row r="1021" spans="1:14" x14ac:dyDescent="0.2">
      <c r="A1021" s="292"/>
      <c r="C1021" s="189"/>
      <c r="E1021" s="190"/>
      <c r="G1021" s="70"/>
      <c r="H1021" s="70"/>
      <c r="J1021" s="70"/>
      <c r="L1021" s="71"/>
      <c r="N1021" s="70"/>
    </row>
    <row r="1022" spans="1:14" x14ac:dyDescent="0.2">
      <c r="A1022" s="292"/>
      <c r="C1022" s="189"/>
      <c r="E1022" s="190"/>
      <c r="G1022" s="70"/>
      <c r="H1022" s="70"/>
      <c r="J1022" s="70"/>
      <c r="L1022" s="71"/>
      <c r="N1022" s="70"/>
    </row>
    <row r="1023" spans="1:14" x14ac:dyDescent="0.2">
      <c r="A1023" s="292"/>
      <c r="C1023" s="189"/>
      <c r="E1023" s="190"/>
      <c r="G1023" s="70"/>
      <c r="H1023" s="70"/>
      <c r="J1023" s="70"/>
      <c r="L1023" s="71"/>
      <c r="N1023" s="70"/>
    </row>
    <row r="1024" spans="1:14" x14ac:dyDescent="0.2">
      <c r="A1024" s="292"/>
      <c r="C1024" s="189"/>
      <c r="E1024" s="190"/>
      <c r="G1024" s="70"/>
      <c r="H1024" s="70"/>
      <c r="J1024" s="70"/>
      <c r="L1024" s="71"/>
      <c r="N1024" s="70"/>
    </row>
    <row r="1025" spans="1:14" x14ac:dyDescent="0.2">
      <c r="A1025" s="292"/>
      <c r="C1025" s="189"/>
      <c r="E1025" s="190"/>
      <c r="G1025" s="70"/>
      <c r="H1025" s="70"/>
      <c r="J1025" s="70"/>
      <c r="L1025" s="71"/>
      <c r="N1025" s="70"/>
    </row>
    <row r="1026" spans="1:14" x14ac:dyDescent="0.2">
      <c r="A1026" s="292"/>
      <c r="C1026" s="189"/>
      <c r="E1026" s="190"/>
      <c r="G1026" s="70"/>
      <c r="H1026" s="70"/>
      <c r="J1026" s="70"/>
      <c r="L1026" s="71"/>
      <c r="N1026" s="70"/>
    </row>
    <row r="1027" spans="1:14" x14ac:dyDescent="0.2">
      <c r="A1027" s="292"/>
      <c r="C1027" s="189"/>
      <c r="E1027" s="190"/>
      <c r="G1027" s="70"/>
      <c r="H1027" s="70"/>
      <c r="J1027" s="70"/>
      <c r="L1027" s="71"/>
      <c r="N1027" s="70"/>
    </row>
    <row r="1028" spans="1:14" x14ac:dyDescent="0.2">
      <c r="A1028" s="292"/>
      <c r="C1028" s="189"/>
      <c r="E1028" s="190"/>
      <c r="G1028" s="70"/>
      <c r="H1028" s="70"/>
      <c r="J1028" s="70"/>
      <c r="L1028" s="71"/>
      <c r="N1028" s="70"/>
    </row>
    <row r="1029" spans="1:14" x14ac:dyDescent="0.2">
      <c r="A1029" s="292"/>
      <c r="C1029" s="189"/>
      <c r="E1029" s="190"/>
      <c r="G1029" s="70"/>
      <c r="H1029" s="70"/>
      <c r="J1029" s="70"/>
      <c r="L1029" s="71"/>
      <c r="N1029" s="70"/>
    </row>
    <row r="1030" spans="1:14" x14ac:dyDescent="0.2">
      <c r="A1030" s="292"/>
      <c r="C1030" s="189"/>
      <c r="E1030" s="190"/>
      <c r="G1030" s="70"/>
      <c r="H1030" s="70"/>
      <c r="J1030" s="70"/>
      <c r="L1030" s="71"/>
      <c r="N1030" s="70"/>
    </row>
    <row r="1031" spans="1:14" x14ac:dyDescent="0.2">
      <c r="A1031" s="292"/>
      <c r="C1031" s="189"/>
      <c r="E1031" s="190"/>
      <c r="G1031" s="70"/>
      <c r="H1031" s="70"/>
      <c r="J1031" s="70"/>
      <c r="L1031" s="71"/>
      <c r="N1031" s="70"/>
    </row>
    <row r="1032" spans="1:14" x14ac:dyDescent="0.2">
      <c r="A1032" s="292"/>
      <c r="C1032" s="189"/>
      <c r="E1032" s="190"/>
      <c r="G1032" s="70"/>
      <c r="H1032" s="70"/>
      <c r="J1032" s="70"/>
      <c r="L1032" s="71"/>
      <c r="N1032" s="70"/>
    </row>
    <row r="1033" spans="1:14" x14ac:dyDescent="0.2">
      <c r="A1033" s="292"/>
      <c r="C1033" s="189"/>
      <c r="E1033" s="190"/>
      <c r="G1033" s="70"/>
      <c r="H1033" s="70"/>
      <c r="J1033" s="70"/>
      <c r="L1033" s="71"/>
      <c r="N1033" s="70"/>
    </row>
    <row r="1034" spans="1:14" x14ac:dyDescent="0.2">
      <c r="A1034" s="292"/>
      <c r="C1034" s="189"/>
      <c r="E1034" s="190"/>
      <c r="G1034" s="70"/>
      <c r="H1034" s="70"/>
      <c r="J1034" s="70"/>
      <c r="L1034" s="71"/>
      <c r="N1034" s="70"/>
    </row>
    <row r="1035" spans="1:14" x14ac:dyDescent="0.2">
      <c r="A1035" s="292"/>
      <c r="C1035" s="189"/>
      <c r="E1035" s="190"/>
      <c r="G1035" s="70"/>
      <c r="H1035" s="70"/>
      <c r="J1035" s="70"/>
      <c r="L1035" s="71"/>
      <c r="N1035" s="70"/>
    </row>
    <row r="1036" spans="1:14" x14ac:dyDescent="0.2">
      <c r="A1036" s="292"/>
      <c r="C1036" s="189"/>
      <c r="E1036" s="190"/>
      <c r="G1036" s="70"/>
      <c r="H1036" s="70"/>
      <c r="J1036" s="70"/>
      <c r="L1036" s="71"/>
      <c r="N1036" s="70"/>
    </row>
    <row r="1037" spans="1:14" x14ac:dyDescent="0.2">
      <c r="A1037" s="292"/>
      <c r="C1037" s="189"/>
      <c r="E1037" s="190"/>
      <c r="G1037" s="70"/>
      <c r="H1037" s="70"/>
      <c r="J1037" s="70"/>
      <c r="L1037" s="71"/>
      <c r="N1037" s="70"/>
    </row>
    <row r="1038" spans="1:14" x14ac:dyDescent="0.2">
      <c r="A1038" s="292"/>
      <c r="C1038" s="189"/>
      <c r="E1038" s="190"/>
      <c r="G1038" s="70"/>
      <c r="H1038" s="70"/>
      <c r="J1038" s="70"/>
      <c r="L1038" s="71"/>
      <c r="N1038" s="70"/>
    </row>
    <row r="1039" spans="1:14" x14ac:dyDescent="0.2">
      <c r="A1039" s="292"/>
      <c r="C1039" s="189"/>
      <c r="E1039" s="190"/>
      <c r="G1039" s="70"/>
      <c r="H1039" s="70"/>
      <c r="J1039" s="70"/>
      <c r="L1039" s="71"/>
      <c r="N1039" s="70"/>
    </row>
    <row r="1040" spans="1:14" x14ac:dyDescent="0.2">
      <c r="A1040" s="292"/>
      <c r="C1040" s="189"/>
      <c r="E1040" s="190"/>
      <c r="G1040" s="70"/>
      <c r="H1040" s="70"/>
      <c r="J1040" s="70"/>
      <c r="L1040" s="71"/>
      <c r="N1040" s="70"/>
    </row>
    <row r="1041" spans="1:14" x14ac:dyDescent="0.2">
      <c r="A1041" s="292"/>
      <c r="C1041" s="189"/>
      <c r="E1041" s="190"/>
      <c r="G1041" s="70"/>
      <c r="H1041" s="70"/>
      <c r="J1041" s="70"/>
      <c r="L1041" s="71"/>
      <c r="N1041" s="70"/>
    </row>
    <row r="1042" spans="1:14" x14ac:dyDescent="0.2">
      <c r="A1042" s="292"/>
      <c r="C1042" s="189"/>
      <c r="E1042" s="190"/>
      <c r="G1042" s="70"/>
      <c r="H1042" s="70"/>
      <c r="J1042" s="70"/>
      <c r="L1042" s="71"/>
      <c r="N1042" s="70"/>
    </row>
    <row r="1043" spans="1:14" x14ac:dyDescent="0.2">
      <c r="A1043" s="292"/>
      <c r="C1043" s="189"/>
      <c r="E1043" s="190"/>
      <c r="G1043" s="70"/>
      <c r="H1043" s="70"/>
      <c r="J1043" s="70"/>
      <c r="L1043" s="71"/>
      <c r="N1043" s="70"/>
    </row>
    <row r="1044" spans="1:14" x14ac:dyDescent="0.2">
      <c r="A1044" s="292"/>
      <c r="C1044" s="189"/>
      <c r="E1044" s="190"/>
      <c r="G1044" s="70"/>
      <c r="H1044" s="70"/>
      <c r="J1044" s="70"/>
      <c r="L1044" s="71"/>
      <c r="N1044" s="70"/>
    </row>
    <row r="1045" spans="1:14" x14ac:dyDescent="0.2">
      <c r="A1045" s="292"/>
      <c r="C1045" s="189"/>
      <c r="E1045" s="190"/>
      <c r="G1045" s="70"/>
      <c r="H1045" s="70"/>
      <c r="J1045" s="70"/>
      <c r="L1045" s="71"/>
      <c r="N1045" s="70"/>
    </row>
    <row r="1046" spans="1:14" x14ac:dyDescent="0.2">
      <c r="A1046" s="292"/>
      <c r="C1046" s="189"/>
      <c r="E1046" s="190"/>
      <c r="G1046" s="70"/>
      <c r="H1046" s="70"/>
      <c r="J1046" s="70"/>
      <c r="L1046" s="71"/>
      <c r="N1046" s="70"/>
    </row>
    <row r="1047" spans="1:14" x14ac:dyDescent="0.2">
      <c r="A1047" s="292"/>
      <c r="C1047" s="189"/>
      <c r="E1047" s="190"/>
      <c r="G1047" s="70"/>
      <c r="H1047" s="70"/>
      <c r="J1047" s="70"/>
      <c r="L1047" s="71"/>
      <c r="N1047" s="70"/>
    </row>
    <row r="1048" spans="1:14" x14ac:dyDescent="0.2">
      <c r="A1048" s="292"/>
      <c r="C1048" s="189"/>
      <c r="E1048" s="190"/>
      <c r="G1048" s="70"/>
      <c r="H1048" s="70"/>
      <c r="J1048" s="70"/>
      <c r="L1048" s="71"/>
      <c r="N1048" s="70"/>
    </row>
    <row r="1049" spans="1:14" x14ac:dyDescent="0.2">
      <c r="A1049" s="292"/>
      <c r="C1049" s="189"/>
      <c r="E1049" s="190"/>
      <c r="G1049" s="70"/>
      <c r="H1049" s="70"/>
      <c r="J1049" s="70"/>
      <c r="L1049" s="71"/>
      <c r="N1049" s="70"/>
    </row>
    <row r="1050" spans="1:14" x14ac:dyDescent="0.2">
      <c r="A1050" s="292"/>
      <c r="C1050" s="189"/>
      <c r="E1050" s="190"/>
      <c r="G1050" s="70"/>
      <c r="H1050" s="70"/>
      <c r="J1050" s="70"/>
      <c r="L1050" s="71"/>
      <c r="N1050" s="70"/>
    </row>
    <row r="1051" spans="1:14" x14ac:dyDescent="0.2">
      <c r="A1051" s="292"/>
      <c r="C1051" s="189"/>
      <c r="E1051" s="190"/>
      <c r="G1051" s="70"/>
      <c r="H1051" s="70"/>
      <c r="J1051" s="70"/>
      <c r="L1051" s="71"/>
      <c r="N1051" s="70"/>
    </row>
    <row r="1052" spans="1:14" x14ac:dyDescent="0.2">
      <c r="A1052" s="292"/>
      <c r="C1052" s="189"/>
      <c r="E1052" s="190"/>
      <c r="G1052" s="70"/>
      <c r="H1052" s="70"/>
      <c r="J1052" s="70"/>
      <c r="L1052" s="71"/>
      <c r="N1052" s="70"/>
    </row>
    <row r="1053" spans="1:14" x14ac:dyDescent="0.2">
      <c r="A1053" s="292"/>
      <c r="C1053" s="189"/>
      <c r="E1053" s="190"/>
      <c r="G1053" s="70"/>
      <c r="H1053" s="70"/>
      <c r="J1053" s="70"/>
      <c r="L1053" s="71"/>
      <c r="N1053" s="70"/>
    </row>
    <row r="1054" spans="1:14" x14ac:dyDescent="0.2">
      <c r="A1054" s="292"/>
      <c r="C1054" s="189"/>
      <c r="E1054" s="190"/>
      <c r="G1054" s="70"/>
      <c r="H1054" s="70"/>
      <c r="J1054" s="70"/>
      <c r="L1054" s="71"/>
      <c r="N1054" s="70"/>
    </row>
    <row r="1055" spans="1:14" x14ac:dyDescent="0.2">
      <c r="A1055" s="292"/>
      <c r="C1055" s="189"/>
      <c r="E1055" s="190"/>
      <c r="G1055" s="70"/>
      <c r="H1055" s="70"/>
      <c r="J1055" s="70"/>
      <c r="L1055" s="71"/>
      <c r="N1055" s="70"/>
    </row>
    <row r="1056" spans="1:14" x14ac:dyDescent="0.2">
      <c r="A1056" s="292"/>
      <c r="C1056" s="189"/>
      <c r="E1056" s="190"/>
      <c r="G1056" s="70"/>
      <c r="H1056" s="70"/>
      <c r="J1056" s="70"/>
      <c r="L1056" s="71"/>
      <c r="N1056" s="70"/>
    </row>
    <row r="1057" spans="1:14" x14ac:dyDescent="0.2">
      <c r="A1057" s="292"/>
      <c r="C1057" s="189"/>
      <c r="E1057" s="190"/>
      <c r="G1057" s="70"/>
      <c r="H1057" s="70"/>
      <c r="J1057" s="70"/>
      <c r="L1057" s="71"/>
      <c r="N1057" s="70"/>
    </row>
    <row r="1058" spans="1:14" x14ac:dyDescent="0.2">
      <c r="A1058" s="292"/>
      <c r="C1058" s="189"/>
      <c r="E1058" s="190"/>
      <c r="G1058" s="70"/>
      <c r="H1058" s="70"/>
      <c r="J1058" s="70"/>
      <c r="L1058" s="71"/>
      <c r="N1058" s="70"/>
    </row>
    <row r="1059" spans="1:14" x14ac:dyDescent="0.2">
      <c r="A1059" s="292"/>
      <c r="C1059" s="189"/>
      <c r="E1059" s="190"/>
      <c r="G1059" s="70"/>
      <c r="H1059" s="70"/>
      <c r="J1059" s="70"/>
      <c r="L1059" s="71"/>
      <c r="N1059" s="70"/>
    </row>
    <row r="1060" spans="1:14" x14ac:dyDescent="0.2">
      <c r="A1060" s="292"/>
      <c r="C1060" s="189"/>
      <c r="E1060" s="190"/>
      <c r="G1060" s="70"/>
      <c r="H1060" s="70"/>
      <c r="J1060" s="70"/>
      <c r="L1060" s="71"/>
      <c r="N1060" s="70"/>
    </row>
    <row r="1061" spans="1:14" x14ac:dyDescent="0.2">
      <c r="A1061" s="292"/>
      <c r="C1061" s="189"/>
      <c r="E1061" s="190"/>
      <c r="G1061" s="70"/>
      <c r="H1061" s="70"/>
      <c r="J1061" s="70"/>
      <c r="L1061" s="71"/>
      <c r="N1061" s="70"/>
    </row>
    <row r="1062" spans="1:14" x14ac:dyDescent="0.2">
      <c r="A1062" s="292"/>
      <c r="C1062" s="189"/>
      <c r="E1062" s="190"/>
      <c r="G1062" s="70"/>
      <c r="H1062" s="70"/>
      <c r="J1062" s="70"/>
      <c r="L1062" s="71"/>
      <c r="N1062" s="70"/>
    </row>
    <row r="1063" spans="1:14" x14ac:dyDescent="0.2">
      <c r="A1063" s="292"/>
      <c r="C1063" s="189"/>
      <c r="E1063" s="190"/>
      <c r="G1063" s="70"/>
      <c r="H1063" s="70"/>
      <c r="J1063" s="70"/>
      <c r="L1063" s="71"/>
      <c r="N1063" s="70"/>
    </row>
    <row r="1064" spans="1:14" x14ac:dyDescent="0.2">
      <c r="A1064" s="292"/>
      <c r="C1064" s="189"/>
      <c r="E1064" s="190"/>
      <c r="G1064" s="70"/>
      <c r="H1064" s="70"/>
      <c r="J1064" s="70"/>
      <c r="L1064" s="71"/>
      <c r="N1064" s="70"/>
    </row>
    <row r="1065" spans="1:14" x14ac:dyDescent="0.2">
      <c r="A1065" s="292"/>
      <c r="C1065" s="189"/>
      <c r="E1065" s="190"/>
      <c r="G1065" s="70"/>
      <c r="H1065" s="70"/>
      <c r="J1065" s="70"/>
      <c r="L1065" s="71"/>
      <c r="N1065" s="70"/>
    </row>
    <row r="1066" spans="1:14" x14ac:dyDescent="0.2">
      <c r="A1066" s="292"/>
      <c r="C1066" s="189"/>
      <c r="E1066" s="190"/>
      <c r="G1066" s="70"/>
      <c r="H1066" s="70"/>
      <c r="J1066" s="70"/>
      <c r="L1066" s="71"/>
      <c r="N1066" s="70"/>
    </row>
    <row r="1067" spans="1:14" x14ac:dyDescent="0.2">
      <c r="A1067" s="292"/>
      <c r="C1067" s="189"/>
      <c r="E1067" s="190"/>
      <c r="G1067" s="70"/>
      <c r="H1067" s="70"/>
      <c r="J1067" s="70"/>
      <c r="L1067" s="71"/>
      <c r="N1067" s="70"/>
    </row>
    <row r="1068" spans="1:14" x14ac:dyDescent="0.2">
      <c r="A1068" s="292"/>
      <c r="C1068" s="189"/>
      <c r="E1068" s="190"/>
      <c r="G1068" s="70"/>
      <c r="H1068" s="70"/>
      <c r="J1068" s="70"/>
      <c r="L1068" s="71"/>
      <c r="N1068" s="70"/>
    </row>
    <row r="1069" spans="1:14" x14ac:dyDescent="0.2">
      <c r="A1069" s="292"/>
      <c r="C1069" s="189"/>
      <c r="E1069" s="190"/>
      <c r="G1069" s="70"/>
      <c r="H1069" s="70"/>
      <c r="J1069" s="70"/>
      <c r="L1069" s="71"/>
      <c r="N1069" s="70"/>
    </row>
    <row r="1070" spans="1:14" x14ac:dyDescent="0.2">
      <c r="A1070" s="292"/>
      <c r="C1070" s="189"/>
      <c r="E1070" s="190"/>
      <c r="G1070" s="70"/>
      <c r="H1070" s="70"/>
      <c r="J1070" s="70"/>
      <c r="L1070" s="71"/>
      <c r="N1070" s="70"/>
    </row>
    <row r="1071" spans="1:14" x14ac:dyDescent="0.2">
      <c r="A1071" s="292"/>
      <c r="C1071" s="189"/>
      <c r="E1071" s="190"/>
      <c r="G1071" s="70"/>
      <c r="H1071" s="70"/>
      <c r="J1071" s="70"/>
      <c r="L1071" s="71"/>
      <c r="N1071" s="70"/>
    </row>
    <row r="1072" spans="1:14" x14ac:dyDescent="0.2">
      <c r="A1072" s="292"/>
      <c r="C1072" s="189"/>
      <c r="E1072" s="190"/>
      <c r="G1072" s="70"/>
      <c r="H1072" s="70"/>
      <c r="J1072" s="70"/>
      <c r="L1072" s="71"/>
      <c r="N1072" s="70"/>
    </row>
    <row r="1073" spans="1:14" x14ac:dyDescent="0.2">
      <c r="A1073" s="292"/>
      <c r="C1073" s="189"/>
      <c r="E1073" s="190"/>
      <c r="G1073" s="70"/>
      <c r="H1073" s="70"/>
      <c r="J1073" s="70"/>
      <c r="L1073" s="71"/>
      <c r="N1073" s="70"/>
    </row>
    <row r="1074" spans="1:14" x14ac:dyDescent="0.2">
      <c r="A1074" s="292"/>
      <c r="C1074" s="189"/>
      <c r="E1074" s="190"/>
      <c r="G1074" s="70"/>
      <c r="H1074" s="70"/>
      <c r="J1074" s="70"/>
      <c r="L1074" s="71"/>
      <c r="N1074" s="70"/>
    </row>
    <row r="1075" spans="1:14" x14ac:dyDescent="0.2">
      <c r="A1075" s="292"/>
      <c r="C1075" s="189"/>
      <c r="E1075" s="190"/>
      <c r="G1075" s="70"/>
      <c r="H1075" s="70"/>
      <c r="J1075" s="70"/>
      <c r="L1075" s="71"/>
      <c r="N1075" s="70"/>
    </row>
    <row r="1076" spans="1:14" x14ac:dyDescent="0.2">
      <c r="A1076" s="292"/>
      <c r="C1076" s="189"/>
      <c r="E1076" s="190"/>
      <c r="G1076" s="70"/>
      <c r="H1076" s="70"/>
      <c r="J1076" s="70"/>
      <c r="L1076" s="71"/>
      <c r="N1076" s="70"/>
    </row>
    <row r="1077" spans="1:14" x14ac:dyDescent="0.2">
      <c r="A1077" s="292"/>
      <c r="C1077" s="189"/>
      <c r="E1077" s="190"/>
      <c r="G1077" s="70"/>
      <c r="H1077" s="70"/>
      <c r="J1077" s="70"/>
      <c r="L1077" s="71"/>
      <c r="N1077" s="70"/>
    </row>
    <row r="1078" spans="1:14" x14ac:dyDescent="0.2">
      <c r="A1078" s="292"/>
      <c r="C1078" s="189"/>
      <c r="E1078" s="190"/>
      <c r="G1078" s="70"/>
      <c r="H1078" s="70"/>
      <c r="J1078" s="70"/>
      <c r="L1078" s="71"/>
      <c r="N1078" s="70"/>
    </row>
    <row r="1079" spans="1:14" x14ac:dyDescent="0.2">
      <c r="A1079" s="292"/>
      <c r="C1079" s="189"/>
      <c r="E1079" s="190"/>
      <c r="G1079" s="70"/>
      <c r="H1079" s="70"/>
      <c r="J1079" s="70"/>
      <c r="L1079" s="71"/>
      <c r="N1079" s="70"/>
    </row>
    <row r="1080" spans="1:14" x14ac:dyDescent="0.2">
      <c r="A1080" s="292"/>
      <c r="C1080" s="189"/>
      <c r="E1080" s="190"/>
      <c r="G1080" s="70"/>
      <c r="H1080" s="70"/>
      <c r="J1080" s="70"/>
      <c r="L1080" s="71"/>
      <c r="N1080" s="70"/>
    </row>
    <row r="1081" spans="1:14" x14ac:dyDescent="0.2">
      <c r="A1081" s="292"/>
      <c r="C1081" s="189"/>
      <c r="E1081" s="190"/>
      <c r="G1081" s="70"/>
      <c r="H1081" s="70"/>
      <c r="J1081" s="70"/>
      <c r="L1081" s="71"/>
      <c r="N1081" s="70"/>
    </row>
    <row r="1082" spans="1:14" x14ac:dyDescent="0.2">
      <c r="A1082" s="292"/>
      <c r="C1082" s="189"/>
      <c r="E1082" s="190"/>
      <c r="G1082" s="70"/>
      <c r="H1082" s="70"/>
      <c r="J1082" s="70"/>
      <c r="L1082" s="71"/>
      <c r="N1082" s="70"/>
    </row>
    <row r="1083" spans="1:14" x14ac:dyDescent="0.2">
      <c r="A1083" s="292"/>
      <c r="C1083" s="189"/>
      <c r="E1083" s="190"/>
      <c r="G1083" s="70"/>
      <c r="H1083" s="70"/>
      <c r="J1083" s="70"/>
      <c r="L1083" s="71"/>
      <c r="N1083" s="70"/>
    </row>
    <row r="1084" spans="1:14" x14ac:dyDescent="0.2">
      <c r="A1084" s="292"/>
      <c r="C1084" s="189"/>
      <c r="E1084" s="190"/>
      <c r="G1084" s="70"/>
      <c r="H1084" s="70"/>
      <c r="J1084" s="70"/>
      <c r="L1084" s="71"/>
      <c r="N1084" s="70"/>
    </row>
    <row r="1085" spans="1:14" x14ac:dyDescent="0.2">
      <c r="A1085" s="292"/>
      <c r="C1085" s="189"/>
      <c r="E1085" s="190"/>
      <c r="G1085" s="70"/>
      <c r="H1085" s="70"/>
      <c r="J1085" s="70"/>
      <c r="L1085" s="71"/>
      <c r="N1085" s="70"/>
    </row>
    <row r="1086" spans="1:14" x14ac:dyDescent="0.2">
      <c r="A1086" s="292"/>
      <c r="C1086" s="189"/>
      <c r="E1086" s="190"/>
      <c r="G1086" s="70"/>
      <c r="H1086" s="70"/>
      <c r="J1086" s="70"/>
      <c r="L1086" s="71"/>
      <c r="N1086" s="70"/>
    </row>
    <row r="1087" spans="1:14" x14ac:dyDescent="0.2">
      <c r="A1087" s="292"/>
      <c r="C1087" s="189"/>
      <c r="E1087" s="190"/>
      <c r="G1087" s="70"/>
      <c r="H1087" s="70"/>
      <c r="J1087" s="70"/>
      <c r="L1087" s="71"/>
      <c r="N1087" s="70"/>
    </row>
    <row r="1088" spans="1:14" x14ac:dyDescent="0.2">
      <c r="A1088" s="292"/>
      <c r="C1088" s="189"/>
      <c r="E1088" s="190"/>
      <c r="G1088" s="70"/>
      <c r="H1088" s="70"/>
      <c r="J1088" s="70"/>
      <c r="L1088" s="71"/>
      <c r="N1088" s="70"/>
    </row>
    <row r="1089" spans="1:14" x14ac:dyDescent="0.2">
      <c r="A1089" s="292"/>
      <c r="C1089" s="189"/>
      <c r="E1089" s="190"/>
      <c r="G1089" s="70"/>
      <c r="H1089" s="70"/>
      <c r="J1089" s="70"/>
      <c r="L1089" s="71"/>
      <c r="N1089" s="70"/>
    </row>
    <row r="1090" spans="1:14" x14ac:dyDescent="0.2">
      <c r="A1090" s="292"/>
      <c r="C1090" s="189"/>
      <c r="E1090" s="190"/>
      <c r="G1090" s="70"/>
      <c r="H1090" s="70"/>
      <c r="J1090" s="70"/>
      <c r="L1090" s="71"/>
      <c r="N1090" s="70"/>
    </row>
    <row r="1091" spans="1:14" x14ac:dyDescent="0.2">
      <c r="A1091" s="292"/>
      <c r="C1091" s="189"/>
      <c r="E1091" s="190"/>
      <c r="G1091" s="70"/>
      <c r="H1091" s="70"/>
      <c r="J1091" s="70"/>
      <c r="L1091" s="71"/>
      <c r="N1091" s="70"/>
    </row>
    <row r="1092" spans="1:14" x14ac:dyDescent="0.2">
      <c r="A1092" s="292"/>
      <c r="C1092" s="189"/>
      <c r="E1092" s="190"/>
      <c r="G1092" s="70"/>
      <c r="H1092" s="70"/>
      <c r="J1092" s="70"/>
      <c r="L1092" s="71"/>
      <c r="N1092" s="70"/>
    </row>
    <row r="1093" spans="1:14" x14ac:dyDescent="0.2">
      <c r="A1093" s="292"/>
      <c r="C1093" s="189"/>
      <c r="E1093" s="190"/>
      <c r="G1093" s="70"/>
      <c r="H1093" s="70"/>
      <c r="J1093" s="70"/>
      <c r="L1093" s="71"/>
      <c r="N1093" s="70"/>
    </row>
    <row r="1094" spans="1:14" x14ac:dyDescent="0.2">
      <c r="A1094" s="292"/>
      <c r="C1094" s="189"/>
      <c r="E1094" s="190"/>
      <c r="G1094" s="70"/>
      <c r="H1094" s="70"/>
      <c r="J1094" s="70"/>
      <c r="L1094" s="71"/>
      <c r="N1094" s="70"/>
    </row>
    <row r="1095" spans="1:14" x14ac:dyDescent="0.2">
      <c r="A1095" s="292"/>
      <c r="C1095" s="189"/>
      <c r="E1095" s="190"/>
      <c r="G1095" s="70"/>
      <c r="H1095" s="70"/>
      <c r="J1095" s="70"/>
      <c r="L1095" s="71"/>
      <c r="N1095" s="70"/>
    </row>
    <row r="1096" spans="1:14" x14ac:dyDescent="0.2">
      <c r="A1096" s="292"/>
      <c r="C1096" s="189"/>
      <c r="E1096" s="190"/>
      <c r="G1096" s="70"/>
      <c r="H1096" s="70"/>
      <c r="J1096" s="70"/>
      <c r="L1096" s="71"/>
      <c r="N1096" s="70"/>
    </row>
    <row r="1097" spans="1:14" x14ac:dyDescent="0.2">
      <c r="A1097" s="292"/>
      <c r="C1097" s="189"/>
      <c r="E1097" s="190"/>
      <c r="G1097" s="70"/>
      <c r="H1097" s="70"/>
      <c r="J1097" s="70"/>
      <c r="L1097" s="71"/>
      <c r="N1097" s="70"/>
    </row>
    <row r="1098" spans="1:14" x14ac:dyDescent="0.2">
      <c r="A1098" s="292"/>
      <c r="C1098" s="189"/>
      <c r="E1098" s="190"/>
      <c r="G1098" s="70"/>
      <c r="H1098" s="70"/>
      <c r="J1098" s="70"/>
      <c r="L1098" s="71"/>
      <c r="N1098" s="70"/>
    </row>
    <row r="1099" spans="1:14" x14ac:dyDescent="0.2">
      <c r="A1099" s="292"/>
      <c r="C1099" s="189"/>
      <c r="E1099" s="190"/>
      <c r="G1099" s="70"/>
      <c r="H1099" s="70"/>
      <c r="J1099" s="70"/>
      <c r="L1099" s="71"/>
      <c r="N1099" s="70"/>
    </row>
    <row r="1100" spans="1:14" x14ac:dyDescent="0.2">
      <c r="A1100" s="292"/>
      <c r="C1100" s="189"/>
      <c r="E1100" s="190"/>
      <c r="G1100" s="70"/>
      <c r="H1100" s="70"/>
      <c r="J1100" s="70"/>
      <c r="L1100" s="71"/>
      <c r="N1100" s="70"/>
    </row>
    <row r="1101" spans="1:14" x14ac:dyDescent="0.2">
      <c r="A1101" s="292"/>
      <c r="C1101" s="189"/>
      <c r="E1101" s="190"/>
      <c r="G1101" s="70"/>
      <c r="H1101" s="70"/>
      <c r="J1101" s="70"/>
      <c r="L1101" s="71"/>
      <c r="N1101" s="70"/>
    </row>
    <row r="1102" spans="1:14" x14ac:dyDescent="0.2">
      <c r="A1102" s="292"/>
      <c r="C1102" s="189"/>
      <c r="E1102" s="190"/>
      <c r="G1102" s="70"/>
      <c r="H1102" s="70"/>
      <c r="J1102" s="70"/>
      <c r="L1102" s="71"/>
      <c r="N1102" s="70"/>
    </row>
    <row r="1103" spans="1:14" x14ac:dyDescent="0.2">
      <c r="A1103" s="292"/>
      <c r="C1103" s="189"/>
      <c r="E1103" s="190"/>
      <c r="G1103" s="70"/>
      <c r="H1103" s="70"/>
      <c r="J1103" s="70"/>
      <c r="L1103" s="71"/>
      <c r="N1103" s="70"/>
    </row>
    <row r="1104" spans="1:14" x14ac:dyDescent="0.2">
      <c r="A1104" s="292"/>
      <c r="C1104" s="189"/>
      <c r="E1104" s="190"/>
      <c r="G1104" s="70"/>
      <c r="H1104" s="70"/>
      <c r="J1104" s="70"/>
      <c r="L1104" s="71"/>
      <c r="N1104" s="70"/>
    </row>
    <row r="1105" spans="1:14" x14ac:dyDescent="0.2">
      <c r="A1105" s="292"/>
      <c r="C1105" s="189"/>
      <c r="E1105" s="190"/>
      <c r="G1105" s="70"/>
      <c r="H1105" s="70"/>
      <c r="J1105" s="70"/>
      <c r="L1105" s="71"/>
      <c r="N1105" s="70"/>
    </row>
    <row r="1106" spans="1:14" x14ac:dyDescent="0.2">
      <c r="A1106" s="292"/>
      <c r="C1106" s="189"/>
      <c r="E1106" s="190"/>
      <c r="G1106" s="70"/>
      <c r="H1106" s="70"/>
      <c r="J1106" s="70"/>
      <c r="L1106" s="71"/>
      <c r="N1106" s="70"/>
    </row>
    <row r="1107" spans="1:14" x14ac:dyDescent="0.2">
      <c r="A1107" s="292"/>
      <c r="C1107" s="189"/>
      <c r="E1107" s="190"/>
      <c r="G1107" s="70"/>
      <c r="H1107" s="70"/>
      <c r="J1107" s="70"/>
      <c r="L1107" s="71"/>
      <c r="N1107" s="70"/>
    </row>
    <row r="1108" spans="1:14" x14ac:dyDescent="0.2">
      <c r="A1108" s="292"/>
      <c r="C1108" s="189"/>
      <c r="E1108" s="190"/>
      <c r="G1108" s="70"/>
      <c r="H1108" s="70"/>
      <c r="J1108" s="70"/>
      <c r="L1108" s="71"/>
      <c r="N1108" s="70"/>
    </row>
    <row r="1109" spans="1:14" x14ac:dyDescent="0.2">
      <c r="A1109" s="292"/>
      <c r="C1109" s="189"/>
      <c r="E1109" s="190"/>
      <c r="G1109" s="70"/>
      <c r="H1109" s="70"/>
      <c r="J1109" s="70"/>
      <c r="L1109" s="71"/>
      <c r="N1109" s="70"/>
    </row>
    <row r="1110" spans="1:14" x14ac:dyDescent="0.2">
      <c r="A1110" s="292"/>
      <c r="C1110" s="189"/>
      <c r="E1110" s="190"/>
      <c r="G1110" s="70"/>
      <c r="H1110" s="70"/>
      <c r="J1110" s="70"/>
      <c r="L1110" s="71"/>
      <c r="N1110" s="70"/>
    </row>
    <row r="1111" spans="1:14" x14ac:dyDescent="0.2">
      <c r="A1111" s="292"/>
      <c r="C1111" s="189"/>
      <c r="E1111" s="190"/>
      <c r="G1111" s="70"/>
      <c r="H1111" s="70"/>
      <c r="J1111" s="70"/>
      <c r="L1111" s="71"/>
      <c r="N1111" s="70"/>
    </row>
    <row r="1112" spans="1:14" x14ac:dyDescent="0.2">
      <c r="A1112" s="292"/>
      <c r="C1112" s="189"/>
      <c r="E1112" s="190"/>
      <c r="G1112" s="70"/>
      <c r="H1112" s="70"/>
      <c r="J1112" s="70"/>
      <c r="L1112" s="71"/>
      <c r="N1112" s="70"/>
    </row>
    <row r="1113" spans="1:14" x14ac:dyDescent="0.2">
      <c r="A1113" s="292"/>
      <c r="C1113" s="189"/>
      <c r="E1113" s="190"/>
      <c r="G1113" s="70"/>
      <c r="H1113" s="70"/>
      <c r="J1113" s="70"/>
      <c r="L1113" s="71"/>
      <c r="N1113" s="70"/>
    </row>
    <row r="1114" spans="1:14" x14ac:dyDescent="0.2">
      <c r="A1114" s="292"/>
      <c r="C1114" s="189"/>
      <c r="E1114" s="190"/>
      <c r="G1114" s="70"/>
      <c r="H1114" s="70"/>
      <c r="J1114" s="70"/>
      <c r="L1114" s="71"/>
      <c r="N1114" s="70"/>
    </row>
    <row r="1115" spans="1:14" x14ac:dyDescent="0.2">
      <c r="A1115" s="292"/>
      <c r="C1115" s="189"/>
      <c r="E1115" s="190"/>
      <c r="G1115" s="70"/>
      <c r="H1115" s="70"/>
      <c r="J1115" s="70"/>
      <c r="L1115" s="71"/>
      <c r="N1115" s="70"/>
    </row>
    <row r="1116" spans="1:14" x14ac:dyDescent="0.2">
      <c r="A1116" s="292"/>
      <c r="C1116" s="189"/>
      <c r="E1116" s="190"/>
      <c r="G1116" s="70"/>
      <c r="H1116" s="70"/>
      <c r="J1116" s="70"/>
      <c r="L1116" s="71"/>
      <c r="N1116" s="70"/>
    </row>
    <row r="1117" spans="1:14" x14ac:dyDescent="0.2">
      <c r="A1117" s="292"/>
      <c r="C1117" s="189"/>
      <c r="E1117" s="190"/>
      <c r="G1117" s="70"/>
      <c r="H1117" s="70"/>
      <c r="J1117" s="70"/>
      <c r="L1117" s="71"/>
      <c r="N1117" s="70"/>
    </row>
    <row r="1118" spans="1:14" x14ac:dyDescent="0.2">
      <c r="A1118" s="292"/>
      <c r="C1118" s="189"/>
      <c r="E1118" s="190"/>
      <c r="G1118" s="70"/>
      <c r="H1118" s="70"/>
      <c r="J1118" s="70"/>
      <c r="L1118" s="71"/>
      <c r="N1118" s="70"/>
    </row>
    <row r="1119" spans="1:14" x14ac:dyDescent="0.2">
      <c r="A1119" s="292"/>
      <c r="C1119" s="189"/>
      <c r="E1119" s="190"/>
      <c r="G1119" s="70"/>
      <c r="H1119" s="70"/>
      <c r="J1119" s="70"/>
      <c r="L1119" s="71"/>
      <c r="N1119" s="70"/>
    </row>
    <row r="1120" spans="1:14" x14ac:dyDescent="0.2">
      <c r="A1120" s="292"/>
      <c r="C1120" s="189"/>
      <c r="E1120" s="190"/>
      <c r="G1120" s="70"/>
      <c r="H1120" s="70"/>
      <c r="J1120" s="70"/>
      <c r="L1120" s="71"/>
      <c r="N1120" s="70"/>
    </row>
    <row r="1121" spans="1:14" x14ac:dyDescent="0.2">
      <c r="A1121" s="292"/>
      <c r="C1121" s="189"/>
      <c r="E1121" s="190"/>
      <c r="G1121" s="70"/>
      <c r="H1121" s="70"/>
      <c r="J1121" s="70"/>
      <c r="L1121" s="71"/>
      <c r="N1121" s="70"/>
    </row>
    <row r="1122" spans="1:14" x14ac:dyDescent="0.2">
      <c r="A1122" s="292"/>
      <c r="C1122" s="189"/>
      <c r="E1122" s="190"/>
      <c r="G1122" s="70"/>
      <c r="H1122" s="70"/>
      <c r="J1122" s="70"/>
      <c r="L1122" s="71"/>
      <c r="N1122" s="70"/>
    </row>
    <row r="1123" spans="1:14" x14ac:dyDescent="0.2">
      <c r="A1123" s="292"/>
      <c r="C1123" s="189"/>
      <c r="E1123" s="190"/>
      <c r="G1123" s="70"/>
      <c r="H1123" s="70"/>
      <c r="J1123" s="70"/>
      <c r="L1123" s="71"/>
      <c r="N1123" s="70"/>
    </row>
    <row r="1124" spans="1:14" x14ac:dyDescent="0.2">
      <c r="A1124" s="292"/>
      <c r="C1124" s="189"/>
      <c r="E1124" s="190"/>
      <c r="G1124" s="70"/>
      <c r="H1124" s="70"/>
      <c r="J1124" s="70"/>
      <c r="L1124" s="71"/>
      <c r="N1124" s="70"/>
    </row>
    <row r="1125" spans="1:14" x14ac:dyDescent="0.2">
      <c r="A1125" s="292"/>
      <c r="C1125" s="189"/>
      <c r="E1125" s="190"/>
      <c r="G1125" s="70"/>
      <c r="H1125" s="70"/>
      <c r="J1125" s="70"/>
      <c r="L1125" s="71"/>
      <c r="N1125" s="70"/>
    </row>
    <row r="1126" spans="1:14" x14ac:dyDescent="0.2">
      <c r="A1126" s="292"/>
      <c r="C1126" s="189"/>
      <c r="E1126" s="190"/>
      <c r="G1126" s="70"/>
      <c r="H1126" s="70"/>
      <c r="J1126" s="70"/>
      <c r="L1126" s="71"/>
      <c r="N1126" s="70"/>
    </row>
    <row r="1127" spans="1:14" x14ac:dyDescent="0.2">
      <c r="A1127" s="292"/>
      <c r="C1127" s="189"/>
      <c r="E1127" s="190"/>
      <c r="G1127" s="70"/>
      <c r="H1127" s="70"/>
      <c r="J1127" s="70"/>
      <c r="L1127" s="71"/>
      <c r="N1127" s="70"/>
    </row>
    <row r="1128" spans="1:14" x14ac:dyDescent="0.2">
      <c r="A1128" s="292"/>
      <c r="C1128" s="189"/>
      <c r="E1128" s="190"/>
      <c r="G1128" s="70"/>
      <c r="H1128" s="70"/>
      <c r="J1128" s="70"/>
      <c r="L1128" s="71"/>
      <c r="N1128" s="70"/>
    </row>
    <row r="1129" spans="1:14" x14ac:dyDescent="0.2">
      <c r="A1129" s="292"/>
      <c r="C1129" s="189"/>
      <c r="E1129" s="190"/>
      <c r="G1129" s="70"/>
      <c r="H1129" s="70"/>
      <c r="J1129" s="70"/>
      <c r="L1129" s="71"/>
      <c r="N1129" s="70"/>
    </row>
    <row r="1130" spans="1:14" x14ac:dyDescent="0.2">
      <c r="A1130" s="292"/>
      <c r="C1130" s="189"/>
      <c r="E1130" s="190"/>
      <c r="G1130" s="70"/>
      <c r="H1130" s="70"/>
      <c r="J1130" s="70"/>
      <c r="L1130" s="71"/>
      <c r="N1130" s="70"/>
    </row>
    <row r="1131" spans="1:14" x14ac:dyDescent="0.2">
      <c r="A1131" s="292"/>
      <c r="C1131" s="189"/>
      <c r="E1131" s="190"/>
      <c r="G1131" s="70"/>
      <c r="H1131" s="70"/>
      <c r="J1131" s="70"/>
      <c r="L1131" s="71"/>
      <c r="N1131" s="70"/>
    </row>
    <row r="1132" spans="1:14" x14ac:dyDescent="0.2">
      <c r="A1132" s="292"/>
      <c r="C1132" s="189"/>
      <c r="E1132" s="190"/>
      <c r="G1132" s="70"/>
      <c r="H1132" s="70"/>
      <c r="J1132" s="70"/>
      <c r="L1132" s="71"/>
      <c r="N1132" s="70"/>
    </row>
    <row r="1133" spans="1:14" x14ac:dyDescent="0.2">
      <c r="A1133" s="292"/>
      <c r="C1133" s="189"/>
      <c r="E1133" s="190"/>
      <c r="G1133" s="70"/>
      <c r="H1133" s="70"/>
      <c r="J1133" s="70"/>
      <c r="L1133" s="71"/>
      <c r="N1133" s="70"/>
    </row>
    <row r="1134" spans="1:14" x14ac:dyDescent="0.2">
      <c r="A1134" s="292"/>
      <c r="C1134" s="189"/>
      <c r="E1134" s="190"/>
      <c r="G1134" s="70"/>
      <c r="H1134" s="70"/>
      <c r="J1134" s="70"/>
      <c r="L1134" s="71"/>
      <c r="N1134" s="70"/>
    </row>
    <row r="1135" spans="1:14" x14ac:dyDescent="0.2">
      <c r="A1135" s="292"/>
      <c r="C1135" s="189"/>
      <c r="E1135" s="190"/>
      <c r="G1135" s="70"/>
      <c r="H1135" s="70"/>
      <c r="J1135" s="70"/>
      <c r="L1135" s="71"/>
      <c r="N1135" s="70"/>
    </row>
    <row r="1136" spans="1:14" x14ac:dyDescent="0.2">
      <c r="A1136" s="292"/>
      <c r="C1136" s="189"/>
      <c r="E1136" s="190"/>
      <c r="G1136" s="70"/>
      <c r="H1136" s="70"/>
      <c r="J1136" s="70"/>
      <c r="L1136" s="71"/>
      <c r="N1136" s="70"/>
    </row>
    <row r="1137" spans="1:14" x14ac:dyDescent="0.2">
      <c r="A1137" s="292"/>
      <c r="C1137" s="189"/>
      <c r="E1137" s="190"/>
      <c r="G1137" s="70"/>
      <c r="H1137" s="70"/>
      <c r="J1137" s="70"/>
      <c r="L1137" s="71"/>
      <c r="N1137" s="70"/>
    </row>
    <row r="1138" spans="1:14" x14ac:dyDescent="0.2">
      <c r="A1138" s="292"/>
      <c r="C1138" s="189"/>
      <c r="E1138" s="190"/>
      <c r="G1138" s="70"/>
      <c r="H1138" s="70"/>
      <c r="J1138" s="70"/>
      <c r="L1138" s="71"/>
      <c r="N1138" s="70"/>
    </row>
    <row r="1139" spans="1:14" x14ac:dyDescent="0.2">
      <c r="A1139" s="292"/>
      <c r="C1139" s="189"/>
      <c r="E1139" s="190"/>
      <c r="G1139" s="70"/>
      <c r="H1139" s="70"/>
      <c r="J1139" s="70"/>
      <c r="L1139" s="71"/>
      <c r="N1139" s="70"/>
    </row>
    <row r="1140" spans="1:14" x14ac:dyDescent="0.2">
      <c r="A1140" s="292"/>
      <c r="C1140" s="189"/>
      <c r="E1140" s="190"/>
      <c r="G1140" s="70"/>
      <c r="H1140" s="70"/>
      <c r="J1140" s="70"/>
      <c r="L1140" s="71"/>
      <c r="N1140" s="70"/>
    </row>
    <row r="1141" spans="1:14" x14ac:dyDescent="0.2">
      <c r="A1141" s="292"/>
      <c r="C1141" s="189"/>
      <c r="E1141" s="190"/>
      <c r="G1141" s="70"/>
      <c r="H1141" s="70"/>
      <c r="J1141" s="70"/>
      <c r="L1141" s="71"/>
      <c r="N1141" s="70"/>
    </row>
    <row r="1142" spans="1:14" x14ac:dyDescent="0.2">
      <c r="A1142" s="292"/>
      <c r="C1142" s="189"/>
      <c r="E1142" s="190"/>
      <c r="G1142" s="70"/>
      <c r="H1142" s="70"/>
      <c r="J1142" s="70"/>
      <c r="L1142" s="71"/>
      <c r="N1142" s="70"/>
    </row>
    <row r="1143" spans="1:14" x14ac:dyDescent="0.2">
      <c r="A1143" s="292"/>
      <c r="C1143" s="189"/>
      <c r="E1143" s="190"/>
      <c r="G1143" s="70"/>
      <c r="H1143" s="70"/>
      <c r="J1143" s="70"/>
      <c r="L1143" s="71"/>
      <c r="N1143" s="70"/>
    </row>
    <row r="1144" spans="1:14" x14ac:dyDescent="0.2">
      <c r="A1144" s="292"/>
      <c r="C1144" s="189"/>
      <c r="E1144" s="190"/>
      <c r="G1144" s="70"/>
      <c r="H1144" s="70"/>
      <c r="J1144" s="70"/>
      <c r="L1144" s="71"/>
      <c r="N1144" s="70"/>
    </row>
    <row r="1145" spans="1:14" x14ac:dyDescent="0.2">
      <c r="A1145" s="292"/>
      <c r="C1145" s="189"/>
      <c r="E1145" s="190"/>
      <c r="G1145" s="70"/>
      <c r="H1145" s="70"/>
      <c r="J1145" s="70"/>
      <c r="L1145" s="71"/>
      <c r="N1145" s="70"/>
    </row>
    <row r="1146" spans="1:14" x14ac:dyDescent="0.2">
      <c r="A1146" s="292"/>
      <c r="C1146" s="189"/>
      <c r="E1146" s="190"/>
      <c r="G1146" s="70"/>
      <c r="H1146" s="70"/>
      <c r="J1146" s="70"/>
      <c r="L1146" s="71"/>
      <c r="N1146" s="70"/>
    </row>
    <row r="1147" spans="1:14" x14ac:dyDescent="0.2">
      <c r="A1147" s="292"/>
      <c r="C1147" s="189"/>
      <c r="E1147" s="190"/>
      <c r="G1147" s="70"/>
      <c r="H1147" s="70"/>
      <c r="J1147" s="70"/>
      <c r="L1147" s="71"/>
      <c r="N1147" s="70"/>
    </row>
    <row r="1148" spans="1:14" x14ac:dyDescent="0.2">
      <c r="A1148" s="292"/>
      <c r="C1148" s="189"/>
      <c r="E1148" s="190"/>
      <c r="G1148" s="70"/>
      <c r="H1148" s="70"/>
      <c r="J1148" s="70"/>
      <c r="L1148" s="71"/>
      <c r="N1148" s="70"/>
    </row>
    <row r="1149" spans="1:14" x14ac:dyDescent="0.2">
      <c r="A1149" s="292"/>
      <c r="C1149" s="189"/>
      <c r="E1149" s="190"/>
      <c r="G1149" s="70"/>
      <c r="H1149" s="70"/>
      <c r="J1149" s="70"/>
      <c r="L1149" s="71"/>
      <c r="N1149" s="70"/>
    </row>
    <row r="1150" spans="1:14" x14ac:dyDescent="0.2">
      <c r="A1150" s="292"/>
      <c r="C1150" s="189"/>
      <c r="E1150" s="190"/>
      <c r="G1150" s="70"/>
      <c r="H1150" s="70"/>
      <c r="J1150" s="70"/>
      <c r="L1150" s="71"/>
      <c r="N1150" s="70"/>
    </row>
    <row r="1151" spans="1:14" x14ac:dyDescent="0.2">
      <c r="A1151" s="292"/>
      <c r="C1151" s="189"/>
      <c r="E1151" s="190"/>
      <c r="G1151" s="70"/>
      <c r="H1151" s="70"/>
      <c r="J1151" s="70"/>
      <c r="L1151" s="71"/>
      <c r="N1151" s="70"/>
    </row>
    <row r="1152" spans="1:14" x14ac:dyDescent="0.2">
      <c r="A1152" s="292"/>
      <c r="C1152" s="189"/>
      <c r="E1152" s="190"/>
      <c r="G1152" s="70"/>
      <c r="H1152" s="70"/>
      <c r="J1152" s="70"/>
      <c r="L1152" s="71"/>
      <c r="N1152" s="70"/>
    </row>
    <row r="1153" spans="1:14" x14ac:dyDescent="0.2">
      <c r="A1153" s="292"/>
      <c r="C1153" s="189"/>
      <c r="E1153" s="190"/>
      <c r="G1153" s="70"/>
      <c r="H1153" s="70"/>
      <c r="J1153" s="70"/>
      <c r="L1153" s="71"/>
      <c r="N1153" s="70"/>
    </row>
    <row r="1154" spans="1:14" x14ac:dyDescent="0.2">
      <c r="A1154" s="292"/>
      <c r="C1154" s="189"/>
      <c r="E1154" s="190"/>
      <c r="G1154" s="70"/>
      <c r="H1154" s="70"/>
      <c r="J1154" s="70"/>
      <c r="L1154" s="71"/>
      <c r="N1154" s="70"/>
    </row>
    <row r="1155" spans="1:14" x14ac:dyDescent="0.2">
      <c r="A1155" s="292"/>
      <c r="C1155" s="189"/>
      <c r="E1155" s="190"/>
      <c r="G1155" s="70"/>
      <c r="H1155" s="70"/>
      <c r="J1155" s="70"/>
      <c r="L1155" s="71"/>
      <c r="N1155" s="70"/>
    </row>
    <row r="1156" spans="1:14" x14ac:dyDescent="0.2">
      <c r="A1156" s="292"/>
      <c r="C1156" s="189"/>
      <c r="E1156" s="190"/>
      <c r="G1156" s="70"/>
      <c r="H1156" s="70"/>
      <c r="J1156" s="70"/>
      <c r="L1156" s="71"/>
      <c r="N1156" s="70"/>
    </row>
    <row r="1157" spans="1:14" x14ac:dyDescent="0.2">
      <c r="A1157" s="292"/>
      <c r="C1157" s="189"/>
      <c r="E1157" s="190"/>
      <c r="G1157" s="70"/>
      <c r="H1157" s="70"/>
      <c r="J1157" s="70"/>
      <c r="L1157" s="71"/>
      <c r="N1157" s="70"/>
    </row>
    <row r="1158" spans="1:14" x14ac:dyDescent="0.2">
      <c r="A1158" s="292"/>
      <c r="C1158" s="189"/>
      <c r="E1158" s="190"/>
      <c r="G1158" s="70"/>
      <c r="H1158" s="70"/>
      <c r="J1158" s="70"/>
      <c r="L1158" s="71"/>
      <c r="N1158" s="70"/>
    </row>
    <row r="1159" spans="1:14" x14ac:dyDescent="0.2">
      <c r="A1159" s="292"/>
      <c r="C1159" s="189"/>
      <c r="E1159" s="190"/>
      <c r="G1159" s="70"/>
      <c r="H1159" s="70"/>
      <c r="J1159" s="70"/>
      <c r="L1159" s="71"/>
      <c r="N1159" s="70"/>
    </row>
    <row r="1160" spans="1:14" x14ac:dyDescent="0.2">
      <c r="A1160" s="292"/>
      <c r="C1160" s="189"/>
      <c r="E1160" s="190"/>
      <c r="G1160" s="70"/>
      <c r="H1160" s="70"/>
      <c r="J1160" s="70"/>
      <c r="L1160" s="71"/>
      <c r="N1160" s="70"/>
    </row>
    <row r="1161" spans="1:14" x14ac:dyDescent="0.2">
      <c r="A1161" s="292"/>
      <c r="C1161" s="189"/>
      <c r="E1161" s="190"/>
      <c r="G1161" s="70"/>
      <c r="H1161" s="70"/>
      <c r="J1161" s="70"/>
      <c r="L1161" s="71"/>
      <c r="N1161" s="70"/>
    </row>
    <row r="1162" spans="1:14" x14ac:dyDescent="0.2">
      <c r="A1162" s="292"/>
      <c r="C1162" s="189"/>
      <c r="E1162" s="190"/>
      <c r="G1162" s="70"/>
      <c r="H1162" s="70"/>
      <c r="J1162" s="70"/>
      <c r="L1162" s="71"/>
      <c r="N1162" s="70"/>
    </row>
    <row r="1163" spans="1:14" x14ac:dyDescent="0.2">
      <c r="A1163" s="292"/>
      <c r="C1163" s="189"/>
      <c r="E1163" s="190"/>
      <c r="G1163" s="70"/>
      <c r="H1163" s="70"/>
      <c r="J1163" s="70"/>
      <c r="L1163" s="71"/>
      <c r="N1163" s="70"/>
    </row>
    <row r="1164" spans="1:14" x14ac:dyDescent="0.2">
      <c r="A1164" s="292"/>
      <c r="C1164" s="189"/>
      <c r="E1164" s="190"/>
      <c r="G1164" s="70"/>
      <c r="H1164" s="70"/>
      <c r="J1164" s="70"/>
      <c r="L1164" s="71"/>
      <c r="N1164" s="70"/>
    </row>
    <row r="1165" spans="1:14" x14ac:dyDescent="0.2">
      <c r="A1165" s="292"/>
      <c r="C1165" s="189"/>
      <c r="E1165" s="190"/>
      <c r="G1165" s="70"/>
      <c r="H1165" s="70"/>
      <c r="J1165" s="70"/>
      <c r="L1165" s="71"/>
      <c r="N1165" s="70"/>
    </row>
    <row r="1166" spans="1:14" x14ac:dyDescent="0.2">
      <c r="A1166" s="292"/>
      <c r="C1166" s="189"/>
      <c r="E1166" s="190"/>
      <c r="G1166" s="70"/>
      <c r="H1166" s="70"/>
      <c r="J1166" s="70"/>
      <c r="L1166" s="71"/>
      <c r="N1166" s="70"/>
    </row>
    <row r="1167" spans="1:14" x14ac:dyDescent="0.2">
      <c r="A1167" s="292"/>
      <c r="C1167" s="189"/>
      <c r="E1167" s="190"/>
      <c r="G1167" s="70"/>
      <c r="H1167" s="70"/>
      <c r="J1167" s="70"/>
      <c r="L1167" s="71"/>
      <c r="N1167" s="70"/>
    </row>
    <row r="1168" spans="1:14" x14ac:dyDescent="0.2">
      <c r="A1168" s="292"/>
      <c r="C1168" s="189"/>
      <c r="E1168" s="190"/>
      <c r="G1168" s="70"/>
      <c r="H1168" s="70"/>
      <c r="J1168" s="70"/>
      <c r="L1168" s="71"/>
      <c r="N1168" s="70"/>
    </row>
    <row r="1169" spans="1:14" x14ac:dyDescent="0.2">
      <c r="A1169" s="292"/>
      <c r="C1169" s="189"/>
      <c r="E1169" s="190"/>
      <c r="G1169" s="70"/>
      <c r="H1169" s="70"/>
      <c r="J1169" s="70"/>
      <c r="L1169" s="71"/>
      <c r="N1169" s="70"/>
    </row>
    <row r="1170" spans="1:14" x14ac:dyDescent="0.2">
      <c r="A1170" s="292"/>
      <c r="C1170" s="189"/>
      <c r="E1170" s="190"/>
      <c r="G1170" s="70"/>
      <c r="H1170" s="70"/>
      <c r="J1170" s="70"/>
      <c r="L1170" s="71"/>
      <c r="N1170" s="70"/>
    </row>
    <row r="1171" spans="1:14" x14ac:dyDescent="0.2">
      <c r="A1171" s="292"/>
      <c r="C1171" s="189"/>
      <c r="E1171" s="190"/>
      <c r="G1171" s="70"/>
      <c r="H1171" s="70"/>
      <c r="J1171" s="70"/>
      <c r="L1171" s="71"/>
      <c r="N1171" s="70"/>
    </row>
    <row r="1172" spans="1:14" x14ac:dyDescent="0.2">
      <c r="A1172" s="292"/>
      <c r="C1172" s="189"/>
      <c r="E1172" s="190"/>
      <c r="G1172" s="70"/>
      <c r="H1172" s="70"/>
      <c r="J1172" s="70"/>
      <c r="L1172" s="71"/>
      <c r="N1172" s="70"/>
    </row>
    <row r="1173" spans="1:14" x14ac:dyDescent="0.2">
      <c r="A1173" s="292"/>
      <c r="C1173" s="189"/>
      <c r="E1173" s="190"/>
      <c r="G1173" s="70"/>
      <c r="H1173" s="70"/>
      <c r="J1173" s="70"/>
      <c r="L1173" s="71"/>
      <c r="N1173" s="70"/>
    </row>
    <row r="1174" spans="1:14" x14ac:dyDescent="0.2">
      <c r="A1174" s="292"/>
      <c r="C1174" s="189"/>
      <c r="E1174" s="190"/>
      <c r="G1174" s="70"/>
      <c r="H1174" s="70"/>
      <c r="J1174" s="70"/>
      <c r="L1174" s="71"/>
      <c r="N1174" s="70"/>
    </row>
    <row r="1175" spans="1:14" x14ac:dyDescent="0.2">
      <c r="A1175" s="292"/>
      <c r="C1175" s="189"/>
      <c r="E1175" s="190"/>
      <c r="G1175" s="70"/>
      <c r="H1175" s="70"/>
      <c r="J1175" s="70"/>
      <c r="L1175" s="71"/>
      <c r="N1175" s="70"/>
    </row>
    <row r="1176" spans="1:14" x14ac:dyDescent="0.2">
      <c r="A1176" s="292"/>
      <c r="C1176" s="189"/>
      <c r="E1176" s="190"/>
      <c r="G1176" s="70"/>
      <c r="H1176" s="70"/>
      <c r="J1176" s="70"/>
      <c r="L1176" s="71"/>
      <c r="N1176" s="70"/>
    </row>
    <row r="1177" spans="1:14" x14ac:dyDescent="0.2">
      <c r="A1177" s="292"/>
      <c r="C1177" s="189"/>
      <c r="E1177" s="190"/>
      <c r="G1177" s="70"/>
      <c r="H1177" s="70"/>
      <c r="J1177" s="70"/>
      <c r="L1177" s="71"/>
      <c r="N1177" s="70"/>
    </row>
    <row r="1178" spans="1:14" x14ac:dyDescent="0.2">
      <c r="A1178" s="292"/>
      <c r="C1178" s="189"/>
      <c r="E1178" s="190"/>
      <c r="G1178" s="70"/>
      <c r="H1178" s="70"/>
      <c r="J1178" s="70"/>
      <c r="L1178" s="71"/>
      <c r="N1178" s="70"/>
    </row>
    <row r="1179" spans="1:14" x14ac:dyDescent="0.2">
      <c r="A1179" s="292"/>
      <c r="C1179" s="189"/>
      <c r="E1179" s="190"/>
      <c r="G1179" s="70"/>
      <c r="H1179" s="70"/>
      <c r="J1179" s="70"/>
      <c r="L1179" s="71"/>
      <c r="N1179" s="70"/>
    </row>
    <row r="1180" spans="1:14" x14ac:dyDescent="0.2">
      <c r="A1180" s="292"/>
      <c r="C1180" s="189"/>
      <c r="E1180" s="190"/>
      <c r="G1180" s="70"/>
      <c r="H1180" s="70"/>
      <c r="J1180" s="70"/>
      <c r="L1180" s="71"/>
      <c r="N1180" s="70"/>
    </row>
    <row r="1181" spans="1:14" x14ac:dyDescent="0.2">
      <c r="A1181" s="292"/>
      <c r="C1181" s="189"/>
      <c r="E1181" s="190"/>
      <c r="G1181" s="70"/>
      <c r="H1181" s="70"/>
      <c r="J1181" s="70"/>
      <c r="L1181" s="71"/>
      <c r="N1181" s="70"/>
    </row>
    <row r="1182" spans="1:14" x14ac:dyDescent="0.2">
      <c r="A1182" s="292"/>
      <c r="C1182" s="189"/>
      <c r="E1182" s="190"/>
      <c r="G1182" s="70"/>
      <c r="H1182" s="70"/>
      <c r="J1182" s="70"/>
      <c r="L1182" s="71"/>
      <c r="N1182" s="70"/>
    </row>
    <row r="1183" spans="1:14" x14ac:dyDescent="0.2">
      <c r="A1183" s="292"/>
      <c r="C1183" s="189"/>
      <c r="E1183" s="190"/>
      <c r="G1183" s="70"/>
      <c r="H1183" s="70"/>
      <c r="J1183" s="70"/>
      <c r="L1183" s="71"/>
      <c r="N1183" s="70"/>
    </row>
    <row r="1184" spans="1:14" x14ac:dyDescent="0.2">
      <c r="A1184" s="292"/>
      <c r="C1184" s="189"/>
      <c r="E1184" s="190"/>
      <c r="G1184" s="70"/>
      <c r="H1184" s="70"/>
      <c r="J1184" s="70"/>
      <c r="L1184" s="71"/>
      <c r="N1184" s="70"/>
    </row>
    <row r="1185" spans="1:14" x14ac:dyDescent="0.2">
      <c r="A1185" s="292"/>
      <c r="C1185" s="189"/>
      <c r="E1185" s="190"/>
      <c r="G1185" s="70"/>
      <c r="H1185" s="70"/>
      <c r="J1185" s="70"/>
      <c r="L1185" s="71"/>
      <c r="N1185" s="70"/>
    </row>
    <row r="1186" spans="1:14" x14ac:dyDescent="0.2">
      <c r="A1186" s="292"/>
      <c r="C1186" s="189"/>
      <c r="E1186" s="190"/>
      <c r="G1186" s="70"/>
      <c r="H1186" s="70"/>
      <c r="J1186" s="70"/>
      <c r="L1186" s="71"/>
      <c r="N1186" s="70"/>
    </row>
    <row r="1187" spans="1:14" x14ac:dyDescent="0.2">
      <c r="A1187" s="292"/>
      <c r="C1187" s="189"/>
      <c r="E1187" s="190"/>
      <c r="G1187" s="70"/>
      <c r="H1187" s="70"/>
      <c r="J1187" s="70"/>
      <c r="L1187" s="71"/>
      <c r="N1187" s="70"/>
    </row>
    <row r="1188" spans="1:14" x14ac:dyDescent="0.2">
      <c r="A1188" s="292"/>
      <c r="C1188" s="189"/>
      <c r="E1188" s="190"/>
      <c r="G1188" s="70"/>
      <c r="H1188" s="70"/>
      <c r="J1188" s="70"/>
      <c r="L1188" s="71"/>
      <c r="N1188" s="70"/>
    </row>
    <row r="1189" spans="1:14" x14ac:dyDescent="0.2">
      <c r="A1189" s="292"/>
      <c r="C1189" s="189"/>
      <c r="E1189" s="190"/>
      <c r="G1189" s="70"/>
      <c r="H1189" s="70"/>
      <c r="J1189" s="70"/>
      <c r="L1189" s="71"/>
      <c r="N1189" s="70"/>
    </row>
    <row r="1190" spans="1:14" x14ac:dyDescent="0.2">
      <c r="A1190" s="292"/>
      <c r="C1190" s="189"/>
      <c r="E1190" s="190"/>
      <c r="G1190" s="70"/>
      <c r="H1190" s="70"/>
      <c r="J1190" s="70"/>
      <c r="L1190" s="71"/>
      <c r="N1190" s="70"/>
    </row>
    <row r="1191" spans="1:14" x14ac:dyDescent="0.2">
      <c r="A1191" s="292"/>
      <c r="C1191" s="189"/>
      <c r="E1191" s="190"/>
      <c r="G1191" s="70"/>
      <c r="H1191" s="70"/>
      <c r="J1191" s="70"/>
      <c r="L1191" s="71"/>
      <c r="N1191" s="70"/>
    </row>
    <row r="1192" spans="1:14" x14ac:dyDescent="0.2">
      <c r="A1192" s="292"/>
      <c r="C1192" s="189"/>
      <c r="E1192" s="190"/>
      <c r="G1192" s="70"/>
      <c r="H1192" s="70"/>
      <c r="J1192" s="70"/>
      <c r="L1192" s="71"/>
      <c r="N1192" s="70"/>
    </row>
    <row r="1193" spans="1:14" x14ac:dyDescent="0.2">
      <c r="A1193" s="292"/>
      <c r="C1193" s="189"/>
      <c r="E1193" s="190"/>
      <c r="G1193" s="70"/>
      <c r="H1193" s="70"/>
      <c r="J1193" s="70"/>
      <c r="L1193" s="71"/>
      <c r="N1193" s="70"/>
    </row>
    <row r="1194" spans="1:14" x14ac:dyDescent="0.2">
      <c r="A1194" s="292"/>
      <c r="C1194" s="189"/>
      <c r="E1194" s="190"/>
      <c r="G1194" s="70"/>
      <c r="H1194" s="70"/>
      <c r="J1194" s="70"/>
      <c r="L1194" s="71"/>
      <c r="N1194" s="70"/>
    </row>
    <row r="1195" spans="1:14" x14ac:dyDescent="0.2">
      <c r="A1195" s="292"/>
      <c r="C1195" s="189"/>
      <c r="E1195" s="190"/>
      <c r="G1195" s="70"/>
      <c r="H1195" s="70"/>
      <c r="J1195" s="70"/>
      <c r="L1195" s="71"/>
      <c r="N1195" s="70"/>
    </row>
    <row r="1196" spans="1:14" x14ac:dyDescent="0.2">
      <c r="A1196" s="292"/>
      <c r="C1196" s="189"/>
      <c r="E1196" s="190"/>
      <c r="G1196" s="70"/>
      <c r="H1196" s="70"/>
      <c r="J1196" s="70"/>
      <c r="L1196" s="71"/>
      <c r="N1196" s="70"/>
    </row>
    <row r="1197" spans="1:14" x14ac:dyDescent="0.2">
      <c r="A1197" s="292"/>
      <c r="C1197" s="189"/>
      <c r="E1197" s="190"/>
      <c r="G1197" s="70"/>
      <c r="H1197" s="70"/>
      <c r="J1197" s="70"/>
      <c r="L1197" s="71"/>
      <c r="N1197" s="70"/>
    </row>
    <row r="1198" spans="1:14" x14ac:dyDescent="0.2">
      <c r="A1198" s="292"/>
      <c r="C1198" s="189"/>
      <c r="E1198" s="190"/>
      <c r="G1198" s="70"/>
      <c r="H1198" s="70"/>
      <c r="J1198" s="70"/>
      <c r="L1198" s="71"/>
      <c r="N1198" s="70"/>
    </row>
    <row r="1199" spans="1:14" x14ac:dyDescent="0.2">
      <c r="A1199" s="292"/>
      <c r="C1199" s="189"/>
      <c r="E1199" s="190"/>
      <c r="G1199" s="70"/>
      <c r="H1199" s="70"/>
      <c r="J1199" s="70"/>
      <c r="L1199" s="71"/>
      <c r="N1199" s="70"/>
    </row>
    <row r="1200" spans="1:14" x14ac:dyDescent="0.2">
      <c r="A1200" s="292"/>
      <c r="C1200" s="189"/>
      <c r="E1200" s="190"/>
      <c r="G1200" s="70"/>
      <c r="H1200" s="70"/>
      <c r="J1200" s="70"/>
      <c r="L1200" s="71"/>
      <c r="N1200" s="70"/>
    </row>
    <row r="1201" spans="1:14" x14ac:dyDescent="0.2">
      <c r="A1201" s="292"/>
      <c r="C1201" s="189"/>
      <c r="E1201" s="190"/>
      <c r="G1201" s="70"/>
      <c r="H1201" s="70"/>
      <c r="J1201" s="70"/>
      <c r="L1201" s="71"/>
      <c r="N1201" s="70"/>
    </row>
    <row r="1202" spans="1:14" x14ac:dyDescent="0.2">
      <c r="A1202" s="292"/>
      <c r="C1202" s="189"/>
      <c r="E1202" s="190"/>
      <c r="G1202" s="70"/>
      <c r="H1202" s="70"/>
      <c r="J1202" s="70"/>
      <c r="L1202" s="71"/>
      <c r="N1202" s="70"/>
    </row>
    <row r="1203" spans="1:14" x14ac:dyDescent="0.2">
      <c r="A1203" s="292"/>
      <c r="C1203" s="189"/>
      <c r="E1203" s="190"/>
      <c r="G1203" s="70"/>
      <c r="H1203" s="70"/>
      <c r="J1203" s="70"/>
      <c r="L1203" s="71"/>
      <c r="N1203" s="70"/>
    </row>
    <row r="1204" spans="1:14" x14ac:dyDescent="0.2">
      <c r="A1204" s="292"/>
      <c r="C1204" s="189"/>
      <c r="E1204" s="190"/>
      <c r="G1204" s="70"/>
      <c r="H1204" s="70"/>
      <c r="J1204" s="70"/>
      <c r="L1204" s="71"/>
      <c r="N1204" s="70"/>
    </row>
    <row r="1205" spans="1:14" x14ac:dyDescent="0.2">
      <c r="A1205" s="292"/>
      <c r="C1205" s="189"/>
      <c r="E1205" s="190"/>
      <c r="G1205" s="70"/>
      <c r="H1205" s="70"/>
      <c r="J1205" s="70"/>
      <c r="L1205" s="71"/>
      <c r="N1205" s="70"/>
    </row>
    <row r="1206" spans="1:14" x14ac:dyDescent="0.2">
      <c r="A1206" s="292"/>
      <c r="C1206" s="189"/>
      <c r="E1206" s="190"/>
      <c r="G1206" s="70"/>
      <c r="H1206" s="70"/>
      <c r="J1206" s="70"/>
      <c r="L1206" s="71"/>
      <c r="N1206" s="70"/>
    </row>
    <row r="1207" spans="1:14" x14ac:dyDescent="0.2">
      <c r="A1207" s="292"/>
      <c r="C1207" s="189"/>
      <c r="E1207" s="190"/>
      <c r="G1207" s="70"/>
      <c r="H1207" s="70"/>
      <c r="J1207" s="70"/>
      <c r="L1207" s="71"/>
      <c r="N1207" s="70"/>
    </row>
    <row r="1208" spans="1:14" x14ac:dyDescent="0.2">
      <c r="A1208" s="292"/>
      <c r="C1208" s="189"/>
      <c r="E1208" s="190"/>
      <c r="G1208" s="70"/>
      <c r="H1208" s="70"/>
      <c r="J1208" s="70"/>
      <c r="L1208" s="71"/>
      <c r="N1208" s="70"/>
    </row>
    <row r="1209" spans="1:14" x14ac:dyDescent="0.2">
      <c r="A1209" s="292"/>
      <c r="C1209" s="189"/>
      <c r="E1209" s="190"/>
      <c r="G1209" s="70"/>
      <c r="H1209" s="70"/>
      <c r="J1209" s="70"/>
      <c r="L1209" s="71"/>
      <c r="N1209" s="70"/>
    </row>
    <row r="1210" spans="1:14" x14ac:dyDescent="0.2">
      <c r="A1210" s="292"/>
      <c r="C1210" s="189"/>
      <c r="E1210" s="190"/>
      <c r="G1210" s="70"/>
      <c r="H1210" s="70"/>
      <c r="J1210" s="70"/>
      <c r="L1210" s="71"/>
      <c r="N1210" s="70"/>
    </row>
    <row r="1211" spans="1:14" x14ac:dyDescent="0.2">
      <c r="A1211" s="292"/>
      <c r="C1211" s="189"/>
      <c r="E1211" s="190"/>
      <c r="G1211" s="70"/>
      <c r="H1211" s="70"/>
      <c r="J1211" s="70"/>
      <c r="L1211" s="71"/>
      <c r="N1211" s="70"/>
    </row>
    <row r="1212" spans="1:14" x14ac:dyDescent="0.2">
      <c r="A1212" s="292"/>
      <c r="C1212" s="189"/>
      <c r="E1212" s="190"/>
      <c r="G1212" s="70"/>
      <c r="H1212" s="70"/>
      <c r="J1212" s="70"/>
      <c r="L1212" s="71"/>
      <c r="N1212" s="70"/>
    </row>
    <row r="1213" spans="1:14" x14ac:dyDescent="0.2">
      <c r="A1213" s="292"/>
      <c r="C1213" s="189"/>
      <c r="E1213" s="190"/>
      <c r="G1213" s="70"/>
      <c r="H1213" s="70"/>
      <c r="J1213" s="70"/>
      <c r="L1213" s="71"/>
      <c r="N1213" s="70"/>
    </row>
    <row r="1214" spans="1:14" x14ac:dyDescent="0.2">
      <c r="A1214" s="292"/>
      <c r="C1214" s="189"/>
      <c r="E1214" s="190"/>
      <c r="G1214" s="70"/>
      <c r="H1214" s="70"/>
      <c r="J1214" s="70"/>
      <c r="L1214" s="71"/>
      <c r="N1214" s="70"/>
    </row>
    <row r="1215" spans="1:14" x14ac:dyDescent="0.2">
      <c r="A1215" s="292"/>
      <c r="C1215" s="189"/>
      <c r="E1215" s="190"/>
      <c r="G1215" s="70"/>
      <c r="H1215" s="70"/>
      <c r="J1215" s="70"/>
      <c r="L1215" s="71"/>
      <c r="N1215" s="70"/>
    </row>
    <row r="1216" spans="1:14" x14ac:dyDescent="0.2">
      <c r="A1216" s="292"/>
      <c r="C1216" s="189"/>
      <c r="E1216" s="190"/>
      <c r="G1216" s="70"/>
      <c r="H1216" s="70"/>
      <c r="J1216" s="70"/>
      <c r="L1216" s="71"/>
      <c r="N1216" s="70"/>
    </row>
    <row r="1217" spans="1:14" x14ac:dyDescent="0.2">
      <c r="A1217" s="292"/>
      <c r="C1217" s="189"/>
      <c r="E1217" s="190"/>
      <c r="G1217" s="70"/>
      <c r="H1217" s="70"/>
      <c r="J1217" s="70"/>
      <c r="L1217" s="71"/>
      <c r="N1217" s="70"/>
    </row>
    <row r="1218" spans="1:14" x14ac:dyDescent="0.2">
      <c r="A1218" s="292"/>
      <c r="C1218" s="189"/>
      <c r="E1218" s="190"/>
      <c r="G1218" s="70"/>
      <c r="H1218" s="70"/>
      <c r="J1218" s="70"/>
      <c r="L1218" s="71"/>
      <c r="N1218" s="70"/>
    </row>
    <row r="1219" spans="1:14" x14ac:dyDescent="0.2">
      <c r="A1219" s="292"/>
      <c r="C1219" s="189"/>
      <c r="E1219" s="190"/>
      <c r="G1219" s="70"/>
      <c r="H1219" s="70"/>
      <c r="J1219" s="70"/>
      <c r="L1219" s="71"/>
      <c r="N1219" s="70"/>
    </row>
    <row r="1220" spans="1:14" x14ac:dyDescent="0.2">
      <c r="A1220" s="292"/>
      <c r="C1220" s="189"/>
      <c r="E1220" s="190"/>
      <c r="G1220" s="70"/>
      <c r="H1220" s="70"/>
      <c r="J1220" s="70"/>
      <c r="L1220" s="71"/>
      <c r="N1220" s="70"/>
    </row>
    <row r="1221" spans="1:14" x14ac:dyDescent="0.2">
      <c r="A1221" s="292"/>
      <c r="C1221" s="189"/>
      <c r="E1221" s="190"/>
      <c r="G1221" s="70"/>
      <c r="H1221" s="70"/>
      <c r="J1221" s="70"/>
      <c r="L1221" s="71"/>
      <c r="N1221" s="70"/>
    </row>
    <row r="1222" spans="1:14" x14ac:dyDescent="0.2">
      <c r="A1222" s="292"/>
      <c r="C1222" s="189"/>
      <c r="E1222" s="190"/>
      <c r="G1222" s="70"/>
      <c r="H1222" s="70"/>
      <c r="J1222" s="70"/>
      <c r="L1222" s="71"/>
      <c r="N1222" s="70"/>
    </row>
    <row r="1223" spans="1:14" x14ac:dyDescent="0.2">
      <c r="A1223" s="292"/>
      <c r="C1223" s="189"/>
      <c r="E1223" s="190"/>
      <c r="G1223" s="70"/>
      <c r="H1223" s="70"/>
      <c r="J1223" s="70"/>
      <c r="L1223" s="71"/>
      <c r="N1223" s="70"/>
    </row>
    <row r="1224" spans="1:14" x14ac:dyDescent="0.2">
      <c r="A1224" s="292"/>
      <c r="C1224" s="189"/>
      <c r="E1224" s="190"/>
      <c r="G1224" s="70"/>
      <c r="H1224" s="70"/>
      <c r="J1224" s="70"/>
      <c r="L1224" s="71"/>
      <c r="N1224" s="70"/>
    </row>
    <row r="1225" spans="1:14" x14ac:dyDescent="0.2">
      <c r="A1225" s="292"/>
      <c r="C1225" s="189"/>
      <c r="E1225" s="190"/>
      <c r="G1225" s="70"/>
      <c r="H1225" s="70"/>
      <c r="J1225" s="70"/>
      <c r="L1225" s="71"/>
      <c r="N1225" s="70"/>
    </row>
    <row r="1226" spans="1:14" x14ac:dyDescent="0.2">
      <c r="A1226" s="292"/>
      <c r="C1226" s="189"/>
      <c r="E1226" s="190"/>
      <c r="G1226" s="70"/>
      <c r="H1226" s="70"/>
      <c r="J1226" s="70"/>
      <c r="L1226" s="71"/>
      <c r="N1226" s="70"/>
    </row>
    <row r="1227" spans="1:14" x14ac:dyDescent="0.2">
      <c r="A1227" s="292"/>
      <c r="C1227" s="189"/>
      <c r="E1227" s="190"/>
      <c r="G1227" s="70"/>
      <c r="H1227" s="70"/>
      <c r="J1227" s="70"/>
      <c r="L1227" s="71"/>
      <c r="N1227" s="70"/>
    </row>
    <row r="1228" spans="1:14" x14ac:dyDescent="0.2">
      <c r="A1228" s="292"/>
      <c r="C1228" s="189"/>
      <c r="E1228" s="190"/>
      <c r="G1228" s="70"/>
      <c r="H1228" s="70"/>
      <c r="J1228" s="70"/>
      <c r="L1228" s="71"/>
      <c r="N1228" s="70"/>
    </row>
    <row r="1229" spans="1:14" x14ac:dyDescent="0.2">
      <c r="A1229" s="292"/>
      <c r="C1229" s="189"/>
      <c r="E1229" s="190"/>
      <c r="G1229" s="70"/>
      <c r="H1229" s="70"/>
      <c r="J1229" s="70"/>
      <c r="L1229" s="71"/>
      <c r="N1229" s="70"/>
    </row>
    <row r="1230" spans="1:14" x14ac:dyDescent="0.2">
      <c r="A1230" s="292"/>
      <c r="C1230" s="189"/>
      <c r="E1230" s="190"/>
      <c r="G1230" s="70"/>
      <c r="H1230" s="70"/>
      <c r="J1230" s="70"/>
      <c r="L1230" s="71"/>
      <c r="N1230" s="70"/>
    </row>
    <row r="1231" spans="1:14" x14ac:dyDescent="0.2">
      <c r="A1231" s="292"/>
      <c r="C1231" s="189"/>
      <c r="E1231" s="190"/>
      <c r="G1231" s="70"/>
      <c r="H1231" s="70"/>
      <c r="J1231" s="70"/>
      <c r="L1231" s="71"/>
      <c r="N1231" s="70"/>
    </row>
    <row r="1232" spans="1:14" x14ac:dyDescent="0.2">
      <c r="A1232" s="292"/>
      <c r="C1232" s="189"/>
      <c r="E1232" s="190"/>
      <c r="G1232" s="70"/>
      <c r="H1232" s="70"/>
      <c r="J1232" s="70"/>
      <c r="L1232" s="71"/>
      <c r="N1232" s="70"/>
    </row>
    <row r="1233" spans="1:14" x14ac:dyDescent="0.2">
      <c r="A1233" s="292"/>
      <c r="C1233" s="189"/>
      <c r="E1233" s="190"/>
      <c r="G1233" s="70"/>
      <c r="H1233" s="70"/>
      <c r="J1233" s="70"/>
      <c r="L1233" s="71"/>
      <c r="N1233" s="70"/>
    </row>
    <row r="1234" spans="1:14" x14ac:dyDescent="0.2">
      <c r="A1234" s="292"/>
      <c r="C1234" s="189"/>
      <c r="E1234" s="190"/>
      <c r="G1234" s="70"/>
      <c r="H1234" s="70"/>
      <c r="J1234" s="70"/>
      <c r="L1234" s="71"/>
      <c r="N1234" s="70"/>
    </row>
    <row r="1235" spans="1:14" x14ac:dyDescent="0.2">
      <c r="A1235" s="292"/>
      <c r="C1235" s="189"/>
      <c r="E1235" s="190"/>
      <c r="G1235" s="70"/>
      <c r="H1235" s="70"/>
      <c r="J1235" s="70"/>
      <c r="L1235" s="71"/>
      <c r="N1235" s="70"/>
    </row>
    <row r="1236" spans="1:14" x14ac:dyDescent="0.2">
      <c r="A1236" s="292"/>
      <c r="C1236" s="189"/>
      <c r="E1236" s="190"/>
      <c r="G1236" s="70"/>
      <c r="H1236" s="70"/>
      <c r="J1236" s="70"/>
      <c r="L1236" s="71"/>
      <c r="N1236" s="70"/>
    </row>
    <row r="1237" spans="1:14" x14ac:dyDescent="0.2">
      <c r="A1237" s="292"/>
      <c r="C1237" s="189"/>
      <c r="E1237" s="190"/>
      <c r="G1237" s="70"/>
      <c r="H1237" s="70"/>
      <c r="J1237" s="70"/>
      <c r="L1237" s="71"/>
      <c r="N1237" s="70"/>
    </row>
    <row r="1238" spans="1:14" x14ac:dyDescent="0.2">
      <c r="A1238" s="292"/>
      <c r="C1238" s="189"/>
      <c r="E1238" s="190"/>
      <c r="G1238" s="70"/>
      <c r="H1238" s="70"/>
      <c r="J1238" s="70"/>
      <c r="L1238" s="71"/>
      <c r="N1238" s="70"/>
    </row>
    <row r="1239" spans="1:14" x14ac:dyDescent="0.2">
      <c r="A1239" s="292"/>
      <c r="C1239" s="189"/>
      <c r="E1239" s="190"/>
      <c r="G1239" s="70"/>
      <c r="H1239" s="70"/>
      <c r="J1239" s="70"/>
      <c r="L1239" s="71"/>
      <c r="N1239" s="70"/>
    </row>
    <row r="1240" spans="1:14" x14ac:dyDescent="0.2">
      <c r="A1240" s="292"/>
      <c r="C1240" s="189"/>
      <c r="E1240" s="190"/>
      <c r="G1240" s="70"/>
      <c r="H1240" s="70"/>
      <c r="J1240" s="70"/>
      <c r="L1240" s="71"/>
      <c r="N1240" s="70"/>
    </row>
    <row r="1241" spans="1:14" x14ac:dyDescent="0.2">
      <c r="A1241" s="292"/>
      <c r="C1241" s="189"/>
      <c r="E1241" s="190"/>
      <c r="G1241" s="70"/>
      <c r="H1241" s="70"/>
      <c r="J1241" s="70"/>
      <c r="L1241" s="71"/>
      <c r="N1241" s="70"/>
    </row>
    <row r="1242" spans="1:14" x14ac:dyDescent="0.2">
      <c r="A1242" s="292"/>
      <c r="C1242" s="189"/>
      <c r="E1242" s="190"/>
      <c r="G1242" s="70"/>
      <c r="H1242" s="70"/>
      <c r="J1242" s="70"/>
      <c r="L1242" s="71"/>
      <c r="N1242" s="70"/>
    </row>
    <row r="1243" spans="1:14" x14ac:dyDescent="0.2">
      <c r="A1243" s="292"/>
      <c r="C1243" s="189"/>
      <c r="E1243" s="190"/>
      <c r="G1243" s="70"/>
      <c r="H1243" s="70"/>
      <c r="J1243" s="70"/>
      <c r="L1243" s="71"/>
      <c r="N1243" s="70"/>
    </row>
    <row r="1244" spans="1:14" x14ac:dyDescent="0.2">
      <c r="A1244" s="292"/>
      <c r="C1244" s="189"/>
      <c r="E1244" s="190"/>
      <c r="G1244" s="70"/>
      <c r="H1244" s="70"/>
      <c r="J1244" s="70"/>
      <c r="L1244" s="71"/>
      <c r="N1244" s="70"/>
    </row>
    <row r="1245" spans="1:14" x14ac:dyDescent="0.2">
      <c r="A1245" s="292"/>
      <c r="C1245" s="189"/>
      <c r="E1245" s="190"/>
      <c r="G1245" s="70"/>
      <c r="H1245" s="70"/>
      <c r="J1245" s="70"/>
      <c r="L1245" s="71"/>
      <c r="N1245" s="70"/>
    </row>
    <row r="1246" spans="1:14" x14ac:dyDescent="0.2">
      <c r="A1246" s="292"/>
      <c r="C1246" s="189"/>
      <c r="E1246" s="190"/>
      <c r="G1246" s="70"/>
      <c r="H1246" s="70"/>
      <c r="J1246" s="70"/>
      <c r="L1246" s="71"/>
      <c r="N1246" s="70"/>
    </row>
    <row r="1247" spans="1:14" x14ac:dyDescent="0.2">
      <c r="A1247" s="292"/>
      <c r="C1247" s="189"/>
      <c r="E1247" s="190"/>
      <c r="G1247" s="70"/>
      <c r="H1247" s="70"/>
      <c r="J1247" s="70"/>
      <c r="L1247" s="71"/>
      <c r="N1247" s="70"/>
    </row>
    <row r="1248" spans="1:14" x14ac:dyDescent="0.2">
      <c r="A1248" s="292"/>
      <c r="C1248" s="189"/>
      <c r="E1248" s="190"/>
      <c r="G1248" s="70"/>
      <c r="H1248" s="70"/>
      <c r="J1248" s="70"/>
      <c r="L1248" s="71"/>
      <c r="N1248" s="70"/>
    </row>
    <row r="1249" spans="1:14" x14ac:dyDescent="0.2">
      <c r="A1249" s="292"/>
      <c r="C1249" s="189"/>
      <c r="E1249" s="190"/>
      <c r="G1249" s="70"/>
      <c r="H1249" s="70"/>
      <c r="J1249" s="70"/>
      <c r="L1249" s="71"/>
      <c r="N1249" s="70"/>
    </row>
    <row r="1250" spans="1:14" x14ac:dyDescent="0.2">
      <c r="A1250" s="292"/>
      <c r="C1250" s="189"/>
      <c r="E1250" s="190"/>
      <c r="G1250" s="70"/>
      <c r="H1250" s="70"/>
      <c r="J1250" s="70"/>
      <c r="L1250" s="71"/>
      <c r="N1250" s="70"/>
    </row>
    <row r="1251" spans="1:14" x14ac:dyDescent="0.2">
      <c r="A1251" s="292"/>
      <c r="C1251" s="189"/>
      <c r="E1251" s="190"/>
      <c r="G1251" s="70"/>
      <c r="H1251" s="70"/>
      <c r="J1251" s="70"/>
      <c r="L1251" s="71"/>
      <c r="N1251" s="70"/>
    </row>
    <row r="1252" spans="1:14" x14ac:dyDescent="0.2">
      <c r="A1252" s="292"/>
      <c r="C1252" s="189"/>
      <c r="E1252" s="190"/>
      <c r="G1252" s="70"/>
      <c r="H1252" s="70"/>
      <c r="J1252" s="70"/>
      <c r="L1252" s="71"/>
      <c r="N1252" s="70"/>
    </row>
    <row r="1253" spans="1:14" x14ac:dyDescent="0.2">
      <c r="A1253" s="292"/>
      <c r="C1253" s="189"/>
      <c r="E1253" s="190"/>
      <c r="G1253" s="70"/>
      <c r="H1253" s="70"/>
      <c r="J1253" s="70"/>
      <c r="L1253" s="71"/>
      <c r="N1253" s="70"/>
    </row>
    <row r="1254" spans="1:14" x14ac:dyDescent="0.2">
      <c r="A1254" s="292"/>
      <c r="C1254" s="189"/>
      <c r="E1254" s="190"/>
      <c r="G1254" s="70"/>
      <c r="H1254" s="70"/>
      <c r="J1254" s="70"/>
      <c r="L1254" s="71"/>
      <c r="N1254" s="70"/>
    </row>
    <row r="1255" spans="1:14" x14ac:dyDescent="0.2">
      <c r="A1255" s="292"/>
      <c r="C1255" s="189"/>
      <c r="E1255" s="190"/>
      <c r="G1255" s="70"/>
      <c r="H1255" s="70"/>
      <c r="J1255" s="70"/>
      <c r="L1255" s="71"/>
      <c r="N1255" s="70"/>
    </row>
    <row r="1256" spans="1:14" x14ac:dyDescent="0.2">
      <c r="A1256" s="292"/>
      <c r="C1256" s="189"/>
      <c r="E1256" s="190"/>
      <c r="G1256" s="70"/>
      <c r="H1256" s="70"/>
      <c r="J1256" s="70"/>
      <c r="L1256" s="71"/>
      <c r="N1256" s="70"/>
    </row>
    <row r="1257" spans="1:14" x14ac:dyDescent="0.2">
      <c r="A1257" s="292"/>
      <c r="C1257" s="189"/>
      <c r="E1257" s="190"/>
      <c r="G1257" s="70"/>
      <c r="H1257" s="70"/>
      <c r="J1257" s="70"/>
      <c r="L1257" s="71"/>
      <c r="N1257" s="70"/>
    </row>
    <row r="1258" spans="1:14" x14ac:dyDescent="0.2">
      <c r="A1258" s="292"/>
      <c r="C1258" s="189"/>
      <c r="E1258" s="190"/>
      <c r="G1258" s="70"/>
      <c r="H1258" s="70"/>
      <c r="J1258" s="70"/>
      <c r="L1258" s="71"/>
      <c r="N1258" s="70"/>
    </row>
    <row r="1259" spans="1:14" x14ac:dyDescent="0.2">
      <c r="A1259" s="292"/>
      <c r="C1259" s="189"/>
      <c r="E1259" s="190"/>
      <c r="G1259" s="70"/>
      <c r="H1259" s="70"/>
      <c r="J1259" s="70"/>
      <c r="L1259" s="71"/>
      <c r="N1259" s="70"/>
    </row>
    <row r="1260" spans="1:14" x14ac:dyDescent="0.2">
      <c r="A1260" s="292"/>
      <c r="C1260" s="189"/>
      <c r="E1260" s="190"/>
      <c r="G1260" s="70"/>
      <c r="H1260" s="70"/>
      <c r="J1260" s="70"/>
      <c r="L1260" s="71"/>
      <c r="N1260" s="70"/>
    </row>
    <row r="1261" spans="1:14" x14ac:dyDescent="0.2">
      <c r="A1261" s="292"/>
      <c r="C1261" s="189"/>
      <c r="E1261" s="190"/>
      <c r="G1261" s="70"/>
      <c r="H1261" s="70"/>
      <c r="J1261" s="70"/>
      <c r="L1261" s="71"/>
      <c r="N1261" s="70"/>
    </row>
    <row r="1262" spans="1:14" x14ac:dyDescent="0.2">
      <c r="A1262" s="292"/>
      <c r="C1262" s="189"/>
      <c r="E1262" s="190"/>
      <c r="G1262" s="70"/>
      <c r="H1262" s="70"/>
      <c r="J1262" s="70"/>
      <c r="L1262" s="71"/>
      <c r="N1262" s="70"/>
    </row>
    <row r="1263" spans="1:14" x14ac:dyDescent="0.2">
      <c r="A1263" s="292"/>
      <c r="C1263" s="189"/>
      <c r="E1263" s="190"/>
      <c r="G1263" s="70"/>
      <c r="H1263" s="70"/>
      <c r="J1263" s="70"/>
      <c r="L1263" s="71"/>
      <c r="N1263" s="70"/>
    </row>
    <row r="1264" spans="1:14" x14ac:dyDescent="0.2">
      <c r="A1264" s="292"/>
      <c r="C1264" s="189"/>
      <c r="E1264" s="190"/>
      <c r="G1264" s="70"/>
      <c r="H1264" s="70"/>
      <c r="J1264" s="70"/>
      <c r="L1264" s="71"/>
      <c r="N1264" s="70"/>
    </row>
    <row r="1265" spans="1:14" x14ac:dyDescent="0.2">
      <c r="A1265" s="292"/>
      <c r="C1265" s="189"/>
      <c r="E1265" s="190"/>
      <c r="G1265" s="70"/>
      <c r="H1265" s="70"/>
      <c r="J1265" s="70"/>
      <c r="L1265" s="71"/>
      <c r="N1265" s="70"/>
    </row>
    <row r="1266" spans="1:14" x14ac:dyDescent="0.2">
      <c r="A1266" s="292"/>
      <c r="C1266" s="189"/>
      <c r="E1266" s="190"/>
      <c r="G1266" s="70"/>
      <c r="H1266" s="70"/>
      <c r="J1266" s="70"/>
      <c r="L1266" s="71"/>
      <c r="N1266" s="70"/>
    </row>
    <row r="1267" spans="1:14" x14ac:dyDescent="0.2">
      <c r="A1267" s="292"/>
      <c r="C1267" s="189"/>
      <c r="E1267" s="190"/>
      <c r="G1267" s="70"/>
      <c r="H1267" s="70"/>
      <c r="J1267" s="70"/>
      <c r="L1267" s="71"/>
      <c r="N1267" s="70"/>
    </row>
    <row r="1268" spans="1:14" x14ac:dyDescent="0.2">
      <c r="A1268" s="292"/>
      <c r="C1268" s="189"/>
      <c r="E1268" s="190"/>
      <c r="G1268" s="70"/>
      <c r="H1268" s="70"/>
      <c r="J1268" s="70"/>
      <c r="L1268" s="71"/>
      <c r="N1268" s="70"/>
    </row>
    <row r="1269" spans="1:14" x14ac:dyDescent="0.2">
      <c r="A1269" s="292"/>
      <c r="C1269" s="189"/>
      <c r="E1269" s="190"/>
      <c r="G1269" s="70"/>
      <c r="H1269" s="70"/>
      <c r="J1269" s="70"/>
      <c r="L1269" s="71"/>
      <c r="N1269" s="70"/>
    </row>
    <row r="1270" spans="1:14" x14ac:dyDescent="0.2">
      <c r="A1270" s="292"/>
      <c r="C1270" s="189"/>
      <c r="E1270" s="190"/>
      <c r="G1270" s="70"/>
      <c r="H1270" s="70"/>
      <c r="J1270" s="70"/>
      <c r="L1270" s="71"/>
      <c r="N1270" s="70"/>
    </row>
    <row r="1271" spans="1:14" x14ac:dyDescent="0.2">
      <c r="A1271" s="292"/>
      <c r="C1271" s="189"/>
      <c r="E1271" s="190"/>
      <c r="G1271" s="70"/>
      <c r="H1271" s="70"/>
      <c r="J1271" s="70"/>
      <c r="L1271" s="71"/>
      <c r="N1271" s="70"/>
    </row>
    <row r="1272" spans="1:14" x14ac:dyDescent="0.2">
      <c r="A1272" s="292"/>
      <c r="C1272" s="189"/>
      <c r="E1272" s="190"/>
      <c r="G1272" s="70"/>
      <c r="H1272" s="70"/>
      <c r="J1272" s="70"/>
      <c r="L1272" s="71"/>
      <c r="N1272" s="70"/>
    </row>
    <row r="1273" spans="1:14" x14ac:dyDescent="0.2">
      <c r="A1273" s="292"/>
      <c r="C1273" s="189"/>
      <c r="E1273" s="190"/>
      <c r="G1273" s="70"/>
      <c r="H1273" s="70"/>
      <c r="J1273" s="70"/>
      <c r="L1273" s="71"/>
      <c r="N1273" s="70"/>
    </row>
    <row r="1274" spans="1:14" x14ac:dyDescent="0.2">
      <c r="A1274" s="292"/>
      <c r="C1274" s="189"/>
      <c r="E1274" s="190"/>
      <c r="G1274" s="70"/>
      <c r="H1274" s="70"/>
      <c r="J1274" s="70"/>
      <c r="L1274" s="71"/>
      <c r="N1274" s="70"/>
    </row>
    <row r="1275" spans="1:14" x14ac:dyDescent="0.2">
      <c r="A1275" s="292"/>
      <c r="C1275" s="189"/>
      <c r="E1275" s="190"/>
      <c r="G1275" s="70"/>
      <c r="H1275" s="70"/>
      <c r="J1275" s="70"/>
      <c r="L1275" s="71"/>
      <c r="N1275" s="70"/>
    </row>
    <row r="1276" spans="1:14" x14ac:dyDescent="0.2">
      <c r="A1276" s="292"/>
      <c r="C1276" s="189"/>
      <c r="E1276" s="190"/>
      <c r="G1276" s="70"/>
      <c r="H1276" s="70"/>
      <c r="J1276" s="70"/>
      <c r="L1276" s="71"/>
      <c r="N1276" s="70"/>
    </row>
    <row r="1277" spans="1:14" x14ac:dyDescent="0.2">
      <c r="A1277" s="292"/>
      <c r="C1277" s="189"/>
      <c r="E1277" s="190"/>
      <c r="G1277" s="70"/>
      <c r="H1277" s="70"/>
      <c r="J1277" s="70"/>
      <c r="L1277" s="71"/>
      <c r="N1277" s="70"/>
    </row>
    <row r="1278" spans="1:14" x14ac:dyDescent="0.2">
      <c r="A1278" s="292"/>
      <c r="C1278" s="189"/>
      <c r="E1278" s="190"/>
      <c r="G1278" s="70"/>
      <c r="H1278" s="70"/>
      <c r="J1278" s="70"/>
      <c r="L1278" s="71"/>
      <c r="N1278" s="70"/>
    </row>
    <row r="1279" spans="1:14" x14ac:dyDescent="0.2">
      <c r="A1279" s="292"/>
      <c r="C1279" s="189"/>
      <c r="E1279" s="190"/>
      <c r="G1279" s="70"/>
      <c r="H1279" s="70"/>
      <c r="J1279" s="70"/>
      <c r="L1279" s="71"/>
      <c r="N1279" s="70"/>
    </row>
    <row r="1280" spans="1:14" x14ac:dyDescent="0.2">
      <c r="A1280" s="292"/>
      <c r="C1280" s="189"/>
      <c r="E1280" s="190"/>
      <c r="G1280" s="70"/>
      <c r="H1280" s="70"/>
      <c r="J1280" s="70"/>
      <c r="L1280" s="71"/>
      <c r="N1280" s="70"/>
    </row>
    <row r="1281" spans="1:14" x14ac:dyDescent="0.2">
      <c r="A1281" s="292"/>
      <c r="C1281" s="189"/>
      <c r="E1281" s="190"/>
      <c r="G1281" s="70"/>
      <c r="H1281" s="70"/>
      <c r="J1281" s="70"/>
      <c r="L1281" s="71"/>
      <c r="N1281" s="70"/>
    </row>
    <row r="1282" spans="1:14" x14ac:dyDescent="0.2">
      <c r="A1282" s="292"/>
      <c r="C1282" s="189"/>
      <c r="E1282" s="190"/>
      <c r="G1282" s="70"/>
      <c r="H1282" s="70"/>
      <c r="J1282" s="70"/>
      <c r="L1282" s="71"/>
      <c r="N1282" s="70"/>
    </row>
    <row r="1283" spans="1:14" x14ac:dyDescent="0.2">
      <c r="A1283" s="292"/>
      <c r="C1283" s="189"/>
      <c r="E1283" s="190"/>
      <c r="G1283" s="70"/>
      <c r="H1283" s="70"/>
      <c r="J1283" s="70"/>
      <c r="L1283" s="71"/>
      <c r="N1283" s="70"/>
    </row>
    <row r="1284" spans="1:14" x14ac:dyDescent="0.2">
      <c r="A1284" s="292"/>
      <c r="C1284" s="189"/>
      <c r="E1284" s="190"/>
      <c r="G1284" s="70"/>
      <c r="H1284" s="70"/>
      <c r="J1284" s="70"/>
      <c r="L1284" s="71"/>
      <c r="N1284" s="70"/>
    </row>
    <row r="1285" spans="1:14" x14ac:dyDescent="0.2">
      <c r="A1285" s="292"/>
      <c r="C1285" s="189"/>
      <c r="E1285" s="190"/>
      <c r="G1285" s="70"/>
      <c r="H1285" s="70"/>
      <c r="J1285" s="70"/>
      <c r="L1285" s="71"/>
      <c r="N1285" s="70"/>
    </row>
    <row r="1286" spans="1:14" x14ac:dyDescent="0.2">
      <c r="A1286" s="292"/>
      <c r="C1286" s="189"/>
      <c r="E1286" s="190"/>
      <c r="G1286" s="70"/>
      <c r="H1286" s="70"/>
      <c r="J1286" s="70"/>
      <c r="L1286" s="71"/>
      <c r="N1286" s="70"/>
    </row>
    <row r="1287" spans="1:14" x14ac:dyDescent="0.2">
      <c r="A1287" s="292"/>
      <c r="C1287" s="189"/>
      <c r="E1287" s="190"/>
      <c r="G1287" s="70"/>
      <c r="H1287" s="70"/>
      <c r="J1287" s="70"/>
      <c r="L1287" s="71"/>
      <c r="N1287" s="70"/>
    </row>
    <row r="1288" spans="1:14" x14ac:dyDescent="0.2">
      <c r="A1288" s="292"/>
      <c r="C1288" s="189"/>
      <c r="E1288" s="190"/>
      <c r="G1288" s="70"/>
      <c r="H1288" s="70"/>
      <c r="J1288" s="70"/>
      <c r="L1288" s="71"/>
      <c r="N1288" s="70"/>
    </row>
    <row r="1289" spans="1:14" x14ac:dyDescent="0.2">
      <c r="A1289" s="292"/>
      <c r="C1289" s="189"/>
      <c r="E1289" s="190"/>
      <c r="G1289" s="70"/>
      <c r="H1289" s="70"/>
      <c r="J1289" s="70"/>
      <c r="L1289" s="71"/>
      <c r="N1289" s="70"/>
    </row>
    <row r="1290" spans="1:14" x14ac:dyDescent="0.2">
      <c r="A1290" s="292"/>
      <c r="C1290" s="189"/>
      <c r="E1290" s="190"/>
      <c r="G1290" s="70"/>
      <c r="H1290" s="70"/>
      <c r="J1290" s="70"/>
      <c r="L1290" s="71"/>
      <c r="N1290" s="70"/>
    </row>
    <row r="1291" spans="1:14" x14ac:dyDescent="0.2">
      <c r="A1291" s="292"/>
      <c r="C1291" s="189"/>
      <c r="E1291" s="190"/>
      <c r="G1291" s="70"/>
      <c r="H1291" s="70"/>
      <c r="J1291" s="70"/>
      <c r="L1291" s="71"/>
      <c r="N1291" s="70"/>
    </row>
    <row r="1292" spans="1:14" x14ac:dyDescent="0.2">
      <c r="A1292" s="292"/>
      <c r="C1292" s="189"/>
      <c r="E1292" s="190"/>
      <c r="G1292" s="70"/>
      <c r="H1292" s="70"/>
      <c r="J1292" s="70"/>
      <c r="L1292" s="71"/>
      <c r="N1292" s="70"/>
    </row>
    <row r="1293" spans="1:14" x14ac:dyDescent="0.2">
      <c r="A1293" s="292"/>
      <c r="C1293" s="189"/>
      <c r="E1293" s="190"/>
      <c r="G1293" s="70"/>
      <c r="H1293" s="70"/>
      <c r="J1293" s="70"/>
      <c r="L1293" s="71"/>
      <c r="N1293" s="70"/>
    </row>
    <row r="1294" spans="1:14" x14ac:dyDescent="0.2">
      <c r="A1294" s="292"/>
      <c r="C1294" s="189"/>
      <c r="E1294" s="190"/>
      <c r="G1294" s="70"/>
      <c r="H1294" s="70"/>
      <c r="J1294" s="70"/>
      <c r="L1294" s="71"/>
      <c r="N1294" s="70"/>
    </row>
    <row r="1295" spans="1:14" x14ac:dyDescent="0.2">
      <c r="A1295" s="292"/>
      <c r="C1295" s="189"/>
      <c r="E1295" s="190"/>
      <c r="G1295" s="70"/>
      <c r="H1295" s="70"/>
      <c r="J1295" s="70"/>
      <c r="L1295" s="71"/>
      <c r="N1295" s="70"/>
    </row>
    <row r="1296" spans="1:14" x14ac:dyDescent="0.2">
      <c r="A1296" s="292"/>
      <c r="C1296" s="189"/>
      <c r="E1296" s="190"/>
      <c r="G1296" s="70"/>
      <c r="H1296" s="70"/>
      <c r="J1296" s="70"/>
      <c r="L1296" s="71"/>
      <c r="N1296" s="70"/>
    </row>
    <row r="1297" spans="1:14" x14ac:dyDescent="0.2">
      <c r="A1297" s="292"/>
      <c r="C1297" s="189"/>
      <c r="E1297" s="190"/>
      <c r="G1297" s="70"/>
      <c r="H1297" s="70"/>
      <c r="J1297" s="70"/>
      <c r="L1297" s="71"/>
      <c r="N1297" s="70"/>
    </row>
    <row r="1298" spans="1:14" x14ac:dyDescent="0.2">
      <c r="A1298" s="292"/>
      <c r="C1298" s="189"/>
      <c r="E1298" s="190"/>
      <c r="G1298" s="70"/>
      <c r="H1298" s="70"/>
      <c r="J1298" s="70"/>
      <c r="L1298" s="71"/>
      <c r="N1298" s="70"/>
    </row>
    <row r="1299" spans="1:14" x14ac:dyDescent="0.2">
      <c r="A1299" s="292"/>
      <c r="C1299" s="189"/>
      <c r="E1299" s="190"/>
      <c r="G1299" s="70"/>
      <c r="H1299" s="70"/>
      <c r="J1299" s="70"/>
      <c r="L1299" s="71"/>
      <c r="N1299" s="70"/>
    </row>
    <row r="1300" spans="1:14" x14ac:dyDescent="0.2">
      <c r="A1300" s="292"/>
      <c r="C1300" s="189"/>
      <c r="E1300" s="190"/>
      <c r="G1300" s="70"/>
      <c r="H1300" s="70"/>
      <c r="J1300" s="70"/>
      <c r="L1300" s="71"/>
      <c r="N1300" s="70"/>
    </row>
    <row r="1301" spans="1:14" x14ac:dyDescent="0.2">
      <c r="A1301" s="292"/>
      <c r="C1301" s="189"/>
      <c r="E1301" s="190"/>
      <c r="G1301" s="70"/>
      <c r="H1301" s="70"/>
      <c r="J1301" s="70"/>
      <c r="L1301" s="71"/>
      <c r="N1301" s="70"/>
    </row>
    <row r="1302" spans="1:14" x14ac:dyDescent="0.2">
      <c r="A1302" s="292"/>
      <c r="C1302" s="189"/>
      <c r="E1302" s="190"/>
      <c r="G1302" s="70"/>
      <c r="H1302" s="70"/>
      <c r="J1302" s="70"/>
      <c r="L1302" s="71"/>
      <c r="N1302" s="70"/>
    </row>
    <row r="1303" spans="1:14" x14ac:dyDescent="0.2">
      <c r="A1303" s="292"/>
      <c r="C1303" s="189"/>
      <c r="E1303" s="190"/>
      <c r="G1303" s="70"/>
      <c r="H1303" s="70"/>
      <c r="J1303" s="70"/>
      <c r="L1303" s="71"/>
      <c r="N1303" s="70"/>
    </row>
    <row r="1304" spans="1:14" x14ac:dyDescent="0.2">
      <c r="A1304" s="292"/>
      <c r="C1304" s="189"/>
      <c r="E1304" s="190"/>
      <c r="G1304" s="70"/>
      <c r="H1304" s="70"/>
      <c r="J1304" s="70"/>
      <c r="L1304" s="71"/>
      <c r="N1304" s="70"/>
    </row>
    <row r="1305" spans="1:14" x14ac:dyDescent="0.2">
      <c r="A1305" s="292"/>
      <c r="C1305" s="189"/>
      <c r="E1305" s="190"/>
      <c r="G1305" s="70"/>
      <c r="H1305" s="70"/>
      <c r="J1305" s="70"/>
      <c r="L1305" s="71"/>
      <c r="N1305" s="70"/>
    </row>
    <row r="1306" spans="1:14" x14ac:dyDescent="0.2">
      <c r="A1306" s="292"/>
      <c r="C1306" s="189"/>
      <c r="E1306" s="190"/>
      <c r="G1306" s="70"/>
      <c r="H1306" s="70"/>
      <c r="J1306" s="70"/>
      <c r="L1306" s="71"/>
      <c r="N1306" s="70"/>
    </row>
    <row r="1307" spans="1:14" x14ac:dyDescent="0.2">
      <c r="A1307" s="292"/>
      <c r="C1307" s="189"/>
      <c r="E1307" s="190"/>
      <c r="G1307" s="70"/>
      <c r="H1307" s="70"/>
      <c r="J1307" s="70"/>
      <c r="L1307" s="71"/>
      <c r="N1307" s="70"/>
    </row>
    <row r="1308" spans="1:14" x14ac:dyDescent="0.2">
      <c r="A1308" s="292"/>
      <c r="C1308" s="189"/>
      <c r="E1308" s="190"/>
      <c r="G1308" s="70"/>
      <c r="H1308" s="70"/>
      <c r="J1308" s="70"/>
      <c r="L1308" s="71"/>
      <c r="N1308" s="70"/>
    </row>
    <row r="1309" spans="1:14" x14ac:dyDescent="0.2">
      <c r="A1309" s="292"/>
      <c r="C1309" s="189"/>
      <c r="E1309" s="190"/>
      <c r="G1309" s="70"/>
      <c r="H1309" s="70"/>
      <c r="J1309" s="70"/>
      <c r="L1309" s="71"/>
      <c r="N1309" s="70"/>
    </row>
    <row r="1310" spans="1:14" x14ac:dyDescent="0.2">
      <c r="A1310" s="292"/>
      <c r="C1310" s="189"/>
      <c r="E1310" s="190"/>
      <c r="G1310" s="70"/>
      <c r="H1310" s="70"/>
      <c r="J1310" s="70"/>
      <c r="L1310" s="71"/>
      <c r="N1310" s="70"/>
    </row>
    <row r="1311" spans="1:14" x14ac:dyDescent="0.2">
      <c r="A1311" s="292"/>
      <c r="C1311" s="189"/>
      <c r="E1311" s="190"/>
      <c r="G1311" s="70"/>
      <c r="H1311" s="70"/>
      <c r="J1311" s="70"/>
      <c r="L1311" s="71"/>
      <c r="N1311" s="70"/>
    </row>
    <row r="1312" spans="1:14" x14ac:dyDescent="0.2">
      <c r="A1312" s="292"/>
      <c r="C1312" s="189"/>
      <c r="E1312" s="190"/>
      <c r="G1312" s="70"/>
      <c r="H1312" s="70"/>
      <c r="J1312" s="70"/>
      <c r="L1312" s="71"/>
      <c r="N1312" s="70"/>
    </row>
    <row r="1313" spans="1:14" x14ac:dyDescent="0.2">
      <c r="A1313" s="292"/>
      <c r="C1313" s="189"/>
      <c r="E1313" s="190"/>
      <c r="G1313" s="70"/>
      <c r="H1313" s="70"/>
      <c r="J1313" s="70"/>
      <c r="L1313" s="71"/>
      <c r="N1313" s="70"/>
    </row>
    <row r="1314" spans="1:14" x14ac:dyDescent="0.2">
      <c r="A1314" s="292"/>
      <c r="C1314" s="189"/>
      <c r="E1314" s="190"/>
      <c r="G1314" s="70"/>
      <c r="H1314" s="70"/>
      <c r="J1314" s="70"/>
      <c r="L1314" s="71"/>
      <c r="N1314" s="70"/>
    </row>
    <row r="1315" spans="1:14" x14ac:dyDescent="0.2">
      <c r="A1315" s="292"/>
      <c r="C1315" s="189"/>
      <c r="E1315" s="190"/>
      <c r="G1315" s="70"/>
      <c r="H1315" s="70"/>
      <c r="J1315" s="70"/>
      <c r="L1315" s="71"/>
      <c r="N1315" s="70"/>
    </row>
    <row r="1316" spans="1:14" x14ac:dyDescent="0.2">
      <c r="A1316" s="292"/>
      <c r="C1316" s="189"/>
      <c r="E1316" s="190"/>
      <c r="G1316" s="70"/>
      <c r="H1316" s="70"/>
      <c r="J1316" s="70"/>
      <c r="L1316" s="71"/>
      <c r="N1316" s="70"/>
    </row>
    <row r="1317" spans="1:14" x14ac:dyDescent="0.2">
      <c r="A1317" s="292"/>
      <c r="C1317" s="189"/>
      <c r="E1317" s="190"/>
      <c r="G1317" s="70"/>
      <c r="H1317" s="70"/>
      <c r="J1317" s="70"/>
      <c r="L1317" s="71"/>
      <c r="N1317" s="70"/>
    </row>
    <row r="1318" spans="1:14" x14ac:dyDescent="0.2">
      <c r="A1318" s="292"/>
      <c r="C1318" s="189"/>
      <c r="E1318" s="190"/>
      <c r="G1318" s="70"/>
      <c r="H1318" s="70"/>
      <c r="J1318" s="70"/>
      <c r="L1318" s="71"/>
      <c r="N1318" s="70"/>
    </row>
    <row r="1319" spans="1:14" x14ac:dyDescent="0.2">
      <c r="A1319" s="292"/>
      <c r="C1319" s="189"/>
      <c r="E1319" s="190"/>
      <c r="G1319" s="70"/>
      <c r="H1319" s="70"/>
      <c r="J1319" s="70"/>
      <c r="L1319" s="71"/>
      <c r="N1319" s="70"/>
    </row>
    <row r="1320" spans="1:14" x14ac:dyDescent="0.2">
      <c r="A1320" s="292"/>
      <c r="C1320" s="189"/>
      <c r="E1320" s="190"/>
      <c r="G1320" s="70"/>
      <c r="H1320" s="70"/>
      <c r="J1320" s="70"/>
      <c r="L1320" s="71"/>
      <c r="N1320" s="70"/>
    </row>
    <row r="1321" spans="1:14" x14ac:dyDescent="0.2">
      <c r="A1321" s="292"/>
      <c r="C1321" s="189"/>
      <c r="E1321" s="190"/>
      <c r="G1321" s="70"/>
      <c r="H1321" s="70"/>
      <c r="J1321" s="70"/>
      <c r="L1321" s="71"/>
      <c r="N1321" s="70"/>
    </row>
    <row r="1322" spans="1:14" x14ac:dyDescent="0.2">
      <c r="A1322" s="292"/>
      <c r="C1322" s="189"/>
      <c r="E1322" s="190"/>
      <c r="G1322" s="70"/>
      <c r="H1322" s="70"/>
      <c r="J1322" s="70"/>
      <c r="L1322" s="71"/>
      <c r="N1322" s="70"/>
    </row>
    <row r="1323" spans="1:14" x14ac:dyDescent="0.2">
      <c r="A1323" s="292"/>
      <c r="C1323" s="189"/>
      <c r="E1323" s="190"/>
      <c r="G1323" s="70"/>
      <c r="H1323" s="70"/>
      <c r="J1323" s="70"/>
      <c r="L1323" s="71"/>
      <c r="N1323" s="70"/>
    </row>
    <row r="1324" spans="1:14" x14ac:dyDescent="0.2">
      <c r="A1324" s="292"/>
      <c r="C1324" s="189"/>
      <c r="E1324" s="190"/>
      <c r="G1324" s="70"/>
      <c r="H1324" s="70"/>
      <c r="J1324" s="70"/>
      <c r="L1324" s="71"/>
      <c r="N1324" s="70"/>
    </row>
    <row r="1325" spans="1:14" x14ac:dyDescent="0.2">
      <c r="A1325" s="292"/>
      <c r="C1325" s="189"/>
      <c r="E1325" s="190"/>
      <c r="G1325" s="70"/>
      <c r="H1325" s="70"/>
      <c r="J1325" s="70"/>
      <c r="L1325" s="71"/>
      <c r="N1325" s="70"/>
    </row>
    <row r="1326" spans="1:14" x14ac:dyDescent="0.2">
      <c r="A1326" s="292"/>
      <c r="C1326" s="189"/>
      <c r="E1326" s="190"/>
      <c r="G1326" s="70"/>
      <c r="H1326" s="70"/>
      <c r="J1326" s="70"/>
      <c r="L1326" s="71"/>
      <c r="N1326" s="70"/>
    </row>
    <row r="1327" spans="1:14" x14ac:dyDescent="0.2">
      <c r="A1327" s="292"/>
      <c r="C1327" s="189"/>
      <c r="E1327" s="190"/>
      <c r="G1327" s="70"/>
      <c r="H1327" s="70"/>
      <c r="J1327" s="70"/>
      <c r="L1327" s="71"/>
      <c r="N1327" s="70"/>
    </row>
    <row r="1328" spans="1:14" x14ac:dyDescent="0.2">
      <c r="A1328" s="292"/>
      <c r="C1328" s="189"/>
      <c r="E1328" s="190"/>
      <c r="G1328" s="70"/>
      <c r="H1328" s="70"/>
      <c r="J1328" s="70"/>
      <c r="L1328" s="71"/>
      <c r="N1328" s="70"/>
    </row>
    <row r="1329" spans="1:14" x14ac:dyDescent="0.2">
      <c r="A1329" s="292"/>
      <c r="C1329" s="189"/>
      <c r="E1329" s="190"/>
      <c r="G1329" s="70"/>
      <c r="H1329" s="70"/>
      <c r="J1329" s="70"/>
      <c r="L1329" s="71"/>
      <c r="N1329" s="70"/>
    </row>
    <row r="1330" spans="1:14" x14ac:dyDescent="0.2">
      <c r="A1330" s="292"/>
      <c r="C1330" s="189"/>
      <c r="E1330" s="190"/>
      <c r="G1330" s="70"/>
      <c r="H1330" s="70"/>
      <c r="J1330" s="70"/>
      <c r="L1330" s="71"/>
      <c r="N1330" s="70"/>
    </row>
    <row r="1331" spans="1:14" x14ac:dyDescent="0.2">
      <c r="A1331" s="292"/>
      <c r="C1331" s="189"/>
      <c r="E1331" s="190"/>
      <c r="G1331" s="70"/>
      <c r="H1331" s="70"/>
      <c r="J1331" s="70"/>
      <c r="L1331" s="71"/>
      <c r="N1331" s="70"/>
    </row>
    <row r="1332" spans="1:14" x14ac:dyDescent="0.2">
      <c r="A1332" s="292"/>
      <c r="C1332" s="189"/>
      <c r="E1332" s="190"/>
      <c r="G1332" s="70"/>
      <c r="H1332" s="70"/>
      <c r="J1332" s="70"/>
      <c r="L1332" s="71"/>
      <c r="N1332" s="70"/>
    </row>
    <row r="1333" spans="1:14" x14ac:dyDescent="0.2">
      <c r="A1333" s="292"/>
      <c r="C1333" s="189"/>
      <c r="E1333" s="190"/>
      <c r="G1333" s="70"/>
      <c r="H1333" s="70"/>
      <c r="J1333" s="70"/>
      <c r="L1333" s="71"/>
      <c r="N1333" s="70"/>
    </row>
    <row r="1334" spans="1:14" x14ac:dyDescent="0.2">
      <c r="A1334" s="292"/>
      <c r="C1334" s="189"/>
      <c r="E1334" s="190"/>
      <c r="G1334" s="70"/>
      <c r="H1334" s="70"/>
      <c r="J1334" s="70"/>
      <c r="L1334" s="71"/>
      <c r="N1334" s="70"/>
    </row>
    <row r="1335" spans="1:14" x14ac:dyDescent="0.2">
      <c r="A1335" s="292"/>
      <c r="C1335" s="189"/>
      <c r="E1335" s="190"/>
      <c r="G1335" s="70"/>
      <c r="H1335" s="70"/>
      <c r="J1335" s="70"/>
      <c r="L1335" s="71"/>
      <c r="N1335" s="70"/>
    </row>
    <row r="1336" spans="1:14" x14ac:dyDescent="0.2">
      <c r="A1336" s="292"/>
      <c r="C1336" s="189"/>
      <c r="E1336" s="190"/>
      <c r="G1336" s="70"/>
      <c r="H1336" s="70"/>
      <c r="J1336" s="70"/>
      <c r="L1336" s="71"/>
      <c r="N1336" s="70"/>
    </row>
    <row r="1337" spans="1:14" x14ac:dyDescent="0.2">
      <c r="A1337" s="292"/>
      <c r="C1337" s="189"/>
      <c r="E1337" s="190"/>
      <c r="G1337" s="70"/>
      <c r="H1337" s="70"/>
      <c r="J1337" s="70"/>
      <c r="L1337" s="71"/>
      <c r="N1337" s="70"/>
    </row>
    <row r="1338" spans="1:14" x14ac:dyDescent="0.2">
      <c r="A1338" s="292"/>
      <c r="C1338" s="189"/>
      <c r="E1338" s="190"/>
      <c r="G1338" s="70"/>
      <c r="H1338" s="70"/>
      <c r="J1338" s="70"/>
      <c r="L1338" s="71"/>
      <c r="N1338" s="70"/>
    </row>
    <row r="1339" spans="1:14" x14ac:dyDescent="0.2">
      <c r="A1339" s="292"/>
      <c r="C1339" s="189"/>
      <c r="E1339" s="190"/>
      <c r="G1339" s="70"/>
      <c r="H1339" s="70"/>
      <c r="J1339" s="70"/>
      <c r="L1339" s="71"/>
      <c r="N1339" s="70"/>
    </row>
    <row r="1340" spans="1:14" x14ac:dyDescent="0.2">
      <c r="A1340" s="292"/>
      <c r="C1340" s="189"/>
      <c r="E1340" s="190"/>
      <c r="G1340" s="70"/>
      <c r="H1340" s="70"/>
      <c r="J1340" s="70"/>
      <c r="L1340" s="71"/>
      <c r="N1340" s="70"/>
    </row>
    <row r="1341" spans="1:14" x14ac:dyDescent="0.2">
      <c r="A1341" s="292"/>
      <c r="C1341" s="189"/>
      <c r="E1341" s="190"/>
      <c r="G1341" s="70"/>
      <c r="H1341" s="70"/>
      <c r="J1341" s="70"/>
      <c r="L1341" s="71"/>
      <c r="N1341" s="70"/>
    </row>
    <row r="1342" spans="1:14" x14ac:dyDescent="0.2">
      <c r="A1342" s="292"/>
      <c r="C1342" s="189"/>
      <c r="E1342" s="190"/>
      <c r="G1342" s="70"/>
      <c r="H1342" s="70"/>
      <c r="J1342" s="70"/>
      <c r="L1342" s="71"/>
      <c r="N1342" s="70"/>
    </row>
    <row r="1343" spans="1:14" x14ac:dyDescent="0.2">
      <c r="A1343" s="292"/>
      <c r="C1343" s="189"/>
      <c r="E1343" s="190"/>
      <c r="G1343" s="70"/>
      <c r="H1343" s="70"/>
      <c r="J1343" s="70"/>
      <c r="L1343" s="71"/>
      <c r="N1343" s="70"/>
    </row>
    <row r="1344" spans="1:14" x14ac:dyDescent="0.2">
      <c r="A1344" s="292"/>
      <c r="C1344" s="189"/>
      <c r="E1344" s="190"/>
      <c r="G1344" s="70"/>
      <c r="H1344" s="70"/>
      <c r="J1344" s="70"/>
      <c r="L1344" s="71"/>
      <c r="N1344" s="70"/>
    </row>
    <row r="1345" spans="1:14" x14ac:dyDescent="0.2">
      <c r="A1345" s="292"/>
      <c r="C1345" s="189"/>
      <c r="E1345" s="190"/>
      <c r="G1345" s="70"/>
      <c r="H1345" s="70"/>
      <c r="J1345" s="70"/>
      <c r="L1345" s="71"/>
      <c r="N1345" s="70"/>
    </row>
    <row r="1346" spans="1:14" x14ac:dyDescent="0.2">
      <c r="A1346" s="292"/>
      <c r="C1346" s="189"/>
      <c r="E1346" s="190"/>
      <c r="G1346" s="70"/>
      <c r="H1346" s="70"/>
      <c r="J1346" s="70"/>
      <c r="L1346" s="71"/>
      <c r="N1346" s="70"/>
    </row>
    <row r="1347" spans="1:14" x14ac:dyDescent="0.2">
      <c r="A1347" s="292"/>
      <c r="C1347" s="189"/>
      <c r="E1347" s="190"/>
      <c r="G1347" s="70"/>
      <c r="H1347" s="70"/>
      <c r="J1347" s="70"/>
      <c r="L1347" s="71"/>
      <c r="N1347" s="70"/>
    </row>
    <row r="1348" spans="1:14" x14ac:dyDescent="0.2">
      <c r="A1348" s="292"/>
      <c r="C1348" s="189"/>
      <c r="E1348" s="190"/>
      <c r="G1348" s="70"/>
      <c r="H1348" s="70"/>
      <c r="J1348" s="70"/>
      <c r="L1348" s="71"/>
      <c r="N1348" s="70"/>
    </row>
    <row r="1349" spans="1:14" x14ac:dyDescent="0.2">
      <c r="A1349" s="292"/>
      <c r="C1349" s="189"/>
      <c r="E1349" s="190"/>
      <c r="G1349" s="70"/>
      <c r="H1349" s="70"/>
      <c r="J1349" s="70"/>
      <c r="L1349" s="71"/>
      <c r="N1349" s="70"/>
    </row>
    <row r="1350" spans="1:14" x14ac:dyDescent="0.2">
      <c r="A1350" s="292"/>
      <c r="C1350" s="189"/>
      <c r="E1350" s="190"/>
      <c r="G1350" s="70"/>
      <c r="H1350" s="70"/>
      <c r="J1350" s="70"/>
      <c r="L1350" s="71"/>
      <c r="N1350" s="70"/>
    </row>
    <row r="1351" spans="1:14" x14ac:dyDescent="0.2">
      <c r="A1351" s="292"/>
      <c r="C1351" s="189"/>
      <c r="E1351" s="190"/>
      <c r="G1351" s="70"/>
      <c r="H1351" s="70"/>
      <c r="J1351" s="70"/>
      <c r="L1351" s="71"/>
      <c r="N1351" s="70"/>
    </row>
    <row r="1352" spans="1:14" x14ac:dyDescent="0.2">
      <c r="A1352" s="292"/>
      <c r="C1352" s="189"/>
      <c r="E1352" s="190"/>
      <c r="G1352" s="70"/>
      <c r="H1352" s="70"/>
      <c r="J1352" s="70"/>
      <c r="L1352" s="71"/>
      <c r="N1352" s="70"/>
    </row>
    <row r="1353" spans="1:14" x14ac:dyDescent="0.2">
      <c r="A1353" s="292"/>
      <c r="C1353" s="189"/>
      <c r="E1353" s="190"/>
      <c r="G1353" s="70"/>
      <c r="H1353" s="70"/>
      <c r="J1353" s="70"/>
      <c r="L1353" s="71"/>
      <c r="N1353" s="70"/>
    </row>
    <row r="1354" spans="1:14" x14ac:dyDescent="0.2">
      <c r="A1354" s="292"/>
      <c r="C1354" s="189"/>
      <c r="E1354" s="190"/>
      <c r="G1354" s="70"/>
      <c r="H1354" s="70"/>
      <c r="J1354" s="70"/>
      <c r="L1354" s="71"/>
      <c r="N1354" s="70"/>
    </row>
    <row r="1355" spans="1:14" x14ac:dyDescent="0.2">
      <c r="A1355" s="292"/>
      <c r="C1355" s="189"/>
      <c r="E1355" s="190"/>
      <c r="G1355" s="70"/>
      <c r="H1355" s="70"/>
      <c r="J1355" s="70"/>
      <c r="L1355" s="71"/>
      <c r="N1355" s="70"/>
    </row>
    <row r="1356" spans="1:14" x14ac:dyDescent="0.2">
      <c r="A1356" s="292"/>
      <c r="C1356" s="189"/>
      <c r="E1356" s="190"/>
      <c r="G1356" s="70"/>
      <c r="H1356" s="70"/>
      <c r="J1356" s="70"/>
      <c r="L1356" s="71"/>
      <c r="N1356" s="70"/>
    </row>
    <row r="1357" spans="1:14" x14ac:dyDescent="0.2">
      <c r="A1357" s="292"/>
      <c r="C1357" s="189"/>
      <c r="E1357" s="190"/>
      <c r="G1357" s="70"/>
      <c r="H1357" s="70"/>
      <c r="J1357" s="70"/>
      <c r="L1357" s="71"/>
      <c r="N1357" s="70"/>
    </row>
    <row r="1358" spans="1:14" x14ac:dyDescent="0.2">
      <c r="A1358" s="292"/>
      <c r="C1358" s="189"/>
      <c r="E1358" s="190"/>
      <c r="G1358" s="70"/>
      <c r="H1358" s="70"/>
      <c r="J1358" s="70"/>
      <c r="L1358" s="71"/>
      <c r="N1358" s="70"/>
    </row>
    <row r="1359" spans="1:14" x14ac:dyDescent="0.2">
      <c r="A1359" s="292"/>
      <c r="C1359" s="189"/>
      <c r="E1359" s="190"/>
      <c r="G1359" s="70"/>
      <c r="H1359" s="70"/>
      <c r="J1359" s="70"/>
      <c r="L1359" s="71"/>
      <c r="N1359" s="70"/>
    </row>
    <row r="1360" spans="1:14" x14ac:dyDescent="0.2">
      <c r="A1360" s="292"/>
      <c r="C1360" s="189"/>
      <c r="E1360" s="190"/>
      <c r="G1360" s="70"/>
      <c r="H1360" s="70"/>
      <c r="J1360" s="70"/>
      <c r="L1360" s="71"/>
      <c r="N1360" s="70"/>
    </row>
    <row r="1361" spans="1:14" x14ac:dyDescent="0.2">
      <c r="A1361" s="292"/>
      <c r="C1361" s="189"/>
      <c r="E1361" s="190"/>
      <c r="G1361" s="70"/>
      <c r="H1361" s="70"/>
      <c r="J1361" s="70"/>
      <c r="L1361" s="71"/>
      <c r="N1361" s="70"/>
    </row>
    <row r="1362" spans="1:14" x14ac:dyDescent="0.2">
      <c r="A1362" s="292"/>
      <c r="C1362" s="189"/>
      <c r="E1362" s="190"/>
      <c r="G1362" s="70"/>
      <c r="H1362" s="70"/>
      <c r="J1362" s="70"/>
      <c r="L1362" s="71"/>
      <c r="N1362" s="70"/>
    </row>
    <row r="1363" spans="1:14" x14ac:dyDescent="0.2">
      <c r="A1363" s="292"/>
      <c r="C1363" s="189"/>
      <c r="E1363" s="190"/>
      <c r="G1363" s="70"/>
      <c r="H1363" s="70"/>
      <c r="J1363" s="70"/>
      <c r="L1363" s="71"/>
      <c r="N1363" s="70"/>
    </row>
    <row r="1364" spans="1:14" x14ac:dyDescent="0.2">
      <c r="A1364" s="292"/>
      <c r="C1364" s="189"/>
      <c r="E1364" s="190"/>
      <c r="G1364" s="70"/>
      <c r="H1364" s="70"/>
      <c r="J1364" s="70"/>
      <c r="L1364" s="71"/>
      <c r="N1364" s="70"/>
    </row>
    <row r="1365" spans="1:14" x14ac:dyDescent="0.2">
      <c r="A1365" s="292"/>
      <c r="C1365" s="189"/>
      <c r="E1365" s="190"/>
      <c r="G1365" s="70"/>
      <c r="H1365" s="70"/>
      <c r="J1365" s="70"/>
      <c r="L1365" s="71"/>
      <c r="N1365" s="70"/>
    </row>
    <row r="1366" spans="1:14" x14ac:dyDescent="0.2">
      <c r="A1366" s="292"/>
      <c r="C1366" s="189"/>
      <c r="E1366" s="190"/>
      <c r="G1366" s="70"/>
      <c r="H1366" s="70"/>
      <c r="J1366" s="70"/>
      <c r="L1366" s="71"/>
      <c r="N1366" s="70"/>
    </row>
    <row r="1367" spans="1:14" x14ac:dyDescent="0.2">
      <c r="A1367" s="292"/>
      <c r="C1367" s="189"/>
      <c r="E1367" s="190"/>
      <c r="G1367" s="70"/>
      <c r="H1367" s="70"/>
      <c r="J1367" s="70"/>
      <c r="L1367" s="71"/>
      <c r="N1367" s="70"/>
    </row>
    <row r="1368" spans="1:14" x14ac:dyDescent="0.2">
      <c r="A1368" s="292"/>
      <c r="C1368" s="189"/>
      <c r="E1368" s="190"/>
      <c r="G1368" s="70"/>
      <c r="H1368" s="70"/>
      <c r="J1368" s="70"/>
      <c r="L1368" s="71"/>
      <c r="N1368" s="70"/>
    </row>
    <row r="1369" spans="1:14" x14ac:dyDescent="0.2">
      <c r="A1369" s="292"/>
      <c r="C1369" s="189"/>
      <c r="E1369" s="190"/>
      <c r="G1369" s="70"/>
      <c r="H1369" s="70"/>
      <c r="J1369" s="70"/>
      <c r="L1369" s="71"/>
      <c r="N1369" s="70"/>
    </row>
    <row r="1370" spans="1:14" x14ac:dyDescent="0.2">
      <c r="A1370" s="292"/>
      <c r="C1370" s="189"/>
      <c r="E1370" s="190"/>
      <c r="G1370" s="70"/>
      <c r="H1370" s="70"/>
      <c r="J1370" s="70"/>
      <c r="L1370" s="71"/>
      <c r="N1370" s="70"/>
    </row>
    <row r="1371" spans="1:14" x14ac:dyDescent="0.2">
      <c r="A1371" s="292"/>
      <c r="C1371" s="189"/>
      <c r="E1371" s="190"/>
      <c r="G1371" s="70"/>
      <c r="H1371" s="70"/>
      <c r="J1371" s="70"/>
      <c r="L1371" s="71"/>
      <c r="N1371" s="70"/>
    </row>
    <row r="1372" spans="1:14" x14ac:dyDescent="0.2">
      <c r="A1372" s="292"/>
      <c r="C1372" s="189"/>
      <c r="E1372" s="190"/>
      <c r="G1372" s="70"/>
      <c r="H1372" s="70"/>
      <c r="J1372" s="70"/>
      <c r="L1372" s="71"/>
      <c r="N1372" s="70"/>
    </row>
    <row r="1373" spans="1:14" x14ac:dyDescent="0.2">
      <c r="A1373" s="292"/>
      <c r="C1373" s="189"/>
      <c r="E1373" s="190"/>
      <c r="G1373" s="70"/>
      <c r="H1373" s="70"/>
      <c r="J1373" s="70"/>
      <c r="L1373" s="71"/>
      <c r="N1373" s="70"/>
    </row>
    <row r="1374" spans="1:14" x14ac:dyDescent="0.2">
      <c r="A1374" s="292"/>
      <c r="C1374" s="189"/>
      <c r="E1374" s="190"/>
      <c r="G1374" s="70"/>
      <c r="H1374" s="70"/>
      <c r="J1374" s="70"/>
      <c r="L1374" s="71"/>
      <c r="N1374" s="70"/>
    </row>
    <row r="1375" spans="1:14" x14ac:dyDescent="0.2">
      <c r="A1375" s="292"/>
      <c r="C1375" s="189"/>
      <c r="E1375" s="190"/>
      <c r="G1375" s="70"/>
      <c r="H1375" s="70"/>
      <c r="J1375" s="70"/>
      <c r="L1375" s="71"/>
      <c r="N1375" s="70"/>
    </row>
    <row r="1376" spans="1:14" x14ac:dyDescent="0.2">
      <c r="A1376" s="292"/>
      <c r="C1376" s="189"/>
      <c r="E1376" s="190"/>
      <c r="G1376" s="70"/>
      <c r="H1376" s="70"/>
      <c r="J1376" s="70"/>
      <c r="L1376" s="71"/>
      <c r="N1376" s="70"/>
    </row>
    <row r="1377" spans="1:14" x14ac:dyDescent="0.2">
      <c r="A1377" s="292"/>
      <c r="C1377" s="189"/>
      <c r="E1377" s="190"/>
      <c r="G1377" s="70"/>
      <c r="H1377" s="70"/>
      <c r="J1377" s="70"/>
      <c r="L1377" s="71"/>
      <c r="N1377" s="70"/>
    </row>
    <row r="1378" spans="1:14" x14ac:dyDescent="0.2">
      <c r="A1378" s="292"/>
      <c r="C1378" s="189"/>
      <c r="E1378" s="190"/>
      <c r="G1378" s="70"/>
      <c r="H1378" s="70"/>
      <c r="J1378" s="70"/>
      <c r="L1378" s="71"/>
      <c r="N1378" s="70"/>
    </row>
    <row r="1379" spans="1:14" x14ac:dyDescent="0.2">
      <c r="A1379" s="292"/>
      <c r="C1379" s="189"/>
      <c r="E1379" s="190"/>
      <c r="G1379" s="70"/>
      <c r="H1379" s="70"/>
      <c r="J1379" s="70"/>
      <c r="L1379" s="71"/>
      <c r="N1379" s="70"/>
    </row>
    <row r="1380" spans="1:14" x14ac:dyDescent="0.2">
      <c r="A1380" s="292"/>
      <c r="C1380" s="189"/>
      <c r="E1380" s="190"/>
      <c r="G1380" s="70"/>
      <c r="H1380" s="70"/>
      <c r="J1380" s="70"/>
      <c r="L1380" s="71"/>
      <c r="N1380" s="70"/>
    </row>
    <row r="1381" spans="1:14" x14ac:dyDescent="0.2">
      <c r="A1381" s="292"/>
      <c r="C1381" s="189"/>
      <c r="E1381" s="190"/>
      <c r="G1381" s="70"/>
      <c r="H1381" s="70"/>
      <c r="J1381" s="70"/>
      <c r="L1381" s="71"/>
      <c r="N1381" s="70"/>
    </row>
    <row r="1382" spans="1:14" x14ac:dyDescent="0.2">
      <c r="A1382" s="292"/>
      <c r="C1382" s="189"/>
      <c r="E1382" s="190"/>
      <c r="G1382" s="70"/>
      <c r="H1382" s="70"/>
      <c r="J1382" s="70"/>
      <c r="L1382" s="71"/>
      <c r="N1382" s="70"/>
    </row>
    <row r="1383" spans="1:14" x14ac:dyDescent="0.2">
      <c r="A1383" s="292"/>
      <c r="C1383" s="189"/>
      <c r="E1383" s="190"/>
      <c r="G1383" s="70"/>
      <c r="H1383" s="70"/>
      <c r="J1383" s="70"/>
      <c r="L1383" s="71"/>
      <c r="N1383" s="70"/>
    </row>
    <row r="1384" spans="1:14" x14ac:dyDescent="0.2">
      <c r="A1384" s="292"/>
      <c r="C1384" s="189"/>
      <c r="E1384" s="190"/>
      <c r="G1384" s="70"/>
      <c r="H1384" s="70"/>
      <c r="J1384" s="70"/>
      <c r="L1384" s="71"/>
      <c r="N1384" s="70"/>
    </row>
    <row r="1385" spans="1:14" x14ac:dyDescent="0.2">
      <c r="A1385" s="292"/>
      <c r="C1385" s="189"/>
      <c r="E1385" s="190"/>
      <c r="G1385" s="70"/>
      <c r="H1385" s="70"/>
      <c r="J1385" s="70"/>
      <c r="L1385" s="71"/>
      <c r="N1385" s="70"/>
    </row>
    <row r="1386" spans="1:14" x14ac:dyDescent="0.2">
      <c r="A1386" s="292"/>
      <c r="C1386" s="189"/>
      <c r="E1386" s="190"/>
      <c r="G1386" s="70"/>
      <c r="H1386" s="70"/>
      <c r="J1386" s="70"/>
      <c r="L1386" s="71"/>
      <c r="N1386" s="70"/>
    </row>
    <row r="1387" spans="1:14" x14ac:dyDescent="0.2">
      <c r="A1387" s="292"/>
      <c r="C1387" s="189"/>
      <c r="E1387" s="190"/>
      <c r="G1387" s="70"/>
      <c r="H1387" s="70"/>
      <c r="J1387" s="70"/>
      <c r="L1387" s="71"/>
      <c r="N1387" s="70"/>
    </row>
    <row r="1388" spans="1:14" x14ac:dyDescent="0.2">
      <c r="A1388" s="292"/>
      <c r="C1388" s="189"/>
      <c r="E1388" s="190"/>
      <c r="G1388" s="70"/>
      <c r="H1388" s="70"/>
      <c r="J1388" s="70"/>
      <c r="L1388" s="71"/>
      <c r="N1388" s="70"/>
    </row>
    <row r="1389" spans="1:14" x14ac:dyDescent="0.2">
      <c r="A1389" s="292"/>
      <c r="C1389" s="189"/>
      <c r="E1389" s="190"/>
      <c r="G1389" s="70"/>
      <c r="H1389" s="70"/>
      <c r="J1389" s="70"/>
      <c r="L1389" s="71"/>
      <c r="N1389" s="70"/>
    </row>
    <row r="1390" spans="1:14" x14ac:dyDescent="0.2">
      <c r="A1390" s="292"/>
      <c r="C1390" s="189"/>
      <c r="E1390" s="190"/>
      <c r="G1390" s="70"/>
      <c r="H1390" s="70"/>
      <c r="J1390" s="70"/>
      <c r="L1390" s="71"/>
      <c r="N1390" s="70"/>
    </row>
    <row r="1391" spans="1:14" x14ac:dyDescent="0.2">
      <c r="A1391" s="292"/>
      <c r="C1391" s="189"/>
      <c r="E1391" s="190"/>
      <c r="G1391" s="70"/>
      <c r="H1391" s="70"/>
      <c r="J1391" s="70"/>
      <c r="L1391" s="71"/>
      <c r="N1391" s="70"/>
    </row>
    <row r="1392" spans="1:14" x14ac:dyDescent="0.2">
      <c r="A1392" s="292"/>
      <c r="C1392" s="189"/>
      <c r="E1392" s="190"/>
      <c r="G1392" s="70"/>
      <c r="H1392" s="70"/>
      <c r="J1392" s="70"/>
      <c r="L1392" s="71"/>
      <c r="N1392" s="70"/>
    </row>
    <row r="1393" spans="1:14" x14ac:dyDescent="0.2">
      <c r="A1393" s="292"/>
      <c r="C1393" s="189"/>
      <c r="E1393" s="190"/>
      <c r="G1393" s="70"/>
      <c r="H1393" s="70"/>
      <c r="J1393" s="70"/>
      <c r="L1393" s="71"/>
      <c r="N1393" s="70"/>
    </row>
    <row r="1394" spans="1:14" x14ac:dyDescent="0.2">
      <c r="A1394" s="292"/>
      <c r="C1394" s="189"/>
      <c r="E1394" s="190"/>
      <c r="G1394" s="70"/>
      <c r="H1394" s="70"/>
      <c r="J1394" s="70"/>
      <c r="L1394" s="71"/>
      <c r="N1394" s="70"/>
    </row>
    <row r="1395" spans="1:14" x14ac:dyDescent="0.2">
      <c r="A1395" s="292"/>
      <c r="C1395" s="189"/>
      <c r="E1395" s="190"/>
      <c r="G1395" s="70"/>
      <c r="H1395" s="70"/>
      <c r="J1395" s="70"/>
      <c r="L1395" s="71"/>
      <c r="N1395" s="70"/>
    </row>
    <row r="1396" spans="1:14" x14ac:dyDescent="0.2">
      <c r="A1396" s="292"/>
      <c r="C1396" s="189"/>
      <c r="E1396" s="190"/>
      <c r="G1396" s="70"/>
      <c r="H1396" s="70"/>
      <c r="J1396" s="70"/>
      <c r="L1396" s="71"/>
      <c r="N1396" s="70"/>
    </row>
    <row r="1397" spans="1:14" x14ac:dyDescent="0.2">
      <c r="A1397" s="292"/>
      <c r="C1397" s="189"/>
      <c r="E1397" s="190"/>
      <c r="G1397" s="70"/>
      <c r="H1397" s="70"/>
      <c r="J1397" s="70"/>
      <c r="L1397" s="71"/>
      <c r="N1397" s="70"/>
    </row>
    <row r="1398" spans="1:14" x14ac:dyDescent="0.2">
      <c r="A1398" s="292"/>
      <c r="C1398" s="189"/>
      <c r="E1398" s="190"/>
      <c r="G1398" s="70"/>
      <c r="H1398" s="70"/>
      <c r="J1398" s="70"/>
      <c r="L1398" s="71"/>
      <c r="N1398" s="70"/>
    </row>
    <row r="1399" spans="1:14" x14ac:dyDescent="0.2">
      <c r="A1399" s="292"/>
      <c r="C1399" s="189"/>
      <c r="E1399" s="190"/>
      <c r="G1399" s="70"/>
      <c r="H1399" s="70"/>
      <c r="J1399" s="70"/>
      <c r="L1399" s="71"/>
      <c r="N1399" s="70"/>
    </row>
    <row r="1400" spans="1:14" x14ac:dyDescent="0.2">
      <c r="A1400" s="292"/>
      <c r="C1400" s="189"/>
      <c r="E1400" s="190"/>
      <c r="G1400" s="70"/>
      <c r="H1400" s="70"/>
      <c r="J1400" s="70"/>
      <c r="L1400" s="71"/>
      <c r="N1400" s="70"/>
    </row>
    <row r="1401" spans="1:14" x14ac:dyDescent="0.2">
      <c r="A1401" s="292"/>
      <c r="C1401" s="189"/>
      <c r="E1401" s="190"/>
      <c r="G1401" s="70"/>
      <c r="H1401" s="70"/>
      <c r="J1401" s="70"/>
      <c r="L1401" s="71"/>
      <c r="N1401" s="70"/>
    </row>
    <row r="1402" spans="1:14" x14ac:dyDescent="0.2">
      <c r="A1402" s="292"/>
      <c r="C1402" s="189"/>
      <c r="E1402" s="190"/>
      <c r="G1402" s="70"/>
      <c r="H1402" s="70"/>
      <c r="J1402" s="70"/>
      <c r="L1402" s="71"/>
      <c r="N1402" s="70"/>
    </row>
    <row r="1403" spans="1:14" x14ac:dyDescent="0.2">
      <c r="A1403" s="292"/>
      <c r="C1403" s="189"/>
      <c r="E1403" s="190"/>
      <c r="G1403" s="70"/>
      <c r="H1403" s="70"/>
      <c r="J1403" s="70"/>
      <c r="L1403" s="71"/>
      <c r="N1403" s="70"/>
    </row>
    <row r="1404" spans="1:14" x14ac:dyDescent="0.2">
      <c r="A1404" s="292"/>
      <c r="C1404" s="189"/>
      <c r="E1404" s="190"/>
      <c r="G1404" s="70"/>
      <c r="H1404" s="70"/>
      <c r="J1404" s="70"/>
      <c r="L1404" s="71"/>
      <c r="N1404" s="70"/>
    </row>
    <row r="1405" spans="1:14" x14ac:dyDescent="0.2">
      <c r="A1405" s="292"/>
      <c r="C1405" s="189"/>
      <c r="E1405" s="190"/>
      <c r="G1405" s="70"/>
      <c r="H1405" s="70"/>
      <c r="J1405" s="70"/>
      <c r="L1405" s="71"/>
      <c r="N1405" s="70"/>
    </row>
    <row r="1406" spans="1:14" x14ac:dyDescent="0.2">
      <c r="A1406" s="292"/>
      <c r="C1406" s="189"/>
      <c r="E1406" s="190"/>
      <c r="G1406" s="70"/>
      <c r="H1406" s="70"/>
      <c r="J1406" s="70"/>
      <c r="L1406" s="71"/>
      <c r="N1406" s="70"/>
    </row>
    <row r="1407" spans="1:14" x14ac:dyDescent="0.2">
      <c r="A1407" s="292"/>
      <c r="C1407" s="189"/>
      <c r="E1407" s="190"/>
      <c r="G1407" s="70"/>
      <c r="H1407" s="70"/>
      <c r="J1407" s="70"/>
      <c r="L1407" s="71"/>
      <c r="N1407" s="70"/>
    </row>
    <row r="1408" spans="1:14" x14ac:dyDescent="0.2">
      <c r="A1408" s="292"/>
      <c r="C1408" s="189"/>
      <c r="E1408" s="190"/>
      <c r="G1408" s="70"/>
      <c r="H1408" s="70"/>
      <c r="J1408" s="70"/>
      <c r="L1408" s="71"/>
      <c r="N1408" s="70"/>
    </row>
    <row r="1409" spans="1:14" x14ac:dyDescent="0.2">
      <c r="A1409" s="292"/>
      <c r="C1409" s="189"/>
      <c r="E1409" s="190"/>
      <c r="G1409" s="70"/>
      <c r="H1409" s="70"/>
      <c r="J1409" s="70"/>
      <c r="L1409" s="71"/>
      <c r="N1409" s="70"/>
    </row>
    <row r="1410" spans="1:14" x14ac:dyDescent="0.2">
      <c r="A1410" s="292"/>
      <c r="C1410" s="189"/>
      <c r="E1410" s="190"/>
      <c r="G1410" s="70"/>
      <c r="H1410" s="70"/>
      <c r="J1410" s="70"/>
      <c r="L1410" s="71"/>
      <c r="N1410" s="70"/>
    </row>
    <row r="1411" spans="1:14" x14ac:dyDescent="0.2">
      <c r="A1411" s="292"/>
      <c r="C1411" s="189"/>
      <c r="E1411" s="190"/>
      <c r="G1411" s="70"/>
      <c r="H1411" s="70"/>
      <c r="J1411" s="70"/>
      <c r="L1411" s="71"/>
      <c r="N1411" s="70"/>
    </row>
    <row r="1412" spans="1:14" x14ac:dyDescent="0.2">
      <c r="A1412" s="292"/>
      <c r="C1412" s="189"/>
      <c r="E1412" s="190"/>
      <c r="G1412" s="70"/>
      <c r="H1412" s="70"/>
      <c r="J1412" s="70"/>
      <c r="L1412" s="71"/>
      <c r="N1412" s="70"/>
    </row>
    <row r="1413" spans="1:14" x14ac:dyDescent="0.2">
      <c r="A1413" s="292"/>
      <c r="C1413" s="189"/>
      <c r="E1413" s="190"/>
      <c r="G1413" s="70"/>
      <c r="H1413" s="70"/>
      <c r="J1413" s="70"/>
      <c r="L1413" s="71"/>
      <c r="N1413" s="70"/>
    </row>
    <row r="1414" spans="1:14" x14ac:dyDescent="0.2">
      <c r="A1414" s="292"/>
      <c r="C1414" s="189"/>
      <c r="E1414" s="190"/>
      <c r="G1414" s="70"/>
      <c r="H1414" s="70"/>
      <c r="J1414" s="70"/>
      <c r="L1414" s="71"/>
      <c r="N1414" s="70"/>
    </row>
    <row r="1415" spans="1:14" x14ac:dyDescent="0.2">
      <c r="A1415" s="292"/>
      <c r="C1415" s="189"/>
      <c r="E1415" s="190"/>
      <c r="G1415" s="70"/>
      <c r="H1415" s="70"/>
      <c r="J1415" s="70"/>
      <c r="L1415" s="71"/>
      <c r="N1415" s="70"/>
    </row>
    <row r="1416" spans="1:14" x14ac:dyDescent="0.2">
      <c r="A1416" s="292"/>
      <c r="C1416" s="189"/>
      <c r="E1416" s="190"/>
      <c r="G1416" s="70"/>
      <c r="H1416" s="70"/>
      <c r="J1416" s="70"/>
      <c r="L1416" s="71"/>
      <c r="N1416" s="70"/>
    </row>
    <row r="1417" spans="1:14" x14ac:dyDescent="0.2">
      <c r="A1417" s="292"/>
      <c r="C1417" s="189"/>
      <c r="E1417" s="190"/>
      <c r="G1417" s="70"/>
      <c r="H1417" s="70"/>
      <c r="J1417" s="70"/>
      <c r="L1417" s="71"/>
      <c r="N1417" s="70"/>
    </row>
    <row r="1418" spans="1:14" x14ac:dyDescent="0.2">
      <c r="A1418" s="292"/>
      <c r="C1418" s="189"/>
      <c r="E1418" s="190"/>
      <c r="G1418" s="70"/>
      <c r="H1418" s="70"/>
      <c r="J1418" s="70"/>
      <c r="L1418" s="71"/>
      <c r="N1418" s="70"/>
    </row>
    <row r="1419" spans="1:14" x14ac:dyDescent="0.2">
      <c r="A1419" s="292"/>
      <c r="C1419" s="189"/>
      <c r="E1419" s="190"/>
      <c r="G1419" s="70"/>
      <c r="H1419" s="70"/>
      <c r="J1419" s="70"/>
      <c r="L1419" s="71"/>
      <c r="N1419" s="70"/>
    </row>
    <row r="1420" spans="1:14" x14ac:dyDescent="0.2">
      <c r="A1420" s="292"/>
      <c r="C1420" s="189"/>
      <c r="E1420" s="190"/>
      <c r="G1420" s="70"/>
      <c r="H1420" s="70"/>
      <c r="J1420" s="70"/>
      <c r="L1420" s="71"/>
      <c r="N1420" s="70"/>
    </row>
    <row r="1421" spans="1:14" x14ac:dyDescent="0.2">
      <c r="A1421" s="292"/>
      <c r="C1421" s="189"/>
      <c r="E1421" s="190"/>
      <c r="G1421" s="70"/>
      <c r="H1421" s="70"/>
      <c r="J1421" s="70"/>
      <c r="L1421" s="71"/>
      <c r="N1421" s="70"/>
    </row>
    <row r="1422" spans="1:14" x14ac:dyDescent="0.2">
      <c r="A1422" s="292"/>
      <c r="C1422" s="189"/>
      <c r="E1422" s="190"/>
      <c r="G1422" s="70"/>
      <c r="H1422" s="70"/>
      <c r="J1422" s="70"/>
      <c r="L1422" s="71"/>
      <c r="N1422" s="70"/>
    </row>
    <row r="1423" spans="1:14" x14ac:dyDescent="0.2">
      <c r="A1423" s="292"/>
      <c r="C1423" s="189"/>
      <c r="E1423" s="190"/>
      <c r="G1423" s="70"/>
      <c r="H1423" s="70"/>
      <c r="J1423" s="70"/>
      <c r="L1423" s="71"/>
      <c r="N1423" s="70"/>
    </row>
    <row r="1424" spans="1:14" x14ac:dyDescent="0.2">
      <c r="A1424" s="292"/>
      <c r="C1424" s="189"/>
      <c r="E1424" s="190"/>
      <c r="G1424" s="70"/>
      <c r="H1424" s="70"/>
      <c r="J1424" s="70"/>
      <c r="L1424" s="71"/>
      <c r="N1424" s="70"/>
    </row>
    <row r="1425" spans="1:14" x14ac:dyDescent="0.2">
      <c r="A1425" s="292"/>
      <c r="C1425" s="189"/>
      <c r="E1425" s="190"/>
      <c r="G1425" s="70"/>
      <c r="H1425" s="70"/>
      <c r="J1425" s="70"/>
      <c r="L1425" s="71"/>
      <c r="N1425" s="70"/>
    </row>
    <row r="1426" spans="1:14" x14ac:dyDescent="0.2">
      <c r="A1426" s="292"/>
      <c r="C1426" s="189"/>
      <c r="E1426" s="190"/>
      <c r="G1426" s="70"/>
      <c r="H1426" s="70"/>
      <c r="J1426" s="70"/>
      <c r="L1426" s="71"/>
      <c r="N1426" s="70"/>
    </row>
    <row r="1427" spans="1:14" x14ac:dyDescent="0.2">
      <c r="A1427" s="292"/>
      <c r="C1427" s="189"/>
      <c r="E1427" s="190"/>
      <c r="G1427" s="70"/>
      <c r="H1427" s="70"/>
      <c r="J1427" s="70"/>
      <c r="L1427" s="71"/>
      <c r="N1427" s="70"/>
    </row>
    <row r="1428" spans="1:14" x14ac:dyDescent="0.2">
      <c r="A1428" s="292"/>
      <c r="C1428" s="189"/>
      <c r="E1428" s="190"/>
      <c r="G1428" s="70"/>
      <c r="H1428" s="70"/>
      <c r="J1428" s="70"/>
      <c r="L1428" s="71"/>
      <c r="N1428" s="70"/>
    </row>
    <row r="1429" spans="1:14" x14ac:dyDescent="0.2">
      <c r="A1429" s="292"/>
      <c r="C1429" s="189"/>
      <c r="E1429" s="190"/>
      <c r="G1429" s="70"/>
      <c r="H1429" s="70"/>
      <c r="J1429" s="70"/>
      <c r="L1429" s="71"/>
      <c r="N1429" s="70"/>
    </row>
    <row r="1430" spans="1:14" x14ac:dyDescent="0.2">
      <c r="A1430" s="292"/>
      <c r="C1430" s="189"/>
      <c r="E1430" s="190"/>
      <c r="G1430" s="70"/>
      <c r="H1430" s="70"/>
      <c r="J1430" s="70"/>
      <c r="L1430" s="71"/>
      <c r="N1430" s="70"/>
    </row>
    <row r="1431" spans="1:14" x14ac:dyDescent="0.2">
      <c r="A1431" s="292"/>
      <c r="C1431" s="189"/>
      <c r="E1431" s="190"/>
      <c r="G1431" s="70"/>
      <c r="H1431" s="70"/>
      <c r="J1431" s="70"/>
      <c r="L1431" s="71"/>
      <c r="N1431" s="70"/>
    </row>
    <row r="1432" spans="1:14" x14ac:dyDescent="0.2">
      <c r="A1432" s="292"/>
      <c r="C1432" s="189"/>
      <c r="E1432" s="190"/>
      <c r="G1432" s="70"/>
      <c r="H1432" s="70"/>
      <c r="J1432" s="70"/>
      <c r="L1432" s="71"/>
      <c r="N1432" s="70"/>
    </row>
    <row r="1433" spans="1:14" x14ac:dyDescent="0.2">
      <c r="A1433" s="292"/>
      <c r="C1433" s="189"/>
      <c r="E1433" s="190"/>
      <c r="G1433" s="70"/>
      <c r="H1433" s="70"/>
      <c r="J1433" s="70"/>
      <c r="L1433" s="71"/>
      <c r="N1433" s="70"/>
    </row>
    <row r="1434" spans="1:14" x14ac:dyDescent="0.2">
      <c r="A1434" s="292"/>
      <c r="C1434" s="189"/>
      <c r="E1434" s="190"/>
      <c r="G1434" s="70"/>
      <c r="H1434" s="70"/>
      <c r="J1434" s="70"/>
      <c r="L1434" s="71"/>
      <c r="N1434" s="70"/>
    </row>
    <row r="1435" spans="1:14" x14ac:dyDescent="0.2">
      <c r="A1435" s="292"/>
      <c r="C1435" s="189"/>
      <c r="E1435" s="190"/>
      <c r="G1435" s="70"/>
      <c r="H1435" s="70"/>
      <c r="J1435" s="70"/>
      <c r="L1435" s="71"/>
      <c r="N1435" s="70"/>
    </row>
    <row r="1436" spans="1:14" x14ac:dyDescent="0.2">
      <c r="A1436" s="292"/>
      <c r="C1436" s="189"/>
      <c r="E1436" s="190"/>
      <c r="G1436" s="70"/>
      <c r="H1436" s="70"/>
      <c r="J1436" s="70"/>
      <c r="L1436" s="71"/>
      <c r="N1436" s="70"/>
    </row>
    <row r="1437" spans="1:14" x14ac:dyDescent="0.2">
      <c r="A1437" s="292"/>
      <c r="C1437" s="189"/>
      <c r="E1437" s="190"/>
      <c r="G1437" s="70"/>
      <c r="H1437" s="70"/>
      <c r="J1437" s="70"/>
      <c r="L1437" s="71"/>
      <c r="N1437" s="70"/>
    </row>
    <row r="1438" spans="1:14" x14ac:dyDescent="0.2">
      <c r="A1438" s="292"/>
      <c r="C1438" s="189"/>
      <c r="E1438" s="190"/>
      <c r="G1438" s="70"/>
      <c r="H1438" s="70"/>
      <c r="J1438" s="70"/>
      <c r="L1438" s="71"/>
      <c r="N1438" s="70"/>
    </row>
    <row r="1439" spans="1:14" x14ac:dyDescent="0.2">
      <c r="A1439" s="292"/>
      <c r="C1439" s="189"/>
      <c r="E1439" s="190"/>
      <c r="G1439" s="70"/>
      <c r="H1439" s="70"/>
      <c r="J1439" s="70"/>
      <c r="L1439" s="71"/>
      <c r="N1439" s="70"/>
    </row>
    <row r="1440" spans="1:14" x14ac:dyDescent="0.2">
      <c r="A1440" s="292"/>
      <c r="C1440" s="189"/>
      <c r="E1440" s="190"/>
      <c r="G1440" s="70"/>
      <c r="H1440" s="70"/>
      <c r="J1440" s="70"/>
      <c r="L1440" s="71"/>
      <c r="N1440" s="70"/>
    </row>
    <row r="1441" spans="1:14" x14ac:dyDescent="0.2">
      <c r="A1441" s="292"/>
      <c r="C1441" s="189"/>
      <c r="E1441" s="190"/>
      <c r="G1441" s="70"/>
      <c r="H1441" s="70"/>
      <c r="J1441" s="70"/>
      <c r="L1441" s="71"/>
      <c r="N1441" s="70"/>
    </row>
    <row r="1442" spans="1:14" x14ac:dyDescent="0.2">
      <c r="A1442" s="292"/>
      <c r="C1442" s="189"/>
      <c r="E1442" s="190"/>
      <c r="G1442" s="70"/>
      <c r="H1442" s="70"/>
      <c r="J1442" s="70"/>
      <c r="L1442" s="71"/>
      <c r="N1442" s="70"/>
    </row>
    <row r="1443" spans="1:14" x14ac:dyDescent="0.2">
      <c r="A1443" s="292"/>
      <c r="C1443" s="189"/>
      <c r="E1443" s="190"/>
      <c r="G1443" s="70"/>
      <c r="H1443" s="70"/>
      <c r="J1443" s="70"/>
      <c r="L1443" s="71"/>
      <c r="N1443" s="70"/>
    </row>
    <row r="1444" spans="1:14" x14ac:dyDescent="0.2">
      <c r="A1444" s="292"/>
      <c r="C1444" s="189"/>
      <c r="E1444" s="190"/>
      <c r="G1444" s="70"/>
      <c r="H1444" s="70"/>
      <c r="J1444" s="70"/>
      <c r="L1444" s="71"/>
      <c r="N1444" s="70"/>
    </row>
    <row r="1445" spans="1:14" x14ac:dyDescent="0.2">
      <c r="A1445" s="292"/>
      <c r="C1445" s="189"/>
      <c r="E1445" s="190"/>
      <c r="G1445" s="70"/>
      <c r="H1445" s="70"/>
      <c r="J1445" s="70"/>
      <c r="L1445" s="71"/>
      <c r="N1445" s="70"/>
    </row>
    <row r="1446" spans="1:14" x14ac:dyDescent="0.2">
      <c r="A1446" s="292"/>
      <c r="C1446" s="189"/>
      <c r="E1446" s="190"/>
      <c r="G1446" s="70"/>
      <c r="H1446" s="70"/>
      <c r="J1446" s="70"/>
      <c r="L1446" s="71"/>
      <c r="N1446" s="70"/>
    </row>
    <row r="1447" spans="1:14" x14ac:dyDescent="0.2">
      <c r="A1447" s="292"/>
      <c r="C1447" s="189"/>
      <c r="E1447" s="190"/>
      <c r="G1447" s="70"/>
      <c r="H1447" s="70"/>
      <c r="J1447" s="70"/>
      <c r="L1447" s="71"/>
      <c r="N1447" s="70"/>
    </row>
    <row r="1448" spans="1:14" x14ac:dyDescent="0.2">
      <c r="A1448" s="292"/>
      <c r="C1448" s="189"/>
      <c r="E1448" s="190"/>
      <c r="G1448" s="70"/>
      <c r="H1448" s="70"/>
      <c r="J1448" s="70"/>
      <c r="L1448" s="71"/>
      <c r="N1448" s="70"/>
    </row>
    <row r="1449" spans="1:14" x14ac:dyDescent="0.2">
      <c r="A1449" s="292"/>
      <c r="C1449" s="189"/>
      <c r="E1449" s="190"/>
      <c r="G1449" s="70"/>
      <c r="H1449" s="70"/>
      <c r="J1449" s="70"/>
      <c r="L1449" s="71"/>
      <c r="N1449" s="70"/>
    </row>
    <row r="1450" spans="1:14" x14ac:dyDescent="0.2">
      <c r="A1450" s="292"/>
      <c r="C1450" s="189"/>
      <c r="E1450" s="190"/>
      <c r="G1450" s="70"/>
      <c r="H1450" s="70"/>
      <c r="J1450" s="70"/>
      <c r="L1450" s="71"/>
      <c r="N1450" s="70"/>
    </row>
    <row r="1451" spans="1:14" x14ac:dyDescent="0.2">
      <c r="A1451" s="292"/>
      <c r="C1451" s="189"/>
      <c r="E1451" s="190"/>
      <c r="G1451" s="70"/>
      <c r="H1451" s="70"/>
      <c r="J1451" s="70"/>
      <c r="L1451" s="71"/>
      <c r="N1451" s="70"/>
    </row>
    <row r="1452" spans="1:14" x14ac:dyDescent="0.2">
      <c r="A1452" s="292"/>
      <c r="C1452" s="189"/>
      <c r="E1452" s="190"/>
      <c r="G1452" s="70"/>
      <c r="H1452" s="70"/>
      <c r="J1452" s="70"/>
      <c r="L1452" s="71"/>
      <c r="N1452" s="70"/>
    </row>
    <row r="1453" spans="1:14" x14ac:dyDescent="0.2">
      <c r="A1453" s="292"/>
      <c r="C1453" s="189"/>
      <c r="E1453" s="190"/>
      <c r="G1453" s="70"/>
      <c r="H1453" s="70"/>
      <c r="J1453" s="70"/>
      <c r="L1453" s="71"/>
      <c r="N1453" s="70"/>
    </row>
    <row r="1454" spans="1:14" x14ac:dyDescent="0.2">
      <c r="A1454" s="292"/>
      <c r="C1454" s="189"/>
      <c r="E1454" s="190"/>
      <c r="G1454" s="70"/>
      <c r="H1454" s="70"/>
      <c r="J1454" s="70"/>
      <c r="L1454" s="71"/>
      <c r="N1454" s="70"/>
    </row>
    <row r="1455" spans="1:14" x14ac:dyDescent="0.2">
      <c r="A1455" s="292"/>
      <c r="C1455" s="189"/>
      <c r="E1455" s="190"/>
      <c r="G1455" s="70"/>
      <c r="H1455" s="70"/>
      <c r="J1455" s="70"/>
      <c r="L1455" s="71"/>
      <c r="N1455" s="70"/>
    </row>
    <row r="1456" spans="1:14" x14ac:dyDescent="0.2">
      <c r="A1456" s="292"/>
      <c r="C1456" s="189"/>
      <c r="E1456" s="190"/>
      <c r="G1456" s="70"/>
      <c r="H1456" s="70"/>
      <c r="J1456" s="70"/>
      <c r="L1456" s="71"/>
      <c r="N1456" s="70"/>
    </row>
    <row r="1457" spans="1:14" x14ac:dyDescent="0.2">
      <c r="A1457" s="292"/>
      <c r="C1457" s="189"/>
      <c r="E1457" s="190"/>
      <c r="G1457" s="70"/>
      <c r="H1457" s="70"/>
      <c r="J1457" s="70"/>
      <c r="L1457" s="71"/>
      <c r="N1457" s="70"/>
    </row>
    <row r="1458" spans="1:14" x14ac:dyDescent="0.2">
      <c r="A1458" s="292"/>
      <c r="C1458" s="189"/>
      <c r="E1458" s="190"/>
      <c r="G1458" s="70"/>
      <c r="H1458" s="70"/>
      <c r="J1458" s="70"/>
      <c r="L1458" s="71"/>
      <c r="N1458" s="70"/>
    </row>
    <row r="1459" spans="1:14" x14ac:dyDescent="0.2">
      <c r="A1459" s="292"/>
      <c r="C1459" s="189"/>
      <c r="E1459" s="190"/>
      <c r="G1459" s="70"/>
      <c r="H1459" s="70"/>
      <c r="J1459" s="70"/>
      <c r="L1459" s="71"/>
      <c r="N1459" s="70"/>
    </row>
    <row r="1460" spans="1:14" x14ac:dyDescent="0.2">
      <c r="A1460" s="292"/>
      <c r="C1460" s="189"/>
      <c r="E1460" s="190"/>
      <c r="G1460" s="70"/>
      <c r="H1460" s="70"/>
      <c r="J1460" s="70"/>
      <c r="L1460" s="71"/>
      <c r="N1460" s="70"/>
    </row>
    <row r="1461" spans="1:14" x14ac:dyDescent="0.2">
      <c r="A1461" s="292"/>
      <c r="C1461" s="189"/>
      <c r="E1461" s="190"/>
      <c r="G1461" s="70"/>
      <c r="H1461" s="70"/>
      <c r="J1461" s="70"/>
      <c r="L1461" s="71"/>
      <c r="N1461" s="70"/>
    </row>
    <row r="1462" spans="1:14" x14ac:dyDescent="0.2">
      <c r="A1462" s="292"/>
      <c r="C1462" s="189"/>
      <c r="E1462" s="190"/>
      <c r="G1462" s="70"/>
      <c r="H1462" s="70"/>
      <c r="J1462" s="70"/>
      <c r="L1462" s="71"/>
      <c r="N1462" s="70"/>
    </row>
    <row r="1463" spans="1:14" x14ac:dyDescent="0.2">
      <c r="A1463" s="292"/>
      <c r="C1463" s="189"/>
      <c r="E1463" s="190"/>
      <c r="G1463" s="70"/>
      <c r="H1463" s="70"/>
      <c r="J1463" s="70"/>
      <c r="L1463" s="71"/>
      <c r="N1463" s="70"/>
    </row>
    <row r="1464" spans="1:14" x14ac:dyDescent="0.2">
      <c r="A1464" s="292"/>
      <c r="C1464" s="189"/>
      <c r="E1464" s="190"/>
      <c r="G1464" s="70"/>
      <c r="H1464" s="70"/>
      <c r="J1464" s="70"/>
      <c r="L1464" s="71"/>
      <c r="N1464" s="70"/>
    </row>
    <row r="1465" spans="1:14" x14ac:dyDescent="0.2">
      <c r="A1465" s="292"/>
      <c r="C1465" s="189"/>
      <c r="E1465" s="190"/>
      <c r="G1465" s="70"/>
      <c r="H1465" s="70"/>
      <c r="J1465" s="70"/>
      <c r="L1465" s="71"/>
      <c r="N1465" s="70"/>
    </row>
    <row r="1466" spans="1:14" x14ac:dyDescent="0.2">
      <c r="A1466" s="292"/>
      <c r="C1466" s="189"/>
      <c r="E1466" s="190"/>
      <c r="G1466" s="70"/>
      <c r="H1466" s="70"/>
      <c r="J1466" s="70"/>
      <c r="L1466" s="71"/>
      <c r="N1466" s="70"/>
    </row>
    <row r="1467" spans="1:14" x14ac:dyDescent="0.2">
      <c r="A1467" s="292"/>
      <c r="C1467" s="189"/>
      <c r="E1467" s="190"/>
      <c r="G1467" s="70"/>
      <c r="H1467" s="70"/>
      <c r="J1467" s="70"/>
      <c r="L1467" s="71"/>
      <c r="N1467" s="70"/>
    </row>
    <row r="1468" spans="1:14" x14ac:dyDescent="0.2">
      <c r="A1468" s="292"/>
      <c r="C1468" s="189"/>
      <c r="E1468" s="190"/>
      <c r="G1468" s="70"/>
      <c r="H1468" s="70"/>
      <c r="J1468" s="70"/>
      <c r="L1468" s="71"/>
      <c r="N1468" s="70"/>
    </row>
    <row r="1469" spans="1:14" x14ac:dyDescent="0.2">
      <c r="A1469" s="292"/>
      <c r="C1469" s="189"/>
      <c r="E1469" s="190"/>
      <c r="G1469" s="70"/>
      <c r="H1469" s="70"/>
      <c r="J1469" s="70"/>
      <c r="L1469" s="71"/>
      <c r="N1469" s="70"/>
    </row>
    <row r="1470" spans="1:14" x14ac:dyDescent="0.2">
      <c r="A1470" s="292"/>
      <c r="C1470" s="189"/>
      <c r="E1470" s="190"/>
      <c r="G1470" s="70"/>
      <c r="H1470" s="70"/>
      <c r="J1470" s="70"/>
      <c r="L1470" s="71"/>
      <c r="N1470" s="70"/>
    </row>
    <row r="1471" spans="1:14" x14ac:dyDescent="0.2">
      <c r="A1471" s="292"/>
      <c r="C1471" s="189"/>
      <c r="E1471" s="190"/>
      <c r="G1471" s="70"/>
      <c r="H1471" s="70"/>
      <c r="J1471" s="70"/>
      <c r="L1471" s="71"/>
      <c r="N1471" s="70"/>
    </row>
    <row r="1472" spans="1:14" x14ac:dyDescent="0.2">
      <c r="A1472" s="292"/>
      <c r="C1472" s="189"/>
      <c r="E1472" s="190"/>
      <c r="G1472" s="70"/>
      <c r="H1472" s="70"/>
      <c r="J1472" s="70"/>
      <c r="L1472" s="71"/>
      <c r="N1472" s="70"/>
    </row>
    <row r="1473" spans="1:14" x14ac:dyDescent="0.2">
      <c r="A1473" s="292"/>
      <c r="C1473" s="189"/>
      <c r="E1473" s="190"/>
      <c r="G1473" s="70"/>
      <c r="H1473" s="70"/>
      <c r="J1473" s="70"/>
      <c r="L1473" s="71"/>
      <c r="N1473" s="70"/>
    </row>
    <row r="1474" spans="1:14" x14ac:dyDescent="0.2">
      <c r="A1474" s="292"/>
      <c r="C1474" s="189"/>
      <c r="E1474" s="190"/>
      <c r="G1474" s="70"/>
      <c r="H1474" s="70"/>
      <c r="J1474" s="70"/>
      <c r="L1474" s="71"/>
      <c r="N1474" s="70"/>
    </row>
    <row r="1475" spans="1:14" x14ac:dyDescent="0.2">
      <c r="A1475" s="292"/>
      <c r="C1475" s="189"/>
      <c r="E1475" s="190"/>
      <c r="G1475" s="70"/>
      <c r="H1475" s="70"/>
      <c r="J1475" s="70"/>
      <c r="L1475" s="71"/>
      <c r="N1475" s="70"/>
    </row>
    <row r="1476" spans="1:14" x14ac:dyDescent="0.2">
      <c r="A1476" s="292"/>
      <c r="C1476" s="189"/>
      <c r="E1476" s="190"/>
      <c r="G1476" s="70"/>
      <c r="H1476" s="70"/>
      <c r="J1476" s="70"/>
      <c r="L1476" s="71"/>
      <c r="N1476" s="70"/>
    </row>
    <row r="1477" spans="1:14" x14ac:dyDescent="0.2">
      <c r="A1477" s="292"/>
      <c r="C1477" s="189"/>
      <c r="E1477" s="190"/>
      <c r="G1477" s="70"/>
      <c r="H1477" s="70"/>
      <c r="J1477" s="70"/>
      <c r="L1477" s="71"/>
      <c r="N1477" s="70"/>
    </row>
    <row r="1478" spans="1:14" x14ac:dyDescent="0.2">
      <c r="A1478" s="292"/>
      <c r="C1478" s="189"/>
      <c r="E1478" s="190"/>
      <c r="G1478" s="70"/>
      <c r="H1478" s="70"/>
      <c r="J1478" s="70"/>
      <c r="L1478" s="71"/>
      <c r="N1478" s="70"/>
    </row>
    <row r="1479" spans="1:14" x14ac:dyDescent="0.2">
      <c r="A1479" s="292"/>
      <c r="C1479" s="189"/>
      <c r="E1479" s="190"/>
      <c r="G1479" s="70"/>
      <c r="H1479" s="70"/>
      <c r="J1479" s="70"/>
      <c r="L1479" s="71"/>
      <c r="N1479" s="70"/>
    </row>
    <row r="1480" spans="1:14" x14ac:dyDescent="0.2">
      <c r="A1480" s="292"/>
      <c r="C1480" s="189"/>
      <c r="E1480" s="190"/>
      <c r="G1480" s="70"/>
      <c r="H1480" s="70"/>
      <c r="J1480" s="70"/>
      <c r="L1480" s="71"/>
      <c r="N1480" s="70"/>
    </row>
    <row r="1481" spans="1:14" x14ac:dyDescent="0.2">
      <c r="A1481" s="292"/>
      <c r="C1481" s="189"/>
      <c r="E1481" s="190"/>
      <c r="G1481" s="70"/>
      <c r="H1481" s="70"/>
      <c r="J1481" s="70"/>
      <c r="L1481" s="71"/>
      <c r="N1481" s="70"/>
    </row>
    <row r="1482" spans="1:14" x14ac:dyDescent="0.2">
      <c r="A1482" s="292"/>
      <c r="C1482" s="189"/>
      <c r="E1482" s="190"/>
      <c r="G1482" s="70"/>
      <c r="H1482" s="70"/>
      <c r="J1482" s="70"/>
      <c r="L1482" s="71"/>
      <c r="N1482" s="70"/>
    </row>
    <row r="1483" spans="1:14" x14ac:dyDescent="0.2">
      <c r="A1483" s="292"/>
      <c r="C1483" s="189"/>
      <c r="E1483" s="190"/>
      <c r="G1483" s="70"/>
      <c r="H1483" s="70"/>
      <c r="J1483" s="70"/>
      <c r="L1483" s="71"/>
      <c r="N1483" s="70"/>
    </row>
    <row r="1484" spans="1:14" x14ac:dyDescent="0.2">
      <c r="A1484" s="292"/>
      <c r="C1484" s="189"/>
      <c r="E1484" s="190"/>
      <c r="G1484" s="70"/>
      <c r="H1484" s="70"/>
      <c r="J1484" s="70"/>
      <c r="L1484" s="71"/>
      <c r="N1484" s="70"/>
    </row>
    <row r="1485" spans="1:14" x14ac:dyDescent="0.2">
      <c r="A1485" s="292"/>
      <c r="C1485" s="189"/>
      <c r="E1485" s="190"/>
      <c r="G1485" s="70"/>
      <c r="H1485" s="70"/>
      <c r="J1485" s="70"/>
      <c r="L1485" s="71"/>
      <c r="N1485" s="70"/>
    </row>
    <row r="1486" spans="1:14" x14ac:dyDescent="0.2">
      <c r="A1486" s="292"/>
      <c r="C1486" s="189"/>
      <c r="E1486" s="190"/>
      <c r="G1486" s="70"/>
      <c r="H1486" s="70"/>
      <c r="J1486" s="70"/>
      <c r="L1486" s="71"/>
      <c r="N1486" s="70"/>
    </row>
    <row r="1487" spans="1:14" x14ac:dyDescent="0.2">
      <c r="A1487" s="292"/>
      <c r="C1487" s="189"/>
      <c r="E1487" s="190"/>
      <c r="G1487" s="70"/>
      <c r="H1487" s="70"/>
      <c r="J1487" s="70"/>
      <c r="L1487" s="71"/>
      <c r="N1487" s="70"/>
    </row>
    <row r="1488" spans="1:14" x14ac:dyDescent="0.2">
      <c r="A1488" s="292"/>
      <c r="C1488" s="189"/>
      <c r="E1488" s="190"/>
      <c r="G1488" s="70"/>
      <c r="H1488" s="70"/>
      <c r="J1488" s="70"/>
      <c r="L1488" s="71"/>
      <c r="N1488" s="70"/>
    </row>
    <row r="1489" spans="1:14" x14ac:dyDescent="0.2">
      <c r="A1489" s="292"/>
      <c r="C1489" s="189"/>
      <c r="E1489" s="190"/>
      <c r="G1489" s="70"/>
      <c r="H1489" s="70"/>
      <c r="J1489" s="70"/>
      <c r="L1489" s="71"/>
      <c r="N1489" s="70"/>
    </row>
    <row r="1490" spans="1:14" x14ac:dyDescent="0.2">
      <c r="A1490" s="292"/>
      <c r="C1490" s="189"/>
      <c r="E1490" s="190"/>
      <c r="G1490" s="70"/>
      <c r="H1490" s="70"/>
      <c r="J1490" s="70"/>
      <c r="L1490" s="71"/>
      <c r="N1490" s="70"/>
    </row>
    <row r="1491" spans="1:14" x14ac:dyDescent="0.2">
      <c r="A1491" s="292"/>
      <c r="C1491" s="189"/>
      <c r="E1491" s="190"/>
      <c r="G1491" s="70"/>
      <c r="H1491" s="70"/>
      <c r="J1491" s="70"/>
      <c r="L1491" s="71"/>
      <c r="N1491" s="70"/>
    </row>
    <row r="1492" spans="1:14" x14ac:dyDescent="0.2">
      <c r="A1492" s="292"/>
      <c r="C1492" s="189"/>
      <c r="E1492" s="190"/>
      <c r="G1492" s="70"/>
      <c r="H1492" s="70"/>
      <c r="J1492" s="70"/>
      <c r="L1492" s="71"/>
      <c r="N1492" s="70"/>
    </row>
    <row r="1493" spans="1:14" x14ac:dyDescent="0.2">
      <c r="A1493" s="292"/>
      <c r="C1493" s="189"/>
      <c r="E1493" s="190"/>
      <c r="G1493" s="70"/>
      <c r="H1493" s="70"/>
      <c r="J1493" s="70"/>
      <c r="L1493" s="71"/>
      <c r="N1493" s="70"/>
    </row>
    <row r="1494" spans="1:14" x14ac:dyDescent="0.2">
      <c r="A1494" s="292"/>
      <c r="C1494" s="189"/>
      <c r="E1494" s="190"/>
      <c r="G1494" s="70"/>
      <c r="H1494" s="70"/>
      <c r="J1494" s="70"/>
      <c r="L1494" s="71"/>
      <c r="N1494" s="70"/>
    </row>
    <row r="1495" spans="1:14" x14ac:dyDescent="0.2">
      <c r="A1495" s="292"/>
      <c r="C1495" s="189"/>
      <c r="E1495" s="190"/>
      <c r="G1495" s="70"/>
      <c r="H1495" s="70"/>
      <c r="J1495" s="70"/>
      <c r="L1495" s="71"/>
      <c r="N1495" s="70"/>
    </row>
    <row r="1496" spans="1:14" x14ac:dyDescent="0.2">
      <c r="A1496" s="292"/>
      <c r="C1496" s="189"/>
      <c r="E1496" s="190"/>
      <c r="G1496" s="70"/>
      <c r="H1496" s="70"/>
      <c r="J1496" s="70"/>
      <c r="L1496" s="71"/>
      <c r="N1496" s="70"/>
    </row>
    <row r="1497" spans="1:14" x14ac:dyDescent="0.2">
      <c r="A1497" s="292"/>
      <c r="C1497" s="189"/>
      <c r="E1497" s="190"/>
      <c r="G1497" s="70"/>
      <c r="H1497" s="70"/>
      <c r="J1497" s="70"/>
      <c r="L1497" s="71"/>
      <c r="N1497" s="70"/>
    </row>
    <row r="1498" spans="1:14" x14ac:dyDescent="0.2">
      <c r="A1498" s="292"/>
      <c r="C1498" s="189"/>
      <c r="E1498" s="190"/>
      <c r="G1498" s="70"/>
      <c r="H1498" s="70"/>
      <c r="J1498" s="70"/>
      <c r="L1498" s="71"/>
      <c r="N1498" s="70"/>
    </row>
    <row r="1499" spans="1:14" x14ac:dyDescent="0.2">
      <c r="A1499" s="292"/>
      <c r="C1499" s="189"/>
      <c r="E1499" s="190"/>
      <c r="G1499" s="70"/>
      <c r="H1499" s="70"/>
      <c r="J1499" s="70"/>
      <c r="L1499" s="71"/>
      <c r="N1499" s="70"/>
    </row>
    <row r="1500" spans="1:14" x14ac:dyDescent="0.2">
      <c r="A1500" s="292"/>
      <c r="C1500" s="189"/>
      <c r="E1500" s="190"/>
      <c r="G1500" s="70"/>
      <c r="H1500" s="70"/>
      <c r="J1500" s="70"/>
      <c r="L1500" s="71"/>
      <c r="N1500" s="70"/>
    </row>
    <row r="1501" spans="1:14" x14ac:dyDescent="0.2">
      <c r="A1501" s="292"/>
      <c r="C1501" s="189"/>
      <c r="E1501" s="190"/>
      <c r="G1501" s="70"/>
      <c r="H1501" s="70"/>
      <c r="J1501" s="70"/>
      <c r="L1501" s="71"/>
      <c r="N1501" s="70"/>
    </row>
    <row r="1502" spans="1:14" x14ac:dyDescent="0.2">
      <c r="A1502" s="292"/>
      <c r="C1502" s="189"/>
      <c r="E1502" s="190"/>
      <c r="G1502" s="70"/>
      <c r="H1502" s="70"/>
      <c r="J1502" s="70"/>
      <c r="L1502" s="71"/>
      <c r="N1502" s="70"/>
    </row>
    <row r="1503" spans="1:14" x14ac:dyDescent="0.2">
      <c r="A1503" s="292"/>
      <c r="C1503" s="189"/>
      <c r="E1503" s="190"/>
      <c r="G1503" s="70"/>
      <c r="H1503" s="70"/>
      <c r="J1503" s="70"/>
      <c r="L1503" s="71"/>
      <c r="N1503" s="70"/>
    </row>
    <row r="1504" spans="1:14" x14ac:dyDescent="0.2">
      <c r="A1504" s="292"/>
      <c r="C1504" s="189"/>
      <c r="E1504" s="190"/>
      <c r="G1504" s="70"/>
      <c r="H1504" s="70"/>
      <c r="J1504" s="70"/>
      <c r="L1504" s="71"/>
      <c r="N1504" s="70"/>
    </row>
    <row r="1505" spans="1:14" x14ac:dyDescent="0.2">
      <c r="A1505" s="292"/>
      <c r="C1505" s="189"/>
      <c r="E1505" s="190"/>
      <c r="G1505" s="70"/>
      <c r="H1505" s="70"/>
      <c r="J1505" s="70"/>
      <c r="L1505" s="71"/>
      <c r="N1505" s="70"/>
    </row>
    <row r="1506" spans="1:14" x14ac:dyDescent="0.2">
      <c r="A1506" s="292"/>
      <c r="C1506" s="189"/>
      <c r="E1506" s="190"/>
      <c r="G1506" s="70"/>
      <c r="H1506" s="70"/>
      <c r="J1506" s="70"/>
      <c r="L1506" s="71"/>
      <c r="N1506" s="70"/>
    </row>
    <row r="1507" spans="1:14" x14ac:dyDescent="0.2">
      <c r="A1507" s="292"/>
      <c r="C1507" s="189"/>
      <c r="E1507" s="190"/>
      <c r="G1507" s="70"/>
      <c r="H1507" s="70"/>
      <c r="J1507" s="70"/>
      <c r="L1507" s="71"/>
      <c r="N1507" s="70"/>
    </row>
    <row r="1508" spans="1:14" x14ac:dyDescent="0.2">
      <c r="A1508" s="292"/>
      <c r="C1508" s="189"/>
      <c r="E1508" s="190"/>
      <c r="G1508" s="70"/>
      <c r="H1508" s="70"/>
      <c r="J1508" s="70"/>
      <c r="L1508" s="71"/>
      <c r="N1508" s="70"/>
    </row>
    <row r="1509" spans="1:14" x14ac:dyDescent="0.2">
      <c r="A1509" s="292"/>
      <c r="C1509" s="189"/>
      <c r="E1509" s="190"/>
      <c r="G1509" s="70"/>
      <c r="H1509" s="70"/>
      <c r="J1509" s="70"/>
      <c r="L1509" s="71"/>
      <c r="N1509" s="70"/>
    </row>
    <row r="1510" spans="1:14" x14ac:dyDescent="0.2">
      <c r="A1510" s="292"/>
      <c r="C1510" s="189"/>
      <c r="E1510" s="190"/>
      <c r="G1510" s="70"/>
      <c r="H1510" s="70"/>
      <c r="J1510" s="70"/>
      <c r="L1510" s="71"/>
      <c r="N1510" s="70"/>
    </row>
    <row r="1511" spans="1:14" x14ac:dyDescent="0.2">
      <c r="A1511" s="292"/>
      <c r="C1511" s="189"/>
      <c r="E1511" s="190"/>
      <c r="G1511" s="70"/>
      <c r="H1511" s="70"/>
      <c r="J1511" s="70"/>
      <c r="L1511" s="71"/>
      <c r="N1511" s="70"/>
    </row>
    <row r="1512" spans="1:14" x14ac:dyDescent="0.2">
      <c r="A1512" s="292"/>
      <c r="C1512" s="189"/>
      <c r="E1512" s="190"/>
      <c r="G1512" s="70"/>
      <c r="H1512" s="70"/>
      <c r="J1512" s="70"/>
      <c r="L1512" s="71"/>
      <c r="N1512" s="70"/>
    </row>
    <row r="1513" spans="1:14" x14ac:dyDescent="0.2">
      <c r="A1513" s="292"/>
      <c r="C1513" s="189"/>
      <c r="E1513" s="190"/>
      <c r="G1513" s="70"/>
      <c r="H1513" s="70"/>
      <c r="J1513" s="70"/>
      <c r="L1513" s="71"/>
      <c r="N1513" s="70"/>
    </row>
    <row r="1514" spans="1:14" x14ac:dyDescent="0.2">
      <c r="A1514" s="292"/>
      <c r="C1514" s="189"/>
      <c r="E1514" s="190"/>
      <c r="G1514" s="70"/>
      <c r="H1514" s="70"/>
      <c r="J1514" s="70"/>
      <c r="L1514" s="71"/>
      <c r="N1514" s="70"/>
    </row>
    <row r="1515" spans="1:14" x14ac:dyDescent="0.2">
      <c r="A1515" s="292"/>
      <c r="C1515" s="189"/>
      <c r="E1515" s="190"/>
      <c r="G1515" s="70"/>
      <c r="H1515" s="70"/>
      <c r="J1515" s="70"/>
      <c r="L1515" s="71"/>
      <c r="N1515" s="70"/>
    </row>
    <row r="1516" spans="1:14" x14ac:dyDescent="0.2">
      <c r="A1516" s="292"/>
      <c r="C1516" s="189"/>
      <c r="E1516" s="190"/>
      <c r="G1516" s="70"/>
      <c r="H1516" s="70"/>
      <c r="J1516" s="70"/>
      <c r="L1516" s="71"/>
      <c r="N1516" s="70"/>
    </row>
    <row r="1517" spans="1:14" x14ac:dyDescent="0.2">
      <c r="A1517" s="292"/>
      <c r="C1517" s="189"/>
      <c r="E1517" s="190"/>
      <c r="G1517" s="70"/>
      <c r="H1517" s="70"/>
      <c r="J1517" s="70"/>
      <c r="L1517" s="71"/>
      <c r="N1517" s="70"/>
    </row>
    <row r="1518" spans="1:14" x14ac:dyDescent="0.2">
      <c r="A1518" s="292"/>
      <c r="C1518" s="189"/>
      <c r="E1518" s="190"/>
      <c r="G1518" s="70"/>
      <c r="H1518" s="70"/>
      <c r="J1518" s="70"/>
      <c r="L1518" s="71"/>
      <c r="N1518" s="70"/>
    </row>
    <row r="1519" spans="1:14" x14ac:dyDescent="0.2">
      <c r="A1519" s="292"/>
      <c r="C1519" s="189"/>
      <c r="E1519" s="190"/>
      <c r="G1519" s="70"/>
      <c r="H1519" s="70"/>
      <c r="J1519" s="70"/>
      <c r="L1519" s="71"/>
      <c r="N1519" s="70"/>
    </row>
    <row r="1520" spans="1:14" x14ac:dyDescent="0.2">
      <c r="A1520" s="292"/>
      <c r="C1520" s="189"/>
      <c r="E1520" s="190"/>
      <c r="G1520" s="70"/>
      <c r="H1520" s="70"/>
      <c r="J1520" s="70"/>
      <c r="L1520" s="71"/>
      <c r="N1520" s="70"/>
    </row>
    <row r="1521" spans="1:14" x14ac:dyDescent="0.2">
      <c r="A1521" s="292"/>
      <c r="C1521" s="189"/>
      <c r="E1521" s="190"/>
      <c r="G1521" s="70"/>
      <c r="H1521" s="70"/>
      <c r="J1521" s="70"/>
      <c r="L1521" s="71"/>
      <c r="N1521" s="70"/>
    </row>
    <row r="1522" spans="1:14" x14ac:dyDescent="0.2">
      <c r="A1522" s="292"/>
      <c r="C1522" s="189"/>
      <c r="E1522" s="190"/>
      <c r="G1522" s="70"/>
      <c r="H1522" s="70"/>
      <c r="J1522" s="70"/>
      <c r="L1522" s="71"/>
      <c r="N1522" s="70"/>
    </row>
    <row r="1523" spans="1:14" x14ac:dyDescent="0.2">
      <c r="A1523" s="292"/>
      <c r="C1523" s="189"/>
      <c r="E1523" s="190"/>
      <c r="G1523" s="70"/>
      <c r="H1523" s="70"/>
      <c r="J1523" s="70"/>
      <c r="L1523" s="71"/>
      <c r="N1523" s="70"/>
    </row>
    <row r="1524" spans="1:14" x14ac:dyDescent="0.2">
      <c r="A1524" s="292"/>
      <c r="C1524" s="189"/>
      <c r="E1524" s="190"/>
      <c r="G1524" s="70"/>
      <c r="H1524" s="70"/>
      <c r="J1524" s="70"/>
      <c r="L1524" s="71"/>
      <c r="N1524" s="70"/>
    </row>
    <row r="1525" spans="1:14" x14ac:dyDescent="0.2">
      <c r="A1525" s="292"/>
      <c r="C1525" s="189"/>
      <c r="E1525" s="190"/>
      <c r="G1525" s="70"/>
      <c r="H1525" s="70"/>
      <c r="J1525" s="70"/>
      <c r="L1525" s="71"/>
      <c r="N1525" s="70"/>
    </row>
    <row r="1526" spans="1:14" x14ac:dyDescent="0.2">
      <c r="A1526" s="292"/>
      <c r="C1526" s="189"/>
      <c r="E1526" s="190"/>
      <c r="G1526" s="70"/>
      <c r="H1526" s="70"/>
      <c r="J1526" s="70"/>
      <c r="L1526" s="71"/>
      <c r="N1526" s="70"/>
    </row>
    <row r="1527" spans="1:14" x14ac:dyDescent="0.2">
      <c r="A1527" s="292"/>
      <c r="C1527" s="189"/>
      <c r="E1527" s="190"/>
      <c r="G1527" s="70"/>
      <c r="H1527" s="70"/>
      <c r="J1527" s="70"/>
      <c r="L1527" s="71"/>
      <c r="N1527" s="70"/>
    </row>
    <row r="1528" spans="1:14" x14ac:dyDescent="0.2">
      <c r="A1528" s="292"/>
      <c r="C1528" s="189"/>
      <c r="E1528" s="190"/>
      <c r="G1528" s="70"/>
      <c r="H1528" s="70"/>
      <c r="J1528" s="70"/>
      <c r="L1528" s="71"/>
      <c r="N1528" s="70"/>
    </row>
    <row r="1529" spans="1:14" x14ac:dyDescent="0.2">
      <c r="A1529" s="292"/>
      <c r="C1529" s="189"/>
      <c r="E1529" s="190"/>
      <c r="G1529" s="70"/>
      <c r="H1529" s="70"/>
      <c r="J1529" s="70"/>
      <c r="L1529" s="71"/>
      <c r="N1529" s="70"/>
    </row>
    <row r="1530" spans="1:14" x14ac:dyDescent="0.2">
      <c r="A1530" s="292"/>
      <c r="C1530" s="189"/>
      <c r="E1530" s="190"/>
      <c r="G1530" s="70"/>
      <c r="H1530" s="70"/>
      <c r="J1530" s="70"/>
      <c r="L1530" s="71"/>
      <c r="N1530" s="70"/>
    </row>
    <row r="1531" spans="1:14" x14ac:dyDescent="0.2">
      <c r="A1531" s="292"/>
      <c r="C1531" s="189"/>
      <c r="E1531" s="190"/>
      <c r="G1531" s="70"/>
      <c r="H1531" s="70"/>
      <c r="J1531" s="70"/>
      <c r="L1531" s="71"/>
      <c r="N1531" s="70"/>
    </row>
    <row r="1532" spans="1:14" x14ac:dyDescent="0.2">
      <c r="A1532" s="292"/>
      <c r="C1532" s="189"/>
      <c r="E1532" s="190"/>
      <c r="G1532" s="70"/>
      <c r="H1532" s="70"/>
      <c r="J1532" s="70"/>
      <c r="L1532" s="71"/>
      <c r="N1532" s="70"/>
    </row>
    <row r="1533" spans="1:14" x14ac:dyDescent="0.2">
      <c r="A1533" s="292"/>
      <c r="C1533" s="189"/>
      <c r="E1533" s="190"/>
      <c r="G1533" s="70"/>
      <c r="H1533" s="70"/>
      <c r="J1533" s="70"/>
      <c r="L1533" s="71"/>
      <c r="N1533" s="70"/>
    </row>
    <row r="1534" spans="1:14" x14ac:dyDescent="0.2">
      <c r="A1534" s="292"/>
      <c r="C1534" s="189"/>
      <c r="E1534" s="190"/>
      <c r="G1534" s="70"/>
      <c r="H1534" s="70"/>
      <c r="J1534" s="70"/>
      <c r="L1534" s="71"/>
      <c r="N1534" s="70"/>
    </row>
    <row r="1535" spans="1:14" x14ac:dyDescent="0.2">
      <c r="A1535" s="292"/>
      <c r="C1535" s="189"/>
      <c r="E1535" s="190"/>
      <c r="G1535" s="70"/>
      <c r="H1535" s="70"/>
      <c r="J1535" s="70"/>
      <c r="L1535" s="71"/>
      <c r="N1535" s="70"/>
    </row>
    <row r="1536" spans="1:14" x14ac:dyDescent="0.2">
      <c r="A1536" s="292"/>
      <c r="C1536" s="189"/>
      <c r="E1536" s="190"/>
      <c r="G1536" s="70"/>
      <c r="H1536" s="70"/>
      <c r="J1536" s="70"/>
      <c r="L1536" s="71"/>
      <c r="N1536" s="70"/>
    </row>
    <row r="1537" spans="1:14" x14ac:dyDescent="0.2">
      <c r="A1537" s="292"/>
      <c r="C1537" s="189"/>
      <c r="E1537" s="190"/>
      <c r="G1537" s="70"/>
      <c r="H1537" s="70"/>
      <c r="J1537" s="70"/>
      <c r="L1537" s="71"/>
      <c r="N1537" s="70"/>
    </row>
    <row r="1538" spans="1:14" x14ac:dyDescent="0.2">
      <c r="A1538" s="292"/>
      <c r="C1538" s="189"/>
      <c r="E1538" s="190"/>
      <c r="G1538" s="70"/>
      <c r="H1538" s="70"/>
      <c r="J1538" s="70"/>
      <c r="L1538" s="71"/>
      <c r="N1538" s="70"/>
    </row>
    <row r="1539" spans="1:14" x14ac:dyDescent="0.2">
      <c r="A1539" s="292"/>
      <c r="C1539" s="189"/>
      <c r="E1539" s="190"/>
      <c r="G1539" s="70"/>
      <c r="H1539" s="70"/>
      <c r="J1539" s="70"/>
      <c r="L1539" s="71"/>
      <c r="N1539" s="70"/>
    </row>
    <row r="1540" spans="1:14" x14ac:dyDescent="0.2">
      <c r="A1540" s="292"/>
      <c r="C1540" s="189"/>
      <c r="E1540" s="190"/>
      <c r="G1540" s="70"/>
      <c r="H1540" s="70"/>
      <c r="J1540" s="70"/>
      <c r="L1540" s="71"/>
      <c r="N1540" s="70"/>
    </row>
    <row r="1541" spans="1:14" x14ac:dyDescent="0.2">
      <c r="A1541" s="292"/>
      <c r="C1541" s="189"/>
      <c r="E1541" s="190"/>
      <c r="G1541" s="70"/>
      <c r="H1541" s="70"/>
      <c r="J1541" s="70"/>
      <c r="L1541" s="71"/>
      <c r="N1541" s="70"/>
    </row>
    <row r="1542" spans="1:14" x14ac:dyDescent="0.2">
      <c r="A1542" s="292"/>
      <c r="C1542" s="189"/>
      <c r="E1542" s="190"/>
      <c r="G1542" s="70"/>
      <c r="H1542" s="70"/>
      <c r="J1542" s="70"/>
      <c r="L1542" s="71"/>
      <c r="N1542" s="70"/>
    </row>
    <row r="1543" spans="1:14" x14ac:dyDescent="0.2">
      <c r="A1543" s="292"/>
      <c r="C1543" s="189"/>
      <c r="E1543" s="190"/>
      <c r="G1543" s="70"/>
      <c r="H1543" s="70"/>
      <c r="J1543" s="70"/>
      <c r="L1543" s="71"/>
      <c r="N1543" s="70"/>
    </row>
    <row r="1544" spans="1:14" x14ac:dyDescent="0.2">
      <c r="A1544" s="292"/>
      <c r="C1544" s="189"/>
      <c r="E1544" s="190"/>
      <c r="G1544" s="70"/>
      <c r="H1544" s="70"/>
      <c r="J1544" s="70"/>
      <c r="L1544" s="71"/>
      <c r="N1544" s="70"/>
    </row>
    <row r="1545" spans="1:14" x14ac:dyDescent="0.2">
      <c r="A1545" s="292"/>
      <c r="C1545" s="189"/>
      <c r="E1545" s="190"/>
      <c r="G1545" s="70"/>
      <c r="H1545" s="70"/>
      <c r="J1545" s="70"/>
      <c r="L1545" s="71"/>
      <c r="N1545" s="70"/>
    </row>
    <row r="1546" spans="1:14" x14ac:dyDescent="0.2">
      <c r="A1546" s="292"/>
      <c r="C1546" s="189"/>
      <c r="E1546" s="190"/>
      <c r="G1546" s="70"/>
      <c r="H1546" s="70"/>
      <c r="J1546" s="70"/>
      <c r="L1546" s="71"/>
      <c r="N1546" s="70"/>
    </row>
    <row r="1547" spans="1:14" x14ac:dyDescent="0.2">
      <c r="A1547" s="292"/>
      <c r="C1547" s="189"/>
      <c r="E1547" s="190"/>
      <c r="G1547" s="70"/>
      <c r="H1547" s="70"/>
      <c r="J1547" s="70"/>
      <c r="L1547" s="71"/>
      <c r="N1547" s="70"/>
    </row>
    <row r="1548" spans="1:14" x14ac:dyDescent="0.2">
      <c r="A1548" s="292"/>
      <c r="C1548" s="189"/>
      <c r="E1548" s="190"/>
      <c r="G1548" s="70"/>
      <c r="H1548" s="70"/>
      <c r="J1548" s="70"/>
      <c r="L1548" s="71"/>
      <c r="N1548" s="70"/>
    </row>
    <row r="1549" spans="1:14" x14ac:dyDescent="0.2">
      <c r="A1549" s="292"/>
      <c r="C1549" s="189"/>
      <c r="E1549" s="190"/>
      <c r="G1549" s="70"/>
      <c r="H1549" s="70"/>
      <c r="J1549" s="70"/>
      <c r="L1549" s="71"/>
      <c r="N1549" s="70"/>
    </row>
    <row r="1550" spans="1:14" x14ac:dyDescent="0.2">
      <c r="A1550" s="292"/>
      <c r="C1550" s="189"/>
      <c r="E1550" s="190"/>
      <c r="G1550" s="70"/>
      <c r="H1550" s="70"/>
      <c r="J1550" s="70"/>
      <c r="L1550" s="71"/>
      <c r="N1550" s="70"/>
    </row>
    <row r="1551" spans="1:14" x14ac:dyDescent="0.2">
      <c r="A1551" s="292"/>
      <c r="C1551" s="189"/>
      <c r="E1551" s="190"/>
      <c r="G1551" s="70"/>
      <c r="H1551" s="70"/>
      <c r="J1551" s="70"/>
      <c r="L1551" s="71"/>
      <c r="N1551" s="70"/>
    </row>
    <row r="1552" spans="1:14" x14ac:dyDescent="0.2">
      <c r="A1552" s="292"/>
      <c r="C1552" s="189"/>
      <c r="E1552" s="190"/>
      <c r="G1552" s="70"/>
      <c r="H1552" s="70"/>
      <c r="J1552" s="70"/>
      <c r="L1552" s="71"/>
      <c r="N1552" s="70"/>
    </row>
    <row r="1553" spans="1:14" x14ac:dyDescent="0.2">
      <c r="A1553" s="292"/>
      <c r="C1553" s="189"/>
      <c r="E1553" s="190"/>
      <c r="G1553" s="70"/>
      <c r="H1553" s="70"/>
      <c r="J1553" s="70"/>
      <c r="L1553" s="71"/>
      <c r="N1553" s="70"/>
    </row>
    <row r="1554" spans="1:14" x14ac:dyDescent="0.2">
      <c r="A1554" s="292"/>
      <c r="C1554" s="189"/>
      <c r="E1554" s="190"/>
      <c r="G1554" s="70"/>
      <c r="H1554" s="70"/>
      <c r="J1554" s="70"/>
      <c r="L1554" s="71"/>
      <c r="N1554" s="70"/>
    </row>
    <row r="1555" spans="1:14" x14ac:dyDescent="0.2">
      <c r="A1555" s="292"/>
      <c r="C1555" s="189"/>
      <c r="E1555" s="190"/>
      <c r="G1555" s="70"/>
      <c r="H1555" s="70"/>
      <c r="J1555" s="70"/>
      <c r="L1555" s="71"/>
      <c r="N1555" s="70"/>
    </row>
    <row r="1556" spans="1:14" x14ac:dyDescent="0.2">
      <c r="A1556" s="292"/>
      <c r="C1556" s="189"/>
      <c r="E1556" s="190"/>
      <c r="G1556" s="70"/>
      <c r="H1556" s="70"/>
      <c r="J1556" s="70"/>
      <c r="L1556" s="71"/>
      <c r="N1556" s="70"/>
    </row>
    <row r="1557" spans="1:14" x14ac:dyDescent="0.2">
      <c r="A1557" s="292"/>
      <c r="C1557" s="189"/>
      <c r="E1557" s="190"/>
      <c r="G1557" s="70"/>
      <c r="H1557" s="70"/>
      <c r="J1557" s="70"/>
      <c r="L1557" s="71"/>
      <c r="N1557" s="70"/>
    </row>
    <row r="1558" spans="1:14" x14ac:dyDescent="0.2">
      <c r="A1558" s="292"/>
      <c r="C1558" s="189"/>
      <c r="E1558" s="190"/>
      <c r="G1558" s="70"/>
      <c r="H1558" s="70"/>
      <c r="J1558" s="70"/>
      <c r="L1558" s="71"/>
      <c r="N1558" s="70"/>
    </row>
    <row r="1559" spans="1:14" x14ac:dyDescent="0.2">
      <c r="A1559" s="292"/>
      <c r="C1559" s="189"/>
      <c r="E1559" s="190"/>
      <c r="G1559" s="70"/>
      <c r="H1559" s="70"/>
      <c r="J1559" s="70"/>
      <c r="L1559" s="71"/>
      <c r="N1559" s="70"/>
    </row>
    <row r="1560" spans="1:14" x14ac:dyDescent="0.2">
      <c r="A1560" s="292"/>
      <c r="C1560" s="189"/>
      <c r="E1560" s="190"/>
      <c r="G1560" s="70"/>
      <c r="H1560" s="70"/>
      <c r="J1560" s="70"/>
      <c r="L1560" s="71"/>
      <c r="N1560" s="70"/>
    </row>
    <row r="1561" spans="1:14" x14ac:dyDescent="0.2">
      <c r="A1561" s="292"/>
      <c r="C1561" s="189"/>
      <c r="E1561" s="190"/>
      <c r="G1561" s="70"/>
      <c r="H1561" s="70"/>
      <c r="J1561" s="70"/>
      <c r="L1561" s="71"/>
      <c r="N1561" s="70"/>
    </row>
    <row r="1562" spans="1:14" x14ac:dyDescent="0.2">
      <c r="A1562" s="292"/>
      <c r="C1562" s="189"/>
      <c r="E1562" s="190"/>
      <c r="G1562" s="70"/>
      <c r="H1562" s="70"/>
      <c r="J1562" s="70"/>
      <c r="L1562" s="71"/>
      <c r="N1562" s="70"/>
    </row>
    <row r="1563" spans="1:14" x14ac:dyDescent="0.2">
      <c r="A1563" s="292"/>
      <c r="C1563" s="189"/>
      <c r="E1563" s="190"/>
      <c r="G1563" s="70"/>
      <c r="H1563" s="70"/>
      <c r="J1563" s="70"/>
      <c r="L1563" s="71"/>
      <c r="N1563" s="70"/>
    </row>
    <row r="1564" spans="1:14" x14ac:dyDescent="0.2">
      <c r="A1564" s="292"/>
      <c r="C1564" s="189"/>
      <c r="E1564" s="190"/>
      <c r="G1564" s="70"/>
      <c r="H1564" s="70"/>
      <c r="J1564" s="70"/>
      <c r="L1564" s="71"/>
      <c r="N1564" s="70"/>
    </row>
    <row r="1565" spans="1:14" x14ac:dyDescent="0.2">
      <c r="A1565" s="292"/>
      <c r="C1565" s="189"/>
      <c r="E1565" s="190"/>
      <c r="F1565" s="193">
        <f>SUM(F1566:F1579)</f>
        <v>0</v>
      </c>
      <c r="G1565" s="70"/>
      <c r="H1565" s="70"/>
      <c r="J1565" s="70"/>
      <c r="L1565" s="71"/>
      <c r="N1565" s="70"/>
    </row>
    <row r="1566" spans="1:14" x14ac:dyDescent="0.2">
      <c r="A1566" s="292"/>
      <c r="C1566" s="189"/>
      <c r="E1566" s="190"/>
      <c r="G1566" s="70"/>
      <c r="H1566" s="70"/>
      <c r="J1566" s="70"/>
      <c r="L1566" s="71"/>
      <c r="N1566" s="70"/>
    </row>
    <row r="1567" spans="1:14" x14ac:dyDescent="0.2">
      <c r="A1567" s="292"/>
      <c r="C1567" s="189"/>
      <c r="E1567" s="190"/>
      <c r="G1567" s="70"/>
      <c r="H1567" s="70"/>
      <c r="J1567" s="70"/>
      <c r="L1567" s="71"/>
      <c r="N1567" s="70"/>
    </row>
    <row r="1568" spans="1:14" x14ac:dyDescent="0.2">
      <c r="A1568" s="292"/>
      <c r="C1568" s="189"/>
      <c r="E1568" s="190"/>
      <c r="G1568" s="70"/>
      <c r="H1568" s="70"/>
      <c r="J1568" s="70"/>
      <c r="L1568" s="71"/>
      <c r="N1568" s="70"/>
    </row>
    <row r="1569" spans="1:14" x14ac:dyDescent="0.2">
      <c r="A1569" s="292"/>
      <c r="C1569" s="189"/>
      <c r="E1569" s="190"/>
      <c r="G1569" s="70"/>
      <c r="H1569" s="70"/>
      <c r="J1569" s="70"/>
      <c r="L1569" s="71"/>
      <c r="N1569" s="70"/>
    </row>
    <row r="1570" spans="1:14" x14ac:dyDescent="0.2">
      <c r="A1570" s="292"/>
      <c r="C1570" s="189"/>
      <c r="E1570" s="190"/>
      <c r="G1570" s="70"/>
      <c r="H1570" s="70"/>
      <c r="J1570" s="70"/>
      <c r="L1570" s="71"/>
      <c r="N1570" s="70"/>
    </row>
    <row r="1571" spans="1:14" x14ac:dyDescent="0.2">
      <c r="A1571" s="292"/>
      <c r="C1571" s="189"/>
      <c r="E1571" s="190"/>
      <c r="G1571" s="70"/>
      <c r="H1571" s="70"/>
      <c r="J1571" s="70"/>
      <c r="L1571" s="71"/>
      <c r="N1571" s="70"/>
    </row>
    <row r="1572" spans="1:14" x14ac:dyDescent="0.2">
      <c r="A1572" s="292"/>
      <c r="C1572" s="189"/>
      <c r="E1572" s="190"/>
      <c r="G1572" s="70"/>
      <c r="H1572" s="70"/>
      <c r="J1572" s="70"/>
      <c r="L1572" s="71"/>
      <c r="N1572" s="70"/>
    </row>
    <row r="1573" spans="1:14" x14ac:dyDescent="0.2">
      <c r="A1573" s="292"/>
      <c r="C1573" s="189"/>
      <c r="E1573" s="190"/>
      <c r="G1573" s="70"/>
      <c r="H1573" s="70"/>
      <c r="J1573" s="70"/>
      <c r="L1573" s="71"/>
      <c r="N1573" s="70"/>
    </row>
    <row r="1574" spans="1:14" x14ac:dyDescent="0.2">
      <c r="A1574" s="292"/>
      <c r="C1574" s="189"/>
      <c r="E1574" s="190"/>
      <c r="G1574" s="70"/>
      <c r="H1574" s="70"/>
      <c r="J1574" s="70"/>
      <c r="L1574" s="71"/>
      <c r="N1574" s="70"/>
    </row>
    <row r="1575" spans="1:14" x14ac:dyDescent="0.2">
      <c r="A1575" s="292"/>
      <c r="C1575" s="189"/>
      <c r="E1575" s="190"/>
      <c r="G1575" s="70"/>
      <c r="H1575" s="70"/>
      <c r="J1575" s="70"/>
      <c r="L1575" s="71"/>
      <c r="N1575" s="70"/>
    </row>
    <row r="1576" spans="1:14" x14ac:dyDescent="0.2">
      <c r="A1576" s="292"/>
      <c r="C1576" s="189"/>
      <c r="E1576" s="190"/>
      <c r="G1576" s="70"/>
      <c r="H1576" s="70"/>
      <c r="J1576" s="70"/>
      <c r="L1576" s="71"/>
      <c r="N1576" s="70"/>
    </row>
    <row r="1577" spans="1:14" x14ac:dyDescent="0.2">
      <c r="A1577" s="292"/>
      <c r="C1577" s="189"/>
      <c r="E1577" s="190"/>
      <c r="G1577" s="70"/>
      <c r="H1577" s="70"/>
      <c r="J1577" s="70"/>
      <c r="L1577" s="71"/>
      <c r="N1577" s="70"/>
    </row>
    <row r="1578" spans="1:14" x14ac:dyDescent="0.2">
      <c r="A1578" s="292"/>
      <c r="C1578" s="189"/>
      <c r="E1578" s="190"/>
      <c r="G1578" s="70"/>
      <c r="H1578" s="70"/>
      <c r="J1578" s="70"/>
      <c r="L1578" s="71"/>
      <c r="N1578" s="70"/>
    </row>
    <row r="1579" spans="1:14" x14ac:dyDescent="0.2">
      <c r="A1579" s="292"/>
      <c r="C1579" s="189"/>
      <c r="E1579" s="190"/>
      <c r="G1579" s="70"/>
      <c r="H1579" s="70"/>
      <c r="J1579" s="70"/>
      <c r="L1579" s="71"/>
      <c r="N1579" s="70"/>
    </row>
    <row r="1580" spans="1:14" x14ac:dyDescent="0.2">
      <c r="A1580" s="292"/>
      <c r="C1580" s="189"/>
      <c r="E1580" s="190"/>
      <c r="G1580" s="70"/>
      <c r="H1580" s="70"/>
      <c r="J1580" s="70"/>
      <c r="L1580" s="71"/>
      <c r="N1580" s="70"/>
    </row>
    <row r="1581" spans="1:14" x14ac:dyDescent="0.2">
      <c r="A1581" s="292"/>
      <c r="C1581" s="189"/>
      <c r="E1581" s="190"/>
      <c r="G1581" s="70"/>
      <c r="H1581" s="70"/>
      <c r="J1581" s="70"/>
      <c r="L1581" s="71"/>
      <c r="N1581" s="70"/>
    </row>
    <row r="1582" spans="1:14" x14ac:dyDescent="0.2">
      <c r="A1582" s="292"/>
      <c r="C1582" s="189"/>
      <c r="E1582" s="190"/>
      <c r="G1582" s="70"/>
      <c r="H1582" s="70"/>
      <c r="J1582" s="70"/>
      <c r="L1582" s="71"/>
      <c r="N1582" s="70"/>
    </row>
    <row r="1583" spans="1:14" x14ac:dyDescent="0.2">
      <c r="A1583" s="292"/>
      <c r="C1583" s="189"/>
      <c r="E1583" s="190"/>
      <c r="G1583" s="70"/>
      <c r="H1583" s="70"/>
      <c r="J1583" s="70"/>
      <c r="L1583" s="71"/>
      <c r="N1583" s="70"/>
    </row>
    <row r="1584" spans="1:14" x14ac:dyDescent="0.2">
      <c r="A1584" s="292"/>
      <c r="C1584" s="189"/>
      <c r="E1584" s="190"/>
      <c r="G1584" s="70"/>
      <c r="H1584" s="70"/>
      <c r="J1584" s="70"/>
      <c r="L1584" s="71"/>
      <c r="N1584" s="70"/>
    </row>
    <row r="1585" spans="1:14" x14ac:dyDescent="0.2">
      <c r="A1585" s="292"/>
      <c r="C1585" s="189"/>
      <c r="E1585" s="190"/>
      <c r="G1585" s="70"/>
      <c r="H1585" s="70"/>
      <c r="J1585" s="70"/>
      <c r="L1585" s="71"/>
      <c r="N1585" s="70"/>
    </row>
    <row r="1586" spans="1:14" x14ac:dyDescent="0.2">
      <c r="A1586" s="292"/>
      <c r="C1586" s="189"/>
      <c r="E1586" s="190"/>
      <c r="G1586" s="70"/>
      <c r="H1586" s="70"/>
      <c r="J1586" s="70"/>
      <c r="L1586" s="71"/>
      <c r="N1586" s="70"/>
    </row>
    <row r="1587" spans="1:14" x14ac:dyDescent="0.2">
      <c r="A1587" s="292"/>
      <c r="C1587" s="189"/>
      <c r="E1587" s="190"/>
      <c r="G1587" s="70"/>
      <c r="H1587" s="70"/>
      <c r="J1587" s="70"/>
      <c r="L1587" s="71"/>
      <c r="N1587" s="70"/>
    </row>
    <row r="1588" spans="1:14" x14ac:dyDescent="0.2">
      <c r="A1588" s="292"/>
      <c r="C1588" s="189"/>
      <c r="E1588" s="190"/>
      <c r="G1588" s="70"/>
      <c r="H1588" s="70"/>
      <c r="J1588" s="70"/>
      <c r="L1588" s="71"/>
      <c r="N1588" s="70"/>
    </row>
    <row r="1589" spans="1:14" x14ac:dyDescent="0.2">
      <c r="A1589" s="292"/>
      <c r="C1589" s="189"/>
      <c r="E1589" s="190"/>
      <c r="G1589" s="70"/>
      <c r="H1589" s="70"/>
      <c r="J1589" s="70"/>
      <c r="L1589" s="71"/>
      <c r="N1589" s="70"/>
    </row>
    <row r="1590" spans="1:14" x14ac:dyDescent="0.2">
      <c r="A1590" s="292"/>
      <c r="C1590" s="189"/>
      <c r="E1590" s="190"/>
      <c r="G1590" s="70"/>
      <c r="H1590" s="70"/>
      <c r="J1590" s="70"/>
      <c r="L1590" s="71"/>
      <c r="N1590" s="70"/>
    </row>
    <row r="1591" spans="1:14" x14ac:dyDescent="0.2">
      <c r="A1591" s="292"/>
      <c r="C1591" s="189"/>
      <c r="E1591" s="190"/>
      <c r="G1591" s="70"/>
      <c r="H1591" s="70"/>
      <c r="J1591" s="70"/>
      <c r="L1591" s="71"/>
      <c r="N1591" s="70"/>
    </row>
    <row r="1592" spans="1:14" x14ac:dyDescent="0.2">
      <c r="A1592" s="292"/>
      <c r="C1592" s="189"/>
      <c r="E1592" s="190"/>
      <c r="G1592" s="70"/>
      <c r="H1592" s="70"/>
      <c r="J1592" s="70"/>
      <c r="L1592" s="71"/>
      <c r="N1592" s="70"/>
    </row>
    <row r="1593" spans="1:14" x14ac:dyDescent="0.2">
      <c r="A1593" s="292"/>
      <c r="C1593" s="189"/>
      <c r="E1593" s="190"/>
      <c r="G1593" s="70"/>
      <c r="H1593" s="70"/>
      <c r="J1593" s="70"/>
      <c r="L1593" s="71"/>
      <c r="N1593" s="70"/>
    </row>
    <row r="1594" spans="1:14" x14ac:dyDescent="0.2">
      <c r="A1594" s="292"/>
      <c r="C1594" s="189"/>
      <c r="E1594" s="190"/>
      <c r="G1594" s="70"/>
      <c r="H1594" s="70"/>
      <c r="J1594" s="70"/>
      <c r="L1594" s="71"/>
      <c r="N1594" s="70"/>
    </row>
    <row r="1595" spans="1:14" x14ac:dyDescent="0.2">
      <c r="A1595" s="292"/>
      <c r="C1595" s="189"/>
      <c r="E1595" s="190"/>
      <c r="G1595" s="70"/>
      <c r="H1595" s="70"/>
      <c r="J1595" s="70"/>
      <c r="L1595" s="71"/>
      <c r="N1595" s="70"/>
    </row>
    <row r="1596" spans="1:14" x14ac:dyDescent="0.2">
      <c r="A1596" s="292"/>
      <c r="C1596" s="189"/>
      <c r="E1596" s="190"/>
      <c r="G1596" s="70"/>
      <c r="H1596" s="70"/>
      <c r="J1596" s="70"/>
      <c r="L1596" s="71"/>
      <c r="N1596" s="70"/>
    </row>
    <row r="1597" spans="1:14" x14ac:dyDescent="0.2">
      <c r="A1597" s="292"/>
      <c r="C1597" s="189"/>
      <c r="E1597" s="190"/>
      <c r="G1597" s="70"/>
      <c r="H1597" s="70"/>
      <c r="J1597" s="70"/>
      <c r="L1597" s="71"/>
      <c r="N1597" s="70"/>
    </row>
    <row r="1598" spans="1:14" x14ac:dyDescent="0.2">
      <c r="A1598" s="292"/>
      <c r="C1598" s="189"/>
      <c r="E1598" s="190"/>
      <c r="G1598" s="70"/>
      <c r="H1598" s="70"/>
      <c r="J1598" s="70"/>
      <c r="L1598" s="71"/>
      <c r="N1598" s="70"/>
    </row>
    <row r="1599" spans="1:14" x14ac:dyDescent="0.2">
      <c r="A1599" s="292"/>
      <c r="C1599" s="189"/>
      <c r="E1599" s="190"/>
      <c r="G1599" s="70"/>
      <c r="H1599" s="70"/>
      <c r="J1599" s="70"/>
      <c r="L1599" s="71"/>
      <c r="N1599" s="70"/>
    </row>
    <row r="1600" spans="1:14" x14ac:dyDescent="0.2">
      <c r="A1600" s="292"/>
      <c r="C1600" s="189"/>
      <c r="E1600" s="190"/>
      <c r="G1600" s="70"/>
      <c r="H1600" s="70"/>
      <c r="J1600" s="70"/>
      <c r="L1600" s="71"/>
      <c r="N1600" s="70"/>
    </row>
    <row r="1601" spans="1:14" x14ac:dyDescent="0.2">
      <c r="A1601" s="292"/>
      <c r="C1601" s="189"/>
      <c r="E1601" s="190"/>
      <c r="G1601" s="70"/>
      <c r="H1601" s="70"/>
      <c r="J1601" s="70"/>
      <c r="L1601" s="71"/>
      <c r="N1601" s="70"/>
    </row>
    <row r="1602" spans="1:14" x14ac:dyDescent="0.2">
      <c r="A1602" s="292"/>
      <c r="C1602" s="189"/>
      <c r="E1602" s="190"/>
      <c r="G1602" s="70"/>
      <c r="H1602" s="70"/>
      <c r="J1602" s="70"/>
      <c r="L1602" s="71"/>
      <c r="N1602" s="70"/>
    </row>
    <row r="1603" spans="1:14" x14ac:dyDescent="0.2">
      <c r="A1603" s="292"/>
      <c r="C1603" s="189"/>
      <c r="E1603" s="190"/>
      <c r="G1603" s="70"/>
      <c r="H1603" s="70"/>
      <c r="J1603" s="70"/>
      <c r="L1603" s="71"/>
      <c r="N1603" s="70"/>
    </row>
    <row r="1604" spans="1:14" x14ac:dyDescent="0.2">
      <c r="A1604" s="292"/>
      <c r="C1604" s="189"/>
      <c r="E1604" s="190"/>
      <c r="G1604" s="70"/>
      <c r="H1604" s="70"/>
      <c r="J1604" s="70"/>
      <c r="L1604" s="71"/>
      <c r="N1604" s="70"/>
    </row>
    <row r="1605" spans="1:14" x14ac:dyDescent="0.2">
      <c r="A1605" s="292"/>
      <c r="C1605" s="189"/>
      <c r="E1605" s="190"/>
      <c r="G1605" s="70"/>
      <c r="H1605" s="70"/>
      <c r="J1605" s="70"/>
      <c r="L1605" s="71"/>
      <c r="N1605" s="70"/>
    </row>
    <row r="1606" spans="1:14" x14ac:dyDescent="0.2">
      <c r="A1606" s="292"/>
      <c r="C1606" s="189"/>
      <c r="E1606" s="190"/>
      <c r="G1606" s="70"/>
      <c r="H1606" s="70"/>
      <c r="J1606" s="70"/>
      <c r="L1606" s="71"/>
      <c r="N1606" s="70"/>
    </row>
    <row r="1607" spans="1:14" x14ac:dyDescent="0.2">
      <c r="A1607" s="292"/>
      <c r="C1607" s="189"/>
      <c r="E1607" s="190"/>
      <c r="G1607" s="70"/>
      <c r="H1607" s="70"/>
      <c r="J1607" s="70"/>
      <c r="L1607" s="71"/>
      <c r="N1607" s="70"/>
    </row>
    <row r="1608" spans="1:14" x14ac:dyDescent="0.2">
      <c r="A1608" s="292"/>
      <c r="C1608" s="189"/>
      <c r="E1608" s="190"/>
      <c r="G1608" s="70"/>
      <c r="H1608" s="70"/>
      <c r="J1608" s="70"/>
      <c r="L1608" s="71"/>
      <c r="N1608" s="70"/>
    </row>
    <row r="1609" spans="1:14" x14ac:dyDescent="0.2">
      <c r="A1609" s="292"/>
      <c r="C1609" s="189"/>
      <c r="E1609" s="190"/>
      <c r="G1609" s="70"/>
      <c r="H1609" s="70"/>
      <c r="J1609" s="70"/>
      <c r="L1609" s="71"/>
      <c r="N1609" s="70"/>
    </row>
    <row r="1610" spans="1:14" x14ac:dyDescent="0.2">
      <c r="A1610" s="292"/>
      <c r="C1610" s="189"/>
      <c r="E1610" s="190"/>
      <c r="G1610" s="70"/>
      <c r="H1610" s="70"/>
      <c r="J1610" s="70"/>
      <c r="L1610" s="71"/>
      <c r="N1610" s="70"/>
    </row>
    <row r="1611" spans="1:14" x14ac:dyDescent="0.2">
      <c r="A1611" s="292"/>
      <c r="C1611" s="189"/>
      <c r="E1611" s="190"/>
      <c r="G1611" s="70"/>
      <c r="H1611" s="70"/>
      <c r="J1611" s="70"/>
      <c r="L1611" s="71"/>
      <c r="N1611" s="70"/>
    </row>
    <row r="1612" spans="1:14" x14ac:dyDescent="0.2">
      <c r="A1612" s="292"/>
      <c r="C1612" s="189"/>
      <c r="E1612" s="190"/>
      <c r="G1612" s="70"/>
      <c r="H1612" s="70"/>
      <c r="J1612" s="70"/>
      <c r="L1612" s="71"/>
      <c r="N1612" s="70"/>
    </row>
    <row r="1613" spans="1:14" x14ac:dyDescent="0.2">
      <c r="A1613" s="292"/>
      <c r="C1613" s="189"/>
      <c r="E1613" s="190"/>
      <c r="G1613" s="70"/>
      <c r="H1613" s="70"/>
      <c r="J1613" s="70"/>
      <c r="L1613" s="71"/>
      <c r="N1613" s="70"/>
    </row>
    <row r="1614" spans="1:14" x14ac:dyDescent="0.2">
      <c r="A1614" s="292"/>
      <c r="C1614" s="189"/>
      <c r="E1614" s="190"/>
      <c r="G1614" s="70"/>
      <c r="H1614" s="70"/>
      <c r="J1614" s="70"/>
      <c r="L1614" s="71"/>
      <c r="N1614" s="70"/>
    </row>
    <row r="1615" spans="1:14" x14ac:dyDescent="0.2">
      <c r="A1615" s="292"/>
      <c r="C1615" s="189"/>
      <c r="E1615" s="190"/>
      <c r="G1615" s="70"/>
      <c r="H1615" s="70"/>
      <c r="J1615" s="70"/>
      <c r="L1615" s="71"/>
      <c r="N1615" s="70"/>
    </row>
    <row r="1616" spans="1:14" x14ac:dyDescent="0.2">
      <c r="A1616" s="292"/>
      <c r="C1616" s="189"/>
      <c r="E1616" s="190"/>
      <c r="G1616" s="70"/>
      <c r="H1616" s="70"/>
      <c r="J1616" s="70"/>
      <c r="L1616" s="71"/>
      <c r="N1616" s="70"/>
    </row>
    <row r="1617" spans="1:14" x14ac:dyDescent="0.2">
      <c r="A1617" s="292"/>
      <c r="C1617" s="189"/>
      <c r="E1617" s="190"/>
      <c r="G1617" s="70"/>
      <c r="H1617" s="70"/>
      <c r="J1617" s="70"/>
      <c r="L1617" s="71"/>
      <c r="N1617" s="70"/>
    </row>
    <row r="1618" spans="1:14" x14ac:dyDescent="0.2">
      <c r="A1618" s="292"/>
      <c r="C1618" s="189"/>
      <c r="E1618" s="190"/>
      <c r="G1618" s="70"/>
      <c r="H1618" s="70"/>
      <c r="J1618" s="70"/>
      <c r="L1618" s="71"/>
      <c r="N1618" s="70"/>
    </row>
    <row r="1619" spans="1:14" x14ac:dyDescent="0.2">
      <c r="A1619" s="292"/>
      <c r="C1619" s="189"/>
      <c r="E1619" s="190"/>
      <c r="G1619" s="70"/>
      <c r="H1619" s="70"/>
      <c r="J1619" s="70"/>
      <c r="L1619" s="71"/>
      <c r="N1619" s="70"/>
    </row>
    <row r="1620" spans="1:14" x14ac:dyDescent="0.2">
      <c r="A1620" s="292"/>
      <c r="C1620" s="189"/>
      <c r="E1620" s="190"/>
      <c r="G1620" s="70"/>
      <c r="H1620" s="70"/>
      <c r="J1620" s="70"/>
      <c r="L1620" s="71"/>
      <c r="N1620" s="70"/>
    </row>
    <row r="1621" spans="1:14" x14ac:dyDescent="0.2">
      <c r="A1621" s="292"/>
      <c r="C1621" s="189"/>
      <c r="E1621" s="190"/>
      <c r="G1621" s="70"/>
      <c r="H1621" s="70"/>
      <c r="J1621" s="70"/>
      <c r="L1621" s="71"/>
      <c r="N1621" s="70"/>
    </row>
    <row r="1622" spans="1:14" x14ac:dyDescent="0.2">
      <c r="A1622" s="292"/>
      <c r="C1622" s="189"/>
      <c r="E1622" s="190"/>
      <c r="G1622" s="70"/>
      <c r="H1622" s="70"/>
      <c r="J1622" s="70"/>
      <c r="L1622" s="71"/>
      <c r="N1622" s="70"/>
    </row>
    <row r="1623" spans="1:14" x14ac:dyDescent="0.2">
      <c r="A1623" s="292"/>
      <c r="C1623" s="189"/>
      <c r="E1623" s="190"/>
      <c r="G1623" s="70"/>
      <c r="H1623" s="70"/>
      <c r="J1623" s="70"/>
      <c r="L1623" s="71"/>
      <c r="N1623" s="70"/>
    </row>
    <row r="1624" spans="1:14" x14ac:dyDescent="0.2">
      <c r="A1624" s="292"/>
      <c r="C1624" s="189"/>
      <c r="E1624" s="190"/>
      <c r="G1624" s="70"/>
      <c r="H1624" s="70"/>
      <c r="J1624" s="70"/>
      <c r="L1624" s="71"/>
      <c r="N1624" s="70"/>
    </row>
    <row r="1625" spans="1:14" x14ac:dyDescent="0.2">
      <c r="A1625" s="292"/>
      <c r="C1625" s="189"/>
      <c r="E1625" s="190"/>
      <c r="G1625" s="70"/>
      <c r="H1625" s="70"/>
      <c r="J1625" s="70"/>
      <c r="L1625" s="71"/>
      <c r="N1625" s="70"/>
    </row>
    <row r="1626" spans="1:14" x14ac:dyDescent="0.2">
      <c r="A1626" s="292"/>
      <c r="C1626" s="189"/>
      <c r="E1626" s="190"/>
      <c r="G1626" s="70"/>
      <c r="H1626" s="70"/>
      <c r="J1626" s="70"/>
      <c r="L1626" s="71"/>
      <c r="N1626" s="70"/>
    </row>
    <row r="1627" spans="1:14" x14ac:dyDescent="0.2">
      <c r="A1627" s="292"/>
      <c r="C1627" s="189"/>
      <c r="E1627" s="190"/>
      <c r="G1627" s="70"/>
      <c r="H1627" s="70"/>
      <c r="J1627" s="70"/>
      <c r="L1627" s="71"/>
      <c r="N1627" s="70"/>
    </row>
    <row r="1628" spans="1:14" x14ac:dyDescent="0.2">
      <c r="A1628" s="292"/>
      <c r="C1628" s="189"/>
      <c r="E1628" s="190"/>
      <c r="G1628" s="70"/>
      <c r="H1628" s="70"/>
      <c r="J1628" s="70"/>
      <c r="L1628" s="71"/>
      <c r="N1628" s="70"/>
    </row>
    <row r="1629" spans="1:14" x14ac:dyDescent="0.2">
      <c r="A1629" s="292"/>
      <c r="C1629" s="189"/>
      <c r="E1629" s="190"/>
      <c r="G1629" s="70"/>
      <c r="H1629" s="70"/>
      <c r="J1629" s="70"/>
      <c r="L1629" s="71"/>
      <c r="N1629" s="70"/>
    </row>
    <row r="1630" spans="1:14" x14ac:dyDescent="0.2">
      <c r="A1630" s="292"/>
      <c r="C1630" s="189"/>
      <c r="E1630" s="190"/>
      <c r="G1630" s="70"/>
      <c r="H1630" s="70"/>
      <c r="J1630" s="70"/>
      <c r="L1630" s="71"/>
      <c r="N1630" s="70"/>
    </row>
    <row r="1631" spans="1:14" x14ac:dyDescent="0.2">
      <c r="A1631" s="292"/>
      <c r="C1631" s="189"/>
      <c r="E1631" s="190"/>
      <c r="G1631" s="70"/>
      <c r="H1631" s="70"/>
      <c r="J1631" s="70"/>
      <c r="L1631" s="71"/>
      <c r="N1631" s="70"/>
    </row>
    <row r="1632" spans="1:14" x14ac:dyDescent="0.2">
      <c r="A1632" s="292"/>
      <c r="C1632" s="189"/>
      <c r="E1632" s="190"/>
      <c r="G1632" s="70"/>
      <c r="H1632" s="70"/>
      <c r="J1632" s="70"/>
      <c r="L1632" s="71"/>
      <c r="N1632" s="70"/>
    </row>
    <row r="1633" spans="1:14" x14ac:dyDescent="0.2">
      <c r="A1633" s="292"/>
      <c r="C1633" s="189"/>
      <c r="E1633" s="190"/>
      <c r="G1633" s="70"/>
      <c r="H1633" s="70"/>
      <c r="J1633" s="70"/>
      <c r="L1633" s="71"/>
      <c r="N1633" s="70"/>
    </row>
    <row r="1634" spans="1:14" x14ac:dyDescent="0.2">
      <c r="A1634" s="292"/>
      <c r="C1634" s="189"/>
      <c r="E1634" s="190"/>
      <c r="G1634" s="70"/>
      <c r="H1634" s="70"/>
      <c r="J1634" s="70"/>
      <c r="L1634" s="71"/>
      <c r="N1634" s="70"/>
    </row>
    <row r="1635" spans="1:14" x14ac:dyDescent="0.2">
      <c r="A1635" s="292"/>
      <c r="C1635" s="189"/>
      <c r="E1635" s="190"/>
      <c r="G1635" s="70"/>
      <c r="H1635" s="70"/>
      <c r="J1635" s="70"/>
      <c r="L1635" s="71"/>
      <c r="N1635" s="70"/>
    </row>
    <row r="1636" spans="1:14" x14ac:dyDescent="0.2">
      <c r="A1636" s="292"/>
      <c r="C1636" s="189"/>
      <c r="E1636" s="190"/>
      <c r="G1636" s="70"/>
      <c r="H1636" s="70"/>
      <c r="J1636" s="70"/>
      <c r="L1636" s="71"/>
      <c r="N1636" s="70"/>
    </row>
    <row r="1637" spans="1:14" x14ac:dyDescent="0.2">
      <c r="A1637" s="292"/>
      <c r="C1637" s="189"/>
      <c r="E1637" s="190"/>
      <c r="G1637" s="70"/>
      <c r="H1637" s="70"/>
      <c r="J1637" s="70"/>
      <c r="L1637" s="71"/>
      <c r="N1637" s="70"/>
    </row>
    <row r="1638" spans="1:14" x14ac:dyDescent="0.2">
      <c r="A1638" s="292"/>
      <c r="C1638" s="189"/>
      <c r="E1638" s="190"/>
      <c r="G1638" s="70"/>
      <c r="H1638" s="70"/>
      <c r="J1638" s="70"/>
      <c r="L1638" s="71"/>
      <c r="N1638" s="70"/>
    </row>
    <row r="1639" spans="1:14" x14ac:dyDescent="0.2">
      <c r="A1639" s="292"/>
      <c r="C1639" s="189"/>
      <c r="E1639" s="190"/>
      <c r="G1639" s="70"/>
      <c r="H1639" s="70"/>
      <c r="J1639" s="70"/>
      <c r="L1639" s="71"/>
      <c r="N1639" s="70"/>
    </row>
    <row r="1640" spans="1:14" x14ac:dyDescent="0.2">
      <c r="A1640" s="292"/>
      <c r="C1640" s="189"/>
      <c r="E1640" s="190"/>
      <c r="G1640" s="70"/>
      <c r="H1640" s="70"/>
      <c r="J1640" s="70"/>
      <c r="L1640" s="71"/>
      <c r="N1640" s="70"/>
    </row>
    <row r="1641" spans="1:14" x14ac:dyDescent="0.2">
      <c r="A1641" s="292"/>
      <c r="C1641" s="189"/>
      <c r="E1641" s="190"/>
      <c r="G1641" s="70"/>
      <c r="H1641" s="70"/>
      <c r="J1641" s="70"/>
      <c r="L1641" s="71"/>
      <c r="N1641" s="70"/>
    </row>
    <row r="1642" spans="1:14" x14ac:dyDescent="0.2">
      <c r="A1642" s="292"/>
      <c r="C1642" s="189"/>
      <c r="E1642" s="190"/>
      <c r="G1642" s="70"/>
      <c r="H1642" s="70"/>
      <c r="J1642" s="70"/>
      <c r="L1642" s="71"/>
      <c r="N1642" s="70"/>
    </row>
    <row r="1643" spans="1:14" x14ac:dyDescent="0.2">
      <c r="A1643" s="292"/>
      <c r="C1643" s="189"/>
      <c r="E1643" s="190"/>
      <c r="G1643" s="70"/>
      <c r="H1643" s="70"/>
      <c r="J1643" s="70"/>
      <c r="L1643" s="71"/>
      <c r="N1643" s="70"/>
    </row>
    <row r="1644" spans="1:14" x14ac:dyDescent="0.2">
      <c r="A1644" s="292"/>
      <c r="C1644" s="189"/>
      <c r="E1644" s="190"/>
      <c r="G1644" s="70"/>
      <c r="H1644" s="70"/>
      <c r="J1644" s="70"/>
      <c r="L1644" s="71"/>
      <c r="N1644" s="70"/>
    </row>
    <row r="1645" spans="1:14" x14ac:dyDescent="0.2">
      <c r="A1645" s="292"/>
      <c r="C1645" s="189"/>
      <c r="E1645" s="190"/>
      <c r="G1645" s="70"/>
      <c r="H1645" s="70"/>
      <c r="J1645" s="70"/>
      <c r="L1645" s="71"/>
      <c r="N1645" s="70"/>
    </row>
    <row r="1646" spans="1:14" x14ac:dyDescent="0.2">
      <c r="A1646" s="292"/>
      <c r="C1646" s="189"/>
      <c r="E1646" s="190"/>
      <c r="G1646" s="70"/>
      <c r="H1646" s="70"/>
      <c r="J1646" s="70"/>
      <c r="L1646" s="71"/>
      <c r="N1646" s="70"/>
    </row>
    <row r="1647" spans="1:14" x14ac:dyDescent="0.2">
      <c r="A1647" s="292"/>
      <c r="C1647" s="189"/>
      <c r="E1647" s="190"/>
      <c r="G1647" s="70"/>
      <c r="H1647" s="70"/>
      <c r="J1647" s="70"/>
      <c r="L1647" s="71"/>
      <c r="N1647" s="70"/>
    </row>
    <row r="1648" spans="1:14" x14ac:dyDescent="0.2">
      <c r="A1648" s="292"/>
      <c r="C1648" s="189"/>
      <c r="E1648" s="190"/>
      <c r="G1648" s="70"/>
      <c r="H1648" s="70"/>
      <c r="J1648" s="70"/>
      <c r="L1648" s="71"/>
      <c r="N1648" s="70"/>
    </row>
    <row r="1649" spans="1:14" x14ac:dyDescent="0.2">
      <c r="A1649" s="292"/>
      <c r="C1649" s="189"/>
      <c r="E1649" s="190"/>
      <c r="G1649" s="70"/>
      <c r="H1649" s="70"/>
      <c r="J1649" s="70"/>
      <c r="L1649" s="71"/>
      <c r="N1649" s="70"/>
    </row>
    <row r="1650" spans="1:14" x14ac:dyDescent="0.2">
      <c r="A1650" s="292"/>
      <c r="C1650" s="189"/>
      <c r="E1650" s="190"/>
      <c r="G1650" s="70"/>
      <c r="H1650" s="70"/>
      <c r="J1650" s="70"/>
      <c r="L1650" s="71"/>
      <c r="N1650" s="70"/>
    </row>
    <row r="1651" spans="1:14" x14ac:dyDescent="0.2">
      <c r="A1651" s="292"/>
      <c r="C1651" s="189"/>
      <c r="E1651" s="190"/>
      <c r="G1651" s="70"/>
      <c r="H1651" s="70"/>
      <c r="J1651" s="70"/>
      <c r="L1651" s="71"/>
      <c r="N1651" s="70"/>
    </row>
    <row r="1652" spans="1:14" x14ac:dyDescent="0.2">
      <c r="A1652" s="292"/>
      <c r="C1652" s="189"/>
      <c r="E1652" s="190"/>
      <c r="G1652" s="70"/>
      <c r="H1652" s="70"/>
      <c r="J1652" s="70"/>
      <c r="L1652" s="71"/>
      <c r="N1652" s="70"/>
    </row>
    <row r="1653" spans="1:14" x14ac:dyDescent="0.2">
      <c r="A1653" s="292"/>
      <c r="C1653" s="189"/>
      <c r="E1653" s="190"/>
      <c r="G1653" s="70"/>
      <c r="H1653" s="70"/>
      <c r="J1653" s="70"/>
      <c r="L1653" s="71"/>
      <c r="N1653" s="70"/>
    </row>
    <row r="1654" spans="1:14" x14ac:dyDescent="0.2">
      <c r="A1654" s="292"/>
      <c r="C1654" s="189"/>
      <c r="E1654" s="190"/>
      <c r="G1654" s="70"/>
      <c r="H1654" s="70"/>
      <c r="J1654" s="70"/>
      <c r="L1654" s="71"/>
      <c r="N1654" s="70"/>
    </row>
    <row r="1655" spans="1:14" x14ac:dyDescent="0.2">
      <c r="A1655" s="292"/>
      <c r="C1655" s="189"/>
      <c r="E1655" s="190"/>
      <c r="G1655" s="70"/>
      <c r="H1655" s="70"/>
      <c r="J1655" s="70"/>
      <c r="L1655" s="71"/>
      <c r="N1655" s="70"/>
    </row>
    <row r="1656" spans="1:14" x14ac:dyDescent="0.2">
      <c r="A1656" s="292"/>
      <c r="C1656" s="189"/>
      <c r="E1656" s="190"/>
      <c r="G1656" s="70"/>
      <c r="H1656" s="70"/>
      <c r="J1656" s="70"/>
      <c r="L1656" s="71"/>
      <c r="N1656" s="70"/>
    </row>
    <row r="1657" spans="1:14" x14ac:dyDescent="0.2">
      <c r="A1657" s="292"/>
      <c r="C1657" s="189"/>
      <c r="E1657" s="190"/>
      <c r="G1657" s="70"/>
      <c r="H1657" s="70"/>
      <c r="J1657" s="70"/>
      <c r="L1657" s="71"/>
      <c r="N1657" s="70"/>
    </row>
    <row r="1658" spans="1:14" x14ac:dyDescent="0.2">
      <c r="A1658" s="292"/>
      <c r="C1658" s="189"/>
      <c r="E1658" s="190"/>
      <c r="G1658" s="70"/>
      <c r="H1658" s="70"/>
      <c r="J1658" s="70"/>
      <c r="L1658" s="71"/>
      <c r="N1658" s="70"/>
    </row>
    <row r="1659" spans="1:14" x14ac:dyDescent="0.2">
      <c r="A1659" s="292"/>
      <c r="C1659" s="189"/>
      <c r="E1659" s="190"/>
      <c r="G1659" s="70"/>
      <c r="H1659" s="70"/>
      <c r="J1659" s="70"/>
      <c r="L1659" s="71"/>
      <c r="N1659" s="70"/>
    </row>
    <row r="1660" spans="1:14" x14ac:dyDescent="0.2">
      <c r="A1660" s="292"/>
      <c r="C1660" s="189"/>
      <c r="E1660" s="190"/>
      <c r="G1660" s="70"/>
      <c r="H1660" s="70"/>
      <c r="J1660" s="70"/>
      <c r="L1660" s="71"/>
      <c r="N1660" s="70"/>
    </row>
    <row r="1661" spans="1:14" x14ac:dyDescent="0.2">
      <c r="A1661" s="292"/>
      <c r="C1661" s="189"/>
      <c r="E1661" s="190"/>
      <c r="G1661" s="70"/>
      <c r="H1661" s="70"/>
      <c r="J1661" s="70"/>
      <c r="L1661" s="71"/>
      <c r="N1661" s="70"/>
    </row>
    <row r="1662" spans="1:14" x14ac:dyDescent="0.2">
      <c r="A1662" s="292"/>
      <c r="C1662" s="189"/>
      <c r="E1662" s="190"/>
      <c r="G1662" s="70"/>
      <c r="H1662" s="70"/>
      <c r="J1662" s="70"/>
      <c r="L1662" s="71"/>
      <c r="N1662" s="70"/>
    </row>
    <row r="1663" spans="1:14" x14ac:dyDescent="0.2">
      <c r="A1663" s="292"/>
      <c r="C1663" s="189"/>
      <c r="E1663" s="190"/>
      <c r="G1663" s="70"/>
      <c r="H1663" s="70"/>
      <c r="J1663" s="70"/>
      <c r="L1663" s="71"/>
      <c r="N1663" s="70"/>
    </row>
    <row r="1664" spans="1:14" x14ac:dyDescent="0.2">
      <c r="A1664" s="292"/>
      <c r="C1664" s="189"/>
      <c r="E1664" s="190"/>
      <c r="G1664" s="70"/>
      <c r="H1664" s="70"/>
      <c r="J1664" s="70"/>
      <c r="L1664" s="71"/>
      <c r="N1664" s="70"/>
    </row>
    <row r="1665" spans="1:14" x14ac:dyDescent="0.2">
      <c r="A1665" s="292"/>
      <c r="C1665" s="189"/>
      <c r="E1665" s="190"/>
      <c r="G1665" s="70"/>
      <c r="H1665" s="70"/>
      <c r="J1665" s="70"/>
      <c r="L1665" s="71"/>
      <c r="N1665" s="70"/>
    </row>
    <row r="1666" spans="1:14" x14ac:dyDescent="0.2">
      <c r="A1666" s="292"/>
      <c r="C1666" s="189"/>
      <c r="E1666" s="190"/>
      <c r="G1666" s="70"/>
      <c r="H1666" s="70"/>
      <c r="J1666" s="70"/>
      <c r="L1666" s="71"/>
      <c r="N1666" s="70"/>
    </row>
    <row r="1667" spans="1:14" x14ac:dyDescent="0.2">
      <c r="A1667" s="292"/>
      <c r="C1667" s="189"/>
      <c r="E1667" s="190"/>
      <c r="G1667" s="70"/>
      <c r="H1667" s="70"/>
      <c r="J1667" s="70"/>
      <c r="L1667" s="71"/>
      <c r="N1667" s="70"/>
    </row>
    <row r="1668" spans="1:14" x14ac:dyDescent="0.2">
      <c r="A1668" s="292"/>
      <c r="C1668" s="189"/>
      <c r="E1668" s="190"/>
      <c r="G1668" s="70"/>
      <c r="H1668" s="70"/>
      <c r="J1668" s="70"/>
      <c r="L1668" s="71"/>
      <c r="N1668" s="70"/>
    </row>
    <row r="1669" spans="1:14" x14ac:dyDescent="0.2">
      <c r="A1669" s="292"/>
      <c r="C1669" s="189"/>
      <c r="E1669" s="190"/>
      <c r="G1669" s="70"/>
      <c r="H1669" s="70"/>
      <c r="J1669" s="70"/>
      <c r="L1669" s="71"/>
      <c r="N1669" s="70"/>
    </row>
    <row r="1670" spans="1:14" x14ac:dyDescent="0.2">
      <c r="A1670" s="292"/>
      <c r="C1670" s="189"/>
      <c r="E1670" s="190"/>
      <c r="G1670" s="70"/>
      <c r="H1670" s="70"/>
      <c r="J1670" s="70"/>
      <c r="L1670" s="71"/>
      <c r="N1670" s="70"/>
    </row>
    <row r="1671" spans="1:14" x14ac:dyDescent="0.2">
      <c r="A1671" s="292"/>
      <c r="C1671" s="189"/>
      <c r="E1671" s="190"/>
      <c r="G1671" s="70"/>
      <c r="H1671" s="70"/>
      <c r="J1671" s="70"/>
      <c r="L1671" s="71"/>
      <c r="N1671" s="70"/>
    </row>
    <row r="1672" spans="1:14" x14ac:dyDescent="0.2">
      <c r="A1672" s="292"/>
      <c r="C1672" s="189"/>
      <c r="E1672" s="190"/>
      <c r="G1672" s="70"/>
      <c r="H1672" s="70"/>
      <c r="J1672" s="70"/>
      <c r="L1672" s="71"/>
      <c r="N1672" s="70"/>
    </row>
    <row r="1673" spans="1:14" x14ac:dyDescent="0.2">
      <c r="A1673" s="292"/>
      <c r="C1673" s="189"/>
      <c r="E1673" s="190"/>
      <c r="G1673" s="70"/>
      <c r="H1673" s="70"/>
      <c r="J1673" s="70"/>
      <c r="L1673" s="71"/>
      <c r="N1673" s="70"/>
    </row>
    <row r="1674" spans="1:14" x14ac:dyDescent="0.2">
      <c r="A1674" s="292"/>
      <c r="C1674" s="189"/>
      <c r="E1674" s="190"/>
      <c r="G1674" s="70"/>
      <c r="H1674" s="70"/>
      <c r="J1674" s="70"/>
      <c r="L1674" s="71"/>
      <c r="N1674" s="70"/>
    </row>
    <row r="1675" spans="1:14" x14ac:dyDescent="0.2">
      <c r="A1675" s="292"/>
      <c r="C1675" s="189"/>
      <c r="E1675" s="190"/>
      <c r="G1675" s="70"/>
      <c r="H1675" s="70"/>
      <c r="J1675" s="70"/>
      <c r="L1675" s="71"/>
      <c r="N1675" s="70"/>
    </row>
    <row r="1676" spans="1:14" x14ac:dyDescent="0.2">
      <c r="A1676" s="292"/>
      <c r="C1676" s="189"/>
      <c r="E1676" s="190"/>
      <c r="G1676" s="70"/>
      <c r="H1676" s="70"/>
      <c r="J1676" s="70"/>
      <c r="L1676" s="71"/>
      <c r="N1676" s="70"/>
    </row>
    <row r="1677" spans="1:14" x14ac:dyDescent="0.2">
      <c r="A1677" s="292"/>
      <c r="C1677" s="189"/>
      <c r="E1677" s="190"/>
      <c r="G1677" s="70"/>
      <c r="H1677" s="70"/>
      <c r="J1677" s="70"/>
      <c r="L1677" s="71"/>
      <c r="N1677" s="70"/>
    </row>
    <row r="1678" spans="1:14" x14ac:dyDescent="0.2">
      <c r="A1678" s="292"/>
      <c r="C1678" s="189"/>
      <c r="E1678" s="190"/>
      <c r="G1678" s="70"/>
      <c r="H1678" s="70"/>
      <c r="J1678" s="70"/>
      <c r="L1678" s="71"/>
      <c r="N1678" s="70"/>
    </row>
    <row r="1679" spans="1:14" x14ac:dyDescent="0.2">
      <c r="A1679" s="292"/>
      <c r="C1679" s="189"/>
      <c r="E1679" s="190"/>
      <c r="G1679" s="70"/>
      <c r="H1679" s="70"/>
      <c r="J1679" s="70"/>
      <c r="L1679" s="71"/>
      <c r="N1679" s="70"/>
    </row>
    <row r="1680" spans="1:14" x14ac:dyDescent="0.2">
      <c r="A1680" s="292"/>
      <c r="C1680" s="189"/>
      <c r="E1680" s="190"/>
      <c r="G1680" s="70"/>
      <c r="H1680" s="70"/>
      <c r="J1680" s="70"/>
      <c r="L1680" s="71"/>
      <c r="N1680" s="70"/>
    </row>
    <row r="1681" spans="1:14" x14ac:dyDescent="0.2">
      <c r="A1681" s="292"/>
      <c r="C1681" s="189"/>
      <c r="E1681" s="190"/>
      <c r="G1681" s="70"/>
      <c r="H1681" s="70"/>
      <c r="J1681" s="70"/>
      <c r="L1681" s="71"/>
      <c r="N1681" s="70"/>
    </row>
    <row r="1682" spans="1:14" x14ac:dyDescent="0.2">
      <c r="A1682" s="292"/>
      <c r="C1682" s="189"/>
      <c r="E1682" s="190"/>
      <c r="G1682" s="70"/>
      <c r="H1682" s="70"/>
      <c r="J1682" s="70"/>
      <c r="L1682" s="71"/>
      <c r="N1682" s="70"/>
    </row>
    <row r="1683" spans="1:14" x14ac:dyDescent="0.2">
      <c r="A1683" s="292"/>
      <c r="C1683" s="189"/>
      <c r="E1683" s="190"/>
      <c r="G1683" s="70"/>
      <c r="H1683" s="70"/>
      <c r="J1683" s="70"/>
      <c r="L1683" s="71"/>
      <c r="N1683" s="70"/>
    </row>
    <row r="1684" spans="1:14" x14ac:dyDescent="0.2">
      <c r="A1684" s="292"/>
      <c r="C1684" s="189"/>
      <c r="E1684" s="190"/>
      <c r="G1684" s="70"/>
      <c r="H1684" s="70"/>
      <c r="J1684" s="70"/>
      <c r="L1684" s="71"/>
      <c r="N1684" s="70"/>
    </row>
    <row r="1685" spans="1:14" x14ac:dyDescent="0.2">
      <c r="A1685" s="292"/>
      <c r="C1685" s="189"/>
      <c r="E1685" s="190"/>
      <c r="G1685" s="70"/>
      <c r="H1685" s="70"/>
      <c r="J1685" s="70"/>
      <c r="L1685" s="71"/>
      <c r="N1685" s="70"/>
    </row>
    <row r="1686" spans="1:14" x14ac:dyDescent="0.2">
      <c r="A1686" s="292"/>
      <c r="C1686" s="189"/>
      <c r="E1686" s="190"/>
      <c r="G1686" s="70"/>
      <c r="H1686" s="70"/>
      <c r="J1686" s="70"/>
      <c r="L1686" s="71"/>
      <c r="N1686" s="70"/>
    </row>
    <row r="1687" spans="1:14" x14ac:dyDescent="0.2">
      <c r="A1687" s="292"/>
      <c r="C1687" s="189"/>
      <c r="E1687" s="190"/>
      <c r="G1687" s="70"/>
      <c r="H1687" s="70"/>
      <c r="J1687" s="70"/>
      <c r="L1687" s="71"/>
      <c r="N1687" s="70"/>
    </row>
    <row r="1688" spans="1:14" x14ac:dyDescent="0.2">
      <c r="A1688" s="292"/>
      <c r="C1688" s="189"/>
      <c r="E1688" s="190"/>
      <c r="G1688" s="70"/>
      <c r="H1688" s="70"/>
      <c r="J1688" s="70"/>
      <c r="L1688" s="71"/>
      <c r="N1688" s="70"/>
    </row>
    <row r="1689" spans="1:14" x14ac:dyDescent="0.2">
      <c r="A1689" s="292"/>
      <c r="C1689" s="189"/>
      <c r="E1689" s="190"/>
      <c r="G1689" s="70"/>
      <c r="H1689" s="70"/>
      <c r="J1689" s="70"/>
      <c r="L1689" s="71"/>
      <c r="N1689" s="70"/>
    </row>
    <row r="1690" spans="1:14" x14ac:dyDescent="0.2">
      <c r="A1690" s="292"/>
      <c r="C1690" s="189"/>
      <c r="E1690" s="190"/>
      <c r="G1690" s="70"/>
      <c r="H1690" s="70"/>
      <c r="J1690" s="70"/>
      <c r="L1690" s="71"/>
      <c r="N1690" s="70"/>
    </row>
    <row r="1691" spans="1:14" x14ac:dyDescent="0.2">
      <c r="A1691" s="292"/>
      <c r="C1691" s="189"/>
      <c r="E1691" s="190"/>
      <c r="G1691" s="70"/>
      <c r="H1691" s="70"/>
      <c r="J1691" s="70"/>
      <c r="L1691" s="71"/>
      <c r="N1691" s="70"/>
    </row>
    <row r="1692" spans="1:14" x14ac:dyDescent="0.2">
      <c r="A1692" s="292"/>
      <c r="C1692" s="189"/>
      <c r="E1692" s="190"/>
      <c r="G1692" s="70"/>
      <c r="H1692" s="70"/>
      <c r="J1692" s="70"/>
      <c r="L1692" s="71"/>
      <c r="N1692" s="70"/>
    </row>
    <row r="1693" spans="1:14" x14ac:dyDescent="0.2">
      <c r="A1693" s="292"/>
      <c r="C1693" s="189"/>
      <c r="E1693" s="190"/>
      <c r="G1693" s="70"/>
      <c r="H1693" s="70"/>
      <c r="J1693" s="70"/>
      <c r="L1693" s="71"/>
      <c r="N1693" s="70"/>
    </row>
    <row r="1694" spans="1:14" x14ac:dyDescent="0.2">
      <c r="A1694" s="292"/>
      <c r="C1694" s="189"/>
      <c r="E1694" s="190"/>
      <c r="G1694" s="70"/>
      <c r="H1694" s="70"/>
      <c r="J1694" s="70"/>
      <c r="L1694" s="71"/>
      <c r="N1694" s="70"/>
    </row>
    <row r="1695" spans="1:14" x14ac:dyDescent="0.2">
      <c r="A1695" s="292"/>
      <c r="C1695" s="189"/>
      <c r="E1695" s="190"/>
      <c r="G1695" s="70"/>
      <c r="H1695" s="70"/>
      <c r="J1695" s="70"/>
      <c r="L1695" s="71"/>
      <c r="N1695" s="70"/>
    </row>
    <row r="1696" spans="1:14" x14ac:dyDescent="0.2">
      <c r="A1696" s="292"/>
      <c r="C1696" s="189"/>
      <c r="E1696" s="190"/>
      <c r="G1696" s="70"/>
      <c r="H1696" s="70"/>
      <c r="J1696" s="70"/>
      <c r="L1696" s="71"/>
      <c r="N1696" s="70"/>
    </row>
    <row r="1697" spans="1:14" x14ac:dyDescent="0.2">
      <c r="A1697" s="292"/>
      <c r="C1697" s="189"/>
      <c r="E1697" s="190"/>
      <c r="G1697" s="70"/>
      <c r="H1697" s="70"/>
      <c r="J1697" s="70"/>
      <c r="L1697" s="71"/>
      <c r="N1697" s="70"/>
    </row>
    <row r="1698" spans="1:14" x14ac:dyDescent="0.2">
      <c r="A1698" s="292"/>
      <c r="C1698" s="189"/>
      <c r="E1698" s="190"/>
      <c r="G1698" s="70"/>
      <c r="H1698" s="70"/>
      <c r="J1698" s="70"/>
      <c r="L1698" s="71"/>
      <c r="N1698" s="70"/>
    </row>
    <row r="1699" spans="1:14" x14ac:dyDescent="0.2">
      <c r="A1699" s="292"/>
      <c r="C1699" s="189"/>
      <c r="E1699" s="190"/>
      <c r="G1699" s="70"/>
      <c r="H1699" s="70"/>
      <c r="J1699" s="70"/>
      <c r="L1699" s="71"/>
      <c r="N1699" s="70"/>
    </row>
    <row r="1700" spans="1:14" x14ac:dyDescent="0.2">
      <c r="A1700" s="292"/>
      <c r="C1700" s="189"/>
      <c r="E1700" s="190"/>
      <c r="G1700" s="70"/>
      <c r="H1700" s="70"/>
      <c r="J1700" s="70"/>
      <c r="L1700" s="71"/>
      <c r="N1700" s="70"/>
    </row>
    <row r="1701" spans="1:14" x14ac:dyDescent="0.2">
      <c r="A1701" s="292"/>
      <c r="C1701" s="189"/>
      <c r="E1701" s="190"/>
      <c r="G1701" s="70"/>
      <c r="H1701" s="70"/>
      <c r="J1701" s="70"/>
      <c r="L1701" s="71"/>
      <c r="N1701" s="70"/>
    </row>
    <row r="1702" spans="1:14" x14ac:dyDescent="0.2">
      <c r="A1702" s="292"/>
      <c r="C1702" s="189"/>
      <c r="E1702" s="190"/>
      <c r="G1702" s="70"/>
      <c r="H1702" s="70"/>
      <c r="J1702" s="70"/>
      <c r="L1702" s="71"/>
      <c r="N1702" s="70"/>
    </row>
    <row r="1703" spans="1:14" x14ac:dyDescent="0.2">
      <c r="A1703" s="292"/>
      <c r="C1703" s="189"/>
      <c r="E1703" s="190"/>
      <c r="G1703" s="70"/>
      <c r="H1703" s="70"/>
      <c r="J1703" s="70"/>
      <c r="L1703" s="71"/>
      <c r="N1703" s="70"/>
    </row>
    <row r="1704" spans="1:14" x14ac:dyDescent="0.2">
      <c r="A1704" s="292"/>
      <c r="C1704" s="189"/>
      <c r="E1704" s="190"/>
      <c r="G1704" s="70"/>
      <c r="H1704" s="70"/>
      <c r="J1704" s="70"/>
      <c r="L1704" s="71"/>
      <c r="N1704" s="70"/>
    </row>
    <row r="1705" spans="1:14" x14ac:dyDescent="0.2">
      <c r="A1705" s="292"/>
      <c r="C1705" s="189"/>
      <c r="E1705" s="190"/>
      <c r="G1705" s="70"/>
      <c r="H1705" s="70"/>
      <c r="J1705" s="70"/>
      <c r="L1705" s="71"/>
      <c r="N1705" s="70"/>
    </row>
    <row r="1706" spans="1:14" x14ac:dyDescent="0.2">
      <c r="A1706" s="292"/>
      <c r="C1706" s="189"/>
      <c r="E1706" s="190"/>
      <c r="G1706" s="70"/>
      <c r="H1706" s="70"/>
      <c r="J1706" s="70"/>
      <c r="L1706" s="71"/>
      <c r="N1706" s="70"/>
    </row>
    <row r="1707" spans="1:14" x14ac:dyDescent="0.2">
      <c r="A1707" s="292"/>
      <c r="C1707" s="189"/>
      <c r="E1707" s="190"/>
      <c r="G1707" s="70"/>
      <c r="H1707" s="70"/>
      <c r="J1707" s="70"/>
      <c r="L1707" s="71"/>
      <c r="N1707" s="70"/>
    </row>
    <row r="1708" spans="1:14" x14ac:dyDescent="0.2">
      <c r="A1708" s="292"/>
      <c r="C1708" s="189"/>
      <c r="E1708" s="190"/>
      <c r="G1708" s="70"/>
      <c r="H1708" s="70"/>
      <c r="J1708" s="70"/>
      <c r="L1708" s="71"/>
      <c r="N1708" s="70"/>
    </row>
    <row r="1709" spans="1:14" x14ac:dyDescent="0.2">
      <c r="A1709" s="292"/>
      <c r="C1709" s="189"/>
      <c r="E1709" s="190"/>
      <c r="G1709" s="70"/>
      <c r="H1709" s="70"/>
      <c r="J1709" s="70"/>
      <c r="L1709" s="71"/>
      <c r="N1709" s="70"/>
    </row>
    <row r="1710" spans="1:14" x14ac:dyDescent="0.2">
      <c r="A1710" s="292"/>
      <c r="C1710" s="189"/>
      <c r="E1710" s="190"/>
      <c r="G1710" s="70"/>
      <c r="H1710" s="70"/>
      <c r="J1710" s="70"/>
      <c r="L1710" s="71"/>
      <c r="N1710" s="70"/>
    </row>
    <row r="1711" spans="1:14" x14ac:dyDescent="0.2">
      <c r="A1711" s="292"/>
      <c r="C1711" s="189"/>
      <c r="E1711" s="190"/>
      <c r="G1711" s="70"/>
      <c r="H1711" s="70"/>
      <c r="J1711" s="70"/>
      <c r="L1711" s="71"/>
      <c r="N1711" s="70"/>
    </row>
    <row r="1712" spans="1:14" x14ac:dyDescent="0.2">
      <c r="A1712" s="292"/>
      <c r="C1712" s="189"/>
      <c r="E1712" s="190"/>
      <c r="G1712" s="70"/>
      <c r="H1712" s="70"/>
      <c r="J1712" s="70"/>
      <c r="L1712" s="71"/>
      <c r="N1712" s="70"/>
    </row>
    <row r="1713" spans="1:14" x14ac:dyDescent="0.2">
      <c r="A1713" s="292"/>
      <c r="C1713" s="189"/>
      <c r="E1713" s="190"/>
      <c r="G1713" s="70"/>
      <c r="H1713" s="70"/>
      <c r="J1713" s="70"/>
      <c r="L1713" s="71"/>
      <c r="N1713" s="70"/>
    </row>
    <row r="1714" spans="1:14" x14ac:dyDescent="0.2">
      <c r="A1714" s="292"/>
      <c r="C1714" s="189"/>
      <c r="E1714" s="190"/>
      <c r="G1714" s="70"/>
      <c r="H1714" s="70"/>
      <c r="J1714" s="70"/>
      <c r="L1714" s="71"/>
      <c r="N1714" s="70"/>
    </row>
    <row r="1715" spans="1:14" x14ac:dyDescent="0.2">
      <c r="A1715" s="292"/>
      <c r="C1715" s="189"/>
      <c r="E1715" s="190"/>
      <c r="G1715" s="70"/>
      <c r="H1715" s="70"/>
      <c r="J1715" s="70"/>
      <c r="L1715" s="71"/>
      <c r="N1715" s="70"/>
    </row>
    <row r="1716" spans="1:14" x14ac:dyDescent="0.2">
      <c r="A1716" s="292"/>
      <c r="C1716" s="189"/>
      <c r="E1716" s="190"/>
      <c r="G1716" s="70"/>
      <c r="H1716" s="70"/>
      <c r="J1716" s="70"/>
      <c r="L1716" s="71"/>
      <c r="N1716" s="70"/>
    </row>
    <row r="1717" spans="1:14" x14ac:dyDescent="0.2">
      <c r="A1717" s="292"/>
      <c r="C1717" s="189"/>
      <c r="E1717" s="190"/>
      <c r="G1717" s="70"/>
      <c r="H1717" s="70"/>
      <c r="J1717" s="70"/>
      <c r="L1717" s="71"/>
      <c r="N1717" s="70"/>
    </row>
    <row r="1718" spans="1:14" x14ac:dyDescent="0.2">
      <c r="A1718" s="292"/>
      <c r="C1718" s="189"/>
      <c r="E1718" s="190"/>
      <c r="G1718" s="70"/>
      <c r="H1718" s="70"/>
      <c r="J1718" s="70"/>
      <c r="L1718" s="71"/>
      <c r="N1718" s="70"/>
    </row>
    <row r="1719" spans="1:14" x14ac:dyDescent="0.2">
      <c r="A1719" s="292"/>
      <c r="C1719" s="189"/>
      <c r="E1719" s="190"/>
      <c r="G1719" s="70"/>
      <c r="H1719" s="70"/>
      <c r="J1719" s="70"/>
      <c r="L1719" s="71"/>
      <c r="N1719" s="70"/>
    </row>
    <row r="1720" spans="1:14" x14ac:dyDescent="0.2">
      <c r="A1720" s="292"/>
      <c r="C1720" s="189"/>
      <c r="E1720" s="190"/>
      <c r="G1720" s="70"/>
      <c r="H1720" s="70"/>
      <c r="J1720" s="70"/>
      <c r="L1720" s="71"/>
      <c r="N1720" s="70"/>
    </row>
    <row r="1721" spans="1:14" x14ac:dyDescent="0.2">
      <c r="A1721" s="292"/>
      <c r="C1721" s="189"/>
      <c r="E1721" s="190"/>
      <c r="G1721" s="70"/>
      <c r="H1721" s="70"/>
      <c r="J1721" s="70"/>
      <c r="L1721" s="71"/>
      <c r="N1721" s="70"/>
    </row>
    <row r="1722" spans="1:14" x14ac:dyDescent="0.2">
      <c r="A1722" s="292"/>
      <c r="C1722" s="189"/>
      <c r="E1722" s="190"/>
      <c r="G1722" s="70"/>
      <c r="H1722" s="70"/>
      <c r="J1722" s="70"/>
      <c r="L1722" s="71"/>
      <c r="N1722" s="70"/>
    </row>
    <row r="1723" spans="1:14" x14ac:dyDescent="0.2">
      <c r="A1723" s="292"/>
      <c r="B1723" s="180"/>
      <c r="C1723" s="189"/>
      <c r="E1723" s="190"/>
      <c r="G1723" s="70"/>
      <c r="H1723" s="70"/>
      <c r="I1723" s="64"/>
      <c r="J1723" s="70"/>
      <c r="K1723" s="64"/>
      <c r="L1723" s="71"/>
      <c r="M1723" s="187"/>
      <c r="N1723" s="70"/>
    </row>
    <row r="1724" spans="1:14" x14ac:dyDescent="0.2">
      <c r="A1724" s="293"/>
      <c r="B1724" s="195"/>
      <c r="C1724" s="196"/>
      <c r="D1724" s="197"/>
      <c r="E1724" s="198"/>
      <c r="F1724" s="199"/>
      <c r="G1724" s="200"/>
      <c r="H1724" s="200"/>
      <c r="I1724" s="201"/>
      <c r="J1724" s="200"/>
      <c r="K1724" s="201"/>
      <c r="L1724" s="202"/>
      <c r="M1724" s="203"/>
      <c r="N1724" s="200"/>
    </row>
  </sheetData>
  <mergeCells count="6">
    <mergeCell ref="A1:F1"/>
    <mergeCell ref="A2:F2"/>
    <mergeCell ref="A5:A6"/>
    <mergeCell ref="B5:B6"/>
    <mergeCell ref="C5:D6"/>
    <mergeCell ref="E5:E6"/>
  </mergeCells>
  <printOptions horizontalCentered="1"/>
  <pageMargins left="0.19685039370078741" right="0.19685039370078741" top="0.23622047244094491" bottom="0.23622047244094491" header="0.15748031496062992" footer="0.15748031496062992"/>
  <pageSetup paperSize="9" scale="6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rgb="FFFF0000"/>
  </sheetPr>
  <dimension ref="A1:N2084"/>
  <sheetViews>
    <sheetView view="pageBreakPreview" zoomScale="85" zoomScaleNormal="85" zoomScaleSheetLayoutView="85" workbookViewId="0">
      <selection activeCell="B203" sqref="B203"/>
    </sheetView>
  </sheetViews>
  <sheetFormatPr defaultRowHeight="15" customHeight="1" x14ac:dyDescent="0.25"/>
  <cols>
    <col min="1" max="1" width="6.140625" style="499" customWidth="1"/>
    <col min="2" max="2" width="83.28515625" style="405" customWidth="1"/>
    <col min="3" max="3" width="11.28515625" style="419" customWidth="1"/>
    <col min="4" max="4" width="11.140625" style="406" customWidth="1"/>
    <col min="5" max="5" width="14.28515625" style="399" customWidth="1"/>
    <col min="6" max="6" width="18.42578125" style="407" customWidth="1"/>
    <col min="7" max="7" width="11.5703125" style="295" hidden="1" customWidth="1"/>
    <col min="8" max="8" width="53.28515625" style="295" hidden="1" customWidth="1"/>
    <col min="9" max="10" width="0" style="295" hidden="1" customWidth="1"/>
    <col min="11" max="11" width="17.140625" style="295" hidden="1" customWidth="1"/>
    <col min="12" max="12" width="21.28515625" style="296" hidden="1" customWidth="1"/>
    <col min="13" max="13" width="14" style="296" hidden="1" customWidth="1"/>
    <col min="14" max="14" width="9.5703125" style="295" hidden="1" customWidth="1"/>
    <col min="15" max="16384" width="9.140625" style="295"/>
  </cols>
  <sheetData>
    <row r="1" spans="1:14" ht="15" customHeight="1" x14ac:dyDescent="0.25">
      <c r="A1" s="2108" t="s">
        <v>2288</v>
      </c>
      <c r="B1" s="2108"/>
      <c r="C1" s="2108"/>
      <c r="D1" s="2108"/>
      <c r="E1" s="2108"/>
      <c r="F1" s="2108"/>
    </row>
    <row r="2" spans="1:14" ht="15" customHeight="1" x14ac:dyDescent="0.25">
      <c r="A2" s="2109" t="s">
        <v>1150</v>
      </c>
      <c r="B2" s="2109"/>
      <c r="C2" s="2109"/>
      <c r="D2" s="2109"/>
      <c r="E2" s="2109"/>
      <c r="F2" s="2109"/>
      <c r="N2" s="297"/>
    </row>
    <row r="3" spans="1:14" ht="15" customHeight="1" x14ac:dyDescent="0.25">
      <c r="A3" s="298"/>
      <c r="B3" s="298"/>
      <c r="C3" s="298"/>
      <c r="D3" s="298"/>
      <c r="E3" s="299"/>
      <c r="F3" s="298"/>
      <c r="N3" s="297"/>
    </row>
    <row r="4" spans="1:14" ht="15" customHeight="1" thickBot="1" x14ac:dyDescent="0.3">
      <c r="A4" s="298"/>
      <c r="B4" s="298"/>
      <c r="C4" s="298"/>
      <c r="D4" s="298"/>
      <c r="E4" s="299"/>
      <c r="F4" s="298"/>
      <c r="N4" s="297"/>
    </row>
    <row r="5" spans="1:14" ht="15" customHeight="1" x14ac:dyDescent="0.25">
      <c r="A5" s="2088" t="s">
        <v>1</v>
      </c>
      <c r="B5" s="2090" t="s">
        <v>850</v>
      </c>
      <c r="C5" s="2092" t="s">
        <v>2</v>
      </c>
      <c r="D5" s="2093"/>
      <c r="E5" s="2096" t="s">
        <v>851</v>
      </c>
      <c r="F5" s="300" t="s">
        <v>852</v>
      </c>
      <c r="J5" s="297"/>
      <c r="L5" s="312"/>
      <c r="N5" s="297"/>
    </row>
    <row r="6" spans="1:14" ht="15" customHeight="1" thickBot="1" x14ac:dyDescent="0.3">
      <c r="A6" s="2110"/>
      <c r="B6" s="2111"/>
      <c r="C6" s="2112"/>
      <c r="D6" s="2113"/>
      <c r="E6" s="2114"/>
      <c r="F6" s="565" t="s">
        <v>853</v>
      </c>
      <c r="J6" s="297"/>
      <c r="L6" s="312"/>
      <c r="N6" s="297"/>
    </row>
    <row r="7" spans="1:14" ht="15" customHeight="1" x14ac:dyDescent="0.25">
      <c r="A7" s="566"/>
      <c r="B7" s="567"/>
      <c r="C7" s="568"/>
      <c r="D7" s="569"/>
      <c r="E7" s="570"/>
      <c r="F7" s="571"/>
      <c r="J7" s="311"/>
      <c r="L7" s="572"/>
      <c r="N7" s="297"/>
    </row>
    <row r="8" spans="1:14" s="383" customFormat="1" ht="15" customHeight="1" x14ac:dyDescent="0.25">
      <c r="A8" s="573" t="s">
        <v>575</v>
      </c>
      <c r="B8" s="424" t="s">
        <v>1740</v>
      </c>
      <c r="C8" s="424">
        <f>C11+C24+C34+C44+C51+C66+C76+C91+C104+C117+C127+C133+C141+C150+C165+C176+C187+C201+C213+C226+C237+C246+C260+C272+C287+C303+C321+C338+C350+C394</f>
        <v>217</v>
      </c>
      <c r="D8" s="563" t="s">
        <v>1741</v>
      </c>
      <c r="E8" s="574"/>
      <c r="F8" s="575">
        <f>F11+F24+F34+F44+F51+F66+F76+F91+F104+F117+F127+F133+F141+F150+F165+F176+F187+F201+F213+F226+F237+F246+F260+F272+F287+F303+F321+F338+F350+F394</f>
        <v>92427479</v>
      </c>
      <c r="G8" s="381"/>
      <c r="H8" s="576" t="s">
        <v>813</v>
      </c>
      <c r="I8" s="577">
        <v>0</v>
      </c>
      <c r="J8" s="577"/>
      <c r="K8" s="577"/>
      <c r="L8" s="578"/>
      <c r="M8" s="386"/>
      <c r="N8" s="382"/>
    </row>
    <row r="9" spans="1:14" s="383" customFormat="1" ht="15" customHeight="1" x14ac:dyDescent="0.25">
      <c r="A9" s="573"/>
      <c r="B9" s="424"/>
      <c r="C9" s="424">
        <f>COUNTA(A11:A394)</f>
        <v>30</v>
      </c>
      <c r="D9" s="563" t="s">
        <v>1748</v>
      </c>
      <c r="E9" s="574"/>
      <c r="F9" s="575"/>
      <c r="G9" s="381"/>
      <c r="H9" s="576"/>
      <c r="I9" s="577"/>
      <c r="J9" s="577"/>
      <c r="K9" s="577"/>
      <c r="L9" s="578"/>
      <c r="M9" s="386"/>
      <c r="N9" s="382"/>
    </row>
    <row r="10" spans="1:14" s="346" customFormat="1" ht="15" customHeight="1" x14ac:dyDescent="0.25">
      <c r="A10" s="457"/>
      <c r="B10" s="474"/>
      <c r="C10" s="474"/>
      <c r="D10" s="470"/>
      <c r="E10" s="471"/>
      <c r="F10" s="462"/>
      <c r="G10" s="344"/>
      <c r="H10" s="579"/>
      <c r="I10" s="580"/>
      <c r="J10" s="580"/>
      <c r="K10" s="580"/>
      <c r="L10" s="513"/>
      <c r="M10" s="348"/>
      <c r="N10" s="345"/>
    </row>
    <row r="11" spans="1:14" s="333" customFormat="1" ht="15" customHeight="1" x14ac:dyDescent="0.25">
      <c r="A11" s="573">
        <v>1</v>
      </c>
      <c r="B11" s="424" t="s">
        <v>758</v>
      </c>
      <c r="C11" s="424">
        <v>6</v>
      </c>
      <c r="D11" s="563"/>
      <c r="E11" s="563"/>
      <c r="F11" s="575">
        <f>SUM(F13:F23)</f>
        <v>2178800</v>
      </c>
      <c r="G11" s="331"/>
      <c r="H11" s="576" t="s">
        <v>164</v>
      </c>
      <c r="I11" s="576">
        <v>1</v>
      </c>
      <c r="J11" s="576" t="s">
        <v>16</v>
      </c>
      <c r="K11" s="576">
        <v>3500000</v>
      </c>
      <c r="L11" s="581">
        <v>3500000</v>
      </c>
      <c r="M11" s="336"/>
      <c r="N11" s="332"/>
    </row>
    <row r="12" spans="1:14" s="363" customFormat="1" ht="15" customHeight="1" x14ac:dyDescent="0.25">
      <c r="A12" s="582"/>
      <c r="B12" s="359" t="str">
        <f>'DEFINITIF (APBNP)'!B21</f>
        <v>Belanja Barang Operasional Lainnya</v>
      </c>
      <c r="C12" s="359">
        <f>'DEFINITIF (APBNP)'!C21</f>
        <v>0</v>
      </c>
      <c r="D12" s="359">
        <f>'DEFINITIF (APBNP)'!D21</f>
        <v>0</v>
      </c>
      <c r="E12" s="359">
        <f>'DEFINITIF (APBNP)'!E21</f>
        <v>0</v>
      </c>
      <c r="F12" s="583">
        <f>C12*E12</f>
        <v>0</v>
      </c>
      <c r="G12" s="361"/>
      <c r="H12" s="584" t="s">
        <v>849</v>
      </c>
      <c r="I12" s="585">
        <v>0</v>
      </c>
      <c r="J12" s="585"/>
      <c r="K12" s="585"/>
      <c r="L12" s="513">
        <v>0</v>
      </c>
      <c r="M12" s="365"/>
      <c r="N12" s="586"/>
    </row>
    <row r="13" spans="1:14" s="363" customFormat="1" ht="15" customHeight="1" x14ac:dyDescent="0.25">
      <c r="A13" s="582"/>
      <c r="B13" s="359" t="str">
        <f>'DEFINITIF (APBNP)'!B22</f>
        <v xml:space="preserve">Subsidi Operasi Bus Perintis </v>
      </c>
      <c r="C13" s="359">
        <f>'DEFINITIF (APBNP)'!C22</f>
        <v>1</v>
      </c>
      <c r="D13" s="359" t="str">
        <f>'DEFINITIF (APBNP)'!D22</f>
        <v>TH</v>
      </c>
      <c r="E13" s="359">
        <f>'DEFINITIF (APBNP)'!E22</f>
        <v>2128800</v>
      </c>
      <c r="F13" s="583">
        <f t="shared" ref="F13:F22" si="0">C13*E13</f>
        <v>2128800</v>
      </c>
      <c r="G13" s="361"/>
      <c r="H13" s="585" t="s">
        <v>167</v>
      </c>
      <c r="I13" s="585">
        <v>1</v>
      </c>
      <c r="J13" s="585" t="s">
        <v>16</v>
      </c>
      <c r="K13" s="585">
        <v>11131000</v>
      </c>
      <c r="L13" s="513">
        <v>11131000</v>
      </c>
      <c r="M13" s="365"/>
      <c r="N13" s="586"/>
    </row>
    <row r="14" spans="1:14" s="363" customFormat="1" ht="15" customHeight="1" x14ac:dyDescent="0.25">
      <c r="A14" s="582"/>
      <c r="B14" s="359" t="str">
        <f>'DEFINITIF (APBNP)'!B23</f>
        <v xml:space="preserve"> - Pusat Kota - Darussalam (10 Km)</v>
      </c>
      <c r="C14" s="359"/>
      <c r="D14" s="359"/>
      <c r="E14" s="359">
        <f>'DEFINITIF (APBNP)'!E23</f>
        <v>0</v>
      </c>
      <c r="F14" s="583">
        <f t="shared" si="0"/>
        <v>0</v>
      </c>
      <c r="G14" s="361"/>
      <c r="H14" s="584" t="s">
        <v>864</v>
      </c>
      <c r="I14" s="585"/>
      <c r="J14" s="585"/>
      <c r="K14" s="585"/>
      <c r="L14" s="513"/>
      <c r="M14" s="365"/>
      <c r="N14" s="586">
        <f>L14-M14</f>
        <v>0</v>
      </c>
    </row>
    <row r="15" spans="1:14" s="363" customFormat="1" ht="15" customHeight="1" x14ac:dyDescent="0.25">
      <c r="A15" s="582"/>
      <c r="B15" s="359" t="str">
        <f>'DEFINITIF (APBNP)'!B24</f>
        <v xml:space="preserve"> - Meulaboh - Alue Penyaring (35 Km)</v>
      </c>
      <c r="C15" s="359"/>
      <c r="D15" s="359"/>
      <c r="E15" s="359">
        <f>'DEFINITIF (APBNP)'!E24</f>
        <v>0</v>
      </c>
      <c r="F15" s="583">
        <f t="shared" si="0"/>
        <v>0</v>
      </c>
      <c r="G15" s="361"/>
      <c r="H15" s="585" t="s">
        <v>1151</v>
      </c>
      <c r="I15" s="585">
        <v>1</v>
      </c>
      <c r="J15" s="585" t="s">
        <v>16</v>
      </c>
      <c r="K15" s="585">
        <v>10000000</v>
      </c>
      <c r="L15" s="513">
        <v>10000000</v>
      </c>
      <c r="M15" s="365">
        <v>7500000</v>
      </c>
      <c r="N15" s="586">
        <f>L15-M15</f>
        <v>2500000</v>
      </c>
    </row>
    <row r="16" spans="1:14" s="363" customFormat="1" ht="15" customHeight="1" x14ac:dyDescent="0.25">
      <c r="A16" s="582"/>
      <c r="B16" s="359" t="str">
        <f>'DEFINITIF (APBNP)'!B25</f>
        <v xml:space="preserve"> - Kuala Simapang - Tenggulun (42 KM)</v>
      </c>
      <c r="C16" s="359"/>
      <c r="D16" s="359"/>
      <c r="E16" s="359">
        <f>'DEFINITIF (APBNP)'!E25</f>
        <v>0</v>
      </c>
      <c r="F16" s="583">
        <f t="shared" si="0"/>
        <v>0</v>
      </c>
      <c r="G16" s="361"/>
      <c r="H16" s="585" t="s">
        <v>1152</v>
      </c>
      <c r="I16" s="585">
        <v>1</v>
      </c>
      <c r="J16" s="585" t="s">
        <v>16</v>
      </c>
      <c r="K16" s="585">
        <v>26000000</v>
      </c>
      <c r="L16" s="513">
        <v>26000000</v>
      </c>
      <c r="M16" s="365">
        <v>7500000</v>
      </c>
      <c r="N16" s="586">
        <f>L16-M16</f>
        <v>18500000</v>
      </c>
    </row>
    <row r="17" spans="1:14" s="363" customFormat="1" ht="15" customHeight="1" x14ac:dyDescent="0.25">
      <c r="A17" s="582"/>
      <c r="B17" s="359" t="str">
        <f>'DEFINITIF (APBNP)'!B26</f>
        <v xml:space="preserve"> - Banda Aceh - Sinabang (425 Km)</v>
      </c>
      <c r="C17" s="359"/>
      <c r="D17" s="359"/>
      <c r="E17" s="359">
        <f>'DEFINITIF (APBNP)'!E26</f>
        <v>0</v>
      </c>
      <c r="F17" s="583">
        <f t="shared" si="0"/>
        <v>0</v>
      </c>
      <c r="G17" s="361"/>
      <c r="H17" s="362"/>
      <c r="J17" s="362"/>
      <c r="L17" s="364"/>
      <c r="M17" s="365"/>
      <c r="N17" s="362"/>
    </row>
    <row r="18" spans="1:14" s="363" customFormat="1" ht="15" customHeight="1" x14ac:dyDescent="0.25">
      <c r="A18" s="582"/>
      <c r="B18" s="359" t="str">
        <f>'DEFINITIF (APBNP)'!B27</f>
        <v xml:space="preserve"> - Meulaboh - Layung (25 Km)</v>
      </c>
      <c r="C18" s="359"/>
      <c r="D18" s="359"/>
      <c r="E18" s="359">
        <f>'DEFINITIF (APBNP)'!E27</f>
        <v>0</v>
      </c>
      <c r="F18" s="583">
        <f t="shared" si="0"/>
        <v>0</v>
      </c>
      <c r="G18" s="361"/>
      <c r="H18" s="362"/>
      <c r="J18" s="362"/>
      <c r="L18" s="364"/>
      <c r="M18" s="365"/>
      <c r="N18" s="362"/>
    </row>
    <row r="19" spans="1:14" s="363" customFormat="1" ht="15" customHeight="1" x14ac:dyDescent="0.25">
      <c r="A19" s="582"/>
      <c r="B19" s="359" t="str">
        <f>'DEFINITIF (APBNP)'!B28</f>
        <v>- Kota Kuala Simpang - Seruway</v>
      </c>
      <c r="C19" s="359"/>
      <c r="D19" s="359"/>
      <c r="E19" s="359">
        <f>'DEFINITIF (APBNP)'!E28</f>
        <v>0</v>
      </c>
      <c r="F19" s="583">
        <f t="shared" si="0"/>
        <v>0</v>
      </c>
      <c r="G19" s="361"/>
      <c r="H19" s="362"/>
      <c r="J19" s="362"/>
      <c r="L19" s="364"/>
      <c r="M19" s="365"/>
      <c r="N19" s="362"/>
    </row>
    <row r="20" spans="1:14" s="363" customFormat="1" ht="15" customHeight="1" x14ac:dyDescent="0.25">
      <c r="A20" s="582"/>
      <c r="B20" s="359">
        <f>'DEFINITIF (APBNP)'!B29</f>
        <v>0</v>
      </c>
      <c r="C20" s="359"/>
      <c r="D20" s="359"/>
      <c r="E20" s="359"/>
      <c r="F20" s="583">
        <f t="shared" si="0"/>
        <v>0</v>
      </c>
      <c r="G20" s="361"/>
      <c r="H20" s="362"/>
      <c r="J20" s="362"/>
      <c r="L20" s="364"/>
      <c r="M20" s="365"/>
      <c r="N20" s="362"/>
    </row>
    <row r="21" spans="1:14" s="363" customFormat="1" ht="15" customHeight="1" x14ac:dyDescent="0.25">
      <c r="A21" s="582"/>
      <c r="B21" s="359" t="str">
        <f>'DEFINITIF (APBNP)'!B30</f>
        <v>Belanja Uang Honor Tidak Tetap</v>
      </c>
      <c r="C21" s="359"/>
      <c r="D21" s="359"/>
      <c r="E21" s="359"/>
      <c r="F21" s="583">
        <f t="shared" si="0"/>
        <v>0</v>
      </c>
      <c r="G21" s="361"/>
      <c r="H21" s="362"/>
      <c r="J21" s="362"/>
      <c r="L21" s="364"/>
      <c r="M21" s="365"/>
      <c r="N21" s="362"/>
    </row>
    <row r="22" spans="1:14" s="363" customFormat="1" ht="15" customHeight="1" x14ac:dyDescent="0.25">
      <c r="A22" s="582"/>
      <c r="B22" s="359" t="str">
        <f>'DEFINITIF (APBNP)'!B31</f>
        <v>- Pengawasan Subsidi Operasi Bus Perintis</v>
      </c>
      <c r="C22" s="359">
        <f>'DEFINITIF (APBNP)'!C31</f>
        <v>1</v>
      </c>
      <c r="D22" s="359" t="str">
        <f>'DEFINITIF (APBNP)'!D31</f>
        <v>TH</v>
      </c>
      <c r="E22" s="359">
        <f>'DEFINITIF (APBNP)'!E31</f>
        <v>50000</v>
      </c>
      <c r="F22" s="583">
        <f t="shared" si="0"/>
        <v>50000</v>
      </c>
      <c r="G22" s="361"/>
      <c r="H22" s="362"/>
      <c r="J22" s="362"/>
      <c r="L22" s="364"/>
      <c r="M22" s="365"/>
      <c r="N22" s="362"/>
    </row>
    <row r="23" spans="1:14" s="363" customFormat="1" ht="15" customHeight="1" x14ac:dyDescent="0.25">
      <c r="A23" s="582"/>
      <c r="B23" s="359"/>
      <c r="C23" s="359"/>
      <c r="D23" s="359"/>
      <c r="E23" s="359"/>
      <c r="F23" s="583"/>
      <c r="G23" s="361"/>
      <c r="H23" s="362"/>
      <c r="J23" s="362"/>
      <c r="L23" s="364"/>
      <c r="M23" s="365"/>
      <c r="N23" s="362"/>
    </row>
    <row r="24" spans="1:14" s="355" customFormat="1" ht="15" customHeight="1" x14ac:dyDescent="0.25">
      <c r="A24" s="573">
        <v>2</v>
      </c>
      <c r="B24" s="587" t="s">
        <v>861</v>
      </c>
      <c r="C24" s="588">
        <v>4</v>
      </c>
      <c r="D24" s="589"/>
      <c r="E24" s="589"/>
      <c r="F24" s="588">
        <f>SUM(F25:F32)</f>
        <v>2533600</v>
      </c>
      <c r="G24" s="353"/>
      <c r="H24" s="354"/>
      <c r="J24" s="354"/>
      <c r="L24" s="356"/>
      <c r="M24" s="357"/>
      <c r="N24" s="354"/>
    </row>
    <row r="25" spans="1:14" s="363" customFormat="1" ht="15" customHeight="1" x14ac:dyDescent="0.25">
      <c r="A25" s="582"/>
      <c r="B25" s="359" t="str">
        <f>'DEFINITIF (APBNP)'!B73</f>
        <v>Belanja Barang Operasional Lainnya</v>
      </c>
      <c r="C25" s="359">
        <f>'DEFINITIF (APBNP)'!C73</f>
        <v>0</v>
      </c>
      <c r="D25" s="359">
        <f>'DEFINITIF (APBNP)'!D73</f>
        <v>0</v>
      </c>
      <c r="E25" s="359">
        <f>'DEFINITIF (APBNP)'!E73</f>
        <v>0</v>
      </c>
      <c r="F25" s="583">
        <f>C25*E25</f>
        <v>0</v>
      </c>
      <c r="G25" s="361"/>
      <c r="H25" s="362"/>
      <c r="J25" s="362"/>
      <c r="L25" s="364"/>
      <c r="M25" s="365"/>
      <c r="N25" s="362"/>
    </row>
    <row r="26" spans="1:14" s="363" customFormat="1" ht="15" customHeight="1" x14ac:dyDescent="0.25">
      <c r="A26" s="582"/>
      <c r="B26" s="359" t="str">
        <f>'DEFINITIF (APBNP)'!B74</f>
        <v>- Pematang Raya - Nagari Dolog</v>
      </c>
      <c r="C26" s="359">
        <v>1</v>
      </c>
      <c r="D26" s="359" t="s">
        <v>294</v>
      </c>
      <c r="E26" s="359">
        <f>'DEFINITIF (APBNP)'!E74</f>
        <v>2500000</v>
      </c>
      <c r="F26" s="583">
        <f>C26*E26</f>
        <v>2500000</v>
      </c>
      <c r="G26" s="361"/>
      <c r="H26" s="362"/>
      <c r="J26" s="362"/>
      <c r="L26" s="364"/>
      <c r="M26" s="365"/>
      <c r="N26" s="362"/>
    </row>
    <row r="27" spans="1:14" s="363" customFormat="1" ht="15" customHeight="1" x14ac:dyDescent="0.25">
      <c r="A27" s="582"/>
      <c r="B27" s="359" t="str">
        <f>'DEFINITIF (APBNP)'!B75</f>
        <v>- Pematang raya - Raya Rosi</v>
      </c>
      <c r="C27" s="359"/>
      <c r="D27" s="359"/>
      <c r="E27" s="359"/>
      <c r="F27" s="583"/>
      <c r="G27" s="361"/>
      <c r="H27" s="362"/>
      <c r="J27" s="362"/>
      <c r="L27" s="364"/>
      <c r="M27" s="365"/>
      <c r="N27" s="362"/>
    </row>
    <row r="28" spans="1:14" s="363" customFormat="1" ht="15" customHeight="1" x14ac:dyDescent="0.25">
      <c r="A28" s="582"/>
      <c r="B28" s="359" t="str">
        <f>'DEFINITIF (APBNP)'!B76</f>
        <v>- Pematang Raya - Buah Balon</v>
      </c>
      <c r="C28" s="359"/>
      <c r="D28" s="359"/>
      <c r="E28" s="359"/>
      <c r="F28" s="583"/>
      <c r="G28" s="361"/>
      <c r="H28" s="362"/>
      <c r="J28" s="362"/>
      <c r="L28" s="364"/>
      <c r="M28" s="365"/>
      <c r="N28" s="362"/>
    </row>
    <row r="29" spans="1:14" s="363" customFormat="1" ht="15" customHeight="1" x14ac:dyDescent="0.25">
      <c r="A29" s="582"/>
      <c r="B29" s="359" t="str">
        <f>'DEFINITIF (APBNP)'!B77</f>
        <v>- Simanindo - Penguguran - Onan Rungu - nainggolan -Tomok - Simanindo</v>
      </c>
      <c r="C29" s="359"/>
      <c r="D29" s="359"/>
      <c r="E29" s="359"/>
      <c r="F29" s="583"/>
      <c r="G29" s="361"/>
      <c r="H29" s="362"/>
      <c r="J29" s="362"/>
      <c r="L29" s="364"/>
      <c r="M29" s="365"/>
      <c r="N29" s="362"/>
    </row>
    <row r="30" spans="1:14" s="363" customFormat="1" ht="15" customHeight="1" thickBot="1" x14ac:dyDescent="0.3">
      <c r="A30" s="1914"/>
      <c r="B30" s="1915"/>
      <c r="C30" s="1915"/>
      <c r="D30" s="1915"/>
      <c r="E30" s="1915"/>
      <c r="F30" s="1916"/>
      <c r="G30" s="361"/>
      <c r="H30" s="362"/>
      <c r="J30" s="362"/>
      <c r="L30" s="364"/>
      <c r="M30" s="365"/>
      <c r="N30" s="362"/>
    </row>
    <row r="31" spans="1:14" s="363" customFormat="1" ht="15" customHeight="1" x14ac:dyDescent="0.25">
      <c r="A31" s="1939"/>
      <c r="B31" s="1940" t="str">
        <f>'DEFINITIF (APBNP)'!B79</f>
        <v>Belanja Uang Honor Tidak Tetap</v>
      </c>
      <c r="C31" s="1940"/>
      <c r="D31" s="1940"/>
      <c r="E31" s="1940"/>
      <c r="F31" s="1941"/>
      <c r="G31" s="361"/>
      <c r="H31" s="362"/>
      <c r="J31" s="362"/>
      <c r="L31" s="364"/>
      <c r="M31" s="365"/>
      <c r="N31" s="362"/>
    </row>
    <row r="32" spans="1:14" s="363" customFormat="1" ht="15" customHeight="1" thickBot="1" x14ac:dyDescent="0.3">
      <c r="A32" s="1942"/>
      <c r="B32" s="599" t="str">
        <f>'DEFINITIF (APBNP)'!B80</f>
        <v>- Pengawasan Subsidi Operasi Bus Perintis</v>
      </c>
      <c r="C32" s="599">
        <f>'DEFINITIF (APBNP)'!C80</f>
        <v>1</v>
      </c>
      <c r="D32" s="599" t="str">
        <f>'DEFINITIF (APBNP)'!D80</f>
        <v>TH</v>
      </c>
      <c r="E32" s="599">
        <f>'DEFINITIF (APBNP)'!E80</f>
        <v>33600</v>
      </c>
      <c r="F32" s="564">
        <f>C32*E32</f>
        <v>33600</v>
      </c>
      <c r="G32" s="361"/>
      <c r="H32" s="362"/>
      <c r="J32" s="362"/>
      <c r="L32" s="364"/>
      <c r="M32" s="365"/>
      <c r="N32" s="362"/>
    </row>
    <row r="33" spans="1:14" s="363" customFormat="1" ht="15" customHeight="1" x14ac:dyDescent="0.25">
      <c r="A33" s="1885"/>
      <c r="B33" s="1886"/>
      <c r="C33" s="1886"/>
      <c r="D33" s="1886"/>
      <c r="E33" s="1886"/>
      <c r="F33" s="1887"/>
      <c r="G33" s="361"/>
      <c r="H33" s="362"/>
      <c r="J33" s="362"/>
      <c r="L33" s="364"/>
      <c r="M33" s="365"/>
      <c r="N33" s="362"/>
    </row>
    <row r="34" spans="1:14" s="355" customFormat="1" ht="15" customHeight="1" x14ac:dyDescent="0.25">
      <c r="A34" s="573">
        <v>3</v>
      </c>
      <c r="B34" s="587" t="s">
        <v>862</v>
      </c>
      <c r="C34" s="587">
        <v>3</v>
      </c>
      <c r="D34" s="589"/>
      <c r="E34" s="589"/>
      <c r="F34" s="588">
        <f>SUM(F35:F43)</f>
        <v>2612150</v>
      </c>
      <c r="G34" s="353"/>
      <c r="H34" s="354"/>
      <c r="J34" s="354"/>
      <c r="L34" s="356"/>
      <c r="M34" s="357"/>
      <c r="N34" s="354"/>
    </row>
    <row r="35" spans="1:14" s="363" customFormat="1" ht="15" customHeight="1" x14ac:dyDescent="0.25">
      <c r="A35" s="582"/>
      <c r="B35" s="359" t="str">
        <f>'DEFINITIF (APBNP)'!B127</f>
        <v>Belanja Barang Operasional Lainnya</v>
      </c>
      <c r="C35" s="359"/>
      <c r="D35" s="359"/>
      <c r="E35" s="359"/>
      <c r="F35" s="583"/>
      <c r="G35" s="361"/>
      <c r="H35" s="362"/>
      <c r="J35" s="362"/>
      <c r="L35" s="364"/>
      <c r="M35" s="365"/>
      <c r="N35" s="362"/>
    </row>
    <row r="36" spans="1:14" s="363" customFormat="1" ht="15" customHeight="1" x14ac:dyDescent="0.25">
      <c r="A36" s="582"/>
      <c r="B36" s="359" t="str">
        <f>'DEFINITIF (APBNP)'!B128</f>
        <v xml:space="preserve">Subsidi Operasi Bus Perintis </v>
      </c>
      <c r="C36" s="359">
        <f>'DEFINITIF (APBNP)'!C128</f>
        <v>1</v>
      </c>
      <c r="D36" s="359" t="str">
        <f>'DEFINITIF (APBNP)'!D128</f>
        <v>TH</v>
      </c>
      <c r="E36" s="359">
        <f>'DEFINITIF (APBNP)'!E128</f>
        <v>2572150</v>
      </c>
      <c r="F36" s="583">
        <f>C36*E36</f>
        <v>2572150</v>
      </c>
      <c r="G36" s="361"/>
      <c r="H36" s="362"/>
      <c r="J36" s="362"/>
      <c r="L36" s="364"/>
      <c r="M36" s="365"/>
      <c r="N36" s="362"/>
    </row>
    <row r="37" spans="1:14" s="363" customFormat="1" ht="15" customHeight="1" x14ac:dyDescent="0.25">
      <c r="A37" s="582"/>
      <c r="B37" s="359" t="str">
        <f>'DEFINITIF (APBNP)'!B129</f>
        <v>- Letter W - Padang Aro (35 Km)</v>
      </c>
      <c r="C37" s="359"/>
      <c r="D37" s="359"/>
      <c r="E37" s="359"/>
      <c r="F37" s="583"/>
      <c r="G37" s="361"/>
      <c r="H37" s="362"/>
      <c r="J37" s="362"/>
      <c r="L37" s="364"/>
      <c r="M37" s="365"/>
      <c r="N37" s="362"/>
    </row>
    <row r="38" spans="1:14" s="363" customFormat="1" ht="15" customHeight="1" x14ac:dyDescent="0.25">
      <c r="A38" s="582"/>
      <c r="B38" s="359" t="str">
        <f>'DEFINITIF (APBNP)'!B130</f>
        <v xml:space="preserve">- Padang Aro - Sungai Kunyit - Sungai Rumbai (102 Km) </v>
      </c>
      <c r="C38" s="359"/>
      <c r="D38" s="359"/>
      <c r="E38" s="359"/>
      <c r="F38" s="583"/>
      <c r="G38" s="361"/>
      <c r="H38" s="362"/>
      <c r="J38" s="362"/>
      <c r="L38" s="364"/>
      <c r="M38" s="365"/>
      <c r="N38" s="362"/>
    </row>
    <row r="39" spans="1:14" s="363" customFormat="1" ht="15" customHeight="1" x14ac:dyDescent="0.25">
      <c r="A39" s="582"/>
      <c r="B39" s="359" t="str">
        <f>'DEFINITIF (APBNP)'!B131</f>
        <v>- Padang Aro - Abai (39 Km)</v>
      </c>
      <c r="C39" s="359"/>
      <c r="D39" s="359"/>
      <c r="E39" s="359"/>
      <c r="F39" s="583"/>
      <c r="G39" s="361"/>
      <c r="H39" s="362"/>
      <c r="J39" s="362"/>
      <c r="L39" s="364"/>
      <c r="M39" s="365"/>
      <c r="N39" s="362"/>
    </row>
    <row r="40" spans="1:14" s="363" customFormat="1" ht="15" customHeight="1" x14ac:dyDescent="0.25">
      <c r="A40" s="582"/>
      <c r="B40" s="359"/>
      <c r="C40" s="359"/>
      <c r="D40" s="359"/>
      <c r="E40" s="359"/>
      <c r="F40" s="583"/>
      <c r="G40" s="361"/>
      <c r="H40" s="362"/>
      <c r="J40" s="362"/>
      <c r="L40" s="364"/>
      <c r="M40" s="365"/>
      <c r="N40" s="362"/>
    </row>
    <row r="41" spans="1:14" s="363" customFormat="1" ht="15" customHeight="1" x14ac:dyDescent="0.25">
      <c r="A41" s="582"/>
      <c r="B41" s="359" t="str">
        <f>'DEFINITIF (APBNP)'!B133</f>
        <v>Belanja Uang Honor Tidak Tetap</v>
      </c>
      <c r="C41" s="359"/>
      <c r="D41" s="359"/>
      <c r="E41" s="359"/>
      <c r="F41" s="583"/>
      <c r="G41" s="361"/>
      <c r="H41" s="362"/>
      <c r="J41" s="362"/>
      <c r="L41" s="364"/>
      <c r="M41" s="365"/>
      <c r="N41" s="362"/>
    </row>
    <row r="42" spans="1:14" s="363" customFormat="1" ht="15" customHeight="1" x14ac:dyDescent="0.25">
      <c r="A42" s="582"/>
      <c r="B42" s="359" t="str">
        <f>'DEFINITIF (APBNP)'!B134</f>
        <v>- Pengawasan Subsidi Operasi Bus Perintis</v>
      </c>
      <c r="C42" s="359">
        <f>'DEFINITIF (APBNP)'!C134</f>
        <v>1</v>
      </c>
      <c r="D42" s="359" t="str">
        <f>'DEFINITIF (APBNP)'!D134</f>
        <v>TH</v>
      </c>
      <c r="E42" s="359">
        <f>'DEFINITIF (APBNP)'!E134</f>
        <v>40000</v>
      </c>
      <c r="F42" s="583">
        <f>C42*E42</f>
        <v>40000</v>
      </c>
      <c r="G42" s="361"/>
      <c r="H42" s="362"/>
      <c r="J42" s="362"/>
      <c r="L42" s="364"/>
      <c r="M42" s="365"/>
      <c r="N42" s="362"/>
    </row>
    <row r="43" spans="1:14" s="363" customFormat="1" ht="15" customHeight="1" x14ac:dyDescent="0.25">
      <c r="A43" s="582"/>
      <c r="B43" s="359"/>
      <c r="C43" s="359"/>
      <c r="D43" s="359"/>
      <c r="E43" s="359"/>
      <c r="F43" s="583"/>
      <c r="G43" s="361"/>
      <c r="H43" s="362"/>
      <c r="J43" s="362"/>
      <c r="L43" s="364"/>
      <c r="M43" s="365"/>
      <c r="N43" s="362"/>
    </row>
    <row r="44" spans="1:14" s="355" customFormat="1" ht="15" customHeight="1" x14ac:dyDescent="0.25">
      <c r="A44" s="573">
        <v>4</v>
      </c>
      <c r="B44" s="587" t="s">
        <v>863</v>
      </c>
      <c r="C44" s="587">
        <v>1</v>
      </c>
      <c r="D44" s="589"/>
      <c r="E44" s="589"/>
      <c r="F44" s="588">
        <f>SUM(F45:F50)</f>
        <v>1050000</v>
      </c>
      <c r="G44" s="353"/>
      <c r="H44" s="354"/>
      <c r="J44" s="354"/>
      <c r="L44" s="356"/>
      <c r="M44" s="357"/>
      <c r="N44" s="354"/>
    </row>
    <row r="45" spans="1:14" s="363" customFormat="1" ht="15" customHeight="1" x14ac:dyDescent="0.25">
      <c r="A45" s="582"/>
      <c r="B45" s="359" t="str">
        <f>'DEFINITIF (APBNP)'!B240</f>
        <v>Subsidi Operasional Bus Perintis (Trayek Lama)</v>
      </c>
      <c r="C45" s="359"/>
      <c r="D45" s="359"/>
      <c r="E45" s="359"/>
      <c r="F45" s="583"/>
      <c r="G45" s="361"/>
      <c r="H45" s="362"/>
      <c r="J45" s="362"/>
      <c r="L45" s="364"/>
      <c r="M45" s="365"/>
      <c r="N45" s="362"/>
    </row>
    <row r="46" spans="1:14" s="363" customFormat="1" ht="15" customHeight="1" x14ac:dyDescent="0.25">
      <c r="A46" s="582"/>
      <c r="B46" s="359" t="str">
        <f>'DEFINITIF (APBNP)'!B241</f>
        <v>Sei Jodoh (Batam) - Telaga Punggur - Tanjung Uban -Trikora - Tanjung Pinang</v>
      </c>
      <c r="C46" s="359">
        <f>'DEFINITIF (APBNP)'!C241</f>
        <v>1</v>
      </c>
      <c r="D46" s="359" t="str">
        <f>'DEFINITIF (APBNP)'!D241</f>
        <v>TH</v>
      </c>
      <c r="E46" s="359">
        <f>'DEFINITIF (APBNP)'!E241</f>
        <v>1000000</v>
      </c>
      <c r="F46" s="583">
        <f>C46*E46</f>
        <v>1000000</v>
      </c>
      <c r="G46" s="361"/>
      <c r="H46" s="362"/>
      <c r="J46" s="362"/>
      <c r="L46" s="364"/>
      <c r="M46" s="365"/>
      <c r="N46" s="362"/>
    </row>
    <row r="47" spans="1:14" s="363" customFormat="1" ht="15" customHeight="1" x14ac:dyDescent="0.25">
      <c r="A47" s="582"/>
      <c r="B47" s="359"/>
      <c r="C47" s="359"/>
      <c r="D47" s="359"/>
      <c r="E47" s="359"/>
      <c r="F47" s="583"/>
      <c r="G47" s="361"/>
      <c r="H47" s="362"/>
      <c r="J47" s="362"/>
      <c r="L47" s="364"/>
      <c r="M47" s="365"/>
      <c r="N47" s="362"/>
    </row>
    <row r="48" spans="1:14" s="363" customFormat="1" ht="15" customHeight="1" x14ac:dyDescent="0.25">
      <c r="A48" s="582"/>
      <c r="B48" s="359" t="str">
        <f>'DEFINITIF (APBNP)'!B243</f>
        <v>Belanja Honor Tidak Tetap</v>
      </c>
      <c r="C48" s="359"/>
      <c r="D48" s="359"/>
      <c r="E48" s="359"/>
      <c r="F48" s="583"/>
      <c r="G48" s="361"/>
      <c r="H48" s="362"/>
      <c r="J48" s="362"/>
      <c r="L48" s="364"/>
      <c r="M48" s="365"/>
      <c r="N48" s="362"/>
    </row>
    <row r="49" spans="1:14" s="363" customFormat="1" ht="15" customHeight="1" x14ac:dyDescent="0.25">
      <c r="A49" s="582"/>
      <c r="B49" s="359" t="str">
        <f>'DEFINITIF (APBNP)'!B244</f>
        <v>- Pengawasan Subsidi Bus Perintis</v>
      </c>
      <c r="C49" s="359">
        <f>'DEFINITIF (APBNP)'!C244</f>
        <v>1</v>
      </c>
      <c r="D49" s="359" t="str">
        <f>'DEFINITIF (APBNP)'!D244</f>
        <v>TH</v>
      </c>
      <c r="E49" s="359">
        <f>'DEFINITIF (APBNP)'!E244</f>
        <v>50000</v>
      </c>
      <c r="F49" s="583">
        <f>C49*E49</f>
        <v>50000</v>
      </c>
      <c r="G49" s="361"/>
      <c r="H49" s="362"/>
      <c r="J49" s="362"/>
      <c r="L49" s="364"/>
      <c r="M49" s="365"/>
      <c r="N49" s="362"/>
    </row>
    <row r="50" spans="1:14" s="363" customFormat="1" ht="15" customHeight="1" x14ac:dyDescent="0.25">
      <c r="A50" s="582"/>
      <c r="B50" s="359"/>
      <c r="C50" s="359"/>
      <c r="D50" s="359"/>
      <c r="E50" s="359"/>
      <c r="F50" s="583"/>
      <c r="G50" s="361"/>
      <c r="H50" s="362"/>
      <c r="J50" s="362"/>
      <c r="L50" s="364"/>
      <c r="M50" s="365"/>
      <c r="N50" s="362"/>
    </row>
    <row r="51" spans="1:14" s="355" customFormat="1" ht="15" customHeight="1" thickBot="1" x14ac:dyDescent="0.3">
      <c r="A51" s="1926">
        <v>5</v>
      </c>
      <c r="B51" s="1927" t="s">
        <v>769</v>
      </c>
      <c r="C51" s="1927">
        <v>8</v>
      </c>
      <c r="D51" s="1928"/>
      <c r="E51" s="1928"/>
      <c r="F51" s="1929">
        <f>SUM(F52:F65)</f>
        <v>2200700</v>
      </c>
      <c r="G51" s="353"/>
      <c r="H51" s="354"/>
      <c r="J51" s="354"/>
      <c r="L51" s="356"/>
      <c r="M51" s="357"/>
      <c r="N51" s="354"/>
    </row>
    <row r="52" spans="1:14" s="363" customFormat="1" ht="15" customHeight="1" x14ac:dyDescent="0.25">
      <c r="A52" s="1895"/>
      <c r="B52" s="1896" t="str">
        <f>'DEFINITIF (APBNP)'!B294</f>
        <v>Belanja Barang Operasional Lainnya</v>
      </c>
      <c r="C52" s="1896"/>
      <c r="D52" s="1896"/>
      <c r="E52" s="1896"/>
      <c r="F52" s="1897"/>
      <c r="G52" s="361"/>
      <c r="H52" s="362"/>
      <c r="J52" s="362"/>
      <c r="L52" s="364"/>
      <c r="M52" s="365"/>
      <c r="N52" s="362"/>
    </row>
    <row r="53" spans="1:14" s="363" customFormat="1" ht="15" customHeight="1" x14ac:dyDescent="0.25">
      <c r="A53" s="399"/>
      <c r="B53" s="395" t="str">
        <f>'DEFINITIF (APBNP)'!B295</f>
        <v xml:space="preserve">Subsidi Operasi Bus Perintis </v>
      </c>
      <c r="C53" s="395">
        <f>'DEFINITIF (APBNP)'!C295</f>
        <v>1</v>
      </c>
      <c r="D53" s="395" t="str">
        <f>'DEFINITIF (APBNP)'!D295</f>
        <v>TH</v>
      </c>
      <c r="E53" s="395">
        <f>'DEFINITIF (APBNP)'!E295</f>
        <v>2135900</v>
      </c>
      <c r="F53" s="402">
        <f>C53*E53</f>
        <v>2135900</v>
      </c>
      <c r="G53" s="361"/>
      <c r="H53" s="362"/>
      <c r="J53" s="362"/>
      <c r="L53" s="364"/>
      <c r="M53" s="365"/>
      <c r="N53" s="362"/>
    </row>
    <row r="54" spans="1:14" s="363" customFormat="1" ht="15" customHeight="1" x14ac:dyDescent="0.25">
      <c r="A54" s="1885"/>
      <c r="B54" s="1886" t="str">
        <f>'DEFINITIF (APBNP)'!B296</f>
        <v>Terminal Alam Barajo - Sungai Bahar - PT. Asiatik</v>
      </c>
      <c r="C54" s="1886"/>
      <c r="D54" s="1886"/>
      <c r="E54" s="1886"/>
      <c r="F54" s="1887"/>
      <c r="G54" s="361"/>
      <c r="H54" s="362"/>
      <c r="J54" s="362"/>
      <c r="L54" s="364"/>
      <c r="M54" s="365"/>
      <c r="N54" s="362"/>
    </row>
    <row r="55" spans="1:14" s="363" customFormat="1" ht="15" customHeight="1" x14ac:dyDescent="0.25">
      <c r="A55" s="582"/>
      <c r="B55" s="359" t="str">
        <f>'DEFINITIF (APBNP)'!B297</f>
        <v>Bangko - Pamenang - Jelatan - TTKDA</v>
      </c>
      <c r="C55" s="359"/>
      <c r="D55" s="359"/>
      <c r="E55" s="359"/>
      <c r="F55" s="583"/>
      <c r="G55" s="361"/>
      <c r="H55" s="362"/>
      <c r="J55" s="362"/>
      <c r="L55" s="364"/>
      <c r="M55" s="365"/>
      <c r="N55" s="362"/>
    </row>
    <row r="56" spans="1:14" s="363" customFormat="1" ht="15" customHeight="1" x14ac:dyDescent="0.25">
      <c r="A56" s="582"/>
      <c r="B56" s="359" t="str">
        <f>'DEFINITIF (APBNP)'!B298</f>
        <v>Jambi - Petaling</v>
      </c>
      <c r="C56" s="359"/>
      <c r="D56" s="359"/>
      <c r="E56" s="359"/>
      <c r="F56" s="583"/>
      <c r="G56" s="361"/>
      <c r="H56" s="362"/>
      <c r="J56" s="362"/>
      <c r="L56" s="364"/>
      <c r="M56" s="365"/>
      <c r="N56" s="362"/>
    </row>
    <row r="57" spans="1:14" s="363" customFormat="1" ht="15" customHeight="1" x14ac:dyDescent="0.25">
      <c r="A57" s="582"/>
      <c r="B57" s="359" t="str">
        <f>'DEFINITIF (APBNP)'!B299</f>
        <v>Bangko - Tanah Garau</v>
      </c>
      <c r="C57" s="359"/>
      <c r="D57" s="359"/>
      <c r="E57" s="359"/>
      <c r="F57" s="583"/>
      <c r="G57" s="361"/>
      <c r="H57" s="362"/>
      <c r="J57" s="362"/>
      <c r="L57" s="364"/>
      <c r="M57" s="365"/>
      <c r="N57" s="362"/>
    </row>
    <row r="58" spans="1:14" s="363" customFormat="1" ht="15" customHeight="1" x14ac:dyDescent="0.25">
      <c r="A58" s="582"/>
      <c r="B58" s="359" t="str">
        <f>'DEFINITIF (APBNP)'!B300</f>
        <v>Bangko - Air Jernih</v>
      </c>
      <c r="C58" s="359"/>
      <c r="D58" s="359"/>
      <c r="E58" s="359"/>
      <c r="F58" s="583"/>
      <c r="G58" s="361"/>
      <c r="H58" s="362"/>
      <c r="J58" s="362"/>
      <c r="L58" s="364"/>
      <c r="M58" s="365"/>
      <c r="N58" s="362"/>
    </row>
    <row r="59" spans="1:14" s="363" customFormat="1" ht="15" customHeight="1" x14ac:dyDescent="0.25">
      <c r="A59" s="582"/>
      <c r="B59" s="359" t="str">
        <f>'DEFINITIF (APBNP)'!B301</f>
        <v>Sarolangun - Bukit Tuban</v>
      </c>
      <c r="C59" s="359"/>
      <c r="D59" s="359"/>
      <c r="E59" s="359"/>
      <c r="F59" s="583"/>
      <c r="G59" s="361"/>
      <c r="H59" s="362"/>
      <c r="J59" s="362"/>
      <c r="L59" s="364"/>
      <c r="M59" s="365"/>
      <c r="N59" s="362"/>
    </row>
    <row r="60" spans="1:14" s="363" customFormat="1" ht="15" customHeight="1" x14ac:dyDescent="0.25">
      <c r="A60" s="582"/>
      <c r="B60" s="359" t="str">
        <f>'DEFINITIF (APBNP)'!B302</f>
        <v>Sarolangun - Sepintun</v>
      </c>
      <c r="C60" s="359"/>
      <c r="D60" s="359"/>
      <c r="E60" s="359"/>
      <c r="F60" s="583"/>
      <c r="G60" s="361"/>
      <c r="H60" s="362"/>
      <c r="J60" s="362"/>
      <c r="L60" s="364"/>
      <c r="M60" s="365"/>
      <c r="N60" s="362"/>
    </row>
    <row r="61" spans="1:14" s="363" customFormat="1" ht="15" customHeight="1" x14ac:dyDescent="0.25">
      <c r="A61" s="582"/>
      <c r="B61" s="359" t="str">
        <f>'DEFINITIF (APBNP)'!B303</f>
        <v>Sarolangun - Petiduran Baru</v>
      </c>
      <c r="C61" s="359"/>
      <c r="D61" s="359"/>
      <c r="E61" s="359"/>
      <c r="F61" s="583"/>
      <c r="G61" s="361"/>
      <c r="H61" s="362"/>
      <c r="J61" s="362"/>
      <c r="L61" s="364"/>
      <c r="M61" s="365"/>
      <c r="N61" s="362"/>
    </row>
    <row r="62" spans="1:14" s="363" customFormat="1" ht="15" customHeight="1" x14ac:dyDescent="0.25">
      <c r="A62" s="582"/>
      <c r="B62" s="359"/>
      <c r="C62" s="359"/>
      <c r="D62" s="359"/>
      <c r="E62" s="359"/>
      <c r="F62" s="583"/>
      <c r="G62" s="361"/>
      <c r="H62" s="362"/>
      <c r="J62" s="362"/>
      <c r="L62" s="364"/>
      <c r="M62" s="365"/>
      <c r="N62" s="362"/>
    </row>
    <row r="63" spans="1:14" s="363" customFormat="1" ht="15" customHeight="1" x14ac:dyDescent="0.25">
      <c r="A63" s="582"/>
      <c r="B63" s="359" t="str">
        <f>'DEFINITIF (APBNP)'!B305</f>
        <v>Belanja Uang Honor Tidak Tetap</v>
      </c>
      <c r="C63" s="359"/>
      <c r="D63" s="359"/>
      <c r="E63" s="359"/>
      <c r="F63" s="583"/>
      <c r="G63" s="361"/>
      <c r="H63" s="362"/>
      <c r="J63" s="362"/>
      <c r="L63" s="364"/>
      <c r="M63" s="365"/>
      <c r="N63" s="362"/>
    </row>
    <row r="64" spans="1:14" s="363" customFormat="1" ht="15" customHeight="1" x14ac:dyDescent="0.25">
      <c r="A64" s="582"/>
      <c r="B64" s="359" t="str">
        <f>'DEFINITIF (APBNP)'!B306</f>
        <v>- Pengawasan Subsidi Operasi Bus Perintis</v>
      </c>
      <c r="C64" s="359">
        <f>'DEFINITIF (APBNP)'!C306</f>
        <v>1</v>
      </c>
      <c r="D64" s="359" t="str">
        <f>'DEFINITIF (APBNP)'!D306</f>
        <v>TH</v>
      </c>
      <c r="E64" s="359">
        <f>'DEFINITIF (APBNP)'!E306</f>
        <v>64800</v>
      </c>
      <c r="F64" s="583">
        <f>C64*E64</f>
        <v>64800</v>
      </c>
      <c r="G64" s="361"/>
      <c r="H64" s="362"/>
      <c r="J64" s="362"/>
      <c r="L64" s="364"/>
      <c r="M64" s="365"/>
      <c r="N64" s="362"/>
    </row>
    <row r="65" spans="1:14" s="363" customFormat="1" ht="15" customHeight="1" x14ac:dyDescent="0.25">
      <c r="A65" s="582"/>
      <c r="B65" s="359"/>
      <c r="C65" s="359"/>
      <c r="D65" s="359"/>
      <c r="E65" s="359"/>
      <c r="F65" s="583"/>
      <c r="G65" s="361"/>
      <c r="H65" s="362"/>
      <c r="J65" s="362"/>
      <c r="L65" s="364"/>
      <c r="M65" s="365"/>
      <c r="N65" s="362"/>
    </row>
    <row r="66" spans="1:14" s="355" customFormat="1" ht="15" customHeight="1" x14ac:dyDescent="0.25">
      <c r="A66" s="573">
        <v>6</v>
      </c>
      <c r="B66" s="587" t="s">
        <v>771</v>
      </c>
      <c r="C66" s="587">
        <v>2</v>
      </c>
      <c r="D66" s="589"/>
      <c r="E66" s="589"/>
      <c r="F66" s="588">
        <f>SUM(F67:F75)</f>
        <v>1533227</v>
      </c>
      <c r="G66" s="353"/>
      <c r="H66" s="354"/>
      <c r="J66" s="354"/>
      <c r="L66" s="356"/>
      <c r="M66" s="357"/>
      <c r="N66" s="354"/>
    </row>
    <row r="67" spans="1:14" s="363" customFormat="1" ht="15" customHeight="1" x14ac:dyDescent="0.25">
      <c r="A67" s="582"/>
      <c r="B67" s="359" t="str">
        <f>'DEFINITIF (APBNP)'!B408</f>
        <v>Belanja Barang Operasional Lainnya</v>
      </c>
      <c r="C67" s="359"/>
      <c r="D67" s="359"/>
      <c r="E67" s="359"/>
      <c r="F67" s="583"/>
      <c r="G67" s="361"/>
      <c r="H67" s="362"/>
      <c r="J67" s="362"/>
      <c r="L67" s="364"/>
      <c r="M67" s="365"/>
      <c r="N67" s="362"/>
    </row>
    <row r="68" spans="1:14" s="363" customFormat="1" ht="15" customHeight="1" x14ac:dyDescent="0.25">
      <c r="A68" s="582"/>
      <c r="B68" s="359" t="str">
        <f>'DEFINITIF (APBNP)'!B409</f>
        <v xml:space="preserve">Subsidi Operasi Bus Perintis </v>
      </c>
      <c r="C68" s="359"/>
      <c r="D68" s="359"/>
      <c r="E68" s="359"/>
      <c r="F68" s="583"/>
      <c r="G68" s="361"/>
      <c r="H68" s="362"/>
      <c r="J68" s="362"/>
      <c r="L68" s="364"/>
      <c r="M68" s="365"/>
      <c r="N68" s="362"/>
    </row>
    <row r="69" spans="1:14" s="363" customFormat="1" ht="15" customHeight="1" x14ac:dyDescent="0.25">
      <c r="A69" s="582"/>
      <c r="B69" s="359" t="str">
        <f>'DEFINITIF (APBNP)'!B410</f>
        <v>- Plaju - Muara Sugihan (Trayek 2014)</v>
      </c>
      <c r="C69" s="359">
        <f>'DEFINITIF (APBNP)'!C410</f>
        <v>1</v>
      </c>
      <c r="D69" s="359" t="str">
        <f>'DEFINITIF (APBNP)'!D410</f>
        <v>TH</v>
      </c>
      <c r="E69" s="359">
        <f>'DEFINITIF (APBNP)'!E410</f>
        <v>1463227</v>
      </c>
      <c r="F69" s="583">
        <f t="shared" ref="F69:F75" si="1">C69*E69</f>
        <v>1463227</v>
      </c>
      <c r="G69" s="361"/>
      <c r="H69" s="362"/>
      <c r="J69" s="362"/>
      <c r="L69" s="364"/>
      <c r="M69" s="365"/>
      <c r="N69" s="362"/>
    </row>
    <row r="70" spans="1:14" s="363" customFormat="1" ht="15" customHeight="1" x14ac:dyDescent="0.25">
      <c r="A70" s="582"/>
      <c r="B70" s="359" t="str">
        <f>'DEFINITIF (APBNP)'!B411</f>
        <v>- Terminal Lubuk Lancang - Pulau Rimau - Selat Kuningan (Trayek 2014)</v>
      </c>
      <c r="C70" s="359">
        <f>'DEFINITIF (APBNP)'!C411</f>
        <v>1</v>
      </c>
      <c r="D70" s="359" t="str">
        <f>'DEFINITIF (APBNP)'!D411</f>
        <v>TH</v>
      </c>
      <c r="E70" s="359">
        <f>'DEFINITIF (APBNP)'!E411</f>
        <v>0</v>
      </c>
      <c r="F70" s="583">
        <f t="shared" si="1"/>
        <v>0</v>
      </c>
      <c r="G70" s="361"/>
      <c r="H70" s="362"/>
      <c r="J70" s="362"/>
      <c r="L70" s="364"/>
      <c r="M70" s="365"/>
      <c r="N70" s="362"/>
    </row>
    <row r="71" spans="1:14" s="363" customFormat="1" ht="15" customHeight="1" x14ac:dyDescent="0.25">
      <c r="A71" s="582"/>
      <c r="B71" s="359">
        <f>'DEFINITIF (APBNP)'!B412</f>
        <v>0</v>
      </c>
      <c r="C71" s="359">
        <f>'DEFINITIF (APBNP)'!C412</f>
        <v>0</v>
      </c>
      <c r="D71" s="359">
        <f>'DEFINITIF (APBNP)'!D412</f>
        <v>0</v>
      </c>
      <c r="E71" s="359">
        <f>'DEFINITIF (APBNP)'!E412</f>
        <v>0</v>
      </c>
      <c r="F71" s="583">
        <f t="shared" si="1"/>
        <v>0</v>
      </c>
      <c r="G71" s="361"/>
      <c r="H71" s="362"/>
      <c r="J71" s="362"/>
      <c r="L71" s="364"/>
      <c r="M71" s="365"/>
      <c r="N71" s="362"/>
    </row>
    <row r="72" spans="1:14" s="363" customFormat="1" ht="15" customHeight="1" x14ac:dyDescent="0.25">
      <c r="A72" s="582"/>
      <c r="B72" s="359" t="str">
        <f>'DEFINITIF (APBNP)'!B413</f>
        <v>Belanja Uang Honor Tidak Tetap</v>
      </c>
      <c r="C72" s="359">
        <f>'DEFINITIF (APBNP)'!C413</f>
        <v>0</v>
      </c>
      <c r="D72" s="359">
        <f>'DEFINITIF (APBNP)'!D413</f>
        <v>0</v>
      </c>
      <c r="E72" s="359">
        <f>'DEFINITIF (APBNP)'!E413</f>
        <v>0</v>
      </c>
      <c r="F72" s="583">
        <f t="shared" si="1"/>
        <v>0</v>
      </c>
      <c r="G72" s="361"/>
      <c r="H72" s="362"/>
      <c r="J72" s="362"/>
      <c r="L72" s="364"/>
      <c r="M72" s="365"/>
      <c r="N72" s="362"/>
    </row>
    <row r="73" spans="1:14" s="363" customFormat="1" ht="15" customHeight="1" x14ac:dyDescent="0.25">
      <c r="A73" s="582"/>
      <c r="B73" s="359" t="str">
        <f>'DEFINITIF (APBNP)'!B414</f>
        <v>- Pengawasan Subsidi Operasi Bus Perintis</v>
      </c>
      <c r="C73" s="359">
        <f>'DEFINITIF (APBNP)'!C414</f>
        <v>1</v>
      </c>
      <c r="D73" s="359" t="str">
        <f>'DEFINITIF (APBNP)'!D414</f>
        <v>TH</v>
      </c>
      <c r="E73" s="359">
        <f>'DEFINITIF (APBNP)'!E414</f>
        <v>70000</v>
      </c>
      <c r="F73" s="583">
        <f t="shared" si="1"/>
        <v>70000</v>
      </c>
      <c r="G73" s="361"/>
      <c r="H73" s="362"/>
      <c r="J73" s="362"/>
      <c r="L73" s="364"/>
      <c r="M73" s="365"/>
      <c r="N73" s="362"/>
    </row>
    <row r="74" spans="1:14" s="363" customFormat="1" ht="15" customHeight="1" x14ac:dyDescent="0.25">
      <c r="A74" s="582"/>
      <c r="B74" s="359">
        <f>'DEFINITIF (APBNP)'!B415</f>
        <v>0</v>
      </c>
      <c r="C74" s="359">
        <f>'DEFINITIF (APBNP)'!C415</f>
        <v>0</v>
      </c>
      <c r="D74" s="359">
        <f>'DEFINITIF (APBNP)'!D415</f>
        <v>0</v>
      </c>
      <c r="E74" s="359">
        <f>'DEFINITIF (APBNP)'!E415</f>
        <v>0</v>
      </c>
      <c r="F74" s="583">
        <f t="shared" si="1"/>
        <v>0</v>
      </c>
      <c r="G74" s="361"/>
      <c r="H74" s="362"/>
      <c r="J74" s="362"/>
      <c r="L74" s="364"/>
      <c r="M74" s="365"/>
      <c r="N74" s="362"/>
    </row>
    <row r="75" spans="1:14" s="363" customFormat="1" ht="15" customHeight="1" x14ac:dyDescent="0.25">
      <c r="A75" s="590"/>
      <c r="B75" s="359">
        <f>'DEFINITIF (APBNP)'!B415</f>
        <v>0</v>
      </c>
      <c r="C75" s="359">
        <f>'DEFINITIF (APBNP)'!C356</f>
        <v>0</v>
      </c>
      <c r="D75" s="359">
        <f>'DEFINITIF (APBNP)'!D356</f>
        <v>0</v>
      </c>
      <c r="E75" s="359">
        <f>'DEFINITIF (APBNP)'!E356</f>
        <v>0</v>
      </c>
      <c r="F75" s="583">
        <f t="shared" si="1"/>
        <v>0</v>
      </c>
      <c r="G75" s="591"/>
      <c r="H75" s="592"/>
      <c r="J75" s="592"/>
      <c r="L75" s="395"/>
      <c r="M75" s="365"/>
      <c r="N75" s="592"/>
    </row>
    <row r="76" spans="1:14" s="355" customFormat="1" ht="15" customHeight="1" x14ac:dyDescent="0.25">
      <c r="A76" s="573">
        <v>7</v>
      </c>
      <c r="B76" s="587" t="s">
        <v>855</v>
      </c>
      <c r="C76" s="587">
        <v>8</v>
      </c>
      <c r="D76" s="589"/>
      <c r="E76" s="589"/>
      <c r="F76" s="588">
        <f>SUM(F77:F89)</f>
        <v>2270000</v>
      </c>
      <c r="G76" s="353"/>
      <c r="H76" s="354"/>
      <c r="J76" s="354"/>
      <c r="L76" s="356"/>
      <c r="M76" s="357"/>
      <c r="N76" s="354"/>
    </row>
    <row r="77" spans="1:14" s="363" customFormat="1" ht="15" customHeight="1" x14ac:dyDescent="0.25">
      <c r="A77" s="582"/>
      <c r="B77" s="359" t="str">
        <f>'DEFINITIF (APBNP)'!B346</f>
        <v>Belanja Barang Operasional Lainnya</v>
      </c>
      <c r="C77" s="359"/>
      <c r="D77" s="359"/>
      <c r="E77" s="359"/>
      <c r="F77" s="583"/>
      <c r="G77" s="361"/>
      <c r="H77" s="362"/>
      <c r="J77" s="362"/>
      <c r="L77" s="364"/>
      <c r="M77" s="365"/>
      <c r="N77" s="362"/>
    </row>
    <row r="78" spans="1:14" s="363" customFormat="1" ht="15" customHeight="1" x14ac:dyDescent="0.25">
      <c r="A78" s="582"/>
      <c r="B78" s="359" t="str">
        <f>'DEFINITIF (APBNP)'!B347</f>
        <v>Subsidi Operasi Bus Perintis (8 lintasan)</v>
      </c>
      <c r="C78" s="359">
        <f>'DEFINITIF (APBNP)'!C347</f>
        <v>1</v>
      </c>
      <c r="D78" s="359" t="str">
        <f>'DEFINITIF (APBNP)'!D347</f>
        <v>TH</v>
      </c>
      <c r="E78" s="359">
        <f>'DEFINITIF (APBNP)'!E347</f>
        <v>2200000</v>
      </c>
      <c r="F78" s="583">
        <f>C78*E78</f>
        <v>2200000</v>
      </c>
      <c r="G78" s="361"/>
      <c r="H78" s="362"/>
      <c r="J78" s="362"/>
      <c r="L78" s="364"/>
      <c r="M78" s="365"/>
      <c r="N78" s="362"/>
    </row>
    <row r="79" spans="1:14" s="363" customFormat="1" ht="15" customHeight="1" x14ac:dyDescent="0.25">
      <c r="A79" s="582"/>
      <c r="B79" s="359" t="str">
        <f>'DEFINITIF (APBNP)'!B348</f>
        <v>Pangkal Pinang - Tanjung Tedung</v>
      </c>
      <c r="C79" s="359"/>
      <c r="D79" s="359"/>
      <c r="E79" s="359"/>
      <c r="F79" s="583"/>
      <c r="G79" s="361"/>
      <c r="H79" s="362"/>
      <c r="J79" s="362"/>
      <c r="L79" s="364"/>
      <c r="M79" s="365"/>
      <c r="N79" s="362"/>
    </row>
    <row r="80" spans="1:14" s="363" customFormat="1" ht="15" customHeight="1" x14ac:dyDescent="0.25">
      <c r="A80" s="582"/>
      <c r="B80" s="359" t="str">
        <f>'DEFINITIF (APBNP)'!B349</f>
        <v>Pangkal Pinang - Batu Betumpang</v>
      </c>
      <c r="C80" s="359"/>
      <c r="D80" s="359"/>
      <c r="E80" s="359"/>
      <c r="F80" s="583"/>
      <c r="G80" s="361"/>
      <c r="H80" s="362"/>
      <c r="J80" s="362"/>
      <c r="L80" s="364"/>
      <c r="M80" s="365"/>
      <c r="N80" s="362"/>
    </row>
    <row r="81" spans="1:14" s="363" customFormat="1" ht="15" customHeight="1" x14ac:dyDescent="0.25">
      <c r="A81" s="582"/>
      <c r="B81" s="359" t="str">
        <f>'DEFINITIF (APBNP)'!B350</f>
        <v>Tanjung Pandan - Tanjung RU</v>
      </c>
      <c r="C81" s="359"/>
      <c r="D81" s="359"/>
      <c r="E81" s="359"/>
      <c r="F81" s="583"/>
      <c r="G81" s="361"/>
      <c r="H81" s="362"/>
      <c r="J81" s="362"/>
      <c r="L81" s="364"/>
      <c r="M81" s="365"/>
      <c r="N81" s="362"/>
    </row>
    <row r="82" spans="1:14" s="363" customFormat="1" ht="15" customHeight="1" x14ac:dyDescent="0.25">
      <c r="A82" s="582"/>
      <c r="B82" s="359" t="str">
        <f>'DEFINITIF (APBNP)'!B351</f>
        <v>Tanjung Pandan - Manggar (via Gantung)</v>
      </c>
      <c r="C82" s="359"/>
      <c r="D82" s="359"/>
      <c r="E82" s="359"/>
      <c r="F82" s="583"/>
      <c r="G82" s="361"/>
      <c r="H82" s="362"/>
      <c r="J82" s="362"/>
      <c r="L82" s="364"/>
      <c r="M82" s="365"/>
      <c r="N82" s="362"/>
    </row>
    <row r="83" spans="1:14" s="363" customFormat="1" ht="15" customHeight="1" x14ac:dyDescent="0.25">
      <c r="A83" s="582"/>
      <c r="B83" s="359" t="str">
        <f>'DEFINITIF (APBNP)'!B352</f>
        <v>Pangkal Pinang - Tepus</v>
      </c>
      <c r="C83" s="359"/>
      <c r="D83" s="359"/>
      <c r="E83" s="359"/>
      <c r="F83" s="583"/>
      <c r="G83" s="361"/>
      <c r="H83" s="362"/>
      <c r="J83" s="362"/>
      <c r="L83" s="364"/>
      <c r="M83" s="365"/>
      <c r="N83" s="362"/>
    </row>
    <row r="84" spans="1:14" s="363" customFormat="1" ht="15" customHeight="1" x14ac:dyDescent="0.25">
      <c r="A84" s="582"/>
      <c r="B84" s="359" t="str">
        <f>'DEFINITIF (APBNP)'!B353</f>
        <v>Pangkal Pinang - Trans Rias</v>
      </c>
      <c r="C84" s="359"/>
      <c r="D84" s="359"/>
      <c r="E84" s="359"/>
      <c r="F84" s="583"/>
      <c r="G84" s="361"/>
      <c r="H84" s="362"/>
      <c r="J84" s="362"/>
      <c r="L84" s="364"/>
      <c r="M84" s="365"/>
      <c r="N84" s="362"/>
    </row>
    <row r="85" spans="1:14" s="363" customFormat="1" ht="15" customHeight="1" x14ac:dyDescent="0.25">
      <c r="A85" s="582"/>
      <c r="B85" s="359" t="str">
        <f>'DEFINITIF (APBNP)'!B354</f>
        <v>Pangkal Pinang - Pulau Besar</v>
      </c>
      <c r="C85" s="359"/>
      <c r="D85" s="359"/>
      <c r="E85" s="359"/>
      <c r="F85" s="583"/>
      <c r="G85" s="361"/>
      <c r="H85" s="362"/>
      <c r="J85" s="362"/>
      <c r="L85" s="364"/>
      <c r="M85" s="365"/>
      <c r="N85" s="362"/>
    </row>
    <row r="86" spans="1:14" s="363" customFormat="1" ht="15" customHeight="1" x14ac:dyDescent="0.25">
      <c r="A86" s="582"/>
      <c r="B86" s="359" t="str">
        <f>'DEFINITIF (APBNP)'!B355</f>
        <v>Pangkal Pinang - Tanjung Nyiur</v>
      </c>
      <c r="C86" s="359"/>
      <c r="D86" s="359"/>
      <c r="E86" s="359"/>
      <c r="F86" s="583"/>
      <c r="G86" s="361"/>
      <c r="H86" s="362"/>
      <c r="J86" s="362"/>
      <c r="L86" s="364"/>
      <c r="M86" s="365"/>
      <c r="N86" s="362"/>
    </row>
    <row r="87" spans="1:14" s="363" customFormat="1" ht="15" customHeight="1" x14ac:dyDescent="0.25">
      <c r="A87" s="582"/>
      <c r="B87" s="359"/>
      <c r="C87" s="359"/>
      <c r="D87" s="359"/>
      <c r="E87" s="359"/>
      <c r="F87" s="583"/>
      <c r="G87" s="361"/>
      <c r="H87" s="362"/>
      <c r="J87" s="362"/>
      <c r="L87" s="364"/>
      <c r="M87" s="365"/>
      <c r="N87" s="362"/>
    </row>
    <row r="88" spans="1:14" s="363" customFormat="1" ht="15" customHeight="1" x14ac:dyDescent="0.25">
      <c r="A88" s="582"/>
      <c r="B88" s="359" t="str">
        <f>'DEFINITIF (APBNP)'!B357</f>
        <v>Belanja Uang Honor Tidak Tetap</v>
      </c>
      <c r="C88" s="359"/>
      <c r="D88" s="359"/>
      <c r="E88" s="359"/>
      <c r="F88" s="583"/>
      <c r="G88" s="361"/>
      <c r="H88" s="362"/>
      <c r="J88" s="362"/>
      <c r="L88" s="364"/>
      <c r="M88" s="365"/>
      <c r="N88" s="362"/>
    </row>
    <row r="89" spans="1:14" s="363" customFormat="1" ht="15" customHeight="1" x14ac:dyDescent="0.25">
      <c r="A89" s="582"/>
      <c r="B89" s="359" t="str">
        <f>'DEFINITIF (APBNP)'!B358</f>
        <v>- Pengawasan Subsidi Operasi Bus Perintis</v>
      </c>
      <c r="C89" s="359">
        <f>'DEFINITIF (APBNP)'!C358</f>
        <v>1</v>
      </c>
      <c r="D89" s="359" t="str">
        <f>'DEFINITIF (APBNP)'!D358</f>
        <v>TH</v>
      </c>
      <c r="E89" s="359">
        <f>'DEFINITIF (APBNP)'!E358</f>
        <v>70000</v>
      </c>
      <c r="F89" s="583">
        <f>C89*E89</f>
        <v>70000</v>
      </c>
      <c r="G89" s="361"/>
      <c r="H89" s="362"/>
      <c r="J89" s="362"/>
      <c r="L89" s="364"/>
      <c r="M89" s="365"/>
      <c r="N89" s="362"/>
    </row>
    <row r="90" spans="1:14" s="363" customFormat="1" ht="15" customHeight="1" x14ac:dyDescent="0.25">
      <c r="A90" s="582"/>
      <c r="B90" s="359"/>
      <c r="C90" s="359"/>
      <c r="D90" s="359"/>
      <c r="E90" s="359"/>
      <c r="F90" s="583"/>
      <c r="G90" s="361"/>
      <c r="H90" s="362"/>
      <c r="J90" s="362"/>
      <c r="L90" s="364"/>
      <c r="M90" s="365"/>
      <c r="N90" s="362"/>
    </row>
    <row r="91" spans="1:14" s="355" customFormat="1" ht="15" customHeight="1" x14ac:dyDescent="0.25">
      <c r="A91" s="573">
        <v>8</v>
      </c>
      <c r="B91" s="587" t="s">
        <v>776</v>
      </c>
      <c r="C91" s="587">
        <v>6</v>
      </c>
      <c r="D91" s="589"/>
      <c r="E91" s="589"/>
      <c r="F91" s="588">
        <f>SUM(F92:F103)</f>
        <v>2550000</v>
      </c>
      <c r="G91" s="353"/>
      <c r="H91" s="354"/>
      <c r="J91" s="354"/>
      <c r="L91" s="356"/>
      <c r="M91" s="357"/>
      <c r="N91" s="354"/>
    </row>
    <row r="92" spans="1:14" s="363" customFormat="1" ht="15" customHeight="1" x14ac:dyDescent="0.25">
      <c r="A92" s="582"/>
      <c r="B92" s="359" t="str">
        <f>'DEFINITIF (APBNP)'!B454</f>
        <v>Belanja Barang Operasional Lainnya</v>
      </c>
      <c r="C92" s="359"/>
      <c r="D92" s="359"/>
      <c r="E92" s="359"/>
      <c r="F92" s="583"/>
      <c r="G92" s="361"/>
      <c r="H92" s="362"/>
      <c r="J92" s="362"/>
      <c r="L92" s="364"/>
      <c r="M92" s="365"/>
      <c r="N92" s="362"/>
    </row>
    <row r="93" spans="1:14" s="363" customFormat="1" ht="15" customHeight="1" x14ac:dyDescent="0.25">
      <c r="A93" s="582"/>
      <c r="B93" s="359" t="str">
        <f>'DEFINITIF (APBNP)'!B455</f>
        <v>Subsidi Operasi Bus Perintis (Trayek Lama)</v>
      </c>
      <c r="C93" s="359">
        <f>'DEFINITIF (APBNP)'!C455</f>
        <v>1</v>
      </c>
      <c r="D93" s="359" t="str">
        <f>'DEFINITIF (APBNP)'!D455</f>
        <v>TH</v>
      </c>
      <c r="E93" s="359">
        <f>'DEFINITIF (APBNP)'!E455</f>
        <v>2500000</v>
      </c>
      <c r="F93" s="583">
        <f>C93*E93</f>
        <v>2500000</v>
      </c>
      <c r="G93" s="361"/>
      <c r="H93" s="362"/>
      <c r="J93" s="362"/>
      <c r="L93" s="364"/>
      <c r="M93" s="365"/>
      <c r="N93" s="362"/>
    </row>
    <row r="94" spans="1:14" s="363" customFormat="1" ht="15" customHeight="1" x14ac:dyDescent="0.25">
      <c r="A94" s="582"/>
      <c r="B94" s="359" t="str">
        <f>'DEFINITIF (APBNP)'!B456</f>
        <v>- Betungan - Mukomuko - lubuk Pinang</v>
      </c>
      <c r="C94" s="359"/>
      <c r="D94" s="359"/>
      <c r="E94" s="359"/>
      <c r="F94" s="583"/>
      <c r="G94" s="361"/>
      <c r="H94" s="362"/>
      <c r="J94" s="362"/>
      <c r="L94" s="364"/>
      <c r="M94" s="365"/>
      <c r="N94" s="362"/>
    </row>
    <row r="95" spans="1:14" s="363" customFormat="1" ht="15" customHeight="1" x14ac:dyDescent="0.25">
      <c r="A95" s="582"/>
      <c r="B95" s="359" t="str">
        <f>'DEFINITIF (APBNP)'!B457</f>
        <v>- Betungan - Muara Aman</v>
      </c>
      <c r="C95" s="359"/>
      <c r="D95" s="359"/>
      <c r="E95" s="359"/>
      <c r="F95" s="583"/>
      <c r="G95" s="361"/>
      <c r="H95" s="362"/>
      <c r="J95" s="362"/>
      <c r="L95" s="364"/>
      <c r="M95" s="365"/>
      <c r="N95" s="362"/>
    </row>
    <row r="96" spans="1:14" s="363" customFormat="1" ht="15" customHeight="1" x14ac:dyDescent="0.25">
      <c r="A96" s="582"/>
      <c r="B96" s="359" t="str">
        <f>'DEFINITIF (APBNP)'!B458</f>
        <v>- Bengkulu - Manna-Kedurang</v>
      </c>
      <c r="C96" s="359"/>
      <c r="D96" s="359"/>
      <c r="E96" s="359"/>
      <c r="F96" s="583"/>
      <c r="G96" s="361"/>
      <c r="H96" s="362"/>
      <c r="J96" s="362"/>
      <c r="L96" s="364"/>
      <c r="M96" s="365"/>
      <c r="N96" s="362"/>
    </row>
    <row r="97" spans="1:14" s="363" customFormat="1" ht="15" customHeight="1" x14ac:dyDescent="0.25">
      <c r="A97" s="582"/>
      <c r="B97" s="359" t="str">
        <f>'DEFINITIF (APBNP)'!B459</f>
        <v>- Bengkulu-Bengko</v>
      </c>
      <c r="C97" s="359"/>
      <c r="D97" s="359"/>
      <c r="E97" s="359"/>
      <c r="F97" s="583"/>
      <c r="G97" s="361"/>
      <c r="H97" s="362"/>
      <c r="J97" s="362"/>
      <c r="L97" s="364"/>
      <c r="M97" s="365"/>
      <c r="N97" s="362"/>
    </row>
    <row r="98" spans="1:14" s="363" customFormat="1" ht="15" customHeight="1" x14ac:dyDescent="0.25">
      <c r="A98" s="582"/>
      <c r="B98" s="359" t="str">
        <f>'DEFINITIF (APBNP)'!B460</f>
        <v>- Bengkulu - Tais - Penago</v>
      </c>
      <c r="C98" s="359"/>
      <c r="D98" s="359"/>
      <c r="E98" s="359"/>
      <c r="F98" s="583"/>
      <c r="G98" s="361"/>
      <c r="H98" s="362"/>
      <c r="J98" s="362"/>
      <c r="L98" s="364"/>
      <c r="M98" s="365"/>
      <c r="N98" s="362"/>
    </row>
    <row r="99" spans="1:14" s="363" customFormat="1" ht="15" customHeight="1" x14ac:dyDescent="0.25">
      <c r="A99" s="582"/>
      <c r="B99" s="359" t="str">
        <f>'DEFINITIF (APBNP)'!B461</f>
        <v>- Bengkulu - Pulau Enggano  (Trayek Baru)</v>
      </c>
      <c r="C99" s="359"/>
      <c r="D99" s="359"/>
      <c r="E99" s="359"/>
      <c r="F99" s="583"/>
      <c r="G99" s="361"/>
      <c r="H99" s="362"/>
      <c r="J99" s="362"/>
      <c r="L99" s="364"/>
      <c r="M99" s="365"/>
      <c r="N99" s="362"/>
    </row>
    <row r="100" spans="1:14" s="363" customFormat="1" ht="15" customHeight="1" x14ac:dyDescent="0.25">
      <c r="A100" s="582"/>
      <c r="B100" s="359"/>
      <c r="C100" s="359"/>
      <c r="D100" s="359"/>
      <c r="E100" s="359"/>
      <c r="F100" s="583"/>
      <c r="G100" s="361"/>
      <c r="H100" s="362"/>
      <c r="J100" s="362"/>
      <c r="L100" s="364"/>
      <c r="M100" s="365"/>
      <c r="N100" s="362"/>
    </row>
    <row r="101" spans="1:14" s="363" customFormat="1" ht="15" customHeight="1" x14ac:dyDescent="0.25">
      <c r="A101" s="582"/>
      <c r="B101" s="359" t="str">
        <f>'DEFINITIF (APBNP)'!B463</f>
        <v>Belanja Uang Honor Tidak Tetap</v>
      </c>
      <c r="C101" s="359"/>
      <c r="D101" s="359"/>
      <c r="E101" s="359"/>
      <c r="F101" s="583"/>
      <c r="G101" s="361"/>
      <c r="H101" s="362"/>
      <c r="J101" s="362"/>
      <c r="L101" s="364"/>
      <c r="M101" s="365"/>
      <c r="N101" s="362"/>
    </row>
    <row r="102" spans="1:14" s="363" customFormat="1" ht="15" customHeight="1" x14ac:dyDescent="0.25">
      <c r="A102" s="582"/>
      <c r="B102" s="359" t="str">
        <f>'DEFINITIF (APBNP)'!B464</f>
        <v>Pengawasan Subsidi Operasi Bus Perintis</v>
      </c>
      <c r="C102" s="359">
        <f>'DEFINITIF (APBNP)'!C464</f>
        <v>1</v>
      </c>
      <c r="D102" s="359" t="str">
        <f>'DEFINITIF (APBNP)'!D464</f>
        <v>TH</v>
      </c>
      <c r="E102" s="359">
        <f>'DEFINITIF (APBNP)'!E464</f>
        <v>50000</v>
      </c>
      <c r="F102" s="583">
        <f>C102*E102</f>
        <v>50000</v>
      </c>
      <c r="G102" s="361"/>
      <c r="H102" s="362"/>
      <c r="J102" s="362"/>
      <c r="L102" s="364"/>
      <c r="M102" s="365"/>
      <c r="N102" s="362"/>
    </row>
    <row r="103" spans="1:14" s="363" customFormat="1" ht="15" customHeight="1" x14ac:dyDescent="0.25">
      <c r="A103" s="582"/>
      <c r="B103" s="359"/>
      <c r="C103" s="359"/>
      <c r="D103" s="359"/>
      <c r="E103" s="359"/>
      <c r="F103" s="583"/>
      <c r="G103" s="361"/>
      <c r="H103" s="362"/>
      <c r="J103" s="362"/>
      <c r="L103" s="364"/>
      <c r="M103" s="365"/>
      <c r="N103" s="362"/>
    </row>
    <row r="104" spans="1:14" s="355" customFormat="1" ht="15" customHeight="1" x14ac:dyDescent="0.25">
      <c r="A104" s="573">
        <v>9</v>
      </c>
      <c r="B104" s="587" t="s">
        <v>778</v>
      </c>
      <c r="C104" s="587">
        <v>6</v>
      </c>
      <c r="D104" s="589"/>
      <c r="E104" s="589"/>
      <c r="F104" s="588">
        <f>SUM(F105:F115)</f>
        <v>3535000</v>
      </c>
      <c r="G104" s="353"/>
      <c r="H104" s="354"/>
      <c r="J104" s="354"/>
      <c r="L104" s="356"/>
      <c r="M104" s="357"/>
      <c r="N104" s="354"/>
    </row>
    <row r="105" spans="1:14" s="363" customFormat="1" ht="15" customHeight="1" x14ac:dyDescent="0.25">
      <c r="A105" s="582"/>
      <c r="B105" s="359" t="str">
        <f>'DEFINITIF (APBNP)'!B510</f>
        <v>Belanja Barang Operasional Lainnya</v>
      </c>
      <c r="C105" s="359"/>
      <c r="D105" s="359"/>
      <c r="E105" s="359"/>
      <c r="F105" s="583"/>
      <c r="G105" s="361"/>
      <c r="H105" s="362"/>
      <c r="J105" s="362"/>
      <c r="L105" s="364"/>
      <c r="M105" s="365"/>
      <c r="N105" s="362"/>
    </row>
    <row r="106" spans="1:14" s="363" customFormat="1" ht="15" customHeight="1" x14ac:dyDescent="0.25">
      <c r="A106" s="582"/>
      <c r="B106" s="359" t="str">
        <f>'DEFINITIF (APBNP)'!B511</f>
        <v xml:space="preserve">Subsidi Operasi Bus Perintis </v>
      </c>
      <c r="C106" s="359">
        <f>'DEFINITIF (APBNP)'!C511</f>
        <v>1</v>
      </c>
      <c r="D106" s="359" t="str">
        <f>'DEFINITIF (APBNP)'!D511</f>
        <v>TH</v>
      </c>
      <c r="E106" s="359">
        <f>'DEFINITIF (APBNP)'!E511</f>
        <v>3500000</v>
      </c>
      <c r="F106" s="583">
        <f>C106*E106</f>
        <v>3500000</v>
      </c>
      <c r="G106" s="361"/>
      <c r="H106" s="362"/>
      <c r="J106" s="362"/>
      <c r="L106" s="364"/>
      <c r="M106" s="365"/>
      <c r="N106" s="362"/>
    </row>
    <row r="107" spans="1:14" s="363" customFormat="1" ht="15" customHeight="1" x14ac:dyDescent="0.25">
      <c r="A107" s="582"/>
      <c r="B107" s="359" t="str">
        <f>'DEFINITIF (APBNP)'!B512</f>
        <v>Term.Rajabasa - Tj.Seneng - Jatimulyo - Metro Kibang - Metro</v>
      </c>
      <c r="C107" s="359"/>
      <c r="D107" s="359"/>
      <c r="E107" s="359"/>
      <c r="F107" s="583"/>
      <c r="G107" s="361"/>
      <c r="H107" s="362"/>
      <c r="J107" s="362"/>
      <c r="L107" s="364"/>
      <c r="M107" s="365"/>
      <c r="N107" s="362"/>
    </row>
    <row r="108" spans="1:14" s="363" customFormat="1" ht="15" customHeight="1" x14ac:dyDescent="0.25">
      <c r="A108" s="582"/>
      <c r="B108" s="359" t="str">
        <f>'DEFINITIF (APBNP)'!B513</f>
        <v xml:space="preserve">Rajabasa - Kemiling - THR Bumi Kedaton - Lempasing - Hanura </v>
      </c>
      <c r="C108" s="359"/>
      <c r="D108" s="359"/>
      <c r="E108" s="359"/>
      <c r="F108" s="583"/>
      <c r="G108" s="361"/>
      <c r="H108" s="362"/>
      <c r="J108" s="362"/>
      <c r="L108" s="364"/>
      <c r="M108" s="365"/>
      <c r="N108" s="362"/>
    </row>
    <row r="109" spans="1:14" s="363" customFormat="1" ht="15" customHeight="1" x14ac:dyDescent="0.25">
      <c r="A109" s="582"/>
      <c r="B109" s="359" t="str">
        <f>'DEFINITIF (APBNP)'!B514</f>
        <v>Metro - Wates - Bekri - Kalirejo</v>
      </c>
      <c r="C109" s="359"/>
      <c r="D109" s="359"/>
      <c r="E109" s="359"/>
      <c r="F109" s="583"/>
      <c r="G109" s="361"/>
      <c r="H109" s="362"/>
      <c r="J109" s="362"/>
      <c r="L109" s="364"/>
      <c r="M109" s="365"/>
      <c r="N109" s="362"/>
    </row>
    <row r="110" spans="1:14" s="363" customFormat="1" ht="15" customHeight="1" x14ac:dyDescent="0.25">
      <c r="A110" s="582"/>
      <c r="B110" s="359" t="str">
        <f>'DEFINITIF (APBNP)'!B515</f>
        <v xml:space="preserve">Hanura - Piabung - Padang Cermin </v>
      </c>
      <c r="C110" s="359"/>
      <c r="D110" s="359"/>
      <c r="E110" s="359"/>
      <c r="F110" s="583"/>
      <c r="G110" s="361"/>
      <c r="H110" s="362"/>
      <c r="J110" s="362"/>
      <c r="L110" s="364"/>
      <c r="M110" s="365"/>
      <c r="N110" s="362"/>
    </row>
    <row r="111" spans="1:14" s="363" customFormat="1" ht="15" customHeight="1" x14ac:dyDescent="0.25">
      <c r="A111" s="582"/>
      <c r="B111" s="359" t="str">
        <f>'DEFINITIF (APBNP)'!B516</f>
        <v>Rajabasa - Tj. Seneng - Simpang Jatimulyo - Karang Anyar - Margodadi - Margo mulyo</v>
      </c>
      <c r="C111" s="359"/>
      <c r="D111" s="359"/>
      <c r="E111" s="359"/>
      <c r="F111" s="583"/>
      <c r="G111" s="361"/>
      <c r="H111" s="362"/>
      <c r="J111" s="362"/>
      <c r="L111" s="364"/>
      <c r="M111" s="365"/>
      <c r="N111" s="362"/>
    </row>
    <row r="112" spans="1:14" s="363" customFormat="1" ht="15" customHeight="1" x14ac:dyDescent="0.25">
      <c r="A112" s="582"/>
      <c r="B112" s="359" t="str">
        <f>'DEFINITIF (APBNP)'!B517</f>
        <v>Term.Rajabasa - Beranti - Gedong Tataan</v>
      </c>
      <c r="C112" s="359"/>
      <c r="D112" s="359"/>
      <c r="E112" s="359"/>
      <c r="F112" s="583"/>
      <c r="G112" s="361"/>
      <c r="H112" s="362"/>
      <c r="J112" s="362"/>
      <c r="L112" s="364"/>
      <c r="M112" s="365"/>
      <c r="N112" s="362"/>
    </row>
    <row r="113" spans="1:14" s="363" customFormat="1" ht="15" customHeight="1" x14ac:dyDescent="0.25">
      <c r="A113" s="582"/>
      <c r="B113" s="359">
        <f>'DEFINITIF (APBNP)'!B518</f>
        <v>0</v>
      </c>
      <c r="C113" s="359"/>
      <c r="D113" s="359"/>
      <c r="E113" s="359"/>
      <c r="F113" s="583"/>
      <c r="G113" s="361"/>
      <c r="H113" s="362"/>
      <c r="J113" s="362"/>
      <c r="L113" s="364"/>
      <c r="M113" s="365"/>
      <c r="N113" s="362"/>
    </row>
    <row r="114" spans="1:14" s="363" customFormat="1" ht="15" customHeight="1" x14ac:dyDescent="0.25">
      <c r="A114" s="582"/>
      <c r="B114" s="359" t="str">
        <f>'DEFINITIF (APBNP)'!B519</f>
        <v>Belanja Uang Honor Tidak Tetap</v>
      </c>
      <c r="C114" s="359"/>
      <c r="D114" s="359"/>
      <c r="E114" s="359"/>
      <c r="F114" s="583"/>
      <c r="G114" s="361"/>
      <c r="H114" s="362"/>
      <c r="J114" s="362"/>
      <c r="L114" s="364"/>
      <c r="M114" s="365"/>
      <c r="N114" s="362"/>
    </row>
    <row r="115" spans="1:14" s="363" customFormat="1" ht="15" customHeight="1" x14ac:dyDescent="0.25">
      <c r="A115" s="582"/>
      <c r="B115" s="359" t="str">
        <f>'DEFINITIF (APBNP)'!B520</f>
        <v>- Pengawasan Subsidi Operasi Bus Perintis</v>
      </c>
      <c r="C115" s="359">
        <f>'DEFINITIF (APBNP)'!C520</f>
        <v>1</v>
      </c>
      <c r="D115" s="359" t="str">
        <f>'DEFINITIF (APBNP)'!D520</f>
        <v>TH</v>
      </c>
      <c r="E115" s="359">
        <f>'DEFINITIF (APBNP)'!E520</f>
        <v>35000</v>
      </c>
      <c r="F115" s="583">
        <f>C115*E115</f>
        <v>35000</v>
      </c>
      <c r="G115" s="361"/>
      <c r="H115" s="362"/>
      <c r="J115" s="362"/>
      <c r="L115" s="364"/>
      <c r="M115" s="365"/>
      <c r="N115" s="362"/>
    </row>
    <row r="116" spans="1:14" s="363" customFormat="1" ht="15" customHeight="1" x14ac:dyDescent="0.25">
      <c r="A116" s="582"/>
      <c r="B116" s="359"/>
      <c r="C116" s="359"/>
      <c r="D116" s="359"/>
      <c r="E116" s="359"/>
      <c r="F116" s="583"/>
      <c r="G116" s="361"/>
      <c r="H116" s="362"/>
      <c r="J116" s="362"/>
      <c r="L116" s="364"/>
      <c r="M116" s="365"/>
      <c r="N116" s="362"/>
    </row>
    <row r="117" spans="1:14" s="355" customFormat="1" ht="15" customHeight="1" x14ac:dyDescent="0.25">
      <c r="A117" s="573">
        <v>10</v>
      </c>
      <c r="B117" s="587" t="s">
        <v>780</v>
      </c>
      <c r="C117" s="587">
        <v>3</v>
      </c>
      <c r="D117" s="589"/>
      <c r="E117" s="589"/>
      <c r="F117" s="588">
        <f>SUM(F118:F126)</f>
        <v>1998118</v>
      </c>
      <c r="G117" s="353"/>
      <c r="H117" s="354"/>
      <c r="J117" s="354"/>
      <c r="L117" s="356"/>
      <c r="M117" s="357"/>
      <c r="N117" s="354"/>
    </row>
    <row r="118" spans="1:14" s="363" customFormat="1" ht="15" customHeight="1" x14ac:dyDescent="0.25">
      <c r="A118" s="582"/>
      <c r="B118" s="359" t="str">
        <f>'DEFINITIF (APBNP)'!B568</f>
        <v>Belanja Barang Operasional Lainnya</v>
      </c>
      <c r="C118" s="359"/>
      <c r="D118" s="359"/>
      <c r="E118" s="359"/>
      <c r="F118" s="583"/>
      <c r="G118" s="361"/>
      <c r="H118" s="362"/>
      <c r="J118" s="362"/>
      <c r="L118" s="364"/>
      <c r="M118" s="365"/>
      <c r="N118" s="362"/>
    </row>
    <row r="119" spans="1:14" s="363" customFormat="1" ht="15" customHeight="1" x14ac:dyDescent="0.25">
      <c r="A119" s="582"/>
      <c r="B119" s="359" t="str">
        <f>'DEFINITIF (APBNP)'!B569</f>
        <v>Subsidi Operasi Bus Perintis (5 trayek)</v>
      </c>
      <c r="C119" s="359">
        <f>'DEFINITIF (APBNP)'!C569</f>
        <v>1</v>
      </c>
      <c r="D119" s="359" t="str">
        <f>'DEFINITIF (APBNP)'!D569</f>
        <v>TH</v>
      </c>
      <c r="E119" s="359">
        <f>'DEFINITIF (APBNP)'!E569</f>
        <v>1971718</v>
      </c>
      <c r="F119" s="583">
        <f t="shared" ref="F119:F163" si="2">C119*E119</f>
        <v>1971718</v>
      </c>
      <c r="G119" s="361"/>
      <c r="H119" s="362"/>
      <c r="J119" s="362"/>
      <c r="L119" s="364"/>
      <c r="M119" s="365"/>
      <c r="N119" s="362"/>
    </row>
    <row r="120" spans="1:14" s="363" customFormat="1" ht="15" customHeight="1" x14ac:dyDescent="0.25">
      <c r="A120" s="582"/>
      <c r="B120" s="359" t="str">
        <f>'DEFINITIF (APBNP)'!B570</f>
        <v>Serang-Gn. Kencana-Malingping</v>
      </c>
      <c r="C120" s="359"/>
      <c r="D120" s="359"/>
      <c r="E120" s="359"/>
      <c r="F120" s="583"/>
      <c r="G120" s="361"/>
      <c r="H120" s="362"/>
      <c r="J120" s="362"/>
      <c r="L120" s="364"/>
      <c r="M120" s="365"/>
      <c r="N120" s="362"/>
    </row>
    <row r="121" spans="1:14" s="363" customFormat="1" ht="15" customHeight="1" x14ac:dyDescent="0.25">
      <c r="A121" s="582"/>
      <c r="B121" s="359" t="str">
        <f>'DEFINITIF (APBNP)'!B571</f>
        <v>Serang - Tanjung Lesung - Kelapa Koneng</v>
      </c>
      <c r="C121" s="359">
        <f>'DEFINITIF (APBNP)'!C571</f>
        <v>0</v>
      </c>
      <c r="D121" s="359">
        <f>'DEFINITIF (APBNP)'!D571</f>
        <v>0</v>
      </c>
      <c r="E121" s="359">
        <f>'DEFINITIF (APBNP)'!E571</f>
        <v>0</v>
      </c>
      <c r="F121" s="583"/>
      <c r="G121" s="361"/>
      <c r="H121" s="362"/>
      <c r="J121" s="362"/>
      <c r="L121" s="364"/>
      <c r="M121" s="365"/>
      <c r="N121" s="362"/>
    </row>
    <row r="122" spans="1:14" s="363" customFormat="1" ht="15" customHeight="1" x14ac:dyDescent="0.25">
      <c r="A122" s="582"/>
      <c r="B122" s="359" t="str">
        <f>'DEFINITIF (APBNP)'!B572</f>
        <v>Panimbang - Citeureup - Cikeusik</v>
      </c>
      <c r="C122" s="359">
        <f>'DEFINITIF (APBNP)'!C572</f>
        <v>0</v>
      </c>
      <c r="D122" s="359">
        <f>'DEFINITIF (APBNP)'!D572</f>
        <v>0</v>
      </c>
      <c r="E122" s="359">
        <f>'DEFINITIF (APBNP)'!E572</f>
        <v>0</v>
      </c>
      <c r="F122" s="583"/>
      <c r="G122" s="361"/>
      <c r="H122" s="362"/>
      <c r="J122" s="362"/>
      <c r="L122" s="364"/>
      <c r="M122" s="365"/>
      <c r="N122" s="362"/>
    </row>
    <row r="123" spans="1:14" s="363" customFormat="1" ht="15" customHeight="1" x14ac:dyDescent="0.25">
      <c r="A123" s="582"/>
      <c r="B123" s="359">
        <f>'DEFINITIF (APBNP)'!B573</f>
        <v>0</v>
      </c>
      <c r="C123" s="359">
        <f>'DEFINITIF (APBNP)'!C573</f>
        <v>0</v>
      </c>
      <c r="D123" s="359">
        <f>'DEFINITIF (APBNP)'!D573</f>
        <v>0</v>
      </c>
      <c r="E123" s="359">
        <f>'DEFINITIF (APBNP)'!E573</f>
        <v>0</v>
      </c>
      <c r="F123" s="583"/>
      <c r="G123" s="361"/>
      <c r="H123" s="362"/>
      <c r="J123" s="362"/>
      <c r="L123" s="364"/>
      <c r="M123" s="365"/>
      <c r="N123" s="362"/>
    </row>
    <row r="124" spans="1:14" s="363" customFormat="1" ht="15" customHeight="1" x14ac:dyDescent="0.25">
      <c r="A124" s="582"/>
      <c r="B124" s="359" t="str">
        <f>'DEFINITIF (APBNP)'!B574</f>
        <v>Belanja Uang Honor Tidak Tetap</v>
      </c>
      <c r="C124" s="359"/>
      <c r="D124" s="359"/>
      <c r="E124" s="359"/>
      <c r="F124" s="583"/>
      <c r="G124" s="361"/>
      <c r="H124" s="362"/>
      <c r="J124" s="362"/>
      <c r="L124" s="364"/>
      <c r="M124" s="365"/>
      <c r="N124" s="362"/>
    </row>
    <row r="125" spans="1:14" s="363" customFormat="1" ht="15" customHeight="1" x14ac:dyDescent="0.25">
      <c r="A125" s="582"/>
      <c r="B125" s="359" t="str">
        <f>'DEFINITIF (APBNP)'!B575</f>
        <v>- Pengawasan Subsidi Operasi Bus Perintis</v>
      </c>
      <c r="C125" s="359">
        <f>'DEFINITIF (APBNP)'!C575</f>
        <v>1</v>
      </c>
      <c r="D125" s="359" t="str">
        <f>'DEFINITIF (APBNP)'!D575</f>
        <v>TH</v>
      </c>
      <c r="E125" s="359">
        <f>'DEFINITIF (APBNP)'!E575</f>
        <v>26400</v>
      </c>
      <c r="F125" s="583">
        <f t="shared" si="2"/>
        <v>26400</v>
      </c>
      <c r="G125" s="361"/>
      <c r="H125" s="362"/>
      <c r="J125" s="362"/>
      <c r="L125" s="364"/>
      <c r="M125" s="365"/>
      <c r="N125" s="362"/>
    </row>
    <row r="126" spans="1:14" s="363" customFormat="1" ht="15" customHeight="1" x14ac:dyDescent="0.25">
      <c r="A126" s="582"/>
      <c r="B126" s="359"/>
      <c r="C126" s="359"/>
      <c r="D126" s="359"/>
      <c r="E126" s="359"/>
      <c r="F126" s="583"/>
      <c r="G126" s="361"/>
      <c r="H126" s="362"/>
      <c r="J126" s="362"/>
      <c r="L126" s="364"/>
      <c r="M126" s="365"/>
      <c r="N126" s="362"/>
    </row>
    <row r="127" spans="1:14" s="355" customFormat="1" ht="15" customHeight="1" x14ac:dyDescent="0.25">
      <c r="A127" s="573">
        <v>11</v>
      </c>
      <c r="B127" s="587" t="s">
        <v>856</v>
      </c>
      <c r="C127" s="587">
        <v>2</v>
      </c>
      <c r="D127" s="589"/>
      <c r="E127" s="589"/>
      <c r="F127" s="588">
        <f>SUM(F128:F132)</f>
        <v>1200000</v>
      </c>
      <c r="G127" s="353"/>
      <c r="H127" s="354"/>
      <c r="J127" s="354"/>
      <c r="L127" s="356"/>
      <c r="M127" s="357"/>
      <c r="N127" s="354"/>
    </row>
    <row r="128" spans="1:14" s="363" customFormat="1" ht="15" customHeight="1" x14ac:dyDescent="0.25">
      <c r="A128" s="582"/>
      <c r="B128" s="359" t="str">
        <f>'DEFINITIF (APBNP)'!B631</f>
        <v>Subsidi Angkutan Keperintisan</v>
      </c>
      <c r="C128" s="359">
        <f>'DEFINITIF (APBNP)'!C631</f>
        <v>1</v>
      </c>
      <c r="D128" s="359" t="str">
        <f>'DEFINITIF (APBNP)'!D631</f>
        <v>PKT</v>
      </c>
      <c r="E128" s="359">
        <f>'DEFINITIF (APBNP)'!E631</f>
        <v>1200000</v>
      </c>
      <c r="F128" s="583">
        <f t="shared" si="2"/>
        <v>1200000</v>
      </c>
      <c r="G128" s="361"/>
      <c r="H128" s="362"/>
      <c r="J128" s="362"/>
      <c r="L128" s="364"/>
      <c r="M128" s="365"/>
      <c r="N128" s="362"/>
    </row>
    <row r="129" spans="1:14" s="363" customFormat="1" ht="15" customHeight="1" x14ac:dyDescent="0.25">
      <c r="A129" s="582"/>
      <c r="B129" s="359" t="str">
        <f>'DEFINITIF (APBNP)'!B632</f>
        <v>Terminal Surade - Tegal Buleud - Sagaranten</v>
      </c>
      <c r="C129" s="359">
        <f>'DEFINITIF (APBNP)'!C632</f>
        <v>0</v>
      </c>
      <c r="D129" s="359">
        <f>'DEFINITIF (APBNP)'!D632</f>
        <v>0</v>
      </c>
      <c r="E129" s="359">
        <f>'DEFINITIF (APBNP)'!E632</f>
        <v>0</v>
      </c>
      <c r="F129" s="583"/>
      <c r="G129" s="361"/>
      <c r="H129" s="362"/>
      <c r="J129" s="362"/>
      <c r="L129" s="364"/>
      <c r="M129" s="365"/>
      <c r="N129" s="362"/>
    </row>
    <row r="130" spans="1:14" s="363" customFormat="1" ht="15" customHeight="1" x14ac:dyDescent="0.25">
      <c r="A130" s="582"/>
      <c r="B130" s="359" t="str">
        <f>'DEFINITIF (APBNP)'!B633</f>
        <v>Pelabuhan Ratu - Cibadak</v>
      </c>
      <c r="C130" s="359">
        <f>'DEFINITIF (APBNP)'!C633</f>
        <v>0</v>
      </c>
      <c r="D130" s="359">
        <f>'DEFINITIF (APBNP)'!D633</f>
        <v>0</v>
      </c>
      <c r="E130" s="359">
        <f>'DEFINITIF (APBNP)'!E633</f>
        <v>0</v>
      </c>
      <c r="F130" s="583"/>
      <c r="G130" s="361"/>
      <c r="H130" s="362"/>
      <c r="J130" s="362"/>
      <c r="L130" s="364"/>
      <c r="M130" s="365"/>
      <c r="N130" s="362"/>
    </row>
    <row r="131" spans="1:14" s="363" customFormat="1" ht="15" customHeight="1" x14ac:dyDescent="0.25">
      <c r="A131" s="582"/>
      <c r="B131" s="359">
        <f>'DEFINITIF (APBNP)'!B634</f>
        <v>0</v>
      </c>
      <c r="C131" s="359">
        <f>'DEFINITIF (APBNP)'!C634</f>
        <v>0</v>
      </c>
      <c r="D131" s="359">
        <f>'DEFINITIF (APBNP)'!D634</f>
        <v>0</v>
      </c>
      <c r="E131" s="359">
        <f>'DEFINITIF (APBNP)'!E634</f>
        <v>0</v>
      </c>
      <c r="F131" s="583"/>
      <c r="G131" s="361"/>
      <c r="H131" s="362"/>
      <c r="J131" s="362"/>
      <c r="L131" s="364"/>
      <c r="M131" s="365"/>
      <c r="N131" s="362"/>
    </row>
    <row r="132" spans="1:14" s="363" customFormat="1" ht="15" customHeight="1" x14ac:dyDescent="0.25">
      <c r="A132" s="582"/>
      <c r="B132" s="359"/>
      <c r="C132" s="359"/>
      <c r="D132" s="359"/>
      <c r="E132" s="359"/>
      <c r="F132" s="583"/>
      <c r="G132" s="361"/>
      <c r="H132" s="362"/>
      <c r="J132" s="362"/>
      <c r="L132" s="364"/>
      <c r="M132" s="365"/>
      <c r="N132" s="362"/>
    </row>
    <row r="133" spans="1:14" s="363" customFormat="1" ht="15" customHeight="1" x14ac:dyDescent="0.25">
      <c r="A133" s="593">
        <v>12</v>
      </c>
      <c r="B133" s="587" t="s">
        <v>857</v>
      </c>
      <c r="C133" s="594">
        <v>2</v>
      </c>
      <c r="D133" s="595"/>
      <c r="E133" s="595"/>
      <c r="F133" s="596">
        <f>SUM(F134:F140)</f>
        <v>1040000</v>
      </c>
      <c r="G133" s="361"/>
      <c r="H133" s="362"/>
      <c r="J133" s="362"/>
      <c r="L133" s="364"/>
      <c r="M133" s="365"/>
      <c r="N133" s="362"/>
    </row>
    <row r="134" spans="1:14" s="363" customFormat="1" ht="15" customHeight="1" x14ac:dyDescent="0.25">
      <c r="A134" s="582"/>
      <c r="B134" s="359" t="str">
        <f>'DEFINITIF (APBNP)'!B686</f>
        <v>Belanja Barang Operasional Lainnya</v>
      </c>
      <c r="C134" s="359">
        <f>'DEFINITIF (APBNP)'!C686</f>
        <v>0</v>
      </c>
      <c r="D134" s="359">
        <f>'DEFINITIF (APBNP)'!D686</f>
        <v>0</v>
      </c>
      <c r="E134" s="359">
        <f>'DEFINITIF (APBNP)'!E686</f>
        <v>0</v>
      </c>
      <c r="F134" s="583">
        <f t="shared" si="2"/>
        <v>0</v>
      </c>
      <c r="G134" s="361"/>
      <c r="H134" s="366"/>
      <c r="J134" s="366"/>
      <c r="L134" s="364"/>
      <c r="M134" s="365"/>
      <c r="N134" s="366"/>
    </row>
    <row r="135" spans="1:14" s="363" customFormat="1" ht="15" customHeight="1" x14ac:dyDescent="0.25">
      <c r="A135" s="582"/>
      <c r="B135" s="359" t="str">
        <f>'DEFINITIF (APBNP)'!B687</f>
        <v>Subsidi Operasi Bus Perintis (2 trayek)</v>
      </c>
      <c r="C135" s="359">
        <f>'DEFINITIF (APBNP)'!C687</f>
        <v>1</v>
      </c>
      <c r="D135" s="359" t="str">
        <f>'DEFINITIF (APBNP)'!D687</f>
        <v>TH</v>
      </c>
      <c r="E135" s="359">
        <f>'DEFINITIF (APBNP)'!E687</f>
        <v>1000000</v>
      </c>
      <c r="F135" s="583">
        <f t="shared" si="2"/>
        <v>1000000</v>
      </c>
      <c r="G135" s="361"/>
      <c r="H135" s="366"/>
      <c r="J135" s="366"/>
      <c r="L135" s="364"/>
      <c r="M135" s="365"/>
      <c r="N135" s="366"/>
    </row>
    <row r="136" spans="1:14" s="363" customFormat="1" ht="15" customHeight="1" x14ac:dyDescent="0.25">
      <c r="A136" s="582"/>
      <c r="B136" s="359" t="str">
        <f>'DEFINITIF (APBNP)'!B688</f>
        <v xml:space="preserve">Kawunganten - Gandrungmangu </v>
      </c>
      <c r="C136" s="359">
        <f>'DEFINITIF (APBNP)'!C688</f>
        <v>0</v>
      </c>
      <c r="D136" s="359">
        <f>'DEFINITIF (APBNP)'!D688</f>
        <v>0</v>
      </c>
      <c r="E136" s="359">
        <f>'DEFINITIF (APBNP)'!E688</f>
        <v>0</v>
      </c>
      <c r="F136" s="583">
        <f t="shared" si="2"/>
        <v>0</v>
      </c>
      <c r="G136" s="361"/>
      <c r="H136" s="366"/>
      <c r="J136" s="366"/>
      <c r="L136" s="364"/>
      <c r="M136" s="365"/>
      <c r="N136" s="366"/>
    </row>
    <row r="137" spans="1:14" s="363" customFormat="1" ht="15" customHeight="1" x14ac:dyDescent="0.25">
      <c r="A137" s="582"/>
      <c r="B137" s="359" t="str">
        <f>'DEFINITIF (APBNP)'!B689</f>
        <v>Sidareja - Cinangsi</v>
      </c>
      <c r="C137" s="359">
        <f>'DEFINITIF (APBNP)'!C689</f>
        <v>0</v>
      </c>
      <c r="D137" s="359">
        <f>'DEFINITIF (APBNP)'!D689</f>
        <v>0</v>
      </c>
      <c r="E137" s="359">
        <f>'DEFINITIF (APBNP)'!E689</f>
        <v>0</v>
      </c>
      <c r="F137" s="583">
        <f t="shared" si="2"/>
        <v>0</v>
      </c>
      <c r="G137" s="361"/>
      <c r="H137" s="366"/>
      <c r="J137" s="366"/>
      <c r="L137" s="364"/>
      <c r="M137" s="365"/>
      <c r="N137" s="366"/>
    </row>
    <row r="138" spans="1:14" s="363" customFormat="1" ht="15" customHeight="1" x14ac:dyDescent="0.25">
      <c r="A138" s="582"/>
      <c r="B138" s="359" t="str">
        <f>'DEFINITIF (APBNP)'!B691</f>
        <v>Belanja Uang Honor Tidak Tetap</v>
      </c>
      <c r="C138" s="359">
        <f>'DEFINITIF (APBNP)'!C691</f>
        <v>0</v>
      </c>
      <c r="D138" s="359">
        <f>'DEFINITIF (APBNP)'!D691</f>
        <v>0</v>
      </c>
      <c r="E138" s="359">
        <f>'DEFINITIF (APBNP)'!E691</f>
        <v>0</v>
      </c>
      <c r="F138" s="583">
        <f t="shared" si="2"/>
        <v>0</v>
      </c>
      <c r="G138" s="361"/>
      <c r="H138" s="366"/>
      <c r="J138" s="366"/>
      <c r="L138" s="364"/>
      <c r="M138" s="365"/>
      <c r="N138" s="366"/>
    </row>
    <row r="139" spans="1:14" s="363" customFormat="1" ht="15" customHeight="1" x14ac:dyDescent="0.25">
      <c r="A139" s="582"/>
      <c r="B139" s="359" t="str">
        <f>'DEFINITIF (APBNP)'!B692</f>
        <v>- Pengawasan Subsidi Operasi Bus Perintis</v>
      </c>
      <c r="C139" s="359">
        <f>'DEFINITIF (APBNP)'!C692</f>
        <v>1</v>
      </c>
      <c r="D139" s="359" t="str">
        <f>'DEFINITIF (APBNP)'!D692</f>
        <v>TH</v>
      </c>
      <c r="E139" s="359">
        <f>'DEFINITIF (APBNP)'!E692</f>
        <v>40000</v>
      </c>
      <c r="F139" s="583">
        <f t="shared" si="2"/>
        <v>40000</v>
      </c>
      <c r="G139" s="361"/>
      <c r="H139" s="366"/>
      <c r="J139" s="366"/>
      <c r="L139" s="364"/>
      <c r="M139" s="365"/>
      <c r="N139" s="366"/>
    </row>
    <row r="140" spans="1:14" s="363" customFormat="1" ht="15" customHeight="1" x14ac:dyDescent="0.25">
      <c r="A140" s="582"/>
      <c r="B140" s="359"/>
      <c r="C140" s="359"/>
      <c r="D140" s="359"/>
      <c r="E140" s="359"/>
      <c r="F140" s="583"/>
      <c r="G140" s="361"/>
      <c r="H140" s="366"/>
      <c r="J140" s="366"/>
      <c r="L140" s="364"/>
      <c r="M140" s="365"/>
      <c r="N140" s="366"/>
    </row>
    <row r="141" spans="1:14" s="355" customFormat="1" ht="15" customHeight="1" x14ac:dyDescent="0.25">
      <c r="A141" s="573">
        <v>13</v>
      </c>
      <c r="B141" s="587" t="s">
        <v>858</v>
      </c>
      <c r="C141" s="587">
        <v>2</v>
      </c>
      <c r="D141" s="589"/>
      <c r="E141" s="589"/>
      <c r="F141" s="588">
        <f>SUM(F142:F148)</f>
        <v>1040000</v>
      </c>
      <c r="G141" s="353"/>
      <c r="H141" s="354"/>
      <c r="J141" s="354"/>
      <c r="L141" s="356"/>
      <c r="M141" s="357"/>
      <c r="N141" s="354"/>
    </row>
    <row r="142" spans="1:14" s="363" customFormat="1" ht="15" customHeight="1" x14ac:dyDescent="0.25">
      <c r="A142" s="582"/>
      <c r="B142" s="359" t="str">
        <f>'DEFINITIF (APBNP)'!B799</f>
        <v>Belanja Barang Operasional Lainnya</v>
      </c>
      <c r="C142" s="359">
        <f>'DEFINITIF (APBNP)'!C799</f>
        <v>0</v>
      </c>
      <c r="D142" s="359">
        <f>'DEFINITIF (APBNP)'!D799</f>
        <v>0</v>
      </c>
      <c r="E142" s="359">
        <f>'DEFINITIF (APBNP)'!E799</f>
        <v>0</v>
      </c>
      <c r="F142" s="583">
        <f t="shared" si="2"/>
        <v>0</v>
      </c>
      <c r="G142" s="361"/>
      <c r="H142" s="366"/>
      <c r="J142" s="366"/>
      <c r="L142" s="364"/>
      <c r="M142" s="365"/>
      <c r="N142" s="366"/>
    </row>
    <row r="143" spans="1:14" s="363" customFormat="1" ht="15" customHeight="1" x14ac:dyDescent="0.25">
      <c r="A143" s="582"/>
      <c r="B143" s="359" t="str">
        <f>'DEFINITIF (APBNP)'!B800</f>
        <v>Subsidi Operasi Bus Perintis (3 trayek)</v>
      </c>
      <c r="C143" s="359">
        <f>'DEFINITIF (APBNP)'!C800</f>
        <v>1</v>
      </c>
      <c r="D143" s="359" t="str">
        <f>'DEFINITIF (APBNP)'!D800</f>
        <v>TH</v>
      </c>
      <c r="E143" s="359">
        <f>'DEFINITIF (APBNP)'!E800</f>
        <v>1000000</v>
      </c>
      <c r="F143" s="583">
        <f>C143*E143</f>
        <v>1000000</v>
      </c>
      <c r="G143" s="361"/>
      <c r="H143" s="366"/>
      <c r="J143" s="366"/>
      <c r="L143" s="364"/>
      <c r="M143" s="365"/>
      <c r="N143" s="366"/>
    </row>
    <row r="144" spans="1:14" s="363" customFormat="1" ht="15" customHeight="1" x14ac:dyDescent="0.25">
      <c r="A144" s="582"/>
      <c r="B144" s="359" t="str">
        <f>'DEFINITIF (APBNP)'!B801</f>
        <v>Terminal Seloaji-Sarangan</v>
      </c>
      <c r="C144" s="359">
        <f>'DEFINITIF (APBNP)'!C801</f>
        <v>0</v>
      </c>
      <c r="D144" s="359">
        <f>'DEFINITIF (APBNP)'!D801</f>
        <v>0</v>
      </c>
      <c r="E144" s="359">
        <f>'DEFINITIF (APBNP)'!E801</f>
        <v>0</v>
      </c>
      <c r="F144" s="583">
        <f>C144*E144</f>
        <v>0</v>
      </c>
      <c r="G144" s="361"/>
      <c r="H144" s="366"/>
      <c r="J144" s="366"/>
      <c r="L144" s="364"/>
      <c r="M144" s="365"/>
      <c r="N144" s="366"/>
    </row>
    <row r="145" spans="1:14" s="363" customFormat="1" ht="15" customHeight="1" x14ac:dyDescent="0.25">
      <c r="A145" s="582"/>
      <c r="B145" s="359" t="str">
        <f>'DEFINITIF (APBNP)'!B802</f>
        <v>Jajag-Sarongan</v>
      </c>
      <c r="C145" s="359">
        <f>'DEFINITIF (APBNP)'!C802</f>
        <v>0</v>
      </c>
      <c r="D145" s="359">
        <f>'DEFINITIF (APBNP)'!D802</f>
        <v>0</v>
      </c>
      <c r="E145" s="359">
        <f>'DEFINITIF (APBNP)'!E802</f>
        <v>0</v>
      </c>
      <c r="F145" s="583">
        <f t="shared" si="2"/>
        <v>0</v>
      </c>
      <c r="G145" s="361"/>
      <c r="H145" s="366"/>
      <c r="J145" s="366"/>
      <c r="L145" s="364"/>
      <c r="M145" s="365"/>
      <c r="N145" s="366"/>
    </row>
    <row r="146" spans="1:14" s="363" customFormat="1" ht="15" customHeight="1" x14ac:dyDescent="0.25">
      <c r="A146" s="582"/>
      <c r="B146" s="359" t="str">
        <f>'DEFINITIF (APBNP)'!B803</f>
        <v>Banyuwangi-Bondowoso</v>
      </c>
      <c r="C146" s="359">
        <f>'DEFINITIF (APBNP)'!C803</f>
        <v>0</v>
      </c>
      <c r="D146" s="359">
        <f>'DEFINITIF (APBNP)'!D803</f>
        <v>0</v>
      </c>
      <c r="E146" s="359">
        <f>'DEFINITIF (APBNP)'!E803</f>
        <v>0</v>
      </c>
      <c r="F146" s="583">
        <f t="shared" si="2"/>
        <v>0</v>
      </c>
      <c r="G146" s="361"/>
      <c r="H146" s="366"/>
      <c r="J146" s="366"/>
      <c r="L146" s="364"/>
      <c r="M146" s="365"/>
      <c r="N146" s="366"/>
    </row>
    <row r="147" spans="1:14" s="363" customFormat="1" ht="15" customHeight="1" x14ac:dyDescent="0.25">
      <c r="A147" s="582"/>
      <c r="B147" s="359" t="str">
        <f>'DEFINITIF (APBNP)'!B804</f>
        <v>Belanja Uang Honor Tidak Tetap</v>
      </c>
      <c r="C147" s="359">
        <f>'DEFINITIF (APBNP)'!C804</f>
        <v>0</v>
      </c>
      <c r="D147" s="359">
        <f>'DEFINITIF (APBNP)'!D804</f>
        <v>0</v>
      </c>
      <c r="E147" s="359">
        <f>'DEFINITIF (APBNP)'!E804</f>
        <v>0</v>
      </c>
      <c r="F147" s="583">
        <f t="shared" si="2"/>
        <v>0</v>
      </c>
      <c r="G147" s="361"/>
      <c r="H147" s="366"/>
      <c r="J147" s="366"/>
      <c r="L147" s="364"/>
      <c r="M147" s="365"/>
      <c r="N147" s="366"/>
    </row>
    <row r="148" spans="1:14" s="363" customFormat="1" ht="15" customHeight="1" x14ac:dyDescent="0.25">
      <c r="A148" s="582"/>
      <c r="B148" s="359" t="str">
        <f>'DEFINITIF (APBNP)'!B805</f>
        <v>- Pengawasan Subsidi Operasi Bus Perintis</v>
      </c>
      <c r="C148" s="359">
        <f>'DEFINITIF (APBNP)'!C805</f>
        <v>1</v>
      </c>
      <c r="D148" s="359" t="str">
        <f>'DEFINITIF (APBNP)'!D805</f>
        <v>TH</v>
      </c>
      <c r="E148" s="359">
        <f>'DEFINITIF (APBNP)'!E805</f>
        <v>40000</v>
      </c>
      <c r="F148" s="583">
        <f t="shared" si="2"/>
        <v>40000</v>
      </c>
      <c r="G148" s="361"/>
      <c r="H148" s="366"/>
      <c r="J148" s="366"/>
      <c r="L148" s="364"/>
      <c r="M148" s="365"/>
      <c r="N148" s="366"/>
    </row>
    <row r="149" spans="1:14" s="363" customFormat="1" ht="15" customHeight="1" x14ac:dyDescent="0.25">
      <c r="A149" s="582"/>
      <c r="B149" s="359">
        <f>'DEFINITIF (APBNP)'!B806</f>
        <v>0</v>
      </c>
      <c r="C149" s="359">
        <f>'DEFINITIF (APBNP)'!C806</f>
        <v>0</v>
      </c>
      <c r="D149" s="359">
        <f>'DEFINITIF (APBNP)'!D806</f>
        <v>0</v>
      </c>
      <c r="E149" s="359">
        <f>'DEFINITIF (APBNP)'!E806</f>
        <v>0</v>
      </c>
      <c r="F149" s="583">
        <f t="shared" si="2"/>
        <v>0</v>
      </c>
      <c r="G149" s="361"/>
      <c r="H149" s="366"/>
      <c r="J149" s="366"/>
      <c r="L149" s="364"/>
      <c r="M149" s="365"/>
      <c r="N149" s="366"/>
    </row>
    <row r="150" spans="1:14" s="355" customFormat="1" ht="15" customHeight="1" x14ac:dyDescent="0.25">
      <c r="A150" s="573">
        <v>14</v>
      </c>
      <c r="B150" s="587" t="s">
        <v>793</v>
      </c>
      <c r="C150" s="587">
        <v>7</v>
      </c>
      <c r="D150" s="589"/>
      <c r="E150" s="589"/>
      <c r="F150" s="588">
        <f>SUM(F151:F164)</f>
        <v>2833600</v>
      </c>
      <c r="G150" s="353"/>
      <c r="H150" s="354"/>
      <c r="J150" s="354"/>
      <c r="L150" s="356"/>
      <c r="M150" s="357"/>
      <c r="N150" s="354"/>
    </row>
    <row r="151" spans="1:14" s="363" customFormat="1" ht="15" customHeight="1" x14ac:dyDescent="0.25">
      <c r="A151" s="582"/>
      <c r="B151" s="359" t="str">
        <f>'DEFINITIF (APBNP)'!B879</f>
        <v>Belanja Barang Operasional Lainnya</v>
      </c>
      <c r="C151" s="359">
        <f>'DEFINITIF (APBNP)'!C879</f>
        <v>0</v>
      </c>
      <c r="D151" s="359">
        <f>'DEFINITIF (APBNP)'!D879</f>
        <v>0</v>
      </c>
      <c r="E151" s="359">
        <f>'DEFINITIF (APBNP)'!E879</f>
        <v>0</v>
      </c>
      <c r="F151" s="583">
        <f t="shared" si="2"/>
        <v>0</v>
      </c>
      <c r="G151" s="361"/>
      <c r="H151" s="362"/>
      <c r="J151" s="362"/>
      <c r="L151" s="364"/>
      <c r="M151" s="365"/>
      <c r="N151" s="362"/>
    </row>
    <row r="152" spans="1:14" s="363" customFormat="1" ht="15" customHeight="1" x14ac:dyDescent="0.25">
      <c r="A152" s="582"/>
      <c r="B152" s="359" t="str">
        <f>'DEFINITIF (APBNP)'!B880</f>
        <v>Subsidi Operasi Bus Perintis (7 trayek)</v>
      </c>
      <c r="C152" s="359">
        <f>'DEFINITIF (APBNP)'!C880</f>
        <v>1</v>
      </c>
      <c r="D152" s="359" t="str">
        <f>'DEFINITIF (APBNP)'!D880</f>
        <v>TH</v>
      </c>
      <c r="E152" s="359">
        <f>'DEFINITIF (APBNP)'!E880</f>
        <v>2800000</v>
      </c>
      <c r="F152" s="583">
        <f t="shared" si="2"/>
        <v>2800000</v>
      </c>
      <c r="G152" s="361"/>
      <c r="H152" s="362"/>
      <c r="J152" s="362"/>
      <c r="L152" s="364"/>
      <c r="M152" s="365"/>
      <c r="N152" s="362"/>
    </row>
    <row r="153" spans="1:14" s="363" customFormat="1" ht="15" customHeight="1" x14ac:dyDescent="0.25">
      <c r="A153" s="582"/>
      <c r="B153" s="359" t="str">
        <f>'DEFINITIF (APBNP)'!B881</f>
        <v>Mataram - Orongtelu</v>
      </c>
      <c r="C153" s="359">
        <f>'DEFINITIF (APBNP)'!C881</f>
        <v>0</v>
      </c>
      <c r="D153" s="359">
        <f>'DEFINITIF (APBNP)'!D881</f>
        <v>0</v>
      </c>
      <c r="E153" s="359">
        <f>'DEFINITIF (APBNP)'!E881</f>
        <v>0</v>
      </c>
      <c r="F153" s="583">
        <f t="shared" si="2"/>
        <v>0</v>
      </c>
      <c r="G153" s="361"/>
      <c r="H153" s="362"/>
      <c r="J153" s="362"/>
      <c r="L153" s="364"/>
      <c r="M153" s="365"/>
      <c r="N153" s="362"/>
    </row>
    <row r="154" spans="1:14" s="363" customFormat="1" ht="15" customHeight="1" x14ac:dyDescent="0.25">
      <c r="A154" s="582"/>
      <c r="B154" s="359" t="str">
        <f>'DEFINITIF (APBNP)'!B882</f>
        <v xml:space="preserve">Mataram - Teluk Awang </v>
      </c>
      <c r="C154" s="359">
        <f>'DEFINITIF (APBNP)'!C882</f>
        <v>0</v>
      </c>
      <c r="D154" s="359">
        <f>'DEFINITIF (APBNP)'!D882</f>
        <v>0</v>
      </c>
      <c r="E154" s="359">
        <f>'DEFINITIF (APBNP)'!E882</f>
        <v>0</v>
      </c>
      <c r="F154" s="583">
        <f t="shared" si="2"/>
        <v>0</v>
      </c>
      <c r="G154" s="361"/>
      <c r="H154" s="362"/>
      <c r="J154" s="362"/>
      <c r="L154" s="364"/>
      <c r="M154" s="365"/>
      <c r="N154" s="362"/>
    </row>
    <row r="155" spans="1:14" s="363" customFormat="1" ht="15" customHeight="1" x14ac:dyDescent="0.25">
      <c r="A155" s="582"/>
      <c r="B155" s="359" t="str">
        <f>'DEFINITIF (APBNP)'!B883</f>
        <v>Mataram - Moyo Hilir</v>
      </c>
      <c r="C155" s="359">
        <f>'DEFINITIF (APBNP)'!C883</f>
        <v>0</v>
      </c>
      <c r="D155" s="359">
        <f>'DEFINITIF (APBNP)'!D883</f>
        <v>0</v>
      </c>
      <c r="E155" s="359">
        <f>'DEFINITIF (APBNP)'!E883</f>
        <v>0</v>
      </c>
      <c r="F155" s="583">
        <f t="shared" si="2"/>
        <v>0</v>
      </c>
      <c r="G155" s="361"/>
      <c r="H155" s="362"/>
      <c r="J155" s="362"/>
      <c r="L155" s="364"/>
      <c r="M155" s="365"/>
      <c r="N155" s="362"/>
    </row>
    <row r="156" spans="1:14" s="363" customFormat="1" ht="15" customHeight="1" x14ac:dyDescent="0.25">
      <c r="A156" s="582"/>
      <c r="B156" s="359" t="str">
        <f>'DEFINITIF (APBNP)'!B884</f>
        <v xml:space="preserve">Mataram - Sumbawa Besar - Ropang </v>
      </c>
      <c r="C156" s="359">
        <f>'DEFINITIF (APBNP)'!C884</f>
        <v>0</v>
      </c>
      <c r="D156" s="359">
        <f>'DEFINITIF (APBNP)'!D884</f>
        <v>0</v>
      </c>
      <c r="E156" s="359">
        <f>'DEFINITIF (APBNP)'!E884</f>
        <v>0</v>
      </c>
      <c r="F156" s="583">
        <f t="shared" si="2"/>
        <v>0</v>
      </c>
      <c r="G156" s="361"/>
      <c r="H156" s="362"/>
      <c r="J156" s="362"/>
      <c r="L156" s="364"/>
      <c r="M156" s="365"/>
      <c r="N156" s="362"/>
    </row>
    <row r="157" spans="1:14" s="363" customFormat="1" ht="15" customHeight="1" x14ac:dyDescent="0.25">
      <c r="A157" s="582"/>
      <c r="B157" s="359" t="str">
        <f>'DEFINITIF (APBNP)'!B885</f>
        <v>Mataram - Sumbawa - Matta</v>
      </c>
      <c r="C157" s="359">
        <f>'DEFINITIF (APBNP)'!C885</f>
        <v>0</v>
      </c>
      <c r="D157" s="359">
        <f>'DEFINITIF (APBNP)'!D885</f>
        <v>0</v>
      </c>
      <c r="E157" s="359">
        <f>'DEFINITIF (APBNP)'!E885</f>
        <v>0</v>
      </c>
      <c r="F157" s="583">
        <f t="shared" si="2"/>
        <v>0</v>
      </c>
      <c r="G157" s="361"/>
      <c r="H157" s="362"/>
      <c r="J157" s="362"/>
      <c r="L157" s="364"/>
      <c r="M157" s="365"/>
      <c r="N157" s="362"/>
    </row>
    <row r="158" spans="1:14" s="363" customFormat="1" ht="15" customHeight="1" x14ac:dyDescent="0.25">
      <c r="A158" s="582"/>
      <c r="B158" s="359" t="str">
        <f>'DEFINITIF (APBNP)'!B886</f>
        <v xml:space="preserve">Mataram - Sumbawa - Sampar Goal </v>
      </c>
      <c r="C158" s="359">
        <f>'DEFINITIF (APBNP)'!C886</f>
        <v>0</v>
      </c>
      <c r="D158" s="359">
        <f>'DEFINITIF (APBNP)'!D886</f>
        <v>0</v>
      </c>
      <c r="E158" s="359">
        <f>'DEFINITIF (APBNP)'!E886</f>
        <v>0</v>
      </c>
      <c r="F158" s="583">
        <f t="shared" si="2"/>
        <v>0</v>
      </c>
      <c r="G158" s="361"/>
      <c r="H158" s="362"/>
      <c r="J158" s="362"/>
      <c r="L158" s="364"/>
      <c r="M158" s="365"/>
      <c r="N158" s="362"/>
    </row>
    <row r="159" spans="1:14" s="363" customFormat="1" ht="15" customHeight="1" x14ac:dyDescent="0.25">
      <c r="A159" s="582"/>
      <c r="B159" s="359" t="str">
        <f>'DEFINITIF (APBNP)'!B887</f>
        <v>Sumbawa - Teloi</v>
      </c>
      <c r="C159" s="359">
        <f>'DEFINITIF (APBNP)'!C887</f>
        <v>0</v>
      </c>
      <c r="D159" s="359">
        <f>'DEFINITIF (APBNP)'!D887</f>
        <v>0</v>
      </c>
      <c r="E159" s="359">
        <f>'DEFINITIF (APBNP)'!E887</f>
        <v>0</v>
      </c>
      <c r="F159" s="583">
        <f t="shared" si="2"/>
        <v>0</v>
      </c>
      <c r="G159" s="361"/>
      <c r="H159" s="362"/>
      <c r="J159" s="362"/>
      <c r="L159" s="364"/>
      <c r="M159" s="365"/>
      <c r="N159" s="362"/>
    </row>
    <row r="160" spans="1:14" s="363" customFormat="1" ht="15" customHeight="1" x14ac:dyDescent="0.25">
      <c r="A160" s="582"/>
      <c r="B160" s="359">
        <f>'DEFINITIF (APBNP)'!B888</f>
        <v>0</v>
      </c>
      <c r="C160" s="359">
        <f>'DEFINITIF (APBNP)'!C888</f>
        <v>0</v>
      </c>
      <c r="D160" s="359">
        <f>'DEFINITIF (APBNP)'!D888</f>
        <v>0</v>
      </c>
      <c r="E160" s="359">
        <f>'DEFINITIF (APBNP)'!E888</f>
        <v>0</v>
      </c>
      <c r="F160" s="583">
        <f t="shared" si="2"/>
        <v>0</v>
      </c>
      <c r="G160" s="361"/>
      <c r="H160" s="362"/>
      <c r="J160" s="362"/>
      <c r="L160" s="364"/>
      <c r="M160" s="365"/>
      <c r="N160" s="362"/>
    </row>
    <row r="161" spans="1:14" s="363" customFormat="1" ht="15" customHeight="1" x14ac:dyDescent="0.25">
      <c r="A161" s="582"/>
      <c r="B161" s="359">
        <f>'DEFINITIF (APBNP)'!B889</f>
        <v>0</v>
      </c>
      <c r="C161" s="359">
        <f>'DEFINITIF (APBNP)'!C889</f>
        <v>0</v>
      </c>
      <c r="D161" s="359">
        <f>'DEFINITIF (APBNP)'!D889</f>
        <v>0</v>
      </c>
      <c r="E161" s="359">
        <f>'DEFINITIF (APBNP)'!E889</f>
        <v>0</v>
      </c>
      <c r="F161" s="583">
        <f t="shared" si="2"/>
        <v>0</v>
      </c>
      <c r="G161" s="361"/>
      <c r="H161" s="362"/>
      <c r="J161" s="362"/>
      <c r="L161" s="364"/>
      <c r="M161" s="365"/>
      <c r="N161" s="362"/>
    </row>
    <row r="162" spans="1:14" s="363" customFormat="1" ht="15" customHeight="1" x14ac:dyDescent="0.25">
      <c r="A162" s="582"/>
      <c r="B162" s="359" t="str">
        <f>'DEFINITIF (APBNP)'!B890</f>
        <v>Belanja Uang Honor Tidak Tetap</v>
      </c>
      <c r="C162" s="359">
        <f>'DEFINITIF (APBNP)'!C890</f>
        <v>0</v>
      </c>
      <c r="D162" s="359">
        <f>'DEFINITIF (APBNP)'!D890</f>
        <v>0</v>
      </c>
      <c r="E162" s="359">
        <f>'DEFINITIF (APBNP)'!E890</f>
        <v>0</v>
      </c>
      <c r="F162" s="583">
        <f t="shared" si="2"/>
        <v>0</v>
      </c>
      <c r="G162" s="361"/>
      <c r="H162" s="362"/>
      <c r="J162" s="362"/>
      <c r="L162" s="364"/>
      <c r="M162" s="365"/>
      <c r="N162" s="362"/>
    </row>
    <row r="163" spans="1:14" s="363" customFormat="1" ht="15" customHeight="1" x14ac:dyDescent="0.25">
      <c r="A163" s="582"/>
      <c r="B163" s="359" t="str">
        <f>'DEFINITIF (APBNP)'!B891</f>
        <v>- Pengawasan Subsidi Operasi Bus Perintis</v>
      </c>
      <c r="C163" s="359">
        <f>'DEFINITIF (APBNP)'!C891</f>
        <v>1</v>
      </c>
      <c r="D163" s="359" t="str">
        <f>'DEFINITIF (APBNP)'!D891</f>
        <v>TH</v>
      </c>
      <c r="E163" s="359">
        <f>'DEFINITIF (APBNP)'!E891</f>
        <v>33600</v>
      </c>
      <c r="F163" s="583">
        <f t="shared" si="2"/>
        <v>33600</v>
      </c>
      <c r="G163" s="361"/>
      <c r="H163" s="362"/>
      <c r="J163" s="362"/>
      <c r="L163" s="364"/>
      <c r="M163" s="365"/>
      <c r="N163" s="362"/>
    </row>
    <row r="164" spans="1:14" s="363" customFormat="1" ht="15" customHeight="1" x14ac:dyDescent="0.25">
      <c r="A164" s="582"/>
      <c r="B164" s="359"/>
      <c r="C164" s="359"/>
      <c r="D164" s="359"/>
      <c r="E164" s="359"/>
      <c r="F164" s="360"/>
      <c r="G164" s="361"/>
      <c r="H164" s="362"/>
      <c r="J164" s="362"/>
      <c r="L164" s="364"/>
      <c r="M164" s="365"/>
      <c r="N164" s="362"/>
    </row>
    <row r="165" spans="1:14" s="355" customFormat="1" ht="15" customHeight="1" x14ac:dyDescent="0.25">
      <c r="A165" s="573">
        <v>15</v>
      </c>
      <c r="B165" s="587" t="s">
        <v>795</v>
      </c>
      <c r="C165" s="587">
        <v>31</v>
      </c>
      <c r="D165" s="587"/>
      <c r="E165" s="589"/>
      <c r="F165" s="588">
        <f>SUM(F166:F174)</f>
        <v>4875000</v>
      </c>
      <c r="G165" s="353"/>
      <c r="H165" s="354"/>
      <c r="J165" s="354"/>
      <c r="L165" s="356"/>
      <c r="M165" s="357"/>
      <c r="N165" s="354"/>
    </row>
    <row r="166" spans="1:14" s="363" customFormat="1" ht="15" customHeight="1" x14ac:dyDescent="0.25">
      <c r="A166" s="597"/>
      <c r="B166" s="359" t="str">
        <f>'DEFINITIF (APBNP)'!B940</f>
        <v>Belanja Barang Operasional Lainnya</v>
      </c>
      <c r="C166" s="359">
        <f>'DEFINITIF (APBNP)'!C940</f>
        <v>0</v>
      </c>
      <c r="D166" s="359">
        <f>'DEFINITIF (APBNP)'!D940</f>
        <v>0</v>
      </c>
      <c r="E166" s="359">
        <f>'DEFINITIF (APBNP)'!E940</f>
        <v>0</v>
      </c>
      <c r="F166" s="360">
        <f t="shared" ref="F166:F231" si="3">C166*E166</f>
        <v>0</v>
      </c>
      <c r="G166" s="361"/>
      <c r="H166" s="362"/>
      <c r="J166" s="362"/>
      <c r="L166" s="364"/>
      <c r="M166" s="365"/>
      <c r="N166" s="362"/>
    </row>
    <row r="167" spans="1:14" s="363" customFormat="1" ht="15" customHeight="1" x14ac:dyDescent="0.25">
      <c r="A167" s="597"/>
      <c r="B167" s="359" t="str">
        <f>'DEFINITIF (APBNP)'!B941</f>
        <v>Subsidi Operasi Bus Perintis (4 stasiun, 31 trayek)</v>
      </c>
      <c r="C167" s="359">
        <f>'DEFINITIF (APBNP)'!C941</f>
        <v>1</v>
      </c>
      <c r="D167" s="359" t="str">
        <f>'DEFINITIF (APBNP)'!D941</f>
        <v>TH</v>
      </c>
      <c r="E167" s="359">
        <f>'DEFINITIF (APBNP)'!E941</f>
        <v>4800000</v>
      </c>
      <c r="F167" s="360">
        <f t="shared" si="3"/>
        <v>4800000</v>
      </c>
      <c r="G167" s="361"/>
      <c r="H167" s="362"/>
      <c r="J167" s="362"/>
      <c r="L167" s="364"/>
      <c r="M167" s="365"/>
      <c r="N167" s="362"/>
    </row>
    <row r="168" spans="1:14" s="363" customFormat="1" ht="15" customHeight="1" x14ac:dyDescent="0.25">
      <c r="A168" s="597"/>
      <c r="B168" s="359" t="str">
        <f>'DEFINITIF (APBNP)'!B942</f>
        <v xml:space="preserve">-. Stasiun Kefamenanu </v>
      </c>
      <c r="C168" s="359">
        <f>'DEFINITIF (APBNP)'!C942</f>
        <v>0</v>
      </c>
      <c r="D168" s="359">
        <f>'DEFINITIF (APBNP)'!D942</f>
        <v>0</v>
      </c>
      <c r="E168" s="359">
        <f>'DEFINITIF (APBNP)'!E942</f>
        <v>0</v>
      </c>
      <c r="F168" s="360">
        <f t="shared" si="3"/>
        <v>0</v>
      </c>
      <c r="G168" s="361"/>
      <c r="H168" s="362"/>
      <c r="J168" s="362"/>
      <c r="L168" s="364"/>
      <c r="M168" s="365"/>
      <c r="N168" s="362"/>
    </row>
    <row r="169" spans="1:14" s="363" customFormat="1" ht="15" customHeight="1" x14ac:dyDescent="0.25">
      <c r="A169" s="597"/>
      <c r="B169" s="359" t="str">
        <f>'DEFINITIF (APBNP)'!B950</f>
        <v>-. Stasiun Kupang (7) (Total 10)</v>
      </c>
      <c r="C169" s="359">
        <f>'DEFINITIF (APBNP)'!C950</f>
        <v>0</v>
      </c>
      <c r="D169" s="359">
        <f>'DEFINITIF (APBNP)'!D950</f>
        <v>0</v>
      </c>
      <c r="E169" s="359">
        <f>'DEFINITIF (APBNP)'!E950</f>
        <v>0</v>
      </c>
      <c r="F169" s="360">
        <f t="shared" si="3"/>
        <v>0</v>
      </c>
      <c r="G169" s="361"/>
      <c r="H169" s="362"/>
      <c r="J169" s="362"/>
      <c r="L169" s="364"/>
      <c r="M169" s="365"/>
      <c r="N169" s="362"/>
    </row>
    <row r="170" spans="1:14" s="363" customFormat="1" ht="15" customHeight="1" x14ac:dyDescent="0.25">
      <c r="A170" s="597"/>
      <c r="B170" s="359" t="str">
        <f>'DEFINITIF (APBNP)'!B964</f>
        <v>- Stasiun Kefamenanu</v>
      </c>
      <c r="C170" s="359">
        <f>'DEFINITIF (APBNP)'!C964</f>
        <v>0</v>
      </c>
      <c r="D170" s="359">
        <f>'DEFINITIF (APBNP)'!D964</f>
        <v>0</v>
      </c>
      <c r="E170" s="359">
        <f>'DEFINITIF (APBNP)'!E964</f>
        <v>0</v>
      </c>
      <c r="F170" s="360">
        <f t="shared" si="3"/>
        <v>0</v>
      </c>
      <c r="G170" s="361"/>
      <c r="H170" s="362"/>
      <c r="J170" s="362"/>
      <c r="L170" s="364"/>
      <c r="M170" s="365"/>
      <c r="N170" s="362"/>
    </row>
    <row r="171" spans="1:14" s="363" customFormat="1" ht="15" customHeight="1" x14ac:dyDescent="0.25">
      <c r="A171" s="597"/>
      <c r="B171" s="359" t="str">
        <f>'DEFINITIF (APBNP)'!B974</f>
        <v>-. Stasiun Waingapu (6) (Total 7)</v>
      </c>
      <c r="C171" s="359">
        <f>'DEFINITIF (APBNP)'!C974</f>
        <v>0</v>
      </c>
      <c r="D171" s="359">
        <f>'DEFINITIF (APBNP)'!D974</f>
        <v>0</v>
      </c>
      <c r="E171" s="359">
        <f>'DEFINITIF (APBNP)'!E974</f>
        <v>0</v>
      </c>
      <c r="F171" s="360">
        <f t="shared" si="3"/>
        <v>0</v>
      </c>
      <c r="G171" s="361"/>
      <c r="H171" s="362"/>
      <c r="J171" s="362"/>
      <c r="L171" s="364"/>
      <c r="M171" s="365"/>
      <c r="N171" s="362"/>
    </row>
    <row r="172" spans="1:14" s="363" customFormat="1" ht="15" customHeight="1" x14ac:dyDescent="0.25">
      <c r="A172" s="597"/>
      <c r="B172" s="359">
        <f>'DEFINITIF (APBNP)'!B982</f>
        <v>0</v>
      </c>
      <c r="C172" s="359">
        <f>'DEFINITIF (APBNP)'!C982</f>
        <v>0</v>
      </c>
      <c r="D172" s="359">
        <f>'DEFINITIF (APBNP)'!D982</f>
        <v>0</v>
      </c>
      <c r="E172" s="359">
        <f>'DEFINITIF (APBNP)'!E982</f>
        <v>0</v>
      </c>
      <c r="F172" s="360">
        <f t="shared" si="3"/>
        <v>0</v>
      </c>
      <c r="G172" s="361"/>
      <c r="H172" s="362"/>
      <c r="J172" s="362"/>
      <c r="L172" s="364"/>
      <c r="M172" s="365"/>
      <c r="N172" s="362"/>
    </row>
    <row r="173" spans="1:14" s="363" customFormat="1" ht="15" customHeight="1" x14ac:dyDescent="0.25">
      <c r="A173" s="597"/>
      <c r="B173" s="359" t="str">
        <f>'DEFINITIF (APBNP)'!B983</f>
        <v>Belanja Uang Honor Tidak Tetap</v>
      </c>
      <c r="C173" s="359">
        <f>'DEFINITIF (APBNP)'!C983</f>
        <v>0</v>
      </c>
      <c r="D173" s="359">
        <f>'DEFINITIF (APBNP)'!D983</f>
        <v>0</v>
      </c>
      <c r="E173" s="359">
        <f>'DEFINITIF (APBNP)'!E983</f>
        <v>0</v>
      </c>
      <c r="F173" s="360">
        <f t="shared" si="3"/>
        <v>0</v>
      </c>
      <c r="G173" s="361"/>
      <c r="H173" s="362"/>
      <c r="J173" s="362"/>
      <c r="L173" s="364"/>
      <c r="M173" s="365"/>
      <c r="N173" s="362"/>
    </row>
    <row r="174" spans="1:14" s="363" customFormat="1" ht="15" customHeight="1" x14ac:dyDescent="0.25">
      <c r="A174" s="597"/>
      <c r="B174" s="359" t="str">
        <f>'DEFINITIF (APBNP)'!B984</f>
        <v>- Pengawasan Subsidi Operasi Bus Perintis</v>
      </c>
      <c r="C174" s="359">
        <f>'DEFINITIF (APBNP)'!C984</f>
        <v>1</v>
      </c>
      <c r="D174" s="359" t="str">
        <f>'DEFINITIF (APBNP)'!D984</f>
        <v>TH</v>
      </c>
      <c r="E174" s="359">
        <f>'DEFINITIF (APBNP)'!E984</f>
        <v>75000</v>
      </c>
      <c r="F174" s="360">
        <f t="shared" si="3"/>
        <v>75000</v>
      </c>
      <c r="G174" s="361"/>
      <c r="H174" s="362"/>
      <c r="J174" s="362"/>
      <c r="L174" s="364"/>
      <c r="M174" s="365"/>
      <c r="N174" s="362"/>
    </row>
    <row r="175" spans="1:14" s="363" customFormat="1" ht="15" customHeight="1" x14ac:dyDescent="0.25">
      <c r="A175" s="597"/>
      <c r="B175" s="359"/>
      <c r="C175" s="359"/>
      <c r="D175" s="359"/>
      <c r="E175" s="359"/>
      <c r="F175" s="360"/>
      <c r="G175" s="361"/>
      <c r="H175" s="362"/>
      <c r="J175" s="362"/>
      <c r="L175" s="364"/>
      <c r="M175" s="365"/>
      <c r="N175" s="362"/>
    </row>
    <row r="176" spans="1:14" s="355" customFormat="1" ht="15" customHeight="1" x14ac:dyDescent="0.25">
      <c r="A176" s="573">
        <v>16</v>
      </c>
      <c r="B176" s="587" t="s">
        <v>799</v>
      </c>
      <c r="C176" s="587">
        <v>4</v>
      </c>
      <c r="D176" s="587"/>
      <c r="E176" s="589"/>
      <c r="F176" s="588">
        <f>SUM(F177:N185)</f>
        <v>2927734</v>
      </c>
      <c r="G176" s="353"/>
      <c r="H176" s="354"/>
      <c r="J176" s="354"/>
      <c r="L176" s="356"/>
      <c r="M176" s="357"/>
      <c r="N176" s="354"/>
    </row>
    <row r="177" spans="1:14" s="363" customFormat="1" ht="15" customHeight="1" x14ac:dyDescent="0.25">
      <c r="A177" s="597"/>
      <c r="B177" s="359" t="str">
        <f>'DEFINITIF (APBNP)'!B1031</f>
        <v>Belanja Barang Operasional Lainnya</v>
      </c>
      <c r="C177" s="359">
        <f>'DEFINITIF (APBNP)'!C1031</f>
        <v>0</v>
      </c>
      <c r="D177" s="359">
        <f>'DEFINITIF (APBNP)'!D1031</f>
        <v>0</v>
      </c>
      <c r="E177" s="359">
        <f>'DEFINITIF (APBNP)'!E1031</f>
        <v>0</v>
      </c>
      <c r="F177" s="360">
        <f t="shared" si="3"/>
        <v>0</v>
      </c>
      <c r="G177" s="361"/>
      <c r="H177" s="362"/>
      <c r="J177" s="362"/>
      <c r="L177" s="364"/>
      <c r="M177" s="365"/>
      <c r="N177" s="362"/>
    </row>
    <row r="178" spans="1:14" s="363" customFormat="1" ht="15" customHeight="1" x14ac:dyDescent="0.25">
      <c r="A178" s="597"/>
      <c r="B178" s="359" t="str">
        <f>'DEFINITIF (APBNP)'!B1032</f>
        <v>Subsidi Operasi Bus Perintis</v>
      </c>
      <c r="C178" s="359">
        <f>'DEFINITIF (APBNP)'!C1032</f>
        <v>1</v>
      </c>
      <c r="D178" s="359" t="str">
        <f>'DEFINITIF (APBNP)'!D1032</f>
        <v>TH</v>
      </c>
      <c r="E178" s="359">
        <f>'DEFINITIF (APBNP)'!E1032</f>
        <v>2831734</v>
      </c>
      <c r="F178" s="360">
        <f t="shared" si="3"/>
        <v>2831734</v>
      </c>
      <c r="G178" s="361"/>
      <c r="H178" s="362"/>
      <c r="J178" s="362"/>
      <c r="L178" s="364"/>
      <c r="M178" s="365"/>
      <c r="N178" s="362"/>
    </row>
    <row r="179" spans="1:14" s="363" customFormat="1" ht="15" customHeight="1" x14ac:dyDescent="0.25">
      <c r="A179" s="597"/>
      <c r="B179" s="359" t="str">
        <f>'DEFINITIF (APBNP)'!B1033</f>
        <v>Tayan-Ketapang</v>
      </c>
      <c r="C179" s="359">
        <f>'DEFINITIF (APBNP)'!C1033</f>
        <v>0</v>
      </c>
      <c r="D179" s="359">
        <f>'DEFINITIF (APBNP)'!D1033</f>
        <v>0</v>
      </c>
      <c r="E179" s="359">
        <f>'DEFINITIF (APBNP)'!E1033</f>
        <v>768269</v>
      </c>
      <c r="F179" s="360">
        <f t="shared" si="3"/>
        <v>0</v>
      </c>
      <c r="G179" s="361"/>
      <c r="H179" s="362"/>
      <c r="J179" s="362"/>
      <c r="L179" s="364"/>
      <c r="M179" s="365"/>
      <c r="N179" s="362"/>
    </row>
    <row r="180" spans="1:14" s="363" customFormat="1" ht="15" customHeight="1" x14ac:dyDescent="0.25">
      <c r="A180" s="597"/>
      <c r="B180" s="359" t="str">
        <f>'DEFINITIF (APBNP)'!B1034</f>
        <v>Sambas-Aruk</v>
      </c>
      <c r="C180" s="359">
        <f>'DEFINITIF (APBNP)'!C1034</f>
        <v>0</v>
      </c>
      <c r="D180" s="359">
        <f>'DEFINITIF (APBNP)'!D1034</f>
        <v>0</v>
      </c>
      <c r="E180" s="359">
        <f>'DEFINITIF (APBNP)'!E1034</f>
        <v>489290</v>
      </c>
      <c r="F180" s="360">
        <f t="shared" si="3"/>
        <v>0</v>
      </c>
      <c r="G180" s="361"/>
      <c r="H180" s="362"/>
      <c r="J180" s="362"/>
      <c r="L180" s="364"/>
      <c r="M180" s="365"/>
      <c r="N180" s="362"/>
    </row>
    <row r="181" spans="1:14" s="363" customFormat="1" ht="15" customHeight="1" x14ac:dyDescent="0.25">
      <c r="A181" s="597"/>
      <c r="B181" s="359" t="str">
        <f>'DEFINITIF (APBNP)'!B1035</f>
        <v>Bengkayang-Jagoi Babang</v>
      </c>
      <c r="C181" s="359">
        <f>'DEFINITIF (APBNP)'!C1035</f>
        <v>0</v>
      </c>
      <c r="D181" s="359">
        <f>'DEFINITIF (APBNP)'!D1035</f>
        <v>0</v>
      </c>
      <c r="E181" s="359">
        <f>'DEFINITIF (APBNP)'!E1035</f>
        <v>559268</v>
      </c>
      <c r="F181" s="360">
        <f t="shared" si="3"/>
        <v>0</v>
      </c>
      <c r="G181" s="361"/>
      <c r="H181" s="362"/>
      <c r="J181" s="362"/>
      <c r="L181" s="364"/>
      <c r="M181" s="365"/>
      <c r="N181" s="362"/>
    </row>
    <row r="182" spans="1:14" s="363" customFormat="1" ht="15" customHeight="1" x14ac:dyDescent="0.25">
      <c r="A182" s="597"/>
      <c r="B182" s="359" t="str">
        <f>'DEFINITIF (APBNP)'!B1036</f>
        <v>Putusibau-Puring Kencana</v>
      </c>
      <c r="C182" s="359">
        <f>'DEFINITIF (APBNP)'!C1036</f>
        <v>0</v>
      </c>
      <c r="D182" s="359">
        <f>'DEFINITIF (APBNP)'!D1036</f>
        <v>0</v>
      </c>
      <c r="E182" s="359">
        <f>'DEFINITIF (APBNP)'!E1036</f>
        <v>1014907</v>
      </c>
      <c r="F182" s="360">
        <f t="shared" si="3"/>
        <v>0</v>
      </c>
      <c r="G182" s="361"/>
      <c r="H182" s="362"/>
      <c r="J182" s="362"/>
      <c r="L182" s="364"/>
      <c r="M182" s="365"/>
      <c r="N182" s="362"/>
    </row>
    <row r="183" spans="1:14" s="363" customFormat="1" ht="15" customHeight="1" x14ac:dyDescent="0.25">
      <c r="A183" s="597"/>
      <c r="B183" s="359">
        <f>'DEFINITIF (APBNP)'!B1037</f>
        <v>0</v>
      </c>
      <c r="C183" s="359">
        <f>'DEFINITIF (APBNP)'!C1037</f>
        <v>0</v>
      </c>
      <c r="D183" s="359">
        <f>'DEFINITIF (APBNP)'!D1037</f>
        <v>0</v>
      </c>
      <c r="E183" s="359">
        <f>'DEFINITIF (APBNP)'!E1037</f>
        <v>0</v>
      </c>
      <c r="F183" s="360">
        <f t="shared" si="3"/>
        <v>0</v>
      </c>
      <c r="G183" s="361"/>
      <c r="H183" s="362"/>
      <c r="J183" s="362"/>
      <c r="L183" s="364"/>
      <c r="M183" s="365"/>
      <c r="N183" s="362"/>
    </row>
    <row r="184" spans="1:14" s="363" customFormat="1" ht="15" customHeight="1" x14ac:dyDescent="0.25">
      <c r="A184" s="597"/>
      <c r="B184" s="359" t="str">
        <f>'DEFINITIF (APBNP)'!B1038</f>
        <v>Belanja Uang Honor Tidak Tetap</v>
      </c>
      <c r="C184" s="359">
        <f>'DEFINITIF (APBNP)'!C1038</f>
        <v>0</v>
      </c>
      <c r="D184" s="359">
        <f>'DEFINITIF (APBNP)'!D1038</f>
        <v>0</v>
      </c>
      <c r="E184" s="359">
        <f>'DEFINITIF (APBNP)'!E1038</f>
        <v>0</v>
      </c>
      <c r="F184" s="360">
        <f t="shared" si="3"/>
        <v>0</v>
      </c>
      <c r="G184" s="361"/>
      <c r="H184" s="362"/>
      <c r="J184" s="362"/>
      <c r="L184" s="364"/>
      <c r="M184" s="365"/>
      <c r="N184" s="362"/>
    </row>
    <row r="185" spans="1:14" s="363" customFormat="1" ht="15" customHeight="1" x14ac:dyDescent="0.25">
      <c r="A185" s="597"/>
      <c r="B185" s="359" t="str">
        <f>'DEFINITIF (APBNP)'!B1039</f>
        <v>- Pengawasan Subsidi Operasi Bus Perintis</v>
      </c>
      <c r="C185" s="359">
        <f>'DEFINITIF (APBNP)'!C1039</f>
        <v>1</v>
      </c>
      <c r="D185" s="359" t="str">
        <f>'DEFINITIF (APBNP)'!D1039</f>
        <v>TH</v>
      </c>
      <c r="E185" s="359">
        <f>'DEFINITIF (APBNP)'!E1039</f>
        <v>96000</v>
      </c>
      <c r="F185" s="360">
        <f t="shared" si="3"/>
        <v>96000</v>
      </c>
      <c r="G185" s="361"/>
      <c r="H185" s="362"/>
      <c r="J185" s="362"/>
      <c r="L185" s="364"/>
      <c r="M185" s="365"/>
      <c r="N185" s="362"/>
    </row>
    <row r="186" spans="1:14" s="363" customFormat="1" ht="15" customHeight="1" x14ac:dyDescent="0.25">
      <c r="A186" s="597"/>
      <c r="B186" s="359">
        <f>'DEFINITIF (APBNP)'!B1040</f>
        <v>0</v>
      </c>
      <c r="C186" s="359"/>
      <c r="D186" s="359"/>
      <c r="E186" s="359"/>
      <c r="F186" s="360"/>
      <c r="G186" s="361"/>
      <c r="H186" s="362"/>
      <c r="J186" s="362"/>
      <c r="L186" s="364"/>
      <c r="M186" s="365"/>
      <c r="N186" s="362"/>
    </row>
    <row r="187" spans="1:14" s="355" customFormat="1" ht="15" customHeight="1" x14ac:dyDescent="0.25">
      <c r="A187" s="573">
        <v>17</v>
      </c>
      <c r="B187" s="587" t="s">
        <v>801</v>
      </c>
      <c r="C187" s="587">
        <v>6</v>
      </c>
      <c r="D187" s="587"/>
      <c r="E187" s="589"/>
      <c r="F187" s="588">
        <f>SUM(F188:F200)</f>
        <v>2349430</v>
      </c>
      <c r="G187" s="353"/>
      <c r="H187" s="354"/>
      <c r="J187" s="354"/>
      <c r="L187" s="356"/>
      <c r="M187" s="357"/>
      <c r="N187" s="354"/>
    </row>
    <row r="188" spans="1:14" s="363" customFormat="1" ht="15" customHeight="1" x14ac:dyDescent="0.25">
      <c r="A188" s="597"/>
      <c r="B188" s="359" t="str">
        <f>'DEFINITIF (APBNP)'!B1100</f>
        <v>Belanja Barang Operasional Lainnya</v>
      </c>
      <c r="C188" s="359">
        <f>'DEFINITIF (APBNP)'!C1100</f>
        <v>0</v>
      </c>
      <c r="D188" s="359">
        <f>'DEFINITIF (APBNP)'!D1100</f>
        <v>0</v>
      </c>
      <c r="E188" s="359">
        <f>'DEFINITIF (APBNP)'!E1100</f>
        <v>0</v>
      </c>
      <c r="F188" s="360">
        <f t="shared" si="3"/>
        <v>0</v>
      </c>
      <c r="G188" s="361"/>
      <c r="H188" s="362"/>
      <c r="J188" s="362"/>
      <c r="L188" s="364"/>
      <c r="M188" s="365"/>
      <c r="N188" s="362"/>
    </row>
    <row r="189" spans="1:14" s="363" customFormat="1" ht="15" customHeight="1" x14ac:dyDescent="0.25">
      <c r="A189" s="597"/>
      <c r="B189" s="359" t="str">
        <f>'DEFINITIF (APBNP)'!B1101</f>
        <v xml:space="preserve">Subsidi Operasi Bus Perintis </v>
      </c>
      <c r="C189" s="359">
        <f>'DEFINITIF (APBNP)'!C1101</f>
        <v>1</v>
      </c>
      <c r="D189" s="359" t="str">
        <f>'DEFINITIF (APBNP)'!D1101</f>
        <v>TH</v>
      </c>
      <c r="E189" s="359">
        <f>'DEFINITIF (APBNP)'!E1101</f>
        <v>2281000</v>
      </c>
      <c r="F189" s="360">
        <f t="shared" si="3"/>
        <v>2281000</v>
      </c>
      <c r="G189" s="361"/>
      <c r="H189" s="362"/>
      <c r="J189" s="362"/>
      <c r="L189" s="364"/>
      <c r="M189" s="365"/>
      <c r="N189" s="362"/>
    </row>
    <row r="190" spans="1:14" s="363" customFormat="1" ht="15" customHeight="1" x14ac:dyDescent="0.25">
      <c r="A190" s="597"/>
      <c r="B190" s="359" t="str">
        <f>'DEFINITIF (APBNP)'!B1102</f>
        <v>Jalan Baru - Terminal AKAP W.A Gara</v>
      </c>
      <c r="C190" s="359">
        <f>'DEFINITIF (APBNP)'!C1102</f>
        <v>0</v>
      </c>
      <c r="D190" s="359">
        <f>'DEFINITIF (APBNP)'!D1102</f>
        <v>0</v>
      </c>
      <c r="E190" s="359">
        <f>'DEFINITIF (APBNP)'!E1102</f>
        <v>0</v>
      </c>
      <c r="F190" s="360">
        <f t="shared" si="3"/>
        <v>0</v>
      </c>
      <c r="G190" s="361"/>
      <c r="H190" s="362"/>
      <c r="J190" s="362"/>
      <c r="L190" s="364"/>
      <c r="M190" s="365"/>
      <c r="N190" s="362"/>
    </row>
    <row r="191" spans="1:14" s="363" customFormat="1" ht="15" customHeight="1" x14ac:dyDescent="0.25">
      <c r="A191" s="597"/>
      <c r="B191" s="359" t="str">
        <f>'DEFINITIF (APBNP)'!B1103</f>
        <v>Sampit - Asam Baru - Hanau</v>
      </c>
      <c r="C191" s="359">
        <f>'DEFINITIF (APBNP)'!C1103</f>
        <v>0</v>
      </c>
      <c r="D191" s="359">
        <f>'DEFINITIF (APBNP)'!D1103</f>
        <v>0</v>
      </c>
      <c r="E191" s="359">
        <f>'DEFINITIF (APBNP)'!E1103</f>
        <v>0</v>
      </c>
      <c r="F191" s="360">
        <f t="shared" si="3"/>
        <v>0</v>
      </c>
      <c r="G191" s="361"/>
      <c r="H191" s="362"/>
      <c r="J191" s="362"/>
      <c r="L191" s="364"/>
      <c r="M191" s="365"/>
      <c r="N191" s="362"/>
    </row>
    <row r="192" spans="1:14" s="363" customFormat="1" ht="15" customHeight="1" x14ac:dyDescent="0.25">
      <c r="A192" s="597"/>
      <c r="B192" s="359" t="str">
        <f>'DEFINITIF (APBNP)'!B1104</f>
        <v>Palangkaraya - Bahaur</v>
      </c>
      <c r="C192" s="359">
        <f>'DEFINITIF (APBNP)'!C1104</f>
        <v>0</v>
      </c>
      <c r="D192" s="359">
        <f>'DEFINITIF (APBNP)'!D1104</f>
        <v>0</v>
      </c>
      <c r="E192" s="359">
        <f>'DEFINITIF (APBNP)'!E1104</f>
        <v>0</v>
      </c>
      <c r="F192" s="360">
        <f t="shared" si="3"/>
        <v>0</v>
      </c>
      <c r="G192" s="361"/>
      <c r="H192" s="362"/>
      <c r="J192" s="362"/>
      <c r="L192" s="364"/>
      <c r="M192" s="365"/>
      <c r="N192" s="362"/>
    </row>
    <row r="193" spans="1:14" s="363" customFormat="1" ht="15" customHeight="1" x14ac:dyDescent="0.25">
      <c r="A193" s="597"/>
      <c r="B193" s="359" t="str">
        <f>'DEFINITIF (APBNP)'!B1105</f>
        <v>Pangkalan bun - hanau (belum disurvey)</v>
      </c>
      <c r="C193" s="359">
        <f>'DEFINITIF (APBNP)'!C1105</f>
        <v>0</v>
      </c>
      <c r="D193" s="359">
        <f>'DEFINITIF (APBNP)'!D1105</f>
        <v>0</v>
      </c>
      <c r="E193" s="359">
        <f>'DEFINITIF (APBNP)'!E1105</f>
        <v>0</v>
      </c>
      <c r="F193" s="360">
        <f t="shared" si="3"/>
        <v>0</v>
      </c>
      <c r="G193" s="361"/>
      <c r="H193" s="362"/>
      <c r="J193" s="362"/>
      <c r="L193" s="364"/>
      <c r="M193" s="365"/>
      <c r="N193" s="362"/>
    </row>
    <row r="194" spans="1:14" s="363" customFormat="1" ht="15" customHeight="1" x14ac:dyDescent="0.25">
      <c r="A194" s="597"/>
      <c r="B194" s="359" t="str">
        <f>'DEFINITIF (APBNP)'!B1106</f>
        <v>Buntok - Palu Rejo</v>
      </c>
      <c r="C194" s="359">
        <f>'DEFINITIF (APBNP)'!C1106</f>
        <v>0</v>
      </c>
      <c r="D194" s="359">
        <f>'DEFINITIF (APBNP)'!D1106</f>
        <v>0</v>
      </c>
      <c r="E194" s="359">
        <f>'DEFINITIF (APBNP)'!E1106</f>
        <v>0</v>
      </c>
      <c r="F194" s="360">
        <f t="shared" si="3"/>
        <v>0</v>
      </c>
      <c r="G194" s="361"/>
      <c r="H194" s="362"/>
      <c r="J194" s="362"/>
      <c r="L194" s="364"/>
      <c r="M194" s="365"/>
      <c r="N194" s="362"/>
    </row>
    <row r="195" spans="1:14" s="363" customFormat="1" ht="15" customHeight="1" x14ac:dyDescent="0.25">
      <c r="A195" s="597"/>
      <c r="B195" s="359" t="str">
        <f>'DEFINITIF (APBNP)'!B1107</f>
        <v>Palangkaraya - Tumbang Telaken</v>
      </c>
      <c r="C195" s="359">
        <f>'DEFINITIF (APBNP)'!C1107</f>
        <v>0</v>
      </c>
      <c r="D195" s="359">
        <f>'DEFINITIF (APBNP)'!D1107</f>
        <v>0</v>
      </c>
      <c r="E195" s="359">
        <f>'DEFINITIF (APBNP)'!E1107</f>
        <v>0</v>
      </c>
      <c r="F195" s="360">
        <f t="shared" si="3"/>
        <v>0</v>
      </c>
      <c r="G195" s="361"/>
      <c r="H195" s="362"/>
      <c r="J195" s="362"/>
      <c r="L195" s="364"/>
      <c r="M195" s="365"/>
      <c r="N195" s="362"/>
    </row>
    <row r="196" spans="1:14" s="363" customFormat="1" ht="15" customHeight="1" x14ac:dyDescent="0.25">
      <c r="A196" s="597"/>
      <c r="B196" s="359">
        <f>'DEFINITIF (APBNP)'!B1108</f>
        <v>0</v>
      </c>
      <c r="C196" s="359">
        <f>'DEFINITIF (APBNP)'!C1108</f>
        <v>0</v>
      </c>
      <c r="D196" s="359">
        <f>'DEFINITIF (APBNP)'!D1108</f>
        <v>0</v>
      </c>
      <c r="E196" s="359">
        <f>'DEFINITIF (APBNP)'!E1108</f>
        <v>0</v>
      </c>
      <c r="F196" s="360">
        <f t="shared" si="3"/>
        <v>0</v>
      </c>
      <c r="G196" s="361"/>
      <c r="H196" s="362"/>
      <c r="J196" s="362"/>
      <c r="L196" s="364"/>
      <c r="M196" s="365"/>
      <c r="N196" s="362"/>
    </row>
    <row r="197" spans="1:14" s="363" customFormat="1" ht="15" customHeight="1" x14ac:dyDescent="0.25">
      <c r="A197" s="597"/>
      <c r="B197" s="359">
        <f>'DEFINITIF (APBNP)'!B1108</f>
        <v>0</v>
      </c>
      <c r="C197" s="359">
        <f>'DEFINITIF (APBNP)'!C1108</f>
        <v>0</v>
      </c>
      <c r="D197" s="359">
        <f>'DEFINITIF (APBNP)'!D1108</f>
        <v>0</v>
      </c>
      <c r="E197" s="359">
        <f>'DEFINITIF (APBNP)'!E1108</f>
        <v>0</v>
      </c>
      <c r="F197" s="360">
        <f t="shared" si="3"/>
        <v>0</v>
      </c>
      <c r="G197" s="361"/>
      <c r="H197" s="362"/>
      <c r="J197" s="362"/>
      <c r="L197" s="364"/>
      <c r="M197" s="365"/>
      <c r="N197" s="362"/>
    </row>
    <row r="198" spans="1:14" s="363" customFormat="1" ht="15" customHeight="1" x14ac:dyDescent="0.25">
      <c r="A198" s="597"/>
      <c r="B198" s="359" t="str">
        <f>'DEFINITIF (APBNP)'!B1109</f>
        <v>Belanja Uang Honor Tidak Tetap</v>
      </c>
      <c r="C198" s="359">
        <f>'DEFINITIF (APBNP)'!C1109</f>
        <v>0</v>
      </c>
      <c r="D198" s="359">
        <f>'DEFINITIF (APBNP)'!D1109</f>
        <v>0</v>
      </c>
      <c r="E198" s="359">
        <f>'DEFINITIF (APBNP)'!E1109</f>
        <v>0</v>
      </c>
      <c r="F198" s="360">
        <f t="shared" si="3"/>
        <v>0</v>
      </c>
      <c r="G198" s="361"/>
      <c r="H198" s="362"/>
      <c r="J198" s="362"/>
      <c r="L198" s="364"/>
      <c r="M198" s="365"/>
      <c r="N198" s="362"/>
    </row>
    <row r="199" spans="1:14" s="363" customFormat="1" ht="15" customHeight="1" x14ac:dyDescent="0.25">
      <c r="A199" s="597"/>
      <c r="B199" s="359" t="str">
        <f>'DEFINITIF (APBNP)'!B1110</f>
        <v>- Pengawasan Subsidi Operasi Bus Perintis</v>
      </c>
      <c r="C199" s="359">
        <f>'DEFINITIF (APBNP)'!C1110</f>
        <v>1</v>
      </c>
      <c r="D199" s="359" t="str">
        <f>'DEFINITIF (APBNP)'!D1110</f>
        <v>TH</v>
      </c>
      <c r="E199" s="359">
        <f>'DEFINITIF (APBNP)'!E1110</f>
        <v>68430</v>
      </c>
      <c r="F199" s="360">
        <f t="shared" si="3"/>
        <v>68430</v>
      </c>
      <c r="G199" s="361"/>
      <c r="H199" s="362"/>
      <c r="J199" s="362"/>
      <c r="L199" s="364"/>
      <c r="M199" s="365"/>
      <c r="N199" s="362"/>
    </row>
    <row r="200" spans="1:14" s="363" customFormat="1" ht="15" customHeight="1" x14ac:dyDescent="0.25">
      <c r="A200" s="597"/>
      <c r="B200" s="359"/>
      <c r="C200" s="359"/>
      <c r="D200" s="359"/>
      <c r="E200" s="359"/>
      <c r="F200" s="360"/>
      <c r="G200" s="361"/>
      <c r="H200" s="362"/>
      <c r="J200" s="362"/>
      <c r="L200" s="364"/>
      <c r="M200" s="365"/>
      <c r="N200" s="362"/>
    </row>
    <row r="201" spans="1:14" s="355" customFormat="1" ht="15" customHeight="1" x14ac:dyDescent="0.25">
      <c r="A201" s="573">
        <v>18</v>
      </c>
      <c r="B201" s="587" t="s">
        <v>803</v>
      </c>
      <c r="C201" s="587">
        <v>6</v>
      </c>
      <c r="D201" s="587"/>
      <c r="E201" s="589"/>
      <c r="F201" s="588">
        <f>SUM(F202:F211)</f>
        <v>2599271</v>
      </c>
      <c r="G201" s="353"/>
      <c r="H201" s="354"/>
      <c r="J201" s="354"/>
      <c r="L201" s="356"/>
      <c r="M201" s="357"/>
      <c r="N201" s="354"/>
    </row>
    <row r="202" spans="1:14" s="363" customFormat="1" ht="15" customHeight="1" x14ac:dyDescent="0.25">
      <c r="A202" s="597"/>
      <c r="B202" s="359" t="str">
        <f>'DEFINITIF (APBNP)'!B1159</f>
        <v>Belanja Barang Operasional Lainnya</v>
      </c>
      <c r="C202" s="359">
        <f>'DEFINITIF (APBNP)'!C1159</f>
        <v>0</v>
      </c>
      <c r="D202" s="359">
        <f>'DEFINITIF (APBNP)'!D1159</f>
        <v>0</v>
      </c>
      <c r="E202" s="359">
        <f>'DEFINITIF (APBNP)'!E1159</f>
        <v>0</v>
      </c>
      <c r="F202" s="360">
        <f t="shared" si="3"/>
        <v>0</v>
      </c>
      <c r="G202" s="361"/>
      <c r="H202" s="362"/>
      <c r="J202" s="362"/>
      <c r="L202" s="364"/>
      <c r="M202" s="365"/>
      <c r="N202" s="362"/>
    </row>
    <row r="203" spans="1:14" s="363" customFormat="1" ht="15" customHeight="1" x14ac:dyDescent="0.25">
      <c r="A203" s="597"/>
      <c r="B203" s="359" t="str">
        <f>'DEFINITIF (APBNP)'!B1160</f>
        <v>Subsidi Operasi Bus Perintis (5 trayek)</v>
      </c>
      <c r="C203" s="359">
        <f>'DEFINITIF (APBNP)'!C1160</f>
        <v>1</v>
      </c>
      <c r="D203" s="359" t="str">
        <f>'DEFINITIF (APBNP)'!D1160</f>
        <v>TH</v>
      </c>
      <c r="E203" s="359">
        <f>'DEFINITIF (APBNP)'!E1160</f>
        <v>2549271</v>
      </c>
      <c r="F203" s="360">
        <f t="shared" si="3"/>
        <v>2549271</v>
      </c>
      <c r="G203" s="361"/>
      <c r="H203" s="362"/>
      <c r="J203" s="362"/>
      <c r="L203" s="364"/>
      <c r="M203" s="365"/>
      <c r="N203" s="362"/>
    </row>
    <row r="204" spans="1:14" s="363" customFormat="1" ht="15" customHeight="1" x14ac:dyDescent="0.25">
      <c r="A204" s="597"/>
      <c r="B204" s="359" t="str">
        <f>'DEFINITIF (APBNP)'!B1161</f>
        <v>Pelabuhan Trisakti  - Cempaka  (via lingkar selatan)</v>
      </c>
      <c r="C204" s="359">
        <f>'DEFINITIF (APBNP)'!C1161</f>
        <v>0</v>
      </c>
      <c r="D204" s="359">
        <f>'DEFINITIF (APBNP)'!D1161</f>
        <v>0</v>
      </c>
      <c r="E204" s="359">
        <f>'DEFINITIF (APBNP)'!E1161</f>
        <v>0</v>
      </c>
      <c r="F204" s="360">
        <f t="shared" si="3"/>
        <v>0</v>
      </c>
      <c r="G204" s="361"/>
      <c r="H204" s="362"/>
      <c r="J204" s="362"/>
      <c r="L204" s="364"/>
      <c r="M204" s="365"/>
      <c r="N204" s="362"/>
    </row>
    <row r="205" spans="1:14" s="363" customFormat="1" ht="15" customHeight="1" x14ac:dyDescent="0.25">
      <c r="A205" s="597"/>
      <c r="B205" s="359" t="str">
        <f>'DEFINITIF (APBNP)'!B1162</f>
        <v>Paringin - Halong</v>
      </c>
      <c r="C205" s="359">
        <f>'DEFINITIF (APBNP)'!C1162</f>
        <v>0</v>
      </c>
      <c r="D205" s="359">
        <f>'DEFINITIF (APBNP)'!D1162</f>
        <v>0</v>
      </c>
      <c r="E205" s="359">
        <f>'DEFINITIF (APBNP)'!E1162</f>
        <v>0</v>
      </c>
      <c r="F205" s="360">
        <f t="shared" si="3"/>
        <v>0</v>
      </c>
      <c r="G205" s="361"/>
      <c r="H205" s="362"/>
      <c r="J205" s="362"/>
      <c r="L205" s="364"/>
      <c r="M205" s="365"/>
      <c r="N205" s="362"/>
    </row>
    <row r="206" spans="1:14" s="363" customFormat="1" ht="15" customHeight="1" x14ac:dyDescent="0.25">
      <c r="A206" s="597"/>
      <c r="B206" s="359" t="str">
        <f>'DEFINITIF (APBNP)'!B1163</f>
        <v>Tanjung - Muara Uya</v>
      </c>
      <c r="C206" s="359">
        <f>'DEFINITIF (APBNP)'!C1163</f>
        <v>0</v>
      </c>
      <c r="D206" s="359">
        <f>'DEFINITIF (APBNP)'!D1163</f>
        <v>0</v>
      </c>
      <c r="E206" s="359">
        <f>'DEFINITIF (APBNP)'!E1163</f>
        <v>0</v>
      </c>
      <c r="F206" s="360">
        <f t="shared" si="3"/>
        <v>0</v>
      </c>
      <c r="G206" s="361"/>
      <c r="H206" s="362"/>
      <c r="J206" s="362"/>
      <c r="L206" s="364"/>
      <c r="M206" s="365"/>
      <c r="N206" s="362"/>
    </row>
    <row r="207" spans="1:14" s="363" customFormat="1" ht="15" customHeight="1" x14ac:dyDescent="0.25">
      <c r="A207" s="597"/>
      <c r="B207" s="359" t="str">
        <f>'DEFINITIF (APBNP)'!B1164</f>
        <v>Tanjung - Banua Lawas</v>
      </c>
      <c r="C207" s="359">
        <f>'DEFINITIF (APBNP)'!C1164</f>
        <v>0</v>
      </c>
      <c r="D207" s="359">
        <f>'DEFINITIF (APBNP)'!D1164</f>
        <v>0</v>
      </c>
      <c r="E207" s="359">
        <f>'DEFINITIF (APBNP)'!E1164</f>
        <v>0</v>
      </c>
      <c r="F207" s="360">
        <f t="shared" si="3"/>
        <v>0</v>
      </c>
      <c r="G207" s="361"/>
      <c r="H207" s="362"/>
      <c r="J207" s="362"/>
      <c r="L207" s="364"/>
      <c r="M207" s="365"/>
      <c r="N207" s="362"/>
    </row>
    <row r="208" spans="1:14" s="363" customFormat="1" ht="15" customHeight="1" x14ac:dyDescent="0.25">
      <c r="A208" s="597"/>
      <c r="B208" s="359" t="str">
        <f>'DEFINITIF (APBNP)'!B1165</f>
        <v>Tanjung - Tanta - Murung Pudak</v>
      </c>
      <c r="C208" s="359">
        <f>'DEFINITIF (APBNP)'!C1165</f>
        <v>0</v>
      </c>
      <c r="D208" s="359">
        <f>'DEFINITIF (APBNP)'!D1165</f>
        <v>0</v>
      </c>
      <c r="E208" s="359">
        <f>'DEFINITIF (APBNP)'!E1165</f>
        <v>0</v>
      </c>
      <c r="F208" s="360">
        <f t="shared" si="3"/>
        <v>0</v>
      </c>
      <c r="G208" s="361"/>
      <c r="H208" s="362"/>
      <c r="J208" s="362"/>
      <c r="L208" s="364"/>
      <c r="M208" s="365"/>
      <c r="N208" s="362"/>
    </row>
    <row r="209" spans="1:14" s="363" customFormat="1" ht="15" customHeight="1" x14ac:dyDescent="0.25">
      <c r="A209" s="597"/>
      <c r="B209" s="359">
        <f>'DEFINITIF (APBNP)'!B1167</f>
        <v>0</v>
      </c>
      <c r="C209" s="359">
        <f>'DEFINITIF (APBNP)'!C1167</f>
        <v>0</v>
      </c>
      <c r="D209" s="359">
        <f>'DEFINITIF (APBNP)'!D1167</f>
        <v>0</v>
      </c>
      <c r="E209" s="359">
        <f>'DEFINITIF (APBNP)'!E1167</f>
        <v>0</v>
      </c>
      <c r="F209" s="360">
        <f t="shared" si="3"/>
        <v>0</v>
      </c>
      <c r="G209" s="361"/>
      <c r="H209" s="362"/>
      <c r="J209" s="362"/>
      <c r="L209" s="364"/>
      <c r="M209" s="365"/>
      <c r="N209" s="362"/>
    </row>
    <row r="210" spans="1:14" s="363" customFormat="1" ht="15" customHeight="1" x14ac:dyDescent="0.25">
      <c r="A210" s="597"/>
      <c r="B210" s="359" t="str">
        <f>'DEFINITIF (APBNP)'!B1168</f>
        <v>Belanja Uang Honor Tidak Tetap</v>
      </c>
      <c r="C210" s="359">
        <f>'DEFINITIF (APBNP)'!C1168</f>
        <v>0</v>
      </c>
      <c r="D210" s="359">
        <f>'DEFINITIF (APBNP)'!D1168</f>
        <v>0</v>
      </c>
      <c r="E210" s="359">
        <f>'DEFINITIF (APBNP)'!E1168</f>
        <v>0</v>
      </c>
      <c r="F210" s="360">
        <f t="shared" si="3"/>
        <v>0</v>
      </c>
      <c r="G210" s="361"/>
      <c r="H210" s="362"/>
      <c r="J210" s="362"/>
      <c r="L210" s="364"/>
      <c r="M210" s="365"/>
      <c r="N210" s="362"/>
    </row>
    <row r="211" spans="1:14" s="363" customFormat="1" ht="15" customHeight="1" x14ac:dyDescent="0.25">
      <c r="A211" s="597"/>
      <c r="B211" s="359" t="str">
        <f>'DEFINITIF (APBNP)'!B1169</f>
        <v>- Pengawasan Subsidi Operasi Bus Perintis</v>
      </c>
      <c r="C211" s="359">
        <f>'DEFINITIF (APBNP)'!C1169</f>
        <v>1</v>
      </c>
      <c r="D211" s="359" t="str">
        <f>'DEFINITIF (APBNP)'!D1169</f>
        <v>TH</v>
      </c>
      <c r="E211" s="359">
        <f>'DEFINITIF (APBNP)'!E1169</f>
        <v>50000</v>
      </c>
      <c r="F211" s="360">
        <f t="shared" si="3"/>
        <v>50000</v>
      </c>
      <c r="G211" s="361"/>
      <c r="H211" s="362"/>
      <c r="J211" s="362"/>
      <c r="L211" s="364"/>
      <c r="M211" s="365"/>
      <c r="N211" s="362"/>
    </row>
    <row r="212" spans="1:14" s="363" customFormat="1" ht="15" customHeight="1" x14ac:dyDescent="0.25">
      <c r="A212" s="597"/>
      <c r="B212" s="359"/>
      <c r="C212" s="359"/>
      <c r="D212" s="359"/>
      <c r="E212" s="359"/>
      <c r="F212" s="360"/>
      <c r="G212" s="361"/>
      <c r="H212" s="362"/>
      <c r="J212" s="362"/>
      <c r="L212" s="364"/>
      <c r="M212" s="365"/>
      <c r="N212" s="362"/>
    </row>
    <row r="213" spans="1:14" s="355" customFormat="1" ht="15" customHeight="1" x14ac:dyDescent="0.25">
      <c r="A213" s="573">
        <v>19</v>
      </c>
      <c r="B213" s="587" t="s">
        <v>845</v>
      </c>
      <c r="C213" s="587">
        <v>7</v>
      </c>
      <c r="D213" s="587"/>
      <c r="E213" s="589"/>
      <c r="F213" s="588">
        <f>SUM(F214:F224)</f>
        <v>3033600</v>
      </c>
      <c r="G213" s="353"/>
      <c r="H213" s="354"/>
      <c r="J213" s="354"/>
      <c r="L213" s="356"/>
      <c r="M213" s="357"/>
      <c r="N213" s="354"/>
    </row>
    <row r="214" spans="1:14" s="363" customFormat="1" ht="15" customHeight="1" x14ac:dyDescent="0.25">
      <c r="A214" s="597"/>
      <c r="B214" s="359" t="str">
        <f>'DEFINITIF (APBNP)'!B1222</f>
        <v>Belanja Barang Operasional Lainnya</v>
      </c>
      <c r="C214" s="359">
        <f>'DEFINITIF (APBNP)'!C1222</f>
        <v>0</v>
      </c>
      <c r="D214" s="359">
        <f>'DEFINITIF (APBNP)'!D1222</f>
        <v>0</v>
      </c>
      <c r="E214" s="359">
        <f>'DEFINITIF (APBNP)'!E1222</f>
        <v>0</v>
      </c>
      <c r="F214" s="360">
        <f t="shared" si="3"/>
        <v>0</v>
      </c>
      <c r="G214" s="361"/>
      <c r="H214" s="362"/>
      <c r="J214" s="362"/>
      <c r="L214" s="364"/>
      <c r="M214" s="365"/>
      <c r="N214" s="362"/>
    </row>
    <row r="215" spans="1:14" s="363" customFormat="1" ht="15" customHeight="1" x14ac:dyDescent="0.25">
      <c r="A215" s="597"/>
      <c r="B215" s="359" t="str">
        <f>'DEFINITIF (APBNP)'!B1223</f>
        <v>Subsidi Operasi Bus Perintis (4 trayek)</v>
      </c>
      <c r="C215" s="359">
        <f>'DEFINITIF (APBNP)'!C1223</f>
        <v>1</v>
      </c>
      <c r="D215" s="359" t="str">
        <f>'DEFINITIF (APBNP)'!D1223</f>
        <v>TH</v>
      </c>
      <c r="E215" s="359">
        <f>'DEFINITIF (APBNP)'!E1223</f>
        <v>3000000</v>
      </c>
      <c r="F215" s="360">
        <f t="shared" si="3"/>
        <v>3000000</v>
      </c>
      <c r="G215" s="361"/>
      <c r="H215" s="362"/>
      <c r="J215" s="362"/>
      <c r="L215" s="364"/>
      <c r="M215" s="365"/>
      <c r="N215" s="362"/>
    </row>
    <row r="216" spans="1:14" s="363" customFormat="1" ht="15" customHeight="1" x14ac:dyDescent="0.25">
      <c r="A216" s="597"/>
      <c r="B216" s="359" t="str">
        <f>'DEFINITIF (APBNP)'!B1224</f>
        <v>Samarinda - Bongan</v>
      </c>
      <c r="C216" s="359">
        <f>'DEFINITIF (APBNP)'!C1224</f>
        <v>0</v>
      </c>
      <c r="D216" s="359">
        <f>'DEFINITIF (APBNP)'!D1224</f>
        <v>0</v>
      </c>
      <c r="E216" s="359">
        <f>'DEFINITIF (APBNP)'!E1224</f>
        <v>0</v>
      </c>
      <c r="F216" s="360">
        <f t="shared" si="3"/>
        <v>0</v>
      </c>
      <c r="G216" s="361"/>
      <c r="H216" s="362"/>
      <c r="J216" s="362"/>
      <c r="L216" s="364"/>
      <c r="M216" s="365"/>
      <c r="N216" s="362"/>
    </row>
    <row r="217" spans="1:14" s="363" customFormat="1" ht="15" customHeight="1" x14ac:dyDescent="0.25">
      <c r="A217" s="597"/>
      <c r="B217" s="359" t="str">
        <f>'DEFINITIF (APBNP)'!B1225</f>
        <v>Samarinda - Muara Muntai</v>
      </c>
      <c r="C217" s="359">
        <f>'DEFINITIF (APBNP)'!C1225</f>
        <v>0</v>
      </c>
      <c r="D217" s="359">
        <f>'DEFINITIF (APBNP)'!D1225</f>
        <v>0</v>
      </c>
      <c r="E217" s="359">
        <f>'DEFINITIF (APBNP)'!E1225</f>
        <v>0</v>
      </c>
      <c r="F217" s="360">
        <f t="shared" si="3"/>
        <v>0</v>
      </c>
      <c r="G217" s="361"/>
      <c r="H217" s="362"/>
      <c r="J217" s="362"/>
      <c r="L217" s="364"/>
      <c r="M217" s="365"/>
      <c r="N217" s="362"/>
    </row>
    <row r="218" spans="1:14" s="363" customFormat="1" ht="15" customHeight="1" x14ac:dyDescent="0.25">
      <c r="A218" s="597"/>
      <c r="B218" s="359" t="str">
        <f>'DEFINITIF (APBNP)'!B1226</f>
        <v xml:space="preserve">Samarinda - Muara Aloh </v>
      </c>
      <c r="C218" s="359">
        <f>'DEFINITIF (APBNP)'!C1226</f>
        <v>0</v>
      </c>
      <c r="D218" s="359">
        <f>'DEFINITIF (APBNP)'!D1226</f>
        <v>0</v>
      </c>
      <c r="E218" s="359">
        <f>'DEFINITIF (APBNP)'!E1226</f>
        <v>0</v>
      </c>
      <c r="F218" s="360">
        <f t="shared" si="3"/>
        <v>0</v>
      </c>
      <c r="G218" s="361"/>
      <c r="H218" s="362"/>
      <c r="J218" s="362"/>
      <c r="L218" s="364"/>
      <c r="M218" s="365"/>
      <c r="N218" s="362"/>
    </row>
    <row r="219" spans="1:14" s="363" customFormat="1" ht="15" customHeight="1" x14ac:dyDescent="0.25">
      <c r="A219" s="597"/>
      <c r="B219" s="359" t="str">
        <f>'DEFINITIF (APBNP)'!B1227</f>
        <v>Sanggata - Pengadaan</v>
      </c>
      <c r="C219" s="359">
        <f>'DEFINITIF (APBNP)'!C1227</f>
        <v>0</v>
      </c>
      <c r="D219" s="359">
        <f>'DEFINITIF (APBNP)'!D1227</f>
        <v>0</v>
      </c>
      <c r="E219" s="359">
        <f>'DEFINITIF (APBNP)'!E1227</f>
        <v>0</v>
      </c>
      <c r="F219" s="360">
        <f t="shared" si="3"/>
        <v>0</v>
      </c>
      <c r="G219" s="361"/>
      <c r="H219" s="362"/>
      <c r="J219" s="362"/>
      <c r="L219" s="364"/>
      <c r="M219" s="365"/>
      <c r="N219" s="362"/>
    </row>
    <row r="220" spans="1:14" s="363" customFormat="1" ht="15" customHeight="1" x14ac:dyDescent="0.25">
      <c r="A220" s="597"/>
      <c r="B220" s="359" t="str">
        <f>'DEFINITIF (APBNP)'!B1228</f>
        <v>Samarinda - Bantian Besar</v>
      </c>
      <c r="C220" s="359">
        <f>'DEFINITIF (APBNP)'!C1228</f>
        <v>0</v>
      </c>
      <c r="D220" s="359">
        <f>'DEFINITIF (APBNP)'!D1228</f>
        <v>0</v>
      </c>
      <c r="E220" s="359">
        <f>'DEFINITIF (APBNP)'!E1228</f>
        <v>0</v>
      </c>
      <c r="F220" s="360">
        <f t="shared" si="3"/>
        <v>0</v>
      </c>
      <c r="G220" s="361"/>
      <c r="H220" s="362"/>
      <c r="J220" s="362"/>
      <c r="L220" s="364"/>
      <c r="M220" s="365"/>
      <c r="N220" s="362"/>
    </row>
    <row r="221" spans="1:14" s="363" customFormat="1" ht="15" customHeight="1" x14ac:dyDescent="0.25">
      <c r="A221" s="597"/>
      <c r="B221" s="359" t="str">
        <f>'DEFINITIF (APBNP)'!B1229</f>
        <v>Tanah grogot - Tanjung Aru</v>
      </c>
      <c r="C221" s="359">
        <f>'DEFINITIF (APBNP)'!C1229</f>
        <v>0</v>
      </c>
      <c r="D221" s="359">
        <f>'DEFINITIF (APBNP)'!D1229</f>
        <v>0</v>
      </c>
      <c r="E221" s="359">
        <f>'DEFINITIF (APBNP)'!E1229</f>
        <v>0</v>
      </c>
      <c r="F221" s="360">
        <f t="shared" si="3"/>
        <v>0</v>
      </c>
      <c r="G221" s="361"/>
      <c r="H221" s="362"/>
      <c r="J221" s="362"/>
      <c r="L221" s="364"/>
      <c r="M221" s="365"/>
      <c r="N221" s="362"/>
    </row>
    <row r="222" spans="1:14" s="363" customFormat="1" ht="15" customHeight="1" x14ac:dyDescent="0.25">
      <c r="A222" s="597"/>
      <c r="B222" s="359">
        <f>'DEFINITIF (APBNP)'!B1230</f>
        <v>0</v>
      </c>
      <c r="C222" s="359">
        <f>'DEFINITIF (APBNP)'!C1230</f>
        <v>0</v>
      </c>
      <c r="D222" s="359">
        <f>'DEFINITIF (APBNP)'!D1230</f>
        <v>0</v>
      </c>
      <c r="E222" s="359">
        <f>'DEFINITIF (APBNP)'!E1230</f>
        <v>0</v>
      </c>
      <c r="F222" s="360">
        <f t="shared" si="3"/>
        <v>0</v>
      </c>
      <c r="G222" s="361"/>
      <c r="H222" s="362"/>
      <c r="J222" s="362"/>
      <c r="L222" s="364"/>
      <c r="M222" s="365"/>
      <c r="N222" s="362"/>
    </row>
    <row r="223" spans="1:14" s="363" customFormat="1" ht="15" customHeight="1" x14ac:dyDescent="0.25">
      <c r="A223" s="597"/>
      <c r="B223" s="359" t="str">
        <f>'DEFINITIF (APBNP)'!B1231</f>
        <v>Belanja Uang Honor Tidak Tetap</v>
      </c>
      <c r="C223" s="359">
        <f>'DEFINITIF (APBNP)'!C1231</f>
        <v>0</v>
      </c>
      <c r="D223" s="359">
        <f>'DEFINITIF (APBNP)'!D1231</f>
        <v>0</v>
      </c>
      <c r="E223" s="359">
        <f>'DEFINITIF (APBNP)'!E1231</f>
        <v>0</v>
      </c>
      <c r="F223" s="360">
        <f t="shared" si="3"/>
        <v>0</v>
      </c>
      <c r="G223" s="361"/>
      <c r="H223" s="362"/>
      <c r="J223" s="362"/>
      <c r="L223" s="364"/>
      <c r="M223" s="365"/>
      <c r="N223" s="362"/>
    </row>
    <row r="224" spans="1:14" s="363" customFormat="1" ht="15" customHeight="1" x14ac:dyDescent="0.25">
      <c r="A224" s="597"/>
      <c r="B224" s="359" t="str">
        <f>'DEFINITIF (APBNP)'!B1232</f>
        <v>- Pengawasan Subsidi Operasi Bus Perintis</v>
      </c>
      <c r="C224" s="359">
        <f>'DEFINITIF (APBNP)'!C1232</f>
        <v>1</v>
      </c>
      <c r="D224" s="359" t="str">
        <f>'DEFINITIF (APBNP)'!D1232</f>
        <v>TH</v>
      </c>
      <c r="E224" s="359">
        <f>'DEFINITIF (APBNP)'!E1232</f>
        <v>33600</v>
      </c>
      <c r="F224" s="360">
        <f t="shared" si="3"/>
        <v>33600</v>
      </c>
      <c r="G224" s="361"/>
      <c r="H224" s="362"/>
      <c r="J224" s="362"/>
      <c r="L224" s="364"/>
      <c r="M224" s="365"/>
      <c r="N224" s="362"/>
    </row>
    <row r="225" spans="1:14" s="363" customFormat="1" ht="15" customHeight="1" x14ac:dyDescent="0.25">
      <c r="A225" s="597"/>
      <c r="B225" s="359"/>
      <c r="C225" s="359"/>
      <c r="D225" s="359"/>
      <c r="E225" s="359"/>
      <c r="F225" s="360"/>
      <c r="G225" s="361"/>
      <c r="H225" s="362"/>
      <c r="J225" s="362"/>
      <c r="L225" s="364"/>
      <c r="M225" s="365"/>
      <c r="N225" s="362"/>
    </row>
    <row r="226" spans="1:14" s="355" customFormat="1" ht="15" customHeight="1" x14ac:dyDescent="0.25">
      <c r="A226" s="573">
        <v>20</v>
      </c>
      <c r="B226" s="587" t="s">
        <v>848</v>
      </c>
      <c r="C226" s="587">
        <v>3</v>
      </c>
      <c r="D226" s="587"/>
      <c r="E226" s="589"/>
      <c r="F226" s="588">
        <f>SUM(F227:F235)</f>
        <v>1050000</v>
      </c>
      <c r="G226" s="353"/>
      <c r="H226" s="354"/>
      <c r="J226" s="354"/>
      <c r="L226" s="356"/>
      <c r="M226" s="357"/>
      <c r="N226" s="354"/>
    </row>
    <row r="227" spans="1:14" s="363" customFormat="1" ht="15" customHeight="1" x14ac:dyDescent="0.25">
      <c r="A227" s="597"/>
      <c r="B227" s="359" t="str">
        <f>'DEFINITIF (APBNP)'!B1277</f>
        <v>Belanja Barang Operasional Lainnya</v>
      </c>
      <c r="C227" s="359">
        <f>'DEFINITIF (APBNP)'!C1277</f>
        <v>0</v>
      </c>
      <c r="D227" s="359">
        <f>'DEFINITIF (APBNP)'!D1277</f>
        <v>0</v>
      </c>
      <c r="E227" s="359">
        <f>'DEFINITIF (APBNP)'!E1277</f>
        <v>0</v>
      </c>
      <c r="F227" s="360">
        <f t="shared" si="3"/>
        <v>0</v>
      </c>
      <c r="G227" s="361"/>
      <c r="H227" s="362"/>
      <c r="J227" s="362"/>
      <c r="L227" s="364"/>
      <c r="M227" s="365"/>
      <c r="N227" s="362"/>
    </row>
    <row r="228" spans="1:14" s="363" customFormat="1" ht="15" customHeight="1" x14ac:dyDescent="0.25">
      <c r="A228" s="597"/>
      <c r="B228" s="359" t="str">
        <f>'DEFINITIF (APBNP)'!B1278</f>
        <v>Subsidi Operasi Bus Perintis (4 trayek)</v>
      </c>
      <c r="C228" s="359">
        <f>'DEFINITIF (APBNP)'!C1278</f>
        <v>1</v>
      </c>
      <c r="D228" s="359" t="str">
        <f>'DEFINITIF (APBNP)'!D1278</f>
        <v>TH</v>
      </c>
      <c r="E228" s="359">
        <f>'DEFINITIF (APBNP)'!E1278</f>
        <v>1000000</v>
      </c>
      <c r="F228" s="360">
        <f t="shared" si="3"/>
        <v>1000000</v>
      </c>
      <c r="G228" s="361"/>
      <c r="H228" s="362"/>
      <c r="J228" s="362"/>
      <c r="L228" s="364"/>
      <c r="M228" s="365"/>
      <c r="N228" s="362"/>
    </row>
    <row r="229" spans="1:14" s="363" customFormat="1" ht="15" customHeight="1" x14ac:dyDescent="0.25">
      <c r="A229" s="597"/>
      <c r="B229" s="359" t="str">
        <f>'DEFINITIF (APBNP)'!B1279</f>
        <v>Tanjung Selor - Malinau</v>
      </c>
      <c r="C229" s="359">
        <f>'DEFINITIF (APBNP)'!C1279</f>
        <v>0</v>
      </c>
      <c r="D229" s="359">
        <f>'DEFINITIF (APBNP)'!D1279</f>
        <v>0</v>
      </c>
      <c r="E229" s="359">
        <f>'DEFINITIF (APBNP)'!E1279</f>
        <v>0</v>
      </c>
      <c r="F229" s="360">
        <f t="shared" si="3"/>
        <v>0</v>
      </c>
      <c r="G229" s="361"/>
      <c r="H229" s="362"/>
      <c r="J229" s="362"/>
      <c r="L229" s="364"/>
      <c r="M229" s="365"/>
      <c r="N229" s="362"/>
    </row>
    <row r="230" spans="1:14" s="363" customFormat="1" ht="15" customHeight="1" x14ac:dyDescent="0.25">
      <c r="A230" s="597"/>
      <c r="B230" s="359" t="str">
        <f>'DEFINITIF (APBNP)'!B1280</f>
        <v>Tanjung Selor - Berau</v>
      </c>
      <c r="C230" s="359">
        <f>'DEFINITIF (APBNP)'!C1280</f>
        <v>0</v>
      </c>
      <c r="D230" s="359">
        <f>'DEFINITIF (APBNP)'!D1280</f>
        <v>0</v>
      </c>
      <c r="E230" s="359">
        <f>'DEFINITIF (APBNP)'!E1280</f>
        <v>0</v>
      </c>
      <c r="F230" s="360">
        <f t="shared" si="3"/>
        <v>0</v>
      </c>
      <c r="G230" s="361"/>
      <c r="H230" s="362"/>
      <c r="J230" s="362"/>
      <c r="L230" s="364"/>
      <c r="M230" s="365"/>
      <c r="N230" s="362"/>
    </row>
    <row r="231" spans="1:14" s="363" customFormat="1" ht="15" customHeight="1" x14ac:dyDescent="0.25">
      <c r="A231" s="597"/>
      <c r="B231" s="359" t="str">
        <f>'DEFINITIF (APBNP)'!B1281</f>
        <v>Malinau - Mensalong - Sarang</v>
      </c>
      <c r="C231" s="359">
        <f>'DEFINITIF (APBNP)'!C1281</f>
        <v>0</v>
      </c>
      <c r="D231" s="359">
        <f>'DEFINITIF (APBNP)'!D1281</f>
        <v>0</v>
      </c>
      <c r="E231" s="359">
        <f>'DEFINITIF (APBNP)'!E1281</f>
        <v>0</v>
      </c>
      <c r="F231" s="360">
        <f t="shared" si="3"/>
        <v>0</v>
      </c>
      <c r="G231" s="361"/>
      <c r="H231" s="362"/>
      <c r="J231" s="362"/>
      <c r="L231" s="364"/>
      <c r="M231" s="365"/>
      <c r="N231" s="362"/>
    </row>
    <row r="232" spans="1:14" s="363" customFormat="1" ht="15" customHeight="1" x14ac:dyDescent="0.25">
      <c r="A232" s="597"/>
      <c r="B232" s="359">
        <f>'DEFINITIF (APBNP)'!B1282</f>
        <v>0</v>
      </c>
      <c r="C232" s="359">
        <f>'DEFINITIF (APBNP)'!C1282</f>
        <v>0</v>
      </c>
      <c r="D232" s="359">
        <f>'DEFINITIF (APBNP)'!D1282</f>
        <v>0</v>
      </c>
      <c r="E232" s="359">
        <f>'DEFINITIF (APBNP)'!E1282</f>
        <v>0</v>
      </c>
      <c r="F232" s="360">
        <f>C232*E232</f>
        <v>0</v>
      </c>
      <c r="G232" s="361"/>
      <c r="H232" s="362"/>
      <c r="J232" s="362"/>
      <c r="L232" s="364"/>
      <c r="M232" s="365"/>
      <c r="N232" s="362"/>
    </row>
    <row r="233" spans="1:14" s="363" customFormat="1" ht="15" customHeight="1" x14ac:dyDescent="0.25">
      <c r="A233" s="597"/>
      <c r="B233" s="359">
        <f>'DEFINITIF (APBNP)'!B1282</f>
        <v>0</v>
      </c>
      <c r="C233" s="359">
        <f>'DEFINITIF (APBNP)'!C1282</f>
        <v>0</v>
      </c>
      <c r="D233" s="359">
        <f>'DEFINITIF (APBNP)'!D1282</f>
        <v>0</v>
      </c>
      <c r="E233" s="359">
        <f>'DEFINITIF (APBNP)'!E1282</f>
        <v>0</v>
      </c>
      <c r="F233" s="360">
        <f>C233*E233</f>
        <v>0</v>
      </c>
      <c r="G233" s="361"/>
      <c r="H233" s="362"/>
      <c r="J233" s="362"/>
      <c r="L233" s="364"/>
      <c r="M233" s="365"/>
      <c r="N233" s="362"/>
    </row>
    <row r="234" spans="1:14" s="363" customFormat="1" ht="15" customHeight="1" x14ac:dyDescent="0.25">
      <c r="A234" s="597"/>
      <c r="B234" s="359" t="str">
        <f>'DEFINITIF (APBNP)'!B1283</f>
        <v>Belanja Uang Honor Tidak Tetap</v>
      </c>
      <c r="C234" s="359">
        <f>'DEFINITIF (APBNP)'!C1283</f>
        <v>0</v>
      </c>
      <c r="D234" s="359">
        <f>'DEFINITIF (APBNP)'!D1283</f>
        <v>0</v>
      </c>
      <c r="E234" s="359">
        <f>'DEFINITIF (APBNP)'!E1283</f>
        <v>0</v>
      </c>
      <c r="F234" s="360">
        <f>C234*E234</f>
        <v>0</v>
      </c>
      <c r="G234" s="361"/>
      <c r="H234" s="362"/>
      <c r="J234" s="362"/>
      <c r="L234" s="364"/>
      <c r="M234" s="365"/>
      <c r="N234" s="362"/>
    </row>
    <row r="235" spans="1:14" s="363" customFormat="1" ht="15" customHeight="1" x14ac:dyDescent="0.25">
      <c r="A235" s="597"/>
      <c r="B235" s="359" t="str">
        <f>'DEFINITIF (APBNP)'!B1284</f>
        <v>- Pengawasan Subsidi Operasi Bus Perintis</v>
      </c>
      <c r="C235" s="359">
        <f>'DEFINITIF (APBNP)'!C1284</f>
        <v>1</v>
      </c>
      <c r="D235" s="359" t="str">
        <f>'DEFINITIF (APBNP)'!D1284</f>
        <v>TH</v>
      </c>
      <c r="E235" s="359">
        <f>'DEFINITIF (APBNP)'!E1284</f>
        <v>50000</v>
      </c>
      <c r="F235" s="360">
        <f>C235*E235</f>
        <v>50000</v>
      </c>
      <c r="G235" s="361"/>
      <c r="H235" s="362"/>
      <c r="J235" s="362"/>
      <c r="L235" s="364"/>
      <c r="M235" s="365"/>
      <c r="N235" s="362"/>
    </row>
    <row r="236" spans="1:14" s="363" customFormat="1" ht="15" customHeight="1" x14ac:dyDescent="0.25">
      <c r="A236" s="597"/>
      <c r="B236" s="359">
        <f>'DEFINITIF (APBNP)'!B1285</f>
        <v>0</v>
      </c>
      <c r="C236" s="359">
        <f>'DEFINITIF (APBNP)'!C1285</f>
        <v>0</v>
      </c>
      <c r="D236" s="359">
        <f>'DEFINITIF (APBNP)'!D1285</f>
        <v>0</v>
      </c>
      <c r="E236" s="359">
        <f>'DEFINITIF (APBNP)'!E1285</f>
        <v>0</v>
      </c>
      <c r="F236" s="360">
        <f>C236*E236</f>
        <v>0</v>
      </c>
      <c r="G236" s="361"/>
      <c r="H236" s="362"/>
      <c r="J236" s="362"/>
      <c r="L236" s="364"/>
      <c r="M236" s="365"/>
      <c r="N236" s="362"/>
    </row>
    <row r="237" spans="1:14" s="355" customFormat="1" ht="15" customHeight="1" x14ac:dyDescent="0.25">
      <c r="A237" s="573">
        <v>21</v>
      </c>
      <c r="B237" s="587" t="s">
        <v>807</v>
      </c>
      <c r="C237" s="587">
        <v>2</v>
      </c>
      <c r="D237" s="587"/>
      <c r="E237" s="589"/>
      <c r="F237" s="588">
        <f>SUM(F238:F244)</f>
        <v>1150000</v>
      </c>
      <c r="G237" s="353"/>
      <c r="H237" s="354"/>
      <c r="J237" s="354"/>
      <c r="L237" s="356"/>
      <c r="M237" s="357"/>
      <c r="N237" s="354"/>
    </row>
    <row r="238" spans="1:14" s="363" customFormat="1" ht="15" customHeight="1" x14ac:dyDescent="0.25">
      <c r="A238" s="597"/>
      <c r="B238" s="359" t="str">
        <f>'DEFINITIF (APBNP)'!B1330</f>
        <v>Belanja Barang Operasional Lainnya</v>
      </c>
      <c r="C238" s="359">
        <f>'DEFINITIF (APBNP)'!C1330</f>
        <v>0</v>
      </c>
      <c r="D238" s="359">
        <f>'DEFINITIF (APBNP)'!D1330</f>
        <v>0</v>
      </c>
      <c r="E238" s="359">
        <f>'DEFINITIF (APBNP)'!E1330</f>
        <v>0</v>
      </c>
      <c r="F238" s="360">
        <f t="shared" ref="F238:F259" si="4">C238*E238</f>
        <v>0</v>
      </c>
      <c r="G238" s="361"/>
      <c r="H238" s="362"/>
      <c r="J238" s="362"/>
      <c r="L238" s="364"/>
      <c r="M238" s="365"/>
      <c r="N238" s="362"/>
    </row>
    <row r="239" spans="1:14" s="363" customFormat="1" ht="15" customHeight="1" x14ac:dyDescent="0.25">
      <c r="A239" s="597"/>
      <c r="B239" s="359" t="str">
        <f>'DEFINITIF (APBNP)'!B1331</f>
        <v>Subsidi Operasi Bus Perintis</v>
      </c>
      <c r="C239" s="359">
        <f>'DEFINITIF (APBNP)'!C1331</f>
        <v>1</v>
      </c>
      <c r="D239" s="359" t="str">
        <f>'DEFINITIF (APBNP)'!D1331</f>
        <v>TH</v>
      </c>
      <c r="E239" s="359">
        <f>'DEFINITIF (APBNP)'!E1331</f>
        <v>1100000</v>
      </c>
      <c r="F239" s="360">
        <f t="shared" si="4"/>
        <v>1100000</v>
      </c>
      <c r="G239" s="361"/>
      <c r="H239" s="362"/>
      <c r="J239" s="362"/>
      <c r="L239" s="364"/>
      <c r="M239" s="365"/>
      <c r="N239" s="362"/>
    </row>
    <row r="240" spans="1:14" s="363" customFormat="1" ht="15" customHeight="1" x14ac:dyDescent="0.25">
      <c r="A240" s="597"/>
      <c r="B240" s="359" t="str">
        <f>'DEFINITIF (APBNP)'!B1332</f>
        <v>=- Maros - Moncong Loe - Patalasang - Gowa</v>
      </c>
      <c r="C240" s="359">
        <f>'DEFINITIF (APBNP)'!C1332</f>
        <v>0</v>
      </c>
      <c r="D240" s="359">
        <f>'DEFINITIF (APBNP)'!D1332</f>
        <v>0</v>
      </c>
      <c r="E240" s="359">
        <f>'DEFINITIF (APBNP)'!E1332</f>
        <v>0</v>
      </c>
      <c r="F240" s="360">
        <f t="shared" si="4"/>
        <v>0</v>
      </c>
      <c r="G240" s="361"/>
      <c r="H240" s="362"/>
      <c r="J240" s="362"/>
      <c r="L240" s="364"/>
      <c r="M240" s="365"/>
      <c r="N240" s="362"/>
    </row>
    <row r="241" spans="1:14" s="363" customFormat="1" ht="15" customHeight="1" x14ac:dyDescent="0.25">
      <c r="A241" s="597"/>
      <c r="B241" s="359" t="str">
        <f>'DEFINITIF (APBNP)'!B1333</f>
        <v>- Maros - Moncong Loe - Barombong - Takalar</v>
      </c>
      <c r="C241" s="359">
        <f>'DEFINITIF (APBNP)'!C1333</f>
        <v>0</v>
      </c>
      <c r="D241" s="359">
        <f>'DEFINITIF (APBNP)'!D1333</f>
        <v>0</v>
      </c>
      <c r="E241" s="359">
        <f>'DEFINITIF (APBNP)'!E1333</f>
        <v>0</v>
      </c>
      <c r="F241" s="360">
        <f t="shared" si="4"/>
        <v>0</v>
      </c>
      <c r="G241" s="361"/>
      <c r="H241" s="362"/>
      <c r="J241" s="362"/>
      <c r="L241" s="364"/>
      <c r="M241" s="365"/>
      <c r="N241" s="362"/>
    </row>
    <row r="242" spans="1:14" s="363" customFormat="1" ht="15" customHeight="1" x14ac:dyDescent="0.25">
      <c r="A242" s="597"/>
      <c r="B242" s="359">
        <f>'DEFINITIF (APBNP)'!B1334</f>
        <v>0</v>
      </c>
      <c r="C242" s="359">
        <f>'DEFINITIF (APBNP)'!C1334</f>
        <v>0</v>
      </c>
      <c r="D242" s="359">
        <f>'DEFINITIF (APBNP)'!D1334</f>
        <v>0</v>
      </c>
      <c r="E242" s="359">
        <f>'DEFINITIF (APBNP)'!E1334</f>
        <v>0</v>
      </c>
      <c r="F242" s="360">
        <f t="shared" si="4"/>
        <v>0</v>
      </c>
      <c r="G242" s="361"/>
      <c r="H242" s="362"/>
      <c r="J242" s="362"/>
      <c r="L242" s="364"/>
      <c r="M242" s="365"/>
      <c r="N242" s="362"/>
    </row>
    <row r="243" spans="1:14" s="363" customFormat="1" ht="15" customHeight="1" x14ac:dyDescent="0.25">
      <c r="A243" s="597"/>
      <c r="B243" s="359" t="str">
        <f>'DEFINITIF (APBNP)'!B1335</f>
        <v>Belanja Uang Honor Tidak Tetap</v>
      </c>
      <c r="C243" s="359">
        <f>'DEFINITIF (APBNP)'!C1335</f>
        <v>0</v>
      </c>
      <c r="D243" s="359">
        <f>'DEFINITIF (APBNP)'!D1335</f>
        <v>0</v>
      </c>
      <c r="E243" s="359">
        <f>'DEFINITIF (APBNP)'!E1335</f>
        <v>0</v>
      </c>
      <c r="F243" s="360">
        <f t="shared" si="4"/>
        <v>0</v>
      </c>
      <c r="G243" s="361"/>
      <c r="H243" s="362"/>
      <c r="J243" s="362"/>
      <c r="L243" s="364"/>
      <c r="M243" s="365"/>
      <c r="N243" s="362"/>
    </row>
    <row r="244" spans="1:14" s="363" customFormat="1" ht="15" customHeight="1" x14ac:dyDescent="0.25">
      <c r="A244" s="597"/>
      <c r="B244" s="359" t="str">
        <f>'DEFINITIF (APBNP)'!B1336</f>
        <v>- Pengawasan Subsidi Operasi Bus Perintis</v>
      </c>
      <c r="C244" s="359">
        <f>'DEFINITIF (APBNP)'!C1336</f>
        <v>1</v>
      </c>
      <c r="D244" s="359" t="str">
        <f>'DEFINITIF (APBNP)'!D1336</f>
        <v>TH</v>
      </c>
      <c r="E244" s="359">
        <f>'DEFINITIF (APBNP)'!E1336</f>
        <v>50000</v>
      </c>
      <c r="F244" s="360">
        <f t="shared" si="4"/>
        <v>50000</v>
      </c>
      <c r="G244" s="361"/>
      <c r="H244" s="362"/>
      <c r="J244" s="362"/>
      <c r="L244" s="364"/>
      <c r="M244" s="365"/>
      <c r="N244" s="362"/>
    </row>
    <row r="245" spans="1:14" s="363" customFormat="1" ht="15" customHeight="1" x14ac:dyDescent="0.25">
      <c r="A245" s="597"/>
      <c r="B245" s="359"/>
      <c r="C245" s="359"/>
      <c r="D245" s="359"/>
      <c r="E245" s="359"/>
      <c r="F245" s="360"/>
      <c r="G245" s="361"/>
      <c r="H245" s="362"/>
      <c r="J245" s="362"/>
      <c r="L245" s="364"/>
      <c r="M245" s="365"/>
      <c r="N245" s="362"/>
    </row>
    <row r="246" spans="1:14" s="355" customFormat="1" ht="15" customHeight="1" x14ac:dyDescent="0.25">
      <c r="A246" s="573">
        <v>22</v>
      </c>
      <c r="B246" s="587" t="s">
        <v>809</v>
      </c>
      <c r="C246" s="587">
        <v>6</v>
      </c>
      <c r="D246" s="587"/>
      <c r="E246" s="589"/>
      <c r="F246" s="588">
        <f>SUM(F247:F259)</f>
        <v>2646200</v>
      </c>
      <c r="G246" s="353"/>
      <c r="H246" s="354"/>
      <c r="J246" s="354"/>
      <c r="L246" s="356"/>
      <c r="M246" s="357"/>
      <c r="N246" s="354"/>
    </row>
    <row r="247" spans="1:14" s="363" customFormat="1" ht="15" customHeight="1" x14ac:dyDescent="0.25">
      <c r="A247" s="597"/>
      <c r="B247" s="359" t="str">
        <f>'DEFINITIF (APBNP)'!B1398</f>
        <v>Belanja Barang Operasional Lainnya</v>
      </c>
      <c r="C247" s="359">
        <f>'DEFINITIF (APBNP)'!C1398</f>
        <v>0</v>
      </c>
      <c r="D247" s="359">
        <f>'DEFINITIF (APBNP)'!D1398</f>
        <v>0</v>
      </c>
      <c r="E247" s="359">
        <f>'DEFINITIF (APBNP)'!E1398</f>
        <v>0</v>
      </c>
      <c r="F247" s="360">
        <f t="shared" si="4"/>
        <v>0</v>
      </c>
      <c r="G247" s="361"/>
      <c r="H247" s="362"/>
      <c r="J247" s="362"/>
      <c r="L247" s="364"/>
      <c r="M247" s="365"/>
      <c r="N247" s="362"/>
    </row>
    <row r="248" spans="1:14" s="363" customFormat="1" ht="15" customHeight="1" x14ac:dyDescent="0.25">
      <c r="A248" s="597"/>
      <c r="B248" s="359" t="str">
        <f>'DEFINITIF (APBNP)'!B1399</f>
        <v>Subsidi Operasi Bus Perintis (4 trayek lama)</v>
      </c>
      <c r="C248" s="359">
        <f>'DEFINITIF (APBNP)'!C1399</f>
        <v>1</v>
      </c>
      <c r="D248" s="359" t="str">
        <f>'DEFINITIF (APBNP)'!D1399</f>
        <v>TH</v>
      </c>
      <c r="E248" s="359">
        <f>'DEFINITIF (APBNP)'!E1399</f>
        <v>2600000</v>
      </c>
      <c r="F248" s="360">
        <f t="shared" si="4"/>
        <v>2600000</v>
      </c>
      <c r="G248" s="361"/>
      <c r="H248" s="362"/>
      <c r="J248" s="362"/>
      <c r="L248" s="364"/>
      <c r="M248" s="365"/>
      <c r="N248" s="362"/>
    </row>
    <row r="249" spans="1:14" s="363" customFormat="1" ht="15" customHeight="1" x14ac:dyDescent="0.25">
      <c r="A249" s="597"/>
      <c r="B249" s="359" t="str">
        <f>'DEFINITIF (APBNP)'!B1400</f>
        <v>Mamuju - Mamasa</v>
      </c>
      <c r="C249" s="359">
        <f>'DEFINITIF (APBNP)'!C1400</f>
        <v>0</v>
      </c>
      <c r="D249" s="359">
        <f>'DEFINITIF (APBNP)'!D1400</f>
        <v>0</v>
      </c>
      <c r="E249" s="359">
        <f>'DEFINITIF (APBNP)'!E1400</f>
        <v>0</v>
      </c>
      <c r="F249" s="360">
        <f t="shared" si="4"/>
        <v>0</v>
      </c>
      <c r="G249" s="361"/>
      <c r="H249" s="362"/>
      <c r="J249" s="362"/>
      <c r="L249" s="364"/>
      <c r="M249" s="365"/>
      <c r="N249" s="362"/>
    </row>
    <row r="250" spans="1:14" s="363" customFormat="1" ht="15" customHeight="1" x14ac:dyDescent="0.25">
      <c r="A250" s="597"/>
      <c r="B250" s="359" t="str">
        <f>'DEFINITIF (APBNP)'!B1401</f>
        <v>Mamuju - Tobadak</v>
      </c>
      <c r="C250" s="359">
        <f>'DEFINITIF (APBNP)'!C1401</f>
        <v>0</v>
      </c>
      <c r="D250" s="359">
        <f>'DEFINITIF (APBNP)'!D1401</f>
        <v>0</v>
      </c>
      <c r="E250" s="359">
        <f>'DEFINITIF (APBNP)'!E1401</f>
        <v>0</v>
      </c>
      <c r="F250" s="360">
        <f t="shared" si="4"/>
        <v>0</v>
      </c>
      <c r="G250" s="361"/>
      <c r="H250" s="362"/>
      <c r="J250" s="362"/>
      <c r="L250" s="364"/>
      <c r="M250" s="365"/>
      <c r="N250" s="362"/>
    </row>
    <row r="251" spans="1:14" s="363" customFormat="1" ht="15" customHeight="1" x14ac:dyDescent="0.25">
      <c r="A251" s="597"/>
      <c r="B251" s="359" t="str">
        <f>'DEFINITIF (APBNP)'!B1402</f>
        <v>Mamuju - Tommo</v>
      </c>
      <c r="C251" s="359">
        <f>'DEFINITIF (APBNP)'!C1402</f>
        <v>0</v>
      </c>
      <c r="D251" s="359">
        <f>'DEFINITIF (APBNP)'!D1402</f>
        <v>0</v>
      </c>
      <c r="E251" s="359">
        <f>'DEFINITIF (APBNP)'!E1402</f>
        <v>0</v>
      </c>
      <c r="F251" s="360">
        <f t="shared" si="4"/>
        <v>0</v>
      </c>
      <c r="G251" s="361"/>
      <c r="H251" s="362"/>
      <c r="J251" s="362"/>
      <c r="L251" s="364"/>
      <c r="M251" s="365"/>
      <c r="N251" s="362"/>
    </row>
    <row r="252" spans="1:14" s="363" customFormat="1" ht="15" customHeight="1" x14ac:dyDescent="0.25">
      <c r="A252" s="597"/>
      <c r="B252" s="359" t="str">
        <f>'DEFINITIF (APBNP)'!B1403</f>
        <v>Mamuju - Kalumpang</v>
      </c>
      <c r="C252" s="359">
        <f>'DEFINITIF (APBNP)'!C1403</f>
        <v>0</v>
      </c>
      <c r="D252" s="359">
        <f>'DEFINITIF (APBNP)'!D1403</f>
        <v>0</v>
      </c>
      <c r="E252" s="359">
        <f>'DEFINITIF (APBNP)'!E1403</f>
        <v>0</v>
      </c>
      <c r="F252" s="360">
        <f t="shared" si="4"/>
        <v>0</v>
      </c>
      <c r="G252" s="361"/>
      <c r="H252" s="362"/>
      <c r="J252" s="362"/>
      <c r="L252" s="364"/>
      <c r="M252" s="365"/>
      <c r="N252" s="362"/>
    </row>
    <row r="253" spans="1:14" s="363" customFormat="1" ht="15" customHeight="1" x14ac:dyDescent="0.25">
      <c r="A253" s="597"/>
      <c r="B253" s="359" t="str">
        <f>'DEFINITIF (APBNP)'!B1404</f>
        <v>Mamuju - Aralle - Tabulahan - Mambi</v>
      </c>
      <c r="C253" s="359">
        <f>'DEFINITIF (APBNP)'!C1404</f>
        <v>0</v>
      </c>
      <c r="D253" s="359">
        <f>'DEFINITIF (APBNP)'!D1404</f>
        <v>0</v>
      </c>
      <c r="E253" s="359">
        <f>'DEFINITIF (APBNP)'!E1404</f>
        <v>0</v>
      </c>
      <c r="F253" s="360">
        <f t="shared" si="4"/>
        <v>0</v>
      </c>
      <c r="G253" s="361"/>
      <c r="H253" s="362"/>
      <c r="J253" s="362"/>
      <c r="L253" s="364"/>
      <c r="M253" s="365"/>
      <c r="N253" s="362"/>
    </row>
    <row r="254" spans="1:14" s="363" customFormat="1" ht="15" customHeight="1" x14ac:dyDescent="0.25">
      <c r="A254" s="597"/>
      <c r="B254" s="359" t="str">
        <f>'DEFINITIF (APBNP)'!B1405</f>
        <v>Mamuju - Baras</v>
      </c>
      <c r="C254" s="359">
        <f>'DEFINITIF (APBNP)'!C1405</f>
        <v>0</v>
      </c>
      <c r="D254" s="359">
        <f>'DEFINITIF (APBNP)'!D1405</f>
        <v>0</v>
      </c>
      <c r="E254" s="359">
        <f>'DEFINITIF (APBNP)'!E1405</f>
        <v>0</v>
      </c>
      <c r="F254" s="360">
        <f t="shared" si="4"/>
        <v>0</v>
      </c>
      <c r="G254" s="361"/>
      <c r="H254" s="362"/>
      <c r="J254" s="362"/>
      <c r="L254" s="364"/>
      <c r="M254" s="365"/>
      <c r="N254" s="362"/>
    </row>
    <row r="255" spans="1:14" s="363" customFormat="1" ht="15" customHeight="1" x14ac:dyDescent="0.25">
      <c r="A255" s="597"/>
      <c r="B255" s="359">
        <f>'DEFINITIF (APBNP)'!B1406</f>
        <v>0</v>
      </c>
      <c r="C255" s="359">
        <f>'DEFINITIF (APBNP)'!C1406</f>
        <v>0</v>
      </c>
      <c r="D255" s="359">
        <f>'DEFINITIF (APBNP)'!D1406</f>
        <v>0</v>
      </c>
      <c r="E255" s="359">
        <f>'DEFINITIF (APBNP)'!E1406</f>
        <v>0</v>
      </c>
      <c r="F255" s="360">
        <f t="shared" si="4"/>
        <v>0</v>
      </c>
      <c r="G255" s="361"/>
      <c r="H255" s="362"/>
      <c r="J255" s="362"/>
      <c r="L255" s="364"/>
      <c r="M255" s="365"/>
      <c r="N255" s="362"/>
    </row>
    <row r="256" spans="1:14" s="363" customFormat="1" ht="15" customHeight="1" x14ac:dyDescent="0.25">
      <c r="A256" s="597"/>
      <c r="B256" s="359">
        <f>'DEFINITIF (APBNP)'!B1406</f>
        <v>0</v>
      </c>
      <c r="C256" s="359">
        <f>'DEFINITIF (APBNP)'!C1406</f>
        <v>0</v>
      </c>
      <c r="D256" s="359">
        <f>'DEFINITIF (APBNP)'!D1406</f>
        <v>0</v>
      </c>
      <c r="E256" s="359">
        <f>'DEFINITIF (APBNP)'!E1406</f>
        <v>0</v>
      </c>
      <c r="F256" s="360">
        <f t="shared" si="4"/>
        <v>0</v>
      </c>
      <c r="G256" s="361"/>
      <c r="H256" s="362"/>
      <c r="J256" s="362"/>
      <c r="L256" s="364"/>
      <c r="M256" s="365"/>
      <c r="N256" s="362"/>
    </row>
    <row r="257" spans="1:14" s="363" customFormat="1" ht="15" customHeight="1" x14ac:dyDescent="0.25">
      <c r="A257" s="597"/>
      <c r="B257" s="359" t="str">
        <f>'DEFINITIF (APBNP)'!B1407</f>
        <v>Belanja Uang Honor Tidak Tetap</v>
      </c>
      <c r="C257" s="359">
        <f>'DEFINITIF (APBNP)'!C1407</f>
        <v>0</v>
      </c>
      <c r="D257" s="359">
        <f>'DEFINITIF (APBNP)'!D1407</f>
        <v>0</v>
      </c>
      <c r="E257" s="359">
        <f>'DEFINITIF (APBNP)'!E1407</f>
        <v>0</v>
      </c>
      <c r="F257" s="360">
        <f t="shared" si="4"/>
        <v>0</v>
      </c>
      <c r="G257" s="361"/>
      <c r="H257" s="362"/>
      <c r="J257" s="362"/>
      <c r="L257" s="364"/>
      <c r="M257" s="365"/>
      <c r="N257" s="362"/>
    </row>
    <row r="258" spans="1:14" s="363" customFormat="1" ht="15" customHeight="1" x14ac:dyDescent="0.25">
      <c r="A258" s="597"/>
      <c r="B258" s="359" t="str">
        <f>'DEFINITIF (APBNP)'!B1408</f>
        <v>- Pengawasan Subsidi Operasi Bus Perintis</v>
      </c>
      <c r="C258" s="359">
        <f>'DEFINITIF (APBNP)'!C1408</f>
        <v>1</v>
      </c>
      <c r="D258" s="359" t="str">
        <f>'DEFINITIF (APBNP)'!D1408</f>
        <v>TH</v>
      </c>
      <c r="E258" s="359">
        <f>'DEFINITIF (APBNP)'!E1408</f>
        <v>46200</v>
      </c>
      <c r="F258" s="360">
        <f t="shared" si="4"/>
        <v>46200</v>
      </c>
      <c r="G258" s="361"/>
      <c r="H258" s="362"/>
      <c r="J258" s="362"/>
      <c r="L258" s="364"/>
      <c r="M258" s="365"/>
      <c r="N258" s="362"/>
    </row>
    <row r="259" spans="1:14" s="363" customFormat="1" ht="15" customHeight="1" x14ac:dyDescent="0.25">
      <c r="A259" s="597"/>
      <c r="B259" s="359"/>
      <c r="C259" s="359">
        <f>'DEFINITIF (APBNP)'!C1397</f>
        <v>0</v>
      </c>
      <c r="D259" s="359">
        <f>'DEFINITIF (APBNP)'!D1397</f>
        <v>0</v>
      </c>
      <c r="E259" s="359">
        <f>'DEFINITIF (APBNP)'!E1397</f>
        <v>0</v>
      </c>
      <c r="F259" s="360">
        <f t="shared" si="4"/>
        <v>0</v>
      </c>
      <c r="G259" s="361"/>
      <c r="H259" s="362"/>
      <c r="J259" s="362"/>
      <c r="L259" s="364"/>
      <c r="M259" s="365"/>
      <c r="N259" s="362"/>
    </row>
    <row r="260" spans="1:14" s="355" customFormat="1" ht="15" customHeight="1" x14ac:dyDescent="0.25">
      <c r="A260" s="573">
        <v>23</v>
      </c>
      <c r="B260" s="587" t="s">
        <v>811</v>
      </c>
      <c r="C260" s="587">
        <v>5</v>
      </c>
      <c r="D260" s="587"/>
      <c r="E260" s="589"/>
      <c r="F260" s="588">
        <f>SUM(F261:F270)</f>
        <v>2788030</v>
      </c>
      <c r="G260" s="353"/>
      <c r="H260" s="354"/>
      <c r="J260" s="354"/>
      <c r="L260" s="356"/>
      <c r="M260" s="357"/>
      <c r="N260" s="354"/>
    </row>
    <row r="261" spans="1:14" s="363" customFormat="1" ht="15" customHeight="1" x14ac:dyDescent="0.25">
      <c r="A261" s="597"/>
      <c r="B261" s="359" t="str">
        <f>'DEFINITIF (APBNP)'!B1463</f>
        <v>Belanja Barang Operasional Lainnya</v>
      </c>
      <c r="C261" s="359">
        <f>'DEFINITIF (APBNP)'!C1463</f>
        <v>0</v>
      </c>
      <c r="D261" s="359">
        <f>'DEFINITIF (APBNP)'!D1463</f>
        <v>0</v>
      </c>
      <c r="E261" s="359">
        <f>'DEFINITIF (APBNP)'!E1463</f>
        <v>0</v>
      </c>
      <c r="F261" s="360">
        <f t="shared" ref="F261:F345" si="5">C261*E261</f>
        <v>0</v>
      </c>
      <c r="G261" s="361"/>
      <c r="H261" s="362"/>
      <c r="J261" s="362"/>
      <c r="L261" s="364"/>
      <c r="M261" s="365"/>
      <c r="N261" s="362"/>
    </row>
    <row r="262" spans="1:14" s="363" customFormat="1" ht="15" customHeight="1" x14ac:dyDescent="0.25">
      <c r="A262" s="597"/>
      <c r="B262" s="359" t="str">
        <f>'DEFINITIF (APBNP)'!B1464</f>
        <v>Subsidi Operasi Bus Perintis</v>
      </c>
      <c r="C262" s="359">
        <f>'DEFINITIF (APBNP)'!C1464</f>
        <v>1</v>
      </c>
      <c r="D262" s="359" t="str">
        <f>'DEFINITIF (APBNP)'!D1464</f>
        <v>TH</v>
      </c>
      <c r="E262" s="359">
        <f>'DEFINITIF (APBNP)'!E1464</f>
        <v>2738030</v>
      </c>
      <c r="F262" s="360">
        <f t="shared" si="5"/>
        <v>2738030</v>
      </c>
      <c r="G262" s="361"/>
      <c r="H262" s="362"/>
      <c r="J262" s="362"/>
      <c r="L262" s="364"/>
      <c r="M262" s="365"/>
      <c r="N262" s="362"/>
    </row>
    <row r="263" spans="1:14" s="363" customFormat="1" ht="15" customHeight="1" x14ac:dyDescent="0.25">
      <c r="A263" s="597"/>
      <c r="B263" s="359" t="str">
        <f>'DEFINITIF (APBNP)'!B1465</f>
        <v>Poso - Napu - Doda</v>
      </c>
      <c r="C263" s="359">
        <f>'DEFINITIF (APBNP)'!C1465</f>
        <v>0</v>
      </c>
      <c r="D263" s="359">
        <f>'DEFINITIF (APBNP)'!D1465</f>
        <v>0</v>
      </c>
      <c r="E263" s="359">
        <f>'DEFINITIF (APBNP)'!E1465</f>
        <v>0</v>
      </c>
      <c r="F263" s="360">
        <f t="shared" si="5"/>
        <v>0</v>
      </c>
      <c r="G263" s="361"/>
      <c r="H263" s="362"/>
      <c r="J263" s="362"/>
      <c r="L263" s="364"/>
      <c r="M263" s="365"/>
      <c r="N263" s="362"/>
    </row>
    <row r="264" spans="1:14" s="363" customFormat="1" ht="15" customHeight="1" x14ac:dyDescent="0.25">
      <c r="A264" s="597"/>
      <c r="B264" s="359" t="str">
        <f>'DEFINITIF (APBNP)'!B1466</f>
        <v>Buol - Paleleh - Umu</v>
      </c>
      <c r="C264" s="359">
        <f>'DEFINITIF (APBNP)'!C1466</f>
        <v>0</v>
      </c>
      <c r="D264" s="359">
        <f>'DEFINITIF (APBNP)'!D1466</f>
        <v>0</v>
      </c>
      <c r="E264" s="359">
        <f>'DEFINITIF (APBNP)'!E1466</f>
        <v>0</v>
      </c>
      <c r="F264" s="360">
        <f t="shared" si="5"/>
        <v>0</v>
      </c>
      <c r="G264" s="361"/>
      <c r="H264" s="362"/>
      <c r="J264" s="362"/>
      <c r="L264" s="364"/>
      <c r="M264" s="365"/>
      <c r="N264" s="362"/>
    </row>
    <row r="265" spans="1:14" s="363" customFormat="1" ht="15" customHeight="1" x14ac:dyDescent="0.25">
      <c r="A265" s="597"/>
      <c r="B265" s="359" t="str">
        <f>'DEFINITIF (APBNP)'!B1467</f>
        <v>Toili - Baturube</v>
      </c>
      <c r="C265" s="359">
        <f>'DEFINITIF (APBNP)'!C1467</f>
        <v>0</v>
      </c>
      <c r="D265" s="359">
        <f>'DEFINITIF (APBNP)'!D1467</f>
        <v>0</v>
      </c>
      <c r="E265" s="359">
        <f>'DEFINITIF (APBNP)'!E1467</f>
        <v>0</v>
      </c>
      <c r="F265" s="360">
        <f t="shared" si="5"/>
        <v>0</v>
      </c>
      <c r="G265" s="361"/>
      <c r="H265" s="362"/>
      <c r="J265" s="362"/>
      <c r="L265" s="364"/>
      <c r="M265" s="365"/>
      <c r="N265" s="362"/>
    </row>
    <row r="266" spans="1:14" s="363" customFormat="1" ht="15" customHeight="1" x14ac:dyDescent="0.25">
      <c r="A266" s="597"/>
      <c r="B266" s="359" t="str">
        <f>'DEFINITIF (APBNP)'!B1468</f>
        <v>Lawangke - Matano</v>
      </c>
      <c r="C266" s="359">
        <f>'DEFINITIF (APBNP)'!C1468</f>
        <v>0</v>
      </c>
      <c r="D266" s="359">
        <f>'DEFINITIF (APBNP)'!D1468</f>
        <v>0</v>
      </c>
      <c r="E266" s="359">
        <f>'DEFINITIF (APBNP)'!E1468</f>
        <v>0</v>
      </c>
      <c r="F266" s="360">
        <f t="shared" si="5"/>
        <v>0</v>
      </c>
      <c r="G266" s="361"/>
      <c r="H266" s="362"/>
      <c r="J266" s="362"/>
      <c r="L266" s="364"/>
      <c r="M266" s="365"/>
      <c r="N266" s="362"/>
    </row>
    <row r="267" spans="1:14" s="363" customFormat="1" ht="15" customHeight="1" x14ac:dyDescent="0.25">
      <c r="A267" s="597"/>
      <c r="B267" s="359" t="str">
        <f>'DEFINITIF (APBNP)'!B1469</f>
        <v>Poso - Malino</v>
      </c>
      <c r="C267" s="359">
        <f>'DEFINITIF (APBNP)'!C1469</f>
        <v>0</v>
      </c>
      <c r="D267" s="359">
        <f>'DEFINITIF (APBNP)'!D1469</f>
        <v>0</v>
      </c>
      <c r="E267" s="359">
        <f>'DEFINITIF (APBNP)'!E1469</f>
        <v>0</v>
      </c>
      <c r="F267" s="360">
        <f t="shared" si="5"/>
        <v>0</v>
      </c>
      <c r="G267" s="361"/>
      <c r="H267" s="362"/>
      <c r="J267" s="362"/>
      <c r="L267" s="364"/>
      <c r="M267" s="365"/>
      <c r="N267" s="362"/>
    </row>
    <row r="268" spans="1:14" s="363" customFormat="1" ht="15" customHeight="1" x14ac:dyDescent="0.25">
      <c r="A268" s="597"/>
      <c r="B268" s="359">
        <f>'DEFINITIF (APBNP)'!B1470</f>
        <v>0</v>
      </c>
      <c r="C268" s="359">
        <f>'DEFINITIF (APBNP)'!C1470</f>
        <v>0</v>
      </c>
      <c r="D268" s="359">
        <f>'DEFINITIF (APBNP)'!D1470</f>
        <v>0</v>
      </c>
      <c r="E268" s="359">
        <f>'DEFINITIF (APBNP)'!E1470</f>
        <v>0</v>
      </c>
      <c r="F268" s="360">
        <f t="shared" si="5"/>
        <v>0</v>
      </c>
      <c r="G268" s="361"/>
      <c r="H268" s="362"/>
      <c r="J268" s="362"/>
      <c r="L268" s="364"/>
      <c r="M268" s="365"/>
      <c r="N268" s="362"/>
    </row>
    <row r="269" spans="1:14" s="363" customFormat="1" ht="15" customHeight="1" x14ac:dyDescent="0.25">
      <c r="A269" s="597"/>
      <c r="B269" s="359" t="str">
        <f>'DEFINITIF (APBNP)'!B1471</f>
        <v>Belanja Uang Honor Tidak Tetap</v>
      </c>
      <c r="C269" s="359">
        <f>'DEFINITIF (APBNP)'!C1471</f>
        <v>0</v>
      </c>
      <c r="D269" s="359">
        <f>'DEFINITIF (APBNP)'!D1471</f>
        <v>0</v>
      </c>
      <c r="E269" s="359">
        <f>'DEFINITIF (APBNP)'!E1471</f>
        <v>0</v>
      </c>
      <c r="F269" s="360">
        <f t="shared" si="5"/>
        <v>0</v>
      </c>
      <c r="G269" s="361"/>
      <c r="H269" s="362"/>
      <c r="J269" s="362"/>
      <c r="L269" s="364"/>
      <c r="M269" s="365"/>
      <c r="N269" s="362"/>
    </row>
    <row r="270" spans="1:14" s="363" customFormat="1" ht="15" customHeight="1" x14ac:dyDescent="0.25">
      <c r="A270" s="597"/>
      <c r="B270" s="359" t="str">
        <f>'DEFINITIF (APBNP)'!B1472</f>
        <v>- Pengawasan Subsidi Operasi Bus Perintis</v>
      </c>
      <c r="C270" s="359">
        <f>'DEFINITIF (APBNP)'!C1472</f>
        <v>1</v>
      </c>
      <c r="D270" s="359" t="str">
        <f>'DEFINITIF (APBNP)'!D1472</f>
        <v>TH</v>
      </c>
      <c r="E270" s="359">
        <f>'DEFINITIF (APBNP)'!E1472</f>
        <v>50000</v>
      </c>
      <c r="F270" s="360">
        <f t="shared" si="5"/>
        <v>50000</v>
      </c>
      <c r="G270" s="361"/>
      <c r="H270" s="362"/>
      <c r="J270" s="362"/>
      <c r="L270" s="364"/>
      <c r="M270" s="365"/>
      <c r="N270" s="362"/>
    </row>
    <row r="271" spans="1:14" s="363" customFormat="1" ht="15" customHeight="1" x14ac:dyDescent="0.25">
      <c r="A271" s="597"/>
      <c r="B271" s="359">
        <f>'DEFINITIF (APBNP)'!B1473</f>
        <v>0</v>
      </c>
      <c r="C271" s="359">
        <f>'DEFINITIF (APBNP)'!C1473</f>
        <v>0</v>
      </c>
      <c r="D271" s="359">
        <f>'DEFINITIF (APBNP)'!D1473</f>
        <v>0</v>
      </c>
      <c r="E271" s="359">
        <f>'DEFINITIF (APBNP)'!E1473</f>
        <v>0</v>
      </c>
      <c r="F271" s="360"/>
      <c r="G271" s="361"/>
      <c r="H271" s="362"/>
      <c r="J271" s="362"/>
      <c r="L271" s="364"/>
      <c r="M271" s="365"/>
      <c r="N271" s="362"/>
    </row>
    <row r="272" spans="1:14" s="355" customFormat="1" ht="15" customHeight="1" x14ac:dyDescent="0.25">
      <c r="A272" s="573">
        <v>24</v>
      </c>
      <c r="B272" s="587" t="s">
        <v>813</v>
      </c>
      <c r="C272" s="587">
        <v>7</v>
      </c>
      <c r="D272" s="587"/>
      <c r="E272" s="589"/>
      <c r="F272" s="588">
        <f>SUM(F273:F286)</f>
        <v>3730000</v>
      </c>
      <c r="G272" s="353"/>
      <c r="H272" s="354"/>
      <c r="J272" s="354"/>
      <c r="L272" s="356"/>
      <c r="M272" s="357"/>
      <c r="N272" s="354"/>
    </row>
    <row r="273" spans="1:14" s="363" customFormat="1" ht="15" customHeight="1" x14ac:dyDescent="0.25">
      <c r="A273" s="597"/>
      <c r="B273" s="359" t="str">
        <f>'DEFINITIF (APBNP)'!B1521</f>
        <v>Belanja Barang Operasional Lainnya</v>
      </c>
      <c r="C273" s="359">
        <f>'DEFINITIF (APBNP)'!C1521</f>
        <v>0</v>
      </c>
      <c r="D273" s="359">
        <f>'DEFINITIF (APBNP)'!D1521</f>
        <v>0</v>
      </c>
      <c r="E273" s="359">
        <f>'DEFINITIF (APBNP)'!E1521</f>
        <v>0</v>
      </c>
      <c r="F273" s="360">
        <f t="shared" si="5"/>
        <v>0</v>
      </c>
      <c r="G273" s="361"/>
      <c r="H273" s="362"/>
      <c r="J273" s="362"/>
      <c r="L273" s="364"/>
      <c r="M273" s="365"/>
      <c r="N273" s="362"/>
    </row>
    <row r="274" spans="1:14" s="363" customFormat="1" ht="15" customHeight="1" x14ac:dyDescent="0.25">
      <c r="A274" s="597"/>
      <c r="B274" s="359" t="str">
        <f>'DEFINITIF (APBNP)'!B1522</f>
        <v xml:space="preserve">Subsidi Operasi Bus Perintis </v>
      </c>
      <c r="C274" s="359">
        <f>'DEFINITIF (APBNP)'!C1522</f>
        <v>1</v>
      </c>
      <c r="D274" s="359" t="str">
        <f>'DEFINITIF (APBNP)'!D1522</f>
        <v>TH</v>
      </c>
      <c r="E274" s="359">
        <f>'DEFINITIF (APBNP)'!E1522</f>
        <v>3680000</v>
      </c>
      <c r="F274" s="360">
        <f t="shared" si="5"/>
        <v>3680000</v>
      </c>
      <c r="G274" s="361"/>
      <c r="H274" s="362"/>
      <c r="J274" s="362"/>
      <c r="L274" s="364"/>
      <c r="M274" s="365"/>
      <c r="N274" s="362"/>
    </row>
    <row r="275" spans="1:14" s="363" customFormat="1" ht="15" customHeight="1" x14ac:dyDescent="0.25">
      <c r="A275" s="597"/>
      <c r="B275" s="359" t="str">
        <f>'DEFINITIF (APBNP)'!B1523</f>
        <v>Gorontalo - Tolinggula Ulu - Papualangi</v>
      </c>
      <c r="C275" s="359">
        <f>'DEFINITIF (APBNP)'!C1523</f>
        <v>0</v>
      </c>
      <c r="D275" s="359">
        <f>'DEFINITIF (APBNP)'!D1523</f>
        <v>0</v>
      </c>
      <c r="E275" s="359">
        <f>'DEFINITIF (APBNP)'!E1523</f>
        <v>0</v>
      </c>
      <c r="F275" s="360">
        <f t="shared" si="5"/>
        <v>0</v>
      </c>
      <c r="G275" s="361"/>
      <c r="H275" s="362"/>
      <c r="J275" s="362"/>
      <c r="L275" s="364"/>
      <c r="M275" s="365"/>
      <c r="N275" s="362"/>
    </row>
    <row r="276" spans="1:14" s="363" customFormat="1" ht="15" customHeight="1" x14ac:dyDescent="0.25">
      <c r="A276" s="597"/>
      <c r="B276" s="359" t="str">
        <f>'DEFINITIF (APBNP)'!B1524</f>
        <v>Gorontalo - Marisa - Malango</v>
      </c>
      <c r="C276" s="359">
        <f>'DEFINITIF (APBNP)'!C1524</f>
        <v>0</v>
      </c>
      <c r="D276" s="359">
        <f>'DEFINITIF (APBNP)'!D1524</f>
        <v>0</v>
      </c>
      <c r="E276" s="359">
        <f>'DEFINITIF (APBNP)'!E1524</f>
        <v>0</v>
      </c>
      <c r="F276" s="360">
        <f t="shared" si="5"/>
        <v>0</v>
      </c>
      <c r="G276" s="361"/>
      <c r="H276" s="362"/>
      <c r="J276" s="362"/>
      <c r="L276" s="364"/>
      <c r="M276" s="365"/>
      <c r="N276" s="362"/>
    </row>
    <row r="277" spans="1:14" s="363" customFormat="1" ht="15" customHeight="1" x14ac:dyDescent="0.25">
      <c r="A277" s="597"/>
      <c r="B277" s="359" t="str">
        <f>'DEFINITIF (APBNP)'!B1525</f>
        <v>Gorontalo - Biluhu Tengah - Ilomata</v>
      </c>
      <c r="C277" s="359">
        <f>'DEFINITIF (APBNP)'!C1525</f>
        <v>0</v>
      </c>
      <c r="D277" s="359">
        <f>'DEFINITIF (APBNP)'!D1525</f>
        <v>0</v>
      </c>
      <c r="E277" s="359">
        <f>'DEFINITIF (APBNP)'!E1525</f>
        <v>0</v>
      </c>
      <c r="F277" s="360">
        <f t="shared" si="5"/>
        <v>0</v>
      </c>
      <c r="G277" s="361"/>
      <c r="H277" s="362"/>
      <c r="J277" s="362"/>
      <c r="L277" s="364"/>
      <c r="M277" s="365"/>
      <c r="N277" s="362"/>
    </row>
    <row r="278" spans="1:14" s="363" customFormat="1" ht="15" customHeight="1" x14ac:dyDescent="0.25">
      <c r="A278" s="597"/>
      <c r="B278" s="359" t="str">
        <f>'DEFINITIF (APBNP)'!B1526</f>
        <v>Gorontalo - Malibagu</v>
      </c>
      <c r="C278" s="359">
        <f>'DEFINITIF (APBNP)'!C1526</f>
        <v>0</v>
      </c>
      <c r="D278" s="359">
        <f>'DEFINITIF (APBNP)'!D1526</f>
        <v>0</v>
      </c>
      <c r="E278" s="359">
        <f>'DEFINITIF (APBNP)'!E1526</f>
        <v>0</v>
      </c>
      <c r="F278" s="360">
        <f t="shared" si="5"/>
        <v>0</v>
      </c>
      <c r="G278" s="361"/>
      <c r="H278" s="362"/>
      <c r="J278" s="362"/>
      <c r="L278" s="364"/>
      <c r="M278" s="365"/>
      <c r="N278" s="362"/>
    </row>
    <row r="279" spans="1:14" s="363" customFormat="1" ht="15" customHeight="1" x14ac:dyDescent="0.25">
      <c r="A279" s="597"/>
      <c r="B279" s="359" t="str">
        <f>'DEFINITIF (APBNP)'!B1527</f>
        <v>Gorontalo - Parungi - Lakeya - Mohiyolo</v>
      </c>
      <c r="C279" s="359">
        <f>'DEFINITIF (APBNP)'!C1527</f>
        <v>0</v>
      </c>
      <c r="D279" s="359">
        <f>'DEFINITIF (APBNP)'!D1527</f>
        <v>0</v>
      </c>
      <c r="E279" s="359">
        <f>'DEFINITIF (APBNP)'!E1527</f>
        <v>0</v>
      </c>
      <c r="F279" s="360">
        <f t="shared" si="5"/>
        <v>0</v>
      </c>
      <c r="G279" s="361"/>
      <c r="H279" s="362"/>
      <c r="J279" s="362"/>
      <c r="L279" s="364"/>
      <c r="M279" s="365"/>
      <c r="N279" s="362"/>
    </row>
    <row r="280" spans="1:14" s="363" customFormat="1" ht="15" customHeight="1" x14ac:dyDescent="0.25">
      <c r="A280" s="597"/>
      <c r="B280" s="359" t="str">
        <f>'DEFINITIF (APBNP)'!B1528</f>
        <v>Gorontalo - Monano - Omu</v>
      </c>
      <c r="C280" s="359">
        <f>'DEFINITIF (APBNP)'!C1528</f>
        <v>0</v>
      </c>
      <c r="D280" s="359">
        <f>'DEFINITIF (APBNP)'!D1528</f>
        <v>0</v>
      </c>
      <c r="E280" s="359">
        <f>'DEFINITIF (APBNP)'!E1528</f>
        <v>0</v>
      </c>
      <c r="F280" s="360">
        <f t="shared" si="5"/>
        <v>0</v>
      </c>
      <c r="G280" s="361"/>
      <c r="H280" s="362"/>
      <c r="J280" s="362"/>
      <c r="L280" s="364"/>
      <c r="M280" s="365"/>
      <c r="N280" s="362"/>
    </row>
    <row r="281" spans="1:14" s="363" customFormat="1" ht="15" customHeight="1" x14ac:dyDescent="0.25">
      <c r="A281" s="597"/>
      <c r="B281" s="359" t="str">
        <f>'DEFINITIF (APBNP)'!B1529</f>
        <v>Gorontalo - Bubaa</v>
      </c>
      <c r="C281" s="359">
        <f>'DEFINITIF (APBNP)'!C1529</f>
        <v>0</v>
      </c>
      <c r="D281" s="359">
        <f>'DEFINITIF (APBNP)'!D1529</f>
        <v>0</v>
      </c>
      <c r="E281" s="359">
        <f>'DEFINITIF (APBNP)'!E1529</f>
        <v>0</v>
      </c>
      <c r="F281" s="360">
        <f t="shared" si="5"/>
        <v>0</v>
      </c>
      <c r="G281" s="361"/>
      <c r="H281" s="362"/>
      <c r="J281" s="362"/>
      <c r="L281" s="364"/>
      <c r="M281" s="365"/>
      <c r="N281" s="362"/>
    </row>
    <row r="282" spans="1:14" s="363" customFormat="1" ht="15" customHeight="1" x14ac:dyDescent="0.25">
      <c r="A282" s="597"/>
      <c r="B282" s="359">
        <f>'DEFINITIF (APBNP)'!B1530</f>
        <v>0</v>
      </c>
      <c r="C282" s="359">
        <f>'DEFINITIF (APBNP)'!C1530</f>
        <v>0</v>
      </c>
      <c r="D282" s="359">
        <f>'DEFINITIF (APBNP)'!D1530</f>
        <v>0</v>
      </c>
      <c r="E282" s="359">
        <f>'DEFINITIF (APBNP)'!E1530</f>
        <v>0</v>
      </c>
      <c r="F282" s="360">
        <f t="shared" si="5"/>
        <v>0</v>
      </c>
      <c r="G282" s="361"/>
      <c r="H282" s="362"/>
      <c r="J282" s="362"/>
      <c r="L282" s="364"/>
      <c r="M282" s="365"/>
      <c r="N282" s="362"/>
    </row>
    <row r="283" spans="1:14" s="363" customFormat="1" ht="15" customHeight="1" x14ac:dyDescent="0.25">
      <c r="A283" s="597"/>
      <c r="B283" s="359">
        <f>'DEFINITIF (APBNP)'!B1530</f>
        <v>0</v>
      </c>
      <c r="C283" s="359">
        <f>'DEFINITIF (APBNP)'!C1530</f>
        <v>0</v>
      </c>
      <c r="D283" s="359">
        <f>'DEFINITIF (APBNP)'!D1530</f>
        <v>0</v>
      </c>
      <c r="E283" s="359">
        <f>'DEFINITIF (APBNP)'!E1530</f>
        <v>0</v>
      </c>
      <c r="F283" s="360">
        <f t="shared" si="5"/>
        <v>0</v>
      </c>
      <c r="G283" s="361"/>
      <c r="H283" s="362"/>
      <c r="J283" s="362"/>
      <c r="L283" s="364"/>
      <c r="M283" s="365"/>
      <c r="N283" s="362"/>
    </row>
    <row r="284" spans="1:14" s="363" customFormat="1" ht="15" customHeight="1" x14ac:dyDescent="0.25">
      <c r="A284" s="597"/>
      <c r="B284" s="359" t="str">
        <f>'DEFINITIF (APBNP)'!B1531</f>
        <v>Belanja Uang Honor Tidak Tetap</v>
      </c>
      <c r="C284" s="359">
        <f>'DEFINITIF (APBNP)'!C1531</f>
        <v>0</v>
      </c>
      <c r="D284" s="359">
        <f>'DEFINITIF (APBNP)'!D1531</f>
        <v>0</v>
      </c>
      <c r="E284" s="359">
        <f>'DEFINITIF (APBNP)'!E1531</f>
        <v>0</v>
      </c>
      <c r="F284" s="360">
        <f t="shared" si="5"/>
        <v>0</v>
      </c>
      <c r="G284" s="361"/>
      <c r="H284" s="362"/>
      <c r="J284" s="362"/>
      <c r="L284" s="364"/>
      <c r="M284" s="365"/>
      <c r="N284" s="362"/>
    </row>
    <row r="285" spans="1:14" s="363" customFormat="1" ht="15" customHeight="1" x14ac:dyDescent="0.25">
      <c r="A285" s="597"/>
      <c r="B285" s="359" t="str">
        <f>'DEFINITIF (APBNP)'!B1532</f>
        <v>- Pengawasan Subsidi Operasi Bus Perintis</v>
      </c>
      <c r="C285" s="359">
        <f>'DEFINITIF (APBNP)'!C1532</f>
        <v>1</v>
      </c>
      <c r="D285" s="359" t="str">
        <f>'DEFINITIF (APBNP)'!D1532</f>
        <v>TH</v>
      </c>
      <c r="E285" s="359">
        <f>'DEFINITIF (APBNP)'!E1532</f>
        <v>50000</v>
      </c>
      <c r="F285" s="360">
        <f t="shared" si="5"/>
        <v>50000</v>
      </c>
      <c r="G285" s="361"/>
      <c r="H285" s="362"/>
      <c r="J285" s="362"/>
      <c r="L285" s="364"/>
      <c r="M285" s="365"/>
      <c r="N285" s="362"/>
    </row>
    <row r="286" spans="1:14" s="363" customFormat="1" ht="15" customHeight="1" x14ac:dyDescent="0.25">
      <c r="A286" s="597"/>
      <c r="B286" s="359">
        <f>'DEFINITIF (APBNP)'!B1533</f>
        <v>0</v>
      </c>
      <c r="C286" s="359">
        <f>'DEFINITIF (APBNP)'!C1533</f>
        <v>0</v>
      </c>
      <c r="D286" s="359">
        <f>'DEFINITIF (APBNP)'!D1533</f>
        <v>0</v>
      </c>
      <c r="E286" s="359">
        <f>'DEFINITIF (APBNP)'!E1533</f>
        <v>0</v>
      </c>
      <c r="F286" s="360">
        <f t="shared" si="5"/>
        <v>0</v>
      </c>
      <c r="G286" s="361"/>
      <c r="H286" s="362"/>
      <c r="J286" s="362"/>
      <c r="L286" s="364"/>
      <c r="M286" s="365"/>
      <c r="N286" s="362"/>
    </row>
    <row r="287" spans="1:14" s="355" customFormat="1" ht="15" customHeight="1" x14ac:dyDescent="0.25">
      <c r="A287" s="573">
        <v>25</v>
      </c>
      <c r="B287" s="587" t="s">
        <v>849</v>
      </c>
      <c r="C287" s="587">
        <v>9</v>
      </c>
      <c r="D287" s="587"/>
      <c r="E287" s="589"/>
      <c r="F287" s="588">
        <f>SUM(F288:F301)</f>
        <v>4572000</v>
      </c>
      <c r="G287" s="353"/>
      <c r="H287" s="354"/>
      <c r="J287" s="354"/>
      <c r="L287" s="356"/>
      <c r="M287" s="357"/>
      <c r="N287" s="354"/>
    </row>
    <row r="288" spans="1:14" s="363" customFormat="1" ht="15" customHeight="1" x14ac:dyDescent="0.25">
      <c r="A288" s="597"/>
      <c r="B288" s="359" t="str">
        <f>'DEFINITIF (APBNP)'!B1588</f>
        <v>Belanja Barang Operasional Lainnya</v>
      </c>
      <c r="C288" s="359">
        <f>'DEFINITIF (APBNP)'!C1588</f>
        <v>0</v>
      </c>
      <c r="D288" s="359">
        <f>'DEFINITIF (APBNP)'!D1588</f>
        <v>0</v>
      </c>
      <c r="E288" s="359">
        <f>'DEFINITIF (APBNP)'!E1588</f>
        <v>0</v>
      </c>
      <c r="F288" s="360">
        <f t="shared" si="5"/>
        <v>0</v>
      </c>
      <c r="G288" s="361"/>
      <c r="H288" s="362"/>
      <c r="J288" s="362"/>
      <c r="L288" s="364"/>
      <c r="M288" s="365"/>
      <c r="N288" s="362"/>
    </row>
    <row r="289" spans="1:14" s="363" customFormat="1" ht="15" customHeight="1" x14ac:dyDescent="0.25">
      <c r="A289" s="597"/>
      <c r="B289" s="359" t="str">
        <f>'DEFINITIF (APBNP)'!B1589</f>
        <v>Subsidi Operasi Bus Perintis (10 trayek)</v>
      </c>
      <c r="C289" s="359">
        <f>'DEFINITIF (APBNP)'!C1589</f>
        <v>1</v>
      </c>
      <c r="D289" s="359" t="str">
        <f>'DEFINITIF (APBNP)'!D1589</f>
        <v>TH</v>
      </c>
      <c r="E289" s="359">
        <f>'DEFINITIF (APBNP)'!E1589</f>
        <v>4500000</v>
      </c>
      <c r="F289" s="360">
        <f t="shared" si="5"/>
        <v>4500000</v>
      </c>
      <c r="G289" s="361"/>
      <c r="H289" s="362"/>
      <c r="J289" s="362"/>
      <c r="L289" s="364"/>
      <c r="M289" s="365"/>
      <c r="N289" s="362"/>
    </row>
    <row r="290" spans="1:14" s="363" customFormat="1" ht="15" customHeight="1" x14ac:dyDescent="0.25">
      <c r="A290" s="597"/>
      <c r="B290" s="359" t="str">
        <f>'DEFINITIF (APBNP)'!B1590</f>
        <v>Manado - Ratatotok - Molobog</v>
      </c>
      <c r="C290" s="359">
        <f>'DEFINITIF (APBNP)'!C1590</f>
        <v>0</v>
      </c>
      <c r="D290" s="359">
        <f>'DEFINITIF (APBNP)'!D1590</f>
        <v>0</v>
      </c>
      <c r="E290" s="359">
        <f>'DEFINITIF (APBNP)'!E1590</f>
        <v>0</v>
      </c>
      <c r="F290" s="360">
        <f t="shared" si="5"/>
        <v>0</v>
      </c>
      <c r="G290" s="361"/>
      <c r="H290" s="362"/>
      <c r="J290" s="362"/>
      <c r="L290" s="364"/>
      <c r="M290" s="365"/>
      <c r="N290" s="362"/>
    </row>
    <row r="291" spans="1:14" s="363" customFormat="1" ht="15" customHeight="1" x14ac:dyDescent="0.25">
      <c r="A291" s="597"/>
      <c r="B291" s="359" t="str">
        <f>'DEFINITIF (APBNP)'!B1591</f>
        <v>Manado - Molibagu - Pinolosian</v>
      </c>
      <c r="C291" s="359">
        <f>'DEFINITIF (APBNP)'!C1591</f>
        <v>0</v>
      </c>
      <c r="D291" s="359">
        <f>'DEFINITIF (APBNP)'!D1591</f>
        <v>0</v>
      </c>
      <c r="E291" s="359">
        <f>'DEFINITIF (APBNP)'!E1591</f>
        <v>0</v>
      </c>
      <c r="F291" s="360">
        <f t="shared" si="5"/>
        <v>0</v>
      </c>
      <c r="G291" s="361"/>
      <c r="H291" s="362"/>
      <c r="J291" s="362"/>
      <c r="L291" s="364"/>
      <c r="M291" s="365"/>
      <c r="N291" s="362"/>
    </row>
    <row r="292" spans="1:14" s="363" customFormat="1" ht="15" customHeight="1" x14ac:dyDescent="0.25">
      <c r="A292" s="597"/>
      <c r="B292" s="359" t="str">
        <f>'DEFINITIF (APBNP)'!B1592</f>
        <v>Manado - Ratahan - Tobabo - Bentenan</v>
      </c>
      <c r="C292" s="359">
        <f>'DEFINITIF (APBNP)'!C1592</f>
        <v>0</v>
      </c>
      <c r="D292" s="359">
        <f>'DEFINITIF (APBNP)'!D1592</f>
        <v>0</v>
      </c>
      <c r="E292" s="359">
        <f>'DEFINITIF (APBNP)'!E1592</f>
        <v>0</v>
      </c>
      <c r="F292" s="360">
        <f t="shared" si="5"/>
        <v>0</v>
      </c>
      <c r="G292" s="361"/>
      <c r="H292" s="362"/>
      <c r="J292" s="362"/>
      <c r="L292" s="364"/>
      <c r="M292" s="365"/>
      <c r="N292" s="362"/>
    </row>
    <row r="293" spans="1:14" s="363" customFormat="1" ht="15" customHeight="1" x14ac:dyDescent="0.25">
      <c r="A293" s="597"/>
      <c r="B293" s="359" t="str">
        <f>'DEFINITIF (APBNP)'!B1593</f>
        <v>Tuminting - Palaes - Maliambaong - Munte - Likupang - Pinenek - Tangkoko</v>
      </c>
      <c r="C293" s="359">
        <f>'DEFINITIF (APBNP)'!C1593</f>
        <v>0</v>
      </c>
      <c r="D293" s="359">
        <f>'DEFINITIF (APBNP)'!D1593</f>
        <v>0</v>
      </c>
      <c r="E293" s="359">
        <f>'DEFINITIF (APBNP)'!E1593</f>
        <v>0</v>
      </c>
      <c r="F293" s="360">
        <f t="shared" si="5"/>
        <v>0</v>
      </c>
      <c r="G293" s="361"/>
      <c r="H293" s="362"/>
      <c r="J293" s="362"/>
      <c r="L293" s="364"/>
      <c r="M293" s="365"/>
      <c r="N293" s="362"/>
    </row>
    <row r="294" spans="1:14" s="363" customFormat="1" ht="15" customHeight="1" x14ac:dyDescent="0.25">
      <c r="A294" s="597"/>
      <c r="B294" s="359" t="str">
        <f>'DEFINITIF (APBNP)'!B1594</f>
        <v>Manado - Tondano - Kema - Bitung</v>
      </c>
      <c r="C294" s="359">
        <f>'DEFINITIF (APBNP)'!C1594</f>
        <v>0</v>
      </c>
      <c r="D294" s="359">
        <f>'DEFINITIF (APBNP)'!D1594</f>
        <v>0</v>
      </c>
      <c r="E294" s="359">
        <f>'DEFINITIF (APBNP)'!E1594</f>
        <v>0</v>
      </c>
      <c r="F294" s="360">
        <f t="shared" si="5"/>
        <v>0</v>
      </c>
      <c r="G294" s="361"/>
      <c r="H294" s="362"/>
      <c r="J294" s="362"/>
      <c r="L294" s="364"/>
      <c r="M294" s="365"/>
      <c r="N294" s="362"/>
    </row>
    <row r="295" spans="1:14" s="363" customFormat="1" ht="15" customHeight="1" x14ac:dyDescent="0.25">
      <c r="A295" s="597"/>
      <c r="B295" s="359" t="str">
        <f>'DEFINITIF (APBNP)'!B1595</f>
        <v>Manado - Tungoi - Matalibaru</v>
      </c>
      <c r="C295" s="359">
        <f>'DEFINITIF (APBNP)'!C1595</f>
        <v>0</v>
      </c>
      <c r="D295" s="359">
        <f>'DEFINITIF (APBNP)'!D1595</f>
        <v>0</v>
      </c>
      <c r="E295" s="359">
        <f>'DEFINITIF (APBNP)'!E1595</f>
        <v>0</v>
      </c>
      <c r="F295" s="360">
        <f t="shared" si="5"/>
        <v>0</v>
      </c>
      <c r="G295" s="361"/>
      <c r="H295" s="362"/>
      <c r="J295" s="362"/>
      <c r="L295" s="364"/>
      <c r="M295" s="365"/>
      <c r="N295" s="362"/>
    </row>
    <row r="296" spans="1:14" s="363" customFormat="1" ht="15" customHeight="1" x14ac:dyDescent="0.25">
      <c r="A296" s="597"/>
      <c r="B296" s="359" t="str">
        <f>'DEFINITIF (APBNP)'!B1596</f>
        <v>Manado - Lolak - Labuan Uki</v>
      </c>
      <c r="C296" s="359">
        <f>'DEFINITIF (APBNP)'!C1596</f>
        <v>0</v>
      </c>
      <c r="D296" s="359">
        <f>'DEFINITIF (APBNP)'!D1596</f>
        <v>0</v>
      </c>
      <c r="E296" s="359">
        <f>'DEFINITIF (APBNP)'!E1596</f>
        <v>0</v>
      </c>
      <c r="F296" s="360">
        <f t="shared" si="5"/>
        <v>0</v>
      </c>
      <c r="G296" s="361"/>
      <c r="H296" s="362"/>
      <c r="J296" s="362"/>
      <c r="L296" s="364"/>
      <c r="M296" s="365"/>
      <c r="N296" s="362"/>
    </row>
    <row r="297" spans="1:14" s="363" customFormat="1" ht="15" customHeight="1" x14ac:dyDescent="0.25">
      <c r="A297" s="597"/>
      <c r="B297" s="359" t="str">
        <f>'DEFINITIF (APBNP)'!B1597</f>
        <v>Manado - Pangkusa - Bintauna</v>
      </c>
      <c r="C297" s="359">
        <f>'DEFINITIF (APBNP)'!C1597</f>
        <v>0</v>
      </c>
      <c r="D297" s="359">
        <f>'DEFINITIF (APBNP)'!D1597</f>
        <v>0</v>
      </c>
      <c r="E297" s="359">
        <f>'DEFINITIF (APBNP)'!E1597</f>
        <v>0</v>
      </c>
      <c r="F297" s="360">
        <f t="shared" si="5"/>
        <v>0</v>
      </c>
      <c r="G297" s="361"/>
      <c r="H297" s="362"/>
      <c r="J297" s="362"/>
      <c r="L297" s="364"/>
      <c r="M297" s="365"/>
      <c r="N297" s="362"/>
    </row>
    <row r="298" spans="1:14" s="363" customFormat="1" ht="15" customHeight="1" x14ac:dyDescent="0.25">
      <c r="A298" s="597"/>
      <c r="B298" s="359" t="str">
        <f>'DEFINITIF (APBNP)'!B1598</f>
        <v>MANADO-BOJONEGORO-PURWOREJO-LANUD-NUANGAN</v>
      </c>
      <c r="C298" s="359">
        <f>'DEFINITIF (APBNP)'!C1598</f>
        <v>0</v>
      </c>
      <c r="D298" s="359">
        <f>'DEFINITIF (APBNP)'!D1598</f>
        <v>0</v>
      </c>
      <c r="E298" s="359">
        <f>'DEFINITIF (APBNP)'!E1598</f>
        <v>0</v>
      </c>
      <c r="F298" s="360">
        <f t="shared" si="5"/>
        <v>0</v>
      </c>
      <c r="G298" s="361"/>
      <c r="H298" s="362"/>
      <c r="J298" s="362"/>
      <c r="L298" s="364"/>
      <c r="M298" s="365"/>
      <c r="N298" s="362"/>
    </row>
    <row r="299" spans="1:14" s="363" customFormat="1" ht="15" customHeight="1" x14ac:dyDescent="0.25">
      <c r="A299" s="597"/>
      <c r="B299" s="359">
        <f>'DEFINITIF (APBNP)'!B1599</f>
        <v>0</v>
      </c>
      <c r="C299" s="359">
        <f>'DEFINITIF (APBNP)'!C1599</f>
        <v>0</v>
      </c>
      <c r="D299" s="359">
        <f>'DEFINITIF (APBNP)'!D1599</f>
        <v>0</v>
      </c>
      <c r="E299" s="359">
        <f>'DEFINITIF (APBNP)'!E1599</f>
        <v>0</v>
      </c>
      <c r="F299" s="360">
        <f t="shared" si="5"/>
        <v>0</v>
      </c>
      <c r="G299" s="361"/>
      <c r="H299" s="362"/>
      <c r="J299" s="362"/>
      <c r="L299" s="364"/>
      <c r="M299" s="365"/>
      <c r="N299" s="362"/>
    </row>
    <row r="300" spans="1:14" s="363" customFormat="1" ht="15" customHeight="1" x14ac:dyDescent="0.25">
      <c r="A300" s="597"/>
      <c r="B300" s="359">
        <f>'DEFINITIF (APBNP)'!B1599</f>
        <v>0</v>
      </c>
      <c r="C300" s="359">
        <f>'DEFINITIF (APBNP)'!C1599</f>
        <v>0</v>
      </c>
      <c r="D300" s="359">
        <f>'DEFINITIF (APBNP)'!D1599</f>
        <v>0</v>
      </c>
      <c r="E300" s="359">
        <f>'DEFINITIF (APBNP)'!E1599</f>
        <v>0</v>
      </c>
      <c r="F300" s="360">
        <f t="shared" si="5"/>
        <v>0</v>
      </c>
      <c r="G300" s="361"/>
      <c r="H300" s="362"/>
      <c r="J300" s="362"/>
      <c r="L300" s="364"/>
      <c r="M300" s="365"/>
      <c r="N300" s="362"/>
    </row>
    <row r="301" spans="1:14" s="363" customFormat="1" ht="15" customHeight="1" x14ac:dyDescent="0.25">
      <c r="A301" s="597"/>
      <c r="B301" s="359" t="str">
        <f>'DEFINITIF (APBNP)'!B1600</f>
        <v>- Pengawasan Subsidi Operasi Bus Perintis</v>
      </c>
      <c r="C301" s="359">
        <f>'DEFINITIF (APBNP)'!C1600</f>
        <v>1</v>
      </c>
      <c r="D301" s="359" t="str">
        <f>'DEFINITIF (APBNP)'!D1600</f>
        <v>TH</v>
      </c>
      <c r="E301" s="359">
        <f>'DEFINITIF (APBNP)'!E1600</f>
        <v>72000</v>
      </c>
      <c r="F301" s="360">
        <f t="shared" si="5"/>
        <v>72000</v>
      </c>
      <c r="G301" s="361"/>
      <c r="H301" s="362"/>
      <c r="J301" s="362"/>
      <c r="L301" s="364"/>
      <c r="M301" s="365"/>
      <c r="N301" s="362"/>
    </row>
    <row r="302" spans="1:14" s="363" customFormat="1" ht="15" customHeight="1" x14ac:dyDescent="0.25">
      <c r="A302" s="597"/>
      <c r="B302" s="359"/>
      <c r="C302" s="359"/>
      <c r="D302" s="359"/>
      <c r="E302" s="359"/>
      <c r="F302" s="360"/>
      <c r="G302" s="361"/>
      <c r="H302" s="362"/>
      <c r="J302" s="362"/>
      <c r="L302" s="364"/>
      <c r="M302" s="365"/>
      <c r="N302" s="362"/>
    </row>
    <row r="303" spans="1:14" s="355" customFormat="1" ht="15" customHeight="1" x14ac:dyDescent="0.25">
      <c r="A303" s="573">
        <v>26</v>
      </c>
      <c r="B303" s="587" t="s">
        <v>816</v>
      </c>
      <c r="C303" s="587">
        <v>9</v>
      </c>
      <c r="D303" s="587"/>
      <c r="E303" s="589"/>
      <c r="F303" s="588">
        <f>SUM(F304:F319)</f>
        <v>3050000</v>
      </c>
      <c r="G303" s="353"/>
      <c r="H303" s="354"/>
      <c r="J303" s="354"/>
      <c r="L303" s="356"/>
      <c r="M303" s="357"/>
      <c r="N303" s="354"/>
    </row>
    <row r="304" spans="1:14" s="363" customFormat="1" ht="15" customHeight="1" x14ac:dyDescent="0.25">
      <c r="A304" s="597"/>
      <c r="B304" s="359" t="str">
        <f>'DEFINITIF (APBNP)'!B1641</f>
        <v>Belanja Barang Operasional Lainnya</v>
      </c>
      <c r="C304" s="359">
        <f>'DEFINITIF (APBNP)'!C1641</f>
        <v>0</v>
      </c>
      <c r="D304" s="359">
        <f>'DEFINITIF (APBNP)'!D1641</f>
        <v>0</v>
      </c>
      <c r="E304" s="359">
        <f>'DEFINITIF (APBNP)'!E1641</f>
        <v>0</v>
      </c>
      <c r="F304" s="360">
        <f t="shared" si="5"/>
        <v>0</v>
      </c>
      <c r="G304" s="361"/>
      <c r="H304" s="362"/>
      <c r="J304" s="362"/>
      <c r="L304" s="364"/>
      <c r="M304" s="365"/>
      <c r="N304" s="362"/>
    </row>
    <row r="305" spans="1:14" s="363" customFormat="1" ht="15" customHeight="1" x14ac:dyDescent="0.25">
      <c r="A305" s="597"/>
      <c r="B305" s="359" t="str">
        <f>'DEFINITIF (APBNP)'!B1642</f>
        <v>Subsidi Operasi Bus Perintis (10 trayek)</v>
      </c>
      <c r="C305" s="359">
        <f>'DEFINITIF (APBNP)'!C1642</f>
        <v>1</v>
      </c>
      <c r="D305" s="359" t="str">
        <f>'DEFINITIF (APBNP)'!D1642</f>
        <v>TH</v>
      </c>
      <c r="E305" s="359">
        <f>'DEFINITIF (APBNP)'!E1642</f>
        <v>3000000</v>
      </c>
      <c r="F305" s="360">
        <f t="shared" si="5"/>
        <v>3000000</v>
      </c>
      <c r="G305" s="361"/>
      <c r="H305" s="362"/>
      <c r="J305" s="362"/>
      <c r="L305" s="364"/>
      <c r="M305" s="365"/>
      <c r="N305" s="362"/>
    </row>
    <row r="306" spans="1:14" s="363" customFormat="1" ht="15" customHeight="1" x14ac:dyDescent="0.25">
      <c r="A306" s="597"/>
      <c r="B306" s="359" t="str">
        <f>'DEFINITIF (APBNP)'!B1643</f>
        <v>Kendari - Lamonae (langsung)</v>
      </c>
      <c r="C306" s="359">
        <f>'DEFINITIF (APBNP)'!C1643</f>
        <v>0</v>
      </c>
      <c r="D306" s="359">
        <f>'DEFINITIF (APBNP)'!D1643</f>
        <v>0</v>
      </c>
      <c r="E306" s="359">
        <f>'DEFINITIF (APBNP)'!E1643</f>
        <v>0</v>
      </c>
      <c r="F306" s="360">
        <f t="shared" si="5"/>
        <v>0</v>
      </c>
      <c r="G306" s="361"/>
      <c r="H306" s="362"/>
      <c r="J306" s="362"/>
      <c r="L306" s="364"/>
      <c r="M306" s="365"/>
      <c r="N306" s="362"/>
    </row>
    <row r="307" spans="1:14" s="363" customFormat="1" ht="15" customHeight="1" x14ac:dyDescent="0.25">
      <c r="A307" s="597"/>
      <c r="B307" s="359" t="str">
        <f>'DEFINITIF (APBNP)'!B1644</f>
        <v>Teomokole - Dongkala</v>
      </c>
      <c r="C307" s="359">
        <f>'DEFINITIF (APBNP)'!C1644</f>
        <v>0</v>
      </c>
      <c r="D307" s="359">
        <f>'DEFINITIF (APBNP)'!D1644</f>
        <v>0</v>
      </c>
      <c r="E307" s="359">
        <f>'DEFINITIF (APBNP)'!E1644</f>
        <v>0</v>
      </c>
      <c r="F307" s="360">
        <f t="shared" si="5"/>
        <v>0</v>
      </c>
      <c r="G307" s="361"/>
      <c r="H307" s="362"/>
      <c r="J307" s="362"/>
      <c r="L307" s="364"/>
      <c r="M307" s="365"/>
      <c r="N307" s="362"/>
    </row>
    <row r="308" spans="1:14" s="363" customFormat="1" ht="15" customHeight="1" x14ac:dyDescent="0.25">
      <c r="A308" s="597"/>
      <c r="B308" s="359" t="str">
        <f>'DEFINITIF (APBNP)'!B1645</f>
        <v>Kendari - Mawasangka</v>
      </c>
      <c r="C308" s="359">
        <f>'DEFINITIF (APBNP)'!C1645</f>
        <v>0</v>
      </c>
      <c r="D308" s="359">
        <f>'DEFINITIF (APBNP)'!D1645</f>
        <v>0</v>
      </c>
      <c r="E308" s="359">
        <f>'DEFINITIF (APBNP)'!E1645</f>
        <v>0</v>
      </c>
      <c r="F308" s="360">
        <f t="shared" si="5"/>
        <v>0</v>
      </c>
      <c r="G308" s="361"/>
      <c r="H308" s="362"/>
      <c r="J308" s="362"/>
      <c r="L308" s="364"/>
      <c r="M308" s="365"/>
      <c r="N308" s="362"/>
    </row>
    <row r="309" spans="1:14" s="363" customFormat="1" ht="15" customHeight="1" x14ac:dyDescent="0.25">
      <c r="A309" s="597"/>
      <c r="B309" s="359" t="str">
        <f>'DEFINITIF (APBNP)'!B1646</f>
        <v>Kendari - Tondasi (langsung)</v>
      </c>
      <c r="C309" s="359">
        <f>'DEFINITIF (APBNP)'!C1646</f>
        <v>0</v>
      </c>
      <c r="D309" s="359">
        <f>'DEFINITIF (APBNP)'!D1646</f>
        <v>0</v>
      </c>
      <c r="E309" s="359">
        <f>'DEFINITIF (APBNP)'!E1646</f>
        <v>0</v>
      </c>
      <c r="F309" s="360">
        <f t="shared" si="5"/>
        <v>0</v>
      </c>
      <c r="G309" s="361"/>
      <c r="H309" s="362"/>
      <c r="J309" s="362"/>
      <c r="L309" s="364"/>
      <c r="M309" s="365"/>
      <c r="N309" s="362"/>
    </row>
    <row r="310" spans="1:14" s="363" customFormat="1" ht="15" customHeight="1" x14ac:dyDescent="0.25">
      <c r="A310" s="597"/>
      <c r="B310" s="359" t="str">
        <f>'DEFINITIF (APBNP)'!B1647</f>
        <v>Kendari - Bungku</v>
      </c>
      <c r="C310" s="359">
        <f>'DEFINITIF (APBNP)'!C1647</f>
        <v>0</v>
      </c>
      <c r="D310" s="359">
        <f>'DEFINITIF (APBNP)'!D1647</f>
        <v>0</v>
      </c>
      <c r="E310" s="359">
        <f>'DEFINITIF (APBNP)'!E1647</f>
        <v>0</v>
      </c>
      <c r="F310" s="360">
        <f t="shared" si="5"/>
        <v>0</v>
      </c>
      <c r="G310" s="361"/>
      <c r="H310" s="362"/>
      <c r="J310" s="362"/>
      <c r="L310" s="364"/>
      <c r="M310" s="365"/>
      <c r="N310" s="362"/>
    </row>
    <row r="311" spans="1:14" s="363" customFormat="1" ht="15" customHeight="1" x14ac:dyDescent="0.25">
      <c r="A311" s="597"/>
      <c r="B311" s="359" t="str">
        <f>'DEFINITIF (APBNP)'!B1648</f>
        <v>Kendari - Pinanggo via tianenggea</v>
      </c>
      <c r="C311" s="359">
        <f>'DEFINITIF (APBNP)'!C1648</f>
        <v>0</v>
      </c>
      <c r="D311" s="359">
        <f>'DEFINITIF (APBNP)'!D1648</f>
        <v>0</v>
      </c>
      <c r="E311" s="359">
        <f>'DEFINITIF (APBNP)'!E1648</f>
        <v>0</v>
      </c>
      <c r="F311" s="360">
        <f t="shared" si="5"/>
        <v>0</v>
      </c>
      <c r="G311" s="361"/>
      <c r="H311" s="362"/>
      <c r="J311" s="362"/>
      <c r="L311" s="364"/>
      <c r="M311" s="365"/>
      <c r="N311" s="362"/>
    </row>
    <row r="312" spans="1:14" s="363" customFormat="1" ht="15" customHeight="1" x14ac:dyDescent="0.25">
      <c r="A312" s="597"/>
      <c r="B312" s="359" t="str">
        <f>'DEFINITIF (APBNP)'!B1649</f>
        <v>Bau-Bau - Erreke</v>
      </c>
      <c r="C312" s="359">
        <f>'DEFINITIF (APBNP)'!C1649</f>
        <v>0</v>
      </c>
      <c r="D312" s="359">
        <f>'DEFINITIF (APBNP)'!D1649</f>
        <v>0</v>
      </c>
      <c r="E312" s="359">
        <f>'DEFINITIF (APBNP)'!E1649</f>
        <v>0</v>
      </c>
      <c r="F312" s="360">
        <f t="shared" si="5"/>
        <v>0</v>
      </c>
      <c r="G312" s="361"/>
      <c r="H312" s="362"/>
      <c r="J312" s="362"/>
      <c r="L312" s="364"/>
      <c r="M312" s="365"/>
      <c r="N312" s="362"/>
    </row>
    <row r="313" spans="1:14" s="363" customFormat="1" ht="15" customHeight="1" x14ac:dyDescent="0.25">
      <c r="A313" s="597"/>
      <c r="B313" s="359" t="str">
        <f>'DEFINITIF (APBNP)'!B1650</f>
        <v>Bau-Bau - Mawasangka</v>
      </c>
      <c r="C313" s="359">
        <f>'DEFINITIF (APBNP)'!C1650</f>
        <v>0</v>
      </c>
      <c r="D313" s="359">
        <f>'DEFINITIF (APBNP)'!D1650</f>
        <v>0</v>
      </c>
      <c r="E313" s="359">
        <f>'DEFINITIF (APBNP)'!E1650</f>
        <v>0</v>
      </c>
      <c r="F313" s="360">
        <f t="shared" si="5"/>
        <v>0</v>
      </c>
      <c r="G313" s="361"/>
      <c r="H313" s="362"/>
      <c r="J313" s="362"/>
      <c r="L313" s="364"/>
      <c r="M313" s="365"/>
      <c r="N313" s="362"/>
    </row>
    <row r="314" spans="1:14" s="363" customFormat="1" ht="15" customHeight="1" x14ac:dyDescent="0.25">
      <c r="A314" s="597"/>
      <c r="B314" s="359" t="str">
        <f>'DEFINITIF (APBNP)'!B1651</f>
        <v>Bau-Bau - Kamaru</v>
      </c>
      <c r="C314" s="359">
        <f>'DEFINITIF (APBNP)'!C1651</f>
        <v>0</v>
      </c>
      <c r="D314" s="359">
        <f>'DEFINITIF (APBNP)'!D1651</f>
        <v>0</v>
      </c>
      <c r="E314" s="359">
        <f>'DEFINITIF (APBNP)'!E1651</f>
        <v>0</v>
      </c>
      <c r="F314" s="360">
        <f t="shared" si="5"/>
        <v>0</v>
      </c>
      <c r="G314" s="361"/>
      <c r="H314" s="362"/>
      <c r="J314" s="362"/>
      <c r="L314" s="364"/>
      <c r="M314" s="365"/>
      <c r="N314" s="362"/>
    </row>
    <row r="315" spans="1:14" s="363" customFormat="1" ht="15" customHeight="1" x14ac:dyDescent="0.25">
      <c r="A315" s="597"/>
      <c r="B315" s="359">
        <f>'DEFINITIF (APBNP)'!B1652</f>
        <v>0</v>
      </c>
      <c r="C315" s="359">
        <f>'DEFINITIF (APBNP)'!C1652</f>
        <v>0</v>
      </c>
      <c r="D315" s="359">
        <f>'DEFINITIF (APBNP)'!D1652</f>
        <v>0</v>
      </c>
      <c r="E315" s="359">
        <f>'DEFINITIF (APBNP)'!E1652</f>
        <v>0</v>
      </c>
      <c r="F315" s="360">
        <f t="shared" si="5"/>
        <v>0</v>
      </c>
      <c r="G315" s="361"/>
      <c r="H315" s="362"/>
      <c r="J315" s="362"/>
      <c r="L315" s="364"/>
      <c r="M315" s="365"/>
      <c r="N315" s="362"/>
    </row>
    <row r="316" spans="1:14" s="363" customFormat="1" ht="15" customHeight="1" x14ac:dyDescent="0.25">
      <c r="A316" s="597"/>
      <c r="B316" s="359"/>
      <c r="C316" s="359"/>
      <c r="D316" s="359"/>
      <c r="E316" s="359"/>
      <c r="F316" s="360"/>
      <c r="G316" s="361"/>
      <c r="H316" s="362"/>
      <c r="J316" s="362"/>
      <c r="L316" s="364"/>
      <c r="M316" s="365"/>
      <c r="N316" s="362"/>
    </row>
    <row r="317" spans="1:14" s="363" customFormat="1" ht="15" customHeight="1" x14ac:dyDescent="0.25">
      <c r="A317" s="597"/>
      <c r="B317" s="359">
        <f>'DEFINITIF (APBNP)'!B1652</f>
        <v>0</v>
      </c>
      <c r="C317" s="359">
        <f>'DEFINITIF (APBNP)'!C1652</f>
        <v>0</v>
      </c>
      <c r="D317" s="359">
        <f>'DEFINITIF (APBNP)'!D1652</f>
        <v>0</v>
      </c>
      <c r="E317" s="359">
        <f>'DEFINITIF (APBNP)'!E1652</f>
        <v>0</v>
      </c>
      <c r="F317" s="360">
        <f t="shared" si="5"/>
        <v>0</v>
      </c>
      <c r="G317" s="361"/>
      <c r="H317" s="362"/>
      <c r="J317" s="362"/>
      <c r="L317" s="364"/>
      <c r="M317" s="365"/>
      <c r="N317" s="362"/>
    </row>
    <row r="318" spans="1:14" s="363" customFormat="1" ht="15" customHeight="1" x14ac:dyDescent="0.25">
      <c r="A318" s="597"/>
      <c r="B318" s="359" t="str">
        <f>'DEFINITIF (APBNP)'!B1653</f>
        <v>Belanja Uang Honor Tidak Tetap</v>
      </c>
      <c r="C318" s="359">
        <f>'DEFINITIF (APBNP)'!C1653</f>
        <v>0</v>
      </c>
      <c r="D318" s="359">
        <f>'DEFINITIF (APBNP)'!D1653</f>
        <v>0</v>
      </c>
      <c r="E318" s="359">
        <f>'DEFINITIF (APBNP)'!E1653</f>
        <v>0</v>
      </c>
      <c r="F318" s="360">
        <f t="shared" si="5"/>
        <v>0</v>
      </c>
      <c r="G318" s="361"/>
      <c r="H318" s="362"/>
      <c r="J318" s="362"/>
      <c r="L318" s="364"/>
      <c r="M318" s="365"/>
      <c r="N318" s="362"/>
    </row>
    <row r="319" spans="1:14" s="363" customFormat="1" ht="15" customHeight="1" x14ac:dyDescent="0.25">
      <c r="A319" s="597"/>
      <c r="B319" s="359" t="str">
        <f>'DEFINITIF (APBNP)'!B1654</f>
        <v>- Pengawasan Subsidi Operasi Bus Perintis</v>
      </c>
      <c r="C319" s="359">
        <f>'DEFINITIF (APBNP)'!C1654</f>
        <v>1</v>
      </c>
      <c r="D319" s="359" t="str">
        <f>'DEFINITIF (APBNP)'!D1654</f>
        <v>TH</v>
      </c>
      <c r="E319" s="359">
        <f>'DEFINITIF (APBNP)'!E1654</f>
        <v>50000</v>
      </c>
      <c r="F319" s="360">
        <f t="shared" si="5"/>
        <v>50000</v>
      </c>
      <c r="G319" s="361"/>
      <c r="H319" s="362"/>
      <c r="J319" s="362"/>
      <c r="L319" s="364"/>
      <c r="M319" s="365"/>
      <c r="N319" s="362"/>
    </row>
    <row r="320" spans="1:14" s="363" customFormat="1" ht="15" customHeight="1" x14ac:dyDescent="0.25">
      <c r="A320" s="597"/>
      <c r="B320" s="359"/>
      <c r="C320" s="359"/>
      <c r="D320" s="359"/>
      <c r="E320" s="359"/>
      <c r="F320" s="360"/>
      <c r="G320" s="361"/>
      <c r="H320" s="362"/>
      <c r="J320" s="362"/>
      <c r="L320" s="364"/>
      <c r="M320" s="365"/>
      <c r="N320" s="362"/>
    </row>
    <row r="321" spans="1:14" s="355" customFormat="1" ht="15" customHeight="1" x14ac:dyDescent="0.25">
      <c r="A321" s="573">
        <v>27</v>
      </c>
      <c r="B321" s="587" t="s">
        <v>818</v>
      </c>
      <c r="C321" s="587">
        <v>10</v>
      </c>
      <c r="D321" s="587"/>
      <c r="E321" s="589"/>
      <c r="F321" s="588">
        <f>SUM(F322:F337)</f>
        <v>6913600</v>
      </c>
      <c r="G321" s="353"/>
      <c r="H321" s="354"/>
      <c r="J321" s="354"/>
      <c r="L321" s="356"/>
      <c r="M321" s="357"/>
      <c r="N321" s="354"/>
    </row>
    <row r="322" spans="1:14" s="363" customFormat="1" ht="15" customHeight="1" x14ac:dyDescent="0.25">
      <c r="A322" s="597"/>
      <c r="B322" s="359" t="str">
        <f>'DEFINITIF (APBNP)'!B1701</f>
        <v>Belanja Barang Operasional Lainnya</v>
      </c>
      <c r="C322" s="359">
        <f>'DEFINITIF (APBNP)'!C1701</f>
        <v>0</v>
      </c>
      <c r="D322" s="359">
        <f>'DEFINITIF (APBNP)'!D1701</f>
        <v>0</v>
      </c>
      <c r="E322" s="359">
        <f>'DEFINITIF (APBNP)'!E1701</f>
        <v>0</v>
      </c>
      <c r="F322" s="360">
        <f t="shared" si="5"/>
        <v>0</v>
      </c>
      <c r="G322" s="361"/>
      <c r="H322" s="362"/>
      <c r="J322" s="362"/>
      <c r="L322" s="364"/>
      <c r="M322" s="365"/>
      <c r="N322" s="362"/>
    </row>
    <row r="323" spans="1:14" s="363" customFormat="1" ht="15" customHeight="1" x14ac:dyDescent="0.25">
      <c r="A323" s="597"/>
      <c r="B323" s="359" t="str">
        <f>'DEFINITIF (APBNP)'!B1702</f>
        <v>Subsidi Operasi Bus Perintis Kota Ambon</v>
      </c>
      <c r="C323" s="359">
        <f>'DEFINITIF (APBNP)'!C1702</f>
        <v>1</v>
      </c>
      <c r="D323" s="359" t="str">
        <f>'DEFINITIF (APBNP)'!D1702</f>
        <v>PKT</v>
      </c>
      <c r="E323" s="359">
        <f>'DEFINITIF (APBNP)'!E1702</f>
        <v>6880000</v>
      </c>
      <c r="F323" s="360">
        <f t="shared" si="5"/>
        <v>6880000</v>
      </c>
      <c r="G323" s="361"/>
      <c r="H323" s="362"/>
      <c r="J323" s="362"/>
      <c r="L323" s="364"/>
      <c r="M323" s="365"/>
      <c r="N323" s="362"/>
    </row>
    <row r="324" spans="1:14" s="363" customFormat="1" ht="15" customHeight="1" x14ac:dyDescent="0.25">
      <c r="A324" s="597"/>
      <c r="B324" s="359" t="str">
        <f>'DEFINITIF (APBNP)'!B1703</f>
        <v>Ambon - Werinama</v>
      </c>
      <c r="C324" s="359">
        <f>'DEFINITIF (APBNP)'!C1703</f>
        <v>0</v>
      </c>
      <c r="D324" s="359">
        <f>'DEFINITIF (APBNP)'!D1703</f>
        <v>0</v>
      </c>
      <c r="E324" s="359">
        <f>'DEFINITIF (APBNP)'!E1703</f>
        <v>0</v>
      </c>
      <c r="F324" s="360">
        <f t="shared" si="5"/>
        <v>0</v>
      </c>
      <c r="G324" s="361"/>
      <c r="H324" s="362"/>
      <c r="J324" s="362"/>
      <c r="L324" s="364"/>
      <c r="M324" s="365"/>
      <c r="N324" s="362"/>
    </row>
    <row r="325" spans="1:14" s="363" customFormat="1" ht="15" customHeight="1" x14ac:dyDescent="0.25">
      <c r="A325" s="597"/>
      <c r="B325" s="359" t="str">
        <f>'DEFINITIF (APBNP)'!B1704</f>
        <v>Ambon - Masiwang</v>
      </c>
      <c r="C325" s="359">
        <f>'DEFINITIF (APBNP)'!C1704</f>
        <v>0</v>
      </c>
      <c r="D325" s="359">
        <f>'DEFINITIF (APBNP)'!D1704</f>
        <v>0</v>
      </c>
      <c r="E325" s="359">
        <f>'DEFINITIF (APBNP)'!E1704</f>
        <v>0</v>
      </c>
      <c r="F325" s="360">
        <f t="shared" si="5"/>
        <v>0</v>
      </c>
      <c r="G325" s="361"/>
      <c r="H325" s="362"/>
      <c r="J325" s="362"/>
      <c r="L325" s="364"/>
      <c r="M325" s="365"/>
      <c r="N325" s="362"/>
    </row>
    <row r="326" spans="1:14" s="363" customFormat="1" ht="15" customHeight="1" x14ac:dyDescent="0.25">
      <c r="A326" s="597"/>
      <c r="B326" s="359" t="str">
        <f>'DEFINITIF (APBNP)'!B1705</f>
        <v>Ambon - Aliune</v>
      </c>
      <c r="C326" s="359">
        <f>'DEFINITIF (APBNP)'!C1705</f>
        <v>0</v>
      </c>
      <c r="D326" s="359">
        <f>'DEFINITIF (APBNP)'!D1705</f>
        <v>0</v>
      </c>
      <c r="E326" s="359">
        <f>'DEFINITIF (APBNP)'!E1705</f>
        <v>0</v>
      </c>
      <c r="F326" s="360">
        <f t="shared" si="5"/>
        <v>0</v>
      </c>
      <c r="G326" s="361"/>
      <c r="H326" s="362"/>
      <c r="J326" s="362"/>
      <c r="L326" s="364"/>
      <c r="M326" s="365"/>
      <c r="N326" s="362"/>
    </row>
    <row r="327" spans="1:14" s="363" customFormat="1" ht="15" customHeight="1" x14ac:dyDescent="0.25">
      <c r="A327" s="597"/>
      <c r="B327" s="359" t="str">
        <f>'DEFINITIF (APBNP)'!B1706</f>
        <v>Ambon - Warsiwa (Maiteng)</v>
      </c>
      <c r="C327" s="359">
        <f>'DEFINITIF (APBNP)'!C1706</f>
        <v>0</v>
      </c>
      <c r="D327" s="359">
        <f>'DEFINITIF (APBNP)'!D1706</f>
        <v>0</v>
      </c>
      <c r="E327" s="359">
        <f>'DEFINITIF (APBNP)'!E1706</f>
        <v>0</v>
      </c>
      <c r="F327" s="360">
        <f t="shared" si="5"/>
        <v>0</v>
      </c>
      <c r="G327" s="361"/>
      <c r="H327" s="362"/>
      <c r="J327" s="362"/>
      <c r="L327" s="364"/>
      <c r="M327" s="365"/>
      <c r="N327" s="362"/>
    </row>
    <row r="328" spans="1:14" s="363" customFormat="1" ht="15" customHeight="1" x14ac:dyDescent="0.25">
      <c r="A328" s="597"/>
      <c r="B328" s="359" t="str">
        <f>'DEFINITIF (APBNP)'!B1707</f>
        <v>Ambon - Laimu</v>
      </c>
      <c r="C328" s="359">
        <f>'DEFINITIF (APBNP)'!C1707</f>
        <v>0</v>
      </c>
      <c r="D328" s="359">
        <f>'DEFINITIF (APBNP)'!D1707</f>
        <v>0</v>
      </c>
      <c r="E328" s="359">
        <f>'DEFINITIF (APBNP)'!E1707</f>
        <v>0</v>
      </c>
      <c r="F328" s="360">
        <f t="shared" si="5"/>
        <v>0</v>
      </c>
      <c r="G328" s="361"/>
      <c r="H328" s="362"/>
      <c r="J328" s="362"/>
      <c r="L328" s="364"/>
      <c r="M328" s="365"/>
      <c r="N328" s="362"/>
    </row>
    <row r="329" spans="1:14" s="363" customFormat="1" ht="15" customHeight="1" x14ac:dyDescent="0.25">
      <c r="A329" s="597"/>
      <c r="B329" s="359" t="str">
        <f>'DEFINITIF (APBNP)'!B1708</f>
        <v>Ambon - Ketapang</v>
      </c>
      <c r="C329" s="359">
        <f>'DEFINITIF (APBNP)'!C1708</f>
        <v>0</v>
      </c>
      <c r="D329" s="359">
        <f>'DEFINITIF (APBNP)'!D1708</f>
        <v>0</v>
      </c>
      <c r="E329" s="359">
        <f>'DEFINITIF (APBNP)'!E1708</f>
        <v>0</v>
      </c>
      <c r="F329" s="360">
        <f t="shared" si="5"/>
        <v>0</v>
      </c>
      <c r="G329" s="361"/>
      <c r="H329" s="362"/>
      <c r="J329" s="362"/>
      <c r="L329" s="364"/>
      <c r="M329" s="365"/>
      <c r="N329" s="362"/>
    </row>
    <row r="330" spans="1:14" s="363" customFormat="1" ht="15" customHeight="1" x14ac:dyDescent="0.25">
      <c r="A330" s="597"/>
      <c r="B330" s="359" t="str">
        <f>'DEFINITIF (APBNP)'!B1709</f>
        <v>Namlea - Namrole</v>
      </c>
      <c r="C330" s="359">
        <f>'DEFINITIF (APBNP)'!C1709</f>
        <v>0</v>
      </c>
      <c r="D330" s="359">
        <f>'DEFINITIF (APBNP)'!D1709</f>
        <v>0</v>
      </c>
      <c r="E330" s="359">
        <f>'DEFINITIF (APBNP)'!E1709</f>
        <v>0</v>
      </c>
      <c r="F330" s="360">
        <f t="shared" si="5"/>
        <v>0</v>
      </c>
      <c r="G330" s="361"/>
      <c r="H330" s="362"/>
      <c r="J330" s="362"/>
      <c r="L330" s="364"/>
      <c r="M330" s="365"/>
      <c r="N330" s="362"/>
    </row>
    <row r="331" spans="1:14" s="363" customFormat="1" ht="15" customHeight="1" x14ac:dyDescent="0.25">
      <c r="A331" s="597"/>
      <c r="B331" s="359" t="str">
        <f>'DEFINITIF (APBNP)'!B1710</f>
        <v>Namlea - Ilath</v>
      </c>
      <c r="C331" s="359">
        <f>'DEFINITIF (APBNP)'!C1710</f>
        <v>0</v>
      </c>
      <c r="D331" s="359">
        <f>'DEFINITIF (APBNP)'!D1710</f>
        <v>0</v>
      </c>
      <c r="E331" s="359">
        <f>'DEFINITIF (APBNP)'!E1710</f>
        <v>0</v>
      </c>
      <c r="F331" s="360">
        <f t="shared" si="5"/>
        <v>0</v>
      </c>
      <c r="G331" s="361"/>
      <c r="H331" s="362"/>
      <c r="J331" s="362"/>
      <c r="L331" s="364"/>
      <c r="M331" s="365"/>
      <c r="N331" s="362"/>
    </row>
    <row r="332" spans="1:14" s="363" customFormat="1" ht="15" customHeight="1" x14ac:dyDescent="0.25">
      <c r="A332" s="597"/>
      <c r="B332" s="359" t="str">
        <f>'DEFINITIF (APBNP)'!B1711</f>
        <v>Namlea - Biloro</v>
      </c>
      <c r="C332" s="359">
        <f>'DEFINITIF (APBNP)'!C1711</f>
        <v>0</v>
      </c>
      <c r="D332" s="359">
        <f>'DEFINITIF (APBNP)'!D1711</f>
        <v>0</v>
      </c>
      <c r="E332" s="359">
        <f>'DEFINITIF (APBNP)'!E1711</f>
        <v>0</v>
      </c>
      <c r="F332" s="360">
        <f t="shared" si="5"/>
        <v>0</v>
      </c>
      <c r="G332" s="361"/>
      <c r="H332" s="362"/>
      <c r="J332" s="362"/>
      <c r="L332" s="364"/>
      <c r="M332" s="365"/>
      <c r="N332" s="362"/>
    </row>
    <row r="333" spans="1:14" s="363" customFormat="1" ht="15" customHeight="1" x14ac:dyDescent="0.25">
      <c r="A333" s="597"/>
      <c r="B333" s="359" t="str">
        <f>'DEFINITIF (APBNP)'!B1712</f>
        <v>Ambon - Saka -Pasanea</v>
      </c>
      <c r="C333" s="359">
        <f>'DEFINITIF (APBNP)'!C1712</f>
        <v>0</v>
      </c>
      <c r="D333" s="359">
        <f>'DEFINITIF (APBNP)'!D1712</f>
        <v>0</v>
      </c>
      <c r="E333" s="359">
        <f>'DEFINITIF (APBNP)'!E1712</f>
        <v>0</v>
      </c>
      <c r="F333" s="360">
        <f t="shared" si="5"/>
        <v>0</v>
      </c>
      <c r="G333" s="361"/>
      <c r="H333" s="362"/>
      <c r="J333" s="362"/>
      <c r="L333" s="364"/>
      <c r="M333" s="365"/>
      <c r="N333" s="362"/>
    </row>
    <row r="334" spans="1:14" s="363" customFormat="1" ht="15" customHeight="1" x14ac:dyDescent="0.25">
      <c r="A334" s="597"/>
      <c r="B334" s="359">
        <f>'DEFINITIF (APBNP)'!B1713</f>
        <v>0</v>
      </c>
      <c r="C334" s="359">
        <f>'DEFINITIF (APBNP)'!C1713</f>
        <v>0</v>
      </c>
      <c r="D334" s="359">
        <f>'DEFINITIF (APBNP)'!D1713</f>
        <v>0</v>
      </c>
      <c r="E334" s="359">
        <f>'DEFINITIF (APBNP)'!E1713</f>
        <v>0</v>
      </c>
      <c r="F334" s="360">
        <f t="shared" si="5"/>
        <v>0</v>
      </c>
      <c r="G334" s="361"/>
      <c r="H334" s="362"/>
      <c r="J334" s="362"/>
      <c r="L334" s="364"/>
      <c r="M334" s="365"/>
      <c r="N334" s="362"/>
    </row>
    <row r="335" spans="1:14" s="363" customFormat="1" ht="15" customHeight="1" x14ac:dyDescent="0.25">
      <c r="A335" s="597"/>
      <c r="B335" s="359" t="str">
        <f>'DEFINITIF (APBNP)'!B1714</f>
        <v>Belanja Uang Honor Tidak Tetap</v>
      </c>
      <c r="C335" s="359">
        <f>'DEFINITIF (APBNP)'!C1714</f>
        <v>0</v>
      </c>
      <c r="D335" s="359">
        <f>'DEFINITIF (APBNP)'!D1714</f>
        <v>0</v>
      </c>
      <c r="E335" s="359">
        <f>'DEFINITIF (APBNP)'!E1714</f>
        <v>0</v>
      </c>
      <c r="F335" s="360">
        <f t="shared" si="5"/>
        <v>0</v>
      </c>
      <c r="G335" s="361"/>
      <c r="H335" s="362"/>
      <c r="J335" s="362"/>
      <c r="L335" s="364"/>
      <c r="M335" s="365"/>
      <c r="N335" s="362"/>
    </row>
    <row r="336" spans="1:14" s="363" customFormat="1" ht="15" customHeight="1" x14ac:dyDescent="0.25">
      <c r="A336" s="597"/>
      <c r="B336" s="359" t="str">
        <f>'DEFINITIF (APBNP)'!B1715</f>
        <v xml:space="preserve"> - Pengawasan Subsidi Operasi Bus Perintis</v>
      </c>
      <c r="C336" s="359">
        <f>'DEFINITIF (APBNP)'!C1715</f>
        <v>1</v>
      </c>
      <c r="D336" s="359" t="str">
        <f>'DEFINITIF (APBNP)'!D1715</f>
        <v>PKT</v>
      </c>
      <c r="E336" s="359">
        <f>'DEFINITIF (APBNP)'!E1715</f>
        <v>33600</v>
      </c>
      <c r="F336" s="360">
        <f t="shared" si="5"/>
        <v>33600</v>
      </c>
      <c r="G336" s="361"/>
      <c r="H336" s="362"/>
      <c r="J336" s="362"/>
      <c r="L336" s="364"/>
      <c r="M336" s="365"/>
      <c r="N336" s="362"/>
    </row>
    <row r="337" spans="1:14" s="363" customFormat="1" ht="15" customHeight="1" x14ac:dyDescent="0.25">
      <c r="A337" s="597"/>
      <c r="B337" s="359">
        <f>'DEFINITIF (APBNP)'!B1716</f>
        <v>0</v>
      </c>
      <c r="C337" s="359">
        <f>'DEFINITIF (APBNP)'!C1716</f>
        <v>0</v>
      </c>
      <c r="D337" s="359">
        <f>'DEFINITIF (APBNP)'!D1716</f>
        <v>0</v>
      </c>
      <c r="E337" s="359">
        <f>'DEFINITIF (APBNP)'!E1716</f>
        <v>0</v>
      </c>
      <c r="F337" s="360">
        <f t="shared" si="5"/>
        <v>0</v>
      </c>
      <c r="G337" s="361"/>
      <c r="H337" s="362"/>
      <c r="J337" s="362"/>
      <c r="L337" s="364"/>
      <c r="M337" s="365"/>
      <c r="N337" s="362"/>
    </row>
    <row r="338" spans="1:14" s="355" customFormat="1" ht="15" customHeight="1" x14ac:dyDescent="0.25">
      <c r="A338" s="573">
        <v>28</v>
      </c>
      <c r="B338" s="587" t="s">
        <v>865</v>
      </c>
      <c r="C338" s="587">
        <v>5</v>
      </c>
      <c r="D338" s="587"/>
      <c r="E338" s="589"/>
      <c r="F338" s="588">
        <f>SUM(F339:F349)</f>
        <v>3052800</v>
      </c>
      <c r="G338" s="353"/>
      <c r="H338" s="354"/>
      <c r="J338" s="354"/>
      <c r="L338" s="356"/>
      <c r="M338" s="357"/>
      <c r="N338" s="354"/>
    </row>
    <row r="339" spans="1:14" s="363" customFormat="1" ht="15" customHeight="1" x14ac:dyDescent="0.25">
      <c r="A339" s="597"/>
      <c r="B339" s="359" t="str">
        <f>'DEFINITIF (APBNP)'!B1760</f>
        <v>Belanja Barang Operasional Lainnya</v>
      </c>
      <c r="C339" s="359">
        <f>'DEFINITIF (APBNP)'!C1760</f>
        <v>0</v>
      </c>
      <c r="D339" s="359">
        <f>'DEFINITIF (APBNP)'!D1760</f>
        <v>0</v>
      </c>
      <c r="E339" s="359">
        <f>'DEFINITIF (APBNP)'!E1760</f>
        <v>0</v>
      </c>
      <c r="F339" s="360">
        <f t="shared" si="5"/>
        <v>0</v>
      </c>
      <c r="G339" s="361"/>
      <c r="H339" s="362"/>
      <c r="J339" s="362"/>
      <c r="L339" s="364"/>
      <c r="M339" s="365"/>
      <c r="N339" s="362"/>
    </row>
    <row r="340" spans="1:14" s="363" customFormat="1" ht="15" customHeight="1" x14ac:dyDescent="0.25">
      <c r="A340" s="597"/>
      <c r="B340" s="359" t="str">
        <f>'DEFINITIF (APBNP)'!B1761</f>
        <v>Subsidi Operasi Bus Perintis (3 trayek lama, 2 trayek baru)</v>
      </c>
      <c r="C340" s="359">
        <f>'DEFINITIF (APBNP)'!C1761</f>
        <v>1</v>
      </c>
      <c r="D340" s="359" t="str">
        <f>'DEFINITIF (APBNP)'!D1761</f>
        <v>TH</v>
      </c>
      <c r="E340" s="359">
        <f>'DEFINITIF (APBNP)'!E1761</f>
        <v>2992800</v>
      </c>
      <c r="F340" s="360">
        <f t="shared" si="5"/>
        <v>2992800</v>
      </c>
      <c r="G340" s="361"/>
      <c r="H340" s="362"/>
      <c r="J340" s="362"/>
      <c r="L340" s="364"/>
      <c r="M340" s="365"/>
      <c r="N340" s="362"/>
    </row>
    <row r="341" spans="1:14" s="363" customFormat="1" ht="15" customHeight="1" x14ac:dyDescent="0.25">
      <c r="A341" s="597"/>
      <c r="B341" s="359" t="str">
        <f>'DEFINITIF (APBNP)'!B1762</f>
        <v>Sidangoli - Kao - Toliwang</v>
      </c>
      <c r="C341" s="359">
        <f>'DEFINITIF (APBNP)'!C1762</f>
        <v>0</v>
      </c>
      <c r="D341" s="359">
        <f>'DEFINITIF (APBNP)'!D1762</f>
        <v>0</v>
      </c>
      <c r="E341" s="359">
        <f>'DEFINITIF (APBNP)'!E1762</f>
        <v>0</v>
      </c>
      <c r="F341" s="360">
        <f t="shared" si="5"/>
        <v>0</v>
      </c>
      <c r="G341" s="361"/>
      <c r="H341" s="362"/>
      <c r="J341" s="362"/>
      <c r="L341" s="364"/>
      <c r="M341" s="365"/>
      <c r="N341" s="362"/>
    </row>
    <row r="342" spans="1:14" s="363" customFormat="1" ht="15" customHeight="1" x14ac:dyDescent="0.25">
      <c r="A342" s="597"/>
      <c r="B342" s="359" t="str">
        <f>'DEFINITIF (APBNP)'!B1763</f>
        <v>Tobelo - Trans - Togoliua</v>
      </c>
      <c r="C342" s="359">
        <f>'DEFINITIF (APBNP)'!C1763</f>
        <v>0</v>
      </c>
      <c r="D342" s="359">
        <f>'DEFINITIF (APBNP)'!D1763</f>
        <v>0</v>
      </c>
      <c r="E342" s="359">
        <f>'DEFINITIF (APBNP)'!E1763</f>
        <v>0</v>
      </c>
      <c r="F342" s="360">
        <f t="shared" si="5"/>
        <v>0</v>
      </c>
      <c r="G342" s="361"/>
      <c r="H342" s="362"/>
      <c r="J342" s="362"/>
      <c r="L342" s="364"/>
      <c r="M342" s="365"/>
      <c r="N342" s="362"/>
    </row>
    <row r="343" spans="1:14" s="363" customFormat="1" ht="15" customHeight="1" x14ac:dyDescent="0.25">
      <c r="A343" s="597"/>
      <c r="B343" s="359" t="str">
        <f>'DEFINITIF (APBNP)'!B1764</f>
        <v>Tobelo - Jailolo - Trans Goal</v>
      </c>
      <c r="C343" s="359">
        <f>'DEFINITIF (APBNP)'!C1764</f>
        <v>0</v>
      </c>
      <c r="D343" s="359">
        <f>'DEFINITIF (APBNP)'!D1764</f>
        <v>0</v>
      </c>
      <c r="E343" s="359">
        <f>'DEFINITIF (APBNP)'!E1764</f>
        <v>0</v>
      </c>
      <c r="F343" s="360">
        <f t="shared" si="5"/>
        <v>0</v>
      </c>
      <c r="G343" s="361"/>
      <c r="H343" s="362"/>
      <c r="J343" s="362"/>
      <c r="L343" s="364"/>
      <c r="M343" s="365"/>
      <c r="N343" s="362"/>
    </row>
    <row r="344" spans="1:14" s="363" customFormat="1" ht="15" customHeight="1" x14ac:dyDescent="0.25">
      <c r="A344" s="597"/>
      <c r="B344" s="359" t="str">
        <f>'DEFINITIF (APBNP)'!B1765</f>
        <v>Tobelo - Galela - Saluta</v>
      </c>
      <c r="C344" s="359">
        <f>'DEFINITIF (APBNP)'!C1765</f>
        <v>0</v>
      </c>
      <c r="D344" s="359">
        <f>'DEFINITIF (APBNP)'!D1765</f>
        <v>0</v>
      </c>
      <c r="E344" s="359">
        <f>'DEFINITIF (APBNP)'!E1765</f>
        <v>0</v>
      </c>
      <c r="F344" s="360">
        <f t="shared" si="5"/>
        <v>0</v>
      </c>
      <c r="G344" s="361"/>
      <c r="H344" s="362"/>
      <c r="J344" s="362"/>
      <c r="L344" s="364"/>
      <c r="M344" s="365"/>
      <c r="N344" s="362"/>
    </row>
    <row r="345" spans="1:14" s="363" customFormat="1" ht="15" customHeight="1" thickBot="1" x14ac:dyDescent="0.3">
      <c r="A345" s="598"/>
      <c r="B345" s="599" t="str">
        <f>'DEFINITIF (APBNP)'!B1766</f>
        <v>Tobelo - Loleba</v>
      </c>
      <c r="C345" s="599">
        <f>'DEFINITIF (APBNP)'!C1766</f>
        <v>0</v>
      </c>
      <c r="D345" s="599">
        <f>'DEFINITIF (APBNP)'!D1766</f>
        <v>0</v>
      </c>
      <c r="E345" s="599">
        <f>'DEFINITIF (APBNP)'!E1766</f>
        <v>0</v>
      </c>
      <c r="F345" s="600">
        <f t="shared" si="5"/>
        <v>0</v>
      </c>
      <c r="G345" s="361"/>
      <c r="H345" s="362"/>
      <c r="J345" s="362"/>
      <c r="L345" s="364"/>
      <c r="M345" s="365"/>
      <c r="N345" s="362"/>
    </row>
    <row r="346" spans="1:14" s="363" customFormat="1" ht="15" customHeight="1" x14ac:dyDescent="0.25">
      <c r="A346" s="597"/>
      <c r="B346" s="359">
        <f>'DEFINITIF (APBNP)'!B1767</f>
        <v>0</v>
      </c>
      <c r="C346" s="359">
        <f>'DEFINITIF (APBNP)'!C1767</f>
        <v>0</v>
      </c>
      <c r="D346" s="359">
        <f>'DEFINITIF (APBNP)'!D1767</f>
        <v>0</v>
      </c>
      <c r="E346" s="359">
        <f>'DEFINITIF (APBNP)'!E1767</f>
        <v>0</v>
      </c>
      <c r="F346" s="360">
        <f>C346*E346</f>
        <v>0</v>
      </c>
      <c r="G346" s="361"/>
      <c r="H346" s="362"/>
      <c r="J346" s="362"/>
      <c r="L346" s="364"/>
      <c r="M346" s="365"/>
      <c r="N346" s="362"/>
    </row>
    <row r="347" spans="1:14" s="363" customFormat="1" ht="15" customHeight="1" x14ac:dyDescent="0.25">
      <c r="A347" s="597"/>
      <c r="B347" s="359" t="str">
        <f>'DEFINITIF (APBNP)'!B1768</f>
        <v>Belanja Uang Honor Tidak Tetap</v>
      </c>
      <c r="C347" s="359">
        <f>'DEFINITIF (APBNP)'!C1768</f>
        <v>0</v>
      </c>
      <c r="D347" s="359">
        <f>'DEFINITIF (APBNP)'!D1768</f>
        <v>0</v>
      </c>
      <c r="E347" s="359">
        <f>'DEFINITIF (APBNP)'!E1768</f>
        <v>0</v>
      </c>
      <c r="F347" s="360">
        <f>C347*E347</f>
        <v>0</v>
      </c>
      <c r="G347" s="361"/>
      <c r="H347" s="362"/>
      <c r="J347" s="362"/>
      <c r="L347" s="364"/>
      <c r="M347" s="365"/>
      <c r="N347" s="362"/>
    </row>
    <row r="348" spans="1:14" s="363" customFormat="1" ht="15" customHeight="1" x14ac:dyDescent="0.25">
      <c r="A348" s="597"/>
      <c r="B348" s="359" t="str">
        <f>'DEFINITIF (APBNP)'!B1769</f>
        <v>- Pengawasan Subsidi Operasi Bus Perintis</v>
      </c>
      <c r="C348" s="359">
        <f>'DEFINITIF (APBNP)'!C1769</f>
        <v>1</v>
      </c>
      <c r="D348" s="359" t="str">
        <f>'DEFINITIF (APBNP)'!D1769</f>
        <v>TH</v>
      </c>
      <c r="E348" s="359">
        <f>'DEFINITIF (APBNP)'!E1769</f>
        <v>60000</v>
      </c>
      <c r="F348" s="360">
        <f>C348*E348</f>
        <v>60000</v>
      </c>
      <c r="G348" s="361"/>
      <c r="H348" s="362"/>
      <c r="J348" s="362"/>
      <c r="L348" s="364"/>
      <c r="M348" s="365"/>
      <c r="N348" s="362"/>
    </row>
    <row r="349" spans="1:14" s="363" customFormat="1" ht="15" customHeight="1" x14ac:dyDescent="0.25">
      <c r="A349" s="597"/>
      <c r="B349" s="359">
        <f>'DEFINITIF (APBNP)'!B1770</f>
        <v>0</v>
      </c>
      <c r="C349" s="359">
        <f>'DEFINITIF (APBNP)'!C1770</f>
        <v>0</v>
      </c>
      <c r="D349" s="359">
        <f>'DEFINITIF (APBNP)'!D1770</f>
        <v>0</v>
      </c>
      <c r="E349" s="359">
        <f>'DEFINITIF (APBNP)'!E1770</f>
        <v>0</v>
      </c>
      <c r="F349" s="360">
        <f>C349*E349</f>
        <v>0</v>
      </c>
      <c r="G349" s="361"/>
      <c r="H349" s="362"/>
      <c r="J349" s="362"/>
      <c r="L349" s="364"/>
      <c r="M349" s="365"/>
      <c r="N349" s="362"/>
    </row>
    <row r="350" spans="1:14" s="355" customFormat="1" ht="15" customHeight="1" x14ac:dyDescent="0.25">
      <c r="A350" s="573">
        <v>29</v>
      </c>
      <c r="B350" s="587" t="s">
        <v>824</v>
      </c>
      <c r="C350" s="587">
        <v>30</v>
      </c>
      <c r="D350" s="587"/>
      <c r="E350" s="589"/>
      <c r="F350" s="588">
        <f>SUM(F351:F391)</f>
        <v>11229633</v>
      </c>
      <c r="G350" s="353"/>
      <c r="H350" s="354"/>
      <c r="J350" s="354"/>
      <c r="L350" s="356"/>
      <c r="M350" s="357"/>
      <c r="N350" s="354"/>
    </row>
    <row r="351" spans="1:14" s="363" customFormat="1" ht="15" customHeight="1" x14ac:dyDescent="0.25">
      <c r="A351" s="597"/>
      <c r="B351" s="359" t="str">
        <f>'DEFINITIF (APBNP)'!B1814</f>
        <v>Belanja Barang Operasional Lainnya</v>
      </c>
      <c r="C351" s="359">
        <f>'DEFINITIF (APBNP)'!C1814</f>
        <v>0</v>
      </c>
      <c r="D351" s="359">
        <f>'DEFINITIF (APBNP)'!D1814</f>
        <v>0</v>
      </c>
      <c r="E351" s="359">
        <f>'DEFINITIF (APBNP)'!E1814</f>
        <v>0</v>
      </c>
      <c r="F351" s="360">
        <f t="shared" ref="F351:F391" si="6">C351*E351</f>
        <v>0</v>
      </c>
      <c r="G351" s="361"/>
      <c r="H351" s="362"/>
      <c r="J351" s="362"/>
      <c r="L351" s="364"/>
      <c r="M351" s="365"/>
      <c r="N351" s="362"/>
    </row>
    <row r="352" spans="1:14" s="363" customFormat="1" ht="15" customHeight="1" x14ac:dyDescent="0.25">
      <c r="A352" s="597"/>
      <c r="B352" s="359" t="str">
        <f>'DEFINITIF (APBNP)'!B1815</f>
        <v xml:space="preserve">Subsidi Operasi Bus Perintis (6 lokasi) 30 trayek </v>
      </c>
      <c r="C352" s="359">
        <f>'DEFINITIF (APBNP)'!C1815</f>
        <v>1</v>
      </c>
      <c r="D352" s="359" t="str">
        <f>'DEFINITIF (APBNP)'!D1815</f>
        <v>TH</v>
      </c>
      <c r="E352" s="359">
        <f>'DEFINITIF (APBNP)'!E1815</f>
        <v>11129633</v>
      </c>
      <c r="F352" s="360">
        <f t="shared" si="6"/>
        <v>11129633</v>
      </c>
      <c r="G352" s="361"/>
      <c r="H352" s="362"/>
      <c r="J352" s="362"/>
      <c r="L352" s="364"/>
      <c r="M352" s="365"/>
      <c r="N352" s="362"/>
    </row>
    <row r="353" spans="1:14" s="363" customFormat="1" ht="15" customHeight="1" x14ac:dyDescent="0.25">
      <c r="A353" s="597"/>
      <c r="B353" s="359" t="str">
        <f>'DEFINITIF (APBNP)'!B1816</f>
        <v xml:space="preserve">    - Lokasi Jayapura (7 Trayek)</v>
      </c>
      <c r="C353" s="359">
        <f>'DEFINITIF (APBNP)'!C1816</f>
        <v>0</v>
      </c>
      <c r="D353" s="359">
        <f>'DEFINITIF (APBNP)'!D1816</f>
        <v>0</v>
      </c>
      <c r="E353" s="359">
        <f>'DEFINITIF (APBNP)'!E1816</f>
        <v>0</v>
      </c>
      <c r="F353" s="360">
        <f t="shared" si="6"/>
        <v>0</v>
      </c>
      <c r="G353" s="361"/>
      <c r="H353" s="362"/>
      <c r="J353" s="362"/>
      <c r="L353" s="364"/>
      <c r="M353" s="365"/>
      <c r="N353" s="362"/>
    </row>
    <row r="354" spans="1:14" s="363" customFormat="1" ht="15" customHeight="1" x14ac:dyDescent="0.25">
      <c r="A354" s="597"/>
      <c r="B354" s="359" t="str">
        <f>'DEFINITIF (APBNP)'!B1817</f>
        <v xml:space="preserve">     a. Jayapura-Nimbokrang</v>
      </c>
      <c r="C354" s="359">
        <f>'DEFINITIF (APBNP)'!C1817</f>
        <v>0</v>
      </c>
      <c r="D354" s="359">
        <f>'DEFINITIF (APBNP)'!D1817</f>
        <v>0</v>
      </c>
      <c r="E354" s="359">
        <f>'DEFINITIF (APBNP)'!E1817</f>
        <v>0</v>
      </c>
      <c r="F354" s="360">
        <f t="shared" si="6"/>
        <v>0</v>
      </c>
      <c r="G354" s="361"/>
      <c r="H354" s="362"/>
      <c r="J354" s="362"/>
      <c r="L354" s="364"/>
      <c r="M354" s="365"/>
      <c r="N354" s="362"/>
    </row>
    <row r="355" spans="1:14" s="363" customFormat="1" ht="15" customHeight="1" x14ac:dyDescent="0.25">
      <c r="A355" s="597"/>
      <c r="B355" s="359" t="str">
        <f>'DEFINITIF (APBNP)'!B1818</f>
        <v xml:space="preserve">     b. Jayapura-Skouw/Perbatasan (Jayapura)</v>
      </c>
      <c r="C355" s="359">
        <f>'DEFINITIF (APBNP)'!C1818</f>
        <v>0</v>
      </c>
      <c r="D355" s="359">
        <f>'DEFINITIF (APBNP)'!D1818</f>
        <v>0</v>
      </c>
      <c r="E355" s="359">
        <f>'DEFINITIF (APBNP)'!E1818</f>
        <v>0</v>
      </c>
      <c r="F355" s="360">
        <f t="shared" si="6"/>
        <v>0</v>
      </c>
      <c r="G355" s="361"/>
      <c r="H355" s="362"/>
      <c r="J355" s="362"/>
      <c r="L355" s="364"/>
      <c r="M355" s="365"/>
      <c r="N355" s="362"/>
    </row>
    <row r="356" spans="1:14" s="363" customFormat="1" ht="15" customHeight="1" x14ac:dyDescent="0.25">
      <c r="A356" s="597"/>
      <c r="B356" s="359" t="str">
        <f>'DEFINITIF (APBNP)'!B1819</f>
        <v xml:space="preserve">     c. Jayapura-Taja (Jayapura)</v>
      </c>
      <c r="C356" s="359">
        <f>'DEFINITIF (APBNP)'!C1819</f>
        <v>0</v>
      </c>
      <c r="D356" s="359">
        <f>'DEFINITIF (APBNP)'!D1819</f>
        <v>0</v>
      </c>
      <c r="E356" s="359">
        <f>'DEFINITIF (APBNP)'!E1819</f>
        <v>0</v>
      </c>
      <c r="F356" s="360">
        <f t="shared" si="6"/>
        <v>0</v>
      </c>
      <c r="G356" s="361"/>
      <c r="H356" s="362"/>
      <c r="J356" s="362"/>
      <c r="L356" s="364"/>
      <c r="M356" s="365"/>
      <c r="N356" s="362"/>
    </row>
    <row r="357" spans="1:14" s="363" customFormat="1" ht="15" customHeight="1" x14ac:dyDescent="0.25">
      <c r="A357" s="597"/>
      <c r="B357" s="359" t="str">
        <f>'DEFINITIF (APBNP)'!B1820</f>
        <v xml:space="preserve">     d. Jayapura-Arso-Waris (Jayapura)</v>
      </c>
      <c r="C357" s="359">
        <f>'DEFINITIF (APBNP)'!C1820</f>
        <v>0</v>
      </c>
      <c r="D357" s="359">
        <f>'DEFINITIF (APBNP)'!D1820</f>
        <v>0</v>
      </c>
      <c r="E357" s="359">
        <f>'DEFINITIF (APBNP)'!E1820</f>
        <v>0</v>
      </c>
      <c r="F357" s="360">
        <f t="shared" si="6"/>
        <v>0</v>
      </c>
      <c r="G357" s="361"/>
      <c r="H357" s="362"/>
      <c r="J357" s="362"/>
      <c r="L357" s="364"/>
      <c r="M357" s="365"/>
      <c r="N357" s="362"/>
    </row>
    <row r="358" spans="1:14" s="363" customFormat="1" ht="15" customHeight="1" x14ac:dyDescent="0.25">
      <c r="A358" s="597"/>
      <c r="B358" s="359" t="str">
        <f>'DEFINITIF (APBNP)'!B1821</f>
        <v xml:space="preserve">     e. Jayapura-Demta (Jayapura)</v>
      </c>
      <c r="C358" s="359">
        <f>'DEFINITIF (APBNP)'!C1821</f>
        <v>0</v>
      </c>
      <c r="D358" s="359">
        <f>'DEFINITIF (APBNP)'!D1821</f>
        <v>0</v>
      </c>
      <c r="E358" s="359">
        <f>'DEFINITIF (APBNP)'!E1821</f>
        <v>0</v>
      </c>
      <c r="F358" s="360">
        <f t="shared" si="6"/>
        <v>0</v>
      </c>
      <c r="G358" s="361"/>
      <c r="H358" s="362"/>
      <c r="J358" s="362"/>
      <c r="L358" s="364"/>
      <c r="M358" s="365"/>
      <c r="N358" s="362"/>
    </row>
    <row r="359" spans="1:14" s="363" customFormat="1" ht="15" customHeight="1" x14ac:dyDescent="0.25">
      <c r="A359" s="597"/>
      <c r="B359" s="359" t="str">
        <f>'DEFINITIF (APBNP)'!B1822</f>
        <v xml:space="preserve">     f. Jayapura-Bonggo (Jayapura)</v>
      </c>
      <c r="C359" s="359">
        <f>'DEFINITIF (APBNP)'!C1822</f>
        <v>0</v>
      </c>
      <c r="D359" s="359">
        <f>'DEFINITIF (APBNP)'!D1822</f>
        <v>0</v>
      </c>
      <c r="E359" s="359">
        <f>'DEFINITIF (APBNP)'!E1822</f>
        <v>0</v>
      </c>
      <c r="F359" s="360">
        <f t="shared" si="6"/>
        <v>0</v>
      </c>
      <c r="G359" s="361"/>
      <c r="H359" s="362"/>
      <c r="J359" s="362"/>
      <c r="L359" s="364"/>
      <c r="M359" s="365"/>
      <c r="N359" s="362"/>
    </row>
    <row r="360" spans="1:14" s="363" customFormat="1" ht="15" customHeight="1" x14ac:dyDescent="0.25">
      <c r="A360" s="597"/>
      <c r="B360" s="359" t="str">
        <f>'DEFINITIF (APBNP)'!B1823</f>
        <v xml:space="preserve">     g. Jayapura-Sarmi (Jayapura)</v>
      </c>
      <c r="C360" s="359">
        <f>'DEFINITIF (APBNP)'!C1823</f>
        <v>0</v>
      </c>
      <c r="D360" s="359">
        <f>'DEFINITIF (APBNP)'!D1823</f>
        <v>0</v>
      </c>
      <c r="E360" s="359">
        <f>'DEFINITIF (APBNP)'!E1823</f>
        <v>0</v>
      </c>
      <c r="F360" s="360">
        <f t="shared" si="6"/>
        <v>0</v>
      </c>
      <c r="G360" s="361"/>
      <c r="H360" s="362"/>
      <c r="J360" s="362"/>
      <c r="L360" s="364"/>
      <c r="M360" s="365"/>
      <c r="N360" s="362"/>
    </row>
    <row r="361" spans="1:14" s="363" customFormat="1" ht="15" customHeight="1" x14ac:dyDescent="0.25">
      <c r="A361" s="597"/>
      <c r="B361" s="359" t="str">
        <f>'DEFINITIF (APBNP)'!B1824</f>
        <v xml:space="preserve">    - Lokasi Merauke (6 Trayek)</v>
      </c>
      <c r="C361" s="359">
        <f>'DEFINITIF (APBNP)'!C1824</f>
        <v>0</v>
      </c>
      <c r="D361" s="359">
        <f>'DEFINITIF (APBNP)'!D1824</f>
        <v>0</v>
      </c>
      <c r="E361" s="359">
        <f>'DEFINITIF (APBNP)'!E1824</f>
        <v>0</v>
      </c>
      <c r="F361" s="360">
        <f t="shared" si="6"/>
        <v>0</v>
      </c>
      <c r="G361" s="361"/>
      <c r="H361" s="362"/>
      <c r="J361" s="362"/>
      <c r="L361" s="364"/>
      <c r="M361" s="365"/>
      <c r="N361" s="362"/>
    </row>
    <row r="362" spans="1:14" s="363" customFormat="1" ht="15" customHeight="1" x14ac:dyDescent="0.25">
      <c r="A362" s="597"/>
      <c r="B362" s="359" t="str">
        <f>'DEFINITIF (APBNP)'!B1825</f>
        <v xml:space="preserve">      a. Terminal- Merauke-Kokab (Merauke)</v>
      </c>
      <c r="C362" s="359">
        <f>'DEFINITIF (APBNP)'!C1825</f>
        <v>0</v>
      </c>
      <c r="D362" s="359">
        <f>'DEFINITIF (APBNP)'!D1825</f>
        <v>0</v>
      </c>
      <c r="E362" s="359">
        <f>'DEFINITIF (APBNP)'!E1825</f>
        <v>0</v>
      </c>
      <c r="F362" s="360">
        <f t="shared" si="6"/>
        <v>0</v>
      </c>
      <c r="G362" s="361"/>
      <c r="H362" s="362"/>
      <c r="J362" s="362"/>
      <c r="L362" s="364"/>
      <c r="M362" s="365"/>
      <c r="N362" s="362"/>
    </row>
    <row r="363" spans="1:14" s="363" customFormat="1" ht="15" customHeight="1" x14ac:dyDescent="0.25">
      <c r="A363" s="597"/>
      <c r="B363" s="359" t="str">
        <f>'DEFINITIF (APBNP)'!B1826</f>
        <v xml:space="preserve">      b. Terminal-Merauke-Kumbe (Merauke)</v>
      </c>
      <c r="C363" s="359">
        <f>'DEFINITIF (APBNP)'!C1826</f>
        <v>0</v>
      </c>
      <c r="D363" s="359">
        <f>'DEFINITIF (APBNP)'!D1826</f>
        <v>0</v>
      </c>
      <c r="E363" s="359">
        <f>'DEFINITIF (APBNP)'!E1826</f>
        <v>0</v>
      </c>
      <c r="F363" s="360">
        <f t="shared" si="6"/>
        <v>0</v>
      </c>
      <c r="G363" s="361"/>
      <c r="H363" s="362"/>
      <c r="J363" s="362"/>
      <c r="L363" s="364"/>
      <c r="M363" s="365"/>
      <c r="N363" s="362"/>
    </row>
    <row r="364" spans="1:14" s="363" customFormat="1" ht="15" customHeight="1" x14ac:dyDescent="0.25">
      <c r="A364" s="597"/>
      <c r="B364" s="359" t="str">
        <f>'DEFINITIF (APBNP)'!B1827</f>
        <v xml:space="preserve">      c. Merauke- Sota (Merauke)</v>
      </c>
      <c r="C364" s="359">
        <f>'DEFINITIF (APBNP)'!C1827</f>
        <v>0</v>
      </c>
      <c r="D364" s="359">
        <f>'DEFINITIF (APBNP)'!D1827</f>
        <v>0</v>
      </c>
      <c r="E364" s="359">
        <f>'DEFINITIF (APBNP)'!E1827</f>
        <v>0</v>
      </c>
      <c r="F364" s="360">
        <f t="shared" si="6"/>
        <v>0</v>
      </c>
      <c r="G364" s="361"/>
      <c r="H364" s="362"/>
      <c r="J364" s="362"/>
      <c r="L364" s="364"/>
      <c r="M364" s="365"/>
      <c r="N364" s="362"/>
    </row>
    <row r="365" spans="1:14" s="363" customFormat="1" ht="15" customHeight="1" x14ac:dyDescent="0.25">
      <c r="A365" s="597"/>
      <c r="B365" s="359" t="str">
        <f>'DEFINITIF (APBNP)'!B1828</f>
        <v xml:space="preserve">      d. Kuprik -Jagebob 2 (Merauke)</v>
      </c>
      <c r="C365" s="359">
        <f>'DEFINITIF (APBNP)'!C1828</f>
        <v>0</v>
      </c>
      <c r="D365" s="359">
        <f>'DEFINITIF (APBNP)'!D1828</f>
        <v>0</v>
      </c>
      <c r="E365" s="359">
        <f>'DEFINITIF (APBNP)'!E1828</f>
        <v>0</v>
      </c>
      <c r="F365" s="360">
        <f t="shared" si="6"/>
        <v>0</v>
      </c>
      <c r="G365" s="361"/>
      <c r="H365" s="362"/>
      <c r="J365" s="362"/>
      <c r="L365" s="364"/>
      <c r="M365" s="365"/>
      <c r="N365" s="362"/>
    </row>
    <row r="366" spans="1:14" s="363" customFormat="1" ht="15" customHeight="1" x14ac:dyDescent="0.25">
      <c r="A366" s="597"/>
      <c r="B366" s="359" t="str">
        <f>'DEFINITIF (APBNP)'!B1829</f>
        <v xml:space="preserve">      e. Kuprik -Pasar Kurik (Merauke)</v>
      </c>
      <c r="C366" s="359">
        <f>'DEFINITIF (APBNP)'!C1829</f>
        <v>0</v>
      </c>
      <c r="D366" s="359">
        <f>'DEFINITIF (APBNP)'!D1829</f>
        <v>0</v>
      </c>
      <c r="E366" s="359">
        <f>'DEFINITIF (APBNP)'!E1829</f>
        <v>0</v>
      </c>
      <c r="F366" s="360">
        <f t="shared" si="6"/>
        <v>0</v>
      </c>
      <c r="G366" s="361"/>
      <c r="H366" s="362"/>
      <c r="J366" s="362"/>
      <c r="L366" s="364"/>
      <c r="M366" s="365"/>
      <c r="N366" s="362"/>
    </row>
    <row r="367" spans="1:14" s="363" customFormat="1" ht="15" customHeight="1" x14ac:dyDescent="0.25">
      <c r="A367" s="597"/>
      <c r="B367" s="359" t="str">
        <f>'DEFINITIF (APBNP)'!B1830</f>
        <v xml:space="preserve">      f. Terminal Merauke - Erambo, Toray (Merauke)</v>
      </c>
      <c r="C367" s="359">
        <f>'DEFINITIF (APBNP)'!C1830</f>
        <v>0</v>
      </c>
      <c r="D367" s="359">
        <f>'DEFINITIF (APBNP)'!D1830</f>
        <v>0</v>
      </c>
      <c r="E367" s="359">
        <f>'DEFINITIF (APBNP)'!E1830</f>
        <v>0</v>
      </c>
      <c r="F367" s="360">
        <f t="shared" si="6"/>
        <v>0</v>
      </c>
      <c r="G367" s="361"/>
      <c r="H367" s="362"/>
      <c r="J367" s="362"/>
      <c r="L367" s="364"/>
      <c r="M367" s="365"/>
      <c r="N367" s="362"/>
    </row>
    <row r="368" spans="1:14" s="363" customFormat="1" ht="15" customHeight="1" x14ac:dyDescent="0.25">
      <c r="A368" s="597"/>
      <c r="B368" s="359" t="str">
        <f>'DEFINITIF (APBNP)'!B1831</f>
        <v xml:space="preserve">    - Lokasi Biak (4 Trayek)</v>
      </c>
      <c r="C368" s="359">
        <f>'DEFINITIF (APBNP)'!C1831</f>
        <v>0</v>
      </c>
      <c r="D368" s="359">
        <f>'DEFINITIF (APBNP)'!D1831</f>
        <v>0</v>
      </c>
      <c r="E368" s="359">
        <f>'DEFINITIF (APBNP)'!E1831</f>
        <v>0</v>
      </c>
      <c r="F368" s="360">
        <f t="shared" si="6"/>
        <v>0</v>
      </c>
      <c r="G368" s="361"/>
      <c r="H368" s="362"/>
      <c r="J368" s="362"/>
      <c r="L368" s="364"/>
      <c r="M368" s="365"/>
      <c r="N368" s="362"/>
    </row>
    <row r="369" spans="1:14" s="363" customFormat="1" ht="15" customHeight="1" x14ac:dyDescent="0.25">
      <c r="A369" s="597"/>
      <c r="B369" s="359" t="str">
        <f>'DEFINITIF (APBNP)'!B1832</f>
        <v xml:space="preserve">      a. Biak-Wardo/Kanaan (Biak)</v>
      </c>
      <c r="C369" s="359">
        <f>'DEFINITIF (APBNP)'!C1832</f>
        <v>0</v>
      </c>
      <c r="D369" s="359">
        <f>'DEFINITIF (APBNP)'!D1832</f>
        <v>0</v>
      </c>
      <c r="E369" s="359">
        <f>'DEFINITIF (APBNP)'!E1832</f>
        <v>0</v>
      </c>
      <c r="F369" s="360">
        <f t="shared" si="6"/>
        <v>0</v>
      </c>
      <c r="G369" s="361"/>
      <c r="H369" s="362"/>
      <c r="J369" s="362"/>
      <c r="L369" s="364"/>
      <c r="M369" s="365"/>
      <c r="N369" s="362"/>
    </row>
    <row r="370" spans="1:14" s="363" customFormat="1" ht="15" customHeight="1" x14ac:dyDescent="0.25">
      <c r="A370" s="597"/>
      <c r="B370" s="359" t="str">
        <f>'DEFINITIF (APBNP)'!B1833</f>
        <v xml:space="preserve">      b. Biak-Korem-Rumbin (Biak)</v>
      </c>
      <c r="C370" s="359">
        <f>'DEFINITIF (APBNP)'!C1833</f>
        <v>0</v>
      </c>
      <c r="D370" s="359">
        <f>'DEFINITIF (APBNP)'!D1833</f>
        <v>0</v>
      </c>
      <c r="E370" s="359">
        <f>'DEFINITIF (APBNP)'!E1833</f>
        <v>0</v>
      </c>
      <c r="F370" s="360">
        <f t="shared" si="6"/>
        <v>0</v>
      </c>
      <c r="G370" s="361"/>
      <c r="H370" s="362"/>
      <c r="J370" s="362"/>
      <c r="L370" s="364"/>
      <c r="M370" s="365"/>
      <c r="N370" s="362"/>
    </row>
    <row r="371" spans="1:14" s="363" customFormat="1" ht="15" customHeight="1" x14ac:dyDescent="0.25">
      <c r="A371" s="597"/>
      <c r="B371" s="359" t="str">
        <f>'DEFINITIF (APBNP)'!B1834</f>
        <v xml:space="preserve">      c. Biak-Korido (Biak)</v>
      </c>
      <c r="C371" s="359">
        <f>'DEFINITIF (APBNP)'!C1834</f>
        <v>0</v>
      </c>
      <c r="D371" s="359">
        <f>'DEFINITIF (APBNP)'!D1834</f>
        <v>0</v>
      </c>
      <c r="E371" s="359">
        <f>'DEFINITIF (APBNP)'!E1834</f>
        <v>0</v>
      </c>
      <c r="F371" s="360">
        <f t="shared" si="6"/>
        <v>0</v>
      </c>
      <c r="G371" s="361"/>
      <c r="H371" s="362"/>
      <c r="J371" s="362"/>
      <c r="L371" s="364"/>
      <c r="M371" s="365"/>
      <c r="N371" s="362"/>
    </row>
    <row r="372" spans="1:14" s="363" customFormat="1" ht="15" customHeight="1" x14ac:dyDescent="0.25">
      <c r="A372" s="597"/>
      <c r="B372" s="359" t="str">
        <f>'DEFINITIF (APBNP)'!B1835</f>
        <v xml:space="preserve">      d. Biak-Makmakerbo (Biak)</v>
      </c>
      <c r="C372" s="359">
        <f>'DEFINITIF (APBNP)'!C1835</f>
        <v>0</v>
      </c>
      <c r="D372" s="359">
        <f>'DEFINITIF (APBNP)'!D1835</f>
        <v>0</v>
      </c>
      <c r="E372" s="359">
        <f>'DEFINITIF (APBNP)'!E1835</f>
        <v>0</v>
      </c>
      <c r="F372" s="360">
        <f t="shared" si="6"/>
        <v>0</v>
      </c>
      <c r="G372" s="361"/>
      <c r="H372" s="362"/>
      <c r="J372" s="362"/>
      <c r="L372" s="364"/>
      <c r="M372" s="365"/>
      <c r="N372" s="362"/>
    </row>
    <row r="373" spans="1:14" s="363" customFormat="1" ht="15" customHeight="1" x14ac:dyDescent="0.25">
      <c r="A373" s="597"/>
      <c r="B373" s="359" t="str">
        <f>'DEFINITIF (APBNP)'!B1836</f>
        <v xml:space="preserve">    - Lokasi Serui (4 Trayek)</v>
      </c>
      <c r="C373" s="359">
        <f>'DEFINITIF (APBNP)'!C1836</f>
        <v>0</v>
      </c>
      <c r="D373" s="359">
        <f>'DEFINITIF (APBNP)'!D1836</f>
        <v>0</v>
      </c>
      <c r="E373" s="359">
        <f>'DEFINITIF (APBNP)'!E1836</f>
        <v>0</v>
      </c>
      <c r="F373" s="360">
        <f t="shared" si="6"/>
        <v>0</v>
      </c>
      <c r="G373" s="361"/>
      <c r="H373" s="362"/>
      <c r="J373" s="362"/>
      <c r="L373" s="364"/>
      <c r="M373" s="365"/>
      <c r="N373" s="362"/>
    </row>
    <row r="374" spans="1:14" s="363" customFormat="1" ht="15" customHeight="1" x14ac:dyDescent="0.25">
      <c r="A374" s="597"/>
      <c r="B374" s="359" t="str">
        <f>'DEFINITIF (APBNP)'!B1837</f>
        <v xml:space="preserve">      a. Serui-Ariepi-Kamanap (Serui)</v>
      </c>
      <c r="C374" s="359">
        <f>'DEFINITIF (APBNP)'!C1837</f>
        <v>0</v>
      </c>
      <c r="D374" s="359">
        <f>'DEFINITIF (APBNP)'!D1837</f>
        <v>0</v>
      </c>
      <c r="E374" s="359">
        <f>'DEFINITIF (APBNP)'!E1837</f>
        <v>0</v>
      </c>
      <c r="F374" s="360">
        <f t="shared" si="6"/>
        <v>0</v>
      </c>
      <c r="G374" s="361"/>
      <c r="H374" s="362"/>
      <c r="J374" s="362"/>
      <c r="L374" s="364"/>
      <c r="M374" s="365"/>
      <c r="N374" s="362"/>
    </row>
    <row r="375" spans="1:14" s="363" customFormat="1" ht="15" customHeight="1" x14ac:dyDescent="0.25">
      <c r="A375" s="597"/>
      <c r="B375" s="359" t="str">
        <f>'DEFINITIF (APBNP)'!B1838</f>
        <v xml:space="preserve">      b. Serui-Wadapi (Serui)</v>
      </c>
      <c r="C375" s="359">
        <f>'DEFINITIF (APBNP)'!C1838</f>
        <v>0</v>
      </c>
      <c r="D375" s="359">
        <f>'DEFINITIF (APBNP)'!D1838</f>
        <v>0</v>
      </c>
      <c r="E375" s="359">
        <f>'DEFINITIF (APBNP)'!E1838</f>
        <v>0</v>
      </c>
      <c r="F375" s="360">
        <f t="shared" si="6"/>
        <v>0</v>
      </c>
      <c r="G375" s="361"/>
      <c r="H375" s="362"/>
      <c r="J375" s="362"/>
      <c r="L375" s="364"/>
      <c r="M375" s="365"/>
      <c r="N375" s="362"/>
    </row>
    <row r="376" spans="1:14" s="363" customFormat="1" ht="15" customHeight="1" x14ac:dyDescent="0.25">
      <c r="A376" s="597"/>
      <c r="B376" s="359" t="str">
        <f>'DEFINITIF (APBNP)'!B1839</f>
        <v xml:space="preserve">      c. Serui-Mariarotu (Serui)</v>
      </c>
      <c r="C376" s="359">
        <f>'DEFINITIF (APBNP)'!C1839</f>
        <v>0</v>
      </c>
      <c r="D376" s="359">
        <f>'DEFINITIF (APBNP)'!D1839</f>
        <v>0</v>
      </c>
      <c r="E376" s="359">
        <f>'DEFINITIF (APBNP)'!E1839</f>
        <v>0</v>
      </c>
      <c r="F376" s="360">
        <f t="shared" si="6"/>
        <v>0</v>
      </c>
      <c r="G376" s="361"/>
      <c r="H376" s="362"/>
      <c r="J376" s="362"/>
      <c r="L376" s="364"/>
      <c r="M376" s="365"/>
      <c r="N376" s="362"/>
    </row>
    <row r="377" spans="1:14" s="363" customFormat="1" ht="15" customHeight="1" x14ac:dyDescent="0.25">
      <c r="A377" s="597"/>
      <c r="B377" s="359" t="str">
        <f>'DEFINITIF (APBNP)'!B1840</f>
        <v xml:space="preserve">      d.  Serui-Randawaya (Serui)</v>
      </c>
      <c r="C377" s="359">
        <f>'DEFINITIF (APBNP)'!C1840</f>
        <v>0</v>
      </c>
      <c r="D377" s="359">
        <f>'DEFINITIF (APBNP)'!D1840</f>
        <v>0</v>
      </c>
      <c r="E377" s="359">
        <f>'DEFINITIF (APBNP)'!E1840</f>
        <v>0</v>
      </c>
      <c r="F377" s="360">
        <f t="shared" si="6"/>
        <v>0</v>
      </c>
      <c r="G377" s="361"/>
      <c r="H377" s="362"/>
      <c r="J377" s="362"/>
      <c r="L377" s="364"/>
      <c r="M377" s="365"/>
      <c r="N377" s="362"/>
    </row>
    <row r="378" spans="1:14" s="363" customFormat="1" ht="15" customHeight="1" x14ac:dyDescent="0.25">
      <c r="A378" s="597"/>
      <c r="B378" s="359" t="str">
        <f>'DEFINITIF (APBNP)'!B1841</f>
        <v xml:space="preserve">    - Lokasi Nabire (4 Trayek)</v>
      </c>
      <c r="C378" s="359">
        <f>'DEFINITIF (APBNP)'!C1841</f>
        <v>0</v>
      </c>
      <c r="D378" s="359">
        <f>'DEFINITIF (APBNP)'!D1841</f>
        <v>0</v>
      </c>
      <c r="E378" s="359">
        <f>'DEFINITIF (APBNP)'!E1841</f>
        <v>0</v>
      </c>
      <c r="F378" s="360">
        <f t="shared" si="6"/>
        <v>0</v>
      </c>
      <c r="G378" s="361"/>
      <c r="H378" s="362"/>
      <c r="J378" s="362"/>
      <c r="L378" s="364"/>
      <c r="M378" s="365"/>
      <c r="N378" s="362"/>
    </row>
    <row r="379" spans="1:14" s="363" customFormat="1" ht="15" customHeight="1" x14ac:dyDescent="0.25">
      <c r="A379" s="597"/>
      <c r="B379" s="359" t="str">
        <f>'DEFINITIF (APBNP)'!B1842</f>
        <v xml:space="preserve">     a. Nabire- Legare SP IV (Nabire)</v>
      </c>
      <c r="C379" s="359">
        <f>'DEFINITIF (APBNP)'!C1842</f>
        <v>0</v>
      </c>
      <c r="D379" s="359">
        <f>'DEFINITIF (APBNP)'!D1842</f>
        <v>0</v>
      </c>
      <c r="E379" s="359">
        <f>'DEFINITIF (APBNP)'!E1842</f>
        <v>0</v>
      </c>
      <c r="F379" s="360">
        <f t="shared" si="6"/>
        <v>0</v>
      </c>
      <c r="G379" s="361"/>
      <c r="H379" s="362"/>
      <c r="J379" s="362"/>
      <c r="L379" s="364"/>
      <c r="M379" s="365"/>
      <c r="N379" s="362"/>
    </row>
    <row r="380" spans="1:14" s="363" customFormat="1" ht="15" customHeight="1" x14ac:dyDescent="0.25">
      <c r="A380" s="597"/>
      <c r="B380" s="359" t="str">
        <f>'DEFINITIF (APBNP)'!B1843</f>
        <v xml:space="preserve">       b. Nabire-Kaladiri (Nabire)</v>
      </c>
      <c r="C380" s="359">
        <f>'DEFINITIF (APBNP)'!C1843</f>
        <v>0</v>
      </c>
      <c r="D380" s="359">
        <f>'DEFINITIF (APBNP)'!D1843</f>
        <v>0</v>
      </c>
      <c r="E380" s="359">
        <f>'DEFINITIF (APBNP)'!E1843</f>
        <v>0</v>
      </c>
      <c r="F380" s="360">
        <f t="shared" si="6"/>
        <v>0</v>
      </c>
      <c r="G380" s="361"/>
      <c r="H380" s="362"/>
      <c r="J380" s="362"/>
      <c r="L380" s="364"/>
      <c r="M380" s="365"/>
      <c r="N380" s="362"/>
    </row>
    <row r="381" spans="1:14" s="363" customFormat="1" ht="15" customHeight="1" x14ac:dyDescent="0.25">
      <c r="A381" s="597"/>
      <c r="B381" s="359" t="str">
        <f>'DEFINITIF (APBNP)'!B1844</f>
        <v xml:space="preserve">       c. Nabire-Toppo (Nabire)</v>
      </c>
      <c r="C381" s="359">
        <f>'DEFINITIF (APBNP)'!C1844</f>
        <v>0</v>
      </c>
      <c r="D381" s="359">
        <f>'DEFINITIF (APBNP)'!D1844</f>
        <v>0</v>
      </c>
      <c r="E381" s="359">
        <f>'DEFINITIF (APBNP)'!E1844</f>
        <v>0</v>
      </c>
      <c r="F381" s="360">
        <f t="shared" si="6"/>
        <v>0</v>
      </c>
      <c r="G381" s="361"/>
      <c r="H381" s="362"/>
      <c r="J381" s="362"/>
      <c r="L381" s="364"/>
      <c r="M381" s="365"/>
      <c r="N381" s="362"/>
    </row>
    <row r="382" spans="1:14" s="363" customFormat="1" ht="15" customHeight="1" x14ac:dyDescent="0.25">
      <c r="A382" s="597"/>
      <c r="B382" s="359" t="str">
        <f>'DEFINITIF (APBNP)'!B1845</f>
        <v xml:space="preserve">       d. Nabire-Wammi (Nabire)</v>
      </c>
      <c r="C382" s="359">
        <f>'DEFINITIF (APBNP)'!C1845</f>
        <v>0</v>
      </c>
      <c r="D382" s="359">
        <f>'DEFINITIF (APBNP)'!D1845</f>
        <v>0</v>
      </c>
      <c r="E382" s="359">
        <f>'DEFINITIF (APBNP)'!E1845</f>
        <v>0</v>
      </c>
      <c r="F382" s="360">
        <f t="shared" si="6"/>
        <v>0</v>
      </c>
      <c r="G382" s="361"/>
      <c r="H382" s="362"/>
      <c r="J382" s="362"/>
      <c r="L382" s="364"/>
      <c r="M382" s="365"/>
      <c r="N382" s="362"/>
    </row>
    <row r="383" spans="1:14" s="363" customFormat="1" ht="15" customHeight="1" x14ac:dyDescent="0.25">
      <c r="A383" s="597"/>
      <c r="B383" s="359" t="str">
        <f>'DEFINITIF (APBNP)'!B1846</f>
        <v xml:space="preserve">    - Lokasi Timika (5 Trayek)</v>
      </c>
      <c r="C383" s="359">
        <f>'DEFINITIF (APBNP)'!C1846</f>
        <v>0</v>
      </c>
      <c r="D383" s="359">
        <f>'DEFINITIF (APBNP)'!D1846</f>
        <v>0</v>
      </c>
      <c r="E383" s="359">
        <f>'DEFINITIF (APBNP)'!E1846</f>
        <v>0</v>
      </c>
      <c r="F383" s="360">
        <f t="shared" si="6"/>
        <v>0</v>
      </c>
      <c r="G383" s="361"/>
      <c r="H383" s="362"/>
      <c r="J383" s="362"/>
      <c r="L383" s="364"/>
      <c r="M383" s="365"/>
      <c r="N383" s="362"/>
    </row>
    <row r="384" spans="1:14" s="363" customFormat="1" ht="15" customHeight="1" x14ac:dyDescent="0.25">
      <c r="A384" s="597"/>
      <c r="B384" s="359" t="str">
        <f>'DEFINITIF (APBNP)'!B1847</f>
        <v xml:space="preserve">      a. Timika - Pigapu (Mimika)</v>
      </c>
      <c r="C384" s="359">
        <f>'DEFINITIF (APBNP)'!C1847</f>
        <v>0</v>
      </c>
      <c r="D384" s="359">
        <f>'DEFINITIF (APBNP)'!D1847</f>
        <v>0</v>
      </c>
      <c r="E384" s="359">
        <f>'DEFINITIF (APBNP)'!E1847</f>
        <v>0</v>
      </c>
      <c r="F384" s="360">
        <f t="shared" si="6"/>
        <v>0</v>
      </c>
      <c r="G384" s="361"/>
      <c r="H384" s="362"/>
      <c r="J384" s="362"/>
      <c r="L384" s="364"/>
      <c r="M384" s="365"/>
      <c r="N384" s="362"/>
    </row>
    <row r="385" spans="1:14" s="363" customFormat="1" ht="15" customHeight="1" x14ac:dyDescent="0.25">
      <c r="A385" s="597"/>
      <c r="B385" s="359" t="str">
        <f>'DEFINITIF (APBNP)'!B1848</f>
        <v xml:space="preserve">      b. Timika -Muari (Mimika)</v>
      </c>
      <c r="C385" s="359">
        <f>'DEFINITIF (APBNP)'!C1848</f>
        <v>0</v>
      </c>
      <c r="D385" s="359">
        <f>'DEFINITIF (APBNP)'!D1848</f>
        <v>0</v>
      </c>
      <c r="E385" s="359">
        <f>'DEFINITIF (APBNP)'!E1848</f>
        <v>0</v>
      </c>
      <c r="F385" s="360">
        <f t="shared" si="6"/>
        <v>0</v>
      </c>
      <c r="G385" s="361"/>
      <c r="H385" s="362"/>
      <c r="J385" s="362"/>
      <c r="L385" s="364"/>
      <c r="M385" s="365"/>
      <c r="N385" s="362"/>
    </row>
    <row r="386" spans="1:14" s="363" customFormat="1" ht="15" customHeight="1" x14ac:dyDescent="0.25">
      <c r="A386" s="597"/>
      <c r="B386" s="359" t="str">
        <f>'DEFINITIF (APBNP)'!B1849</f>
        <v xml:space="preserve">      c. Timika - Mioko (Mimika)</v>
      </c>
      <c r="C386" s="359">
        <f>'DEFINITIF (APBNP)'!C1849</f>
        <v>0</v>
      </c>
      <c r="D386" s="359">
        <f>'DEFINITIF (APBNP)'!D1849</f>
        <v>0</v>
      </c>
      <c r="E386" s="359">
        <f>'DEFINITIF (APBNP)'!E1849</f>
        <v>0</v>
      </c>
      <c r="F386" s="360">
        <f t="shared" si="6"/>
        <v>0</v>
      </c>
      <c r="G386" s="361"/>
      <c r="H386" s="362"/>
      <c r="J386" s="362"/>
      <c r="L386" s="364"/>
      <c r="M386" s="365"/>
      <c r="N386" s="362"/>
    </row>
    <row r="387" spans="1:14" s="363" customFormat="1" ht="15" customHeight="1" x14ac:dyDescent="0.25">
      <c r="A387" s="597"/>
      <c r="B387" s="359" t="str">
        <f>'DEFINITIF (APBNP)'!B1850</f>
        <v xml:space="preserve">      d. Timika - Tipuka (Mimika)</v>
      </c>
      <c r="C387" s="359">
        <f>'DEFINITIF (APBNP)'!C1850</f>
        <v>0</v>
      </c>
      <c r="D387" s="359">
        <f>'DEFINITIF (APBNP)'!D1850</f>
        <v>0</v>
      </c>
      <c r="E387" s="359">
        <f>'DEFINITIF (APBNP)'!E1850</f>
        <v>0</v>
      </c>
      <c r="F387" s="360">
        <f t="shared" si="6"/>
        <v>0</v>
      </c>
      <c r="G387" s="361"/>
      <c r="H387" s="362"/>
      <c r="J387" s="362"/>
      <c r="L387" s="364"/>
      <c r="M387" s="365"/>
      <c r="N387" s="362"/>
    </row>
    <row r="388" spans="1:14" s="363" customFormat="1" ht="15" customHeight="1" x14ac:dyDescent="0.25">
      <c r="A388" s="597"/>
      <c r="B388" s="359" t="str">
        <f>'DEFINITIF (APBNP)'!B1851</f>
        <v xml:space="preserve">      e. Timika - Ayuka (Mimika)</v>
      </c>
      <c r="C388" s="359">
        <f>'DEFINITIF (APBNP)'!C1851</f>
        <v>0</v>
      </c>
      <c r="D388" s="359">
        <f>'DEFINITIF (APBNP)'!D1851</f>
        <v>0</v>
      </c>
      <c r="E388" s="359">
        <f>'DEFINITIF (APBNP)'!E1851</f>
        <v>0</v>
      </c>
      <c r="F388" s="360">
        <f t="shared" si="6"/>
        <v>0</v>
      </c>
      <c r="G388" s="361"/>
      <c r="H388" s="362"/>
      <c r="J388" s="362"/>
      <c r="L388" s="364"/>
      <c r="M388" s="365"/>
      <c r="N388" s="362"/>
    </row>
    <row r="389" spans="1:14" s="363" customFormat="1" ht="15" customHeight="1" x14ac:dyDescent="0.25">
      <c r="A389" s="597"/>
      <c r="B389" s="359">
        <f>'DEFINITIF (APBNP)'!B1852</f>
        <v>0</v>
      </c>
      <c r="C389" s="359">
        <f>'DEFINITIF (APBNP)'!C1852</f>
        <v>0</v>
      </c>
      <c r="D389" s="359">
        <f>'DEFINITIF (APBNP)'!D1852</f>
        <v>0</v>
      </c>
      <c r="E389" s="359">
        <f>'DEFINITIF (APBNP)'!E1852</f>
        <v>0</v>
      </c>
      <c r="F389" s="360">
        <f t="shared" si="6"/>
        <v>0</v>
      </c>
      <c r="G389" s="361"/>
      <c r="H389" s="362"/>
      <c r="J389" s="362"/>
      <c r="L389" s="364"/>
      <c r="M389" s="365"/>
      <c r="N389" s="362"/>
    </row>
    <row r="390" spans="1:14" s="363" customFormat="1" ht="15" customHeight="1" x14ac:dyDescent="0.25">
      <c r="A390" s="597"/>
      <c r="B390" s="359" t="str">
        <f>'DEFINITIF (APBNP)'!B1853</f>
        <v>Belanja Uang Honor Tidak tetap</v>
      </c>
      <c r="C390" s="359">
        <f>'DEFINITIF (APBNP)'!C1853</f>
        <v>0</v>
      </c>
      <c r="D390" s="359">
        <f>'DEFINITIF (APBNP)'!D1853</f>
        <v>0</v>
      </c>
      <c r="E390" s="359">
        <f>'DEFINITIF (APBNP)'!E1853</f>
        <v>0</v>
      </c>
      <c r="F390" s="360">
        <f t="shared" si="6"/>
        <v>0</v>
      </c>
      <c r="G390" s="361"/>
      <c r="H390" s="362"/>
      <c r="J390" s="362"/>
      <c r="L390" s="364"/>
      <c r="M390" s="365"/>
      <c r="N390" s="362"/>
    </row>
    <row r="391" spans="1:14" s="363" customFormat="1" ht="15" customHeight="1" x14ac:dyDescent="0.25">
      <c r="A391" s="597"/>
      <c r="B391" s="359" t="str">
        <f>'DEFINITIF (APBNP)'!B1854</f>
        <v xml:space="preserve">    - Pengawasan Subsidi Operasi Bus Perintis</v>
      </c>
      <c r="C391" s="359">
        <f>'DEFINITIF (APBNP)'!C1854</f>
        <v>1</v>
      </c>
      <c r="D391" s="359" t="str">
        <f>'DEFINITIF (APBNP)'!D1854</f>
        <v>TH</v>
      </c>
      <c r="E391" s="359">
        <f>'DEFINITIF (APBNP)'!E1854</f>
        <v>100000</v>
      </c>
      <c r="F391" s="360">
        <f t="shared" si="6"/>
        <v>100000</v>
      </c>
      <c r="G391" s="361"/>
      <c r="H391" s="362"/>
      <c r="J391" s="362"/>
      <c r="L391" s="364"/>
      <c r="M391" s="365"/>
      <c r="N391" s="362"/>
    </row>
    <row r="392" spans="1:14" s="363" customFormat="1" ht="15" customHeight="1" x14ac:dyDescent="0.25">
      <c r="A392" s="597"/>
      <c r="B392" s="359">
        <f>'DEFINITIF (APBNP)'!B1855</f>
        <v>0</v>
      </c>
      <c r="C392" s="359">
        <f>'DEFINITIF (APBNP)'!C1855</f>
        <v>0</v>
      </c>
      <c r="D392" s="359">
        <f>'DEFINITIF (APBNP)'!D1855</f>
        <v>0</v>
      </c>
      <c r="E392" s="359">
        <f>'DEFINITIF (APBNP)'!E1855</f>
        <v>0</v>
      </c>
      <c r="F392" s="360"/>
      <c r="G392" s="361"/>
      <c r="H392" s="362"/>
      <c r="J392" s="362"/>
      <c r="L392" s="364"/>
      <c r="M392" s="365"/>
      <c r="N392" s="362"/>
    </row>
    <row r="393" spans="1:14" s="363" customFormat="1" ht="15" customHeight="1" x14ac:dyDescent="0.25">
      <c r="A393" s="597"/>
      <c r="B393" s="359"/>
      <c r="C393" s="359"/>
      <c r="D393" s="359"/>
      <c r="E393" s="359"/>
      <c r="F393" s="360"/>
      <c r="G393" s="361"/>
      <c r="H393" s="362"/>
      <c r="J393" s="362"/>
      <c r="L393" s="364"/>
      <c r="M393" s="365"/>
      <c r="N393" s="362"/>
    </row>
    <row r="394" spans="1:14" s="355" customFormat="1" ht="15" customHeight="1" x14ac:dyDescent="0.25">
      <c r="A394" s="573">
        <v>30</v>
      </c>
      <c r="B394" s="587" t="s">
        <v>827</v>
      </c>
      <c r="C394" s="587">
        <v>17</v>
      </c>
      <c r="D394" s="587"/>
      <c r="E394" s="589"/>
      <c r="F394" s="588">
        <f>SUM(F395:F417)</f>
        <v>7884986</v>
      </c>
      <c r="G394" s="353"/>
      <c r="H394" s="354"/>
      <c r="J394" s="354"/>
      <c r="L394" s="356"/>
      <c r="M394" s="357"/>
      <c r="N394" s="354"/>
    </row>
    <row r="395" spans="1:14" s="363" customFormat="1" ht="15" customHeight="1" x14ac:dyDescent="0.25">
      <c r="A395" s="597"/>
      <c r="B395" s="359" t="str">
        <f>'DEFINITIF (APBNP)'!B1888</f>
        <v>Belanja Barang Operasional Lainnya</v>
      </c>
      <c r="C395" s="359">
        <f>'DEFINITIF (APBNP)'!C1888</f>
        <v>0</v>
      </c>
      <c r="D395" s="359">
        <f>'DEFINITIF (APBNP)'!D1888</f>
        <v>0</v>
      </c>
      <c r="E395" s="359">
        <f>'DEFINITIF (APBNP)'!E1888</f>
        <v>0</v>
      </c>
      <c r="F395" s="360">
        <f t="shared" ref="F395:F417" si="7">C395*E395</f>
        <v>0</v>
      </c>
      <c r="G395" s="361"/>
      <c r="H395" s="362"/>
      <c r="J395" s="362"/>
      <c r="L395" s="364"/>
      <c r="M395" s="365"/>
      <c r="N395" s="362"/>
    </row>
    <row r="396" spans="1:14" s="363" customFormat="1" ht="15" customHeight="1" x14ac:dyDescent="0.25">
      <c r="A396" s="597"/>
      <c r="B396" s="359" t="str">
        <f>'DEFINITIF (APBNP)'!B1889</f>
        <v>Subsidi Operasi Bus Perintis (6 lokasi) 29 trayek</v>
      </c>
      <c r="C396" s="359">
        <f>'DEFINITIF (APBNP)'!C1889</f>
        <v>1</v>
      </c>
      <c r="D396" s="359" t="str">
        <f>'DEFINITIF (APBNP)'!D1889</f>
        <v>TH</v>
      </c>
      <c r="E396" s="359">
        <f>'DEFINITIF (APBNP)'!E1889</f>
        <v>7824986</v>
      </c>
      <c r="F396" s="360">
        <f t="shared" si="7"/>
        <v>7824986</v>
      </c>
      <c r="G396" s="361"/>
      <c r="H396" s="362"/>
      <c r="J396" s="362"/>
      <c r="L396" s="364"/>
      <c r="M396" s="365"/>
      <c r="N396" s="362"/>
    </row>
    <row r="397" spans="1:14" s="363" customFormat="1" ht="15" customHeight="1" x14ac:dyDescent="0.25">
      <c r="A397" s="597"/>
      <c r="B397" s="359" t="str">
        <f>'DEFINITIF (APBNP)'!B1891</f>
        <v>Sorong - Aimas II Sp.IV</v>
      </c>
      <c r="C397" s="359">
        <f>'DEFINITIF (APBNP)'!C1891</f>
        <v>0</v>
      </c>
      <c r="D397" s="359">
        <f>'DEFINITIF (APBNP)'!D1891</f>
        <v>0</v>
      </c>
      <c r="E397" s="359">
        <f>'DEFINITIF (APBNP)'!E1891</f>
        <v>0</v>
      </c>
      <c r="F397" s="360">
        <f t="shared" si="7"/>
        <v>0</v>
      </c>
      <c r="G397" s="361"/>
      <c r="H397" s="362"/>
      <c r="J397" s="362"/>
      <c r="L397" s="364"/>
      <c r="M397" s="365"/>
      <c r="N397" s="362"/>
    </row>
    <row r="398" spans="1:14" s="363" customFormat="1" ht="15" customHeight="1" x14ac:dyDescent="0.25">
      <c r="A398" s="597"/>
      <c r="B398" s="359" t="str">
        <f>'DEFINITIF (APBNP)'!B1892</f>
        <v>Sorong - Ketapop</v>
      </c>
      <c r="C398" s="359">
        <f>'DEFINITIF (APBNP)'!C1892</f>
        <v>0</v>
      </c>
      <c r="D398" s="359">
        <f>'DEFINITIF (APBNP)'!D1892</f>
        <v>0</v>
      </c>
      <c r="E398" s="359">
        <f>'DEFINITIF (APBNP)'!E1892</f>
        <v>0</v>
      </c>
      <c r="F398" s="360">
        <f t="shared" si="7"/>
        <v>0</v>
      </c>
      <c r="G398" s="361"/>
      <c r="H398" s="362"/>
      <c r="J398" s="362"/>
      <c r="L398" s="364"/>
      <c r="M398" s="365"/>
      <c r="N398" s="362"/>
    </row>
    <row r="399" spans="1:14" s="363" customFormat="1" ht="15" customHeight="1" x14ac:dyDescent="0.25">
      <c r="A399" s="597"/>
      <c r="B399" s="359" t="str">
        <f>'DEFINITIF (APBNP)'!B1893</f>
        <v>Sorong - Seget</v>
      </c>
      <c r="C399" s="359">
        <f>'DEFINITIF (APBNP)'!C1893</f>
        <v>0</v>
      </c>
      <c r="D399" s="359">
        <f>'DEFINITIF (APBNP)'!D1893</f>
        <v>0</v>
      </c>
      <c r="E399" s="359">
        <f>'DEFINITIF (APBNP)'!E1893</f>
        <v>0</v>
      </c>
      <c r="F399" s="360">
        <f t="shared" si="7"/>
        <v>0</v>
      </c>
      <c r="G399" s="361"/>
      <c r="H399" s="362"/>
      <c r="J399" s="362"/>
      <c r="L399" s="364"/>
      <c r="M399" s="365"/>
      <c r="N399" s="362"/>
    </row>
    <row r="400" spans="1:14" s="363" customFormat="1" ht="15" customHeight="1" x14ac:dyDescent="0.25">
      <c r="A400" s="597"/>
      <c r="B400" s="359" t="str">
        <f>'DEFINITIF (APBNP)'!B1894</f>
        <v>Terminabuan - Seremuk</v>
      </c>
      <c r="C400" s="359">
        <f>'DEFINITIF (APBNP)'!C1894</f>
        <v>0</v>
      </c>
      <c r="D400" s="359">
        <f>'DEFINITIF (APBNP)'!D1894</f>
        <v>0</v>
      </c>
      <c r="E400" s="359">
        <f>'DEFINITIF (APBNP)'!E1894</f>
        <v>0</v>
      </c>
      <c r="F400" s="360">
        <f t="shared" si="7"/>
        <v>0</v>
      </c>
      <c r="G400" s="361"/>
      <c r="H400" s="362"/>
      <c r="J400" s="362"/>
      <c r="L400" s="364"/>
      <c r="M400" s="365"/>
      <c r="N400" s="362"/>
    </row>
    <row r="401" spans="1:14" s="363" customFormat="1" ht="15" customHeight="1" x14ac:dyDescent="0.25">
      <c r="A401" s="597"/>
      <c r="B401" s="359" t="str">
        <f>'DEFINITIF (APBNP)'!B1895</f>
        <v xml:space="preserve">Terminl Kota -  Saluk </v>
      </c>
      <c r="C401" s="359">
        <f>'DEFINITIF (APBNP)'!C1895</f>
        <v>0</v>
      </c>
      <c r="D401" s="359">
        <f>'DEFINITIF (APBNP)'!D1895</f>
        <v>0</v>
      </c>
      <c r="E401" s="359">
        <f>'DEFINITIF (APBNP)'!E1895</f>
        <v>0</v>
      </c>
      <c r="F401" s="360">
        <f t="shared" si="7"/>
        <v>0</v>
      </c>
      <c r="G401" s="361"/>
      <c r="H401" s="362"/>
      <c r="J401" s="362"/>
      <c r="L401" s="364"/>
      <c r="M401" s="365"/>
      <c r="N401" s="362"/>
    </row>
    <row r="402" spans="1:14" s="363" customFormat="1" ht="15" customHeight="1" x14ac:dyDescent="0.25">
      <c r="A402" s="597"/>
      <c r="B402" s="359" t="str">
        <f>'DEFINITIF (APBNP)'!B1896</f>
        <v>Terminabuan - Moswaren</v>
      </c>
      <c r="C402" s="359">
        <f>'DEFINITIF (APBNP)'!C1896</f>
        <v>0</v>
      </c>
      <c r="D402" s="359">
        <f>'DEFINITIF (APBNP)'!D1896</f>
        <v>0</v>
      </c>
      <c r="E402" s="359">
        <f>'DEFINITIF (APBNP)'!E1896</f>
        <v>0</v>
      </c>
      <c r="F402" s="360">
        <f t="shared" si="7"/>
        <v>0</v>
      </c>
      <c r="G402" s="361"/>
      <c r="H402" s="362"/>
      <c r="J402" s="362"/>
      <c r="L402" s="364"/>
      <c r="M402" s="365"/>
      <c r="N402" s="362"/>
    </row>
    <row r="403" spans="1:14" s="363" customFormat="1" ht="15" customHeight="1" x14ac:dyDescent="0.25">
      <c r="A403" s="597"/>
      <c r="B403" s="359" t="str">
        <f>'DEFINITIF (APBNP)'!B1897</f>
        <v>Terminabuan- Konda</v>
      </c>
      <c r="C403" s="359">
        <f>'DEFINITIF (APBNP)'!C1897</f>
        <v>0</v>
      </c>
      <c r="D403" s="359">
        <f>'DEFINITIF (APBNP)'!D1897</f>
        <v>0</v>
      </c>
      <c r="E403" s="359">
        <f>'DEFINITIF (APBNP)'!E1897</f>
        <v>0</v>
      </c>
      <c r="F403" s="360">
        <f t="shared" si="7"/>
        <v>0</v>
      </c>
      <c r="G403" s="361"/>
      <c r="H403" s="362"/>
      <c r="J403" s="362"/>
      <c r="L403" s="364"/>
      <c r="M403" s="365"/>
      <c r="N403" s="362"/>
    </row>
    <row r="404" spans="1:14" s="363" customFormat="1" ht="15" customHeight="1" x14ac:dyDescent="0.25">
      <c r="A404" s="597"/>
      <c r="B404" s="359" t="str">
        <f>'DEFINITIF (APBNP)'!B1898</f>
        <v>Sorong - Klasari</v>
      </c>
      <c r="C404" s="359">
        <f>'DEFINITIF (APBNP)'!C1898</f>
        <v>0</v>
      </c>
      <c r="D404" s="359">
        <f>'DEFINITIF (APBNP)'!D1898</f>
        <v>0</v>
      </c>
      <c r="E404" s="359">
        <f>'DEFINITIF (APBNP)'!E1898</f>
        <v>0</v>
      </c>
      <c r="F404" s="360">
        <f t="shared" si="7"/>
        <v>0</v>
      </c>
      <c r="G404" s="361"/>
      <c r="H404" s="362"/>
      <c r="J404" s="362"/>
      <c r="L404" s="364"/>
      <c r="M404" s="365"/>
      <c r="N404" s="362"/>
    </row>
    <row r="405" spans="1:14" s="363" customFormat="1" ht="15" customHeight="1" x14ac:dyDescent="0.25">
      <c r="A405" s="597"/>
      <c r="B405" s="359" t="str">
        <f>'DEFINITIF (APBNP)'!B1899</f>
        <v>Sorong - Modan 1&amp;2</v>
      </c>
      <c r="C405" s="359">
        <f>'DEFINITIF (APBNP)'!C1899</f>
        <v>0</v>
      </c>
      <c r="D405" s="359">
        <f>'DEFINITIF (APBNP)'!D1899</f>
        <v>0</v>
      </c>
      <c r="E405" s="359">
        <f>'DEFINITIF (APBNP)'!E1899</f>
        <v>0</v>
      </c>
      <c r="F405" s="360">
        <f t="shared" si="7"/>
        <v>0</v>
      </c>
      <c r="G405" s="361"/>
      <c r="H405" s="362"/>
      <c r="J405" s="362"/>
      <c r="L405" s="364"/>
      <c r="M405" s="365"/>
      <c r="N405" s="362"/>
    </row>
    <row r="406" spans="1:14" s="363" customFormat="1" ht="15" customHeight="1" x14ac:dyDescent="0.25">
      <c r="A406" s="597"/>
      <c r="B406" s="359" t="str">
        <f>'DEFINITIF (APBNP)'!B1900</f>
        <v>TerminalKota - Batu Payung</v>
      </c>
      <c r="C406" s="359">
        <f>'DEFINITIF (APBNP)'!C1900</f>
        <v>0</v>
      </c>
      <c r="D406" s="359">
        <f>'DEFINITIF (APBNP)'!D1900</f>
        <v>0</v>
      </c>
      <c r="E406" s="359">
        <f>'DEFINITIF (APBNP)'!E1900</f>
        <v>0</v>
      </c>
      <c r="F406" s="360">
        <f t="shared" si="7"/>
        <v>0</v>
      </c>
      <c r="G406" s="361"/>
      <c r="H406" s="362"/>
      <c r="J406" s="362"/>
      <c r="L406" s="364"/>
      <c r="M406" s="365"/>
      <c r="N406" s="362"/>
    </row>
    <row r="407" spans="1:14" s="363" customFormat="1" ht="15" customHeight="1" x14ac:dyDescent="0.25">
      <c r="A407" s="597"/>
      <c r="B407" s="359" t="str">
        <f>'DEFINITIF (APBNP)'!B1901</f>
        <v>Manokwari</v>
      </c>
      <c r="C407" s="359">
        <f>'DEFINITIF (APBNP)'!C1901</f>
        <v>0</v>
      </c>
      <c r="D407" s="359">
        <f>'DEFINITIF (APBNP)'!D1901</f>
        <v>0</v>
      </c>
      <c r="E407" s="359">
        <f>'DEFINITIF (APBNP)'!E1901</f>
        <v>0</v>
      </c>
      <c r="F407" s="360">
        <f t="shared" si="7"/>
        <v>0</v>
      </c>
      <c r="G407" s="361"/>
      <c r="H407" s="362"/>
      <c r="J407" s="362"/>
      <c r="L407" s="364"/>
      <c r="M407" s="365"/>
      <c r="N407" s="362"/>
    </row>
    <row r="408" spans="1:14" s="363" customFormat="1" ht="15" customHeight="1" x14ac:dyDescent="0.25">
      <c r="A408" s="597"/>
      <c r="B408" s="359" t="str">
        <f>'DEFINITIF (APBNP)'!B1902</f>
        <v>Manokwari - Warmare</v>
      </c>
      <c r="C408" s="359">
        <f>'DEFINITIF (APBNP)'!C1902</f>
        <v>0</v>
      </c>
      <c r="D408" s="359">
        <f>'DEFINITIF (APBNP)'!D1902</f>
        <v>0</v>
      </c>
      <c r="E408" s="359">
        <f>'DEFINITIF (APBNP)'!E1902</f>
        <v>0</v>
      </c>
      <c r="F408" s="360">
        <f t="shared" si="7"/>
        <v>0</v>
      </c>
      <c r="G408" s="361"/>
      <c r="H408" s="362"/>
      <c r="J408" s="362"/>
      <c r="L408" s="364"/>
      <c r="M408" s="365"/>
      <c r="N408" s="362"/>
    </row>
    <row r="409" spans="1:14" s="363" customFormat="1" ht="15" customHeight="1" x14ac:dyDescent="0.25">
      <c r="A409" s="597"/>
      <c r="B409" s="359" t="str">
        <f>'DEFINITIF (APBNP)'!B1903</f>
        <v>Manokwari - Prafi SP.IX</v>
      </c>
      <c r="C409" s="359">
        <f>'DEFINITIF (APBNP)'!C1903</f>
        <v>0</v>
      </c>
      <c r="D409" s="359">
        <f>'DEFINITIF (APBNP)'!D1903</f>
        <v>0</v>
      </c>
      <c r="E409" s="359">
        <f>'DEFINITIF (APBNP)'!E1903</f>
        <v>0</v>
      </c>
      <c r="F409" s="360">
        <f t="shared" si="7"/>
        <v>0</v>
      </c>
      <c r="G409" s="361"/>
      <c r="H409" s="362"/>
      <c r="J409" s="362"/>
      <c r="L409" s="364"/>
      <c r="M409" s="365"/>
      <c r="N409" s="362"/>
    </row>
    <row r="410" spans="1:14" s="363" customFormat="1" ht="15" customHeight="1" x14ac:dyDescent="0.25">
      <c r="A410" s="597"/>
      <c r="B410" s="359" t="str">
        <f>'DEFINITIF (APBNP)'!B1904</f>
        <v>Manokwari - Prafi SP.IV</v>
      </c>
      <c r="C410" s="359">
        <f>'DEFINITIF (APBNP)'!C1904</f>
        <v>0</v>
      </c>
      <c r="D410" s="359">
        <f>'DEFINITIF (APBNP)'!D1904</f>
        <v>0</v>
      </c>
      <c r="E410" s="359">
        <f>'DEFINITIF (APBNP)'!E1904</f>
        <v>0</v>
      </c>
      <c r="F410" s="360">
        <f t="shared" si="7"/>
        <v>0</v>
      </c>
      <c r="G410" s="361"/>
      <c r="H410" s="362"/>
      <c r="J410" s="362"/>
      <c r="L410" s="364"/>
      <c r="M410" s="365"/>
      <c r="N410" s="362"/>
    </row>
    <row r="411" spans="1:14" s="363" customFormat="1" ht="15" customHeight="1" x14ac:dyDescent="0.25">
      <c r="A411" s="597"/>
      <c r="B411" s="359" t="str">
        <f>'DEFINITIF (APBNP)'!B1905</f>
        <v>Manokwari - Masni</v>
      </c>
      <c r="C411" s="359">
        <f>'DEFINITIF (APBNP)'!C1905</f>
        <v>0</v>
      </c>
      <c r="D411" s="359">
        <f>'DEFINITIF (APBNP)'!D1905</f>
        <v>0</v>
      </c>
      <c r="E411" s="359">
        <f>'DEFINITIF (APBNP)'!E1905</f>
        <v>0</v>
      </c>
      <c r="F411" s="360">
        <f t="shared" si="7"/>
        <v>0</v>
      </c>
      <c r="G411" s="361"/>
      <c r="H411" s="362"/>
      <c r="J411" s="362"/>
      <c r="L411" s="364"/>
      <c r="M411" s="365"/>
      <c r="N411" s="362"/>
    </row>
    <row r="412" spans="1:14" s="363" customFormat="1" ht="15" customHeight="1" x14ac:dyDescent="0.25">
      <c r="A412" s="597"/>
      <c r="B412" s="359" t="str">
        <f>'DEFINITIF (APBNP)'!B1906</f>
        <v>Manokwari - Momiwaren</v>
      </c>
      <c r="C412" s="359">
        <f>'DEFINITIF (APBNP)'!C1906</f>
        <v>0</v>
      </c>
      <c r="D412" s="359">
        <f>'DEFINITIF (APBNP)'!D1906</f>
        <v>0</v>
      </c>
      <c r="E412" s="359">
        <f>'DEFINITIF (APBNP)'!E1906</f>
        <v>0</v>
      </c>
      <c r="F412" s="360">
        <f t="shared" si="7"/>
        <v>0</v>
      </c>
      <c r="G412" s="361"/>
      <c r="H412" s="362"/>
      <c r="J412" s="362"/>
      <c r="L412" s="364"/>
      <c r="M412" s="365"/>
      <c r="N412" s="362"/>
    </row>
    <row r="413" spans="1:14" s="363" customFormat="1" ht="15" customHeight="1" x14ac:dyDescent="0.25">
      <c r="A413" s="597"/>
      <c r="B413" s="359" t="str">
        <f>'DEFINITIF (APBNP)'!B1907</f>
        <v>Manokwari - Arpu</v>
      </c>
      <c r="C413" s="359">
        <f>'DEFINITIF (APBNP)'!C1907</f>
        <v>0</v>
      </c>
      <c r="D413" s="359">
        <f>'DEFINITIF (APBNP)'!D1907</f>
        <v>0</v>
      </c>
      <c r="E413" s="359">
        <f>'DEFINITIF (APBNP)'!E1907</f>
        <v>0</v>
      </c>
      <c r="F413" s="360">
        <f t="shared" si="7"/>
        <v>0</v>
      </c>
      <c r="G413" s="361"/>
      <c r="H413" s="362"/>
      <c r="J413" s="362"/>
      <c r="L413" s="364"/>
      <c r="M413" s="365"/>
      <c r="N413" s="362"/>
    </row>
    <row r="414" spans="1:14" s="363" customFormat="1" ht="15" customHeight="1" x14ac:dyDescent="0.25">
      <c r="A414" s="597"/>
      <c r="B414" s="359" t="str">
        <f>'DEFINITIF (APBNP)'!B1908</f>
        <v>Manokwari - Isim</v>
      </c>
      <c r="C414" s="359">
        <f>'DEFINITIF (APBNP)'!C1908</f>
        <v>0</v>
      </c>
      <c r="D414" s="359">
        <f>'DEFINITIF (APBNP)'!D1908</f>
        <v>0</v>
      </c>
      <c r="E414" s="359">
        <f>'DEFINITIF (APBNP)'!E1908</f>
        <v>0</v>
      </c>
      <c r="F414" s="360">
        <f t="shared" si="7"/>
        <v>0</v>
      </c>
      <c r="G414" s="361"/>
      <c r="H414" s="362"/>
      <c r="J414" s="362"/>
      <c r="L414" s="364"/>
      <c r="M414" s="365"/>
      <c r="N414" s="362"/>
    </row>
    <row r="415" spans="1:14" s="363" customFormat="1" ht="15" customHeight="1" x14ac:dyDescent="0.25">
      <c r="A415" s="597"/>
      <c r="B415" s="359" t="str">
        <f>'DEFINITIF (APBNP)'!B1909</f>
        <v>Manokwari - Tahota</v>
      </c>
      <c r="C415" s="359">
        <f>'DEFINITIF (APBNP)'!C1909</f>
        <v>0</v>
      </c>
      <c r="D415" s="359">
        <f>'DEFINITIF (APBNP)'!D1909</f>
        <v>0</v>
      </c>
      <c r="E415" s="359">
        <f>'DEFINITIF (APBNP)'!E1909</f>
        <v>0</v>
      </c>
      <c r="F415" s="360">
        <f t="shared" si="7"/>
        <v>0</v>
      </c>
      <c r="G415" s="361"/>
      <c r="H415" s="362"/>
      <c r="J415" s="362"/>
      <c r="L415" s="364"/>
      <c r="M415" s="365"/>
      <c r="N415" s="362"/>
    </row>
    <row r="416" spans="1:14" s="363" customFormat="1" ht="15" customHeight="1" x14ac:dyDescent="0.25">
      <c r="A416" s="597"/>
      <c r="B416" s="359" t="str">
        <f>'DEFINITIF (APBNP)'!B1910</f>
        <v>Ransiki - Momi Waren</v>
      </c>
      <c r="C416" s="359">
        <f>'DEFINITIF (APBNP)'!C1910</f>
        <v>1</v>
      </c>
      <c r="D416" s="359" t="str">
        <f>'DEFINITIF (APBNP)'!D1910</f>
        <v>TH</v>
      </c>
      <c r="E416" s="359">
        <f>'DEFINITIF (APBNP)'!E1910</f>
        <v>60000</v>
      </c>
      <c r="F416" s="360">
        <f t="shared" si="7"/>
        <v>60000</v>
      </c>
      <c r="G416" s="361"/>
      <c r="H416" s="362"/>
      <c r="J416" s="362"/>
      <c r="L416" s="364"/>
      <c r="M416" s="365"/>
      <c r="N416" s="362"/>
    </row>
    <row r="417" spans="1:14" s="363" customFormat="1" ht="15" customHeight="1" thickBot="1" x14ac:dyDescent="0.3">
      <c r="A417" s="598"/>
      <c r="B417" s="599">
        <f>'DEFINITIF (APBNP)'!B1911</f>
        <v>0</v>
      </c>
      <c r="C417" s="599">
        <f>'DEFINITIF (APBNP)'!C1911</f>
        <v>0</v>
      </c>
      <c r="D417" s="599">
        <f>'DEFINITIF (APBNP)'!D1911</f>
        <v>0</v>
      </c>
      <c r="E417" s="599">
        <f>'DEFINITIF (APBNP)'!E1911</f>
        <v>0</v>
      </c>
      <c r="F417" s="600">
        <f t="shared" si="7"/>
        <v>0</v>
      </c>
      <c r="G417" s="361"/>
      <c r="H417" s="362"/>
      <c r="J417" s="362"/>
      <c r="L417" s="364"/>
      <c r="M417" s="365"/>
      <c r="N417" s="362"/>
    </row>
    <row r="418" spans="1:14" ht="15" customHeight="1" x14ac:dyDescent="0.25">
      <c r="A418" s="497"/>
      <c r="B418" s="396"/>
      <c r="C418" s="404"/>
      <c r="D418" s="398"/>
      <c r="E418" s="308"/>
      <c r="F418" s="400"/>
      <c r="G418" s="297"/>
      <c r="H418" s="297"/>
      <c r="J418" s="297"/>
      <c r="L418" s="312"/>
      <c r="N418" s="297"/>
    </row>
    <row r="419" spans="1:14" ht="15" customHeight="1" x14ac:dyDescent="0.25">
      <c r="A419" s="497"/>
      <c r="B419" s="396"/>
      <c r="C419" s="404"/>
      <c r="D419" s="398"/>
      <c r="E419" s="308"/>
      <c r="F419" s="400"/>
      <c r="G419" s="297"/>
      <c r="H419" s="297"/>
      <c r="J419" s="297"/>
      <c r="L419" s="312"/>
      <c r="N419" s="297"/>
    </row>
    <row r="420" spans="1:14" ht="15" customHeight="1" x14ac:dyDescent="0.25">
      <c r="A420" s="497"/>
      <c r="B420" s="396"/>
      <c r="C420" s="404"/>
      <c r="D420" s="398"/>
      <c r="E420" s="308"/>
      <c r="F420" s="400"/>
      <c r="G420" s="297"/>
      <c r="H420" s="297"/>
      <c r="J420" s="297"/>
      <c r="L420" s="312"/>
      <c r="N420" s="297"/>
    </row>
    <row r="421" spans="1:14" ht="15" customHeight="1" x14ac:dyDescent="0.25">
      <c r="A421" s="497"/>
      <c r="B421" s="396"/>
      <c r="C421" s="404"/>
      <c r="D421" s="398"/>
      <c r="E421" s="308"/>
      <c r="F421" s="400"/>
      <c r="G421" s="297"/>
      <c r="H421" s="297"/>
      <c r="J421" s="297"/>
      <c r="L421" s="312"/>
      <c r="N421" s="297"/>
    </row>
    <row r="422" spans="1:14" ht="15" customHeight="1" x14ac:dyDescent="0.25">
      <c r="A422" s="497"/>
      <c r="B422" s="396"/>
      <c r="C422" s="404"/>
      <c r="D422" s="398"/>
      <c r="E422" s="308"/>
      <c r="F422" s="400"/>
      <c r="G422" s="297"/>
      <c r="H422" s="297"/>
      <c r="J422" s="297"/>
      <c r="L422" s="312"/>
      <c r="N422" s="297"/>
    </row>
    <row r="423" spans="1:14" ht="15" customHeight="1" x14ac:dyDescent="0.25">
      <c r="A423" s="497"/>
      <c r="B423" s="396"/>
      <c r="C423" s="404"/>
      <c r="D423" s="398"/>
      <c r="E423" s="308"/>
      <c r="F423" s="400"/>
      <c r="G423" s="297"/>
      <c r="H423" s="297"/>
      <c r="J423" s="297"/>
      <c r="L423" s="312"/>
      <c r="N423" s="297"/>
    </row>
    <row r="424" spans="1:14" ht="15" customHeight="1" x14ac:dyDescent="0.25">
      <c r="A424" s="497"/>
      <c r="B424" s="396"/>
      <c r="C424" s="404"/>
      <c r="D424" s="398"/>
      <c r="E424" s="308"/>
      <c r="F424" s="400"/>
      <c r="G424" s="297"/>
      <c r="H424" s="297"/>
      <c r="J424" s="297"/>
      <c r="L424" s="312"/>
      <c r="N424" s="297"/>
    </row>
    <row r="425" spans="1:14" ht="15" customHeight="1" x14ac:dyDescent="0.25">
      <c r="A425" s="497"/>
      <c r="B425" s="396"/>
      <c r="C425" s="404"/>
      <c r="D425" s="398"/>
      <c r="E425" s="308"/>
      <c r="F425" s="400"/>
      <c r="G425" s="297"/>
      <c r="H425" s="297"/>
      <c r="J425" s="297"/>
      <c r="L425" s="312"/>
      <c r="N425" s="297"/>
    </row>
    <row r="426" spans="1:14" ht="15" customHeight="1" x14ac:dyDescent="0.25">
      <c r="A426" s="497"/>
      <c r="B426" s="396"/>
      <c r="C426" s="404"/>
      <c r="D426" s="398"/>
      <c r="E426" s="308"/>
      <c r="F426" s="400"/>
      <c r="G426" s="297"/>
      <c r="H426" s="297"/>
      <c r="J426" s="297"/>
      <c r="L426" s="312"/>
      <c r="N426" s="297"/>
    </row>
    <row r="427" spans="1:14" ht="15" customHeight="1" x14ac:dyDescent="0.25">
      <c r="A427" s="497"/>
      <c r="B427" s="396"/>
      <c r="C427" s="404"/>
      <c r="D427" s="398"/>
      <c r="E427" s="308"/>
      <c r="F427" s="400"/>
      <c r="G427" s="297"/>
      <c r="H427" s="297"/>
      <c r="J427" s="297"/>
      <c r="L427" s="312"/>
      <c r="N427" s="297"/>
    </row>
    <row r="428" spans="1:14" ht="15" customHeight="1" x14ac:dyDescent="0.25">
      <c r="A428" s="497"/>
      <c r="B428" s="396"/>
      <c r="C428" s="404"/>
      <c r="D428" s="398"/>
      <c r="E428" s="308"/>
      <c r="F428" s="400"/>
      <c r="G428" s="297"/>
      <c r="H428" s="297"/>
      <c r="J428" s="297"/>
      <c r="L428" s="312"/>
      <c r="N428" s="297"/>
    </row>
    <row r="429" spans="1:14" ht="15" customHeight="1" x14ac:dyDescent="0.25">
      <c r="A429" s="497"/>
      <c r="B429" s="396"/>
      <c r="C429" s="404"/>
      <c r="D429" s="398"/>
      <c r="E429" s="308"/>
      <c r="F429" s="400"/>
      <c r="G429" s="297"/>
      <c r="H429" s="297"/>
      <c r="J429" s="297"/>
      <c r="L429" s="312"/>
      <c r="N429" s="297"/>
    </row>
    <row r="430" spans="1:14" ht="15" customHeight="1" x14ac:dyDescent="0.25">
      <c r="A430" s="497"/>
      <c r="B430" s="396"/>
      <c r="C430" s="404"/>
      <c r="D430" s="398"/>
      <c r="E430" s="308"/>
      <c r="F430" s="400"/>
      <c r="G430" s="297"/>
      <c r="H430" s="297"/>
      <c r="J430" s="297"/>
      <c r="L430" s="312"/>
      <c r="N430" s="297"/>
    </row>
    <row r="431" spans="1:14" ht="15" customHeight="1" x14ac:dyDescent="0.25">
      <c r="A431" s="497"/>
      <c r="B431" s="396"/>
      <c r="C431" s="404"/>
      <c r="D431" s="398"/>
      <c r="E431" s="308"/>
      <c r="F431" s="400"/>
      <c r="G431" s="297"/>
      <c r="H431" s="297"/>
      <c r="J431" s="297"/>
      <c r="L431" s="312"/>
      <c r="N431" s="297"/>
    </row>
    <row r="432" spans="1:14" ht="15" customHeight="1" x14ac:dyDescent="0.25">
      <c r="A432" s="497"/>
      <c r="B432" s="396"/>
      <c r="C432" s="404"/>
      <c r="D432" s="398"/>
      <c r="E432" s="308"/>
      <c r="F432" s="400"/>
      <c r="G432" s="297"/>
      <c r="H432" s="297"/>
      <c r="J432" s="297"/>
      <c r="L432" s="312"/>
      <c r="N432" s="297"/>
    </row>
    <row r="433" spans="1:14" ht="15" customHeight="1" x14ac:dyDescent="0.25">
      <c r="A433" s="497"/>
      <c r="B433" s="396"/>
      <c r="C433" s="404"/>
      <c r="D433" s="398"/>
      <c r="E433" s="308"/>
      <c r="F433" s="400"/>
      <c r="G433" s="297"/>
      <c r="H433" s="297"/>
      <c r="J433" s="297"/>
      <c r="L433" s="312"/>
      <c r="N433" s="297"/>
    </row>
    <row r="434" spans="1:14" ht="15" customHeight="1" x14ac:dyDescent="0.25">
      <c r="A434" s="497"/>
      <c r="B434" s="396"/>
      <c r="C434" s="404"/>
      <c r="D434" s="398"/>
      <c r="E434" s="308"/>
      <c r="F434" s="400"/>
      <c r="G434" s="297"/>
      <c r="H434" s="297"/>
      <c r="J434" s="297"/>
      <c r="L434" s="312"/>
      <c r="N434" s="297"/>
    </row>
    <row r="435" spans="1:14" ht="15" customHeight="1" x14ac:dyDescent="0.25">
      <c r="A435" s="497"/>
      <c r="B435" s="396"/>
      <c r="C435" s="404"/>
      <c r="D435" s="398"/>
      <c r="E435" s="308"/>
      <c r="F435" s="400"/>
      <c r="G435" s="297"/>
      <c r="H435" s="297"/>
      <c r="J435" s="297"/>
      <c r="L435" s="312"/>
      <c r="N435" s="297"/>
    </row>
    <row r="436" spans="1:14" ht="15" customHeight="1" x14ac:dyDescent="0.25">
      <c r="A436" s="497"/>
      <c r="B436" s="396"/>
      <c r="C436" s="404"/>
      <c r="D436" s="398"/>
      <c r="E436" s="308"/>
      <c r="F436" s="400"/>
      <c r="G436" s="297"/>
      <c r="H436" s="297"/>
      <c r="J436" s="297"/>
      <c r="L436" s="312"/>
      <c r="N436" s="297"/>
    </row>
    <row r="437" spans="1:14" ht="15" customHeight="1" x14ac:dyDescent="0.25">
      <c r="A437" s="497"/>
      <c r="B437" s="396"/>
      <c r="C437" s="404"/>
      <c r="D437" s="398"/>
      <c r="E437" s="308"/>
      <c r="F437" s="400"/>
      <c r="G437" s="297"/>
      <c r="H437" s="297"/>
      <c r="J437" s="297"/>
      <c r="L437" s="312"/>
      <c r="N437" s="297"/>
    </row>
    <row r="438" spans="1:14" ht="15" customHeight="1" x14ac:dyDescent="0.25">
      <c r="A438" s="497"/>
      <c r="B438" s="396"/>
      <c r="C438" s="404"/>
      <c r="D438" s="398"/>
      <c r="E438" s="308"/>
      <c r="F438" s="400"/>
      <c r="G438" s="297"/>
      <c r="H438" s="297"/>
      <c r="J438" s="297"/>
      <c r="L438" s="312"/>
      <c r="N438" s="297"/>
    </row>
    <row r="439" spans="1:14" ht="15" customHeight="1" x14ac:dyDescent="0.25">
      <c r="A439" s="497"/>
      <c r="B439" s="396"/>
      <c r="C439" s="404"/>
      <c r="D439" s="398"/>
      <c r="E439" s="308"/>
      <c r="F439" s="400"/>
      <c r="G439" s="297"/>
      <c r="H439" s="297"/>
      <c r="J439" s="297"/>
      <c r="L439" s="312"/>
      <c r="N439" s="297"/>
    </row>
    <row r="440" spans="1:14" ht="15" customHeight="1" x14ac:dyDescent="0.25">
      <c r="A440" s="497"/>
      <c r="B440" s="396"/>
      <c r="C440" s="404"/>
      <c r="D440" s="398"/>
      <c r="E440" s="308"/>
      <c r="F440" s="400"/>
      <c r="G440" s="297"/>
      <c r="H440" s="297"/>
      <c r="J440" s="297"/>
      <c r="L440" s="312"/>
      <c r="N440" s="297"/>
    </row>
    <row r="441" spans="1:14" ht="15" customHeight="1" x14ac:dyDescent="0.25">
      <c r="A441" s="497"/>
      <c r="B441" s="396"/>
      <c r="C441" s="404"/>
      <c r="D441" s="398"/>
      <c r="E441" s="308"/>
      <c r="F441" s="400"/>
      <c r="G441" s="297"/>
      <c r="H441" s="297"/>
      <c r="J441" s="297"/>
      <c r="L441" s="312"/>
      <c r="N441" s="297"/>
    </row>
    <row r="442" spans="1:14" ht="15" customHeight="1" x14ac:dyDescent="0.25">
      <c r="A442" s="497"/>
      <c r="B442" s="396"/>
      <c r="C442" s="404"/>
      <c r="D442" s="398"/>
      <c r="E442" s="308"/>
      <c r="F442" s="400"/>
      <c r="G442" s="297"/>
      <c r="H442" s="297"/>
      <c r="J442" s="297"/>
      <c r="L442" s="312"/>
      <c r="N442" s="297"/>
    </row>
    <row r="443" spans="1:14" ht="15" customHeight="1" x14ac:dyDescent="0.25">
      <c r="A443" s="497"/>
      <c r="B443" s="396"/>
      <c r="C443" s="404"/>
      <c r="D443" s="398"/>
      <c r="E443" s="308"/>
      <c r="F443" s="400"/>
      <c r="G443" s="297"/>
      <c r="H443" s="297"/>
      <c r="J443" s="297"/>
      <c r="L443" s="312"/>
      <c r="N443" s="297"/>
    </row>
    <row r="444" spans="1:14" ht="15" customHeight="1" x14ac:dyDescent="0.25">
      <c r="A444" s="497"/>
      <c r="B444" s="396"/>
      <c r="C444" s="404"/>
      <c r="D444" s="398"/>
      <c r="E444" s="308"/>
      <c r="F444" s="400"/>
      <c r="G444" s="297"/>
      <c r="H444" s="297"/>
      <c r="J444" s="297"/>
      <c r="L444" s="312"/>
      <c r="N444" s="297"/>
    </row>
    <row r="445" spans="1:14" ht="15" customHeight="1" x14ac:dyDescent="0.25">
      <c r="A445" s="497"/>
      <c r="B445" s="396"/>
      <c r="C445" s="404"/>
      <c r="D445" s="398"/>
      <c r="E445" s="308"/>
      <c r="F445" s="400"/>
      <c r="G445" s="297"/>
      <c r="H445" s="297"/>
      <c r="J445" s="297"/>
      <c r="L445" s="312"/>
      <c r="N445" s="297"/>
    </row>
    <row r="446" spans="1:14" ht="15" customHeight="1" x14ac:dyDescent="0.25">
      <c r="A446" s="497"/>
      <c r="B446" s="396"/>
      <c r="C446" s="404"/>
      <c r="D446" s="398"/>
      <c r="E446" s="308"/>
      <c r="F446" s="400"/>
      <c r="G446" s="297"/>
      <c r="H446" s="297"/>
      <c r="J446" s="297"/>
      <c r="L446" s="312"/>
      <c r="N446" s="297"/>
    </row>
    <row r="447" spans="1:14" ht="15" customHeight="1" x14ac:dyDescent="0.25">
      <c r="A447" s="497"/>
      <c r="B447" s="396"/>
      <c r="C447" s="404"/>
      <c r="D447" s="398"/>
      <c r="E447" s="308"/>
      <c r="F447" s="400"/>
      <c r="G447" s="297"/>
      <c r="H447" s="297"/>
      <c r="J447" s="297"/>
      <c r="L447" s="312"/>
      <c r="N447" s="297"/>
    </row>
    <row r="448" spans="1:14" ht="15" customHeight="1" x14ac:dyDescent="0.25">
      <c r="A448" s="497"/>
      <c r="B448" s="396"/>
      <c r="C448" s="404"/>
      <c r="D448" s="398"/>
      <c r="E448" s="308"/>
      <c r="F448" s="400"/>
      <c r="G448" s="297"/>
      <c r="H448" s="297"/>
      <c r="J448" s="297"/>
      <c r="L448" s="312"/>
      <c r="N448" s="297"/>
    </row>
    <row r="449" spans="1:14" ht="15" customHeight="1" x14ac:dyDescent="0.25">
      <c r="A449" s="497"/>
      <c r="B449" s="396"/>
      <c r="C449" s="404"/>
      <c r="D449" s="398"/>
      <c r="E449" s="308"/>
      <c r="F449" s="400"/>
      <c r="G449" s="297"/>
      <c r="H449" s="297"/>
      <c r="J449" s="297"/>
      <c r="L449" s="312"/>
      <c r="N449" s="297"/>
    </row>
    <row r="450" spans="1:14" ht="15" customHeight="1" x14ac:dyDescent="0.25">
      <c r="A450" s="497"/>
      <c r="B450" s="396"/>
      <c r="C450" s="404"/>
      <c r="D450" s="398"/>
      <c r="E450" s="308"/>
      <c r="F450" s="400"/>
      <c r="G450" s="297"/>
      <c r="H450" s="297"/>
      <c r="J450" s="297"/>
      <c r="L450" s="312"/>
      <c r="N450" s="297"/>
    </row>
    <row r="451" spans="1:14" ht="15" customHeight="1" x14ac:dyDescent="0.25">
      <c r="A451" s="497"/>
      <c r="B451" s="396"/>
      <c r="C451" s="404"/>
      <c r="D451" s="398"/>
      <c r="E451" s="308"/>
      <c r="F451" s="400"/>
      <c r="G451" s="297"/>
      <c r="H451" s="297"/>
      <c r="J451" s="297"/>
      <c r="L451" s="312"/>
      <c r="N451" s="297"/>
    </row>
    <row r="452" spans="1:14" ht="15" customHeight="1" x14ac:dyDescent="0.25">
      <c r="A452" s="497"/>
      <c r="B452" s="396"/>
      <c r="C452" s="404"/>
      <c r="D452" s="398"/>
      <c r="E452" s="308"/>
      <c r="F452" s="400"/>
      <c r="G452" s="297"/>
      <c r="H452" s="297"/>
      <c r="J452" s="297"/>
      <c r="L452" s="312"/>
      <c r="N452" s="297"/>
    </row>
    <row r="453" spans="1:14" ht="15" customHeight="1" x14ac:dyDescent="0.25">
      <c r="A453" s="497"/>
      <c r="B453" s="396"/>
      <c r="C453" s="404"/>
      <c r="D453" s="398"/>
      <c r="E453" s="308"/>
      <c r="F453" s="400"/>
      <c r="G453" s="297"/>
      <c r="H453" s="297"/>
      <c r="J453" s="297"/>
      <c r="L453" s="312"/>
      <c r="N453" s="297"/>
    </row>
    <row r="454" spans="1:14" ht="15" customHeight="1" x14ac:dyDescent="0.25">
      <c r="A454" s="497"/>
      <c r="B454" s="396"/>
      <c r="C454" s="404"/>
      <c r="D454" s="398"/>
      <c r="E454" s="308"/>
      <c r="F454" s="400"/>
      <c r="G454" s="297"/>
      <c r="H454" s="297"/>
      <c r="J454" s="297"/>
      <c r="L454" s="312"/>
      <c r="N454" s="297"/>
    </row>
    <row r="455" spans="1:14" ht="15" customHeight="1" x14ac:dyDescent="0.25">
      <c r="A455" s="497"/>
      <c r="B455" s="396"/>
      <c r="C455" s="404"/>
      <c r="D455" s="398"/>
      <c r="E455" s="308"/>
      <c r="F455" s="400"/>
      <c r="G455" s="297"/>
      <c r="H455" s="297"/>
      <c r="J455" s="297"/>
      <c r="L455" s="312"/>
      <c r="N455" s="297"/>
    </row>
    <row r="456" spans="1:14" ht="15" customHeight="1" x14ac:dyDescent="0.25">
      <c r="A456" s="497"/>
      <c r="B456" s="396"/>
      <c r="C456" s="404"/>
      <c r="D456" s="398"/>
      <c r="E456" s="308"/>
      <c r="F456" s="400"/>
      <c r="G456" s="297"/>
      <c r="H456" s="297"/>
      <c r="J456" s="297"/>
      <c r="L456" s="312"/>
      <c r="N456" s="297"/>
    </row>
    <row r="457" spans="1:14" ht="15" customHeight="1" x14ac:dyDescent="0.25">
      <c r="A457" s="497"/>
      <c r="B457" s="396"/>
      <c r="C457" s="404"/>
      <c r="D457" s="398"/>
      <c r="E457" s="308"/>
      <c r="F457" s="400"/>
      <c r="G457" s="297"/>
      <c r="H457" s="297"/>
      <c r="J457" s="297"/>
      <c r="L457" s="312"/>
      <c r="N457" s="297"/>
    </row>
    <row r="458" spans="1:14" ht="15" customHeight="1" x14ac:dyDescent="0.25">
      <c r="A458" s="497"/>
      <c r="B458" s="396"/>
      <c r="C458" s="404"/>
      <c r="D458" s="398"/>
      <c r="E458" s="308"/>
      <c r="F458" s="400"/>
      <c r="G458" s="297"/>
      <c r="H458" s="297"/>
      <c r="J458" s="297"/>
      <c r="L458" s="312"/>
      <c r="N458" s="297"/>
    </row>
    <row r="459" spans="1:14" ht="15" customHeight="1" x14ac:dyDescent="0.25">
      <c r="A459" s="497"/>
      <c r="B459" s="396"/>
      <c r="C459" s="404"/>
      <c r="D459" s="398"/>
      <c r="E459" s="308"/>
      <c r="F459" s="400"/>
      <c r="G459" s="297"/>
      <c r="H459" s="297"/>
      <c r="J459" s="297"/>
      <c r="L459" s="312"/>
      <c r="N459" s="297"/>
    </row>
    <row r="460" spans="1:14" ht="15" customHeight="1" x14ac:dyDescent="0.25">
      <c r="A460" s="497"/>
      <c r="B460" s="396"/>
      <c r="C460" s="404"/>
      <c r="D460" s="398"/>
      <c r="E460" s="308"/>
      <c r="F460" s="400"/>
      <c r="G460" s="297"/>
      <c r="H460" s="297"/>
      <c r="J460" s="297"/>
      <c r="L460" s="312"/>
      <c r="N460" s="297"/>
    </row>
    <row r="461" spans="1:14" ht="15" customHeight="1" x14ac:dyDescent="0.25">
      <c r="A461" s="497"/>
      <c r="B461" s="396"/>
      <c r="C461" s="404"/>
      <c r="D461" s="398"/>
      <c r="E461" s="308"/>
      <c r="F461" s="400"/>
      <c r="G461" s="297"/>
      <c r="H461" s="297"/>
      <c r="J461" s="297"/>
      <c r="L461" s="312"/>
      <c r="N461" s="297"/>
    </row>
    <row r="462" spans="1:14" ht="15" customHeight="1" x14ac:dyDescent="0.25">
      <c r="A462" s="497"/>
      <c r="B462" s="396"/>
      <c r="C462" s="404"/>
      <c r="D462" s="398"/>
      <c r="E462" s="308"/>
      <c r="F462" s="400"/>
      <c r="G462" s="297"/>
      <c r="H462" s="297"/>
      <c r="J462" s="297"/>
      <c r="L462" s="312"/>
      <c r="N462" s="297"/>
    </row>
    <row r="463" spans="1:14" ht="15" customHeight="1" x14ac:dyDescent="0.25">
      <c r="A463" s="497"/>
      <c r="B463" s="396"/>
      <c r="C463" s="404"/>
      <c r="D463" s="398"/>
      <c r="E463" s="308"/>
      <c r="F463" s="400"/>
      <c r="G463" s="297"/>
      <c r="H463" s="297"/>
      <c r="J463" s="297"/>
      <c r="L463" s="312"/>
      <c r="N463" s="297"/>
    </row>
    <row r="464" spans="1:14" ht="15" customHeight="1" x14ac:dyDescent="0.25">
      <c r="A464" s="497"/>
      <c r="B464" s="396"/>
      <c r="C464" s="404"/>
      <c r="D464" s="398"/>
      <c r="E464" s="308"/>
      <c r="F464" s="400"/>
      <c r="G464" s="297"/>
      <c r="H464" s="297"/>
      <c r="J464" s="297"/>
      <c r="L464" s="312"/>
      <c r="N464" s="297"/>
    </row>
    <row r="465" spans="1:14" ht="15" customHeight="1" x14ac:dyDescent="0.25">
      <c r="A465" s="497"/>
      <c r="B465" s="396"/>
      <c r="C465" s="404"/>
      <c r="D465" s="398"/>
      <c r="E465" s="308"/>
      <c r="F465" s="400"/>
      <c r="G465" s="297"/>
      <c r="H465" s="297"/>
      <c r="J465" s="297"/>
      <c r="L465" s="312"/>
      <c r="N465" s="297"/>
    </row>
    <row r="466" spans="1:14" ht="15" customHeight="1" x14ac:dyDescent="0.25">
      <c r="A466" s="497"/>
      <c r="B466" s="396"/>
      <c r="C466" s="404"/>
      <c r="D466" s="398"/>
      <c r="E466" s="308"/>
      <c r="F466" s="400"/>
      <c r="G466" s="297"/>
      <c r="H466" s="297"/>
      <c r="J466" s="297"/>
      <c r="L466" s="312"/>
      <c r="N466" s="297"/>
    </row>
    <row r="467" spans="1:14" ht="15" customHeight="1" x14ac:dyDescent="0.25">
      <c r="A467" s="497"/>
      <c r="B467" s="396"/>
      <c r="C467" s="404"/>
      <c r="D467" s="398"/>
      <c r="E467" s="308"/>
      <c r="F467" s="400"/>
      <c r="G467" s="297"/>
      <c r="H467" s="297"/>
      <c r="J467" s="297"/>
      <c r="L467" s="312"/>
      <c r="N467" s="297"/>
    </row>
    <row r="468" spans="1:14" ht="15" customHeight="1" x14ac:dyDescent="0.25">
      <c r="A468" s="497"/>
      <c r="B468" s="396"/>
      <c r="C468" s="404"/>
      <c r="D468" s="398"/>
      <c r="E468" s="308"/>
      <c r="F468" s="400"/>
      <c r="G468" s="297"/>
      <c r="H468" s="297"/>
      <c r="J468" s="297"/>
      <c r="L468" s="312"/>
      <c r="N468" s="297"/>
    </row>
    <row r="469" spans="1:14" ht="15" customHeight="1" x14ac:dyDescent="0.25">
      <c r="A469" s="497"/>
      <c r="B469" s="396"/>
      <c r="C469" s="404"/>
      <c r="D469" s="398"/>
      <c r="E469" s="308"/>
      <c r="F469" s="400"/>
      <c r="G469" s="297"/>
      <c r="H469" s="297"/>
      <c r="J469" s="297"/>
      <c r="L469" s="312"/>
      <c r="N469" s="297"/>
    </row>
    <row r="470" spans="1:14" ht="15" customHeight="1" x14ac:dyDescent="0.25">
      <c r="A470" s="497"/>
      <c r="B470" s="396"/>
      <c r="C470" s="404"/>
      <c r="D470" s="398"/>
      <c r="E470" s="308"/>
      <c r="F470" s="400"/>
      <c r="G470" s="297"/>
      <c r="H470" s="297"/>
      <c r="J470" s="297"/>
      <c r="L470" s="312"/>
      <c r="N470" s="297"/>
    </row>
    <row r="471" spans="1:14" ht="15" customHeight="1" x14ac:dyDescent="0.25">
      <c r="A471" s="497"/>
      <c r="B471" s="396"/>
      <c r="C471" s="404"/>
      <c r="D471" s="398"/>
      <c r="E471" s="308"/>
      <c r="F471" s="400"/>
      <c r="G471" s="297"/>
      <c r="H471" s="297"/>
      <c r="J471" s="297"/>
      <c r="L471" s="312"/>
      <c r="N471" s="297"/>
    </row>
    <row r="472" spans="1:14" ht="15" customHeight="1" x14ac:dyDescent="0.25">
      <c r="A472" s="497"/>
      <c r="B472" s="396"/>
      <c r="C472" s="404"/>
      <c r="D472" s="398"/>
      <c r="E472" s="308"/>
      <c r="F472" s="400"/>
      <c r="G472" s="297"/>
      <c r="H472" s="297"/>
      <c r="J472" s="297"/>
      <c r="L472" s="312"/>
      <c r="N472" s="297"/>
    </row>
    <row r="473" spans="1:14" ht="15" customHeight="1" x14ac:dyDescent="0.25">
      <c r="A473" s="497"/>
      <c r="B473" s="396"/>
      <c r="C473" s="404"/>
      <c r="D473" s="398"/>
      <c r="E473" s="308"/>
      <c r="F473" s="400"/>
      <c r="G473" s="297"/>
      <c r="H473" s="297"/>
      <c r="J473" s="297"/>
      <c r="L473" s="312"/>
      <c r="N473" s="297"/>
    </row>
    <row r="474" spans="1:14" ht="15" customHeight="1" x14ac:dyDescent="0.25">
      <c r="A474" s="497"/>
      <c r="B474" s="396"/>
      <c r="C474" s="404"/>
      <c r="D474" s="398"/>
      <c r="E474" s="308"/>
      <c r="F474" s="400"/>
      <c r="G474" s="297"/>
      <c r="H474" s="297"/>
      <c r="J474" s="297"/>
      <c r="L474" s="312"/>
      <c r="N474" s="297"/>
    </row>
    <row r="475" spans="1:14" ht="15" customHeight="1" x14ac:dyDescent="0.25">
      <c r="A475" s="497"/>
      <c r="B475" s="396"/>
      <c r="C475" s="404"/>
      <c r="D475" s="398"/>
      <c r="E475" s="308"/>
      <c r="F475" s="400"/>
      <c r="G475" s="297"/>
      <c r="H475" s="297"/>
      <c r="J475" s="297"/>
      <c r="L475" s="312"/>
      <c r="N475" s="297"/>
    </row>
    <row r="476" spans="1:14" ht="15" customHeight="1" x14ac:dyDescent="0.25">
      <c r="A476" s="497"/>
      <c r="B476" s="396"/>
      <c r="C476" s="404"/>
      <c r="D476" s="398"/>
      <c r="E476" s="308"/>
      <c r="F476" s="400"/>
      <c r="G476" s="297"/>
      <c r="H476" s="297"/>
      <c r="J476" s="297"/>
      <c r="L476" s="312"/>
      <c r="N476" s="297"/>
    </row>
    <row r="477" spans="1:14" ht="15" customHeight="1" x14ac:dyDescent="0.25">
      <c r="A477" s="497"/>
      <c r="B477" s="396"/>
      <c r="C477" s="404"/>
      <c r="D477" s="398"/>
      <c r="E477" s="308"/>
      <c r="F477" s="400"/>
      <c r="G477" s="297"/>
      <c r="H477" s="297"/>
      <c r="J477" s="297"/>
      <c r="L477" s="312"/>
      <c r="N477" s="297"/>
    </row>
    <row r="478" spans="1:14" ht="15" customHeight="1" x14ac:dyDescent="0.25">
      <c r="A478" s="497"/>
      <c r="B478" s="396"/>
      <c r="C478" s="404"/>
      <c r="D478" s="398"/>
      <c r="E478" s="308"/>
      <c r="F478" s="400"/>
      <c r="G478" s="297"/>
      <c r="H478" s="297"/>
      <c r="J478" s="297"/>
      <c r="L478" s="312"/>
      <c r="N478" s="297"/>
    </row>
    <row r="479" spans="1:14" ht="15" customHeight="1" x14ac:dyDescent="0.25">
      <c r="A479" s="497"/>
      <c r="B479" s="396"/>
      <c r="C479" s="404"/>
      <c r="D479" s="398"/>
      <c r="E479" s="308"/>
      <c r="F479" s="400"/>
      <c r="G479" s="297"/>
      <c r="H479" s="297"/>
      <c r="J479" s="297"/>
      <c r="L479" s="312"/>
      <c r="N479" s="297"/>
    </row>
    <row r="480" spans="1:14" ht="15" customHeight="1" x14ac:dyDescent="0.25">
      <c r="A480" s="497"/>
      <c r="B480" s="396"/>
      <c r="C480" s="404"/>
      <c r="D480" s="398"/>
      <c r="E480" s="308"/>
      <c r="F480" s="400"/>
      <c r="G480" s="297"/>
      <c r="H480" s="297"/>
      <c r="J480" s="297"/>
      <c r="L480" s="312"/>
      <c r="N480" s="297"/>
    </row>
    <row r="481" spans="1:14" ht="15" customHeight="1" x14ac:dyDescent="0.25">
      <c r="A481" s="497"/>
      <c r="B481" s="396"/>
      <c r="C481" s="404"/>
      <c r="D481" s="398"/>
      <c r="E481" s="308"/>
      <c r="F481" s="400"/>
      <c r="G481" s="297"/>
      <c r="H481" s="297"/>
      <c r="J481" s="297"/>
      <c r="L481" s="312"/>
      <c r="N481" s="297"/>
    </row>
    <row r="482" spans="1:14" ht="15" customHeight="1" x14ac:dyDescent="0.25">
      <c r="A482" s="497"/>
      <c r="B482" s="396"/>
      <c r="C482" s="404"/>
      <c r="D482" s="398"/>
      <c r="E482" s="308"/>
      <c r="F482" s="400"/>
      <c r="G482" s="297"/>
      <c r="H482" s="297"/>
      <c r="J482" s="297"/>
      <c r="L482" s="312"/>
      <c r="N482" s="297"/>
    </row>
    <row r="483" spans="1:14" ht="15" customHeight="1" x14ac:dyDescent="0.25">
      <c r="A483" s="497"/>
      <c r="B483" s="396"/>
      <c r="C483" s="404"/>
      <c r="D483" s="398"/>
      <c r="E483" s="308"/>
      <c r="F483" s="400"/>
      <c r="G483" s="297"/>
      <c r="H483" s="297"/>
      <c r="J483" s="297"/>
      <c r="L483" s="312"/>
      <c r="N483" s="297"/>
    </row>
    <row r="484" spans="1:14" ht="15" customHeight="1" x14ac:dyDescent="0.25">
      <c r="A484" s="497"/>
      <c r="B484" s="396"/>
      <c r="C484" s="404"/>
      <c r="D484" s="398"/>
      <c r="E484" s="308"/>
      <c r="F484" s="400"/>
      <c r="G484" s="297"/>
      <c r="H484" s="297"/>
      <c r="J484" s="297"/>
      <c r="L484" s="312"/>
      <c r="N484" s="297"/>
    </row>
    <row r="485" spans="1:14" ht="15" customHeight="1" x14ac:dyDescent="0.25">
      <c r="A485" s="497"/>
      <c r="B485" s="396"/>
      <c r="C485" s="404"/>
      <c r="D485" s="398"/>
      <c r="E485" s="308"/>
      <c r="F485" s="400"/>
      <c r="G485" s="297"/>
      <c r="H485" s="297"/>
      <c r="J485" s="297"/>
      <c r="L485" s="312"/>
      <c r="N485" s="297"/>
    </row>
    <row r="486" spans="1:14" ht="15" customHeight="1" x14ac:dyDescent="0.25">
      <c r="A486" s="497"/>
      <c r="B486" s="396"/>
      <c r="C486" s="404"/>
      <c r="D486" s="398"/>
      <c r="E486" s="308"/>
      <c r="F486" s="400"/>
      <c r="G486" s="297"/>
      <c r="H486" s="297"/>
      <c r="J486" s="297"/>
      <c r="L486" s="312"/>
      <c r="N486" s="297"/>
    </row>
    <row r="487" spans="1:14" ht="15" customHeight="1" x14ac:dyDescent="0.25">
      <c r="A487" s="497"/>
      <c r="B487" s="396"/>
      <c r="C487" s="404"/>
      <c r="D487" s="398"/>
      <c r="E487" s="308"/>
      <c r="F487" s="400"/>
      <c r="G487" s="297"/>
      <c r="H487" s="297"/>
      <c r="J487" s="297"/>
      <c r="L487" s="312"/>
      <c r="N487" s="297"/>
    </row>
    <row r="488" spans="1:14" ht="15" customHeight="1" x14ac:dyDescent="0.25">
      <c r="A488" s="497"/>
      <c r="B488" s="396"/>
      <c r="C488" s="404"/>
      <c r="D488" s="398"/>
      <c r="E488" s="308"/>
      <c r="F488" s="400"/>
      <c r="G488" s="297"/>
      <c r="H488" s="297"/>
      <c r="J488" s="297"/>
      <c r="L488" s="312"/>
      <c r="N488" s="297"/>
    </row>
    <row r="489" spans="1:14" ht="15" customHeight="1" x14ac:dyDescent="0.25">
      <c r="A489" s="497"/>
      <c r="B489" s="396"/>
      <c r="C489" s="404"/>
      <c r="D489" s="398"/>
      <c r="E489" s="308"/>
      <c r="F489" s="400"/>
      <c r="G489" s="297"/>
      <c r="H489" s="297"/>
      <c r="J489" s="297"/>
      <c r="L489" s="312"/>
      <c r="N489" s="297"/>
    </row>
    <row r="490" spans="1:14" ht="15" customHeight="1" x14ac:dyDescent="0.25">
      <c r="A490" s="497"/>
      <c r="B490" s="396"/>
      <c r="C490" s="404"/>
      <c r="D490" s="398"/>
      <c r="E490" s="308"/>
      <c r="F490" s="400"/>
      <c r="G490" s="297"/>
      <c r="H490" s="297"/>
      <c r="J490" s="297"/>
      <c r="L490" s="312"/>
      <c r="N490" s="297"/>
    </row>
    <row r="491" spans="1:14" ht="15" customHeight="1" x14ac:dyDescent="0.25">
      <c r="A491" s="497"/>
      <c r="B491" s="396"/>
      <c r="C491" s="404"/>
      <c r="D491" s="398"/>
      <c r="E491" s="308"/>
      <c r="F491" s="400"/>
      <c r="G491" s="297"/>
      <c r="H491" s="297"/>
      <c r="J491" s="297"/>
      <c r="L491" s="312"/>
      <c r="N491" s="297"/>
    </row>
    <row r="492" spans="1:14" ht="15" customHeight="1" x14ac:dyDescent="0.25">
      <c r="A492" s="497"/>
      <c r="B492" s="396"/>
      <c r="C492" s="404"/>
      <c r="D492" s="398"/>
      <c r="E492" s="308"/>
      <c r="F492" s="400"/>
      <c r="G492" s="297"/>
      <c r="H492" s="297"/>
      <c r="J492" s="297"/>
      <c r="L492" s="312"/>
      <c r="N492" s="297"/>
    </row>
    <row r="493" spans="1:14" ht="15" customHeight="1" x14ac:dyDescent="0.25">
      <c r="A493" s="497"/>
      <c r="B493" s="396"/>
      <c r="C493" s="404"/>
      <c r="D493" s="398"/>
      <c r="E493" s="308"/>
      <c r="F493" s="400"/>
      <c r="G493" s="297"/>
      <c r="H493" s="297"/>
      <c r="J493" s="297"/>
      <c r="L493" s="312"/>
      <c r="N493" s="297"/>
    </row>
    <row r="494" spans="1:14" ht="15" customHeight="1" x14ac:dyDescent="0.25">
      <c r="A494" s="497"/>
      <c r="B494" s="396"/>
      <c r="C494" s="404"/>
      <c r="D494" s="398"/>
      <c r="E494" s="308"/>
      <c r="F494" s="400"/>
      <c r="G494" s="297"/>
      <c r="H494" s="297"/>
      <c r="J494" s="297"/>
      <c r="L494" s="312"/>
      <c r="N494" s="297"/>
    </row>
    <row r="495" spans="1:14" ht="15" customHeight="1" x14ac:dyDescent="0.25">
      <c r="A495" s="497"/>
      <c r="B495" s="396"/>
      <c r="C495" s="404"/>
      <c r="D495" s="398"/>
      <c r="E495" s="308"/>
      <c r="F495" s="400"/>
      <c r="G495" s="297"/>
      <c r="H495" s="297"/>
      <c r="J495" s="297"/>
      <c r="L495" s="312"/>
      <c r="N495" s="297"/>
    </row>
    <row r="496" spans="1:14" ht="15" customHeight="1" x14ac:dyDescent="0.25">
      <c r="A496" s="497"/>
      <c r="B496" s="396"/>
      <c r="C496" s="404"/>
      <c r="D496" s="398"/>
      <c r="E496" s="308"/>
      <c r="F496" s="400"/>
      <c r="G496" s="297"/>
      <c r="H496" s="297"/>
      <c r="J496" s="297"/>
      <c r="L496" s="312"/>
      <c r="N496" s="297"/>
    </row>
    <row r="497" spans="1:14" ht="15" customHeight="1" x14ac:dyDescent="0.25">
      <c r="A497" s="497"/>
      <c r="B497" s="396"/>
      <c r="C497" s="404"/>
      <c r="D497" s="398"/>
      <c r="E497" s="308"/>
      <c r="F497" s="400"/>
      <c r="G497" s="297"/>
      <c r="H497" s="297"/>
      <c r="J497" s="297"/>
      <c r="L497" s="312"/>
      <c r="N497" s="297"/>
    </row>
    <row r="498" spans="1:14" ht="15" customHeight="1" x14ac:dyDescent="0.25">
      <c r="A498" s="497"/>
      <c r="B498" s="396"/>
      <c r="C498" s="404"/>
      <c r="D498" s="398"/>
      <c r="E498" s="308"/>
      <c r="F498" s="400"/>
      <c r="G498" s="297"/>
      <c r="H498" s="297"/>
      <c r="J498" s="297"/>
      <c r="L498" s="312"/>
      <c r="N498" s="297"/>
    </row>
    <row r="499" spans="1:14" ht="15" customHeight="1" x14ac:dyDescent="0.25">
      <c r="A499" s="497"/>
      <c r="B499" s="396"/>
      <c r="C499" s="404"/>
      <c r="D499" s="398"/>
      <c r="E499" s="308"/>
      <c r="F499" s="400"/>
      <c r="G499" s="297"/>
      <c r="H499" s="297"/>
      <c r="J499" s="297"/>
      <c r="L499" s="312"/>
      <c r="N499" s="297"/>
    </row>
    <row r="500" spans="1:14" ht="15" customHeight="1" x14ac:dyDescent="0.25">
      <c r="A500" s="497"/>
      <c r="B500" s="396"/>
      <c r="C500" s="404"/>
      <c r="D500" s="398"/>
      <c r="E500" s="308"/>
      <c r="F500" s="400"/>
      <c r="G500" s="297"/>
      <c r="H500" s="297"/>
      <c r="J500" s="297"/>
      <c r="L500" s="312"/>
      <c r="N500" s="297"/>
    </row>
    <row r="501" spans="1:14" ht="15" customHeight="1" x14ac:dyDescent="0.25">
      <c r="A501" s="497"/>
      <c r="B501" s="396"/>
      <c r="C501" s="404"/>
      <c r="D501" s="398"/>
      <c r="E501" s="308"/>
      <c r="F501" s="400"/>
      <c r="G501" s="297"/>
      <c r="H501" s="297"/>
      <c r="J501" s="297"/>
      <c r="L501" s="312"/>
      <c r="N501" s="297"/>
    </row>
    <row r="502" spans="1:14" ht="15" customHeight="1" x14ac:dyDescent="0.25">
      <c r="A502" s="497"/>
      <c r="B502" s="396"/>
      <c r="C502" s="404"/>
      <c r="D502" s="398"/>
      <c r="E502" s="308"/>
      <c r="F502" s="400"/>
      <c r="G502" s="297"/>
      <c r="H502" s="297"/>
      <c r="J502" s="297"/>
      <c r="L502" s="312"/>
      <c r="N502" s="297"/>
    </row>
    <row r="503" spans="1:14" ht="15" customHeight="1" x14ac:dyDescent="0.25">
      <c r="A503" s="497"/>
      <c r="B503" s="396"/>
      <c r="C503" s="404"/>
      <c r="D503" s="398"/>
      <c r="E503" s="308"/>
      <c r="F503" s="400"/>
      <c r="G503" s="297"/>
      <c r="H503" s="297"/>
      <c r="J503" s="297"/>
      <c r="L503" s="312"/>
      <c r="N503" s="297"/>
    </row>
    <row r="504" spans="1:14" ht="15" customHeight="1" x14ac:dyDescent="0.25">
      <c r="A504" s="497"/>
      <c r="B504" s="396"/>
      <c r="C504" s="404"/>
      <c r="D504" s="398"/>
      <c r="E504" s="308"/>
      <c r="F504" s="400"/>
      <c r="G504" s="297"/>
      <c r="H504" s="297"/>
      <c r="J504" s="297"/>
      <c r="L504" s="312"/>
      <c r="N504" s="297"/>
    </row>
    <row r="505" spans="1:14" ht="15" customHeight="1" x14ac:dyDescent="0.25">
      <c r="A505" s="497"/>
      <c r="B505" s="396"/>
      <c r="C505" s="404"/>
      <c r="D505" s="398"/>
      <c r="E505" s="308"/>
      <c r="F505" s="400"/>
      <c r="G505" s="297"/>
      <c r="H505" s="297"/>
      <c r="J505" s="297"/>
      <c r="L505" s="312"/>
      <c r="N505" s="297"/>
    </row>
    <row r="506" spans="1:14" ht="15" customHeight="1" x14ac:dyDescent="0.25">
      <c r="A506" s="497"/>
      <c r="B506" s="396"/>
      <c r="C506" s="404"/>
      <c r="D506" s="398"/>
      <c r="E506" s="308"/>
      <c r="F506" s="400"/>
      <c r="G506" s="297"/>
      <c r="H506" s="297"/>
      <c r="J506" s="297"/>
      <c r="L506" s="312"/>
      <c r="N506" s="297"/>
    </row>
    <row r="507" spans="1:14" ht="15" customHeight="1" x14ac:dyDescent="0.25">
      <c r="A507" s="497"/>
      <c r="B507" s="396"/>
      <c r="C507" s="404"/>
      <c r="D507" s="398"/>
      <c r="E507" s="308"/>
      <c r="F507" s="400"/>
      <c r="G507" s="297"/>
      <c r="H507" s="297"/>
      <c r="J507" s="297"/>
      <c r="L507" s="312"/>
      <c r="N507" s="297"/>
    </row>
    <row r="508" spans="1:14" ht="15" customHeight="1" x14ac:dyDescent="0.25">
      <c r="A508" s="497"/>
      <c r="B508" s="396"/>
      <c r="C508" s="404"/>
      <c r="D508" s="398"/>
      <c r="E508" s="308"/>
      <c r="F508" s="400"/>
      <c r="G508" s="297"/>
      <c r="H508" s="297"/>
      <c r="J508" s="297"/>
      <c r="L508" s="312"/>
      <c r="N508" s="297"/>
    </row>
    <row r="509" spans="1:14" ht="15" customHeight="1" x14ac:dyDescent="0.25">
      <c r="A509" s="497"/>
      <c r="B509" s="396"/>
      <c r="C509" s="404"/>
      <c r="D509" s="398"/>
      <c r="E509" s="308"/>
      <c r="F509" s="400"/>
      <c r="G509" s="297"/>
      <c r="H509" s="297"/>
      <c r="J509" s="297"/>
      <c r="L509" s="312"/>
      <c r="N509" s="297"/>
    </row>
    <row r="510" spans="1:14" ht="15" customHeight="1" x14ac:dyDescent="0.25">
      <c r="A510" s="497"/>
      <c r="B510" s="396"/>
      <c r="C510" s="404"/>
      <c r="D510" s="398"/>
      <c r="E510" s="308"/>
      <c r="F510" s="400"/>
      <c r="G510" s="297"/>
      <c r="H510" s="297"/>
      <c r="J510" s="297"/>
      <c r="L510" s="312"/>
      <c r="N510" s="297"/>
    </row>
    <row r="511" spans="1:14" ht="15" customHeight="1" x14ac:dyDescent="0.25">
      <c r="A511" s="497"/>
      <c r="B511" s="396"/>
      <c r="C511" s="404"/>
      <c r="D511" s="398"/>
      <c r="E511" s="308"/>
      <c r="F511" s="400"/>
      <c r="G511" s="297"/>
      <c r="H511" s="297"/>
      <c r="J511" s="297"/>
      <c r="L511" s="312"/>
      <c r="N511" s="297"/>
    </row>
    <row r="512" spans="1:14" ht="15" customHeight="1" x14ac:dyDescent="0.25">
      <c r="A512" s="497"/>
      <c r="B512" s="396"/>
      <c r="C512" s="404"/>
      <c r="D512" s="398"/>
      <c r="E512" s="308"/>
      <c r="F512" s="400"/>
      <c r="G512" s="297"/>
      <c r="H512" s="297"/>
      <c r="J512" s="297"/>
      <c r="L512" s="312"/>
      <c r="N512" s="297"/>
    </row>
    <row r="513" spans="1:14" ht="15" customHeight="1" x14ac:dyDescent="0.25">
      <c r="A513" s="497"/>
      <c r="B513" s="396"/>
      <c r="C513" s="404"/>
      <c r="D513" s="398"/>
      <c r="E513" s="308"/>
      <c r="F513" s="400"/>
      <c r="G513" s="297"/>
      <c r="H513" s="297"/>
      <c r="J513" s="297"/>
      <c r="L513" s="312"/>
      <c r="N513" s="297"/>
    </row>
    <row r="514" spans="1:14" ht="15" customHeight="1" x14ac:dyDescent="0.25">
      <c r="A514" s="497"/>
      <c r="B514" s="396"/>
      <c r="C514" s="404"/>
      <c r="D514" s="398"/>
      <c r="E514" s="308"/>
      <c r="F514" s="400"/>
      <c r="G514" s="297"/>
      <c r="H514" s="297"/>
      <c r="J514" s="297"/>
      <c r="L514" s="312"/>
      <c r="N514" s="297"/>
    </row>
    <row r="515" spans="1:14" ht="15" customHeight="1" x14ac:dyDescent="0.25">
      <c r="A515" s="497"/>
      <c r="B515" s="396"/>
      <c r="C515" s="404"/>
      <c r="D515" s="398"/>
      <c r="E515" s="308"/>
      <c r="F515" s="400"/>
      <c r="G515" s="297"/>
      <c r="H515" s="297"/>
      <c r="J515" s="297"/>
      <c r="L515" s="312"/>
      <c r="N515" s="297"/>
    </row>
    <row r="516" spans="1:14" ht="15" customHeight="1" x14ac:dyDescent="0.25">
      <c r="A516" s="497"/>
      <c r="B516" s="396"/>
      <c r="C516" s="404"/>
      <c r="D516" s="398"/>
      <c r="E516" s="308"/>
      <c r="F516" s="400"/>
      <c r="G516" s="297"/>
      <c r="H516" s="297"/>
      <c r="J516" s="297"/>
      <c r="L516" s="312"/>
      <c r="N516" s="297"/>
    </row>
    <row r="517" spans="1:14" ht="15" customHeight="1" x14ac:dyDescent="0.25">
      <c r="A517" s="497"/>
      <c r="B517" s="396"/>
      <c r="C517" s="404"/>
      <c r="D517" s="398"/>
      <c r="E517" s="308"/>
      <c r="F517" s="400"/>
      <c r="G517" s="297"/>
      <c r="H517" s="297"/>
      <c r="J517" s="297"/>
      <c r="L517" s="312"/>
      <c r="N517" s="297"/>
    </row>
    <row r="518" spans="1:14" ht="15" customHeight="1" x14ac:dyDescent="0.25">
      <c r="A518" s="497"/>
      <c r="B518" s="396"/>
      <c r="C518" s="404"/>
      <c r="D518" s="398"/>
      <c r="E518" s="308"/>
      <c r="F518" s="400"/>
      <c r="G518" s="297"/>
      <c r="H518" s="297"/>
      <c r="J518" s="297"/>
      <c r="L518" s="312"/>
      <c r="N518" s="297"/>
    </row>
    <row r="519" spans="1:14" ht="15" customHeight="1" x14ac:dyDescent="0.25">
      <c r="A519" s="497"/>
      <c r="B519" s="396"/>
      <c r="C519" s="404"/>
      <c r="D519" s="398"/>
      <c r="E519" s="308"/>
      <c r="F519" s="400"/>
      <c r="G519" s="297"/>
      <c r="H519" s="297"/>
      <c r="J519" s="297"/>
      <c r="L519" s="312"/>
      <c r="N519" s="297"/>
    </row>
    <row r="520" spans="1:14" ht="15" customHeight="1" x14ac:dyDescent="0.25">
      <c r="A520" s="497"/>
      <c r="B520" s="396"/>
      <c r="C520" s="404"/>
      <c r="D520" s="398"/>
      <c r="E520" s="308"/>
      <c r="F520" s="400"/>
      <c r="G520" s="297"/>
      <c r="H520" s="297"/>
      <c r="J520" s="297"/>
      <c r="L520" s="312"/>
      <c r="N520" s="297"/>
    </row>
    <row r="521" spans="1:14" ht="15" customHeight="1" x14ac:dyDescent="0.25">
      <c r="A521" s="497"/>
      <c r="B521" s="396"/>
      <c r="C521" s="404"/>
      <c r="D521" s="398"/>
      <c r="E521" s="308"/>
      <c r="F521" s="400"/>
      <c r="G521" s="297"/>
      <c r="H521" s="297"/>
      <c r="J521" s="297"/>
      <c r="L521" s="312"/>
      <c r="N521" s="297"/>
    </row>
    <row r="522" spans="1:14" ht="15" customHeight="1" x14ac:dyDescent="0.25">
      <c r="A522" s="497"/>
      <c r="B522" s="396"/>
      <c r="C522" s="404"/>
      <c r="D522" s="398"/>
      <c r="E522" s="308"/>
      <c r="F522" s="400"/>
      <c r="G522" s="297"/>
      <c r="H522" s="297"/>
      <c r="J522" s="297"/>
      <c r="L522" s="312"/>
      <c r="N522" s="297"/>
    </row>
    <row r="523" spans="1:14" ht="15" customHeight="1" x14ac:dyDescent="0.25">
      <c r="A523" s="497"/>
      <c r="B523" s="396"/>
      <c r="C523" s="404"/>
      <c r="D523" s="398"/>
      <c r="E523" s="308"/>
      <c r="F523" s="400"/>
      <c r="G523" s="297"/>
      <c r="H523" s="297"/>
      <c r="J523" s="297"/>
      <c r="L523" s="312"/>
      <c r="N523" s="297"/>
    </row>
    <row r="524" spans="1:14" ht="15" customHeight="1" x14ac:dyDescent="0.25">
      <c r="A524" s="497"/>
      <c r="B524" s="396"/>
      <c r="C524" s="404"/>
      <c r="D524" s="398"/>
      <c r="E524" s="308"/>
      <c r="F524" s="400"/>
      <c r="G524" s="297"/>
      <c r="H524" s="297"/>
      <c r="J524" s="297"/>
      <c r="L524" s="312"/>
      <c r="N524" s="297"/>
    </row>
    <row r="525" spans="1:14" ht="15" customHeight="1" x14ac:dyDescent="0.25">
      <c r="A525" s="497"/>
      <c r="B525" s="396"/>
      <c r="C525" s="404"/>
      <c r="D525" s="398"/>
      <c r="E525" s="308"/>
      <c r="F525" s="400"/>
      <c r="G525" s="297"/>
      <c r="H525" s="297"/>
      <c r="J525" s="297"/>
      <c r="L525" s="312"/>
      <c r="N525" s="297"/>
    </row>
    <row r="526" spans="1:14" ht="15" customHeight="1" x14ac:dyDescent="0.25">
      <c r="A526" s="497"/>
      <c r="B526" s="396"/>
      <c r="C526" s="404"/>
      <c r="D526" s="398"/>
      <c r="E526" s="308"/>
      <c r="F526" s="400"/>
      <c r="G526" s="297"/>
      <c r="H526" s="297"/>
      <c r="J526" s="297"/>
      <c r="L526" s="312"/>
      <c r="N526" s="297"/>
    </row>
    <row r="527" spans="1:14" ht="15" customHeight="1" x14ac:dyDescent="0.25">
      <c r="A527" s="497"/>
      <c r="B527" s="396"/>
      <c r="C527" s="404"/>
      <c r="D527" s="398"/>
      <c r="E527" s="308"/>
      <c r="F527" s="400"/>
      <c r="G527" s="297"/>
      <c r="H527" s="297"/>
      <c r="J527" s="297"/>
      <c r="L527" s="312"/>
      <c r="N527" s="297"/>
    </row>
    <row r="528" spans="1:14" ht="15" customHeight="1" x14ac:dyDescent="0.25">
      <c r="A528" s="497"/>
      <c r="B528" s="396"/>
      <c r="C528" s="404"/>
      <c r="D528" s="398"/>
      <c r="E528" s="308"/>
      <c r="F528" s="400"/>
      <c r="G528" s="297"/>
      <c r="H528" s="297"/>
      <c r="J528" s="297"/>
      <c r="L528" s="312"/>
      <c r="N528" s="297"/>
    </row>
    <row r="529" spans="1:14" ht="15" customHeight="1" x14ac:dyDescent="0.25">
      <c r="A529" s="497"/>
      <c r="B529" s="396"/>
      <c r="C529" s="404"/>
      <c r="D529" s="398"/>
      <c r="E529" s="308"/>
      <c r="F529" s="400"/>
      <c r="G529" s="297"/>
      <c r="H529" s="297"/>
      <c r="J529" s="297"/>
      <c r="L529" s="312"/>
      <c r="N529" s="297"/>
    </row>
    <row r="530" spans="1:14" ht="15" customHeight="1" x14ac:dyDescent="0.25">
      <c r="A530" s="497"/>
      <c r="B530" s="396"/>
      <c r="C530" s="404"/>
      <c r="D530" s="398"/>
      <c r="E530" s="308"/>
      <c r="F530" s="400"/>
      <c r="G530" s="297"/>
      <c r="H530" s="297"/>
      <c r="J530" s="297"/>
      <c r="L530" s="312"/>
      <c r="N530" s="297"/>
    </row>
    <row r="531" spans="1:14" ht="15" customHeight="1" x14ac:dyDescent="0.25">
      <c r="A531" s="497"/>
      <c r="B531" s="396"/>
      <c r="C531" s="404"/>
      <c r="D531" s="398"/>
      <c r="E531" s="308"/>
      <c r="F531" s="400"/>
      <c r="G531" s="297"/>
      <c r="H531" s="297"/>
      <c r="J531" s="297"/>
      <c r="L531" s="312"/>
      <c r="N531" s="297"/>
    </row>
    <row r="532" spans="1:14" ht="15" customHeight="1" x14ac:dyDescent="0.25">
      <c r="A532" s="497"/>
      <c r="B532" s="396"/>
      <c r="C532" s="404"/>
      <c r="D532" s="398"/>
      <c r="E532" s="308"/>
      <c r="F532" s="400"/>
      <c r="G532" s="297"/>
      <c r="H532" s="297"/>
      <c r="J532" s="297"/>
      <c r="L532" s="312"/>
      <c r="N532" s="297"/>
    </row>
    <row r="533" spans="1:14" ht="15" customHeight="1" x14ac:dyDescent="0.25">
      <c r="A533" s="497"/>
      <c r="B533" s="396"/>
      <c r="C533" s="404"/>
      <c r="D533" s="398"/>
      <c r="E533" s="308"/>
      <c r="F533" s="400"/>
      <c r="G533" s="297"/>
      <c r="H533" s="297"/>
      <c r="J533" s="297"/>
      <c r="L533" s="312"/>
      <c r="N533" s="297"/>
    </row>
    <row r="534" spans="1:14" ht="15" customHeight="1" x14ac:dyDescent="0.25">
      <c r="A534" s="497"/>
      <c r="B534" s="396"/>
      <c r="C534" s="404"/>
      <c r="D534" s="398"/>
      <c r="E534" s="308"/>
      <c r="F534" s="400"/>
      <c r="G534" s="297"/>
      <c r="H534" s="297"/>
      <c r="J534" s="297"/>
      <c r="L534" s="312"/>
      <c r="N534" s="297"/>
    </row>
    <row r="535" spans="1:14" ht="15" customHeight="1" x14ac:dyDescent="0.25">
      <c r="A535" s="497"/>
      <c r="B535" s="396"/>
      <c r="C535" s="404"/>
      <c r="D535" s="398"/>
      <c r="E535" s="308"/>
      <c r="F535" s="400"/>
      <c r="G535" s="297"/>
      <c r="H535" s="297"/>
      <c r="J535" s="297"/>
      <c r="L535" s="312"/>
      <c r="N535" s="297"/>
    </row>
    <row r="536" spans="1:14" ht="15" customHeight="1" x14ac:dyDescent="0.25">
      <c r="A536" s="497"/>
      <c r="B536" s="396"/>
      <c r="C536" s="404"/>
      <c r="D536" s="398"/>
      <c r="E536" s="308"/>
      <c r="F536" s="400"/>
      <c r="G536" s="297"/>
      <c r="H536" s="297"/>
      <c r="J536" s="297"/>
      <c r="L536" s="312"/>
      <c r="N536" s="297"/>
    </row>
    <row r="537" spans="1:14" ht="15" customHeight="1" x14ac:dyDescent="0.25">
      <c r="A537" s="497"/>
      <c r="B537" s="396"/>
      <c r="C537" s="404"/>
      <c r="D537" s="398"/>
      <c r="E537" s="308"/>
      <c r="F537" s="400"/>
      <c r="G537" s="297"/>
      <c r="H537" s="297"/>
      <c r="J537" s="297"/>
      <c r="L537" s="312"/>
      <c r="N537" s="297"/>
    </row>
    <row r="538" spans="1:14" ht="15" customHeight="1" x14ac:dyDescent="0.25">
      <c r="A538" s="497"/>
      <c r="B538" s="396"/>
      <c r="C538" s="404"/>
      <c r="D538" s="398"/>
      <c r="E538" s="308"/>
      <c r="F538" s="400"/>
      <c r="G538" s="297"/>
      <c r="H538" s="297"/>
      <c r="J538" s="297"/>
      <c r="L538" s="312"/>
      <c r="N538" s="297"/>
    </row>
    <row r="539" spans="1:14" ht="15" customHeight="1" x14ac:dyDescent="0.25">
      <c r="A539" s="497"/>
      <c r="B539" s="396"/>
      <c r="C539" s="404"/>
      <c r="D539" s="398"/>
      <c r="E539" s="308"/>
      <c r="F539" s="400"/>
      <c r="G539" s="297"/>
      <c r="H539" s="297"/>
      <c r="J539" s="297"/>
      <c r="L539" s="312"/>
      <c r="N539" s="297"/>
    </row>
    <row r="540" spans="1:14" ht="15" customHeight="1" x14ac:dyDescent="0.25">
      <c r="A540" s="497"/>
      <c r="B540" s="396"/>
      <c r="C540" s="404"/>
      <c r="D540" s="398"/>
      <c r="E540" s="308"/>
      <c r="F540" s="400"/>
      <c r="G540" s="297"/>
      <c r="H540" s="297"/>
      <c r="J540" s="297"/>
      <c r="L540" s="312"/>
      <c r="N540" s="297"/>
    </row>
    <row r="541" spans="1:14" ht="15" customHeight="1" x14ac:dyDescent="0.25">
      <c r="A541" s="497"/>
      <c r="B541" s="396"/>
      <c r="C541" s="404"/>
      <c r="D541" s="398"/>
      <c r="E541" s="308"/>
      <c r="F541" s="400"/>
      <c r="G541" s="297"/>
      <c r="H541" s="297"/>
      <c r="J541" s="297"/>
      <c r="L541" s="312"/>
      <c r="N541" s="297"/>
    </row>
    <row r="542" spans="1:14" ht="15" customHeight="1" x14ac:dyDescent="0.25">
      <c r="A542" s="497"/>
      <c r="B542" s="396"/>
      <c r="C542" s="404"/>
      <c r="D542" s="398"/>
      <c r="E542" s="308"/>
      <c r="F542" s="400"/>
      <c r="G542" s="297"/>
      <c r="H542" s="297"/>
      <c r="J542" s="297"/>
      <c r="L542" s="312"/>
      <c r="N542" s="297"/>
    </row>
    <row r="543" spans="1:14" ht="15" customHeight="1" x14ac:dyDescent="0.25">
      <c r="A543" s="497"/>
      <c r="B543" s="396"/>
      <c r="C543" s="404"/>
      <c r="D543" s="398"/>
      <c r="E543" s="308"/>
      <c r="F543" s="400"/>
      <c r="G543" s="297"/>
      <c r="H543" s="297"/>
      <c r="J543" s="297"/>
      <c r="L543" s="312"/>
      <c r="N543" s="297"/>
    </row>
    <row r="544" spans="1:14" ht="15" customHeight="1" x14ac:dyDescent="0.25">
      <c r="A544" s="497"/>
      <c r="B544" s="396"/>
      <c r="C544" s="404"/>
      <c r="D544" s="398"/>
      <c r="E544" s="308"/>
      <c r="F544" s="400"/>
      <c r="G544" s="297"/>
      <c r="H544" s="297"/>
      <c r="J544" s="297"/>
      <c r="L544" s="312"/>
      <c r="N544" s="297"/>
    </row>
    <row r="545" spans="1:14" ht="15" customHeight="1" x14ac:dyDescent="0.25">
      <c r="A545" s="497"/>
      <c r="B545" s="396"/>
      <c r="C545" s="404"/>
      <c r="D545" s="398"/>
      <c r="E545" s="308"/>
      <c r="F545" s="400"/>
      <c r="G545" s="297"/>
      <c r="H545" s="297"/>
      <c r="J545" s="297"/>
      <c r="L545" s="312"/>
      <c r="N545" s="297"/>
    </row>
    <row r="546" spans="1:14" ht="15" customHeight="1" x14ac:dyDescent="0.25">
      <c r="A546" s="497"/>
      <c r="B546" s="396"/>
      <c r="C546" s="404"/>
      <c r="D546" s="398"/>
      <c r="E546" s="308"/>
      <c r="F546" s="400"/>
      <c r="G546" s="297"/>
      <c r="H546" s="297"/>
      <c r="J546" s="297"/>
      <c r="L546" s="312"/>
      <c r="N546" s="297"/>
    </row>
    <row r="547" spans="1:14" ht="15" customHeight="1" x14ac:dyDescent="0.25">
      <c r="A547" s="497"/>
      <c r="B547" s="396"/>
      <c r="C547" s="404"/>
      <c r="D547" s="398"/>
      <c r="E547" s="308"/>
      <c r="F547" s="400"/>
      <c r="G547" s="297"/>
      <c r="H547" s="297"/>
      <c r="J547" s="297"/>
      <c r="L547" s="312"/>
      <c r="N547" s="297"/>
    </row>
    <row r="548" spans="1:14" ht="15" customHeight="1" x14ac:dyDescent="0.25">
      <c r="A548" s="497"/>
      <c r="B548" s="396"/>
      <c r="C548" s="404"/>
      <c r="D548" s="398"/>
      <c r="E548" s="308"/>
      <c r="F548" s="400"/>
      <c r="G548" s="297"/>
      <c r="H548" s="297"/>
      <c r="J548" s="297"/>
      <c r="L548" s="312"/>
      <c r="N548" s="297"/>
    </row>
    <row r="549" spans="1:14" ht="15" customHeight="1" x14ac:dyDescent="0.25">
      <c r="A549" s="497"/>
      <c r="B549" s="396"/>
      <c r="C549" s="404"/>
      <c r="D549" s="398"/>
      <c r="E549" s="308"/>
      <c r="F549" s="400"/>
      <c r="G549" s="297"/>
      <c r="H549" s="297"/>
      <c r="J549" s="297"/>
      <c r="L549" s="312"/>
      <c r="N549" s="297"/>
    </row>
    <row r="550" spans="1:14" ht="15" customHeight="1" x14ac:dyDescent="0.25">
      <c r="A550" s="497"/>
      <c r="B550" s="396"/>
      <c r="C550" s="404"/>
      <c r="D550" s="398"/>
      <c r="E550" s="308"/>
      <c r="F550" s="400"/>
      <c r="G550" s="297"/>
      <c r="H550" s="297"/>
      <c r="J550" s="297"/>
      <c r="L550" s="312"/>
      <c r="N550" s="297"/>
    </row>
    <row r="551" spans="1:14" ht="15" customHeight="1" x14ac:dyDescent="0.25">
      <c r="A551" s="497"/>
      <c r="B551" s="396"/>
      <c r="C551" s="404"/>
      <c r="D551" s="398"/>
      <c r="E551" s="308"/>
      <c r="F551" s="400"/>
      <c r="G551" s="297"/>
      <c r="H551" s="297"/>
      <c r="J551" s="297"/>
      <c r="L551" s="312"/>
      <c r="N551" s="297"/>
    </row>
    <row r="552" spans="1:14" ht="15" customHeight="1" x14ac:dyDescent="0.25">
      <c r="A552" s="497"/>
      <c r="B552" s="396"/>
      <c r="C552" s="404"/>
      <c r="D552" s="398"/>
      <c r="E552" s="308"/>
      <c r="F552" s="400"/>
      <c r="G552" s="297"/>
      <c r="H552" s="297"/>
      <c r="J552" s="297"/>
      <c r="L552" s="312"/>
      <c r="N552" s="297"/>
    </row>
    <row r="553" spans="1:14" ht="15" customHeight="1" x14ac:dyDescent="0.25">
      <c r="A553" s="497"/>
      <c r="B553" s="396"/>
      <c r="C553" s="404"/>
      <c r="D553" s="398"/>
      <c r="E553" s="308"/>
      <c r="F553" s="400"/>
      <c r="G553" s="297"/>
      <c r="H553" s="297"/>
      <c r="J553" s="297"/>
      <c r="L553" s="312"/>
      <c r="N553" s="297"/>
    </row>
    <row r="554" spans="1:14" ht="15" customHeight="1" x14ac:dyDescent="0.25">
      <c r="A554" s="497"/>
      <c r="B554" s="396"/>
      <c r="C554" s="404"/>
      <c r="D554" s="398"/>
      <c r="E554" s="308"/>
      <c r="F554" s="400"/>
      <c r="G554" s="297"/>
      <c r="H554" s="297"/>
      <c r="J554" s="297"/>
      <c r="L554" s="312"/>
      <c r="N554" s="297"/>
    </row>
    <row r="555" spans="1:14" ht="15" customHeight="1" x14ac:dyDescent="0.25">
      <c r="A555" s="497"/>
      <c r="B555" s="396"/>
      <c r="C555" s="404"/>
      <c r="D555" s="398"/>
      <c r="E555" s="308"/>
      <c r="F555" s="400"/>
      <c r="G555" s="297"/>
      <c r="H555" s="297"/>
      <c r="J555" s="297"/>
      <c r="L555" s="312"/>
      <c r="N555" s="297"/>
    </row>
    <row r="556" spans="1:14" ht="15" customHeight="1" x14ac:dyDescent="0.25">
      <c r="A556" s="497"/>
      <c r="B556" s="396"/>
      <c r="C556" s="404"/>
      <c r="D556" s="398"/>
      <c r="E556" s="308"/>
      <c r="F556" s="400"/>
      <c r="G556" s="297"/>
      <c r="H556" s="297"/>
      <c r="J556" s="297"/>
      <c r="L556" s="312"/>
      <c r="N556" s="297"/>
    </row>
    <row r="557" spans="1:14" ht="15" customHeight="1" x14ac:dyDescent="0.25">
      <c r="A557" s="497"/>
      <c r="B557" s="396"/>
      <c r="C557" s="404"/>
      <c r="D557" s="398"/>
      <c r="E557" s="308"/>
      <c r="F557" s="400"/>
      <c r="G557" s="297"/>
      <c r="H557" s="297"/>
      <c r="J557" s="297"/>
      <c r="L557" s="312"/>
      <c r="N557" s="297"/>
    </row>
    <row r="558" spans="1:14" ht="15" customHeight="1" x14ac:dyDescent="0.25">
      <c r="A558" s="497"/>
      <c r="B558" s="396"/>
      <c r="C558" s="404"/>
      <c r="D558" s="398"/>
      <c r="E558" s="308"/>
      <c r="F558" s="400"/>
      <c r="G558" s="297"/>
      <c r="H558" s="297"/>
      <c r="J558" s="297"/>
      <c r="L558" s="312"/>
      <c r="N558" s="297"/>
    </row>
    <row r="559" spans="1:14" ht="15" customHeight="1" x14ac:dyDescent="0.25">
      <c r="A559" s="497"/>
      <c r="B559" s="396"/>
      <c r="C559" s="404"/>
      <c r="D559" s="398"/>
      <c r="E559" s="308"/>
      <c r="F559" s="400"/>
      <c r="G559" s="297"/>
      <c r="H559" s="297"/>
      <c r="J559" s="297"/>
      <c r="L559" s="312"/>
      <c r="N559" s="297"/>
    </row>
    <row r="560" spans="1:14" ht="15" customHeight="1" x14ac:dyDescent="0.25">
      <c r="A560" s="497"/>
      <c r="B560" s="396"/>
      <c r="C560" s="404"/>
      <c r="D560" s="398"/>
      <c r="E560" s="308"/>
      <c r="F560" s="400"/>
      <c r="G560" s="297"/>
      <c r="H560" s="297"/>
      <c r="J560" s="297"/>
      <c r="L560" s="312"/>
      <c r="N560" s="297"/>
    </row>
    <row r="561" spans="1:14" ht="15" customHeight="1" x14ac:dyDescent="0.25">
      <c r="A561" s="497"/>
      <c r="B561" s="396"/>
      <c r="C561" s="404"/>
      <c r="D561" s="398"/>
      <c r="E561" s="308"/>
      <c r="F561" s="400"/>
      <c r="G561" s="297"/>
      <c r="H561" s="297"/>
      <c r="J561" s="297"/>
      <c r="L561" s="312"/>
      <c r="N561" s="297"/>
    </row>
    <row r="562" spans="1:14" ht="15" customHeight="1" x14ac:dyDescent="0.25">
      <c r="A562" s="497"/>
      <c r="B562" s="396"/>
      <c r="C562" s="404"/>
      <c r="D562" s="398"/>
      <c r="E562" s="308"/>
      <c r="F562" s="400"/>
      <c r="G562" s="297"/>
      <c r="H562" s="297"/>
      <c r="J562" s="297"/>
      <c r="L562" s="312"/>
      <c r="N562" s="297"/>
    </row>
    <row r="563" spans="1:14" ht="15" customHeight="1" x14ac:dyDescent="0.25">
      <c r="A563" s="497"/>
      <c r="B563" s="396"/>
      <c r="C563" s="404"/>
      <c r="D563" s="398"/>
      <c r="E563" s="308"/>
      <c r="F563" s="400"/>
      <c r="G563" s="297"/>
      <c r="H563" s="297"/>
      <c r="J563" s="297"/>
      <c r="L563" s="312"/>
      <c r="N563" s="297"/>
    </row>
    <row r="564" spans="1:14" ht="15" customHeight="1" x14ac:dyDescent="0.25">
      <c r="A564" s="497"/>
      <c r="B564" s="396"/>
      <c r="C564" s="404"/>
      <c r="D564" s="398"/>
      <c r="E564" s="308"/>
      <c r="F564" s="400"/>
      <c r="G564" s="297"/>
      <c r="H564" s="297"/>
      <c r="J564" s="297"/>
      <c r="L564" s="312"/>
      <c r="N564" s="297"/>
    </row>
    <row r="565" spans="1:14" ht="15" customHeight="1" x14ac:dyDescent="0.25">
      <c r="A565" s="497"/>
      <c r="B565" s="396"/>
      <c r="C565" s="404"/>
      <c r="D565" s="398"/>
      <c r="E565" s="308"/>
      <c r="F565" s="400"/>
      <c r="G565" s="297"/>
      <c r="H565" s="297"/>
      <c r="J565" s="297"/>
      <c r="L565" s="312"/>
      <c r="N565" s="297"/>
    </row>
    <row r="566" spans="1:14" ht="15" customHeight="1" x14ac:dyDescent="0.25">
      <c r="A566" s="497"/>
      <c r="B566" s="396"/>
      <c r="C566" s="404"/>
      <c r="D566" s="398"/>
      <c r="E566" s="308"/>
      <c r="F566" s="400"/>
      <c r="G566" s="297"/>
      <c r="H566" s="297"/>
      <c r="J566" s="297"/>
      <c r="L566" s="312"/>
      <c r="N566" s="297"/>
    </row>
    <row r="567" spans="1:14" ht="15" customHeight="1" x14ac:dyDescent="0.25">
      <c r="A567" s="497"/>
      <c r="B567" s="396"/>
      <c r="C567" s="404"/>
      <c r="D567" s="398"/>
      <c r="E567" s="308"/>
      <c r="F567" s="400"/>
      <c r="G567" s="297"/>
      <c r="H567" s="297"/>
      <c r="J567" s="297"/>
      <c r="L567" s="312"/>
      <c r="N567" s="297"/>
    </row>
    <row r="568" spans="1:14" ht="15" customHeight="1" x14ac:dyDescent="0.25">
      <c r="A568" s="497"/>
      <c r="B568" s="396"/>
      <c r="C568" s="404"/>
      <c r="D568" s="398"/>
      <c r="E568" s="308"/>
      <c r="F568" s="400"/>
      <c r="G568" s="297"/>
      <c r="H568" s="297"/>
      <c r="J568" s="297"/>
      <c r="L568" s="312"/>
      <c r="N568" s="297"/>
    </row>
    <row r="569" spans="1:14" ht="15" customHeight="1" x14ac:dyDescent="0.25">
      <c r="A569" s="497"/>
      <c r="B569" s="396"/>
      <c r="C569" s="404"/>
      <c r="D569" s="398"/>
      <c r="E569" s="308"/>
      <c r="F569" s="400"/>
      <c r="G569" s="297"/>
      <c r="H569" s="297"/>
      <c r="J569" s="297"/>
      <c r="L569" s="312"/>
      <c r="N569" s="297"/>
    </row>
    <row r="570" spans="1:14" ht="15" customHeight="1" x14ac:dyDescent="0.25">
      <c r="A570" s="497"/>
      <c r="B570" s="396"/>
      <c r="C570" s="404"/>
      <c r="D570" s="398"/>
      <c r="E570" s="308"/>
      <c r="F570" s="400"/>
      <c r="G570" s="297"/>
      <c r="H570" s="297"/>
      <c r="J570" s="297"/>
      <c r="L570" s="312"/>
      <c r="N570" s="297"/>
    </row>
    <row r="571" spans="1:14" ht="15" customHeight="1" x14ac:dyDescent="0.25">
      <c r="A571" s="497"/>
      <c r="B571" s="396"/>
      <c r="C571" s="404"/>
      <c r="D571" s="398"/>
      <c r="E571" s="308"/>
      <c r="F571" s="400"/>
      <c r="G571" s="297"/>
      <c r="H571" s="297"/>
      <c r="J571" s="297"/>
      <c r="L571" s="312"/>
      <c r="N571" s="297"/>
    </row>
    <row r="572" spans="1:14" ht="15" customHeight="1" x14ac:dyDescent="0.25">
      <c r="A572" s="497"/>
      <c r="B572" s="396"/>
      <c r="C572" s="404"/>
      <c r="D572" s="398"/>
      <c r="E572" s="308"/>
      <c r="F572" s="400"/>
      <c r="G572" s="297"/>
      <c r="H572" s="297"/>
      <c r="J572" s="297"/>
      <c r="L572" s="312"/>
      <c r="N572" s="297"/>
    </row>
    <row r="573" spans="1:14" ht="15" customHeight="1" x14ac:dyDescent="0.25">
      <c r="A573" s="497"/>
      <c r="B573" s="396"/>
      <c r="C573" s="404"/>
      <c r="D573" s="398"/>
      <c r="E573" s="308"/>
      <c r="F573" s="400"/>
      <c r="G573" s="297"/>
      <c r="H573" s="297"/>
      <c r="J573" s="297"/>
      <c r="L573" s="312"/>
      <c r="N573" s="297"/>
    </row>
    <row r="574" spans="1:14" ht="15" customHeight="1" x14ac:dyDescent="0.25">
      <c r="A574" s="497"/>
      <c r="B574" s="396"/>
      <c r="C574" s="404"/>
      <c r="D574" s="398"/>
      <c r="E574" s="308"/>
      <c r="F574" s="400"/>
      <c r="G574" s="297"/>
      <c r="H574" s="297"/>
      <c r="J574" s="297"/>
      <c r="L574" s="312"/>
      <c r="N574" s="297"/>
    </row>
    <row r="575" spans="1:14" ht="15" customHeight="1" x14ac:dyDescent="0.25">
      <c r="A575" s="497"/>
      <c r="B575" s="396"/>
      <c r="C575" s="404"/>
      <c r="D575" s="398"/>
      <c r="E575" s="308"/>
      <c r="F575" s="400"/>
      <c r="G575" s="297"/>
      <c r="H575" s="297"/>
      <c r="J575" s="297"/>
      <c r="L575" s="312"/>
      <c r="N575" s="297"/>
    </row>
    <row r="576" spans="1:14" ht="15" customHeight="1" x14ac:dyDescent="0.25">
      <c r="A576" s="497"/>
      <c r="B576" s="396"/>
      <c r="C576" s="404"/>
      <c r="D576" s="398"/>
      <c r="E576" s="308"/>
      <c r="F576" s="400"/>
      <c r="G576" s="297"/>
      <c r="H576" s="297"/>
      <c r="J576" s="297"/>
      <c r="L576" s="312"/>
      <c r="N576" s="297"/>
    </row>
    <row r="577" spans="1:14" ht="15" customHeight="1" x14ac:dyDescent="0.25">
      <c r="A577" s="497"/>
      <c r="B577" s="396"/>
      <c r="C577" s="404"/>
      <c r="D577" s="398"/>
      <c r="E577" s="308"/>
      <c r="F577" s="400"/>
      <c r="G577" s="297"/>
      <c r="H577" s="297"/>
      <c r="J577" s="297"/>
      <c r="L577" s="312"/>
      <c r="N577" s="297"/>
    </row>
    <row r="578" spans="1:14" ht="15" customHeight="1" x14ac:dyDescent="0.25">
      <c r="A578" s="497"/>
      <c r="B578" s="396"/>
      <c r="C578" s="404"/>
      <c r="D578" s="398"/>
      <c r="E578" s="308"/>
      <c r="F578" s="400"/>
      <c r="G578" s="297"/>
      <c r="H578" s="297"/>
      <c r="J578" s="297"/>
      <c r="L578" s="312"/>
      <c r="N578" s="297"/>
    </row>
    <row r="579" spans="1:14" ht="15" customHeight="1" x14ac:dyDescent="0.25">
      <c r="A579" s="497"/>
      <c r="B579" s="396"/>
      <c r="C579" s="404"/>
      <c r="D579" s="398"/>
      <c r="E579" s="308"/>
      <c r="F579" s="400"/>
      <c r="G579" s="297"/>
      <c r="H579" s="297"/>
      <c r="J579" s="297"/>
      <c r="L579" s="312"/>
      <c r="N579" s="297"/>
    </row>
    <row r="580" spans="1:14" ht="15" customHeight="1" x14ac:dyDescent="0.25">
      <c r="A580" s="497"/>
      <c r="B580" s="396"/>
      <c r="C580" s="404"/>
      <c r="D580" s="398"/>
      <c r="E580" s="308"/>
      <c r="F580" s="400"/>
      <c r="G580" s="297"/>
      <c r="H580" s="297"/>
      <c r="J580" s="297"/>
      <c r="L580" s="312"/>
      <c r="N580" s="297"/>
    </row>
    <row r="581" spans="1:14" ht="15" customHeight="1" x14ac:dyDescent="0.25">
      <c r="A581" s="497"/>
      <c r="B581" s="396"/>
      <c r="C581" s="404"/>
      <c r="D581" s="398"/>
      <c r="E581" s="308"/>
      <c r="F581" s="400"/>
      <c r="G581" s="297"/>
      <c r="H581" s="297"/>
      <c r="J581" s="297"/>
      <c r="L581" s="312"/>
      <c r="N581" s="297"/>
    </row>
    <row r="582" spans="1:14" ht="15" customHeight="1" x14ac:dyDescent="0.25">
      <c r="A582" s="497"/>
      <c r="B582" s="396"/>
      <c r="C582" s="404"/>
      <c r="D582" s="398"/>
      <c r="E582" s="308"/>
      <c r="F582" s="400"/>
      <c r="G582" s="297"/>
      <c r="H582" s="297"/>
      <c r="J582" s="297"/>
      <c r="L582" s="312"/>
      <c r="N582" s="297"/>
    </row>
    <row r="583" spans="1:14" ht="15" customHeight="1" x14ac:dyDescent="0.25">
      <c r="A583" s="497"/>
      <c r="B583" s="396"/>
      <c r="C583" s="404"/>
      <c r="D583" s="398"/>
      <c r="E583" s="308"/>
      <c r="F583" s="400"/>
      <c r="G583" s="297"/>
      <c r="H583" s="297"/>
      <c r="J583" s="297"/>
      <c r="L583" s="312"/>
      <c r="N583" s="297"/>
    </row>
    <row r="584" spans="1:14" ht="15" customHeight="1" x14ac:dyDescent="0.25">
      <c r="A584" s="497"/>
      <c r="B584" s="396"/>
      <c r="C584" s="404"/>
      <c r="D584" s="398"/>
      <c r="E584" s="308"/>
      <c r="F584" s="400"/>
      <c r="G584" s="297"/>
      <c r="H584" s="297"/>
      <c r="J584" s="297"/>
      <c r="L584" s="312"/>
      <c r="N584" s="297"/>
    </row>
    <row r="585" spans="1:14" ht="15" customHeight="1" x14ac:dyDescent="0.25">
      <c r="A585" s="497"/>
      <c r="B585" s="396"/>
      <c r="C585" s="404"/>
      <c r="D585" s="398"/>
      <c r="E585" s="308"/>
      <c r="F585" s="400"/>
      <c r="G585" s="297"/>
      <c r="H585" s="297"/>
      <c r="J585" s="297"/>
      <c r="L585" s="312"/>
      <c r="N585" s="297"/>
    </row>
    <row r="586" spans="1:14" ht="15" customHeight="1" x14ac:dyDescent="0.25">
      <c r="A586" s="497"/>
      <c r="B586" s="396"/>
      <c r="C586" s="404"/>
      <c r="D586" s="398"/>
      <c r="E586" s="308"/>
      <c r="F586" s="400"/>
      <c r="G586" s="297"/>
      <c r="H586" s="297"/>
      <c r="J586" s="297"/>
      <c r="L586" s="312"/>
      <c r="N586" s="297"/>
    </row>
    <row r="587" spans="1:14" ht="15" customHeight="1" x14ac:dyDescent="0.25">
      <c r="A587" s="497"/>
      <c r="B587" s="396"/>
      <c r="C587" s="404"/>
      <c r="D587" s="398"/>
      <c r="E587" s="308"/>
      <c r="F587" s="400"/>
      <c r="G587" s="297"/>
      <c r="H587" s="297"/>
      <c r="J587" s="297"/>
      <c r="L587" s="312"/>
      <c r="N587" s="297"/>
    </row>
    <row r="588" spans="1:14" ht="15" customHeight="1" x14ac:dyDescent="0.25">
      <c r="A588" s="497"/>
      <c r="B588" s="396"/>
      <c r="C588" s="404"/>
      <c r="D588" s="398"/>
      <c r="E588" s="308"/>
      <c r="F588" s="400"/>
      <c r="G588" s="297"/>
      <c r="H588" s="297"/>
      <c r="J588" s="297"/>
      <c r="L588" s="312"/>
      <c r="N588" s="297"/>
    </row>
    <row r="589" spans="1:14" ht="15" customHeight="1" x14ac:dyDescent="0.25">
      <c r="A589" s="497"/>
      <c r="B589" s="396"/>
      <c r="C589" s="404"/>
      <c r="D589" s="398"/>
      <c r="E589" s="308"/>
      <c r="F589" s="400"/>
      <c r="G589" s="297"/>
      <c r="H589" s="297"/>
      <c r="J589" s="297"/>
      <c r="L589" s="312"/>
      <c r="N589" s="297"/>
    </row>
    <row r="590" spans="1:14" ht="15" customHeight="1" x14ac:dyDescent="0.25">
      <c r="A590" s="497"/>
      <c r="B590" s="396"/>
      <c r="C590" s="404"/>
      <c r="D590" s="398"/>
      <c r="E590" s="308"/>
      <c r="F590" s="400"/>
      <c r="G590" s="297"/>
      <c r="H590" s="297"/>
      <c r="J590" s="297"/>
      <c r="L590" s="312"/>
      <c r="N590" s="297"/>
    </row>
    <row r="591" spans="1:14" ht="15" customHeight="1" x14ac:dyDescent="0.25">
      <c r="A591" s="497"/>
      <c r="B591" s="396"/>
      <c r="C591" s="404"/>
      <c r="D591" s="398"/>
      <c r="E591" s="308"/>
      <c r="F591" s="400"/>
      <c r="G591" s="297"/>
      <c r="H591" s="297"/>
      <c r="J591" s="297"/>
      <c r="L591" s="312"/>
      <c r="N591" s="297"/>
    </row>
    <row r="592" spans="1:14" ht="15" customHeight="1" x14ac:dyDescent="0.25">
      <c r="A592" s="497"/>
      <c r="B592" s="396"/>
      <c r="C592" s="404"/>
      <c r="D592" s="398"/>
      <c r="E592" s="308"/>
      <c r="F592" s="400"/>
      <c r="G592" s="297"/>
      <c r="H592" s="297"/>
      <c r="J592" s="297"/>
      <c r="L592" s="312"/>
      <c r="N592" s="297"/>
    </row>
    <row r="593" spans="1:14" ht="15" customHeight="1" x14ac:dyDescent="0.25">
      <c r="A593" s="497"/>
      <c r="B593" s="396"/>
      <c r="C593" s="404"/>
      <c r="D593" s="398"/>
      <c r="E593" s="308"/>
      <c r="F593" s="400"/>
      <c r="G593" s="297"/>
      <c r="H593" s="297"/>
      <c r="J593" s="297"/>
      <c r="L593" s="312"/>
      <c r="N593" s="297"/>
    </row>
    <row r="594" spans="1:14" ht="15" customHeight="1" x14ac:dyDescent="0.25">
      <c r="A594" s="497"/>
      <c r="B594" s="396"/>
      <c r="C594" s="404"/>
      <c r="D594" s="398"/>
      <c r="E594" s="308"/>
      <c r="F594" s="400"/>
      <c r="G594" s="297"/>
      <c r="H594" s="297"/>
      <c r="J594" s="297"/>
      <c r="L594" s="312"/>
      <c r="N594" s="297"/>
    </row>
    <row r="595" spans="1:14" ht="15" customHeight="1" x14ac:dyDescent="0.25">
      <c r="A595" s="497"/>
      <c r="B595" s="396"/>
      <c r="C595" s="404"/>
      <c r="D595" s="398"/>
      <c r="E595" s="308"/>
      <c r="F595" s="400"/>
      <c r="G595" s="297"/>
      <c r="H595" s="297"/>
      <c r="J595" s="297"/>
      <c r="L595" s="312"/>
      <c r="N595" s="297"/>
    </row>
    <row r="596" spans="1:14" ht="15" customHeight="1" x14ac:dyDescent="0.25">
      <c r="A596" s="497"/>
      <c r="B596" s="396"/>
      <c r="C596" s="404"/>
      <c r="D596" s="398"/>
      <c r="E596" s="308"/>
      <c r="F596" s="400"/>
      <c r="G596" s="297"/>
      <c r="H596" s="297"/>
      <c r="J596" s="297"/>
      <c r="L596" s="312"/>
      <c r="N596" s="297"/>
    </row>
    <row r="597" spans="1:14" ht="15" customHeight="1" x14ac:dyDescent="0.25">
      <c r="A597" s="497"/>
      <c r="B597" s="396"/>
      <c r="C597" s="404"/>
      <c r="D597" s="398"/>
      <c r="E597" s="308"/>
      <c r="F597" s="400"/>
      <c r="G597" s="297"/>
      <c r="H597" s="297"/>
      <c r="J597" s="297"/>
      <c r="L597" s="312"/>
      <c r="N597" s="297"/>
    </row>
    <row r="598" spans="1:14" ht="15" customHeight="1" x14ac:dyDescent="0.25">
      <c r="A598" s="497"/>
      <c r="B598" s="396"/>
      <c r="C598" s="404"/>
      <c r="D598" s="398"/>
      <c r="E598" s="308"/>
      <c r="F598" s="400"/>
      <c r="G598" s="297"/>
      <c r="H598" s="297"/>
      <c r="J598" s="297"/>
      <c r="L598" s="312"/>
      <c r="N598" s="297"/>
    </row>
    <row r="599" spans="1:14" ht="15" customHeight="1" x14ac:dyDescent="0.25">
      <c r="A599" s="497"/>
      <c r="B599" s="396"/>
      <c r="C599" s="404"/>
      <c r="D599" s="398"/>
      <c r="E599" s="308"/>
      <c r="F599" s="400"/>
      <c r="G599" s="297"/>
      <c r="H599" s="297"/>
      <c r="J599" s="297"/>
      <c r="L599" s="312"/>
      <c r="N599" s="297"/>
    </row>
    <row r="600" spans="1:14" ht="15" customHeight="1" x14ac:dyDescent="0.25">
      <c r="A600" s="497"/>
      <c r="B600" s="396"/>
      <c r="C600" s="404"/>
      <c r="D600" s="398"/>
      <c r="E600" s="308"/>
      <c r="F600" s="400"/>
      <c r="G600" s="297"/>
      <c r="H600" s="297"/>
      <c r="J600" s="297"/>
      <c r="L600" s="312"/>
      <c r="N600" s="297"/>
    </row>
    <row r="601" spans="1:14" ht="15" customHeight="1" x14ac:dyDescent="0.25">
      <c r="A601" s="497"/>
      <c r="B601" s="396"/>
      <c r="C601" s="404"/>
      <c r="D601" s="398"/>
      <c r="E601" s="308"/>
      <c r="F601" s="400"/>
      <c r="G601" s="297"/>
      <c r="H601" s="297"/>
      <c r="J601" s="297"/>
      <c r="L601" s="312"/>
      <c r="N601" s="297"/>
    </row>
    <row r="602" spans="1:14" ht="15" customHeight="1" x14ac:dyDescent="0.25">
      <c r="A602" s="497"/>
      <c r="B602" s="396"/>
      <c r="C602" s="404"/>
      <c r="D602" s="398"/>
      <c r="E602" s="308"/>
      <c r="F602" s="400"/>
      <c r="G602" s="297"/>
      <c r="H602" s="297"/>
      <c r="J602" s="297"/>
      <c r="L602" s="312"/>
      <c r="N602" s="297"/>
    </row>
    <row r="603" spans="1:14" ht="15" customHeight="1" x14ac:dyDescent="0.25">
      <c r="A603" s="497"/>
      <c r="B603" s="396"/>
      <c r="C603" s="404"/>
      <c r="D603" s="398"/>
      <c r="E603" s="308"/>
      <c r="F603" s="400"/>
      <c r="G603" s="297"/>
      <c r="H603" s="297"/>
      <c r="J603" s="297"/>
      <c r="L603" s="312"/>
      <c r="N603" s="297"/>
    </row>
    <row r="604" spans="1:14" ht="15" customHeight="1" x14ac:dyDescent="0.25">
      <c r="A604" s="497"/>
      <c r="B604" s="396"/>
      <c r="C604" s="404"/>
      <c r="D604" s="398"/>
      <c r="E604" s="308"/>
      <c r="F604" s="400"/>
      <c r="G604" s="297"/>
      <c r="H604" s="297"/>
      <c r="J604" s="297"/>
      <c r="L604" s="312"/>
      <c r="N604" s="297"/>
    </row>
    <row r="605" spans="1:14" ht="15" customHeight="1" x14ac:dyDescent="0.25">
      <c r="A605" s="497"/>
      <c r="B605" s="396"/>
      <c r="C605" s="404"/>
      <c r="D605" s="398"/>
      <c r="E605" s="308"/>
      <c r="F605" s="400"/>
      <c r="G605" s="297"/>
      <c r="H605" s="297"/>
      <c r="J605" s="297"/>
      <c r="L605" s="312"/>
      <c r="N605" s="297"/>
    </row>
    <row r="606" spans="1:14" ht="15" customHeight="1" x14ac:dyDescent="0.25">
      <c r="A606" s="497"/>
      <c r="B606" s="396"/>
      <c r="C606" s="404"/>
      <c r="D606" s="398"/>
      <c r="E606" s="308"/>
      <c r="F606" s="400"/>
      <c r="G606" s="297"/>
      <c r="H606" s="297"/>
      <c r="J606" s="297"/>
      <c r="L606" s="312"/>
      <c r="N606" s="297"/>
    </row>
    <row r="607" spans="1:14" ht="15" customHeight="1" x14ac:dyDescent="0.25">
      <c r="A607" s="497"/>
      <c r="B607" s="396"/>
      <c r="C607" s="404"/>
      <c r="D607" s="398"/>
      <c r="E607" s="308"/>
      <c r="F607" s="400"/>
      <c r="G607" s="297"/>
      <c r="H607" s="297"/>
      <c r="J607" s="297"/>
      <c r="L607" s="312"/>
      <c r="N607" s="297"/>
    </row>
    <row r="608" spans="1:14" ht="15" customHeight="1" x14ac:dyDescent="0.25">
      <c r="A608" s="497"/>
      <c r="B608" s="396"/>
      <c r="C608" s="404"/>
      <c r="D608" s="398"/>
      <c r="E608" s="308"/>
      <c r="F608" s="400"/>
      <c r="G608" s="297"/>
      <c r="H608" s="297"/>
      <c r="J608" s="297"/>
      <c r="L608" s="312"/>
      <c r="N608" s="297"/>
    </row>
    <row r="609" spans="1:14" ht="15" customHeight="1" x14ac:dyDescent="0.25">
      <c r="A609" s="497"/>
      <c r="B609" s="396"/>
      <c r="C609" s="404"/>
      <c r="D609" s="398"/>
      <c r="E609" s="308"/>
      <c r="F609" s="400"/>
      <c r="G609" s="297"/>
      <c r="H609" s="297"/>
      <c r="J609" s="297"/>
      <c r="L609" s="312"/>
      <c r="N609" s="297"/>
    </row>
    <row r="610" spans="1:14" ht="15" customHeight="1" x14ac:dyDescent="0.25">
      <c r="A610" s="497"/>
      <c r="B610" s="396"/>
      <c r="C610" s="404"/>
      <c r="D610" s="398"/>
      <c r="E610" s="308"/>
      <c r="F610" s="400"/>
      <c r="G610" s="297"/>
      <c r="H610" s="297"/>
      <c r="J610" s="297"/>
      <c r="L610" s="312"/>
      <c r="N610" s="297"/>
    </row>
    <row r="611" spans="1:14" ht="15" customHeight="1" x14ac:dyDescent="0.25">
      <c r="A611" s="497"/>
      <c r="B611" s="396"/>
      <c r="C611" s="404"/>
      <c r="D611" s="398"/>
      <c r="E611" s="308"/>
      <c r="F611" s="400"/>
      <c r="G611" s="297"/>
      <c r="H611" s="297"/>
      <c r="J611" s="297"/>
      <c r="L611" s="312"/>
      <c r="N611" s="297"/>
    </row>
    <row r="612" spans="1:14" ht="15" customHeight="1" x14ac:dyDescent="0.25">
      <c r="A612" s="497"/>
      <c r="B612" s="396"/>
      <c r="C612" s="404"/>
      <c r="D612" s="398"/>
      <c r="E612" s="308"/>
      <c r="F612" s="400"/>
      <c r="G612" s="297"/>
      <c r="H612" s="297"/>
      <c r="J612" s="297"/>
      <c r="L612" s="312"/>
      <c r="N612" s="297"/>
    </row>
    <row r="613" spans="1:14" ht="15" customHeight="1" x14ac:dyDescent="0.25">
      <c r="A613" s="497"/>
      <c r="B613" s="396"/>
      <c r="C613" s="404"/>
      <c r="D613" s="398"/>
      <c r="E613" s="308"/>
      <c r="F613" s="400"/>
      <c r="G613" s="297"/>
      <c r="H613" s="297"/>
      <c r="J613" s="297"/>
      <c r="L613" s="312"/>
      <c r="N613" s="297"/>
    </row>
    <row r="614" spans="1:14" ht="15" customHeight="1" x14ac:dyDescent="0.25">
      <c r="A614" s="497"/>
      <c r="B614" s="396"/>
      <c r="C614" s="404"/>
      <c r="D614" s="398"/>
      <c r="E614" s="308"/>
      <c r="F614" s="400"/>
      <c r="G614" s="297"/>
      <c r="H614" s="297"/>
      <c r="J614" s="297"/>
      <c r="L614" s="312"/>
      <c r="N614" s="297"/>
    </row>
    <row r="615" spans="1:14" ht="15" customHeight="1" x14ac:dyDescent="0.25">
      <c r="A615" s="497"/>
      <c r="B615" s="396"/>
      <c r="C615" s="404"/>
      <c r="D615" s="398"/>
      <c r="E615" s="308"/>
      <c r="F615" s="400"/>
      <c r="G615" s="297"/>
      <c r="H615" s="297"/>
      <c r="J615" s="297"/>
      <c r="L615" s="312"/>
      <c r="N615" s="297"/>
    </row>
    <row r="616" spans="1:14" ht="15" customHeight="1" x14ac:dyDescent="0.25">
      <c r="A616" s="497"/>
      <c r="B616" s="396"/>
      <c r="C616" s="404"/>
      <c r="D616" s="398"/>
      <c r="E616" s="308"/>
      <c r="F616" s="400"/>
      <c r="G616" s="297"/>
      <c r="H616" s="297"/>
      <c r="J616" s="297"/>
      <c r="L616" s="312"/>
      <c r="N616" s="297"/>
    </row>
    <row r="617" spans="1:14" ht="15" customHeight="1" x14ac:dyDescent="0.25">
      <c r="A617" s="497"/>
      <c r="B617" s="396"/>
      <c r="C617" s="404"/>
      <c r="D617" s="398"/>
      <c r="E617" s="308"/>
      <c r="F617" s="400"/>
      <c r="G617" s="297"/>
      <c r="H617" s="297"/>
      <c r="J617" s="297"/>
      <c r="L617" s="312"/>
      <c r="N617" s="297"/>
    </row>
    <row r="618" spans="1:14" ht="15" customHeight="1" x14ac:dyDescent="0.25">
      <c r="A618" s="497"/>
      <c r="B618" s="396"/>
      <c r="C618" s="404"/>
      <c r="D618" s="398"/>
      <c r="E618" s="308"/>
      <c r="F618" s="400"/>
      <c r="G618" s="297"/>
      <c r="H618" s="297"/>
      <c r="J618" s="297"/>
      <c r="L618" s="312"/>
      <c r="N618" s="297"/>
    </row>
    <row r="619" spans="1:14" ht="15" customHeight="1" x14ac:dyDescent="0.25">
      <c r="A619" s="497"/>
      <c r="B619" s="396"/>
      <c r="C619" s="404"/>
      <c r="D619" s="398"/>
      <c r="E619" s="308"/>
      <c r="F619" s="400"/>
      <c r="G619" s="297"/>
      <c r="H619" s="297"/>
      <c r="J619" s="297"/>
      <c r="L619" s="312"/>
      <c r="N619" s="297"/>
    </row>
    <row r="620" spans="1:14" ht="15" customHeight="1" x14ac:dyDescent="0.25">
      <c r="A620" s="497"/>
      <c r="B620" s="396"/>
      <c r="C620" s="404"/>
      <c r="D620" s="398"/>
      <c r="E620" s="308"/>
      <c r="F620" s="400"/>
      <c r="G620" s="297"/>
      <c r="H620" s="297"/>
      <c r="J620" s="297"/>
      <c r="L620" s="312"/>
      <c r="N620" s="297"/>
    </row>
    <row r="621" spans="1:14" ht="15" customHeight="1" x14ac:dyDescent="0.25">
      <c r="A621" s="497"/>
      <c r="B621" s="396"/>
      <c r="C621" s="404"/>
      <c r="D621" s="398"/>
      <c r="E621" s="308"/>
      <c r="F621" s="400"/>
      <c r="G621" s="297"/>
      <c r="H621" s="297"/>
      <c r="J621" s="297"/>
      <c r="L621" s="312"/>
      <c r="N621" s="297"/>
    </row>
    <row r="622" spans="1:14" ht="15" customHeight="1" x14ac:dyDescent="0.25">
      <c r="A622" s="497"/>
      <c r="B622" s="396"/>
      <c r="C622" s="404"/>
      <c r="D622" s="398"/>
      <c r="E622" s="308"/>
      <c r="F622" s="400"/>
      <c r="G622" s="297"/>
      <c r="H622" s="297"/>
      <c r="J622" s="297"/>
      <c r="L622" s="312"/>
      <c r="N622" s="297"/>
    </row>
    <row r="623" spans="1:14" ht="15" customHeight="1" x14ac:dyDescent="0.25">
      <c r="A623" s="497"/>
      <c r="B623" s="396"/>
      <c r="C623" s="404"/>
      <c r="D623" s="398"/>
      <c r="E623" s="308"/>
      <c r="F623" s="400"/>
      <c r="G623" s="297"/>
      <c r="H623" s="297"/>
      <c r="J623" s="297"/>
      <c r="L623" s="312"/>
      <c r="N623" s="297"/>
    </row>
    <row r="624" spans="1:14" ht="15" customHeight="1" x14ac:dyDescent="0.25">
      <c r="A624" s="497"/>
      <c r="B624" s="396"/>
      <c r="C624" s="404"/>
      <c r="D624" s="398"/>
      <c r="E624" s="308"/>
      <c r="F624" s="400"/>
      <c r="G624" s="297"/>
      <c r="H624" s="297"/>
      <c r="J624" s="297"/>
      <c r="L624" s="312"/>
      <c r="N624" s="297"/>
    </row>
    <row r="625" spans="1:14" ht="15" customHeight="1" x14ac:dyDescent="0.25">
      <c r="A625" s="497"/>
      <c r="B625" s="396"/>
      <c r="C625" s="404"/>
      <c r="D625" s="398"/>
      <c r="E625" s="308"/>
      <c r="F625" s="400"/>
      <c r="G625" s="297"/>
      <c r="H625" s="297"/>
      <c r="J625" s="297"/>
      <c r="L625" s="312"/>
      <c r="N625" s="297"/>
    </row>
    <row r="626" spans="1:14" ht="15" customHeight="1" x14ac:dyDescent="0.25">
      <c r="A626" s="497"/>
      <c r="B626" s="396"/>
      <c r="C626" s="404"/>
      <c r="D626" s="398"/>
      <c r="E626" s="308"/>
      <c r="F626" s="400"/>
      <c r="G626" s="297"/>
      <c r="H626" s="297"/>
      <c r="J626" s="297"/>
      <c r="L626" s="312"/>
      <c r="N626" s="297"/>
    </row>
    <row r="627" spans="1:14" ht="15" customHeight="1" x14ac:dyDescent="0.25">
      <c r="A627" s="497"/>
      <c r="B627" s="396"/>
      <c r="C627" s="404"/>
      <c r="D627" s="398"/>
      <c r="E627" s="308"/>
      <c r="F627" s="400"/>
      <c r="G627" s="297"/>
      <c r="H627" s="297"/>
      <c r="J627" s="297"/>
      <c r="L627" s="312"/>
      <c r="N627" s="297"/>
    </row>
    <row r="628" spans="1:14" ht="15" customHeight="1" x14ac:dyDescent="0.25">
      <c r="A628" s="497"/>
      <c r="B628" s="396"/>
      <c r="C628" s="404"/>
      <c r="D628" s="398"/>
      <c r="E628" s="308"/>
      <c r="F628" s="400"/>
      <c r="G628" s="297"/>
      <c r="H628" s="297"/>
      <c r="J628" s="297"/>
      <c r="L628" s="312"/>
      <c r="N628" s="297"/>
    </row>
    <row r="629" spans="1:14" ht="15" customHeight="1" x14ac:dyDescent="0.25">
      <c r="A629" s="497"/>
      <c r="B629" s="396"/>
      <c r="C629" s="404"/>
      <c r="D629" s="398"/>
      <c r="E629" s="308"/>
      <c r="F629" s="400"/>
      <c r="G629" s="297"/>
      <c r="H629" s="297"/>
      <c r="J629" s="297"/>
      <c r="L629" s="312"/>
      <c r="N629" s="297"/>
    </row>
    <row r="630" spans="1:14" ht="15" customHeight="1" x14ac:dyDescent="0.25">
      <c r="A630" s="497"/>
      <c r="B630" s="396"/>
      <c r="C630" s="404"/>
      <c r="D630" s="398"/>
      <c r="E630" s="308"/>
      <c r="F630" s="400"/>
      <c r="G630" s="297"/>
      <c r="H630" s="297"/>
      <c r="J630" s="297"/>
      <c r="L630" s="312"/>
      <c r="N630" s="297"/>
    </row>
    <row r="631" spans="1:14" ht="15" customHeight="1" x14ac:dyDescent="0.25">
      <c r="A631" s="497"/>
      <c r="B631" s="396"/>
      <c r="C631" s="404"/>
      <c r="D631" s="398"/>
      <c r="E631" s="308"/>
      <c r="F631" s="400"/>
      <c r="G631" s="297"/>
      <c r="H631" s="297"/>
      <c r="J631" s="297"/>
      <c r="L631" s="312"/>
      <c r="N631" s="297"/>
    </row>
    <row r="632" spans="1:14" ht="15" customHeight="1" x14ac:dyDescent="0.25">
      <c r="A632" s="497"/>
      <c r="B632" s="396"/>
      <c r="C632" s="404"/>
      <c r="D632" s="398"/>
      <c r="E632" s="308"/>
      <c r="F632" s="400"/>
      <c r="G632" s="297"/>
      <c r="H632" s="297"/>
      <c r="J632" s="297"/>
      <c r="L632" s="312"/>
      <c r="N632" s="297"/>
    </row>
    <row r="633" spans="1:14" ht="15" customHeight="1" x14ac:dyDescent="0.25">
      <c r="A633" s="497"/>
      <c r="B633" s="396"/>
      <c r="C633" s="404"/>
      <c r="D633" s="398"/>
      <c r="E633" s="308"/>
      <c r="F633" s="400"/>
      <c r="G633" s="297"/>
      <c r="H633" s="297"/>
      <c r="J633" s="297"/>
      <c r="L633" s="312"/>
      <c r="N633" s="297"/>
    </row>
    <row r="634" spans="1:14" ht="15" customHeight="1" x14ac:dyDescent="0.25">
      <c r="A634" s="497"/>
      <c r="B634" s="396"/>
      <c r="C634" s="404"/>
      <c r="D634" s="398"/>
      <c r="E634" s="308"/>
      <c r="F634" s="400"/>
      <c r="G634" s="297"/>
      <c r="H634" s="297"/>
      <c r="J634" s="297"/>
      <c r="L634" s="312"/>
      <c r="N634" s="297"/>
    </row>
    <row r="635" spans="1:14" ht="15" customHeight="1" x14ac:dyDescent="0.25">
      <c r="A635" s="497"/>
      <c r="B635" s="396"/>
      <c r="C635" s="404"/>
      <c r="D635" s="398"/>
      <c r="E635" s="308"/>
      <c r="F635" s="400"/>
      <c r="G635" s="297"/>
      <c r="H635" s="297"/>
      <c r="J635" s="297"/>
      <c r="L635" s="312"/>
      <c r="N635" s="297"/>
    </row>
    <row r="636" spans="1:14" ht="15" customHeight="1" x14ac:dyDescent="0.25">
      <c r="A636" s="497"/>
      <c r="B636" s="396"/>
      <c r="C636" s="404"/>
      <c r="D636" s="398"/>
      <c r="E636" s="308"/>
      <c r="F636" s="400"/>
      <c r="G636" s="297"/>
      <c r="H636" s="297"/>
      <c r="J636" s="297"/>
      <c r="L636" s="312"/>
      <c r="N636" s="297"/>
    </row>
    <row r="637" spans="1:14" ht="15" customHeight="1" x14ac:dyDescent="0.25">
      <c r="A637" s="497"/>
      <c r="B637" s="396"/>
      <c r="C637" s="404"/>
      <c r="D637" s="398"/>
      <c r="E637" s="308"/>
      <c r="F637" s="400"/>
      <c r="G637" s="297"/>
      <c r="H637" s="297"/>
      <c r="J637" s="297"/>
      <c r="L637" s="312"/>
      <c r="N637" s="297"/>
    </row>
    <row r="638" spans="1:14" ht="15" customHeight="1" x14ac:dyDescent="0.25">
      <c r="A638" s="497"/>
      <c r="B638" s="396"/>
      <c r="C638" s="404"/>
      <c r="D638" s="398"/>
      <c r="E638" s="308"/>
      <c r="F638" s="400"/>
      <c r="G638" s="297"/>
      <c r="H638" s="297"/>
      <c r="J638" s="297"/>
      <c r="L638" s="312"/>
      <c r="N638" s="297"/>
    </row>
    <row r="639" spans="1:14" ht="15" customHeight="1" x14ac:dyDescent="0.25">
      <c r="A639" s="497"/>
      <c r="B639" s="396"/>
      <c r="C639" s="404"/>
      <c r="D639" s="398"/>
      <c r="E639" s="308"/>
      <c r="F639" s="400"/>
      <c r="G639" s="297"/>
      <c r="H639" s="297"/>
      <c r="J639" s="297"/>
      <c r="L639" s="312"/>
      <c r="N639" s="297"/>
    </row>
    <row r="640" spans="1:14" ht="15" customHeight="1" x14ac:dyDescent="0.25">
      <c r="A640" s="497"/>
      <c r="B640" s="396"/>
      <c r="C640" s="404"/>
      <c r="D640" s="398"/>
      <c r="E640" s="308"/>
      <c r="F640" s="400"/>
      <c r="G640" s="297"/>
      <c r="H640" s="297"/>
      <c r="J640" s="297"/>
      <c r="L640" s="312"/>
      <c r="N640" s="297"/>
    </row>
    <row r="641" spans="1:14" ht="15" customHeight="1" x14ac:dyDescent="0.25">
      <c r="A641" s="497"/>
      <c r="B641" s="396"/>
      <c r="C641" s="404"/>
      <c r="D641" s="398"/>
      <c r="E641" s="308"/>
      <c r="F641" s="400"/>
      <c r="G641" s="297"/>
      <c r="H641" s="297"/>
      <c r="J641" s="297"/>
      <c r="L641" s="312"/>
      <c r="N641" s="297"/>
    </row>
    <row r="642" spans="1:14" ht="15" customHeight="1" x14ac:dyDescent="0.25">
      <c r="A642" s="497"/>
      <c r="B642" s="396"/>
      <c r="C642" s="404"/>
      <c r="D642" s="398"/>
      <c r="E642" s="308"/>
      <c r="F642" s="400"/>
      <c r="G642" s="297"/>
      <c r="H642" s="297"/>
      <c r="J642" s="297"/>
      <c r="L642" s="312"/>
      <c r="N642" s="297"/>
    </row>
    <row r="643" spans="1:14" ht="15" customHeight="1" x14ac:dyDescent="0.25">
      <c r="A643" s="497"/>
      <c r="B643" s="396"/>
      <c r="C643" s="404"/>
      <c r="D643" s="398"/>
      <c r="E643" s="308"/>
      <c r="F643" s="400"/>
      <c r="G643" s="297"/>
      <c r="H643" s="297"/>
      <c r="J643" s="297"/>
      <c r="L643" s="312"/>
      <c r="N643" s="297"/>
    </row>
    <row r="644" spans="1:14" ht="15" customHeight="1" x14ac:dyDescent="0.25">
      <c r="A644" s="497"/>
      <c r="B644" s="396"/>
      <c r="C644" s="404"/>
      <c r="D644" s="398"/>
      <c r="E644" s="308"/>
      <c r="F644" s="400"/>
      <c r="G644" s="297"/>
      <c r="H644" s="297"/>
      <c r="J644" s="297"/>
      <c r="L644" s="312"/>
      <c r="N644" s="297"/>
    </row>
    <row r="645" spans="1:14" ht="15" customHeight="1" x14ac:dyDescent="0.25">
      <c r="A645" s="497"/>
      <c r="B645" s="396"/>
      <c r="C645" s="404"/>
      <c r="D645" s="398"/>
      <c r="E645" s="308"/>
      <c r="F645" s="400"/>
      <c r="G645" s="297"/>
      <c r="H645" s="297"/>
      <c r="J645" s="297"/>
      <c r="L645" s="312"/>
      <c r="N645" s="297"/>
    </row>
    <row r="646" spans="1:14" ht="15" customHeight="1" x14ac:dyDescent="0.25">
      <c r="A646" s="497"/>
      <c r="B646" s="396"/>
      <c r="C646" s="404"/>
      <c r="D646" s="398"/>
      <c r="E646" s="308"/>
      <c r="F646" s="400"/>
      <c r="G646" s="297"/>
      <c r="H646" s="297"/>
      <c r="J646" s="297"/>
      <c r="L646" s="312"/>
      <c r="N646" s="297"/>
    </row>
    <row r="647" spans="1:14" ht="15" customHeight="1" x14ac:dyDescent="0.25">
      <c r="A647" s="497"/>
      <c r="B647" s="396"/>
      <c r="C647" s="404"/>
      <c r="D647" s="398"/>
      <c r="E647" s="308"/>
      <c r="F647" s="400"/>
      <c r="G647" s="297"/>
      <c r="H647" s="297"/>
      <c r="J647" s="297"/>
      <c r="L647" s="312"/>
      <c r="N647" s="297"/>
    </row>
    <row r="648" spans="1:14" ht="15" customHeight="1" x14ac:dyDescent="0.25">
      <c r="A648" s="497"/>
      <c r="B648" s="396"/>
      <c r="C648" s="404"/>
      <c r="D648" s="398"/>
      <c r="E648" s="308"/>
      <c r="F648" s="400"/>
      <c r="G648" s="297"/>
      <c r="H648" s="297"/>
      <c r="J648" s="297"/>
      <c r="L648" s="312"/>
      <c r="N648" s="297"/>
    </row>
    <row r="649" spans="1:14" ht="15" customHeight="1" x14ac:dyDescent="0.25">
      <c r="A649" s="497"/>
      <c r="B649" s="396"/>
      <c r="C649" s="404"/>
      <c r="D649" s="398"/>
      <c r="E649" s="308"/>
      <c r="F649" s="400"/>
      <c r="G649" s="297"/>
      <c r="H649" s="297"/>
      <c r="J649" s="297"/>
      <c r="L649" s="312"/>
      <c r="N649" s="297"/>
    </row>
    <row r="650" spans="1:14" ht="15" customHeight="1" x14ac:dyDescent="0.25">
      <c r="A650" s="497"/>
      <c r="B650" s="396"/>
      <c r="C650" s="404"/>
      <c r="D650" s="398"/>
      <c r="E650" s="308"/>
      <c r="F650" s="400"/>
      <c r="G650" s="297"/>
      <c r="H650" s="297"/>
      <c r="J650" s="297"/>
      <c r="L650" s="312"/>
      <c r="N650" s="297"/>
    </row>
    <row r="651" spans="1:14" ht="15" customHeight="1" x14ac:dyDescent="0.25">
      <c r="A651" s="497"/>
      <c r="B651" s="396"/>
      <c r="C651" s="404"/>
      <c r="D651" s="398"/>
      <c r="E651" s="308"/>
      <c r="F651" s="400"/>
      <c r="G651" s="297"/>
      <c r="H651" s="297"/>
      <c r="J651" s="297"/>
      <c r="L651" s="312"/>
      <c r="N651" s="297"/>
    </row>
    <row r="652" spans="1:14" ht="15" customHeight="1" x14ac:dyDescent="0.25">
      <c r="A652" s="497"/>
      <c r="B652" s="396"/>
      <c r="C652" s="404"/>
      <c r="D652" s="398"/>
      <c r="E652" s="308"/>
      <c r="F652" s="400"/>
      <c r="G652" s="297"/>
      <c r="H652" s="297"/>
      <c r="J652" s="297"/>
      <c r="L652" s="312"/>
      <c r="N652" s="297"/>
    </row>
    <row r="653" spans="1:14" ht="15" customHeight="1" x14ac:dyDescent="0.25">
      <c r="A653" s="497"/>
      <c r="B653" s="396"/>
      <c r="C653" s="404"/>
      <c r="D653" s="398"/>
      <c r="E653" s="308"/>
      <c r="F653" s="400"/>
      <c r="G653" s="297"/>
      <c r="H653" s="297"/>
      <c r="J653" s="297"/>
      <c r="L653" s="312"/>
      <c r="N653" s="297"/>
    </row>
    <row r="654" spans="1:14" ht="15" customHeight="1" x14ac:dyDescent="0.25">
      <c r="A654" s="497"/>
      <c r="B654" s="396"/>
      <c r="C654" s="404"/>
      <c r="D654" s="398"/>
      <c r="E654" s="308"/>
      <c r="F654" s="400"/>
      <c r="G654" s="297"/>
      <c r="H654" s="297"/>
      <c r="J654" s="297"/>
      <c r="L654" s="312"/>
      <c r="N654" s="297"/>
    </row>
    <row r="655" spans="1:14" ht="15" customHeight="1" x14ac:dyDescent="0.25">
      <c r="A655" s="497"/>
      <c r="B655" s="396"/>
      <c r="C655" s="404"/>
      <c r="D655" s="398"/>
      <c r="E655" s="308"/>
      <c r="F655" s="400"/>
      <c r="G655" s="297"/>
      <c r="H655" s="297"/>
      <c r="J655" s="297"/>
      <c r="L655" s="312"/>
      <c r="N655" s="297"/>
    </row>
    <row r="656" spans="1:14" ht="15" customHeight="1" x14ac:dyDescent="0.25">
      <c r="A656" s="497"/>
      <c r="B656" s="396"/>
      <c r="C656" s="404"/>
      <c r="D656" s="398"/>
      <c r="E656" s="308"/>
      <c r="F656" s="400"/>
      <c r="G656" s="297"/>
      <c r="H656" s="297"/>
      <c r="J656" s="297"/>
      <c r="L656" s="312"/>
      <c r="N656" s="297"/>
    </row>
    <row r="657" spans="1:14" ht="15" customHeight="1" x14ac:dyDescent="0.25">
      <c r="A657" s="497"/>
      <c r="B657" s="396"/>
      <c r="C657" s="404"/>
      <c r="D657" s="398"/>
      <c r="E657" s="308"/>
      <c r="F657" s="400"/>
      <c r="G657" s="297"/>
      <c r="H657" s="297"/>
      <c r="J657" s="297"/>
      <c r="L657" s="312"/>
      <c r="N657" s="297"/>
    </row>
    <row r="658" spans="1:14" ht="15" customHeight="1" x14ac:dyDescent="0.25">
      <c r="A658" s="497"/>
      <c r="B658" s="396"/>
      <c r="C658" s="404"/>
      <c r="D658" s="398"/>
      <c r="E658" s="308"/>
      <c r="F658" s="400"/>
      <c r="G658" s="297"/>
      <c r="H658" s="297"/>
      <c r="J658" s="297"/>
      <c r="L658" s="312"/>
      <c r="N658" s="297"/>
    </row>
    <row r="659" spans="1:14" ht="15" customHeight="1" x14ac:dyDescent="0.25">
      <c r="A659" s="497"/>
      <c r="B659" s="396"/>
      <c r="C659" s="404"/>
      <c r="D659" s="398"/>
      <c r="E659" s="308"/>
      <c r="F659" s="400"/>
      <c r="G659" s="297"/>
      <c r="H659" s="297"/>
      <c r="J659" s="297"/>
      <c r="L659" s="312"/>
      <c r="N659" s="297"/>
    </row>
    <row r="660" spans="1:14" ht="15" customHeight="1" x14ac:dyDescent="0.25">
      <c r="A660" s="497"/>
      <c r="B660" s="396"/>
      <c r="C660" s="404"/>
      <c r="D660" s="398"/>
      <c r="E660" s="308"/>
      <c r="F660" s="400"/>
      <c r="G660" s="297"/>
      <c r="H660" s="297"/>
      <c r="J660" s="297"/>
      <c r="L660" s="312"/>
      <c r="N660" s="297"/>
    </row>
    <row r="661" spans="1:14" ht="15" customHeight="1" x14ac:dyDescent="0.25">
      <c r="A661" s="497"/>
      <c r="B661" s="396"/>
      <c r="C661" s="404"/>
      <c r="D661" s="398"/>
      <c r="E661" s="308"/>
      <c r="F661" s="400"/>
      <c r="G661" s="297"/>
      <c r="H661" s="297"/>
      <c r="J661" s="297"/>
      <c r="L661" s="312"/>
      <c r="N661" s="297"/>
    </row>
    <row r="662" spans="1:14" ht="15" customHeight="1" x14ac:dyDescent="0.25">
      <c r="A662" s="497"/>
      <c r="B662" s="396"/>
      <c r="C662" s="404"/>
      <c r="D662" s="398"/>
      <c r="E662" s="308"/>
      <c r="F662" s="400"/>
      <c r="G662" s="297"/>
      <c r="H662" s="297"/>
      <c r="J662" s="297"/>
      <c r="L662" s="312"/>
      <c r="N662" s="297"/>
    </row>
    <row r="663" spans="1:14" ht="15" customHeight="1" x14ac:dyDescent="0.25">
      <c r="A663" s="497"/>
      <c r="B663" s="396"/>
      <c r="C663" s="404"/>
      <c r="D663" s="398"/>
      <c r="E663" s="308"/>
      <c r="F663" s="400"/>
      <c r="G663" s="297"/>
      <c r="H663" s="297"/>
      <c r="J663" s="297"/>
      <c r="L663" s="312"/>
      <c r="N663" s="297"/>
    </row>
    <row r="664" spans="1:14" ht="15" customHeight="1" x14ac:dyDescent="0.25">
      <c r="A664" s="497"/>
      <c r="B664" s="396"/>
      <c r="C664" s="404"/>
      <c r="D664" s="398"/>
      <c r="E664" s="308"/>
      <c r="F664" s="400"/>
      <c r="G664" s="297"/>
      <c r="H664" s="297"/>
      <c r="J664" s="297"/>
      <c r="L664" s="312"/>
      <c r="N664" s="297"/>
    </row>
    <row r="665" spans="1:14" ht="15" customHeight="1" x14ac:dyDescent="0.25">
      <c r="A665" s="497"/>
      <c r="B665" s="396"/>
      <c r="C665" s="404"/>
      <c r="D665" s="398"/>
      <c r="E665" s="308"/>
      <c r="F665" s="400"/>
      <c r="G665" s="297"/>
      <c r="H665" s="297"/>
      <c r="J665" s="297"/>
      <c r="L665" s="312"/>
      <c r="N665" s="297"/>
    </row>
    <row r="666" spans="1:14" ht="15" customHeight="1" x14ac:dyDescent="0.25">
      <c r="A666" s="497"/>
      <c r="B666" s="396"/>
      <c r="C666" s="404"/>
      <c r="D666" s="398"/>
      <c r="E666" s="308"/>
      <c r="F666" s="400"/>
      <c r="G666" s="297"/>
      <c r="H666" s="297"/>
      <c r="J666" s="297"/>
      <c r="L666" s="312"/>
      <c r="N666" s="297"/>
    </row>
    <row r="667" spans="1:14" ht="15" customHeight="1" x14ac:dyDescent="0.25">
      <c r="A667" s="497"/>
      <c r="B667" s="396"/>
      <c r="C667" s="404"/>
      <c r="D667" s="398"/>
      <c r="E667" s="308"/>
      <c r="F667" s="400"/>
      <c r="G667" s="297"/>
      <c r="H667" s="297"/>
      <c r="J667" s="297"/>
      <c r="L667" s="312"/>
      <c r="N667" s="297"/>
    </row>
    <row r="668" spans="1:14" ht="15" customHeight="1" x14ac:dyDescent="0.25">
      <c r="A668" s="497"/>
      <c r="B668" s="396"/>
      <c r="C668" s="404"/>
      <c r="D668" s="398"/>
      <c r="E668" s="308"/>
      <c r="F668" s="400"/>
      <c r="G668" s="297"/>
      <c r="H668" s="297"/>
      <c r="J668" s="297"/>
      <c r="L668" s="312"/>
      <c r="N668" s="297"/>
    </row>
    <row r="669" spans="1:14" ht="15" customHeight="1" x14ac:dyDescent="0.25">
      <c r="A669" s="497"/>
      <c r="B669" s="396"/>
      <c r="C669" s="404"/>
      <c r="D669" s="398"/>
      <c r="E669" s="308"/>
      <c r="F669" s="400"/>
      <c r="G669" s="297"/>
      <c r="H669" s="297"/>
      <c r="J669" s="297"/>
      <c r="L669" s="312"/>
      <c r="N669" s="297"/>
    </row>
    <row r="670" spans="1:14" ht="15" customHeight="1" x14ac:dyDescent="0.25">
      <c r="A670" s="497"/>
      <c r="B670" s="396"/>
      <c r="C670" s="404"/>
      <c r="D670" s="398"/>
      <c r="E670" s="308"/>
      <c r="F670" s="400"/>
      <c r="G670" s="297"/>
      <c r="H670" s="297"/>
      <c r="J670" s="297"/>
      <c r="L670" s="312"/>
      <c r="N670" s="297"/>
    </row>
    <row r="671" spans="1:14" ht="15" customHeight="1" x14ac:dyDescent="0.25">
      <c r="A671" s="497"/>
      <c r="B671" s="396"/>
      <c r="C671" s="404"/>
      <c r="D671" s="398"/>
      <c r="E671" s="308"/>
      <c r="F671" s="400"/>
      <c r="G671" s="297"/>
      <c r="H671" s="297"/>
      <c r="J671" s="297"/>
      <c r="L671" s="312"/>
      <c r="N671" s="297"/>
    </row>
    <row r="672" spans="1:14" ht="15" customHeight="1" x14ac:dyDescent="0.25">
      <c r="A672" s="497"/>
      <c r="B672" s="396"/>
      <c r="C672" s="404"/>
      <c r="D672" s="398"/>
      <c r="E672" s="308"/>
      <c r="F672" s="400"/>
      <c r="G672" s="297"/>
      <c r="H672" s="297"/>
      <c r="J672" s="297"/>
      <c r="L672" s="312"/>
      <c r="N672" s="297"/>
    </row>
    <row r="673" spans="1:14" ht="15" customHeight="1" x14ac:dyDescent="0.25">
      <c r="A673" s="497"/>
      <c r="B673" s="396"/>
      <c r="C673" s="404"/>
      <c r="D673" s="398"/>
      <c r="E673" s="308"/>
      <c r="F673" s="400"/>
      <c r="G673" s="297"/>
      <c r="H673" s="297"/>
      <c r="J673" s="297"/>
      <c r="L673" s="312"/>
      <c r="N673" s="297"/>
    </row>
    <row r="674" spans="1:14" ht="15" customHeight="1" x14ac:dyDescent="0.25">
      <c r="A674" s="497"/>
      <c r="B674" s="396"/>
      <c r="C674" s="404"/>
      <c r="D674" s="398"/>
      <c r="E674" s="308"/>
      <c r="F674" s="400"/>
      <c r="G674" s="297"/>
      <c r="H674" s="297"/>
      <c r="J674" s="297"/>
      <c r="L674" s="312"/>
      <c r="N674" s="297"/>
    </row>
    <row r="675" spans="1:14" ht="15" customHeight="1" x14ac:dyDescent="0.25">
      <c r="A675" s="497"/>
      <c r="B675" s="396"/>
      <c r="C675" s="404"/>
      <c r="D675" s="398"/>
      <c r="E675" s="308"/>
      <c r="F675" s="400"/>
      <c r="G675" s="297"/>
      <c r="H675" s="297"/>
      <c r="J675" s="297"/>
      <c r="L675" s="312"/>
      <c r="N675" s="297"/>
    </row>
    <row r="676" spans="1:14" ht="15" customHeight="1" x14ac:dyDescent="0.25">
      <c r="A676" s="497"/>
      <c r="B676" s="396"/>
      <c r="C676" s="404"/>
      <c r="D676" s="398"/>
      <c r="E676" s="308"/>
      <c r="F676" s="400"/>
      <c r="G676" s="297"/>
      <c r="H676" s="297"/>
      <c r="J676" s="297"/>
      <c r="L676" s="312"/>
      <c r="N676" s="297"/>
    </row>
    <row r="677" spans="1:14" ht="15" customHeight="1" x14ac:dyDescent="0.25">
      <c r="A677" s="497"/>
      <c r="B677" s="396"/>
      <c r="C677" s="404"/>
      <c r="D677" s="398"/>
      <c r="E677" s="308"/>
      <c r="F677" s="400"/>
      <c r="G677" s="297"/>
      <c r="H677" s="297"/>
      <c r="J677" s="297"/>
      <c r="L677" s="312"/>
      <c r="N677" s="297"/>
    </row>
    <row r="678" spans="1:14" ht="15" customHeight="1" x14ac:dyDescent="0.25">
      <c r="A678" s="497"/>
      <c r="B678" s="396"/>
      <c r="C678" s="404"/>
      <c r="D678" s="398"/>
      <c r="E678" s="308"/>
      <c r="F678" s="400"/>
      <c r="G678" s="297"/>
      <c r="H678" s="297"/>
      <c r="J678" s="297"/>
      <c r="L678" s="312"/>
      <c r="N678" s="297"/>
    </row>
    <row r="679" spans="1:14" ht="15" customHeight="1" x14ac:dyDescent="0.25">
      <c r="A679" s="497"/>
      <c r="B679" s="396"/>
      <c r="C679" s="404"/>
      <c r="D679" s="398"/>
      <c r="E679" s="308"/>
      <c r="F679" s="400"/>
      <c r="G679" s="297"/>
      <c r="H679" s="297"/>
      <c r="J679" s="297"/>
      <c r="L679" s="312"/>
      <c r="N679" s="297"/>
    </row>
    <row r="680" spans="1:14" ht="15" customHeight="1" x14ac:dyDescent="0.25">
      <c r="A680" s="497"/>
      <c r="B680" s="396"/>
      <c r="C680" s="404"/>
      <c r="D680" s="398"/>
      <c r="E680" s="308"/>
      <c r="F680" s="400"/>
      <c r="G680" s="297"/>
      <c r="H680" s="297"/>
      <c r="J680" s="297"/>
      <c r="L680" s="312"/>
      <c r="N680" s="297"/>
    </row>
    <row r="681" spans="1:14" ht="15" customHeight="1" x14ac:dyDescent="0.25">
      <c r="A681" s="497"/>
      <c r="B681" s="396"/>
      <c r="C681" s="404"/>
      <c r="D681" s="398"/>
      <c r="E681" s="308"/>
      <c r="F681" s="400"/>
      <c r="G681" s="297"/>
      <c r="H681" s="297"/>
      <c r="J681" s="297"/>
      <c r="L681" s="312"/>
      <c r="N681" s="297"/>
    </row>
    <row r="682" spans="1:14" ht="15" customHeight="1" x14ac:dyDescent="0.25">
      <c r="A682" s="497"/>
      <c r="B682" s="396"/>
      <c r="C682" s="404"/>
      <c r="D682" s="398"/>
      <c r="E682" s="308"/>
      <c r="F682" s="400"/>
      <c r="G682" s="297"/>
      <c r="H682" s="297"/>
      <c r="J682" s="297"/>
      <c r="L682" s="312"/>
      <c r="N682" s="297"/>
    </row>
    <row r="683" spans="1:14" ht="15" customHeight="1" x14ac:dyDescent="0.25">
      <c r="A683" s="497"/>
      <c r="B683" s="396"/>
      <c r="C683" s="404"/>
      <c r="D683" s="398"/>
      <c r="E683" s="308"/>
      <c r="F683" s="400"/>
      <c r="G683" s="297"/>
      <c r="H683" s="297"/>
      <c r="J683" s="297"/>
      <c r="L683" s="312"/>
      <c r="N683" s="297"/>
    </row>
    <row r="684" spans="1:14" ht="15" customHeight="1" x14ac:dyDescent="0.25">
      <c r="A684" s="497"/>
      <c r="B684" s="396"/>
      <c r="C684" s="404"/>
      <c r="D684" s="398"/>
      <c r="E684" s="308"/>
      <c r="F684" s="400"/>
      <c r="G684" s="297"/>
      <c r="H684" s="297"/>
      <c r="J684" s="297"/>
      <c r="L684" s="312"/>
      <c r="N684" s="297"/>
    </row>
    <row r="685" spans="1:14" ht="15" customHeight="1" x14ac:dyDescent="0.25">
      <c r="A685" s="497"/>
      <c r="B685" s="396"/>
      <c r="C685" s="404"/>
      <c r="D685" s="398"/>
      <c r="E685" s="308"/>
      <c r="F685" s="400"/>
      <c r="G685" s="297"/>
      <c r="H685" s="297"/>
      <c r="J685" s="297"/>
      <c r="L685" s="312"/>
      <c r="N685" s="297"/>
    </row>
    <row r="686" spans="1:14" ht="15" customHeight="1" x14ac:dyDescent="0.25">
      <c r="A686" s="497"/>
      <c r="B686" s="396"/>
      <c r="C686" s="404"/>
      <c r="D686" s="398"/>
      <c r="E686" s="308"/>
      <c r="F686" s="400"/>
      <c r="G686" s="297"/>
      <c r="H686" s="297"/>
      <c r="J686" s="297"/>
      <c r="L686" s="312"/>
      <c r="N686" s="297"/>
    </row>
    <row r="687" spans="1:14" ht="15" customHeight="1" x14ac:dyDescent="0.25">
      <c r="A687" s="497"/>
      <c r="B687" s="396"/>
      <c r="C687" s="404"/>
      <c r="D687" s="398"/>
      <c r="E687" s="308"/>
      <c r="F687" s="400"/>
      <c r="G687" s="297"/>
      <c r="H687" s="297"/>
      <c r="J687" s="297"/>
      <c r="L687" s="312"/>
      <c r="N687" s="297"/>
    </row>
    <row r="688" spans="1:14" ht="15" customHeight="1" x14ac:dyDescent="0.25">
      <c r="A688" s="497"/>
      <c r="B688" s="396"/>
      <c r="C688" s="404"/>
      <c r="D688" s="398"/>
      <c r="E688" s="308"/>
      <c r="F688" s="400"/>
      <c r="G688" s="297"/>
      <c r="H688" s="297"/>
      <c r="J688" s="297"/>
      <c r="L688" s="312"/>
      <c r="N688" s="297"/>
    </row>
    <row r="689" spans="1:14" ht="15" customHeight="1" x14ac:dyDescent="0.25">
      <c r="A689" s="497"/>
      <c r="B689" s="396"/>
      <c r="C689" s="404"/>
      <c r="D689" s="398"/>
      <c r="E689" s="308"/>
      <c r="F689" s="400"/>
      <c r="G689" s="297"/>
      <c r="H689" s="297"/>
      <c r="J689" s="297"/>
      <c r="L689" s="312"/>
      <c r="N689" s="297"/>
    </row>
    <row r="690" spans="1:14" ht="15" customHeight="1" x14ac:dyDescent="0.25">
      <c r="A690" s="497"/>
      <c r="B690" s="396"/>
      <c r="C690" s="404"/>
      <c r="D690" s="398"/>
      <c r="E690" s="308"/>
      <c r="F690" s="400"/>
      <c r="G690" s="297"/>
      <c r="H690" s="297"/>
      <c r="J690" s="297"/>
      <c r="L690" s="312"/>
      <c r="N690" s="297"/>
    </row>
    <row r="691" spans="1:14" ht="15" customHeight="1" x14ac:dyDescent="0.25">
      <c r="A691" s="497"/>
      <c r="B691" s="396"/>
      <c r="C691" s="404"/>
      <c r="D691" s="398"/>
      <c r="E691" s="308"/>
      <c r="F691" s="400"/>
      <c r="G691" s="297"/>
      <c r="H691" s="297"/>
      <c r="J691" s="297"/>
      <c r="L691" s="312"/>
      <c r="N691" s="297"/>
    </row>
    <row r="692" spans="1:14" ht="15" customHeight="1" x14ac:dyDescent="0.25">
      <c r="A692" s="497"/>
      <c r="B692" s="396"/>
      <c r="C692" s="404"/>
      <c r="D692" s="398"/>
      <c r="E692" s="308"/>
      <c r="F692" s="400"/>
      <c r="G692" s="297"/>
      <c r="H692" s="297"/>
      <c r="J692" s="297"/>
      <c r="L692" s="312"/>
      <c r="N692" s="297"/>
    </row>
    <row r="693" spans="1:14" ht="15" customHeight="1" x14ac:dyDescent="0.25">
      <c r="A693" s="497"/>
      <c r="B693" s="396"/>
      <c r="C693" s="404"/>
      <c r="D693" s="398"/>
      <c r="E693" s="308"/>
      <c r="F693" s="400"/>
      <c r="G693" s="297"/>
      <c r="H693" s="297"/>
      <c r="J693" s="297"/>
      <c r="L693" s="312"/>
      <c r="N693" s="297"/>
    </row>
    <row r="694" spans="1:14" ht="15" customHeight="1" x14ac:dyDescent="0.25">
      <c r="A694" s="497"/>
      <c r="B694" s="396"/>
      <c r="C694" s="404"/>
      <c r="D694" s="398"/>
      <c r="E694" s="308"/>
      <c r="F694" s="400"/>
      <c r="G694" s="297"/>
      <c r="H694" s="297"/>
      <c r="J694" s="297"/>
      <c r="L694" s="312"/>
      <c r="N694" s="297"/>
    </row>
    <row r="695" spans="1:14" ht="15" customHeight="1" x14ac:dyDescent="0.25">
      <c r="A695" s="497"/>
      <c r="B695" s="396"/>
      <c r="C695" s="404"/>
      <c r="D695" s="398"/>
      <c r="E695" s="308"/>
      <c r="F695" s="400"/>
      <c r="G695" s="297"/>
      <c r="H695" s="297"/>
      <c r="J695" s="297"/>
      <c r="L695" s="312"/>
      <c r="N695" s="297"/>
    </row>
    <row r="696" spans="1:14" ht="15" customHeight="1" x14ac:dyDescent="0.25">
      <c r="A696" s="497"/>
      <c r="B696" s="396"/>
      <c r="C696" s="404"/>
      <c r="D696" s="398"/>
      <c r="E696" s="308"/>
      <c r="F696" s="400"/>
      <c r="G696" s="297"/>
      <c r="H696" s="297"/>
      <c r="J696" s="297"/>
      <c r="L696" s="312"/>
      <c r="N696" s="297"/>
    </row>
    <row r="697" spans="1:14" ht="15" customHeight="1" x14ac:dyDescent="0.25">
      <c r="A697" s="497"/>
      <c r="B697" s="396"/>
      <c r="C697" s="404"/>
      <c r="D697" s="398"/>
      <c r="E697" s="308"/>
      <c r="F697" s="400"/>
      <c r="G697" s="297"/>
      <c r="H697" s="297"/>
      <c r="J697" s="297"/>
      <c r="L697" s="312"/>
      <c r="N697" s="297"/>
    </row>
    <row r="698" spans="1:14" ht="15" customHeight="1" x14ac:dyDescent="0.25">
      <c r="A698" s="497"/>
      <c r="B698" s="396"/>
      <c r="C698" s="404"/>
      <c r="D698" s="398"/>
      <c r="E698" s="308"/>
      <c r="F698" s="400"/>
      <c r="G698" s="297"/>
      <c r="H698" s="297"/>
      <c r="J698" s="297"/>
      <c r="L698" s="312"/>
      <c r="N698" s="297"/>
    </row>
    <row r="699" spans="1:14" ht="15" customHeight="1" x14ac:dyDescent="0.25">
      <c r="A699" s="497"/>
      <c r="B699" s="396"/>
      <c r="C699" s="404"/>
      <c r="D699" s="398"/>
      <c r="E699" s="308"/>
      <c r="F699" s="400"/>
      <c r="G699" s="297"/>
      <c r="H699" s="297"/>
      <c r="J699" s="297"/>
      <c r="L699" s="312"/>
      <c r="N699" s="297"/>
    </row>
    <row r="700" spans="1:14" ht="15" customHeight="1" x14ac:dyDescent="0.25">
      <c r="A700" s="497"/>
      <c r="B700" s="396"/>
      <c r="C700" s="404"/>
      <c r="D700" s="398"/>
      <c r="E700" s="308"/>
      <c r="F700" s="400"/>
      <c r="G700" s="297"/>
      <c r="H700" s="297"/>
      <c r="J700" s="297"/>
      <c r="L700" s="312"/>
      <c r="N700" s="297"/>
    </row>
    <row r="701" spans="1:14" ht="15" customHeight="1" x14ac:dyDescent="0.25">
      <c r="A701" s="497"/>
      <c r="B701" s="396"/>
      <c r="C701" s="404"/>
      <c r="D701" s="398"/>
      <c r="E701" s="308"/>
      <c r="F701" s="400"/>
      <c r="G701" s="297"/>
      <c r="H701" s="297"/>
      <c r="J701" s="297"/>
      <c r="L701" s="312"/>
      <c r="N701" s="297"/>
    </row>
    <row r="702" spans="1:14" ht="15" customHeight="1" x14ac:dyDescent="0.25">
      <c r="A702" s="497"/>
      <c r="B702" s="396"/>
      <c r="C702" s="404"/>
      <c r="D702" s="398"/>
      <c r="E702" s="308"/>
      <c r="F702" s="400"/>
      <c r="G702" s="297"/>
      <c r="H702" s="297"/>
      <c r="J702" s="297"/>
      <c r="L702" s="312"/>
      <c r="N702" s="297"/>
    </row>
    <row r="703" spans="1:14" ht="15" customHeight="1" x14ac:dyDescent="0.25">
      <c r="A703" s="497"/>
      <c r="B703" s="396"/>
      <c r="C703" s="404"/>
      <c r="D703" s="398"/>
      <c r="E703" s="308"/>
      <c r="F703" s="400"/>
      <c r="G703" s="297"/>
      <c r="H703" s="297"/>
      <c r="J703" s="297"/>
      <c r="L703" s="312"/>
      <c r="N703" s="297"/>
    </row>
    <row r="704" spans="1:14" ht="15" customHeight="1" x14ac:dyDescent="0.25">
      <c r="A704" s="497"/>
      <c r="B704" s="396"/>
      <c r="C704" s="404"/>
      <c r="D704" s="398"/>
      <c r="E704" s="308"/>
      <c r="F704" s="400"/>
      <c r="G704" s="297"/>
      <c r="H704" s="297"/>
      <c r="J704" s="297"/>
      <c r="L704" s="312"/>
      <c r="N704" s="297"/>
    </row>
    <row r="705" spans="1:14" ht="15" customHeight="1" x14ac:dyDescent="0.25">
      <c r="A705" s="497"/>
      <c r="B705" s="396"/>
      <c r="C705" s="404"/>
      <c r="D705" s="398"/>
      <c r="E705" s="308"/>
      <c r="F705" s="400"/>
      <c r="G705" s="297"/>
      <c r="H705" s="297"/>
      <c r="J705" s="297"/>
      <c r="L705" s="312"/>
      <c r="N705" s="297"/>
    </row>
    <row r="706" spans="1:14" ht="15" customHeight="1" x14ac:dyDescent="0.25">
      <c r="A706" s="497"/>
      <c r="B706" s="396"/>
      <c r="C706" s="404"/>
      <c r="D706" s="398"/>
      <c r="E706" s="308"/>
      <c r="F706" s="400"/>
      <c r="G706" s="297"/>
      <c r="H706" s="297"/>
      <c r="J706" s="297"/>
      <c r="L706" s="312"/>
      <c r="N706" s="297"/>
    </row>
    <row r="707" spans="1:14" ht="15" customHeight="1" x14ac:dyDescent="0.25">
      <c r="A707" s="497"/>
      <c r="B707" s="396"/>
      <c r="C707" s="404"/>
      <c r="D707" s="398"/>
      <c r="E707" s="308"/>
      <c r="F707" s="400"/>
      <c r="G707" s="297"/>
      <c r="H707" s="297"/>
      <c r="J707" s="297"/>
      <c r="L707" s="312"/>
      <c r="N707" s="297"/>
    </row>
    <row r="708" spans="1:14" ht="15" customHeight="1" x14ac:dyDescent="0.25">
      <c r="A708" s="497"/>
      <c r="B708" s="396"/>
      <c r="C708" s="404"/>
      <c r="D708" s="398"/>
      <c r="E708" s="308"/>
      <c r="F708" s="400"/>
      <c r="G708" s="297"/>
      <c r="H708" s="297"/>
      <c r="J708" s="297"/>
      <c r="L708" s="312"/>
      <c r="N708" s="297"/>
    </row>
    <row r="709" spans="1:14" ht="15" customHeight="1" x14ac:dyDescent="0.25">
      <c r="A709" s="497"/>
      <c r="B709" s="396"/>
      <c r="C709" s="404"/>
      <c r="D709" s="398"/>
      <c r="E709" s="308"/>
      <c r="F709" s="400"/>
      <c r="G709" s="297"/>
      <c r="H709" s="297"/>
      <c r="J709" s="297"/>
      <c r="L709" s="312"/>
      <c r="N709" s="297"/>
    </row>
    <row r="710" spans="1:14" ht="15" customHeight="1" x14ac:dyDescent="0.25">
      <c r="A710" s="497"/>
      <c r="B710" s="396"/>
      <c r="C710" s="404"/>
      <c r="D710" s="398"/>
      <c r="E710" s="308"/>
      <c r="F710" s="400"/>
      <c r="G710" s="297"/>
      <c r="H710" s="297"/>
      <c r="J710" s="297"/>
      <c r="L710" s="312"/>
      <c r="N710" s="297"/>
    </row>
    <row r="711" spans="1:14" ht="15" customHeight="1" x14ac:dyDescent="0.25">
      <c r="A711" s="497"/>
      <c r="B711" s="396"/>
      <c r="C711" s="404"/>
      <c r="D711" s="398"/>
      <c r="E711" s="308"/>
      <c r="F711" s="400"/>
      <c r="G711" s="297"/>
      <c r="H711" s="297"/>
      <c r="J711" s="297"/>
      <c r="L711" s="312"/>
      <c r="N711" s="297"/>
    </row>
    <row r="712" spans="1:14" ht="15" customHeight="1" x14ac:dyDescent="0.25">
      <c r="A712" s="497"/>
      <c r="B712" s="396"/>
      <c r="C712" s="404"/>
      <c r="D712" s="398"/>
      <c r="E712" s="308"/>
      <c r="F712" s="400"/>
      <c r="G712" s="297"/>
      <c r="H712" s="297"/>
      <c r="J712" s="297"/>
      <c r="L712" s="312"/>
      <c r="N712" s="297"/>
    </row>
    <row r="713" spans="1:14" ht="15" customHeight="1" x14ac:dyDescent="0.25">
      <c r="A713" s="497"/>
      <c r="B713" s="396"/>
      <c r="C713" s="404"/>
      <c r="D713" s="398"/>
      <c r="E713" s="308"/>
      <c r="F713" s="400"/>
      <c r="G713" s="297"/>
      <c r="H713" s="297"/>
      <c r="J713" s="297"/>
      <c r="L713" s="312"/>
      <c r="N713" s="297"/>
    </row>
    <row r="714" spans="1:14" ht="15" customHeight="1" x14ac:dyDescent="0.25">
      <c r="A714" s="497"/>
      <c r="B714" s="396"/>
      <c r="C714" s="404"/>
      <c r="D714" s="398"/>
      <c r="E714" s="308"/>
      <c r="F714" s="400"/>
      <c r="G714" s="297"/>
      <c r="H714" s="297"/>
      <c r="J714" s="297"/>
      <c r="L714" s="312"/>
      <c r="N714" s="297"/>
    </row>
    <row r="715" spans="1:14" ht="15" customHeight="1" x14ac:dyDescent="0.25">
      <c r="A715" s="497"/>
      <c r="B715" s="396"/>
      <c r="C715" s="404"/>
      <c r="D715" s="398"/>
      <c r="E715" s="308"/>
      <c r="F715" s="400"/>
      <c r="G715" s="297"/>
      <c r="H715" s="297"/>
      <c r="J715" s="297"/>
      <c r="L715" s="312"/>
      <c r="N715" s="297"/>
    </row>
    <row r="716" spans="1:14" ht="15" customHeight="1" x14ac:dyDescent="0.25">
      <c r="A716" s="497"/>
      <c r="B716" s="396"/>
      <c r="C716" s="404"/>
      <c r="D716" s="398"/>
      <c r="E716" s="308"/>
      <c r="F716" s="400"/>
      <c r="G716" s="297"/>
      <c r="H716" s="297"/>
      <c r="J716" s="297"/>
      <c r="L716" s="312"/>
      <c r="N716" s="297"/>
    </row>
    <row r="717" spans="1:14" ht="15" customHeight="1" x14ac:dyDescent="0.25">
      <c r="A717" s="497"/>
      <c r="B717" s="396"/>
      <c r="C717" s="404"/>
      <c r="D717" s="398"/>
      <c r="E717" s="308"/>
      <c r="F717" s="400"/>
      <c r="G717" s="297"/>
      <c r="H717" s="297"/>
      <c r="J717" s="297"/>
      <c r="L717" s="312"/>
      <c r="N717" s="297"/>
    </row>
    <row r="718" spans="1:14" ht="15" customHeight="1" x14ac:dyDescent="0.25">
      <c r="A718" s="497"/>
      <c r="B718" s="396"/>
      <c r="C718" s="404"/>
      <c r="D718" s="398"/>
      <c r="E718" s="308"/>
      <c r="F718" s="400"/>
      <c r="G718" s="297"/>
      <c r="H718" s="297"/>
      <c r="J718" s="297"/>
      <c r="L718" s="312"/>
      <c r="N718" s="297"/>
    </row>
    <row r="719" spans="1:14" ht="15" customHeight="1" x14ac:dyDescent="0.25">
      <c r="A719" s="497"/>
      <c r="B719" s="396"/>
      <c r="C719" s="404"/>
      <c r="D719" s="398"/>
      <c r="E719" s="308"/>
      <c r="F719" s="400"/>
      <c r="G719" s="297"/>
      <c r="H719" s="297"/>
      <c r="J719" s="297"/>
      <c r="L719" s="312"/>
      <c r="N719" s="297"/>
    </row>
    <row r="720" spans="1:14" ht="15" customHeight="1" x14ac:dyDescent="0.25">
      <c r="A720" s="497"/>
      <c r="B720" s="396"/>
      <c r="C720" s="404"/>
      <c r="D720" s="398"/>
      <c r="E720" s="308"/>
      <c r="F720" s="400"/>
      <c r="G720" s="297"/>
      <c r="H720" s="297"/>
      <c r="J720" s="297"/>
      <c r="L720" s="312"/>
      <c r="N720" s="297"/>
    </row>
    <row r="721" spans="1:14" ht="15" customHeight="1" x14ac:dyDescent="0.25">
      <c r="A721" s="497"/>
      <c r="B721" s="396"/>
      <c r="C721" s="404"/>
      <c r="D721" s="398"/>
      <c r="E721" s="308"/>
      <c r="F721" s="400"/>
      <c r="G721" s="297"/>
      <c r="H721" s="297"/>
      <c r="J721" s="297"/>
      <c r="L721" s="312"/>
      <c r="N721" s="297"/>
    </row>
    <row r="722" spans="1:14" ht="15" customHeight="1" x14ac:dyDescent="0.25">
      <c r="A722" s="497"/>
      <c r="B722" s="396"/>
      <c r="C722" s="404"/>
      <c r="D722" s="398"/>
      <c r="E722" s="308"/>
      <c r="F722" s="400"/>
      <c r="G722" s="297"/>
      <c r="H722" s="297"/>
      <c r="J722" s="297"/>
      <c r="L722" s="312"/>
      <c r="N722" s="297"/>
    </row>
    <row r="723" spans="1:14" ht="15" customHeight="1" x14ac:dyDescent="0.25">
      <c r="A723" s="497"/>
      <c r="B723" s="396"/>
      <c r="C723" s="404"/>
      <c r="D723" s="398"/>
      <c r="E723" s="308"/>
      <c r="F723" s="400"/>
      <c r="G723" s="297"/>
      <c r="H723" s="297"/>
      <c r="J723" s="297"/>
      <c r="L723" s="312"/>
      <c r="N723" s="297"/>
    </row>
    <row r="724" spans="1:14" ht="15" customHeight="1" x14ac:dyDescent="0.25">
      <c r="A724" s="497"/>
      <c r="B724" s="396"/>
      <c r="C724" s="404"/>
      <c r="D724" s="398"/>
      <c r="E724" s="308"/>
      <c r="F724" s="400"/>
      <c r="G724" s="297"/>
      <c r="H724" s="297"/>
      <c r="J724" s="297"/>
      <c r="L724" s="312"/>
      <c r="N724" s="297"/>
    </row>
    <row r="725" spans="1:14" ht="15" customHeight="1" x14ac:dyDescent="0.25">
      <c r="A725" s="497"/>
      <c r="B725" s="396"/>
      <c r="C725" s="404"/>
      <c r="D725" s="398"/>
      <c r="E725" s="308"/>
      <c r="F725" s="400"/>
      <c r="G725" s="297"/>
      <c r="H725" s="297"/>
      <c r="J725" s="297"/>
      <c r="L725" s="312"/>
      <c r="N725" s="297"/>
    </row>
    <row r="726" spans="1:14" ht="15" customHeight="1" x14ac:dyDescent="0.25">
      <c r="A726" s="497"/>
      <c r="B726" s="396"/>
      <c r="C726" s="404"/>
      <c r="D726" s="398"/>
      <c r="E726" s="308"/>
      <c r="F726" s="400"/>
      <c r="G726" s="297"/>
      <c r="H726" s="297"/>
      <c r="J726" s="297"/>
      <c r="L726" s="312"/>
      <c r="N726" s="297"/>
    </row>
    <row r="727" spans="1:14" ht="15" customHeight="1" x14ac:dyDescent="0.25">
      <c r="A727" s="497"/>
      <c r="B727" s="396"/>
      <c r="C727" s="404"/>
      <c r="D727" s="398"/>
      <c r="E727" s="308"/>
      <c r="F727" s="400"/>
      <c r="G727" s="297"/>
      <c r="H727" s="297"/>
      <c r="J727" s="297"/>
      <c r="L727" s="312"/>
      <c r="N727" s="297"/>
    </row>
    <row r="728" spans="1:14" ht="15" customHeight="1" x14ac:dyDescent="0.25">
      <c r="A728" s="497"/>
      <c r="B728" s="396"/>
      <c r="C728" s="404"/>
      <c r="D728" s="398"/>
      <c r="E728" s="308"/>
      <c r="F728" s="400"/>
      <c r="G728" s="297"/>
      <c r="H728" s="297"/>
      <c r="J728" s="297"/>
      <c r="L728" s="312"/>
      <c r="N728" s="297"/>
    </row>
    <row r="729" spans="1:14" ht="15" customHeight="1" x14ac:dyDescent="0.25">
      <c r="A729" s="497"/>
      <c r="B729" s="396"/>
      <c r="C729" s="404"/>
      <c r="D729" s="398"/>
      <c r="E729" s="308"/>
      <c r="F729" s="400"/>
      <c r="G729" s="297"/>
      <c r="H729" s="297"/>
      <c r="J729" s="297"/>
      <c r="L729" s="312"/>
      <c r="N729" s="297"/>
    </row>
    <row r="730" spans="1:14" ht="15" customHeight="1" x14ac:dyDescent="0.25">
      <c r="A730" s="497"/>
      <c r="B730" s="396"/>
      <c r="C730" s="404"/>
      <c r="D730" s="398"/>
      <c r="E730" s="308"/>
      <c r="F730" s="400"/>
      <c r="G730" s="297"/>
      <c r="H730" s="297"/>
      <c r="J730" s="297"/>
      <c r="L730" s="312"/>
      <c r="N730" s="297"/>
    </row>
    <row r="731" spans="1:14" ht="15" customHeight="1" x14ac:dyDescent="0.25">
      <c r="A731" s="497"/>
      <c r="B731" s="396"/>
      <c r="C731" s="404"/>
      <c r="D731" s="398"/>
      <c r="E731" s="308"/>
      <c r="F731" s="400"/>
      <c r="G731" s="297"/>
      <c r="H731" s="297"/>
      <c r="J731" s="297"/>
      <c r="L731" s="312"/>
      <c r="N731" s="297"/>
    </row>
    <row r="732" spans="1:14" ht="15" customHeight="1" x14ac:dyDescent="0.25">
      <c r="A732" s="497"/>
      <c r="B732" s="396"/>
      <c r="C732" s="404"/>
      <c r="D732" s="398"/>
      <c r="E732" s="308"/>
      <c r="F732" s="400"/>
      <c r="G732" s="297"/>
      <c r="H732" s="297"/>
      <c r="J732" s="297"/>
      <c r="L732" s="312"/>
      <c r="N732" s="297"/>
    </row>
    <row r="733" spans="1:14" ht="15" customHeight="1" x14ac:dyDescent="0.25">
      <c r="A733" s="497"/>
      <c r="B733" s="396"/>
      <c r="C733" s="404"/>
      <c r="D733" s="398"/>
      <c r="E733" s="308"/>
      <c r="F733" s="400"/>
      <c r="G733" s="297"/>
      <c r="H733" s="297"/>
      <c r="J733" s="297"/>
      <c r="L733" s="312"/>
      <c r="N733" s="297"/>
    </row>
    <row r="734" spans="1:14" ht="15" customHeight="1" x14ac:dyDescent="0.25">
      <c r="A734" s="497"/>
      <c r="B734" s="396"/>
      <c r="C734" s="404"/>
      <c r="D734" s="398"/>
      <c r="E734" s="308"/>
      <c r="F734" s="400"/>
      <c r="G734" s="297"/>
      <c r="H734" s="297"/>
      <c r="J734" s="297"/>
      <c r="L734" s="312"/>
      <c r="N734" s="297"/>
    </row>
    <row r="735" spans="1:14" ht="15" customHeight="1" x14ac:dyDescent="0.25">
      <c r="A735" s="497"/>
      <c r="B735" s="396"/>
      <c r="C735" s="404"/>
      <c r="D735" s="398"/>
      <c r="E735" s="308"/>
      <c r="F735" s="400"/>
      <c r="G735" s="297"/>
      <c r="H735" s="297"/>
      <c r="J735" s="297"/>
      <c r="L735" s="312"/>
      <c r="N735" s="297"/>
    </row>
    <row r="736" spans="1:14" ht="15" customHeight="1" x14ac:dyDescent="0.25">
      <c r="A736" s="497"/>
      <c r="B736" s="396"/>
      <c r="C736" s="404"/>
      <c r="D736" s="398"/>
      <c r="E736" s="308"/>
      <c r="F736" s="400"/>
      <c r="G736" s="297"/>
      <c r="H736" s="297"/>
      <c r="J736" s="297"/>
      <c r="L736" s="312"/>
      <c r="N736" s="297"/>
    </row>
    <row r="737" spans="1:14" ht="15" customHeight="1" x14ac:dyDescent="0.25">
      <c r="A737" s="497"/>
      <c r="B737" s="396"/>
      <c r="C737" s="404"/>
      <c r="D737" s="398"/>
      <c r="E737" s="308"/>
      <c r="F737" s="400"/>
      <c r="G737" s="297"/>
      <c r="H737" s="297"/>
      <c r="J737" s="297"/>
      <c r="L737" s="312"/>
      <c r="N737" s="297"/>
    </row>
    <row r="738" spans="1:14" ht="15" customHeight="1" x14ac:dyDescent="0.25">
      <c r="A738" s="497"/>
      <c r="B738" s="396"/>
      <c r="C738" s="404"/>
      <c r="D738" s="398"/>
      <c r="E738" s="308"/>
      <c r="F738" s="400"/>
      <c r="G738" s="297"/>
      <c r="H738" s="297"/>
      <c r="J738" s="297"/>
      <c r="L738" s="312"/>
      <c r="N738" s="297"/>
    </row>
    <row r="739" spans="1:14" ht="15" customHeight="1" x14ac:dyDescent="0.25">
      <c r="A739" s="497"/>
      <c r="B739" s="396"/>
      <c r="C739" s="404"/>
      <c r="D739" s="398"/>
      <c r="E739" s="308"/>
      <c r="F739" s="400"/>
      <c r="G739" s="297"/>
      <c r="H739" s="297"/>
      <c r="J739" s="297"/>
      <c r="L739" s="312"/>
      <c r="N739" s="297"/>
    </row>
    <row r="740" spans="1:14" ht="15" customHeight="1" x14ac:dyDescent="0.25">
      <c r="A740" s="497"/>
      <c r="B740" s="396"/>
      <c r="C740" s="404"/>
      <c r="D740" s="398"/>
      <c r="E740" s="308"/>
      <c r="F740" s="400"/>
      <c r="G740" s="297"/>
      <c r="H740" s="297"/>
      <c r="J740" s="297"/>
      <c r="L740" s="312"/>
      <c r="N740" s="297"/>
    </row>
    <row r="741" spans="1:14" ht="15" customHeight="1" x14ac:dyDescent="0.25">
      <c r="A741" s="497"/>
      <c r="B741" s="396"/>
      <c r="C741" s="404"/>
      <c r="D741" s="398"/>
      <c r="E741" s="308"/>
      <c r="F741" s="400"/>
      <c r="G741" s="297"/>
      <c r="H741" s="297"/>
      <c r="J741" s="297"/>
      <c r="L741" s="312"/>
      <c r="N741" s="297"/>
    </row>
    <row r="742" spans="1:14" ht="15" customHeight="1" x14ac:dyDescent="0.25">
      <c r="A742" s="497"/>
      <c r="B742" s="396"/>
      <c r="C742" s="404"/>
      <c r="D742" s="398"/>
      <c r="E742" s="308"/>
      <c r="F742" s="400"/>
      <c r="G742" s="297"/>
      <c r="H742" s="297"/>
      <c r="J742" s="297"/>
      <c r="L742" s="312"/>
      <c r="N742" s="297"/>
    </row>
    <row r="743" spans="1:14" ht="15" customHeight="1" x14ac:dyDescent="0.25">
      <c r="A743" s="497"/>
      <c r="B743" s="396"/>
      <c r="C743" s="404"/>
      <c r="D743" s="398"/>
      <c r="E743" s="308"/>
      <c r="F743" s="400"/>
      <c r="G743" s="297"/>
      <c r="H743" s="297"/>
      <c r="J743" s="297"/>
      <c r="L743" s="312"/>
      <c r="N743" s="297"/>
    </row>
    <row r="744" spans="1:14" ht="15" customHeight="1" x14ac:dyDescent="0.25">
      <c r="A744" s="497"/>
      <c r="B744" s="396"/>
      <c r="C744" s="404"/>
      <c r="D744" s="398"/>
      <c r="E744" s="308"/>
      <c r="F744" s="400"/>
      <c r="G744" s="297"/>
      <c r="H744" s="297"/>
      <c r="J744" s="297"/>
      <c r="L744" s="312"/>
      <c r="N744" s="297"/>
    </row>
    <row r="745" spans="1:14" ht="15" customHeight="1" x14ac:dyDescent="0.25">
      <c r="A745" s="497"/>
      <c r="B745" s="396"/>
      <c r="C745" s="404"/>
      <c r="D745" s="398"/>
      <c r="E745" s="308"/>
      <c r="F745" s="400"/>
      <c r="G745" s="297"/>
      <c r="H745" s="297"/>
      <c r="J745" s="297"/>
      <c r="L745" s="312"/>
      <c r="N745" s="297"/>
    </row>
    <row r="746" spans="1:14" ht="15" customHeight="1" x14ac:dyDescent="0.25">
      <c r="A746" s="497"/>
      <c r="B746" s="396"/>
      <c r="C746" s="404"/>
      <c r="D746" s="398"/>
      <c r="E746" s="308"/>
      <c r="F746" s="400"/>
      <c r="G746" s="297"/>
      <c r="H746" s="297"/>
      <c r="J746" s="297"/>
      <c r="L746" s="312"/>
      <c r="N746" s="297"/>
    </row>
    <row r="747" spans="1:14" ht="15" customHeight="1" x14ac:dyDescent="0.25">
      <c r="A747" s="497"/>
      <c r="B747" s="396"/>
      <c r="C747" s="404"/>
      <c r="D747" s="398"/>
      <c r="E747" s="308"/>
      <c r="F747" s="400"/>
      <c r="G747" s="297"/>
      <c r="H747" s="297"/>
      <c r="J747" s="297"/>
      <c r="L747" s="312"/>
      <c r="N747" s="297"/>
    </row>
    <row r="748" spans="1:14" ht="15" customHeight="1" x14ac:dyDescent="0.25">
      <c r="A748" s="497"/>
      <c r="B748" s="396"/>
      <c r="C748" s="404"/>
      <c r="D748" s="398"/>
      <c r="E748" s="308"/>
      <c r="F748" s="400"/>
      <c r="G748" s="297"/>
      <c r="H748" s="297"/>
      <c r="J748" s="297"/>
      <c r="L748" s="312"/>
      <c r="N748" s="297"/>
    </row>
    <row r="749" spans="1:14" ht="15" customHeight="1" x14ac:dyDescent="0.25">
      <c r="A749" s="497"/>
      <c r="C749" s="404"/>
      <c r="E749" s="308"/>
      <c r="G749" s="297"/>
      <c r="H749" s="297"/>
      <c r="J749" s="297"/>
      <c r="L749" s="312"/>
      <c r="N749" s="297"/>
    </row>
    <row r="750" spans="1:14" ht="15" customHeight="1" x14ac:dyDescent="0.25">
      <c r="A750" s="497"/>
      <c r="C750" s="404"/>
      <c r="E750" s="308"/>
      <c r="G750" s="297"/>
      <c r="H750" s="297"/>
      <c r="J750" s="297"/>
      <c r="L750" s="312"/>
      <c r="N750" s="297"/>
    </row>
    <row r="751" spans="1:14" ht="15" customHeight="1" x14ac:dyDescent="0.25">
      <c r="A751" s="497"/>
      <c r="C751" s="404"/>
      <c r="E751" s="308"/>
      <c r="G751" s="297"/>
      <c r="H751" s="297"/>
      <c r="J751" s="297"/>
      <c r="L751" s="312"/>
      <c r="N751" s="297"/>
    </row>
    <row r="752" spans="1:14" ht="15" customHeight="1" x14ac:dyDescent="0.25">
      <c r="A752" s="497"/>
      <c r="C752" s="404"/>
      <c r="E752" s="308"/>
      <c r="G752" s="297"/>
      <c r="H752" s="297"/>
      <c r="J752" s="297"/>
      <c r="L752" s="312"/>
      <c r="N752" s="297"/>
    </row>
    <row r="753" spans="1:14" ht="15" customHeight="1" x14ac:dyDescent="0.25">
      <c r="A753" s="497"/>
      <c r="C753" s="404"/>
      <c r="E753" s="308"/>
      <c r="G753" s="297"/>
      <c r="H753" s="297"/>
      <c r="J753" s="297"/>
      <c r="L753" s="312"/>
      <c r="N753" s="297"/>
    </row>
    <row r="754" spans="1:14" ht="15" customHeight="1" x14ac:dyDescent="0.25">
      <c r="A754" s="497"/>
      <c r="C754" s="404"/>
      <c r="E754" s="308"/>
      <c r="G754" s="297"/>
      <c r="H754" s="297"/>
      <c r="J754" s="297"/>
      <c r="L754" s="312"/>
      <c r="N754" s="297"/>
    </row>
    <row r="755" spans="1:14" ht="15" customHeight="1" x14ac:dyDescent="0.25">
      <c r="A755" s="497"/>
      <c r="C755" s="404"/>
      <c r="E755" s="308"/>
      <c r="G755" s="297"/>
      <c r="H755" s="297"/>
      <c r="J755" s="297"/>
      <c r="L755" s="312"/>
      <c r="N755" s="297"/>
    </row>
    <row r="756" spans="1:14" ht="15" customHeight="1" x14ac:dyDescent="0.25">
      <c r="A756" s="497"/>
      <c r="C756" s="404"/>
      <c r="E756" s="308"/>
      <c r="G756" s="297"/>
      <c r="H756" s="297"/>
      <c r="J756" s="297"/>
      <c r="L756" s="312"/>
      <c r="N756" s="297"/>
    </row>
    <row r="757" spans="1:14" ht="15" customHeight="1" x14ac:dyDescent="0.25">
      <c r="A757" s="497"/>
      <c r="C757" s="404"/>
      <c r="E757" s="308"/>
      <c r="G757" s="297"/>
      <c r="H757" s="297"/>
      <c r="J757" s="297"/>
      <c r="L757" s="312"/>
      <c r="N757" s="297"/>
    </row>
    <row r="758" spans="1:14" ht="15" customHeight="1" x14ac:dyDescent="0.25">
      <c r="A758" s="497"/>
      <c r="C758" s="404"/>
      <c r="E758" s="308"/>
      <c r="G758" s="297"/>
      <c r="H758" s="297"/>
      <c r="J758" s="297"/>
      <c r="L758" s="312"/>
      <c r="N758" s="297"/>
    </row>
    <row r="759" spans="1:14" ht="15" customHeight="1" x14ac:dyDescent="0.25">
      <c r="A759" s="497"/>
      <c r="C759" s="404"/>
      <c r="E759" s="308"/>
      <c r="G759" s="297"/>
      <c r="H759" s="297"/>
      <c r="J759" s="297"/>
      <c r="L759" s="312"/>
      <c r="N759" s="297"/>
    </row>
    <row r="760" spans="1:14" ht="15" customHeight="1" x14ac:dyDescent="0.25">
      <c r="A760" s="497"/>
      <c r="C760" s="404"/>
      <c r="E760" s="308"/>
      <c r="G760" s="297"/>
      <c r="H760" s="297"/>
      <c r="J760" s="297"/>
      <c r="L760" s="312"/>
      <c r="N760" s="297"/>
    </row>
    <row r="761" spans="1:14" ht="15" customHeight="1" x14ac:dyDescent="0.25">
      <c r="A761" s="497"/>
      <c r="C761" s="404"/>
      <c r="E761" s="308"/>
      <c r="G761" s="297"/>
      <c r="H761" s="297"/>
      <c r="J761" s="297"/>
      <c r="L761" s="312"/>
      <c r="N761" s="297"/>
    </row>
    <row r="762" spans="1:14" ht="15" customHeight="1" x14ac:dyDescent="0.25">
      <c r="A762" s="497"/>
      <c r="C762" s="404"/>
      <c r="E762" s="308"/>
      <c r="G762" s="297"/>
      <c r="H762" s="297"/>
      <c r="J762" s="297"/>
      <c r="L762" s="312"/>
      <c r="N762" s="297"/>
    </row>
    <row r="763" spans="1:14" ht="15" customHeight="1" x14ac:dyDescent="0.25">
      <c r="A763" s="497"/>
      <c r="C763" s="404"/>
      <c r="E763" s="308"/>
      <c r="G763" s="297"/>
      <c r="H763" s="297"/>
      <c r="J763" s="297"/>
      <c r="L763" s="312"/>
      <c r="N763" s="297"/>
    </row>
    <row r="764" spans="1:14" ht="15" customHeight="1" x14ac:dyDescent="0.25">
      <c r="A764" s="497"/>
      <c r="C764" s="404"/>
      <c r="E764" s="308"/>
      <c r="G764" s="297"/>
      <c r="H764" s="297"/>
      <c r="J764" s="297"/>
      <c r="L764" s="312"/>
      <c r="N764" s="297"/>
    </row>
    <row r="765" spans="1:14" ht="15" customHeight="1" x14ac:dyDescent="0.25">
      <c r="A765" s="497"/>
      <c r="C765" s="404"/>
      <c r="E765" s="308"/>
      <c r="G765" s="297"/>
      <c r="H765" s="297"/>
      <c r="J765" s="297"/>
      <c r="L765" s="312"/>
      <c r="N765" s="297"/>
    </row>
    <row r="766" spans="1:14" ht="15" customHeight="1" x14ac:dyDescent="0.25">
      <c r="A766" s="497"/>
      <c r="C766" s="404"/>
      <c r="E766" s="308"/>
      <c r="G766" s="297"/>
      <c r="H766" s="297"/>
      <c r="J766" s="297"/>
      <c r="L766" s="312"/>
      <c r="N766" s="297"/>
    </row>
    <row r="767" spans="1:14" ht="15" customHeight="1" x14ac:dyDescent="0.25">
      <c r="A767" s="497"/>
      <c r="C767" s="404"/>
      <c r="E767" s="308"/>
      <c r="G767" s="297"/>
      <c r="H767" s="297"/>
      <c r="J767" s="297"/>
      <c r="L767" s="312"/>
      <c r="N767" s="297"/>
    </row>
    <row r="768" spans="1:14" ht="15" customHeight="1" x14ac:dyDescent="0.25">
      <c r="A768" s="497"/>
      <c r="C768" s="404"/>
      <c r="E768" s="308"/>
      <c r="G768" s="297"/>
      <c r="H768" s="297"/>
      <c r="J768" s="297"/>
      <c r="L768" s="312"/>
      <c r="N768" s="297"/>
    </row>
    <row r="769" spans="1:14" ht="15" customHeight="1" x14ac:dyDescent="0.25">
      <c r="A769" s="497"/>
      <c r="C769" s="404"/>
      <c r="E769" s="308"/>
      <c r="G769" s="297"/>
      <c r="H769" s="297"/>
      <c r="J769" s="297"/>
      <c r="L769" s="312"/>
      <c r="N769" s="297"/>
    </row>
    <row r="770" spans="1:14" ht="15" customHeight="1" x14ac:dyDescent="0.25">
      <c r="A770" s="497"/>
      <c r="C770" s="404"/>
      <c r="E770" s="308"/>
      <c r="G770" s="297"/>
      <c r="H770" s="297"/>
      <c r="J770" s="297"/>
      <c r="L770" s="312"/>
      <c r="N770" s="297"/>
    </row>
    <row r="771" spans="1:14" ht="15" customHeight="1" x14ac:dyDescent="0.25">
      <c r="A771" s="497"/>
      <c r="C771" s="404"/>
      <c r="E771" s="308"/>
      <c r="G771" s="297"/>
      <c r="H771" s="297"/>
      <c r="J771" s="297"/>
      <c r="L771" s="312"/>
      <c r="N771" s="297"/>
    </row>
    <row r="772" spans="1:14" ht="15" customHeight="1" x14ac:dyDescent="0.25">
      <c r="A772" s="497"/>
      <c r="C772" s="404"/>
      <c r="E772" s="308"/>
      <c r="G772" s="297"/>
      <c r="H772" s="297"/>
      <c r="J772" s="297"/>
      <c r="L772" s="312"/>
      <c r="N772" s="297"/>
    </row>
    <row r="773" spans="1:14" ht="15" customHeight="1" x14ac:dyDescent="0.25">
      <c r="A773" s="497"/>
      <c r="C773" s="404"/>
      <c r="E773" s="308"/>
      <c r="G773" s="297"/>
      <c r="H773" s="297"/>
      <c r="J773" s="297"/>
      <c r="L773" s="312"/>
      <c r="N773" s="297"/>
    </row>
    <row r="774" spans="1:14" ht="15" customHeight="1" x14ac:dyDescent="0.25">
      <c r="A774" s="497"/>
      <c r="C774" s="404"/>
      <c r="E774" s="308"/>
      <c r="G774" s="297"/>
      <c r="H774" s="297"/>
      <c r="J774" s="297"/>
      <c r="L774" s="312"/>
      <c r="N774" s="297"/>
    </row>
    <row r="775" spans="1:14" ht="15" customHeight="1" x14ac:dyDescent="0.25">
      <c r="A775" s="497"/>
      <c r="C775" s="404"/>
      <c r="E775" s="308"/>
      <c r="G775" s="297"/>
      <c r="H775" s="297"/>
      <c r="J775" s="297"/>
      <c r="L775" s="312"/>
      <c r="N775" s="297"/>
    </row>
    <row r="776" spans="1:14" ht="15" customHeight="1" x14ac:dyDescent="0.25">
      <c r="A776" s="497"/>
      <c r="C776" s="404"/>
      <c r="E776" s="308"/>
      <c r="G776" s="297"/>
      <c r="H776" s="297"/>
      <c r="J776" s="297"/>
      <c r="L776" s="312"/>
      <c r="N776" s="297"/>
    </row>
    <row r="777" spans="1:14" ht="15" customHeight="1" x14ac:dyDescent="0.25">
      <c r="A777" s="497"/>
      <c r="C777" s="404"/>
      <c r="E777" s="308"/>
      <c r="G777" s="297"/>
      <c r="H777" s="297"/>
      <c r="J777" s="297"/>
      <c r="L777" s="312"/>
      <c r="N777" s="297"/>
    </row>
    <row r="778" spans="1:14" ht="15" customHeight="1" x14ac:dyDescent="0.25">
      <c r="A778" s="497"/>
      <c r="C778" s="404"/>
      <c r="E778" s="308"/>
      <c r="G778" s="297"/>
      <c r="H778" s="297"/>
      <c r="J778" s="297"/>
      <c r="L778" s="312"/>
      <c r="N778" s="297"/>
    </row>
    <row r="779" spans="1:14" ht="15" customHeight="1" x14ac:dyDescent="0.25">
      <c r="A779" s="497"/>
      <c r="C779" s="404"/>
      <c r="E779" s="308"/>
      <c r="G779" s="297"/>
      <c r="H779" s="297"/>
      <c r="J779" s="297"/>
      <c r="L779" s="312"/>
      <c r="N779" s="297"/>
    </row>
    <row r="780" spans="1:14" ht="15" customHeight="1" x14ac:dyDescent="0.25">
      <c r="A780" s="497"/>
      <c r="C780" s="404"/>
      <c r="E780" s="308"/>
      <c r="G780" s="297"/>
      <c r="H780" s="297"/>
      <c r="J780" s="297"/>
      <c r="L780" s="312"/>
      <c r="N780" s="297"/>
    </row>
    <row r="781" spans="1:14" ht="15" customHeight="1" x14ac:dyDescent="0.25">
      <c r="A781" s="497"/>
      <c r="C781" s="404"/>
      <c r="E781" s="308"/>
      <c r="G781" s="297"/>
      <c r="H781" s="297"/>
      <c r="J781" s="297"/>
      <c r="L781" s="312"/>
      <c r="N781" s="297"/>
    </row>
    <row r="782" spans="1:14" ht="15" customHeight="1" x14ac:dyDescent="0.25">
      <c r="A782" s="497"/>
      <c r="C782" s="404"/>
      <c r="E782" s="308"/>
      <c r="G782" s="297"/>
      <c r="H782" s="297"/>
      <c r="J782" s="297"/>
      <c r="L782" s="312"/>
      <c r="N782" s="297"/>
    </row>
    <row r="783" spans="1:14" ht="15" customHeight="1" x14ac:dyDescent="0.25">
      <c r="A783" s="497"/>
      <c r="C783" s="404"/>
      <c r="E783" s="308"/>
      <c r="G783" s="297"/>
      <c r="H783" s="297"/>
      <c r="J783" s="297"/>
      <c r="L783" s="312"/>
      <c r="N783" s="297"/>
    </row>
    <row r="784" spans="1:14" ht="15" customHeight="1" x14ac:dyDescent="0.25">
      <c r="A784" s="497"/>
      <c r="C784" s="404"/>
      <c r="E784" s="308"/>
      <c r="G784" s="297"/>
      <c r="H784" s="297"/>
      <c r="J784" s="297"/>
      <c r="L784" s="312"/>
      <c r="N784" s="297"/>
    </row>
    <row r="785" spans="1:14" ht="15" customHeight="1" x14ac:dyDescent="0.25">
      <c r="A785" s="497"/>
      <c r="C785" s="404"/>
      <c r="E785" s="308"/>
      <c r="G785" s="297"/>
      <c r="H785" s="297"/>
      <c r="J785" s="297"/>
      <c r="L785" s="312"/>
      <c r="N785" s="297"/>
    </row>
    <row r="786" spans="1:14" ht="15" customHeight="1" x14ac:dyDescent="0.25">
      <c r="A786" s="497"/>
      <c r="C786" s="404"/>
      <c r="E786" s="308"/>
      <c r="G786" s="297"/>
      <c r="H786" s="297"/>
      <c r="J786" s="297"/>
      <c r="L786" s="312"/>
      <c r="N786" s="297"/>
    </row>
    <row r="787" spans="1:14" ht="15" customHeight="1" x14ac:dyDescent="0.25">
      <c r="A787" s="497"/>
      <c r="C787" s="404"/>
      <c r="E787" s="308"/>
      <c r="G787" s="297"/>
      <c r="H787" s="297"/>
      <c r="J787" s="297"/>
      <c r="L787" s="312"/>
      <c r="N787" s="297"/>
    </row>
    <row r="788" spans="1:14" ht="15" customHeight="1" x14ac:dyDescent="0.25">
      <c r="A788" s="497"/>
      <c r="C788" s="404"/>
      <c r="E788" s="308"/>
      <c r="G788" s="297"/>
      <c r="H788" s="297"/>
      <c r="J788" s="297"/>
      <c r="L788" s="312"/>
      <c r="N788" s="297"/>
    </row>
    <row r="789" spans="1:14" ht="15" customHeight="1" x14ac:dyDescent="0.25">
      <c r="A789" s="497"/>
      <c r="C789" s="404"/>
      <c r="E789" s="308"/>
      <c r="G789" s="297"/>
      <c r="H789" s="297"/>
      <c r="J789" s="297"/>
      <c r="L789" s="312"/>
      <c r="N789" s="297"/>
    </row>
    <row r="790" spans="1:14" ht="15" customHeight="1" x14ac:dyDescent="0.25">
      <c r="A790" s="497"/>
      <c r="C790" s="404"/>
      <c r="E790" s="308"/>
      <c r="G790" s="297"/>
      <c r="H790" s="297"/>
      <c r="J790" s="297"/>
      <c r="L790" s="312"/>
      <c r="N790" s="297"/>
    </row>
    <row r="791" spans="1:14" ht="15" customHeight="1" x14ac:dyDescent="0.25">
      <c r="A791" s="497"/>
      <c r="C791" s="404"/>
      <c r="E791" s="308"/>
      <c r="G791" s="297"/>
      <c r="H791" s="297"/>
      <c r="J791" s="297"/>
      <c r="L791" s="312"/>
      <c r="N791" s="297"/>
    </row>
    <row r="792" spans="1:14" ht="15" customHeight="1" x14ac:dyDescent="0.25">
      <c r="A792" s="497"/>
      <c r="C792" s="404"/>
      <c r="E792" s="308"/>
      <c r="G792" s="297"/>
      <c r="H792" s="297"/>
      <c r="J792" s="297"/>
      <c r="L792" s="312"/>
      <c r="N792" s="297"/>
    </row>
    <row r="793" spans="1:14" ht="15" customHeight="1" x14ac:dyDescent="0.25">
      <c r="A793" s="497"/>
      <c r="C793" s="404"/>
      <c r="E793" s="308"/>
      <c r="G793" s="297"/>
      <c r="H793" s="297"/>
      <c r="J793" s="297"/>
      <c r="L793" s="312"/>
      <c r="N793" s="297"/>
    </row>
    <row r="794" spans="1:14" ht="15" customHeight="1" x14ac:dyDescent="0.25">
      <c r="A794" s="497"/>
      <c r="C794" s="404"/>
      <c r="E794" s="308"/>
      <c r="G794" s="297"/>
      <c r="H794" s="297"/>
      <c r="J794" s="297"/>
      <c r="L794" s="312"/>
      <c r="N794" s="297"/>
    </row>
    <row r="795" spans="1:14" ht="15" customHeight="1" x14ac:dyDescent="0.25">
      <c r="A795" s="497"/>
      <c r="C795" s="404"/>
      <c r="E795" s="308"/>
      <c r="G795" s="297"/>
      <c r="H795" s="297"/>
      <c r="J795" s="297"/>
      <c r="L795" s="312"/>
      <c r="N795" s="297"/>
    </row>
    <row r="796" spans="1:14" ht="15" customHeight="1" x14ac:dyDescent="0.25">
      <c r="A796" s="497"/>
      <c r="C796" s="404"/>
      <c r="E796" s="308"/>
      <c r="G796" s="297"/>
      <c r="H796" s="297"/>
      <c r="J796" s="297"/>
      <c r="L796" s="312"/>
      <c r="N796" s="297"/>
    </row>
    <row r="797" spans="1:14" ht="15" customHeight="1" x14ac:dyDescent="0.25">
      <c r="A797" s="497"/>
      <c r="C797" s="404"/>
      <c r="E797" s="308"/>
      <c r="G797" s="297"/>
      <c r="H797" s="297"/>
      <c r="J797" s="297"/>
      <c r="L797" s="312"/>
      <c r="N797" s="297"/>
    </row>
    <row r="798" spans="1:14" ht="15" customHeight="1" x14ac:dyDescent="0.25">
      <c r="A798" s="497"/>
      <c r="C798" s="404"/>
      <c r="E798" s="308"/>
      <c r="G798" s="297"/>
      <c r="H798" s="297"/>
      <c r="J798" s="297"/>
      <c r="L798" s="312"/>
      <c r="N798" s="297"/>
    </row>
    <row r="799" spans="1:14" ht="15" customHeight="1" x14ac:dyDescent="0.25">
      <c r="A799" s="497"/>
      <c r="C799" s="404"/>
      <c r="E799" s="308"/>
      <c r="G799" s="297"/>
      <c r="H799" s="297"/>
      <c r="J799" s="297"/>
      <c r="L799" s="312"/>
      <c r="N799" s="297"/>
    </row>
    <row r="800" spans="1:14" ht="15" customHeight="1" x14ac:dyDescent="0.25">
      <c r="A800" s="497"/>
      <c r="C800" s="404"/>
      <c r="E800" s="308"/>
      <c r="G800" s="297"/>
      <c r="H800" s="297"/>
      <c r="J800" s="297"/>
      <c r="L800" s="312"/>
      <c r="N800" s="297"/>
    </row>
    <row r="801" spans="1:14" ht="15" customHeight="1" x14ac:dyDescent="0.25">
      <c r="A801" s="497"/>
      <c r="C801" s="404"/>
      <c r="E801" s="308"/>
      <c r="G801" s="297"/>
      <c r="H801" s="297"/>
      <c r="J801" s="297"/>
      <c r="L801" s="312"/>
      <c r="N801" s="297"/>
    </row>
    <row r="802" spans="1:14" ht="15" customHeight="1" x14ac:dyDescent="0.25">
      <c r="A802" s="497"/>
      <c r="C802" s="404"/>
      <c r="E802" s="308"/>
      <c r="G802" s="297"/>
      <c r="H802" s="297"/>
      <c r="J802" s="297"/>
      <c r="L802" s="312"/>
      <c r="N802" s="297"/>
    </row>
    <row r="803" spans="1:14" ht="15" customHeight="1" x14ac:dyDescent="0.25">
      <c r="A803" s="497"/>
      <c r="C803" s="404"/>
      <c r="E803" s="308"/>
      <c r="G803" s="297"/>
      <c r="H803" s="297"/>
      <c r="J803" s="297"/>
      <c r="L803" s="312"/>
      <c r="N803" s="297"/>
    </row>
    <row r="804" spans="1:14" ht="15" customHeight="1" x14ac:dyDescent="0.25">
      <c r="A804" s="497"/>
      <c r="C804" s="404"/>
      <c r="E804" s="308"/>
      <c r="G804" s="297"/>
      <c r="H804" s="297"/>
      <c r="J804" s="297"/>
      <c r="L804" s="312"/>
      <c r="N804" s="297"/>
    </row>
    <row r="805" spans="1:14" ht="15" customHeight="1" x14ac:dyDescent="0.25">
      <c r="A805" s="497"/>
      <c r="C805" s="404"/>
      <c r="E805" s="308"/>
      <c r="G805" s="297"/>
      <c r="H805" s="297"/>
      <c r="J805" s="297"/>
      <c r="L805" s="312"/>
      <c r="N805" s="297"/>
    </row>
    <row r="806" spans="1:14" ht="15" customHeight="1" x14ac:dyDescent="0.25">
      <c r="A806" s="497"/>
      <c r="C806" s="404"/>
      <c r="E806" s="308"/>
      <c r="G806" s="297"/>
      <c r="H806" s="297"/>
      <c r="J806" s="297"/>
      <c r="L806" s="312"/>
      <c r="N806" s="297"/>
    </row>
    <row r="807" spans="1:14" ht="15" customHeight="1" x14ac:dyDescent="0.25">
      <c r="A807" s="497"/>
      <c r="C807" s="404"/>
      <c r="E807" s="308"/>
      <c r="G807" s="297"/>
      <c r="H807" s="297"/>
      <c r="J807" s="297"/>
      <c r="L807" s="312"/>
      <c r="N807" s="297"/>
    </row>
    <row r="808" spans="1:14" ht="15" customHeight="1" x14ac:dyDescent="0.25">
      <c r="A808" s="497"/>
      <c r="C808" s="404"/>
      <c r="E808" s="308"/>
      <c r="G808" s="297"/>
      <c r="H808" s="297"/>
      <c r="J808" s="297"/>
      <c r="L808" s="312"/>
      <c r="N808" s="297"/>
    </row>
    <row r="809" spans="1:14" ht="15" customHeight="1" x14ac:dyDescent="0.25">
      <c r="A809" s="497"/>
      <c r="C809" s="404"/>
      <c r="E809" s="308"/>
      <c r="G809" s="297"/>
      <c r="H809" s="297"/>
      <c r="J809" s="297"/>
      <c r="L809" s="312"/>
      <c r="N809" s="297"/>
    </row>
    <row r="810" spans="1:14" ht="15" customHeight="1" x14ac:dyDescent="0.25">
      <c r="A810" s="497"/>
      <c r="C810" s="404"/>
      <c r="E810" s="308"/>
      <c r="G810" s="297"/>
      <c r="H810" s="297"/>
      <c r="J810" s="297"/>
      <c r="L810" s="312"/>
      <c r="N810" s="297"/>
    </row>
    <row r="811" spans="1:14" ht="15" customHeight="1" x14ac:dyDescent="0.25">
      <c r="A811" s="497"/>
      <c r="C811" s="404"/>
      <c r="E811" s="308"/>
      <c r="G811" s="297"/>
      <c r="H811" s="297"/>
      <c r="J811" s="297"/>
      <c r="L811" s="312"/>
      <c r="N811" s="297"/>
    </row>
    <row r="812" spans="1:14" ht="15" customHeight="1" x14ac:dyDescent="0.25">
      <c r="A812" s="497"/>
      <c r="C812" s="404"/>
      <c r="E812" s="308"/>
      <c r="G812" s="297"/>
      <c r="H812" s="297"/>
      <c r="J812" s="297"/>
      <c r="L812" s="312"/>
      <c r="N812" s="297"/>
    </row>
    <row r="813" spans="1:14" ht="15" customHeight="1" x14ac:dyDescent="0.25">
      <c r="A813" s="497"/>
      <c r="C813" s="404"/>
      <c r="E813" s="308"/>
      <c r="G813" s="297"/>
      <c r="H813" s="297"/>
      <c r="J813" s="297"/>
      <c r="L813" s="312"/>
      <c r="N813" s="297"/>
    </row>
    <row r="814" spans="1:14" ht="15" customHeight="1" x14ac:dyDescent="0.25">
      <c r="A814" s="497"/>
      <c r="C814" s="404"/>
      <c r="E814" s="308"/>
      <c r="G814" s="297"/>
      <c r="H814" s="297"/>
      <c r="J814" s="297"/>
      <c r="L814" s="312"/>
      <c r="N814" s="297"/>
    </row>
    <row r="815" spans="1:14" ht="15" customHeight="1" x14ac:dyDescent="0.25">
      <c r="A815" s="497"/>
      <c r="C815" s="404"/>
      <c r="E815" s="308"/>
      <c r="G815" s="297"/>
      <c r="H815" s="297"/>
      <c r="J815" s="297"/>
      <c r="L815" s="312"/>
      <c r="N815" s="297"/>
    </row>
    <row r="816" spans="1:14" ht="15" customHeight="1" x14ac:dyDescent="0.25">
      <c r="A816" s="497"/>
      <c r="C816" s="404"/>
      <c r="E816" s="308"/>
      <c r="G816" s="297"/>
      <c r="H816" s="297"/>
      <c r="J816" s="297"/>
      <c r="L816" s="312"/>
      <c r="N816" s="297"/>
    </row>
    <row r="817" spans="1:14" ht="15" customHeight="1" x14ac:dyDescent="0.25">
      <c r="A817" s="497"/>
      <c r="C817" s="404"/>
      <c r="E817" s="308"/>
      <c r="G817" s="297"/>
      <c r="H817" s="297"/>
      <c r="J817" s="297"/>
      <c r="L817" s="312"/>
      <c r="N817" s="297"/>
    </row>
    <row r="818" spans="1:14" ht="15" customHeight="1" x14ac:dyDescent="0.25">
      <c r="A818" s="497"/>
      <c r="C818" s="404"/>
      <c r="E818" s="308"/>
      <c r="G818" s="297"/>
      <c r="H818" s="297"/>
      <c r="J818" s="297"/>
      <c r="L818" s="312"/>
      <c r="N818" s="297"/>
    </row>
    <row r="819" spans="1:14" ht="15" customHeight="1" x14ac:dyDescent="0.25">
      <c r="A819" s="497"/>
      <c r="C819" s="404"/>
      <c r="E819" s="308"/>
      <c r="G819" s="297"/>
      <c r="H819" s="297"/>
      <c r="J819" s="297"/>
      <c r="L819" s="312"/>
      <c r="N819" s="297"/>
    </row>
    <row r="820" spans="1:14" ht="15" customHeight="1" x14ac:dyDescent="0.25">
      <c r="A820" s="497"/>
      <c r="C820" s="404"/>
      <c r="E820" s="308"/>
      <c r="G820" s="297"/>
      <c r="H820" s="297"/>
      <c r="J820" s="297"/>
      <c r="L820" s="312"/>
      <c r="N820" s="297"/>
    </row>
    <row r="821" spans="1:14" ht="15" customHeight="1" x14ac:dyDescent="0.25">
      <c r="A821" s="497"/>
      <c r="C821" s="404"/>
      <c r="E821" s="308"/>
      <c r="G821" s="297"/>
      <c r="H821" s="297"/>
      <c r="J821" s="297"/>
      <c r="L821" s="312"/>
      <c r="N821" s="297"/>
    </row>
    <row r="822" spans="1:14" ht="15" customHeight="1" x14ac:dyDescent="0.25">
      <c r="A822" s="497"/>
      <c r="C822" s="404"/>
      <c r="E822" s="308"/>
      <c r="G822" s="297"/>
      <c r="H822" s="297"/>
      <c r="J822" s="297"/>
      <c r="L822" s="312"/>
      <c r="N822" s="297"/>
    </row>
    <row r="823" spans="1:14" ht="15" customHeight="1" x14ac:dyDescent="0.25">
      <c r="A823" s="497"/>
      <c r="C823" s="404"/>
      <c r="E823" s="308"/>
      <c r="G823" s="297"/>
      <c r="H823" s="297"/>
      <c r="J823" s="297"/>
      <c r="L823" s="312"/>
      <c r="N823" s="297"/>
    </row>
    <row r="824" spans="1:14" ht="15" customHeight="1" x14ac:dyDescent="0.25">
      <c r="A824" s="497"/>
      <c r="C824" s="404"/>
      <c r="E824" s="308"/>
      <c r="G824" s="297"/>
      <c r="H824" s="297"/>
      <c r="J824" s="297"/>
      <c r="L824" s="312"/>
      <c r="N824" s="297"/>
    </row>
    <row r="825" spans="1:14" ht="15" customHeight="1" x14ac:dyDescent="0.25">
      <c r="A825" s="497"/>
      <c r="C825" s="404"/>
      <c r="E825" s="308"/>
      <c r="G825" s="297"/>
      <c r="H825" s="297"/>
      <c r="J825" s="297"/>
      <c r="L825" s="312"/>
      <c r="N825" s="297"/>
    </row>
    <row r="826" spans="1:14" ht="15" customHeight="1" x14ac:dyDescent="0.25">
      <c r="A826" s="497"/>
      <c r="C826" s="404"/>
      <c r="E826" s="308"/>
      <c r="G826" s="297"/>
      <c r="H826" s="297"/>
      <c r="J826" s="297"/>
      <c r="L826" s="312"/>
      <c r="N826" s="297"/>
    </row>
    <row r="827" spans="1:14" ht="15" customHeight="1" x14ac:dyDescent="0.25">
      <c r="A827" s="497"/>
      <c r="C827" s="404"/>
      <c r="E827" s="308"/>
      <c r="G827" s="297"/>
      <c r="H827" s="297"/>
      <c r="J827" s="297"/>
      <c r="L827" s="312"/>
      <c r="N827" s="297"/>
    </row>
    <row r="828" spans="1:14" ht="15" customHeight="1" x14ac:dyDescent="0.25">
      <c r="A828" s="497"/>
      <c r="C828" s="404"/>
      <c r="E828" s="308"/>
      <c r="G828" s="297"/>
      <c r="H828" s="297"/>
      <c r="J828" s="297"/>
      <c r="L828" s="312"/>
      <c r="N828" s="297"/>
    </row>
    <row r="829" spans="1:14" ht="15" customHeight="1" x14ac:dyDescent="0.25">
      <c r="A829" s="497"/>
      <c r="C829" s="404"/>
      <c r="E829" s="308"/>
      <c r="G829" s="297"/>
      <c r="H829" s="297"/>
      <c r="J829" s="297"/>
      <c r="L829" s="312"/>
      <c r="N829" s="297"/>
    </row>
    <row r="830" spans="1:14" ht="15" customHeight="1" x14ac:dyDescent="0.25">
      <c r="A830" s="497"/>
      <c r="C830" s="404"/>
      <c r="E830" s="308"/>
      <c r="G830" s="297"/>
      <c r="H830" s="297"/>
      <c r="J830" s="297"/>
      <c r="L830" s="312"/>
      <c r="N830" s="297"/>
    </row>
    <row r="831" spans="1:14" ht="15" customHeight="1" x14ac:dyDescent="0.25">
      <c r="A831" s="497"/>
      <c r="C831" s="404"/>
      <c r="E831" s="308"/>
      <c r="G831" s="297"/>
      <c r="H831" s="297"/>
      <c r="J831" s="297"/>
      <c r="L831" s="312"/>
      <c r="N831" s="297"/>
    </row>
    <row r="832" spans="1:14" ht="15" customHeight="1" x14ac:dyDescent="0.25">
      <c r="A832" s="497"/>
      <c r="C832" s="404"/>
      <c r="E832" s="308"/>
      <c r="G832" s="297"/>
      <c r="H832" s="297"/>
      <c r="J832" s="297"/>
      <c r="L832" s="312"/>
      <c r="N832" s="297"/>
    </row>
    <row r="833" spans="1:14" ht="15" customHeight="1" x14ac:dyDescent="0.25">
      <c r="A833" s="497"/>
      <c r="C833" s="404"/>
      <c r="E833" s="308"/>
      <c r="G833" s="297"/>
      <c r="H833" s="297"/>
      <c r="J833" s="297"/>
      <c r="L833" s="312"/>
      <c r="N833" s="297"/>
    </row>
    <row r="834" spans="1:14" ht="15" customHeight="1" x14ac:dyDescent="0.25">
      <c r="A834" s="497"/>
      <c r="C834" s="404"/>
      <c r="E834" s="308"/>
      <c r="G834" s="297"/>
      <c r="H834" s="297"/>
      <c r="J834" s="297"/>
      <c r="L834" s="312"/>
      <c r="N834" s="297"/>
    </row>
    <row r="835" spans="1:14" ht="15" customHeight="1" x14ac:dyDescent="0.25">
      <c r="A835" s="497"/>
      <c r="C835" s="404"/>
      <c r="E835" s="308"/>
      <c r="G835" s="297"/>
      <c r="H835" s="297"/>
      <c r="J835" s="297"/>
      <c r="L835" s="312"/>
      <c r="N835" s="297"/>
    </row>
    <row r="836" spans="1:14" ht="15" customHeight="1" x14ac:dyDescent="0.25">
      <c r="A836" s="497"/>
      <c r="C836" s="404"/>
      <c r="E836" s="308"/>
      <c r="G836" s="297"/>
      <c r="H836" s="297"/>
      <c r="J836" s="297"/>
      <c r="L836" s="312"/>
      <c r="N836" s="297"/>
    </row>
    <row r="837" spans="1:14" ht="15" customHeight="1" x14ac:dyDescent="0.25">
      <c r="A837" s="497"/>
      <c r="C837" s="404"/>
      <c r="E837" s="308"/>
      <c r="G837" s="297"/>
      <c r="H837" s="297"/>
      <c r="J837" s="297"/>
      <c r="L837" s="312"/>
      <c r="N837" s="297"/>
    </row>
    <row r="838" spans="1:14" ht="15" customHeight="1" x14ac:dyDescent="0.25">
      <c r="A838" s="497"/>
      <c r="C838" s="404"/>
      <c r="E838" s="308"/>
      <c r="G838" s="297"/>
      <c r="H838" s="297"/>
      <c r="J838" s="297"/>
      <c r="L838" s="312"/>
      <c r="N838" s="297"/>
    </row>
    <row r="839" spans="1:14" ht="15" customHeight="1" x14ac:dyDescent="0.25">
      <c r="A839" s="497"/>
      <c r="C839" s="404"/>
      <c r="E839" s="308"/>
      <c r="G839" s="297"/>
      <c r="H839" s="297"/>
      <c r="J839" s="297"/>
      <c r="L839" s="312"/>
      <c r="N839" s="297"/>
    </row>
    <row r="840" spans="1:14" ht="15" customHeight="1" x14ac:dyDescent="0.25">
      <c r="A840" s="497"/>
      <c r="C840" s="404"/>
      <c r="E840" s="308"/>
      <c r="G840" s="297"/>
      <c r="H840" s="297"/>
      <c r="J840" s="297"/>
      <c r="L840" s="312"/>
      <c r="N840" s="297"/>
    </row>
    <row r="841" spans="1:14" ht="15" customHeight="1" x14ac:dyDescent="0.25">
      <c r="A841" s="497"/>
      <c r="C841" s="404"/>
      <c r="E841" s="308"/>
      <c r="G841" s="297"/>
      <c r="H841" s="297"/>
      <c r="J841" s="297"/>
      <c r="L841" s="312"/>
      <c r="N841" s="297"/>
    </row>
    <row r="842" spans="1:14" ht="15" customHeight="1" x14ac:dyDescent="0.25">
      <c r="A842" s="497"/>
      <c r="C842" s="404"/>
      <c r="E842" s="308"/>
      <c r="G842" s="297"/>
      <c r="H842" s="297"/>
      <c r="J842" s="297"/>
      <c r="L842" s="312"/>
      <c r="N842" s="297"/>
    </row>
    <row r="843" spans="1:14" ht="15" customHeight="1" x14ac:dyDescent="0.25">
      <c r="A843" s="497"/>
      <c r="C843" s="404"/>
      <c r="E843" s="308"/>
      <c r="G843" s="297"/>
      <c r="H843" s="297"/>
      <c r="J843" s="297"/>
      <c r="L843" s="312"/>
      <c r="N843" s="297"/>
    </row>
    <row r="844" spans="1:14" ht="15" customHeight="1" x14ac:dyDescent="0.25">
      <c r="A844" s="497"/>
      <c r="C844" s="404"/>
      <c r="E844" s="308"/>
      <c r="G844" s="297"/>
      <c r="H844" s="297"/>
      <c r="J844" s="297"/>
      <c r="L844" s="312"/>
      <c r="N844" s="297"/>
    </row>
    <row r="845" spans="1:14" ht="15" customHeight="1" x14ac:dyDescent="0.25">
      <c r="A845" s="497"/>
      <c r="C845" s="404"/>
      <c r="E845" s="308"/>
      <c r="G845" s="297"/>
      <c r="H845" s="297"/>
      <c r="J845" s="297"/>
      <c r="L845" s="312"/>
      <c r="N845" s="297"/>
    </row>
    <row r="846" spans="1:14" ht="15" customHeight="1" x14ac:dyDescent="0.25">
      <c r="A846" s="497"/>
      <c r="C846" s="404"/>
      <c r="E846" s="308"/>
      <c r="G846" s="297"/>
      <c r="H846" s="297"/>
      <c r="J846" s="297"/>
      <c r="L846" s="312"/>
      <c r="N846" s="297"/>
    </row>
    <row r="847" spans="1:14" ht="15" customHeight="1" x14ac:dyDescent="0.25">
      <c r="A847" s="497"/>
      <c r="C847" s="404"/>
      <c r="E847" s="308"/>
      <c r="G847" s="297"/>
      <c r="H847" s="297"/>
      <c r="J847" s="297"/>
      <c r="L847" s="312"/>
      <c r="N847" s="297"/>
    </row>
    <row r="848" spans="1:14" ht="15" customHeight="1" x14ac:dyDescent="0.25">
      <c r="A848" s="497"/>
      <c r="C848" s="404"/>
      <c r="E848" s="308"/>
      <c r="G848" s="297"/>
      <c r="H848" s="297"/>
      <c r="J848" s="297"/>
      <c r="L848" s="312"/>
      <c r="N848" s="297"/>
    </row>
    <row r="849" spans="1:14" ht="15" customHeight="1" x14ac:dyDescent="0.25">
      <c r="A849" s="497"/>
      <c r="C849" s="404"/>
      <c r="E849" s="308"/>
      <c r="G849" s="297"/>
      <c r="H849" s="297"/>
      <c r="J849" s="297"/>
      <c r="L849" s="312"/>
      <c r="N849" s="297"/>
    </row>
    <row r="850" spans="1:14" ht="15" customHeight="1" x14ac:dyDescent="0.25">
      <c r="A850" s="497"/>
      <c r="C850" s="404"/>
      <c r="E850" s="308"/>
      <c r="G850" s="297"/>
      <c r="H850" s="297"/>
      <c r="J850" s="297"/>
      <c r="L850" s="312"/>
      <c r="N850" s="297"/>
    </row>
    <row r="851" spans="1:14" ht="15" customHeight="1" x14ac:dyDescent="0.25">
      <c r="A851" s="497"/>
      <c r="C851" s="404"/>
      <c r="E851" s="308"/>
      <c r="G851" s="297"/>
      <c r="H851" s="297"/>
      <c r="J851" s="297"/>
      <c r="L851" s="312"/>
      <c r="N851" s="297"/>
    </row>
    <row r="852" spans="1:14" ht="15" customHeight="1" x14ac:dyDescent="0.25">
      <c r="A852" s="497"/>
      <c r="C852" s="404"/>
      <c r="E852" s="308"/>
      <c r="G852" s="297"/>
      <c r="H852" s="297"/>
      <c r="J852" s="297"/>
      <c r="L852" s="312"/>
      <c r="N852" s="297"/>
    </row>
    <row r="853" spans="1:14" ht="15" customHeight="1" x14ac:dyDescent="0.25">
      <c r="A853" s="497"/>
      <c r="C853" s="404"/>
      <c r="E853" s="308"/>
      <c r="G853" s="297"/>
      <c r="H853" s="297"/>
      <c r="J853" s="297"/>
      <c r="L853" s="312"/>
      <c r="N853" s="297"/>
    </row>
    <row r="854" spans="1:14" ht="15" customHeight="1" x14ac:dyDescent="0.25">
      <c r="A854" s="497"/>
      <c r="C854" s="404"/>
      <c r="E854" s="308"/>
      <c r="G854" s="297"/>
      <c r="H854" s="297"/>
      <c r="J854" s="297"/>
      <c r="L854" s="312"/>
      <c r="N854" s="297"/>
    </row>
    <row r="855" spans="1:14" ht="15" customHeight="1" x14ac:dyDescent="0.25">
      <c r="A855" s="497"/>
      <c r="C855" s="404"/>
      <c r="E855" s="308"/>
      <c r="G855" s="297"/>
      <c r="H855" s="297"/>
      <c r="J855" s="297"/>
      <c r="L855" s="312"/>
      <c r="N855" s="297"/>
    </row>
    <row r="856" spans="1:14" ht="15" customHeight="1" x14ac:dyDescent="0.25">
      <c r="A856" s="497"/>
      <c r="C856" s="404"/>
      <c r="E856" s="308"/>
      <c r="G856" s="297"/>
      <c r="H856" s="297"/>
      <c r="J856" s="297"/>
      <c r="L856" s="312"/>
      <c r="N856" s="297"/>
    </row>
    <row r="857" spans="1:14" ht="15" customHeight="1" x14ac:dyDescent="0.25">
      <c r="A857" s="497"/>
      <c r="C857" s="404"/>
      <c r="E857" s="308"/>
      <c r="G857" s="297"/>
      <c r="H857" s="297"/>
      <c r="J857" s="297"/>
      <c r="L857" s="312"/>
      <c r="N857" s="297"/>
    </row>
    <row r="858" spans="1:14" ht="15" customHeight="1" x14ac:dyDescent="0.25">
      <c r="A858" s="497"/>
      <c r="C858" s="404"/>
      <c r="E858" s="308"/>
      <c r="G858" s="297"/>
      <c r="H858" s="297"/>
      <c r="J858" s="297"/>
      <c r="L858" s="312"/>
      <c r="N858" s="297"/>
    </row>
    <row r="859" spans="1:14" ht="15" customHeight="1" x14ac:dyDescent="0.25">
      <c r="A859" s="497"/>
      <c r="C859" s="404"/>
      <c r="E859" s="308"/>
      <c r="G859" s="297"/>
      <c r="H859" s="297"/>
      <c r="J859" s="297"/>
      <c r="L859" s="312"/>
      <c r="N859" s="297"/>
    </row>
    <row r="860" spans="1:14" ht="15" customHeight="1" x14ac:dyDescent="0.25">
      <c r="A860" s="497"/>
      <c r="C860" s="404"/>
      <c r="E860" s="308"/>
      <c r="G860" s="297"/>
      <c r="H860" s="297"/>
      <c r="J860" s="297"/>
      <c r="L860" s="312"/>
      <c r="N860" s="297"/>
    </row>
    <row r="861" spans="1:14" ht="15" customHeight="1" x14ac:dyDescent="0.25">
      <c r="A861" s="497"/>
      <c r="C861" s="404"/>
      <c r="E861" s="308"/>
      <c r="G861" s="297"/>
      <c r="H861" s="297"/>
      <c r="J861" s="297"/>
      <c r="L861" s="312"/>
      <c r="N861" s="297"/>
    </row>
    <row r="862" spans="1:14" ht="15" customHeight="1" x14ac:dyDescent="0.25">
      <c r="A862" s="497"/>
      <c r="C862" s="404"/>
      <c r="E862" s="308"/>
      <c r="G862" s="297"/>
      <c r="H862" s="297"/>
      <c r="J862" s="297"/>
      <c r="L862" s="312"/>
      <c r="N862" s="297"/>
    </row>
    <row r="863" spans="1:14" ht="15" customHeight="1" x14ac:dyDescent="0.25">
      <c r="A863" s="497"/>
      <c r="C863" s="404"/>
      <c r="E863" s="308"/>
      <c r="G863" s="297"/>
      <c r="H863" s="297"/>
      <c r="J863" s="297"/>
      <c r="L863" s="312"/>
      <c r="N863" s="297"/>
    </row>
    <row r="864" spans="1:14" ht="15" customHeight="1" x14ac:dyDescent="0.25">
      <c r="A864" s="497"/>
      <c r="C864" s="404"/>
      <c r="E864" s="308"/>
      <c r="G864" s="297"/>
      <c r="H864" s="297"/>
      <c r="J864" s="297"/>
      <c r="L864" s="312"/>
      <c r="N864" s="297"/>
    </row>
    <row r="865" spans="1:14" ht="15" customHeight="1" x14ac:dyDescent="0.25">
      <c r="A865" s="497"/>
      <c r="C865" s="404"/>
      <c r="E865" s="308"/>
      <c r="G865" s="297"/>
      <c r="H865" s="297"/>
      <c r="J865" s="297"/>
      <c r="L865" s="312"/>
      <c r="N865" s="297"/>
    </row>
    <row r="866" spans="1:14" ht="15" customHeight="1" x14ac:dyDescent="0.25">
      <c r="A866" s="497"/>
      <c r="C866" s="404"/>
      <c r="E866" s="308"/>
      <c r="G866" s="297"/>
      <c r="H866" s="297"/>
      <c r="J866" s="297"/>
      <c r="L866" s="312"/>
      <c r="N866" s="297"/>
    </row>
    <row r="867" spans="1:14" ht="15" customHeight="1" x14ac:dyDescent="0.25">
      <c r="A867" s="497"/>
      <c r="C867" s="404"/>
      <c r="E867" s="308"/>
      <c r="G867" s="297"/>
      <c r="H867" s="297"/>
      <c r="J867" s="297"/>
      <c r="L867" s="312"/>
      <c r="N867" s="297"/>
    </row>
    <row r="868" spans="1:14" ht="15" customHeight="1" x14ac:dyDescent="0.25">
      <c r="A868" s="497"/>
      <c r="C868" s="404"/>
      <c r="E868" s="308"/>
      <c r="G868" s="297"/>
      <c r="H868" s="297"/>
      <c r="J868" s="297"/>
      <c r="L868" s="312"/>
      <c r="N868" s="297"/>
    </row>
    <row r="869" spans="1:14" ht="15" customHeight="1" x14ac:dyDescent="0.25">
      <c r="A869" s="497"/>
      <c r="C869" s="404"/>
      <c r="E869" s="308"/>
      <c r="G869" s="297"/>
      <c r="H869" s="297"/>
      <c r="J869" s="297"/>
      <c r="L869" s="312"/>
      <c r="N869" s="297"/>
    </row>
    <row r="870" spans="1:14" ht="15" customHeight="1" x14ac:dyDescent="0.25">
      <c r="A870" s="497"/>
      <c r="C870" s="404"/>
      <c r="E870" s="308"/>
      <c r="G870" s="297"/>
      <c r="H870" s="297"/>
      <c r="J870" s="297"/>
      <c r="L870" s="312"/>
      <c r="N870" s="297"/>
    </row>
    <row r="871" spans="1:14" ht="15" customHeight="1" x14ac:dyDescent="0.25">
      <c r="A871" s="497"/>
      <c r="C871" s="404"/>
      <c r="E871" s="308"/>
      <c r="G871" s="297"/>
      <c r="H871" s="297"/>
      <c r="J871" s="297"/>
      <c r="L871" s="312"/>
      <c r="N871" s="297"/>
    </row>
    <row r="872" spans="1:14" ht="15" customHeight="1" x14ac:dyDescent="0.25">
      <c r="A872" s="497"/>
      <c r="C872" s="404"/>
      <c r="E872" s="308"/>
      <c r="G872" s="297"/>
      <c r="H872" s="297"/>
      <c r="J872" s="297"/>
      <c r="L872" s="312"/>
      <c r="N872" s="297"/>
    </row>
    <row r="873" spans="1:14" ht="15" customHeight="1" x14ac:dyDescent="0.25">
      <c r="A873" s="497"/>
      <c r="C873" s="404"/>
      <c r="E873" s="308"/>
      <c r="G873" s="297"/>
      <c r="H873" s="297"/>
      <c r="J873" s="297"/>
      <c r="L873" s="312"/>
      <c r="N873" s="297"/>
    </row>
    <row r="874" spans="1:14" ht="15" customHeight="1" x14ac:dyDescent="0.25">
      <c r="A874" s="497"/>
      <c r="C874" s="404"/>
      <c r="E874" s="308"/>
      <c r="G874" s="297"/>
      <c r="H874" s="297"/>
      <c r="J874" s="297"/>
      <c r="L874" s="312"/>
      <c r="N874" s="297"/>
    </row>
    <row r="875" spans="1:14" ht="15" customHeight="1" x14ac:dyDescent="0.25">
      <c r="A875" s="497"/>
      <c r="C875" s="404"/>
      <c r="E875" s="308"/>
      <c r="G875" s="297"/>
      <c r="H875" s="297"/>
      <c r="J875" s="297"/>
      <c r="L875" s="312"/>
      <c r="N875" s="297"/>
    </row>
    <row r="876" spans="1:14" ht="15" customHeight="1" x14ac:dyDescent="0.25">
      <c r="A876" s="497"/>
      <c r="C876" s="404"/>
      <c r="E876" s="308"/>
      <c r="G876" s="297"/>
      <c r="H876" s="297"/>
      <c r="J876" s="297"/>
      <c r="L876" s="312"/>
      <c r="N876" s="297"/>
    </row>
    <row r="877" spans="1:14" ht="15" customHeight="1" x14ac:dyDescent="0.25">
      <c r="A877" s="497"/>
      <c r="C877" s="404"/>
      <c r="E877" s="308"/>
      <c r="G877" s="297"/>
      <c r="H877" s="297"/>
      <c r="J877" s="297"/>
      <c r="L877" s="312"/>
      <c r="N877" s="297"/>
    </row>
    <row r="878" spans="1:14" ht="15" customHeight="1" x14ac:dyDescent="0.25">
      <c r="A878" s="497"/>
      <c r="C878" s="404"/>
      <c r="E878" s="308"/>
      <c r="G878" s="297"/>
      <c r="H878" s="297"/>
      <c r="J878" s="297"/>
      <c r="L878" s="312"/>
      <c r="N878" s="297"/>
    </row>
    <row r="879" spans="1:14" ht="15" customHeight="1" x14ac:dyDescent="0.25">
      <c r="A879" s="497"/>
      <c r="C879" s="404"/>
      <c r="E879" s="308"/>
      <c r="G879" s="297"/>
      <c r="H879" s="297"/>
      <c r="J879" s="297"/>
      <c r="L879" s="312"/>
      <c r="N879" s="297"/>
    </row>
    <row r="880" spans="1:14" ht="15" customHeight="1" x14ac:dyDescent="0.25">
      <c r="A880" s="497"/>
      <c r="C880" s="404"/>
      <c r="E880" s="308"/>
      <c r="G880" s="297"/>
      <c r="H880" s="297"/>
      <c r="J880" s="297"/>
      <c r="L880" s="312"/>
      <c r="N880" s="297"/>
    </row>
    <row r="881" spans="1:14" ht="15" customHeight="1" x14ac:dyDescent="0.25">
      <c r="A881" s="497"/>
      <c r="C881" s="404"/>
      <c r="E881" s="308"/>
      <c r="G881" s="297"/>
      <c r="H881" s="297"/>
      <c r="J881" s="297"/>
      <c r="L881" s="312"/>
      <c r="N881" s="297"/>
    </row>
    <row r="882" spans="1:14" ht="15" customHeight="1" x14ac:dyDescent="0.25">
      <c r="A882" s="497"/>
      <c r="C882" s="404"/>
      <c r="E882" s="308"/>
      <c r="G882" s="297"/>
      <c r="H882" s="297"/>
      <c r="J882" s="297"/>
      <c r="L882" s="312"/>
      <c r="N882" s="297"/>
    </row>
    <row r="883" spans="1:14" ht="15" customHeight="1" x14ac:dyDescent="0.25">
      <c r="A883" s="497"/>
      <c r="C883" s="404"/>
      <c r="E883" s="308"/>
      <c r="G883" s="297"/>
      <c r="H883" s="297"/>
      <c r="J883" s="297"/>
      <c r="L883" s="312"/>
      <c r="N883" s="297"/>
    </row>
    <row r="884" spans="1:14" ht="15" customHeight="1" x14ac:dyDescent="0.25">
      <c r="A884" s="497"/>
      <c r="C884" s="404"/>
      <c r="E884" s="308"/>
      <c r="G884" s="297"/>
      <c r="H884" s="297"/>
      <c r="J884" s="297"/>
      <c r="L884" s="312"/>
      <c r="N884" s="297"/>
    </row>
    <row r="885" spans="1:14" ht="15" customHeight="1" x14ac:dyDescent="0.25">
      <c r="A885" s="497"/>
      <c r="C885" s="404"/>
      <c r="E885" s="308"/>
      <c r="G885" s="297"/>
      <c r="H885" s="297"/>
      <c r="J885" s="297"/>
      <c r="L885" s="312"/>
      <c r="N885" s="297"/>
    </row>
    <row r="886" spans="1:14" ht="15" customHeight="1" x14ac:dyDescent="0.25">
      <c r="A886" s="497"/>
      <c r="C886" s="404"/>
      <c r="E886" s="308"/>
      <c r="G886" s="297"/>
      <c r="H886" s="297"/>
      <c r="J886" s="297"/>
      <c r="L886" s="312"/>
      <c r="N886" s="297"/>
    </row>
    <row r="887" spans="1:14" ht="15" customHeight="1" x14ac:dyDescent="0.25">
      <c r="A887" s="497"/>
      <c r="C887" s="404"/>
      <c r="E887" s="308"/>
      <c r="G887" s="297"/>
      <c r="H887" s="297"/>
      <c r="J887" s="297"/>
      <c r="L887" s="312"/>
      <c r="N887" s="297"/>
    </row>
    <row r="888" spans="1:14" ht="15" customHeight="1" x14ac:dyDescent="0.25">
      <c r="A888" s="497"/>
      <c r="C888" s="404"/>
      <c r="E888" s="308"/>
      <c r="G888" s="297"/>
      <c r="H888" s="297"/>
      <c r="J888" s="297"/>
      <c r="L888" s="312"/>
      <c r="N888" s="297"/>
    </row>
    <row r="889" spans="1:14" ht="15" customHeight="1" x14ac:dyDescent="0.25">
      <c r="A889" s="497"/>
      <c r="C889" s="404"/>
      <c r="E889" s="308"/>
      <c r="G889" s="297"/>
      <c r="H889" s="297"/>
      <c r="J889" s="297"/>
      <c r="L889" s="312"/>
      <c r="N889" s="297"/>
    </row>
    <row r="890" spans="1:14" ht="15" customHeight="1" x14ac:dyDescent="0.25">
      <c r="A890" s="497"/>
      <c r="C890" s="404"/>
      <c r="E890" s="308"/>
      <c r="G890" s="297"/>
      <c r="H890" s="297"/>
      <c r="J890" s="297"/>
      <c r="L890" s="312"/>
      <c r="N890" s="297"/>
    </row>
    <row r="891" spans="1:14" ht="15" customHeight="1" x14ac:dyDescent="0.25">
      <c r="A891" s="497"/>
      <c r="C891" s="404"/>
      <c r="E891" s="308"/>
      <c r="G891" s="297"/>
      <c r="H891" s="297"/>
      <c r="J891" s="297"/>
      <c r="L891" s="312"/>
      <c r="N891" s="297"/>
    </row>
    <row r="892" spans="1:14" ht="15" customHeight="1" x14ac:dyDescent="0.25">
      <c r="A892" s="497"/>
      <c r="C892" s="404"/>
      <c r="E892" s="308"/>
      <c r="G892" s="297"/>
      <c r="H892" s="297"/>
      <c r="J892" s="297"/>
      <c r="L892" s="312"/>
      <c r="N892" s="297"/>
    </row>
    <row r="893" spans="1:14" ht="15" customHeight="1" x14ac:dyDescent="0.25">
      <c r="A893" s="497"/>
      <c r="C893" s="404"/>
      <c r="E893" s="308"/>
      <c r="G893" s="297"/>
      <c r="H893" s="297"/>
      <c r="J893" s="297"/>
      <c r="L893" s="312"/>
      <c r="N893" s="297"/>
    </row>
    <row r="894" spans="1:14" ht="15" customHeight="1" x14ac:dyDescent="0.25">
      <c r="A894" s="497"/>
      <c r="C894" s="404"/>
      <c r="E894" s="308"/>
      <c r="G894" s="297"/>
      <c r="H894" s="297"/>
      <c r="J894" s="297"/>
      <c r="L894" s="312"/>
      <c r="N894" s="297"/>
    </row>
    <row r="895" spans="1:14" ht="15" customHeight="1" x14ac:dyDescent="0.25">
      <c r="A895" s="497"/>
      <c r="C895" s="404"/>
      <c r="E895" s="308"/>
      <c r="G895" s="297"/>
      <c r="H895" s="297"/>
      <c r="J895" s="297"/>
      <c r="L895" s="312"/>
      <c r="N895" s="297"/>
    </row>
    <row r="896" spans="1:14" ht="15" customHeight="1" x14ac:dyDescent="0.25">
      <c r="A896" s="497"/>
      <c r="C896" s="404"/>
      <c r="E896" s="308"/>
      <c r="G896" s="297"/>
      <c r="H896" s="297"/>
      <c r="J896" s="297"/>
      <c r="L896" s="312"/>
      <c r="N896" s="297"/>
    </row>
    <row r="897" spans="1:14" ht="15" customHeight="1" x14ac:dyDescent="0.25">
      <c r="A897" s="497"/>
      <c r="C897" s="404"/>
      <c r="E897" s="308"/>
      <c r="G897" s="297"/>
      <c r="H897" s="297"/>
      <c r="J897" s="297"/>
      <c r="L897" s="312"/>
      <c r="N897" s="297"/>
    </row>
    <row r="898" spans="1:14" ht="15" customHeight="1" x14ac:dyDescent="0.25">
      <c r="A898" s="497"/>
      <c r="C898" s="404"/>
      <c r="E898" s="308"/>
      <c r="G898" s="297"/>
      <c r="H898" s="297"/>
      <c r="J898" s="297"/>
      <c r="L898" s="312"/>
      <c r="N898" s="297"/>
    </row>
    <row r="899" spans="1:14" ht="15" customHeight="1" x14ac:dyDescent="0.25">
      <c r="A899" s="497"/>
      <c r="C899" s="404"/>
      <c r="E899" s="308"/>
      <c r="G899" s="297"/>
      <c r="H899" s="297"/>
      <c r="J899" s="297"/>
      <c r="L899" s="312"/>
      <c r="N899" s="297"/>
    </row>
    <row r="900" spans="1:14" ht="15" customHeight="1" x14ac:dyDescent="0.25">
      <c r="A900" s="497"/>
      <c r="C900" s="404"/>
      <c r="E900" s="308"/>
      <c r="G900" s="297"/>
      <c r="H900" s="297"/>
      <c r="J900" s="297"/>
      <c r="L900" s="312"/>
      <c r="N900" s="297"/>
    </row>
    <row r="901" spans="1:14" ht="15" customHeight="1" x14ac:dyDescent="0.25">
      <c r="A901" s="497"/>
      <c r="C901" s="404"/>
      <c r="E901" s="308"/>
      <c r="G901" s="297"/>
      <c r="H901" s="297"/>
      <c r="J901" s="297"/>
      <c r="L901" s="312"/>
      <c r="N901" s="297"/>
    </row>
    <row r="902" spans="1:14" ht="15" customHeight="1" x14ac:dyDescent="0.25">
      <c r="A902" s="497"/>
      <c r="C902" s="404"/>
      <c r="E902" s="308"/>
      <c r="G902" s="297"/>
      <c r="H902" s="297"/>
      <c r="J902" s="297"/>
      <c r="L902" s="312"/>
      <c r="N902" s="297"/>
    </row>
    <row r="903" spans="1:14" ht="15" customHeight="1" x14ac:dyDescent="0.25">
      <c r="A903" s="497"/>
      <c r="C903" s="404"/>
      <c r="E903" s="308"/>
      <c r="G903" s="297"/>
      <c r="H903" s="297"/>
      <c r="J903" s="297"/>
      <c r="L903" s="312"/>
      <c r="N903" s="297"/>
    </row>
    <row r="904" spans="1:14" ht="15" customHeight="1" x14ac:dyDescent="0.25">
      <c r="A904" s="497"/>
      <c r="C904" s="404"/>
      <c r="E904" s="308"/>
      <c r="G904" s="297"/>
      <c r="H904" s="297"/>
      <c r="J904" s="297"/>
      <c r="L904" s="312"/>
      <c r="N904" s="297"/>
    </row>
    <row r="905" spans="1:14" ht="15" customHeight="1" x14ac:dyDescent="0.25">
      <c r="A905" s="497"/>
      <c r="C905" s="404"/>
      <c r="E905" s="308"/>
      <c r="G905" s="297"/>
      <c r="H905" s="297"/>
      <c r="J905" s="297"/>
      <c r="L905" s="312"/>
      <c r="N905" s="297"/>
    </row>
    <row r="906" spans="1:14" ht="15" customHeight="1" x14ac:dyDescent="0.25">
      <c r="A906" s="497"/>
      <c r="C906" s="404"/>
      <c r="E906" s="308"/>
      <c r="G906" s="297"/>
      <c r="H906" s="297"/>
      <c r="J906" s="297"/>
      <c r="L906" s="312"/>
      <c r="N906" s="297"/>
    </row>
    <row r="907" spans="1:14" ht="15" customHeight="1" x14ac:dyDescent="0.25">
      <c r="A907" s="497"/>
      <c r="C907" s="404"/>
      <c r="E907" s="308"/>
      <c r="G907" s="297"/>
      <c r="H907" s="297"/>
      <c r="J907" s="297"/>
      <c r="L907" s="312"/>
      <c r="N907" s="297"/>
    </row>
    <row r="908" spans="1:14" ht="15" customHeight="1" x14ac:dyDescent="0.25">
      <c r="A908" s="497"/>
      <c r="C908" s="404"/>
      <c r="E908" s="308"/>
      <c r="G908" s="297"/>
      <c r="H908" s="297"/>
      <c r="J908" s="297"/>
      <c r="L908" s="312"/>
      <c r="N908" s="297"/>
    </row>
    <row r="909" spans="1:14" ht="15" customHeight="1" x14ac:dyDescent="0.25">
      <c r="A909" s="497"/>
      <c r="C909" s="404"/>
      <c r="E909" s="308"/>
      <c r="G909" s="297"/>
      <c r="H909" s="297"/>
      <c r="J909" s="297"/>
      <c r="L909" s="312"/>
      <c r="N909" s="297"/>
    </row>
    <row r="910" spans="1:14" ht="15" customHeight="1" x14ac:dyDescent="0.25">
      <c r="A910" s="497"/>
      <c r="C910" s="404"/>
      <c r="E910" s="308"/>
      <c r="G910" s="297"/>
      <c r="H910" s="297"/>
      <c r="J910" s="297"/>
      <c r="L910" s="312"/>
      <c r="N910" s="297"/>
    </row>
    <row r="911" spans="1:14" ht="15" customHeight="1" x14ac:dyDescent="0.25">
      <c r="A911" s="497"/>
      <c r="C911" s="404"/>
      <c r="E911" s="308"/>
      <c r="G911" s="297"/>
      <c r="H911" s="297"/>
      <c r="J911" s="297"/>
      <c r="L911" s="312"/>
      <c r="N911" s="297"/>
    </row>
    <row r="912" spans="1:14" ht="15" customHeight="1" x14ac:dyDescent="0.25">
      <c r="A912" s="497"/>
      <c r="C912" s="404"/>
      <c r="E912" s="308"/>
      <c r="G912" s="297"/>
      <c r="H912" s="297"/>
      <c r="J912" s="297"/>
      <c r="L912" s="312"/>
      <c r="N912" s="297"/>
    </row>
    <row r="913" spans="1:14" ht="15" customHeight="1" x14ac:dyDescent="0.25">
      <c r="A913" s="497"/>
      <c r="C913" s="404"/>
      <c r="E913" s="308"/>
      <c r="G913" s="297"/>
      <c r="H913" s="297"/>
      <c r="J913" s="297"/>
      <c r="L913" s="312"/>
      <c r="N913" s="297"/>
    </row>
    <row r="914" spans="1:14" ht="15" customHeight="1" x14ac:dyDescent="0.25">
      <c r="A914" s="497"/>
      <c r="C914" s="404"/>
      <c r="E914" s="308"/>
      <c r="G914" s="297"/>
      <c r="H914" s="297"/>
      <c r="J914" s="297"/>
      <c r="L914" s="312"/>
      <c r="N914" s="297"/>
    </row>
    <row r="915" spans="1:14" ht="15" customHeight="1" x14ac:dyDescent="0.25">
      <c r="A915" s="497"/>
      <c r="C915" s="404"/>
      <c r="E915" s="308"/>
      <c r="G915" s="297"/>
      <c r="H915" s="297"/>
      <c r="J915" s="297"/>
      <c r="L915" s="312"/>
      <c r="N915" s="297"/>
    </row>
    <row r="916" spans="1:14" ht="15" customHeight="1" x14ac:dyDescent="0.25">
      <c r="A916" s="497"/>
      <c r="C916" s="404"/>
      <c r="E916" s="308"/>
      <c r="G916" s="297"/>
      <c r="H916" s="297"/>
      <c r="J916" s="297"/>
      <c r="L916" s="312"/>
      <c r="N916" s="297"/>
    </row>
    <row r="917" spans="1:14" ht="15" customHeight="1" x14ac:dyDescent="0.25">
      <c r="A917" s="497"/>
      <c r="C917" s="404"/>
      <c r="E917" s="308"/>
      <c r="G917" s="297"/>
      <c r="H917" s="297"/>
      <c r="J917" s="297"/>
      <c r="L917" s="312"/>
      <c r="N917" s="297"/>
    </row>
    <row r="918" spans="1:14" ht="15" customHeight="1" x14ac:dyDescent="0.25">
      <c r="A918" s="497"/>
      <c r="C918" s="404"/>
      <c r="E918" s="308"/>
      <c r="G918" s="297"/>
      <c r="H918" s="297"/>
      <c r="J918" s="297"/>
      <c r="L918" s="312"/>
      <c r="N918" s="297"/>
    </row>
    <row r="919" spans="1:14" ht="15" customHeight="1" x14ac:dyDescent="0.25">
      <c r="A919" s="497"/>
      <c r="C919" s="404"/>
      <c r="E919" s="308"/>
      <c r="G919" s="297"/>
      <c r="H919" s="297"/>
      <c r="J919" s="297"/>
      <c r="L919" s="312"/>
      <c r="N919" s="297"/>
    </row>
    <row r="920" spans="1:14" ht="15" customHeight="1" x14ac:dyDescent="0.25">
      <c r="A920" s="497"/>
      <c r="C920" s="404"/>
      <c r="E920" s="308"/>
      <c r="G920" s="297"/>
      <c r="H920" s="297"/>
      <c r="J920" s="297"/>
      <c r="L920" s="312"/>
      <c r="N920" s="297"/>
    </row>
    <row r="921" spans="1:14" ht="15" customHeight="1" x14ac:dyDescent="0.25">
      <c r="A921" s="497"/>
      <c r="C921" s="404"/>
      <c r="E921" s="308"/>
      <c r="G921" s="297"/>
      <c r="H921" s="297"/>
      <c r="J921" s="297"/>
      <c r="L921" s="312"/>
      <c r="N921" s="297"/>
    </row>
    <row r="922" spans="1:14" ht="15" customHeight="1" x14ac:dyDescent="0.25">
      <c r="A922" s="497"/>
      <c r="C922" s="404"/>
      <c r="E922" s="308"/>
      <c r="G922" s="297"/>
      <c r="H922" s="297"/>
      <c r="J922" s="297"/>
      <c r="L922" s="312"/>
      <c r="N922" s="297"/>
    </row>
    <row r="923" spans="1:14" ht="15" customHeight="1" x14ac:dyDescent="0.25">
      <c r="A923" s="497"/>
      <c r="C923" s="404"/>
      <c r="E923" s="308"/>
      <c r="G923" s="297"/>
      <c r="H923" s="297"/>
      <c r="J923" s="297"/>
      <c r="L923" s="312"/>
      <c r="N923" s="297"/>
    </row>
    <row r="924" spans="1:14" ht="15" customHeight="1" x14ac:dyDescent="0.25">
      <c r="A924" s="497"/>
      <c r="C924" s="404"/>
      <c r="E924" s="308"/>
      <c r="G924" s="297"/>
      <c r="H924" s="297"/>
      <c r="J924" s="297"/>
      <c r="L924" s="312"/>
      <c r="N924" s="297"/>
    </row>
    <row r="925" spans="1:14" ht="15" customHeight="1" x14ac:dyDescent="0.25">
      <c r="A925" s="497"/>
      <c r="C925" s="404"/>
      <c r="E925" s="308"/>
      <c r="G925" s="297"/>
      <c r="H925" s="297"/>
      <c r="J925" s="297"/>
      <c r="L925" s="312"/>
      <c r="N925" s="297"/>
    </row>
    <row r="926" spans="1:14" ht="15" customHeight="1" x14ac:dyDescent="0.25">
      <c r="A926" s="497"/>
      <c r="C926" s="404"/>
      <c r="E926" s="308"/>
      <c r="G926" s="297"/>
      <c r="H926" s="297"/>
      <c r="J926" s="297"/>
      <c r="L926" s="312"/>
      <c r="N926" s="297"/>
    </row>
    <row r="927" spans="1:14" ht="15" customHeight="1" x14ac:dyDescent="0.25">
      <c r="A927" s="497"/>
      <c r="C927" s="404"/>
      <c r="E927" s="308"/>
      <c r="G927" s="297"/>
      <c r="H927" s="297"/>
      <c r="J927" s="297"/>
      <c r="L927" s="312"/>
      <c r="N927" s="297"/>
    </row>
    <row r="928" spans="1:14" ht="15" customHeight="1" x14ac:dyDescent="0.25">
      <c r="A928" s="497"/>
      <c r="C928" s="404"/>
      <c r="E928" s="308"/>
      <c r="G928" s="297"/>
      <c r="H928" s="297"/>
      <c r="J928" s="297"/>
      <c r="L928" s="312"/>
      <c r="N928" s="297"/>
    </row>
    <row r="929" spans="1:14" ht="15" customHeight="1" x14ac:dyDescent="0.25">
      <c r="A929" s="497"/>
      <c r="C929" s="404"/>
      <c r="E929" s="308"/>
      <c r="G929" s="297"/>
      <c r="H929" s="297"/>
      <c r="J929" s="297"/>
      <c r="L929" s="312"/>
      <c r="N929" s="297"/>
    </row>
    <row r="930" spans="1:14" ht="15" customHeight="1" x14ac:dyDescent="0.25">
      <c r="A930" s="497"/>
      <c r="C930" s="404"/>
      <c r="E930" s="308"/>
      <c r="G930" s="297"/>
      <c r="H930" s="297"/>
      <c r="J930" s="297"/>
      <c r="L930" s="312"/>
      <c r="N930" s="297"/>
    </row>
    <row r="931" spans="1:14" ht="15" customHeight="1" x14ac:dyDescent="0.25">
      <c r="A931" s="497"/>
      <c r="C931" s="404"/>
      <c r="E931" s="308"/>
      <c r="G931" s="297"/>
      <c r="H931" s="297"/>
      <c r="J931" s="297"/>
      <c r="L931" s="312"/>
      <c r="N931" s="297"/>
    </row>
    <row r="932" spans="1:14" ht="15" customHeight="1" x14ac:dyDescent="0.25">
      <c r="A932" s="497"/>
      <c r="C932" s="404"/>
      <c r="E932" s="308"/>
      <c r="G932" s="297"/>
      <c r="H932" s="297"/>
      <c r="J932" s="297"/>
      <c r="L932" s="312"/>
      <c r="N932" s="297"/>
    </row>
    <row r="933" spans="1:14" ht="15" customHeight="1" x14ac:dyDescent="0.25">
      <c r="A933" s="497"/>
      <c r="C933" s="404"/>
      <c r="E933" s="308"/>
      <c r="G933" s="297"/>
      <c r="H933" s="297"/>
      <c r="J933" s="297"/>
      <c r="L933" s="312"/>
      <c r="N933" s="297"/>
    </row>
    <row r="934" spans="1:14" ht="15" customHeight="1" x14ac:dyDescent="0.25">
      <c r="A934" s="497"/>
      <c r="C934" s="404"/>
      <c r="E934" s="308"/>
      <c r="G934" s="297"/>
      <c r="H934" s="297"/>
      <c r="J934" s="297"/>
      <c r="L934" s="312"/>
      <c r="N934" s="297"/>
    </row>
    <row r="935" spans="1:14" ht="15" customHeight="1" x14ac:dyDescent="0.25">
      <c r="A935" s="497"/>
      <c r="C935" s="404"/>
      <c r="E935" s="308"/>
      <c r="G935" s="297"/>
      <c r="H935" s="297"/>
      <c r="J935" s="297"/>
      <c r="L935" s="312"/>
      <c r="N935" s="297"/>
    </row>
    <row r="936" spans="1:14" ht="15" customHeight="1" x14ac:dyDescent="0.25">
      <c r="A936" s="497"/>
      <c r="C936" s="404"/>
      <c r="E936" s="308"/>
      <c r="G936" s="297"/>
      <c r="H936" s="297"/>
      <c r="J936" s="297"/>
      <c r="L936" s="312"/>
      <c r="N936" s="297"/>
    </row>
    <row r="937" spans="1:14" ht="15" customHeight="1" x14ac:dyDescent="0.25">
      <c r="A937" s="497"/>
      <c r="C937" s="404"/>
      <c r="E937" s="308"/>
      <c r="G937" s="297"/>
      <c r="H937" s="297"/>
      <c r="J937" s="297"/>
      <c r="L937" s="312"/>
      <c r="N937" s="297"/>
    </row>
    <row r="938" spans="1:14" ht="15" customHeight="1" x14ac:dyDescent="0.25">
      <c r="A938" s="497"/>
      <c r="C938" s="404"/>
      <c r="E938" s="308"/>
      <c r="G938" s="297"/>
      <c r="H938" s="297"/>
      <c r="J938" s="297"/>
      <c r="L938" s="312"/>
      <c r="N938" s="297"/>
    </row>
    <row r="939" spans="1:14" ht="15" customHeight="1" x14ac:dyDescent="0.25">
      <c r="A939" s="497"/>
      <c r="C939" s="404"/>
      <c r="E939" s="308"/>
      <c r="G939" s="297"/>
      <c r="H939" s="297"/>
      <c r="J939" s="297"/>
      <c r="L939" s="312"/>
      <c r="N939" s="297"/>
    </row>
    <row r="940" spans="1:14" ht="15" customHeight="1" x14ac:dyDescent="0.25">
      <c r="A940" s="497"/>
      <c r="C940" s="404"/>
      <c r="E940" s="308"/>
      <c r="G940" s="297"/>
      <c r="H940" s="297"/>
      <c r="J940" s="297"/>
      <c r="L940" s="312"/>
      <c r="N940" s="297"/>
    </row>
    <row r="941" spans="1:14" ht="15" customHeight="1" x14ac:dyDescent="0.25">
      <c r="A941" s="497"/>
      <c r="C941" s="404"/>
      <c r="E941" s="308"/>
      <c r="G941" s="297"/>
      <c r="H941" s="297"/>
      <c r="J941" s="297"/>
      <c r="L941" s="312"/>
      <c r="N941" s="297"/>
    </row>
    <row r="942" spans="1:14" ht="15" customHeight="1" x14ac:dyDescent="0.25">
      <c r="A942" s="497"/>
      <c r="C942" s="404"/>
      <c r="E942" s="308"/>
      <c r="G942" s="297"/>
      <c r="H942" s="297"/>
      <c r="J942" s="297"/>
      <c r="L942" s="312"/>
      <c r="N942" s="297"/>
    </row>
    <row r="943" spans="1:14" ht="15" customHeight="1" x14ac:dyDescent="0.25">
      <c r="A943" s="497"/>
      <c r="C943" s="404"/>
      <c r="E943" s="308"/>
      <c r="G943" s="297"/>
      <c r="H943" s="297"/>
      <c r="J943" s="297"/>
      <c r="L943" s="312"/>
      <c r="N943" s="297"/>
    </row>
    <row r="944" spans="1:14" ht="15" customHeight="1" x14ac:dyDescent="0.25">
      <c r="A944" s="497"/>
      <c r="C944" s="404"/>
      <c r="E944" s="308"/>
      <c r="G944" s="297"/>
      <c r="H944" s="297"/>
      <c r="J944" s="297"/>
      <c r="L944" s="312"/>
      <c r="N944" s="297"/>
    </row>
    <row r="945" spans="1:14" ht="15" customHeight="1" x14ac:dyDescent="0.25">
      <c r="A945" s="497"/>
      <c r="C945" s="404"/>
      <c r="E945" s="308"/>
      <c r="G945" s="297"/>
      <c r="H945" s="297"/>
      <c r="J945" s="297"/>
      <c r="L945" s="312"/>
      <c r="N945" s="297"/>
    </row>
    <row r="946" spans="1:14" ht="15" customHeight="1" x14ac:dyDescent="0.25">
      <c r="A946" s="497"/>
      <c r="C946" s="404"/>
      <c r="E946" s="308"/>
      <c r="G946" s="297"/>
      <c r="H946" s="297"/>
      <c r="J946" s="297"/>
      <c r="L946" s="312"/>
      <c r="N946" s="297"/>
    </row>
    <row r="947" spans="1:14" ht="15" customHeight="1" x14ac:dyDescent="0.25">
      <c r="A947" s="497"/>
      <c r="C947" s="404"/>
      <c r="E947" s="308"/>
      <c r="G947" s="297"/>
      <c r="H947" s="297"/>
      <c r="J947" s="297"/>
      <c r="L947" s="312"/>
      <c r="N947" s="297"/>
    </row>
    <row r="948" spans="1:14" ht="15" customHeight="1" x14ac:dyDescent="0.25">
      <c r="A948" s="497"/>
      <c r="C948" s="404"/>
      <c r="E948" s="308"/>
      <c r="G948" s="297"/>
      <c r="H948" s="297"/>
      <c r="J948" s="297"/>
      <c r="L948" s="312"/>
      <c r="N948" s="297"/>
    </row>
    <row r="949" spans="1:14" ht="15" customHeight="1" x14ac:dyDescent="0.25">
      <c r="A949" s="497"/>
      <c r="C949" s="404"/>
      <c r="E949" s="308"/>
      <c r="G949" s="297"/>
      <c r="H949" s="297"/>
      <c r="J949" s="297"/>
      <c r="L949" s="312"/>
      <c r="N949" s="297"/>
    </row>
    <row r="950" spans="1:14" ht="15" customHeight="1" x14ac:dyDescent="0.25">
      <c r="A950" s="497"/>
      <c r="C950" s="404"/>
      <c r="E950" s="308"/>
      <c r="G950" s="297"/>
      <c r="H950" s="297"/>
      <c r="J950" s="297"/>
      <c r="L950" s="312"/>
      <c r="N950" s="297"/>
    </row>
    <row r="951" spans="1:14" ht="15" customHeight="1" x14ac:dyDescent="0.25">
      <c r="A951" s="497"/>
      <c r="C951" s="404"/>
      <c r="E951" s="308"/>
      <c r="G951" s="297"/>
      <c r="H951" s="297"/>
      <c r="J951" s="297"/>
      <c r="L951" s="312"/>
      <c r="N951" s="297"/>
    </row>
    <row r="952" spans="1:14" ht="15" customHeight="1" x14ac:dyDescent="0.25">
      <c r="A952" s="497"/>
      <c r="C952" s="404"/>
      <c r="E952" s="308"/>
      <c r="G952" s="297"/>
      <c r="H952" s="297"/>
      <c r="J952" s="297"/>
      <c r="L952" s="312"/>
      <c r="N952" s="297"/>
    </row>
    <row r="953" spans="1:14" ht="15" customHeight="1" x14ac:dyDescent="0.25">
      <c r="A953" s="497"/>
      <c r="C953" s="404"/>
      <c r="E953" s="308"/>
      <c r="G953" s="297"/>
      <c r="H953" s="297"/>
      <c r="J953" s="297"/>
      <c r="L953" s="312"/>
      <c r="N953" s="297"/>
    </row>
    <row r="954" spans="1:14" ht="15" customHeight="1" x14ac:dyDescent="0.25">
      <c r="A954" s="497"/>
      <c r="C954" s="404"/>
      <c r="E954" s="308"/>
      <c r="G954" s="297"/>
      <c r="H954" s="297"/>
      <c r="J954" s="297"/>
      <c r="L954" s="312"/>
      <c r="N954" s="297"/>
    </row>
    <row r="955" spans="1:14" ht="15" customHeight="1" x14ac:dyDescent="0.25">
      <c r="A955" s="497"/>
      <c r="C955" s="404"/>
      <c r="E955" s="308"/>
      <c r="G955" s="297"/>
      <c r="H955" s="297"/>
      <c r="J955" s="297"/>
      <c r="L955" s="312"/>
      <c r="N955" s="297"/>
    </row>
    <row r="956" spans="1:14" ht="15" customHeight="1" x14ac:dyDescent="0.25">
      <c r="A956" s="497"/>
      <c r="C956" s="404"/>
      <c r="E956" s="308"/>
      <c r="G956" s="297"/>
      <c r="H956" s="297"/>
      <c r="J956" s="297"/>
      <c r="L956" s="312"/>
      <c r="N956" s="297"/>
    </row>
    <row r="957" spans="1:14" ht="15" customHeight="1" x14ac:dyDescent="0.25">
      <c r="A957" s="497"/>
      <c r="C957" s="404"/>
      <c r="E957" s="308"/>
      <c r="G957" s="297"/>
      <c r="H957" s="297"/>
      <c r="J957" s="297"/>
      <c r="L957" s="312"/>
      <c r="N957" s="297"/>
    </row>
    <row r="958" spans="1:14" ht="15" customHeight="1" x14ac:dyDescent="0.25">
      <c r="A958" s="497"/>
      <c r="C958" s="404"/>
      <c r="E958" s="308"/>
      <c r="G958" s="297"/>
      <c r="H958" s="297"/>
      <c r="J958" s="297"/>
      <c r="L958" s="312"/>
      <c r="N958" s="297"/>
    </row>
    <row r="959" spans="1:14" ht="15" customHeight="1" x14ac:dyDescent="0.25">
      <c r="A959" s="497"/>
      <c r="C959" s="404"/>
      <c r="E959" s="308"/>
      <c r="G959" s="297"/>
      <c r="H959" s="297"/>
      <c r="J959" s="297"/>
      <c r="L959" s="312"/>
      <c r="N959" s="297"/>
    </row>
    <row r="960" spans="1:14" ht="15" customHeight="1" x14ac:dyDescent="0.25">
      <c r="A960" s="497"/>
      <c r="C960" s="404"/>
      <c r="E960" s="308"/>
      <c r="G960" s="297"/>
      <c r="H960" s="297"/>
      <c r="J960" s="297"/>
      <c r="L960" s="312"/>
      <c r="N960" s="297"/>
    </row>
    <row r="961" spans="1:14" ht="15" customHeight="1" x14ac:dyDescent="0.25">
      <c r="A961" s="497"/>
      <c r="C961" s="404"/>
      <c r="E961" s="308"/>
      <c r="G961" s="297"/>
      <c r="H961" s="297"/>
      <c r="J961" s="297"/>
      <c r="L961" s="312"/>
      <c r="N961" s="297"/>
    </row>
    <row r="962" spans="1:14" ht="15" customHeight="1" x14ac:dyDescent="0.25">
      <c r="A962" s="497"/>
      <c r="C962" s="404"/>
      <c r="E962" s="308"/>
      <c r="G962" s="297"/>
      <c r="H962" s="297"/>
      <c r="J962" s="297"/>
      <c r="L962" s="312"/>
      <c r="N962" s="297"/>
    </row>
    <row r="963" spans="1:14" ht="15" customHeight="1" x14ac:dyDescent="0.25">
      <c r="A963" s="497"/>
      <c r="C963" s="404"/>
      <c r="E963" s="308"/>
      <c r="G963" s="297"/>
      <c r="H963" s="297"/>
      <c r="J963" s="297"/>
      <c r="L963" s="312"/>
      <c r="N963" s="297"/>
    </row>
    <row r="964" spans="1:14" ht="15" customHeight="1" x14ac:dyDescent="0.25">
      <c r="A964" s="497"/>
      <c r="C964" s="404"/>
      <c r="E964" s="308"/>
      <c r="G964" s="297"/>
      <c r="H964" s="297"/>
      <c r="J964" s="297"/>
      <c r="L964" s="312"/>
      <c r="N964" s="297"/>
    </row>
    <row r="965" spans="1:14" ht="15" customHeight="1" x14ac:dyDescent="0.25">
      <c r="A965" s="497"/>
      <c r="C965" s="404"/>
      <c r="E965" s="308"/>
      <c r="G965" s="297"/>
      <c r="H965" s="297"/>
      <c r="J965" s="297"/>
      <c r="L965" s="312"/>
      <c r="N965" s="297"/>
    </row>
    <row r="966" spans="1:14" ht="15" customHeight="1" x14ac:dyDescent="0.25">
      <c r="A966" s="497"/>
      <c r="C966" s="404"/>
      <c r="E966" s="308"/>
      <c r="G966" s="297"/>
      <c r="H966" s="297"/>
      <c r="J966" s="297"/>
      <c r="L966" s="312"/>
      <c r="N966" s="297"/>
    </row>
    <row r="967" spans="1:14" ht="15" customHeight="1" x14ac:dyDescent="0.25">
      <c r="A967" s="497"/>
      <c r="C967" s="404"/>
      <c r="E967" s="308"/>
      <c r="G967" s="297"/>
      <c r="H967" s="297"/>
      <c r="J967" s="297"/>
      <c r="L967" s="312"/>
      <c r="N967" s="297"/>
    </row>
    <row r="968" spans="1:14" ht="15" customHeight="1" x14ac:dyDescent="0.25">
      <c r="A968" s="497"/>
      <c r="C968" s="404"/>
      <c r="E968" s="308"/>
      <c r="G968" s="297"/>
      <c r="H968" s="297"/>
      <c r="J968" s="297"/>
      <c r="L968" s="312"/>
      <c r="N968" s="297"/>
    </row>
    <row r="969" spans="1:14" ht="15" customHeight="1" x14ac:dyDescent="0.25">
      <c r="A969" s="497"/>
      <c r="C969" s="404"/>
      <c r="E969" s="308"/>
      <c r="G969" s="297"/>
      <c r="H969" s="297"/>
      <c r="J969" s="297"/>
      <c r="L969" s="312"/>
      <c r="N969" s="297"/>
    </row>
    <row r="970" spans="1:14" ht="15" customHeight="1" x14ac:dyDescent="0.25">
      <c r="A970" s="497"/>
      <c r="C970" s="404"/>
      <c r="E970" s="308"/>
      <c r="G970" s="297"/>
      <c r="H970" s="297"/>
      <c r="J970" s="297"/>
      <c r="L970" s="312"/>
      <c r="N970" s="297"/>
    </row>
    <row r="971" spans="1:14" ht="15" customHeight="1" x14ac:dyDescent="0.25">
      <c r="A971" s="497"/>
      <c r="C971" s="404"/>
      <c r="E971" s="308"/>
      <c r="G971" s="297"/>
      <c r="H971" s="297"/>
      <c r="J971" s="297"/>
      <c r="L971" s="312"/>
      <c r="N971" s="297"/>
    </row>
    <row r="972" spans="1:14" ht="15" customHeight="1" x14ac:dyDescent="0.25">
      <c r="A972" s="497"/>
      <c r="C972" s="404"/>
      <c r="E972" s="308"/>
      <c r="G972" s="297"/>
      <c r="H972" s="297"/>
      <c r="J972" s="297"/>
      <c r="L972" s="312"/>
      <c r="N972" s="297"/>
    </row>
    <row r="973" spans="1:14" ht="15" customHeight="1" x14ac:dyDescent="0.25">
      <c r="A973" s="497"/>
      <c r="C973" s="404"/>
      <c r="E973" s="308"/>
      <c r="G973" s="297"/>
      <c r="H973" s="297"/>
      <c r="J973" s="297"/>
      <c r="L973" s="312"/>
      <c r="N973" s="297"/>
    </row>
    <row r="974" spans="1:14" ht="15" customHeight="1" x14ac:dyDescent="0.25">
      <c r="A974" s="497"/>
      <c r="C974" s="404"/>
      <c r="E974" s="308"/>
      <c r="G974" s="297"/>
      <c r="H974" s="297"/>
      <c r="J974" s="297"/>
      <c r="L974" s="312"/>
      <c r="N974" s="297"/>
    </row>
    <row r="975" spans="1:14" ht="15" customHeight="1" x14ac:dyDescent="0.25">
      <c r="A975" s="497"/>
      <c r="C975" s="404"/>
      <c r="E975" s="308"/>
      <c r="G975" s="297"/>
      <c r="H975" s="297"/>
      <c r="J975" s="297"/>
      <c r="L975" s="312"/>
      <c r="N975" s="297"/>
    </row>
    <row r="976" spans="1:14" ht="15" customHeight="1" x14ac:dyDescent="0.25">
      <c r="A976" s="497"/>
      <c r="C976" s="404"/>
      <c r="E976" s="308"/>
      <c r="G976" s="297"/>
      <c r="H976" s="297"/>
      <c r="J976" s="297"/>
      <c r="L976" s="312"/>
      <c r="N976" s="297"/>
    </row>
    <row r="977" spans="1:14" ht="15" customHeight="1" x14ac:dyDescent="0.25">
      <c r="A977" s="497"/>
      <c r="C977" s="404"/>
      <c r="E977" s="308"/>
      <c r="G977" s="297"/>
      <c r="H977" s="297"/>
      <c r="J977" s="297"/>
      <c r="L977" s="312"/>
      <c r="N977" s="297"/>
    </row>
    <row r="978" spans="1:14" ht="15" customHeight="1" x14ac:dyDescent="0.25">
      <c r="A978" s="497"/>
      <c r="C978" s="404"/>
      <c r="E978" s="308"/>
      <c r="G978" s="297"/>
      <c r="H978" s="297"/>
      <c r="J978" s="297"/>
      <c r="L978" s="312"/>
      <c r="N978" s="297"/>
    </row>
    <row r="979" spans="1:14" ht="15" customHeight="1" x14ac:dyDescent="0.25">
      <c r="A979" s="497"/>
      <c r="C979" s="404"/>
      <c r="E979" s="308"/>
      <c r="G979" s="297"/>
      <c r="H979" s="297"/>
      <c r="J979" s="297"/>
      <c r="L979" s="312"/>
      <c r="N979" s="297"/>
    </row>
    <row r="980" spans="1:14" ht="15" customHeight="1" x14ac:dyDescent="0.25">
      <c r="A980" s="497"/>
      <c r="C980" s="404"/>
      <c r="E980" s="308"/>
      <c r="G980" s="297"/>
      <c r="H980" s="297"/>
      <c r="J980" s="297"/>
      <c r="L980" s="312"/>
      <c r="N980" s="297"/>
    </row>
    <row r="981" spans="1:14" ht="15" customHeight="1" x14ac:dyDescent="0.25">
      <c r="A981" s="497"/>
      <c r="C981" s="404"/>
      <c r="E981" s="308"/>
      <c r="G981" s="297"/>
      <c r="H981" s="297"/>
      <c r="J981" s="297"/>
      <c r="L981" s="312"/>
      <c r="N981" s="297"/>
    </row>
    <row r="982" spans="1:14" ht="15" customHeight="1" x14ac:dyDescent="0.25">
      <c r="A982" s="497"/>
      <c r="C982" s="404"/>
      <c r="E982" s="308"/>
      <c r="G982" s="297"/>
      <c r="H982" s="297"/>
      <c r="J982" s="297"/>
      <c r="L982" s="312"/>
      <c r="N982" s="297"/>
    </row>
    <row r="983" spans="1:14" ht="15" customHeight="1" x14ac:dyDescent="0.25">
      <c r="A983" s="497"/>
      <c r="C983" s="404"/>
      <c r="E983" s="308"/>
      <c r="G983" s="297"/>
      <c r="H983" s="297"/>
      <c r="J983" s="297"/>
      <c r="L983" s="312"/>
      <c r="N983" s="297"/>
    </row>
    <row r="984" spans="1:14" ht="15" customHeight="1" x14ac:dyDescent="0.25">
      <c r="A984" s="497"/>
      <c r="C984" s="404"/>
      <c r="E984" s="308"/>
      <c r="G984" s="297"/>
      <c r="H984" s="297"/>
      <c r="J984" s="297"/>
      <c r="L984" s="312"/>
      <c r="N984" s="297"/>
    </row>
    <row r="985" spans="1:14" ht="15" customHeight="1" x14ac:dyDescent="0.25">
      <c r="A985" s="497"/>
      <c r="C985" s="404"/>
      <c r="E985" s="308"/>
      <c r="G985" s="297"/>
      <c r="H985" s="297"/>
      <c r="J985" s="297"/>
      <c r="L985" s="312"/>
      <c r="N985" s="297"/>
    </row>
    <row r="986" spans="1:14" ht="15" customHeight="1" x14ac:dyDescent="0.25">
      <c r="A986" s="497"/>
      <c r="C986" s="404"/>
      <c r="E986" s="308"/>
      <c r="G986" s="297"/>
      <c r="H986" s="297"/>
      <c r="J986" s="297"/>
      <c r="L986" s="312"/>
      <c r="N986" s="297"/>
    </row>
    <row r="987" spans="1:14" ht="15" customHeight="1" x14ac:dyDescent="0.25">
      <c r="A987" s="497"/>
      <c r="C987" s="404"/>
      <c r="E987" s="308"/>
      <c r="G987" s="297"/>
      <c r="H987" s="297"/>
      <c r="J987" s="297"/>
      <c r="L987" s="312"/>
      <c r="N987" s="297"/>
    </row>
    <row r="988" spans="1:14" ht="15" customHeight="1" x14ac:dyDescent="0.25">
      <c r="A988" s="497"/>
      <c r="C988" s="404"/>
      <c r="E988" s="308"/>
      <c r="G988" s="297"/>
      <c r="H988" s="297"/>
      <c r="J988" s="297"/>
      <c r="L988" s="312"/>
      <c r="N988" s="297"/>
    </row>
    <row r="989" spans="1:14" ht="15" customHeight="1" x14ac:dyDescent="0.25">
      <c r="A989" s="497"/>
      <c r="C989" s="404"/>
      <c r="E989" s="308"/>
      <c r="G989" s="297"/>
      <c r="H989" s="297"/>
      <c r="J989" s="297"/>
      <c r="L989" s="312"/>
      <c r="N989" s="297"/>
    </row>
    <row r="990" spans="1:14" ht="15" customHeight="1" x14ac:dyDescent="0.25">
      <c r="A990" s="497"/>
      <c r="C990" s="404"/>
      <c r="E990" s="308"/>
      <c r="G990" s="297"/>
      <c r="H990" s="297"/>
      <c r="J990" s="297"/>
      <c r="L990" s="312"/>
      <c r="N990" s="297"/>
    </row>
    <row r="991" spans="1:14" ht="15" customHeight="1" x14ac:dyDescent="0.25">
      <c r="A991" s="497"/>
      <c r="C991" s="404"/>
      <c r="E991" s="308"/>
      <c r="G991" s="297"/>
      <c r="H991" s="297"/>
      <c r="J991" s="297"/>
      <c r="L991" s="312"/>
      <c r="N991" s="297"/>
    </row>
    <row r="992" spans="1:14" ht="15" customHeight="1" x14ac:dyDescent="0.25">
      <c r="A992" s="497"/>
      <c r="C992" s="404"/>
      <c r="E992" s="308"/>
      <c r="G992" s="297"/>
      <c r="H992" s="297"/>
      <c r="J992" s="297"/>
      <c r="L992" s="312"/>
      <c r="N992" s="297"/>
    </row>
    <row r="993" spans="1:14" ht="15" customHeight="1" x14ac:dyDescent="0.25">
      <c r="A993" s="497"/>
      <c r="C993" s="404"/>
      <c r="E993" s="308"/>
      <c r="G993" s="297"/>
      <c r="H993" s="297"/>
      <c r="J993" s="297"/>
      <c r="L993" s="312"/>
      <c r="N993" s="297"/>
    </row>
    <row r="994" spans="1:14" ht="15" customHeight="1" x14ac:dyDescent="0.25">
      <c r="A994" s="497"/>
      <c r="C994" s="404"/>
      <c r="E994" s="308"/>
      <c r="G994" s="297"/>
      <c r="H994" s="297"/>
      <c r="J994" s="297"/>
      <c r="L994" s="312"/>
      <c r="N994" s="297"/>
    </row>
    <row r="995" spans="1:14" ht="15" customHeight="1" x14ac:dyDescent="0.25">
      <c r="A995" s="497"/>
      <c r="C995" s="404"/>
      <c r="E995" s="308"/>
      <c r="G995" s="297"/>
      <c r="H995" s="297"/>
      <c r="J995" s="297"/>
      <c r="L995" s="312"/>
      <c r="N995" s="297"/>
    </row>
    <row r="996" spans="1:14" ht="15" customHeight="1" x14ac:dyDescent="0.25">
      <c r="A996" s="497"/>
      <c r="C996" s="404"/>
      <c r="E996" s="308"/>
      <c r="G996" s="297"/>
      <c r="H996" s="297"/>
      <c r="J996" s="297"/>
      <c r="L996" s="312"/>
      <c r="N996" s="297"/>
    </row>
    <row r="997" spans="1:14" ht="15" customHeight="1" x14ac:dyDescent="0.25">
      <c r="A997" s="497"/>
      <c r="C997" s="404"/>
      <c r="E997" s="308"/>
      <c r="G997" s="297"/>
      <c r="H997" s="297"/>
      <c r="J997" s="297"/>
      <c r="L997" s="312"/>
      <c r="N997" s="297"/>
    </row>
    <row r="998" spans="1:14" ht="15" customHeight="1" x14ac:dyDescent="0.25">
      <c r="A998" s="497"/>
      <c r="C998" s="404"/>
      <c r="E998" s="308"/>
      <c r="G998" s="297"/>
      <c r="H998" s="297"/>
      <c r="J998" s="297"/>
      <c r="L998" s="312"/>
      <c r="N998" s="297"/>
    </row>
    <row r="999" spans="1:14" ht="15" customHeight="1" x14ac:dyDescent="0.25">
      <c r="A999" s="497"/>
      <c r="C999" s="404"/>
      <c r="E999" s="308"/>
      <c r="G999" s="297"/>
      <c r="H999" s="297"/>
      <c r="J999" s="297"/>
      <c r="L999" s="312"/>
      <c r="N999" s="297"/>
    </row>
    <row r="1000" spans="1:14" ht="15" customHeight="1" x14ac:dyDescent="0.25">
      <c r="A1000" s="497"/>
      <c r="C1000" s="404"/>
      <c r="E1000" s="308"/>
      <c r="G1000" s="297"/>
      <c r="H1000" s="297"/>
      <c r="J1000" s="297"/>
      <c r="L1000" s="312"/>
      <c r="N1000" s="297"/>
    </row>
    <row r="1001" spans="1:14" ht="15" customHeight="1" x14ac:dyDescent="0.25">
      <c r="A1001" s="497"/>
      <c r="C1001" s="404"/>
      <c r="E1001" s="308"/>
      <c r="G1001" s="297"/>
      <c r="H1001" s="297"/>
      <c r="J1001" s="297"/>
      <c r="L1001" s="312"/>
      <c r="N1001" s="297"/>
    </row>
    <row r="1002" spans="1:14" ht="15" customHeight="1" x14ac:dyDescent="0.25">
      <c r="A1002" s="497"/>
      <c r="C1002" s="404"/>
      <c r="E1002" s="308"/>
      <c r="G1002" s="297"/>
      <c r="H1002" s="297"/>
      <c r="J1002" s="297"/>
      <c r="L1002" s="312"/>
      <c r="N1002" s="297"/>
    </row>
    <row r="1003" spans="1:14" ht="15" customHeight="1" x14ac:dyDescent="0.25">
      <c r="A1003" s="497"/>
      <c r="C1003" s="404"/>
      <c r="E1003" s="308"/>
      <c r="G1003" s="297"/>
      <c r="H1003" s="297"/>
      <c r="J1003" s="297"/>
      <c r="L1003" s="312"/>
      <c r="N1003" s="297"/>
    </row>
    <row r="1004" spans="1:14" ht="15" customHeight="1" x14ac:dyDescent="0.25">
      <c r="A1004" s="497"/>
      <c r="C1004" s="404"/>
      <c r="E1004" s="308"/>
      <c r="G1004" s="297"/>
      <c r="H1004" s="297"/>
      <c r="J1004" s="297"/>
      <c r="L1004" s="312"/>
      <c r="N1004" s="297"/>
    </row>
    <row r="1005" spans="1:14" ht="15" customHeight="1" x14ac:dyDescent="0.25">
      <c r="A1005" s="497"/>
      <c r="C1005" s="404"/>
      <c r="E1005" s="308"/>
      <c r="G1005" s="297"/>
      <c r="H1005" s="297"/>
      <c r="J1005" s="297"/>
      <c r="L1005" s="312"/>
      <c r="N1005" s="297"/>
    </row>
    <row r="1006" spans="1:14" ht="15" customHeight="1" x14ac:dyDescent="0.25">
      <c r="A1006" s="497"/>
      <c r="C1006" s="404"/>
      <c r="E1006" s="308"/>
      <c r="G1006" s="297"/>
      <c r="H1006" s="297"/>
      <c r="J1006" s="297"/>
      <c r="L1006" s="312"/>
      <c r="N1006" s="297"/>
    </row>
    <row r="1007" spans="1:14" ht="15" customHeight="1" x14ac:dyDescent="0.25">
      <c r="A1007" s="497"/>
      <c r="C1007" s="404"/>
      <c r="E1007" s="308"/>
      <c r="G1007" s="297"/>
      <c r="H1007" s="297"/>
      <c r="J1007" s="297"/>
      <c r="L1007" s="312"/>
      <c r="N1007" s="297"/>
    </row>
    <row r="1008" spans="1:14" ht="15" customHeight="1" x14ac:dyDescent="0.25">
      <c r="A1008" s="497"/>
      <c r="C1008" s="404"/>
      <c r="E1008" s="308"/>
      <c r="G1008" s="297"/>
      <c r="H1008" s="297"/>
      <c r="J1008" s="297"/>
      <c r="L1008" s="312"/>
      <c r="N1008" s="297"/>
    </row>
    <row r="1009" spans="1:14" ht="15" customHeight="1" x14ac:dyDescent="0.25">
      <c r="A1009" s="497"/>
      <c r="C1009" s="404"/>
      <c r="E1009" s="308"/>
      <c r="G1009" s="297"/>
      <c r="H1009" s="297"/>
      <c r="J1009" s="297"/>
      <c r="L1009" s="312"/>
      <c r="N1009" s="297"/>
    </row>
    <row r="1010" spans="1:14" ht="15" customHeight="1" x14ac:dyDescent="0.25">
      <c r="A1010" s="497"/>
      <c r="C1010" s="404"/>
      <c r="E1010" s="308"/>
      <c r="G1010" s="297"/>
      <c r="H1010" s="297"/>
      <c r="J1010" s="297"/>
      <c r="L1010" s="312"/>
      <c r="N1010" s="297"/>
    </row>
    <row r="1011" spans="1:14" ht="15" customHeight="1" x14ac:dyDescent="0.25">
      <c r="A1011" s="497"/>
      <c r="C1011" s="404"/>
      <c r="E1011" s="308"/>
      <c r="G1011" s="297"/>
      <c r="H1011" s="297"/>
      <c r="J1011" s="297"/>
      <c r="L1011" s="312"/>
      <c r="N1011" s="297"/>
    </row>
    <row r="1012" spans="1:14" ht="15" customHeight="1" x14ac:dyDescent="0.25">
      <c r="A1012" s="497"/>
      <c r="C1012" s="404"/>
      <c r="E1012" s="308"/>
      <c r="G1012" s="297"/>
      <c r="H1012" s="297"/>
      <c r="J1012" s="297"/>
      <c r="L1012" s="312"/>
      <c r="N1012" s="297"/>
    </row>
    <row r="1013" spans="1:14" ht="15" customHeight="1" x14ac:dyDescent="0.25">
      <c r="A1013" s="497"/>
      <c r="C1013" s="404"/>
      <c r="E1013" s="308"/>
      <c r="G1013" s="297"/>
      <c r="H1013" s="297"/>
      <c r="J1013" s="297"/>
      <c r="L1013" s="312"/>
      <c r="N1013" s="297"/>
    </row>
    <row r="1014" spans="1:14" ht="15" customHeight="1" x14ac:dyDescent="0.25">
      <c r="A1014" s="497"/>
      <c r="C1014" s="404"/>
      <c r="E1014" s="308"/>
      <c r="G1014" s="297"/>
      <c r="H1014" s="297"/>
      <c r="J1014" s="297"/>
      <c r="L1014" s="312"/>
      <c r="N1014" s="297"/>
    </row>
    <row r="1015" spans="1:14" ht="15" customHeight="1" x14ac:dyDescent="0.25">
      <c r="A1015" s="497"/>
      <c r="C1015" s="404"/>
      <c r="E1015" s="308"/>
      <c r="G1015" s="297"/>
      <c r="H1015" s="297"/>
      <c r="J1015" s="297"/>
      <c r="L1015" s="312"/>
      <c r="N1015" s="297"/>
    </row>
    <row r="1016" spans="1:14" ht="15" customHeight="1" x14ac:dyDescent="0.25">
      <c r="A1016" s="497"/>
      <c r="C1016" s="404"/>
      <c r="E1016" s="308"/>
      <c r="G1016" s="297"/>
      <c r="H1016" s="297"/>
      <c r="J1016" s="297"/>
      <c r="L1016" s="312"/>
      <c r="N1016" s="297"/>
    </row>
    <row r="1017" spans="1:14" ht="15" customHeight="1" x14ac:dyDescent="0.25">
      <c r="A1017" s="497"/>
      <c r="C1017" s="404"/>
      <c r="E1017" s="308"/>
      <c r="G1017" s="297"/>
      <c r="H1017" s="297"/>
      <c r="J1017" s="297"/>
      <c r="L1017" s="312"/>
      <c r="N1017" s="297"/>
    </row>
    <row r="1018" spans="1:14" ht="15" customHeight="1" x14ac:dyDescent="0.25">
      <c r="A1018" s="497"/>
      <c r="C1018" s="404"/>
      <c r="E1018" s="308"/>
      <c r="G1018" s="297"/>
      <c r="H1018" s="297"/>
      <c r="J1018" s="297"/>
      <c r="L1018" s="312"/>
      <c r="N1018" s="297"/>
    </row>
    <row r="1019" spans="1:14" ht="15" customHeight="1" x14ac:dyDescent="0.25">
      <c r="A1019" s="497"/>
      <c r="C1019" s="404"/>
      <c r="E1019" s="308"/>
      <c r="G1019" s="297"/>
      <c r="H1019" s="297"/>
      <c r="J1019" s="297"/>
      <c r="L1019" s="312"/>
      <c r="N1019" s="297"/>
    </row>
    <row r="1020" spans="1:14" ht="15" customHeight="1" x14ac:dyDescent="0.25">
      <c r="A1020" s="497"/>
      <c r="C1020" s="404"/>
      <c r="E1020" s="308"/>
      <c r="G1020" s="297"/>
      <c r="H1020" s="297"/>
      <c r="J1020" s="297"/>
      <c r="L1020" s="312"/>
      <c r="N1020" s="297"/>
    </row>
    <row r="1021" spans="1:14" ht="15" customHeight="1" x14ac:dyDescent="0.25">
      <c r="A1021" s="497"/>
      <c r="C1021" s="404"/>
      <c r="E1021" s="308"/>
      <c r="G1021" s="297"/>
      <c r="H1021" s="297"/>
      <c r="J1021" s="297"/>
      <c r="L1021" s="312"/>
      <c r="N1021" s="297"/>
    </row>
    <row r="1022" spans="1:14" ht="15" customHeight="1" x14ac:dyDescent="0.25">
      <c r="A1022" s="497"/>
      <c r="C1022" s="404"/>
      <c r="E1022" s="308"/>
      <c r="G1022" s="297"/>
      <c r="H1022" s="297"/>
      <c r="J1022" s="297"/>
      <c r="L1022" s="312"/>
      <c r="N1022" s="297"/>
    </row>
    <row r="1023" spans="1:14" ht="15" customHeight="1" x14ac:dyDescent="0.25">
      <c r="A1023" s="497"/>
      <c r="C1023" s="404"/>
      <c r="E1023" s="308"/>
      <c r="G1023" s="297"/>
      <c r="H1023" s="297"/>
      <c r="J1023" s="297"/>
      <c r="L1023" s="312"/>
      <c r="N1023" s="297"/>
    </row>
    <row r="1024" spans="1:14" ht="15" customHeight="1" x14ac:dyDescent="0.25">
      <c r="A1024" s="497"/>
      <c r="C1024" s="404"/>
      <c r="E1024" s="308"/>
      <c r="G1024" s="297"/>
      <c r="H1024" s="297"/>
      <c r="J1024" s="297"/>
      <c r="L1024" s="312"/>
      <c r="N1024" s="297"/>
    </row>
    <row r="1025" spans="1:14" ht="15" customHeight="1" x14ac:dyDescent="0.25">
      <c r="A1025" s="497"/>
      <c r="C1025" s="404"/>
      <c r="E1025" s="308"/>
      <c r="G1025" s="297"/>
      <c r="H1025" s="297"/>
      <c r="J1025" s="297"/>
      <c r="L1025" s="312"/>
      <c r="N1025" s="297"/>
    </row>
    <row r="1026" spans="1:14" ht="15" customHeight="1" x14ac:dyDescent="0.25">
      <c r="A1026" s="497"/>
      <c r="C1026" s="404"/>
      <c r="E1026" s="308"/>
      <c r="G1026" s="297"/>
      <c r="H1026" s="297"/>
      <c r="J1026" s="297"/>
      <c r="L1026" s="312"/>
      <c r="N1026" s="297"/>
    </row>
    <row r="1027" spans="1:14" ht="15" customHeight="1" x14ac:dyDescent="0.25">
      <c r="A1027" s="497"/>
      <c r="C1027" s="404"/>
      <c r="E1027" s="308"/>
      <c r="G1027" s="297"/>
      <c r="H1027" s="297"/>
      <c r="J1027" s="297"/>
      <c r="L1027" s="312"/>
      <c r="N1027" s="297"/>
    </row>
    <row r="1028" spans="1:14" ht="15" customHeight="1" x14ac:dyDescent="0.25">
      <c r="A1028" s="497"/>
      <c r="C1028" s="404"/>
      <c r="E1028" s="308"/>
      <c r="G1028" s="297"/>
      <c r="H1028" s="297"/>
      <c r="J1028" s="297"/>
      <c r="L1028" s="312"/>
      <c r="N1028" s="297"/>
    </row>
    <row r="1029" spans="1:14" ht="15" customHeight="1" x14ac:dyDescent="0.25">
      <c r="A1029" s="497"/>
      <c r="C1029" s="404"/>
      <c r="E1029" s="308"/>
      <c r="G1029" s="297"/>
      <c r="H1029" s="297"/>
      <c r="J1029" s="297"/>
      <c r="L1029" s="312"/>
      <c r="N1029" s="297"/>
    </row>
    <row r="1030" spans="1:14" ht="15" customHeight="1" x14ac:dyDescent="0.25">
      <c r="A1030" s="497"/>
      <c r="C1030" s="404"/>
      <c r="E1030" s="308"/>
      <c r="G1030" s="297"/>
      <c r="H1030" s="297"/>
      <c r="J1030" s="297"/>
      <c r="L1030" s="312"/>
      <c r="N1030" s="297"/>
    </row>
    <row r="1031" spans="1:14" ht="15" customHeight="1" x14ac:dyDescent="0.25">
      <c r="A1031" s="497"/>
      <c r="C1031" s="404"/>
      <c r="E1031" s="308"/>
      <c r="G1031" s="297"/>
      <c r="H1031" s="297"/>
      <c r="J1031" s="297"/>
      <c r="L1031" s="312"/>
      <c r="N1031" s="297"/>
    </row>
    <row r="1032" spans="1:14" ht="15" customHeight="1" x14ac:dyDescent="0.25">
      <c r="A1032" s="497"/>
      <c r="C1032" s="404"/>
      <c r="E1032" s="308"/>
      <c r="G1032" s="297"/>
      <c r="H1032" s="297"/>
      <c r="J1032" s="297"/>
      <c r="L1032" s="312"/>
      <c r="N1032" s="297"/>
    </row>
    <row r="1033" spans="1:14" ht="15" customHeight="1" x14ac:dyDescent="0.25">
      <c r="A1033" s="497"/>
      <c r="C1033" s="404"/>
      <c r="E1033" s="308"/>
      <c r="G1033" s="297"/>
      <c r="H1033" s="297"/>
      <c r="J1033" s="297"/>
      <c r="L1033" s="312"/>
      <c r="N1033" s="297"/>
    </row>
    <row r="1034" spans="1:14" ht="15" customHeight="1" x14ac:dyDescent="0.25">
      <c r="A1034" s="497"/>
      <c r="C1034" s="404"/>
      <c r="E1034" s="308"/>
      <c r="G1034" s="297"/>
      <c r="H1034" s="297"/>
      <c r="J1034" s="297"/>
      <c r="L1034" s="312"/>
      <c r="N1034" s="297"/>
    </row>
    <row r="1035" spans="1:14" ht="15" customHeight="1" x14ac:dyDescent="0.25">
      <c r="A1035" s="497"/>
      <c r="C1035" s="404"/>
      <c r="E1035" s="308"/>
      <c r="G1035" s="297"/>
      <c r="H1035" s="297"/>
      <c r="J1035" s="297"/>
      <c r="L1035" s="312"/>
      <c r="N1035" s="297"/>
    </row>
    <row r="1036" spans="1:14" ht="15" customHeight="1" x14ac:dyDescent="0.25">
      <c r="A1036" s="497"/>
      <c r="C1036" s="404"/>
      <c r="E1036" s="308"/>
      <c r="G1036" s="297"/>
      <c r="H1036" s="297"/>
      <c r="J1036" s="297"/>
      <c r="L1036" s="312"/>
      <c r="N1036" s="297"/>
    </row>
    <row r="1037" spans="1:14" ht="15" customHeight="1" x14ac:dyDescent="0.25">
      <c r="A1037" s="497"/>
      <c r="C1037" s="404"/>
      <c r="E1037" s="308"/>
      <c r="G1037" s="297"/>
      <c r="H1037" s="297"/>
      <c r="J1037" s="297"/>
      <c r="L1037" s="312"/>
      <c r="N1037" s="297"/>
    </row>
    <row r="1038" spans="1:14" ht="15" customHeight="1" x14ac:dyDescent="0.25">
      <c r="A1038" s="497"/>
      <c r="C1038" s="404"/>
      <c r="E1038" s="308"/>
      <c r="G1038" s="297"/>
      <c r="H1038" s="297"/>
      <c r="J1038" s="297"/>
      <c r="L1038" s="312"/>
      <c r="N1038" s="297"/>
    </row>
    <row r="1039" spans="1:14" ht="15" customHeight="1" x14ac:dyDescent="0.25">
      <c r="A1039" s="497"/>
      <c r="C1039" s="404"/>
      <c r="E1039" s="308"/>
      <c r="G1039" s="297"/>
      <c r="H1039" s="297"/>
      <c r="J1039" s="297"/>
      <c r="L1039" s="312"/>
      <c r="N1039" s="297"/>
    </row>
    <row r="1040" spans="1:14" ht="15" customHeight="1" x14ac:dyDescent="0.25">
      <c r="A1040" s="497"/>
      <c r="C1040" s="404"/>
      <c r="E1040" s="308"/>
      <c r="G1040" s="297"/>
      <c r="H1040" s="297"/>
      <c r="J1040" s="297"/>
      <c r="L1040" s="312"/>
      <c r="N1040" s="297"/>
    </row>
    <row r="1041" spans="1:14" ht="15" customHeight="1" x14ac:dyDescent="0.25">
      <c r="A1041" s="497"/>
      <c r="C1041" s="404"/>
      <c r="E1041" s="308"/>
      <c r="G1041" s="297"/>
      <c r="H1041" s="297"/>
      <c r="J1041" s="297"/>
      <c r="L1041" s="312"/>
      <c r="N1041" s="297"/>
    </row>
    <row r="1042" spans="1:14" ht="15" customHeight="1" x14ac:dyDescent="0.25">
      <c r="A1042" s="497"/>
      <c r="C1042" s="404"/>
      <c r="E1042" s="308"/>
      <c r="G1042" s="297"/>
      <c r="H1042" s="297"/>
      <c r="J1042" s="297"/>
      <c r="L1042" s="312"/>
      <c r="N1042" s="297"/>
    </row>
    <row r="1043" spans="1:14" ht="15" customHeight="1" x14ac:dyDescent="0.25">
      <c r="A1043" s="497"/>
      <c r="C1043" s="404"/>
      <c r="E1043" s="308"/>
      <c r="G1043" s="297"/>
      <c r="H1043" s="297"/>
      <c r="J1043" s="297"/>
      <c r="L1043" s="312"/>
      <c r="N1043" s="297"/>
    </row>
    <row r="1044" spans="1:14" ht="15" customHeight="1" x14ac:dyDescent="0.25">
      <c r="A1044" s="497"/>
      <c r="C1044" s="404"/>
      <c r="E1044" s="308"/>
      <c r="G1044" s="297"/>
      <c r="H1044" s="297"/>
      <c r="J1044" s="297"/>
      <c r="L1044" s="312"/>
      <c r="N1044" s="297"/>
    </row>
    <row r="1045" spans="1:14" ht="15" customHeight="1" x14ac:dyDescent="0.25">
      <c r="A1045" s="497"/>
      <c r="C1045" s="404"/>
      <c r="E1045" s="308"/>
      <c r="G1045" s="297"/>
      <c r="H1045" s="297"/>
      <c r="J1045" s="297"/>
      <c r="L1045" s="312"/>
      <c r="N1045" s="297"/>
    </row>
    <row r="1046" spans="1:14" ht="15" customHeight="1" x14ac:dyDescent="0.25">
      <c r="A1046" s="497"/>
      <c r="C1046" s="404"/>
      <c r="E1046" s="308"/>
      <c r="G1046" s="297"/>
      <c r="H1046" s="297"/>
      <c r="J1046" s="297"/>
      <c r="L1046" s="312"/>
      <c r="N1046" s="297"/>
    </row>
    <row r="1047" spans="1:14" ht="15" customHeight="1" x14ac:dyDescent="0.25">
      <c r="A1047" s="497"/>
      <c r="C1047" s="404"/>
      <c r="E1047" s="308"/>
      <c r="G1047" s="297"/>
      <c r="H1047" s="297"/>
      <c r="J1047" s="297"/>
      <c r="L1047" s="312"/>
      <c r="N1047" s="297"/>
    </row>
    <row r="1048" spans="1:14" ht="15" customHeight="1" x14ac:dyDescent="0.25">
      <c r="A1048" s="497"/>
      <c r="C1048" s="404"/>
      <c r="E1048" s="308"/>
      <c r="G1048" s="297"/>
      <c r="H1048" s="297"/>
      <c r="J1048" s="297"/>
      <c r="L1048" s="312"/>
      <c r="N1048" s="297"/>
    </row>
    <row r="1049" spans="1:14" ht="15" customHeight="1" x14ac:dyDescent="0.25">
      <c r="A1049" s="497"/>
      <c r="C1049" s="404"/>
      <c r="E1049" s="308"/>
      <c r="G1049" s="297"/>
      <c r="H1049" s="297"/>
      <c r="J1049" s="297"/>
      <c r="L1049" s="312"/>
      <c r="N1049" s="297"/>
    </row>
    <row r="1050" spans="1:14" ht="15" customHeight="1" x14ac:dyDescent="0.25">
      <c r="A1050" s="497"/>
      <c r="C1050" s="404"/>
      <c r="E1050" s="308"/>
      <c r="G1050" s="297"/>
      <c r="H1050" s="297"/>
      <c r="J1050" s="297"/>
      <c r="L1050" s="312"/>
      <c r="N1050" s="297"/>
    </row>
    <row r="1051" spans="1:14" ht="15" customHeight="1" x14ac:dyDescent="0.25">
      <c r="A1051" s="497"/>
      <c r="C1051" s="404"/>
      <c r="E1051" s="308"/>
      <c r="G1051" s="297"/>
      <c r="H1051" s="297"/>
      <c r="J1051" s="297"/>
      <c r="L1051" s="312"/>
      <c r="N1051" s="297"/>
    </row>
    <row r="1052" spans="1:14" ht="15" customHeight="1" x14ac:dyDescent="0.25">
      <c r="A1052" s="497"/>
      <c r="C1052" s="404"/>
      <c r="E1052" s="308"/>
      <c r="G1052" s="297"/>
      <c r="H1052" s="297"/>
      <c r="J1052" s="297"/>
      <c r="L1052" s="312"/>
      <c r="N1052" s="297"/>
    </row>
    <row r="1053" spans="1:14" ht="15" customHeight="1" x14ac:dyDescent="0.25">
      <c r="A1053" s="497"/>
      <c r="C1053" s="404"/>
      <c r="E1053" s="308"/>
      <c r="G1053" s="297"/>
      <c r="H1053" s="297"/>
      <c r="J1053" s="297"/>
      <c r="L1053" s="312"/>
      <c r="N1053" s="297"/>
    </row>
    <row r="1054" spans="1:14" ht="15" customHeight="1" x14ac:dyDescent="0.25">
      <c r="A1054" s="497"/>
      <c r="C1054" s="404"/>
      <c r="E1054" s="308"/>
      <c r="G1054" s="297"/>
      <c r="H1054" s="297"/>
      <c r="J1054" s="297"/>
      <c r="L1054" s="312"/>
      <c r="N1054" s="297"/>
    </row>
    <row r="1055" spans="1:14" ht="15" customHeight="1" x14ac:dyDescent="0.25">
      <c r="A1055" s="497"/>
      <c r="C1055" s="404"/>
      <c r="E1055" s="308"/>
      <c r="G1055" s="297"/>
      <c r="H1055" s="297"/>
      <c r="J1055" s="297"/>
      <c r="L1055" s="312"/>
      <c r="N1055" s="297"/>
    </row>
    <row r="1056" spans="1:14" ht="15" customHeight="1" x14ac:dyDescent="0.25">
      <c r="A1056" s="497"/>
      <c r="C1056" s="404"/>
      <c r="E1056" s="308"/>
      <c r="G1056" s="297"/>
      <c r="H1056" s="297"/>
      <c r="J1056" s="297"/>
      <c r="L1056" s="312"/>
      <c r="N1056" s="297"/>
    </row>
    <row r="1057" spans="1:14" ht="15" customHeight="1" x14ac:dyDescent="0.25">
      <c r="A1057" s="497"/>
      <c r="C1057" s="404"/>
      <c r="E1057" s="308"/>
      <c r="G1057" s="297"/>
      <c r="H1057" s="297"/>
      <c r="J1057" s="297"/>
      <c r="L1057" s="312"/>
      <c r="N1057" s="297"/>
    </row>
    <row r="1058" spans="1:14" ht="15" customHeight="1" x14ac:dyDescent="0.25">
      <c r="A1058" s="497"/>
      <c r="C1058" s="404"/>
      <c r="E1058" s="308"/>
      <c r="G1058" s="297"/>
      <c r="H1058" s="297"/>
      <c r="J1058" s="297"/>
      <c r="L1058" s="312"/>
      <c r="N1058" s="297"/>
    </row>
    <row r="1059" spans="1:14" ht="15" customHeight="1" x14ac:dyDescent="0.25">
      <c r="A1059" s="497"/>
      <c r="C1059" s="404"/>
      <c r="E1059" s="308"/>
      <c r="G1059" s="297"/>
      <c r="H1059" s="297"/>
      <c r="J1059" s="297"/>
      <c r="L1059" s="312"/>
      <c r="N1059" s="297"/>
    </row>
    <row r="1060" spans="1:14" ht="15" customHeight="1" x14ac:dyDescent="0.25">
      <c r="A1060" s="497"/>
      <c r="C1060" s="404"/>
      <c r="E1060" s="308"/>
      <c r="G1060" s="297"/>
      <c r="H1060" s="297"/>
      <c r="J1060" s="297"/>
      <c r="L1060" s="312"/>
      <c r="N1060" s="297"/>
    </row>
    <row r="1061" spans="1:14" ht="15" customHeight="1" x14ac:dyDescent="0.25">
      <c r="A1061" s="497"/>
      <c r="C1061" s="404"/>
      <c r="E1061" s="308"/>
      <c r="G1061" s="297"/>
      <c r="H1061" s="297"/>
      <c r="J1061" s="297"/>
      <c r="L1061" s="312"/>
      <c r="N1061" s="297"/>
    </row>
    <row r="1062" spans="1:14" ht="15" customHeight="1" x14ac:dyDescent="0.25">
      <c r="A1062" s="497"/>
      <c r="C1062" s="404"/>
      <c r="E1062" s="308"/>
      <c r="G1062" s="297"/>
      <c r="H1062" s="297"/>
      <c r="J1062" s="297"/>
      <c r="L1062" s="312"/>
      <c r="N1062" s="297"/>
    </row>
    <row r="1063" spans="1:14" ht="15" customHeight="1" x14ac:dyDescent="0.25">
      <c r="A1063" s="497"/>
      <c r="C1063" s="404"/>
      <c r="E1063" s="308"/>
      <c r="G1063" s="297"/>
      <c r="H1063" s="297"/>
      <c r="J1063" s="297"/>
      <c r="L1063" s="312"/>
      <c r="N1063" s="297"/>
    </row>
    <row r="1064" spans="1:14" ht="15" customHeight="1" x14ac:dyDescent="0.25">
      <c r="A1064" s="497"/>
      <c r="C1064" s="404"/>
      <c r="E1064" s="308"/>
      <c r="G1064" s="297"/>
      <c r="H1064" s="297"/>
      <c r="J1064" s="297"/>
      <c r="L1064" s="312"/>
      <c r="N1064" s="297"/>
    </row>
    <row r="1065" spans="1:14" ht="15" customHeight="1" x14ac:dyDescent="0.25">
      <c r="A1065" s="497"/>
      <c r="C1065" s="404"/>
      <c r="E1065" s="308"/>
      <c r="G1065" s="297"/>
      <c r="H1065" s="297"/>
      <c r="J1065" s="297"/>
      <c r="L1065" s="312"/>
      <c r="N1065" s="297"/>
    </row>
    <row r="1066" spans="1:14" ht="15" customHeight="1" x14ac:dyDescent="0.25">
      <c r="A1066" s="497"/>
      <c r="C1066" s="404"/>
      <c r="E1066" s="308"/>
      <c r="G1066" s="297"/>
      <c r="H1066" s="297"/>
      <c r="J1066" s="297"/>
      <c r="L1066" s="312"/>
      <c r="N1066" s="297"/>
    </row>
    <row r="1067" spans="1:14" ht="15" customHeight="1" x14ac:dyDescent="0.25">
      <c r="A1067" s="497"/>
      <c r="C1067" s="404"/>
      <c r="E1067" s="308"/>
      <c r="G1067" s="297"/>
      <c r="H1067" s="297"/>
      <c r="J1067" s="297"/>
      <c r="L1067" s="312"/>
      <c r="N1067" s="297"/>
    </row>
    <row r="1068" spans="1:14" ht="15" customHeight="1" x14ac:dyDescent="0.25">
      <c r="A1068" s="497"/>
      <c r="C1068" s="404"/>
      <c r="E1068" s="308"/>
      <c r="G1068" s="297"/>
      <c r="H1068" s="297"/>
      <c r="J1068" s="297"/>
      <c r="L1068" s="312"/>
      <c r="N1068" s="297"/>
    </row>
    <row r="1069" spans="1:14" ht="15" customHeight="1" x14ac:dyDescent="0.25">
      <c r="A1069" s="497"/>
      <c r="C1069" s="404"/>
      <c r="E1069" s="308"/>
      <c r="G1069" s="297"/>
      <c r="H1069" s="297"/>
      <c r="J1069" s="297"/>
      <c r="L1069" s="312"/>
      <c r="N1069" s="297"/>
    </row>
    <row r="1070" spans="1:14" ht="15" customHeight="1" x14ac:dyDescent="0.25">
      <c r="A1070" s="497"/>
      <c r="C1070" s="404"/>
      <c r="E1070" s="308"/>
      <c r="G1070" s="297"/>
      <c r="H1070" s="297"/>
      <c r="J1070" s="297"/>
      <c r="L1070" s="312"/>
      <c r="N1070" s="297"/>
    </row>
    <row r="1071" spans="1:14" ht="15" customHeight="1" x14ac:dyDescent="0.25">
      <c r="A1071" s="497"/>
      <c r="C1071" s="404"/>
      <c r="E1071" s="308"/>
      <c r="G1071" s="297"/>
      <c r="H1071" s="297"/>
      <c r="J1071" s="297"/>
      <c r="L1071" s="312"/>
      <c r="N1071" s="297"/>
    </row>
    <row r="1072" spans="1:14" ht="15" customHeight="1" x14ac:dyDescent="0.25">
      <c r="A1072" s="497"/>
      <c r="C1072" s="404"/>
      <c r="E1072" s="308"/>
      <c r="G1072" s="297"/>
      <c r="H1072" s="297"/>
      <c r="J1072" s="297"/>
      <c r="L1072" s="312"/>
      <c r="N1072" s="297"/>
    </row>
    <row r="1073" spans="1:14" ht="15" customHeight="1" x14ac:dyDescent="0.25">
      <c r="A1073" s="497"/>
      <c r="C1073" s="404"/>
      <c r="E1073" s="308"/>
      <c r="G1073" s="297"/>
      <c r="H1073" s="297"/>
      <c r="J1073" s="297"/>
      <c r="L1073" s="312"/>
      <c r="N1073" s="297"/>
    </row>
    <row r="1074" spans="1:14" ht="15" customHeight="1" x14ac:dyDescent="0.25">
      <c r="A1074" s="497"/>
      <c r="C1074" s="404"/>
      <c r="E1074" s="308"/>
      <c r="G1074" s="297"/>
      <c r="H1074" s="297"/>
      <c r="J1074" s="297"/>
      <c r="L1074" s="312"/>
      <c r="N1074" s="297"/>
    </row>
    <row r="1075" spans="1:14" ht="15" customHeight="1" x14ac:dyDescent="0.25">
      <c r="A1075" s="497"/>
      <c r="C1075" s="404"/>
      <c r="E1075" s="308"/>
      <c r="G1075" s="297"/>
      <c r="H1075" s="297"/>
      <c r="J1075" s="297"/>
      <c r="L1075" s="312"/>
      <c r="N1075" s="297"/>
    </row>
    <row r="1076" spans="1:14" ht="15" customHeight="1" x14ac:dyDescent="0.25">
      <c r="A1076" s="497"/>
      <c r="C1076" s="404"/>
      <c r="E1076" s="308"/>
      <c r="G1076" s="297"/>
      <c r="H1076" s="297"/>
      <c r="J1076" s="297"/>
      <c r="L1076" s="312"/>
      <c r="N1076" s="297"/>
    </row>
    <row r="1077" spans="1:14" ht="15" customHeight="1" x14ac:dyDescent="0.25">
      <c r="A1077" s="497"/>
      <c r="C1077" s="404"/>
      <c r="E1077" s="308"/>
      <c r="G1077" s="297"/>
      <c r="H1077" s="297"/>
      <c r="J1077" s="297"/>
      <c r="L1077" s="312"/>
      <c r="N1077" s="297"/>
    </row>
    <row r="1078" spans="1:14" ht="15" customHeight="1" x14ac:dyDescent="0.25">
      <c r="A1078" s="497"/>
      <c r="C1078" s="404"/>
      <c r="E1078" s="308"/>
      <c r="G1078" s="297"/>
      <c r="H1078" s="297"/>
      <c r="J1078" s="297"/>
      <c r="L1078" s="312"/>
      <c r="N1078" s="297"/>
    </row>
    <row r="1079" spans="1:14" ht="15" customHeight="1" x14ac:dyDescent="0.25">
      <c r="A1079" s="497"/>
      <c r="C1079" s="404"/>
      <c r="E1079" s="308"/>
      <c r="G1079" s="297"/>
      <c r="H1079" s="297"/>
      <c r="J1079" s="297"/>
      <c r="L1079" s="312"/>
      <c r="N1079" s="297"/>
    </row>
    <row r="1080" spans="1:14" ht="15" customHeight="1" x14ac:dyDescent="0.25">
      <c r="A1080" s="497"/>
      <c r="C1080" s="404"/>
      <c r="E1080" s="308"/>
      <c r="G1080" s="297"/>
      <c r="H1080" s="297"/>
      <c r="J1080" s="297"/>
      <c r="L1080" s="312"/>
      <c r="N1080" s="297"/>
    </row>
    <row r="1081" spans="1:14" ht="15" customHeight="1" x14ac:dyDescent="0.25">
      <c r="A1081" s="497"/>
      <c r="C1081" s="404"/>
      <c r="E1081" s="308"/>
      <c r="G1081" s="297"/>
      <c r="H1081" s="297"/>
      <c r="J1081" s="297"/>
      <c r="L1081" s="312"/>
      <c r="N1081" s="297"/>
    </row>
    <row r="1082" spans="1:14" ht="15" customHeight="1" x14ac:dyDescent="0.25">
      <c r="A1082" s="497"/>
      <c r="C1082" s="404"/>
      <c r="E1082" s="308"/>
      <c r="G1082" s="297"/>
      <c r="H1082" s="297"/>
      <c r="J1082" s="297"/>
      <c r="L1082" s="312"/>
      <c r="N1082" s="297"/>
    </row>
    <row r="1083" spans="1:14" ht="15" customHeight="1" x14ac:dyDescent="0.25">
      <c r="A1083" s="497"/>
      <c r="C1083" s="404"/>
      <c r="E1083" s="308"/>
      <c r="G1083" s="297"/>
      <c r="H1083" s="297"/>
      <c r="J1083" s="297"/>
      <c r="L1083" s="312"/>
      <c r="N1083" s="297"/>
    </row>
    <row r="1084" spans="1:14" ht="15" customHeight="1" x14ac:dyDescent="0.25">
      <c r="A1084" s="497"/>
      <c r="C1084" s="404"/>
      <c r="E1084" s="308"/>
      <c r="G1084" s="297"/>
      <c r="H1084" s="297"/>
      <c r="J1084" s="297"/>
      <c r="L1084" s="312"/>
      <c r="N1084" s="297"/>
    </row>
    <row r="1085" spans="1:14" ht="15" customHeight="1" x14ac:dyDescent="0.25">
      <c r="A1085" s="497"/>
      <c r="C1085" s="404"/>
      <c r="E1085" s="308"/>
      <c r="G1085" s="297"/>
      <c r="H1085" s="297"/>
      <c r="J1085" s="297"/>
      <c r="L1085" s="312"/>
      <c r="N1085" s="297"/>
    </row>
    <row r="1086" spans="1:14" ht="15" customHeight="1" x14ac:dyDescent="0.25">
      <c r="A1086" s="497"/>
      <c r="C1086" s="404"/>
      <c r="E1086" s="308"/>
      <c r="G1086" s="297"/>
      <c r="H1086" s="297"/>
      <c r="J1086" s="297"/>
      <c r="L1086" s="312"/>
      <c r="N1086" s="297"/>
    </row>
    <row r="1087" spans="1:14" ht="15" customHeight="1" x14ac:dyDescent="0.25">
      <c r="A1087" s="497"/>
      <c r="C1087" s="404"/>
      <c r="E1087" s="308"/>
      <c r="G1087" s="297"/>
      <c r="H1087" s="297"/>
      <c r="J1087" s="297"/>
      <c r="L1087" s="312"/>
      <c r="N1087" s="297"/>
    </row>
    <row r="1088" spans="1:14" ht="15" customHeight="1" x14ac:dyDescent="0.25">
      <c r="A1088" s="497"/>
      <c r="C1088" s="404"/>
      <c r="E1088" s="308"/>
      <c r="G1088" s="297"/>
      <c r="H1088" s="297"/>
      <c r="J1088" s="297"/>
      <c r="L1088" s="312"/>
      <c r="N1088" s="297"/>
    </row>
    <row r="1089" spans="1:14" ht="15" customHeight="1" x14ac:dyDescent="0.25">
      <c r="A1089" s="497"/>
      <c r="C1089" s="404"/>
      <c r="E1089" s="308"/>
      <c r="G1089" s="297"/>
      <c r="H1089" s="297"/>
      <c r="J1089" s="297"/>
      <c r="L1089" s="312"/>
      <c r="N1089" s="297"/>
    </row>
    <row r="1090" spans="1:14" ht="15" customHeight="1" x14ac:dyDescent="0.25">
      <c r="A1090" s="497"/>
      <c r="C1090" s="404"/>
      <c r="E1090" s="308"/>
      <c r="G1090" s="297"/>
      <c r="H1090" s="297"/>
      <c r="J1090" s="297"/>
      <c r="L1090" s="312"/>
      <c r="N1090" s="297"/>
    </row>
    <row r="1091" spans="1:14" ht="15" customHeight="1" x14ac:dyDescent="0.25">
      <c r="A1091" s="497"/>
      <c r="C1091" s="404"/>
      <c r="E1091" s="308"/>
      <c r="G1091" s="297"/>
      <c r="H1091" s="297"/>
      <c r="J1091" s="297"/>
      <c r="L1091" s="312"/>
      <c r="N1091" s="297"/>
    </row>
    <row r="1092" spans="1:14" ht="15" customHeight="1" x14ac:dyDescent="0.25">
      <c r="A1092" s="497"/>
      <c r="C1092" s="404"/>
      <c r="E1092" s="308"/>
      <c r="G1092" s="297"/>
      <c r="H1092" s="297"/>
      <c r="J1092" s="297"/>
      <c r="L1092" s="312"/>
      <c r="N1092" s="297"/>
    </row>
    <row r="1093" spans="1:14" ht="15" customHeight="1" x14ac:dyDescent="0.25">
      <c r="A1093" s="497"/>
      <c r="C1093" s="404"/>
      <c r="E1093" s="308"/>
      <c r="G1093" s="297"/>
      <c r="H1093" s="297"/>
      <c r="J1093" s="297"/>
      <c r="L1093" s="312"/>
      <c r="N1093" s="297"/>
    </row>
    <row r="1094" spans="1:14" ht="15" customHeight="1" x14ac:dyDescent="0.25">
      <c r="A1094" s="497"/>
      <c r="C1094" s="404"/>
      <c r="E1094" s="308"/>
      <c r="G1094" s="297"/>
      <c r="H1094" s="297"/>
      <c r="J1094" s="297"/>
      <c r="L1094" s="312"/>
      <c r="N1094" s="297"/>
    </row>
    <row r="1095" spans="1:14" ht="15" customHeight="1" x14ac:dyDescent="0.25">
      <c r="A1095" s="497"/>
      <c r="C1095" s="404"/>
      <c r="E1095" s="308"/>
      <c r="G1095" s="297"/>
      <c r="H1095" s="297"/>
      <c r="J1095" s="297"/>
      <c r="L1095" s="312"/>
      <c r="N1095" s="297"/>
    </row>
    <row r="1096" spans="1:14" ht="15" customHeight="1" x14ac:dyDescent="0.25">
      <c r="A1096" s="497"/>
      <c r="C1096" s="404"/>
      <c r="E1096" s="308"/>
      <c r="G1096" s="297"/>
      <c r="H1096" s="297"/>
      <c r="J1096" s="297"/>
      <c r="L1096" s="312"/>
      <c r="N1096" s="297"/>
    </row>
    <row r="1097" spans="1:14" ht="15" customHeight="1" x14ac:dyDescent="0.25">
      <c r="A1097" s="497"/>
      <c r="C1097" s="404"/>
      <c r="E1097" s="308"/>
      <c r="G1097" s="297"/>
      <c r="H1097" s="297"/>
      <c r="J1097" s="297"/>
      <c r="L1097" s="312"/>
      <c r="N1097" s="297"/>
    </row>
    <row r="1098" spans="1:14" ht="15" customHeight="1" x14ac:dyDescent="0.25">
      <c r="A1098" s="497"/>
      <c r="C1098" s="404"/>
      <c r="E1098" s="308"/>
      <c r="G1098" s="297"/>
      <c r="H1098" s="297"/>
      <c r="J1098" s="297"/>
      <c r="L1098" s="312"/>
      <c r="N1098" s="297"/>
    </row>
    <row r="1099" spans="1:14" ht="15" customHeight="1" x14ac:dyDescent="0.25">
      <c r="A1099" s="497"/>
      <c r="C1099" s="404"/>
      <c r="E1099" s="308"/>
      <c r="G1099" s="297"/>
      <c r="H1099" s="297"/>
      <c r="J1099" s="297"/>
      <c r="L1099" s="312"/>
      <c r="N1099" s="297"/>
    </row>
    <row r="1100" spans="1:14" ht="15" customHeight="1" x14ac:dyDescent="0.25">
      <c r="A1100" s="497"/>
      <c r="C1100" s="404"/>
      <c r="E1100" s="308"/>
      <c r="G1100" s="297"/>
      <c r="H1100" s="297"/>
      <c r="J1100" s="297"/>
      <c r="L1100" s="312"/>
      <c r="N1100" s="297"/>
    </row>
    <row r="1101" spans="1:14" ht="15" customHeight="1" x14ac:dyDescent="0.25">
      <c r="A1101" s="497"/>
      <c r="C1101" s="404"/>
      <c r="E1101" s="308"/>
      <c r="G1101" s="297"/>
      <c r="H1101" s="297"/>
      <c r="J1101" s="297"/>
      <c r="L1101" s="312"/>
      <c r="N1101" s="297"/>
    </row>
    <row r="1102" spans="1:14" ht="15" customHeight="1" x14ac:dyDescent="0.25">
      <c r="A1102" s="497"/>
      <c r="C1102" s="404"/>
      <c r="E1102" s="308"/>
      <c r="G1102" s="297"/>
      <c r="H1102" s="297"/>
      <c r="J1102" s="297"/>
      <c r="L1102" s="312"/>
      <c r="N1102" s="297"/>
    </row>
    <row r="1103" spans="1:14" ht="15" customHeight="1" x14ac:dyDescent="0.25">
      <c r="A1103" s="497"/>
      <c r="C1103" s="404"/>
      <c r="E1103" s="308"/>
      <c r="G1103" s="297"/>
      <c r="H1103" s="297"/>
      <c r="J1103" s="297"/>
      <c r="L1103" s="312"/>
      <c r="N1103" s="297"/>
    </row>
    <row r="1104" spans="1:14" ht="15" customHeight="1" x14ac:dyDescent="0.25">
      <c r="A1104" s="497"/>
      <c r="C1104" s="404"/>
      <c r="E1104" s="308"/>
      <c r="G1104" s="297"/>
      <c r="H1104" s="297"/>
      <c r="J1104" s="297"/>
      <c r="L1104" s="312"/>
      <c r="N1104" s="297"/>
    </row>
    <row r="1105" spans="1:14" ht="15" customHeight="1" x14ac:dyDescent="0.25">
      <c r="A1105" s="497"/>
      <c r="C1105" s="404"/>
      <c r="E1105" s="308"/>
      <c r="G1105" s="297"/>
      <c r="H1105" s="297"/>
      <c r="J1105" s="297"/>
      <c r="L1105" s="312"/>
      <c r="N1105" s="297"/>
    </row>
    <row r="1106" spans="1:14" ht="15" customHeight="1" x14ac:dyDescent="0.25">
      <c r="A1106" s="497"/>
      <c r="C1106" s="404"/>
      <c r="E1106" s="308"/>
      <c r="G1106" s="297"/>
      <c r="H1106" s="297"/>
      <c r="J1106" s="297"/>
      <c r="L1106" s="312"/>
      <c r="N1106" s="297"/>
    </row>
    <row r="1107" spans="1:14" ht="15" customHeight="1" x14ac:dyDescent="0.25">
      <c r="A1107" s="497"/>
      <c r="C1107" s="404"/>
      <c r="E1107" s="308"/>
      <c r="G1107" s="297"/>
      <c r="H1107" s="297"/>
      <c r="J1107" s="297"/>
      <c r="L1107" s="312"/>
      <c r="N1107" s="297"/>
    </row>
    <row r="1108" spans="1:14" ht="15" customHeight="1" x14ac:dyDescent="0.25">
      <c r="A1108" s="497"/>
      <c r="C1108" s="404"/>
      <c r="E1108" s="308"/>
      <c r="G1108" s="297"/>
      <c r="H1108" s="297"/>
      <c r="J1108" s="297"/>
      <c r="L1108" s="312"/>
      <c r="N1108" s="297"/>
    </row>
    <row r="1109" spans="1:14" ht="15" customHeight="1" x14ac:dyDescent="0.25">
      <c r="A1109" s="497"/>
      <c r="C1109" s="404"/>
      <c r="E1109" s="308"/>
      <c r="G1109" s="297"/>
      <c r="H1109" s="297"/>
      <c r="J1109" s="297"/>
      <c r="L1109" s="312"/>
      <c r="N1109" s="297"/>
    </row>
    <row r="1110" spans="1:14" ht="15" customHeight="1" x14ac:dyDescent="0.25">
      <c r="A1110" s="497"/>
      <c r="C1110" s="404"/>
      <c r="E1110" s="308"/>
      <c r="G1110" s="297"/>
      <c r="H1110" s="297"/>
      <c r="J1110" s="297"/>
      <c r="L1110" s="312"/>
      <c r="N1110" s="297"/>
    </row>
    <row r="1111" spans="1:14" ht="15" customHeight="1" x14ac:dyDescent="0.25">
      <c r="A1111" s="497"/>
      <c r="C1111" s="404"/>
      <c r="E1111" s="308"/>
      <c r="G1111" s="297"/>
      <c r="H1111" s="297"/>
      <c r="J1111" s="297"/>
      <c r="L1111" s="312"/>
      <c r="N1111" s="297"/>
    </row>
    <row r="1112" spans="1:14" ht="15" customHeight="1" x14ac:dyDescent="0.25">
      <c r="A1112" s="497"/>
      <c r="C1112" s="404"/>
      <c r="E1112" s="308"/>
      <c r="G1112" s="297"/>
      <c r="H1112" s="297"/>
      <c r="J1112" s="297"/>
      <c r="L1112" s="312"/>
      <c r="N1112" s="297"/>
    </row>
    <row r="1113" spans="1:14" ht="15" customHeight="1" x14ac:dyDescent="0.25">
      <c r="A1113" s="497"/>
      <c r="C1113" s="404"/>
      <c r="E1113" s="308"/>
      <c r="G1113" s="297"/>
      <c r="H1113" s="297"/>
      <c r="J1113" s="297"/>
      <c r="L1113" s="312"/>
      <c r="N1113" s="297"/>
    </row>
    <row r="1114" spans="1:14" ht="15" customHeight="1" x14ac:dyDescent="0.25">
      <c r="A1114" s="497"/>
      <c r="C1114" s="404"/>
      <c r="E1114" s="308"/>
      <c r="G1114" s="297"/>
      <c r="H1114" s="297"/>
      <c r="J1114" s="297"/>
      <c r="L1114" s="312"/>
      <c r="N1114" s="297"/>
    </row>
    <row r="1115" spans="1:14" ht="15" customHeight="1" x14ac:dyDescent="0.25">
      <c r="A1115" s="497"/>
      <c r="C1115" s="404"/>
      <c r="E1115" s="308"/>
      <c r="G1115" s="297"/>
      <c r="H1115" s="297"/>
      <c r="J1115" s="297"/>
      <c r="L1115" s="312"/>
      <c r="N1115" s="297"/>
    </row>
    <row r="1116" spans="1:14" ht="15" customHeight="1" x14ac:dyDescent="0.25">
      <c r="A1116" s="497"/>
      <c r="C1116" s="404"/>
      <c r="E1116" s="308"/>
      <c r="G1116" s="297"/>
      <c r="H1116" s="297"/>
      <c r="J1116" s="297"/>
      <c r="L1116" s="312"/>
      <c r="N1116" s="297"/>
    </row>
    <row r="1117" spans="1:14" ht="15" customHeight="1" x14ac:dyDescent="0.25">
      <c r="A1117" s="497"/>
      <c r="C1117" s="404"/>
      <c r="E1117" s="308"/>
      <c r="G1117" s="297"/>
      <c r="H1117" s="297"/>
      <c r="J1117" s="297"/>
      <c r="L1117" s="312"/>
      <c r="N1117" s="297"/>
    </row>
    <row r="1118" spans="1:14" ht="15" customHeight="1" x14ac:dyDescent="0.25">
      <c r="A1118" s="497"/>
      <c r="C1118" s="404"/>
      <c r="E1118" s="308"/>
      <c r="G1118" s="297"/>
      <c r="H1118" s="297"/>
      <c r="J1118" s="297"/>
      <c r="L1118" s="312"/>
      <c r="N1118" s="297"/>
    </row>
    <row r="1119" spans="1:14" ht="15" customHeight="1" x14ac:dyDescent="0.25">
      <c r="A1119" s="497"/>
      <c r="C1119" s="404"/>
      <c r="E1119" s="308"/>
      <c r="G1119" s="297"/>
      <c r="H1119" s="297"/>
      <c r="J1119" s="297"/>
      <c r="L1119" s="312"/>
      <c r="N1119" s="297"/>
    </row>
    <row r="1120" spans="1:14" ht="15" customHeight="1" x14ac:dyDescent="0.25">
      <c r="A1120" s="497"/>
      <c r="C1120" s="404"/>
      <c r="E1120" s="308"/>
      <c r="G1120" s="297"/>
      <c r="H1120" s="297"/>
      <c r="J1120" s="297"/>
      <c r="L1120" s="312"/>
      <c r="N1120" s="297"/>
    </row>
    <row r="1121" spans="1:14" ht="15" customHeight="1" x14ac:dyDescent="0.25">
      <c r="A1121" s="497"/>
      <c r="C1121" s="404"/>
      <c r="E1121" s="308"/>
      <c r="G1121" s="297"/>
      <c r="H1121" s="297"/>
      <c r="J1121" s="297"/>
      <c r="L1121" s="312"/>
      <c r="N1121" s="297"/>
    </row>
    <row r="1122" spans="1:14" ht="15" customHeight="1" x14ac:dyDescent="0.25">
      <c r="A1122" s="497"/>
      <c r="C1122" s="404"/>
      <c r="E1122" s="308"/>
      <c r="G1122" s="297"/>
      <c r="H1122" s="297"/>
      <c r="J1122" s="297"/>
      <c r="L1122" s="312"/>
      <c r="N1122" s="297"/>
    </row>
    <row r="1123" spans="1:14" ht="15" customHeight="1" x14ac:dyDescent="0.25">
      <c r="A1123" s="497"/>
      <c r="C1123" s="404"/>
      <c r="E1123" s="308"/>
      <c r="G1123" s="297"/>
      <c r="H1123" s="297"/>
      <c r="J1123" s="297"/>
      <c r="L1123" s="312"/>
      <c r="N1123" s="297"/>
    </row>
    <row r="1124" spans="1:14" ht="15" customHeight="1" x14ac:dyDescent="0.25">
      <c r="A1124" s="497"/>
      <c r="C1124" s="404"/>
      <c r="E1124" s="308"/>
      <c r="G1124" s="297"/>
      <c r="H1124" s="297"/>
      <c r="J1124" s="297"/>
      <c r="L1124" s="312"/>
      <c r="N1124" s="297"/>
    </row>
    <row r="1125" spans="1:14" ht="15" customHeight="1" x14ac:dyDescent="0.25">
      <c r="A1125" s="497"/>
      <c r="C1125" s="404"/>
      <c r="E1125" s="308"/>
      <c r="G1125" s="297"/>
      <c r="H1125" s="297"/>
      <c r="J1125" s="297"/>
      <c r="L1125" s="312"/>
      <c r="N1125" s="297"/>
    </row>
    <row r="1126" spans="1:14" ht="15" customHeight="1" x14ac:dyDescent="0.25">
      <c r="A1126" s="497"/>
      <c r="C1126" s="404"/>
      <c r="E1126" s="308"/>
      <c r="G1126" s="297"/>
      <c r="H1126" s="297"/>
      <c r="J1126" s="297"/>
      <c r="L1126" s="312"/>
      <c r="N1126" s="297"/>
    </row>
    <row r="1127" spans="1:14" ht="15" customHeight="1" x14ac:dyDescent="0.25">
      <c r="A1127" s="497"/>
      <c r="C1127" s="404"/>
      <c r="E1127" s="308"/>
      <c r="G1127" s="297"/>
      <c r="H1127" s="297"/>
      <c r="J1127" s="297"/>
      <c r="L1127" s="312"/>
      <c r="N1127" s="297"/>
    </row>
    <row r="1128" spans="1:14" ht="15" customHeight="1" x14ac:dyDescent="0.25">
      <c r="A1128" s="497"/>
      <c r="C1128" s="404"/>
      <c r="E1128" s="308"/>
      <c r="G1128" s="297"/>
      <c r="H1128" s="297"/>
      <c r="J1128" s="297"/>
      <c r="L1128" s="312"/>
      <c r="N1128" s="297"/>
    </row>
    <row r="1129" spans="1:14" ht="15" customHeight="1" x14ac:dyDescent="0.25">
      <c r="A1129" s="497"/>
      <c r="C1129" s="404"/>
      <c r="E1129" s="308"/>
      <c r="G1129" s="297"/>
      <c r="H1129" s="297"/>
      <c r="J1129" s="297"/>
      <c r="L1129" s="312"/>
      <c r="N1129" s="297"/>
    </row>
    <row r="1130" spans="1:14" ht="15" customHeight="1" x14ac:dyDescent="0.25">
      <c r="A1130" s="497"/>
      <c r="C1130" s="404"/>
      <c r="E1130" s="308"/>
      <c r="G1130" s="297"/>
      <c r="H1130" s="297"/>
      <c r="J1130" s="297"/>
      <c r="L1130" s="312"/>
      <c r="N1130" s="297"/>
    </row>
    <row r="1131" spans="1:14" ht="15" customHeight="1" x14ac:dyDescent="0.25">
      <c r="A1131" s="497"/>
      <c r="C1131" s="404"/>
      <c r="E1131" s="308"/>
      <c r="G1131" s="297"/>
      <c r="H1131" s="297"/>
      <c r="J1131" s="297"/>
      <c r="L1131" s="312"/>
      <c r="N1131" s="297"/>
    </row>
    <row r="1132" spans="1:14" ht="15" customHeight="1" x14ac:dyDescent="0.25">
      <c r="A1132" s="497"/>
      <c r="C1132" s="404"/>
      <c r="E1132" s="308"/>
      <c r="G1132" s="297"/>
      <c r="H1132" s="297"/>
      <c r="J1132" s="297"/>
      <c r="L1132" s="312"/>
      <c r="N1132" s="297"/>
    </row>
    <row r="1133" spans="1:14" ht="15" customHeight="1" x14ac:dyDescent="0.25">
      <c r="A1133" s="497"/>
      <c r="C1133" s="404"/>
      <c r="E1133" s="308"/>
      <c r="G1133" s="297"/>
      <c r="H1133" s="297"/>
      <c r="J1133" s="297"/>
      <c r="L1133" s="312"/>
      <c r="N1133" s="297"/>
    </row>
    <row r="1134" spans="1:14" ht="15" customHeight="1" x14ac:dyDescent="0.25">
      <c r="A1134" s="497"/>
      <c r="C1134" s="404"/>
      <c r="E1134" s="308"/>
      <c r="G1134" s="297"/>
      <c r="H1134" s="297"/>
      <c r="J1134" s="297"/>
      <c r="L1134" s="312"/>
      <c r="N1134" s="297"/>
    </row>
    <row r="1135" spans="1:14" ht="15" customHeight="1" x14ac:dyDescent="0.25">
      <c r="A1135" s="497"/>
      <c r="C1135" s="404"/>
      <c r="E1135" s="308"/>
      <c r="G1135" s="297"/>
      <c r="H1135" s="297"/>
      <c r="J1135" s="297"/>
      <c r="L1135" s="312"/>
      <c r="N1135" s="297"/>
    </row>
    <row r="1136" spans="1:14" ht="15" customHeight="1" x14ac:dyDescent="0.25">
      <c r="A1136" s="497"/>
      <c r="C1136" s="404"/>
      <c r="E1136" s="308"/>
      <c r="G1136" s="297"/>
      <c r="H1136" s="297"/>
      <c r="J1136" s="297"/>
      <c r="L1136" s="312"/>
      <c r="N1136" s="297"/>
    </row>
    <row r="1137" spans="1:14" ht="15" customHeight="1" x14ac:dyDescent="0.25">
      <c r="A1137" s="497"/>
      <c r="C1137" s="404"/>
      <c r="E1137" s="308"/>
      <c r="G1137" s="297"/>
      <c r="H1137" s="297"/>
      <c r="J1137" s="297"/>
      <c r="L1137" s="312"/>
      <c r="N1137" s="297"/>
    </row>
    <row r="1138" spans="1:14" ht="15" customHeight="1" x14ac:dyDescent="0.25">
      <c r="A1138" s="497"/>
      <c r="C1138" s="404"/>
      <c r="E1138" s="308"/>
      <c r="G1138" s="297"/>
      <c r="H1138" s="297"/>
      <c r="J1138" s="297"/>
      <c r="L1138" s="312"/>
      <c r="N1138" s="297"/>
    </row>
    <row r="1139" spans="1:14" ht="15" customHeight="1" x14ac:dyDescent="0.25">
      <c r="A1139" s="497"/>
      <c r="C1139" s="404"/>
      <c r="E1139" s="308"/>
      <c r="G1139" s="297"/>
      <c r="H1139" s="297"/>
      <c r="J1139" s="297"/>
      <c r="L1139" s="312"/>
      <c r="N1139" s="297"/>
    </row>
    <row r="1140" spans="1:14" ht="15" customHeight="1" x14ac:dyDescent="0.25">
      <c r="A1140" s="497"/>
      <c r="C1140" s="404"/>
      <c r="E1140" s="308"/>
      <c r="G1140" s="297"/>
      <c r="H1140" s="297"/>
      <c r="J1140" s="297"/>
      <c r="L1140" s="312"/>
      <c r="N1140" s="297"/>
    </row>
    <row r="1141" spans="1:14" ht="15" customHeight="1" x14ac:dyDescent="0.25">
      <c r="A1141" s="497"/>
      <c r="C1141" s="404"/>
      <c r="E1141" s="308"/>
      <c r="G1141" s="297"/>
      <c r="H1141" s="297"/>
      <c r="J1141" s="297"/>
      <c r="L1141" s="312"/>
      <c r="N1141" s="297"/>
    </row>
    <row r="1142" spans="1:14" ht="15" customHeight="1" x14ac:dyDescent="0.25">
      <c r="A1142" s="497"/>
      <c r="C1142" s="404"/>
      <c r="E1142" s="308"/>
      <c r="G1142" s="297"/>
      <c r="H1142" s="297"/>
      <c r="J1142" s="297"/>
      <c r="L1142" s="312"/>
      <c r="N1142" s="297"/>
    </row>
    <row r="1143" spans="1:14" ht="15" customHeight="1" x14ac:dyDescent="0.25">
      <c r="A1143" s="497"/>
      <c r="C1143" s="404"/>
      <c r="E1143" s="308"/>
      <c r="G1143" s="297"/>
      <c r="H1143" s="297"/>
      <c r="J1143" s="297"/>
      <c r="L1143" s="312"/>
      <c r="N1143" s="297"/>
    </row>
    <row r="1144" spans="1:14" ht="15" customHeight="1" x14ac:dyDescent="0.25">
      <c r="A1144" s="497"/>
      <c r="C1144" s="404"/>
      <c r="E1144" s="308"/>
      <c r="G1144" s="297"/>
      <c r="H1144" s="297"/>
      <c r="J1144" s="297"/>
      <c r="L1144" s="312"/>
      <c r="N1144" s="297"/>
    </row>
    <row r="1145" spans="1:14" ht="15" customHeight="1" x14ac:dyDescent="0.25">
      <c r="A1145" s="497"/>
      <c r="C1145" s="404"/>
      <c r="E1145" s="308"/>
      <c r="G1145" s="297"/>
      <c r="H1145" s="297"/>
      <c r="J1145" s="297"/>
      <c r="L1145" s="312"/>
      <c r="N1145" s="297"/>
    </row>
    <row r="1146" spans="1:14" ht="15" customHeight="1" x14ac:dyDescent="0.25">
      <c r="A1146" s="497"/>
      <c r="C1146" s="404"/>
      <c r="E1146" s="308"/>
      <c r="G1146" s="297"/>
      <c r="H1146" s="297"/>
      <c r="J1146" s="297"/>
      <c r="L1146" s="312"/>
      <c r="N1146" s="297"/>
    </row>
    <row r="1147" spans="1:14" ht="15" customHeight="1" x14ac:dyDescent="0.25">
      <c r="A1147" s="497"/>
      <c r="C1147" s="404"/>
      <c r="E1147" s="308"/>
      <c r="G1147" s="297"/>
      <c r="H1147" s="297"/>
      <c r="J1147" s="297"/>
      <c r="L1147" s="312"/>
      <c r="N1147" s="297"/>
    </row>
    <row r="1148" spans="1:14" ht="15" customHeight="1" x14ac:dyDescent="0.25">
      <c r="A1148" s="497"/>
      <c r="C1148" s="404"/>
      <c r="E1148" s="308"/>
      <c r="G1148" s="297"/>
      <c r="H1148" s="297"/>
      <c r="J1148" s="297"/>
      <c r="L1148" s="312"/>
      <c r="N1148" s="297"/>
    </row>
    <row r="1149" spans="1:14" ht="15" customHeight="1" x14ac:dyDescent="0.25">
      <c r="A1149" s="497"/>
      <c r="C1149" s="404"/>
      <c r="E1149" s="308"/>
      <c r="G1149" s="297"/>
      <c r="H1149" s="297"/>
      <c r="J1149" s="297"/>
      <c r="L1149" s="312"/>
      <c r="N1149" s="297"/>
    </row>
    <row r="1150" spans="1:14" ht="15" customHeight="1" x14ac:dyDescent="0.25">
      <c r="A1150" s="497"/>
      <c r="C1150" s="404"/>
      <c r="E1150" s="308"/>
      <c r="G1150" s="297"/>
      <c r="H1150" s="297"/>
      <c r="J1150" s="297"/>
      <c r="L1150" s="312"/>
      <c r="N1150" s="297"/>
    </row>
    <row r="1151" spans="1:14" ht="15" customHeight="1" x14ac:dyDescent="0.25">
      <c r="A1151" s="497"/>
      <c r="C1151" s="404"/>
      <c r="E1151" s="308"/>
      <c r="G1151" s="297"/>
      <c r="H1151" s="297"/>
      <c r="J1151" s="297"/>
      <c r="L1151" s="312"/>
      <c r="N1151" s="297"/>
    </row>
    <row r="1152" spans="1:14" ht="15" customHeight="1" x14ac:dyDescent="0.25">
      <c r="A1152" s="497"/>
      <c r="C1152" s="404"/>
      <c r="E1152" s="308"/>
      <c r="G1152" s="297"/>
      <c r="H1152" s="297"/>
      <c r="J1152" s="297"/>
      <c r="L1152" s="312"/>
      <c r="N1152" s="297"/>
    </row>
    <row r="1153" spans="1:14" ht="15" customHeight="1" x14ac:dyDescent="0.25">
      <c r="A1153" s="497"/>
      <c r="C1153" s="404"/>
      <c r="E1153" s="308"/>
      <c r="G1153" s="297"/>
      <c r="H1153" s="297"/>
      <c r="J1153" s="297"/>
      <c r="L1153" s="312"/>
      <c r="N1153" s="297"/>
    </row>
    <row r="1154" spans="1:14" ht="15" customHeight="1" x14ac:dyDescent="0.25">
      <c r="A1154" s="497"/>
      <c r="C1154" s="404"/>
      <c r="E1154" s="308"/>
      <c r="G1154" s="297"/>
      <c r="H1154" s="297"/>
      <c r="J1154" s="297"/>
      <c r="L1154" s="312"/>
      <c r="N1154" s="297"/>
    </row>
    <row r="1155" spans="1:14" ht="15" customHeight="1" x14ac:dyDescent="0.25">
      <c r="A1155" s="497"/>
      <c r="C1155" s="404"/>
      <c r="E1155" s="308"/>
      <c r="G1155" s="297"/>
      <c r="H1155" s="297"/>
      <c r="J1155" s="297"/>
      <c r="L1155" s="312"/>
      <c r="N1155" s="297"/>
    </row>
    <row r="1156" spans="1:14" ht="15" customHeight="1" x14ac:dyDescent="0.25">
      <c r="A1156" s="497"/>
      <c r="C1156" s="404"/>
      <c r="E1156" s="308"/>
      <c r="G1156" s="297"/>
      <c r="H1156" s="297"/>
      <c r="J1156" s="297"/>
      <c r="L1156" s="312"/>
      <c r="N1156" s="297"/>
    </row>
    <row r="1157" spans="1:14" ht="15" customHeight="1" x14ac:dyDescent="0.25">
      <c r="A1157" s="497"/>
      <c r="C1157" s="404"/>
      <c r="E1157" s="308"/>
      <c r="G1157" s="297"/>
      <c r="H1157" s="297"/>
      <c r="J1157" s="297"/>
      <c r="L1157" s="312"/>
      <c r="N1157" s="297"/>
    </row>
    <row r="1158" spans="1:14" ht="15" customHeight="1" x14ac:dyDescent="0.25">
      <c r="A1158" s="497"/>
      <c r="C1158" s="404"/>
      <c r="E1158" s="308"/>
      <c r="G1158" s="297"/>
      <c r="H1158" s="297"/>
      <c r="J1158" s="297"/>
      <c r="L1158" s="312"/>
      <c r="N1158" s="297"/>
    </row>
    <row r="1159" spans="1:14" ht="15" customHeight="1" x14ac:dyDescent="0.25">
      <c r="A1159" s="497"/>
      <c r="C1159" s="404"/>
      <c r="E1159" s="308"/>
      <c r="G1159" s="297"/>
      <c r="H1159" s="297"/>
      <c r="J1159" s="297"/>
      <c r="L1159" s="312"/>
      <c r="N1159" s="297"/>
    </row>
    <row r="1160" spans="1:14" ht="15" customHeight="1" x14ac:dyDescent="0.25">
      <c r="A1160" s="497"/>
      <c r="C1160" s="404"/>
      <c r="E1160" s="308"/>
      <c r="G1160" s="297"/>
      <c r="H1160" s="297"/>
      <c r="J1160" s="297"/>
      <c r="L1160" s="312"/>
      <c r="N1160" s="297"/>
    </row>
    <row r="1161" spans="1:14" ht="15" customHeight="1" x14ac:dyDescent="0.25">
      <c r="A1161" s="497"/>
      <c r="C1161" s="404"/>
      <c r="E1161" s="308"/>
      <c r="G1161" s="297"/>
      <c r="H1161" s="297"/>
      <c r="J1161" s="297"/>
      <c r="L1161" s="312"/>
      <c r="N1161" s="297"/>
    </row>
    <row r="1162" spans="1:14" ht="15" customHeight="1" x14ac:dyDescent="0.25">
      <c r="A1162" s="497"/>
      <c r="C1162" s="404"/>
      <c r="E1162" s="308"/>
      <c r="G1162" s="297"/>
      <c r="H1162" s="297"/>
      <c r="J1162" s="297"/>
      <c r="L1162" s="312"/>
      <c r="N1162" s="297"/>
    </row>
    <row r="1163" spans="1:14" ht="15" customHeight="1" x14ac:dyDescent="0.25">
      <c r="A1163" s="497"/>
      <c r="C1163" s="404"/>
      <c r="E1163" s="308"/>
      <c r="G1163" s="297"/>
      <c r="H1163" s="297"/>
      <c r="J1163" s="297"/>
      <c r="L1163" s="312"/>
      <c r="N1163" s="297"/>
    </row>
    <row r="1164" spans="1:14" ht="15" customHeight="1" x14ac:dyDescent="0.25">
      <c r="A1164" s="497"/>
      <c r="C1164" s="404"/>
      <c r="E1164" s="308"/>
      <c r="G1164" s="297"/>
      <c r="H1164" s="297"/>
      <c r="J1164" s="297"/>
      <c r="L1164" s="312"/>
      <c r="N1164" s="297"/>
    </row>
    <row r="1165" spans="1:14" ht="15" customHeight="1" x14ac:dyDescent="0.25">
      <c r="A1165" s="497"/>
      <c r="C1165" s="404"/>
      <c r="E1165" s="308"/>
      <c r="G1165" s="297"/>
      <c r="H1165" s="297"/>
      <c r="J1165" s="297"/>
      <c r="L1165" s="312"/>
      <c r="N1165" s="297"/>
    </row>
    <row r="1166" spans="1:14" ht="15" customHeight="1" x14ac:dyDescent="0.25">
      <c r="A1166" s="497"/>
      <c r="C1166" s="404"/>
      <c r="E1166" s="308"/>
      <c r="G1166" s="297"/>
      <c r="H1166" s="297"/>
      <c r="J1166" s="297"/>
      <c r="L1166" s="312"/>
      <c r="N1166" s="297"/>
    </row>
    <row r="1167" spans="1:14" ht="15" customHeight="1" x14ac:dyDescent="0.25">
      <c r="A1167" s="497"/>
      <c r="C1167" s="404"/>
      <c r="E1167" s="308"/>
      <c r="G1167" s="297"/>
      <c r="H1167" s="297"/>
      <c r="J1167" s="297"/>
      <c r="L1167" s="312"/>
      <c r="N1167" s="297"/>
    </row>
    <row r="1168" spans="1:14" ht="15" customHeight="1" x14ac:dyDescent="0.25">
      <c r="A1168" s="497"/>
      <c r="C1168" s="404"/>
      <c r="E1168" s="308"/>
      <c r="G1168" s="297"/>
      <c r="H1168" s="297"/>
      <c r="J1168" s="297"/>
      <c r="L1168" s="312"/>
      <c r="N1168" s="297"/>
    </row>
    <row r="1169" spans="1:14" ht="15" customHeight="1" x14ac:dyDescent="0.25">
      <c r="A1169" s="497"/>
      <c r="C1169" s="404"/>
      <c r="E1169" s="308"/>
      <c r="G1169" s="297"/>
      <c r="H1169" s="297"/>
      <c r="J1169" s="297"/>
      <c r="L1169" s="312"/>
      <c r="N1169" s="297"/>
    </row>
    <row r="1170" spans="1:14" ht="15" customHeight="1" x14ac:dyDescent="0.25">
      <c r="A1170" s="497"/>
      <c r="C1170" s="404"/>
      <c r="E1170" s="308"/>
      <c r="G1170" s="297"/>
      <c r="H1170" s="297"/>
      <c r="J1170" s="297"/>
      <c r="L1170" s="312"/>
      <c r="N1170" s="297"/>
    </row>
    <row r="1171" spans="1:14" ht="15" customHeight="1" x14ac:dyDescent="0.25">
      <c r="A1171" s="497"/>
      <c r="C1171" s="404"/>
      <c r="E1171" s="308"/>
      <c r="G1171" s="297"/>
      <c r="H1171" s="297"/>
      <c r="J1171" s="297"/>
      <c r="L1171" s="312"/>
      <c r="N1171" s="297"/>
    </row>
    <row r="1172" spans="1:14" ht="15" customHeight="1" x14ac:dyDescent="0.25">
      <c r="A1172" s="497"/>
      <c r="C1172" s="404"/>
      <c r="E1172" s="308"/>
      <c r="G1172" s="297"/>
      <c r="H1172" s="297"/>
      <c r="J1172" s="297"/>
      <c r="L1172" s="312"/>
      <c r="N1172" s="297"/>
    </row>
    <row r="1173" spans="1:14" ht="15" customHeight="1" x14ac:dyDescent="0.25">
      <c r="A1173" s="497"/>
      <c r="C1173" s="404"/>
      <c r="E1173" s="308"/>
      <c r="G1173" s="297"/>
      <c r="H1173" s="297"/>
      <c r="J1173" s="297"/>
      <c r="L1173" s="312"/>
      <c r="N1173" s="297"/>
    </row>
    <row r="1174" spans="1:14" ht="15" customHeight="1" x14ac:dyDescent="0.25">
      <c r="A1174" s="497"/>
      <c r="C1174" s="404"/>
      <c r="E1174" s="308"/>
      <c r="G1174" s="297"/>
      <c r="H1174" s="297"/>
      <c r="J1174" s="297"/>
      <c r="L1174" s="312"/>
      <c r="N1174" s="297"/>
    </row>
    <row r="1175" spans="1:14" ht="15" customHeight="1" x14ac:dyDescent="0.25">
      <c r="A1175" s="497"/>
      <c r="C1175" s="404"/>
      <c r="E1175" s="308"/>
      <c r="G1175" s="297"/>
      <c r="H1175" s="297"/>
      <c r="J1175" s="297"/>
      <c r="L1175" s="312"/>
      <c r="N1175" s="297"/>
    </row>
    <row r="1176" spans="1:14" ht="15" customHeight="1" x14ac:dyDescent="0.25">
      <c r="A1176" s="497"/>
      <c r="C1176" s="404"/>
      <c r="E1176" s="308"/>
      <c r="G1176" s="297"/>
      <c r="H1176" s="297"/>
      <c r="J1176" s="297"/>
      <c r="L1176" s="312"/>
      <c r="N1176" s="297"/>
    </row>
    <row r="1177" spans="1:14" ht="15" customHeight="1" x14ac:dyDescent="0.25">
      <c r="A1177" s="497"/>
      <c r="C1177" s="404"/>
      <c r="E1177" s="308"/>
      <c r="G1177" s="297"/>
      <c r="H1177" s="297"/>
      <c r="J1177" s="297"/>
      <c r="L1177" s="312"/>
      <c r="N1177" s="297"/>
    </row>
    <row r="1178" spans="1:14" ht="15" customHeight="1" x14ac:dyDescent="0.25">
      <c r="A1178" s="497"/>
      <c r="C1178" s="404"/>
      <c r="E1178" s="308"/>
      <c r="G1178" s="297"/>
      <c r="H1178" s="297"/>
      <c r="J1178" s="297"/>
      <c r="L1178" s="312"/>
      <c r="N1178" s="297"/>
    </row>
    <row r="1179" spans="1:14" ht="15" customHeight="1" x14ac:dyDescent="0.25">
      <c r="A1179" s="497"/>
      <c r="C1179" s="404"/>
      <c r="E1179" s="308"/>
      <c r="G1179" s="297"/>
      <c r="H1179" s="297"/>
      <c r="J1179" s="297"/>
      <c r="L1179" s="312"/>
      <c r="N1179" s="297"/>
    </row>
    <row r="1180" spans="1:14" ht="15" customHeight="1" x14ac:dyDescent="0.25">
      <c r="A1180" s="497"/>
      <c r="C1180" s="404"/>
      <c r="E1180" s="308"/>
      <c r="G1180" s="297"/>
      <c r="H1180" s="297"/>
      <c r="J1180" s="297"/>
      <c r="L1180" s="312"/>
      <c r="N1180" s="297"/>
    </row>
    <row r="1181" spans="1:14" ht="15" customHeight="1" x14ac:dyDescent="0.25">
      <c r="A1181" s="497"/>
      <c r="C1181" s="404"/>
      <c r="E1181" s="308"/>
      <c r="G1181" s="297"/>
      <c r="H1181" s="297"/>
      <c r="J1181" s="297"/>
      <c r="L1181" s="312"/>
      <c r="N1181" s="297"/>
    </row>
    <row r="1182" spans="1:14" ht="15" customHeight="1" x14ac:dyDescent="0.25">
      <c r="A1182" s="497"/>
      <c r="C1182" s="404"/>
      <c r="E1182" s="308"/>
      <c r="G1182" s="297"/>
      <c r="H1182" s="297"/>
      <c r="J1182" s="297"/>
      <c r="L1182" s="312"/>
      <c r="N1182" s="297"/>
    </row>
    <row r="1183" spans="1:14" ht="15" customHeight="1" x14ac:dyDescent="0.25">
      <c r="A1183" s="497"/>
      <c r="C1183" s="404"/>
      <c r="E1183" s="308"/>
      <c r="G1183" s="297"/>
      <c r="H1183" s="297"/>
      <c r="J1183" s="297"/>
      <c r="L1183" s="312"/>
      <c r="N1183" s="297"/>
    </row>
    <row r="1184" spans="1:14" ht="15" customHeight="1" x14ac:dyDescent="0.25">
      <c r="A1184" s="497"/>
      <c r="C1184" s="404"/>
      <c r="E1184" s="308"/>
      <c r="G1184" s="297"/>
      <c r="H1184" s="297"/>
      <c r="J1184" s="297"/>
      <c r="L1184" s="312"/>
      <c r="N1184" s="297"/>
    </row>
    <row r="1185" spans="1:14" ht="15" customHeight="1" x14ac:dyDescent="0.25">
      <c r="A1185" s="497"/>
      <c r="C1185" s="404"/>
      <c r="E1185" s="308"/>
      <c r="G1185" s="297"/>
      <c r="H1185" s="297"/>
      <c r="J1185" s="297"/>
      <c r="L1185" s="312"/>
      <c r="N1185" s="297"/>
    </row>
    <row r="1186" spans="1:14" ht="15" customHeight="1" x14ac:dyDescent="0.25">
      <c r="A1186" s="497"/>
      <c r="C1186" s="404"/>
      <c r="E1186" s="308"/>
      <c r="G1186" s="297"/>
      <c r="H1186" s="297"/>
      <c r="J1186" s="297"/>
      <c r="L1186" s="312"/>
      <c r="N1186" s="297"/>
    </row>
    <row r="1187" spans="1:14" ht="15" customHeight="1" x14ac:dyDescent="0.25">
      <c r="A1187" s="497"/>
      <c r="C1187" s="404"/>
      <c r="E1187" s="308"/>
      <c r="G1187" s="297"/>
      <c r="H1187" s="297"/>
      <c r="J1187" s="297"/>
      <c r="L1187" s="312"/>
      <c r="N1187" s="297"/>
    </row>
    <row r="1188" spans="1:14" ht="15" customHeight="1" x14ac:dyDescent="0.25">
      <c r="A1188" s="497"/>
      <c r="C1188" s="404"/>
      <c r="E1188" s="308"/>
      <c r="G1188" s="297"/>
      <c r="H1188" s="297"/>
      <c r="J1188" s="297"/>
      <c r="L1188" s="312"/>
      <c r="N1188" s="297"/>
    </row>
    <row r="1189" spans="1:14" ht="15" customHeight="1" x14ac:dyDescent="0.25">
      <c r="A1189" s="497"/>
      <c r="C1189" s="404"/>
      <c r="E1189" s="308"/>
      <c r="G1189" s="297"/>
      <c r="H1189" s="297"/>
      <c r="J1189" s="297"/>
      <c r="L1189" s="312"/>
      <c r="N1189" s="297"/>
    </row>
    <row r="1190" spans="1:14" ht="15" customHeight="1" x14ac:dyDescent="0.25">
      <c r="A1190" s="497"/>
      <c r="C1190" s="404"/>
      <c r="E1190" s="308"/>
      <c r="G1190" s="297"/>
      <c r="H1190" s="297"/>
      <c r="J1190" s="297"/>
      <c r="L1190" s="312"/>
      <c r="N1190" s="297"/>
    </row>
    <row r="1191" spans="1:14" ht="15" customHeight="1" x14ac:dyDescent="0.25">
      <c r="A1191" s="497"/>
      <c r="C1191" s="404"/>
      <c r="E1191" s="308"/>
      <c r="G1191" s="297"/>
      <c r="H1191" s="297"/>
      <c r="J1191" s="297"/>
      <c r="L1191" s="312"/>
      <c r="N1191" s="297"/>
    </row>
    <row r="1192" spans="1:14" ht="15" customHeight="1" x14ac:dyDescent="0.25">
      <c r="A1192" s="497"/>
      <c r="C1192" s="404"/>
      <c r="E1192" s="308"/>
      <c r="G1192" s="297"/>
      <c r="H1192" s="297"/>
      <c r="J1192" s="297"/>
      <c r="L1192" s="312"/>
      <c r="N1192" s="297"/>
    </row>
    <row r="1193" spans="1:14" ht="15" customHeight="1" x14ac:dyDescent="0.25">
      <c r="A1193" s="497"/>
      <c r="C1193" s="404"/>
      <c r="E1193" s="308"/>
      <c r="G1193" s="297"/>
      <c r="H1193" s="297"/>
      <c r="J1193" s="297"/>
      <c r="L1193" s="312"/>
      <c r="N1193" s="297"/>
    </row>
    <row r="1194" spans="1:14" ht="15" customHeight="1" x14ac:dyDescent="0.25">
      <c r="A1194" s="497"/>
      <c r="C1194" s="404"/>
      <c r="E1194" s="308"/>
      <c r="G1194" s="297"/>
      <c r="H1194" s="297"/>
      <c r="J1194" s="297"/>
      <c r="L1194" s="312"/>
      <c r="N1194" s="297"/>
    </row>
    <row r="1195" spans="1:14" ht="15" customHeight="1" x14ac:dyDescent="0.25">
      <c r="A1195" s="497"/>
      <c r="C1195" s="404"/>
      <c r="E1195" s="308"/>
      <c r="G1195" s="297"/>
      <c r="H1195" s="297"/>
      <c r="J1195" s="297"/>
      <c r="L1195" s="312"/>
      <c r="N1195" s="297"/>
    </row>
    <row r="1196" spans="1:14" ht="15" customHeight="1" x14ac:dyDescent="0.25">
      <c r="A1196" s="497"/>
      <c r="C1196" s="404"/>
      <c r="E1196" s="308"/>
      <c r="G1196" s="297"/>
      <c r="H1196" s="297"/>
      <c r="J1196" s="297"/>
      <c r="L1196" s="312"/>
      <c r="N1196" s="297"/>
    </row>
    <row r="1197" spans="1:14" ht="15" customHeight="1" x14ac:dyDescent="0.25">
      <c r="A1197" s="497"/>
      <c r="C1197" s="404"/>
      <c r="E1197" s="308"/>
      <c r="G1197" s="297"/>
      <c r="H1197" s="297"/>
      <c r="J1197" s="297"/>
      <c r="L1197" s="312"/>
      <c r="N1197" s="297"/>
    </row>
    <row r="1198" spans="1:14" ht="15" customHeight="1" x14ac:dyDescent="0.25">
      <c r="A1198" s="497"/>
      <c r="C1198" s="404"/>
      <c r="E1198" s="308"/>
      <c r="G1198" s="297"/>
      <c r="H1198" s="297"/>
      <c r="J1198" s="297"/>
      <c r="L1198" s="312"/>
      <c r="N1198" s="297"/>
    </row>
    <row r="1199" spans="1:14" ht="15" customHeight="1" x14ac:dyDescent="0.25">
      <c r="A1199" s="497"/>
      <c r="C1199" s="404"/>
      <c r="E1199" s="308"/>
      <c r="G1199" s="297"/>
      <c r="H1199" s="297"/>
      <c r="J1199" s="297"/>
      <c r="L1199" s="312"/>
      <c r="N1199" s="297"/>
    </row>
    <row r="1200" spans="1:14" ht="15" customHeight="1" x14ac:dyDescent="0.25">
      <c r="A1200" s="497"/>
      <c r="C1200" s="404"/>
      <c r="E1200" s="308"/>
      <c r="G1200" s="297"/>
      <c r="H1200" s="297"/>
      <c r="J1200" s="297"/>
      <c r="L1200" s="312"/>
      <c r="N1200" s="297"/>
    </row>
    <row r="1201" spans="1:14" ht="15" customHeight="1" x14ac:dyDescent="0.25">
      <c r="A1201" s="497"/>
      <c r="C1201" s="404"/>
      <c r="E1201" s="308"/>
      <c r="G1201" s="297"/>
      <c r="H1201" s="297"/>
      <c r="J1201" s="297"/>
      <c r="L1201" s="312"/>
      <c r="N1201" s="297"/>
    </row>
    <row r="1202" spans="1:14" ht="15" customHeight="1" x14ac:dyDescent="0.25">
      <c r="A1202" s="497"/>
      <c r="C1202" s="404"/>
      <c r="E1202" s="308"/>
      <c r="G1202" s="297"/>
      <c r="H1202" s="297"/>
      <c r="J1202" s="297"/>
      <c r="L1202" s="312"/>
      <c r="N1202" s="297"/>
    </row>
    <row r="1203" spans="1:14" ht="15" customHeight="1" x14ac:dyDescent="0.25">
      <c r="A1203" s="497"/>
      <c r="C1203" s="404"/>
      <c r="E1203" s="308"/>
      <c r="G1203" s="297"/>
      <c r="H1203" s="297"/>
      <c r="J1203" s="297"/>
      <c r="L1203" s="312"/>
      <c r="N1203" s="297"/>
    </row>
    <row r="1204" spans="1:14" ht="15" customHeight="1" x14ac:dyDescent="0.25">
      <c r="A1204" s="497"/>
      <c r="C1204" s="404"/>
      <c r="E1204" s="308"/>
      <c r="G1204" s="297"/>
      <c r="H1204" s="297"/>
      <c r="J1204" s="297"/>
      <c r="L1204" s="312"/>
      <c r="N1204" s="297"/>
    </row>
    <row r="1205" spans="1:14" ht="15" customHeight="1" x14ac:dyDescent="0.25">
      <c r="A1205" s="497"/>
      <c r="C1205" s="404"/>
      <c r="E1205" s="308"/>
      <c r="G1205" s="297"/>
      <c r="H1205" s="297"/>
      <c r="J1205" s="297"/>
      <c r="L1205" s="312"/>
      <c r="N1205" s="297"/>
    </row>
    <row r="1206" spans="1:14" ht="15" customHeight="1" x14ac:dyDescent="0.25">
      <c r="A1206" s="497"/>
      <c r="C1206" s="404"/>
      <c r="E1206" s="308"/>
      <c r="G1206" s="297"/>
      <c r="H1206" s="297"/>
      <c r="J1206" s="297"/>
      <c r="L1206" s="312"/>
      <c r="N1206" s="297"/>
    </row>
    <row r="1207" spans="1:14" ht="15" customHeight="1" x14ac:dyDescent="0.25">
      <c r="A1207" s="497"/>
      <c r="C1207" s="404"/>
      <c r="E1207" s="308"/>
      <c r="G1207" s="297"/>
      <c r="H1207" s="297"/>
      <c r="J1207" s="297"/>
      <c r="L1207" s="312"/>
      <c r="N1207" s="297"/>
    </row>
    <row r="1208" spans="1:14" ht="15" customHeight="1" x14ac:dyDescent="0.25">
      <c r="A1208" s="497"/>
      <c r="C1208" s="404"/>
      <c r="E1208" s="308"/>
      <c r="G1208" s="297"/>
      <c r="H1208" s="297"/>
      <c r="J1208" s="297"/>
      <c r="L1208" s="312"/>
      <c r="N1208" s="297"/>
    </row>
    <row r="1209" spans="1:14" ht="15" customHeight="1" x14ac:dyDescent="0.25">
      <c r="A1209" s="497"/>
      <c r="C1209" s="404"/>
      <c r="E1209" s="308"/>
      <c r="G1209" s="297"/>
      <c r="H1209" s="297"/>
      <c r="J1209" s="297"/>
      <c r="L1209" s="312"/>
      <c r="N1209" s="297"/>
    </row>
    <row r="1210" spans="1:14" ht="15" customHeight="1" x14ac:dyDescent="0.25">
      <c r="A1210" s="497"/>
      <c r="C1210" s="404"/>
      <c r="E1210" s="308"/>
      <c r="G1210" s="297"/>
      <c r="H1210" s="297"/>
      <c r="J1210" s="297"/>
      <c r="L1210" s="312"/>
      <c r="N1210" s="297"/>
    </row>
    <row r="1211" spans="1:14" ht="15" customHeight="1" x14ac:dyDescent="0.25">
      <c r="A1211" s="497"/>
      <c r="C1211" s="404"/>
      <c r="E1211" s="308"/>
      <c r="G1211" s="297"/>
      <c r="H1211" s="297"/>
      <c r="J1211" s="297"/>
      <c r="L1211" s="312"/>
      <c r="N1211" s="297"/>
    </row>
    <row r="1212" spans="1:14" ht="15" customHeight="1" x14ac:dyDescent="0.25">
      <c r="A1212" s="497"/>
      <c r="C1212" s="404"/>
      <c r="E1212" s="308"/>
      <c r="G1212" s="297"/>
      <c r="H1212" s="297"/>
      <c r="J1212" s="297"/>
      <c r="L1212" s="312"/>
      <c r="N1212" s="297"/>
    </row>
    <row r="1213" spans="1:14" ht="15" customHeight="1" x14ac:dyDescent="0.25">
      <c r="A1213" s="497"/>
      <c r="C1213" s="404"/>
      <c r="E1213" s="308"/>
      <c r="G1213" s="297"/>
      <c r="H1213" s="297"/>
      <c r="J1213" s="297"/>
      <c r="L1213" s="312"/>
      <c r="N1213" s="297"/>
    </row>
    <row r="1214" spans="1:14" ht="15" customHeight="1" x14ac:dyDescent="0.25">
      <c r="A1214" s="497"/>
      <c r="C1214" s="404"/>
      <c r="E1214" s="308"/>
      <c r="G1214" s="297"/>
      <c r="H1214" s="297"/>
      <c r="J1214" s="297"/>
      <c r="L1214" s="312"/>
      <c r="N1214" s="297"/>
    </row>
    <row r="1215" spans="1:14" ht="15" customHeight="1" x14ac:dyDescent="0.25">
      <c r="A1215" s="497"/>
      <c r="C1215" s="404"/>
      <c r="E1215" s="308"/>
      <c r="G1215" s="297"/>
      <c r="H1215" s="297"/>
      <c r="J1215" s="297"/>
      <c r="L1215" s="312"/>
      <c r="N1215" s="297"/>
    </row>
    <row r="1216" spans="1:14" ht="15" customHeight="1" x14ac:dyDescent="0.25">
      <c r="A1216" s="497"/>
      <c r="C1216" s="404"/>
      <c r="E1216" s="308"/>
      <c r="G1216" s="297"/>
      <c r="H1216" s="297"/>
      <c r="J1216" s="297"/>
      <c r="L1216" s="312"/>
      <c r="N1216" s="297"/>
    </row>
    <row r="1217" spans="1:14" ht="15" customHeight="1" x14ac:dyDescent="0.25">
      <c r="A1217" s="497"/>
      <c r="C1217" s="404"/>
      <c r="E1217" s="308"/>
      <c r="G1217" s="297"/>
      <c r="H1217" s="297"/>
      <c r="J1217" s="297"/>
      <c r="L1217" s="312"/>
      <c r="N1217" s="297"/>
    </row>
    <row r="1218" spans="1:14" ht="15" customHeight="1" x14ac:dyDescent="0.25">
      <c r="A1218" s="497"/>
      <c r="C1218" s="404"/>
      <c r="E1218" s="308"/>
      <c r="G1218" s="297"/>
      <c r="H1218" s="297"/>
      <c r="J1218" s="297"/>
      <c r="L1218" s="312"/>
      <c r="N1218" s="297"/>
    </row>
    <row r="1219" spans="1:14" ht="15" customHeight="1" x14ac:dyDescent="0.25">
      <c r="A1219" s="497"/>
      <c r="C1219" s="404"/>
      <c r="E1219" s="308"/>
      <c r="G1219" s="297"/>
      <c r="H1219" s="297"/>
      <c r="J1219" s="297"/>
      <c r="L1219" s="312"/>
      <c r="N1219" s="297"/>
    </row>
    <row r="1220" spans="1:14" ht="15" customHeight="1" x14ac:dyDescent="0.25">
      <c r="A1220" s="497"/>
      <c r="C1220" s="404"/>
      <c r="E1220" s="308"/>
      <c r="G1220" s="297"/>
      <c r="H1220" s="297"/>
      <c r="J1220" s="297"/>
      <c r="L1220" s="312"/>
      <c r="N1220" s="297"/>
    </row>
    <row r="1221" spans="1:14" ht="15" customHeight="1" x14ac:dyDescent="0.25">
      <c r="A1221" s="497"/>
      <c r="C1221" s="404"/>
      <c r="E1221" s="308"/>
      <c r="G1221" s="297"/>
      <c r="H1221" s="297"/>
      <c r="J1221" s="297"/>
      <c r="L1221" s="312"/>
      <c r="N1221" s="297"/>
    </row>
    <row r="1222" spans="1:14" ht="15" customHeight="1" x14ac:dyDescent="0.25">
      <c r="A1222" s="497"/>
      <c r="C1222" s="404"/>
      <c r="E1222" s="308"/>
      <c r="G1222" s="297"/>
      <c r="H1222" s="297"/>
      <c r="J1222" s="297"/>
      <c r="L1222" s="312"/>
      <c r="N1222" s="297"/>
    </row>
    <row r="1223" spans="1:14" ht="15" customHeight="1" x14ac:dyDescent="0.25">
      <c r="A1223" s="497"/>
      <c r="C1223" s="404"/>
      <c r="E1223" s="308"/>
      <c r="G1223" s="297"/>
      <c r="H1223" s="297"/>
      <c r="J1223" s="297"/>
      <c r="L1223" s="312"/>
      <c r="N1223" s="297"/>
    </row>
    <row r="1224" spans="1:14" ht="15" customHeight="1" x14ac:dyDescent="0.25">
      <c r="A1224" s="497"/>
      <c r="C1224" s="404"/>
      <c r="E1224" s="308"/>
      <c r="G1224" s="297"/>
      <c r="H1224" s="297"/>
      <c r="J1224" s="297"/>
      <c r="L1224" s="312"/>
      <c r="N1224" s="297"/>
    </row>
    <row r="1225" spans="1:14" ht="15" customHeight="1" x14ac:dyDescent="0.25">
      <c r="A1225" s="497"/>
      <c r="C1225" s="404"/>
      <c r="E1225" s="308"/>
      <c r="G1225" s="297"/>
      <c r="H1225" s="297"/>
      <c r="J1225" s="297"/>
      <c r="L1225" s="312"/>
      <c r="N1225" s="297"/>
    </row>
    <row r="1226" spans="1:14" ht="15" customHeight="1" x14ac:dyDescent="0.25">
      <c r="A1226" s="497"/>
      <c r="C1226" s="404"/>
      <c r="E1226" s="308"/>
      <c r="G1226" s="297"/>
      <c r="H1226" s="297"/>
      <c r="J1226" s="297"/>
      <c r="L1226" s="312"/>
      <c r="N1226" s="297"/>
    </row>
    <row r="1227" spans="1:14" ht="15" customHeight="1" x14ac:dyDescent="0.25">
      <c r="A1227" s="497"/>
      <c r="C1227" s="404"/>
      <c r="E1227" s="308"/>
      <c r="G1227" s="297"/>
      <c r="H1227" s="297"/>
      <c r="J1227" s="297"/>
      <c r="L1227" s="312"/>
      <c r="N1227" s="297"/>
    </row>
    <row r="1228" spans="1:14" ht="15" customHeight="1" x14ac:dyDescent="0.25">
      <c r="A1228" s="497"/>
      <c r="C1228" s="404"/>
      <c r="E1228" s="308"/>
      <c r="G1228" s="297"/>
      <c r="H1228" s="297"/>
      <c r="J1228" s="297"/>
      <c r="L1228" s="312"/>
      <c r="N1228" s="297"/>
    </row>
    <row r="1229" spans="1:14" ht="15" customHeight="1" x14ac:dyDescent="0.25">
      <c r="A1229" s="497"/>
      <c r="C1229" s="404"/>
      <c r="E1229" s="308"/>
      <c r="G1229" s="297"/>
      <c r="H1229" s="297"/>
      <c r="J1229" s="297"/>
      <c r="L1229" s="312"/>
      <c r="N1229" s="297"/>
    </row>
    <row r="1230" spans="1:14" ht="15" customHeight="1" x14ac:dyDescent="0.25">
      <c r="A1230" s="497"/>
      <c r="C1230" s="404"/>
      <c r="E1230" s="308"/>
      <c r="G1230" s="297"/>
      <c r="H1230" s="297"/>
      <c r="J1230" s="297"/>
      <c r="L1230" s="312"/>
      <c r="N1230" s="297"/>
    </row>
    <row r="1231" spans="1:14" ht="15" customHeight="1" x14ac:dyDescent="0.25">
      <c r="A1231" s="497"/>
      <c r="C1231" s="404"/>
      <c r="E1231" s="308"/>
      <c r="G1231" s="297"/>
      <c r="H1231" s="297"/>
      <c r="J1231" s="297"/>
      <c r="L1231" s="312"/>
      <c r="N1231" s="297"/>
    </row>
    <row r="1232" spans="1:14" ht="15" customHeight="1" x14ac:dyDescent="0.25">
      <c r="A1232" s="497"/>
      <c r="C1232" s="404"/>
      <c r="E1232" s="308"/>
      <c r="G1232" s="297"/>
      <c r="H1232" s="297"/>
      <c r="J1232" s="297"/>
      <c r="L1232" s="312"/>
      <c r="N1232" s="297"/>
    </row>
    <row r="1233" spans="1:14" ht="15" customHeight="1" x14ac:dyDescent="0.25">
      <c r="A1233" s="497"/>
      <c r="C1233" s="404"/>
      <c r="E1233" s="308"/>
      <c r="G1233" s="297"/>
      <c r="H1233" s="297"/>
      <c r="J1233" s="297"/>
      <c r="L1233" s="312"/>
      <c r="N1233" s="297"/>
    </row>
    <row r="1234" spans="1:14" ht="15" customHeight="1" x14ac:dyDescent="0.25">
      <c r="A1234" s="497"/>
      <c r="C1234" s="404"/>
      <c r="E1234" s="308"/>
      <c r="G1234" s="297"/>
      <c r="H1234" s="297"/>
      <c r="J1234" s="297"/>
      <c r="L1234" s="312"/>
      <c r="N1234" s="297"/>
    </row>
    <row r="1235" spans="1:14" ht="15" customHeight="1" x14ac:dyDescent="0.25">
      <c r="A1235" s="497"/>
      <c r="C1235" s="404"/>
      <c r="E1235" s="308"/>
      <c r="G1235" s="297"/>
      <c r="H1235" s="297"/>
      <c r="J1235" s="297"/>
      <c r="L1235" s="312"/>
      <c r="N1235" s="297"/>
    </row>
    <row r="1236" spans="1:14" ht="15" customHeight="1" x14ac:dyDescent="0.25">
      <c r="A1236" s="497"/>
      <c r="C1236" s="404"/>
      <c r="E1236" s="308"/>
      <c r="G1236" s="297"/>
      <c r="H1236" s="297"/>
      <c r="J1236" s="297"/>
      <c r="L1236" s="312"/>
      <c r="N1236" s="297"/>
    </row>
    <row r="1237" spans="1:14" ht="15" customHeight="1" x14ac:dyDescent="0.25">
      <c r="A1237" s="497"/>
      <c r="C1237" s="404"/>
      <c r="E1237" s="308"/>
      <c r="G1237" s="297"/>
      <c r="H1237" s="297"/>
      <c r="J1237" s="297"/>
      <c r="L1237" s="312"/>
      <c r="N1237" s="297"/>
    </row>
    <row r="1238" spans="1:14" ht="15" customHeight="1" x14ac:dyDescent="0.25">
      <c r="A1238" s="497"/>
      <c r="C1238" s="404"/>
      <c r="E1238" s="308"/>
      <c r="G1238" s="297"/>
      <c r="H1238" s="297"/>
      <c r="J1238" s="297"/>
      <c r="L1238" s="312"/>
      <c r="N1238" s="297"/>
    </row>
    <row r="1239" spans="1:14" ht="15" customHeight="1" x14ac:dyDescent="0.25">
      <c r="A1239" s="497"/>
      <c r="C1239" s="404"/>
      <c r="E1239" s="308"/>
      <c r="G1239" s="297"/>
      <c r="H1239" s="297"/>
      <c r="J1239" s="297"/>
      <c r="L1239" s="312"/>
      <c r="N1239" s="297"/>
    </row>
    <row r="1240" spans="1:14" ht="15" customHeight="1" x14ac:dyDescent="0.25">
      <c r="A1240" s="497"/>
      <c r="C1240" s="404"/>
      <c r="E1240" s="308"/>
      <c r="G1240" s="297"/>
      <c r="H1240" s="297"/>
      <c r="J1240" s="297"/>
      <c r="L1240" s="312"/>
      <c r="N1240" s="297"/>
    </row>
    <row r="1241" spans="1:14" ht="15" customHeight="1" x14ac:dyDescent="0.25">
      <c r="A1241" s="497"/>
      <c r="C1241" s="404"/>
      <c r="E1241" s="308"/>
      <c r="G1241" s="297"/>
      <c r="H1241" s="297"/>
      <c r="J1241" s="297"/>
      <c r="L1241" s="312"/>
      <c r="N1241" s="297"/>
    </row>
    <row r="1242" spans="1:14" ht="15" customHeight="1" x14ac:dyDescent="0.25">
      <c r="A1242" s="497"/>
      <c r="C1242" s="404"/>
      <c r="E1242" s="308"/>
      <c r="G1242" s="297"/>
      <c r="H1242" s="297"/>
      <c r="J1242" s="297"/>
      <c r="L1242" s="312"/>
      <c r="N1242" s="297"/>
    </row>
    <row r="1243" spans="1:14" ht="15" customHeight="1" x14ac:dyDescent="0.25">
      <c r="A1243" s="497"/>
      <c r="C1243" s="404"/>
      <c r="E1243" s="308"/>
      <c r="G1243" s="297"/>
      <c r="H1243" s="297"/>
      <c r="J1243" s="297"/>
      <c r="L1243" s="312"/>
      <c r="N1243" s="297"/>
    </row>
    <row r="1244" spans="1:14" ht="15" customHeight="1" x14ac:dyDescent="0.25">
      <c r="A1244" s="497"/>
      <c r="C1244" s="404"/>
      <c r="E1244" s="308"/>
      <c r="G1244" s="297"/>
      <c r="H1244" s="297"/>
      <c r="J1244" s="297"/>
      <c r="L1244" s="312"/>
      <c r="N1244" s="297"/>
    </row>
    <row r="1245" spans="1:14" ht="15" customHeight="1" x14ac:dyDescent="0.25">
      <c r="A1245" s="497"/>
      <c r="C1245" s="404"/>
      <c r="E1245" s="308"/>
      <c r="G1245" s="297"/>
      <c r="H1245" s="297"/>
      <c r="J1245" s="297"/>
      <c r="L1245" s="312"/>
      <c r="N1245" s="297"/>
    </row>
    <row r="1246" spans="1:14" ht="15" customHeight="1" x14ac:dyDescent="0.25">
      <c r="A1246" s="497"/>
      <c r="C1246" s="404"/>
      <c r="E1246" s="308"/>
      <c r="G1246" s="297"/>
      <c r="H1246" s="297"/>
      <c r="J1246" s="297"/>
      <c r="L1246" s="312"/>
      <c r="N1246" s="297"/>
    </row>
    <row r="1247" spans="1:14" ht="15" customHeight="1" x14ac:dyDescent="0.25">
      <c r="A1247" s="497"/>
      <c r="C1247" s="404"/>
      <c r="E1247" s="308"/>
      <c r="G1247" s="297"/>
      <c r="H1247" s="297"/>
      <c r="J1247" s="297"/>
      <c r="L1247" s="312"/>
      <c r="N1247" s="297"/>
    </row>
    <row r="1248" spans="1:14" ht="15" customHeight="1" x14ac:dyDescent="0.25">
      <c r="A1248" s="497"/>
      <c r="C1248" s="404"/>
      <c r="E1248" s="308"/>
      <c r="G1248" s="297"/>
      <c r="H1248" s="297"/>
      <c r="J1248" s="297"/>
      <c r="L1248" s="312"/>
      <c r="N1248" s="297"/>
    </row>
    <row r="1249" spans="1:14" ht="15" customHeight="1" x14ac:dyDescent="0.25">
      <c r="A1249" s="497"/>
      <c r="C1249" s="404"/>
      <c r="E1249" s="308"/>
      <c r="G1249" s="297"/>
      <c r="H1249" s="297"/>
      <c r="J1249" s="297"/>
      <c r="L1249" s="312"/>
      <c r="N1249" s="297"/>
    </row>
    <row r="1250" spans="1:14" ht="15" customHeight="1" x14ac:dyDescent="0.25">
      <c r="A1250" s="497"/>
      <c r="C1250" s="404"/>
      <c r="E1250" s="308"/>
      <c r="G1250" s="297"/>
      <c r="H1250" s="297"/>
      <c r="J1250" s="297"/>
      <c r="L1250" s="312"/>
      <c r="N1250" s="297"/>
    </row>
    <row r="1251" spans="1:14" ht="15" customHeight="1" x14ac:dyDescent="0.25">
      <c r="A1251" s="497"/>
      <c r="C1251" s="404"/>
      <c r="E1251" s="308"/>
      <c r="G1251" s="297"/>
      <c r="H1251" s="297"/>
      <c r="J1251" s="297"/>
      <c r="L1251" s="312"/>
      <c r="N1251" s="297"/>
    </row>
    <row r="1252" spans="1:14" ht="15" customHeight="1" x14ac:dyDescent="0.25">
      <c r="A1252" s="497"/>
      <c r="C1252" s="404"/>
      <c r="E1252" s="308"/>
      <c r="G1252" s="297"/>
      <c r="H1252" s="297"/>
      <c r="J1252" s="297"/>
      <c r="L1252" s="312"/>
      <c r="N1252" s="297"/>
    </row>
    <row r="1253" spans="1:14" ht="15" customHeight="1" x14ac:dyDescent="0.25">
      <c r="A1253" s="497"/>
      <c r="C1253" s="404"/>
      <c r="E1253" s="308"/>
      <c r="G1253" s="297"/>
      <c r="H1253" s="297"/>
      <c r="J1253" s="297"/>
      <c r="L1253" s="312"/>
      <c r="N1253" s="297"/>
    </row>
    <row r="1254" spans="1:14" ht="15" customHeight="1" x14ac:dyDescent="0.25">
      <c r="A1254" s="497"/>
      <c r="C1254" s="404"/>
      <c r="E1254" s="308"/>
      <c r="G1254" s="297"/>
      <c r="H1254" s="297"/>
      <c r="J1254" s="297"/>
      <c r="L1254" s="312"/>
      <c r="N1254" s="297"/>
    </row>
    <row r="1255" spans="1:14" ht="15" customHeight="1" x14ac:dyDescent="0.25">
      <c r="A1255" s="497"/>
      <c r="C1255" s="404"/>
      <c r="E1255" s="308"/>
      <c r="G1255" s="297"/>
      <c r="H1255" s="297"/>
      <c r="J1255" s="297"/>
      <c r="L1255" s="312"/>
      <c r="N1255" s="297"/>
    </row>
    <row r="1256" spans="1:14" ht="15" customHeight="1" x14ac:dyDescent="0.25">
      <c r="A1256" s="497"/>
      <c r="C1256" s="404"/>
      <c r="E1256" s="308"/>
      <c r="G1256" s="297"/>
      <c r="H1256" s="297"/>
      <c r="J1256" s="297"/>
      <c r="L1256" s="312"/>
      <c r="N1256" s="297"/>
    </row>
    <row r="1257" spans="1:14" ht="15" customHeight="1" x14ac:dyDescent="0.25">
      <c r="A1257" s="497"/>
      <c r="C1257" s="404"/>
      <c r="E1257" s="308"/>
      <c r="G1257" s="297"/>
      <c r="H1257" s="297"/>
      <c r="J1257" s="297"/>
      <c r="L1257" s="312"/>
      <c r="N1257" s="297"/>
    </row>
    <row r="1258" spans="1:14" ht="15" customHeight="1" x14ac:dyDescent="0.25">
      <c r="A1258" s="497"/>
      <c r="C1258" s="404"/>
      <c r="E1258" s="308"/>
      <c r="G1258" s="297"/>
      <c r="H1258" s="297"/>
      <c r="J1258" s="297"/>
      <c r="L1258" s="312"/>
      <c r="N1258" s="297"/>
    </row>
    <row r="1259" spans="1:14" ht="15" customHeight="1" x14ac:dyDescent="0.25">
      <c r="A1259" s="497"/>
      <c r="C1259" s="404"/>
      <c r="E1259" s="308"/>
      <c r="G1259" s="297"/>
      <c r="H1259" s="297"/>
      <c r="J1259" s="297"/>
      <c r="L1259" s="312"/>
      <c r="N1259" s="297"/>
    </row>
    <row r="1260" spans="1:14" ht="15" customHeight="1" x14ac:dyDescent="0.25">
      <c r="A1260" s="497"/>
      <c r="C1260" s="404"/>
      <c r="E1260" s="308"/>
      <c r="G1260" s="297"/>
      <c r="H1260" s="297"/>
      <c r="J1260" s="297"/>
      <c r="L1260" s="312"/>
      <c r="N1260" s="297"/>
    </row>
    <row r="1261" spans="1:14" ht="15" customHeight="1" x14ac:dyDescent="0.25">
      <c r="A1261" s="497"/>
      <c r="C1261" s="404"/>
      <c r="E1261" s="308"/>
      <c r="G1261" s="297"/>
      <c r="H1261" s="297"/>
      <c r="J1261" s="297"/>
      <c r="L1261" s="312"/>
      <c r="N1261" s="297"/>
    </row>
    <row r="1262" spans="1:14" ht="15" customHeight="1" x14ac:dyDescent="0.25">
      <c r="A1262" s="497"/>
      <c r="C1262" s="404"/>
      <c r="E1262" s="308"/>
      <c r="G1262" s="297"/>
      <c r="H1262" s="297"/>
      <c r="J1262" s="297"/>
      <c r="L1262" s="312"/>
      <c r="N1262" s="297"/>
    </row>
    <row r="1263" spans="1:14" ht="15" customHeight="1" x14ac:dyDescent="0.25">
      <c r="A1263" s="497"/>
      <c r="C1263" s="404"/>
      <c r="E1263" s="308"/>
      <c r="G1263" s="297"/>
      <c r="H1263" s="297"/>
      <c r="J1263" s="297"/>
      <c r="L1263" s="312"/>
      <c r="N1263" s="297"/>
    </row>
    <row r="1264" spans="1:14" ht="15" customHeight="1" x14ac:dyDescent="0.25">
      <c r="A1264" s="497"/>
      <c r="C1264" s="404"/>
      <c r="E1264" s="308"/>
      <c r="G1264" s="297"/>
      <c r="H1264" s="297"/>
      <c r="J1264" s="297"/>
      <c r="L1264" s="312"/>
      <c r="N1264" s="297"/>
    </row>
    <row r="1265" spans="1:14" ht="15" customHeight="1" x14ac:dyDescent="0.25">
      <c r="A1265" s="497"/>
      <c r="C1265" s="404"/>
      <c r="E1265" s="308"/>
      <c r="G1265" s="297"/>
      <c r="H1265" s="297"/>
      <c r="J1265" s="297"/>
      <c r="L1265" s="312"/>
      <c r="N1265" s="297"/>
    </row>
    <row r="1266" spans="1:14" ht="15" customHeight="1" x14ac:dyDescent="0.25">
      <c r="A1266" s="497"/>
      <c r="C1266" s="404"/>
      <c r="E1266" s="308"/>
      <c r="G1266" s="297"/>
      <c r="H1266" s="297"/>
      <c r="J1266" s="297"/>
      <c r="L1266" s="312"/>
      <c r="N1266" s="297"/>
    </row>
    <row r="1267" spans="1:14" ht="15" customHeight="1" x14ac:dyDescent="0.25">
      <c r="A1267" s="497"/>
      <c r="C1267" s="404"/>
      <c r="E1267" s="308"/>
      <c r="G1267" s="297"/>
      <c r="H1267" s="297"/>
      <c r="J1267" s="297"/>
      <c r="L1267" s="312"/>
      <c r="N1267" s="297"/>
    </row>
    <row r="1268" spans="1:14" ht="15" customHeight="1" x14ac:dyDescent="0.25">
      <c r="A1268" s="497"/>
      <c r="C1268" s="404"/>
      <c r="E1268" s="308"/>
      <c r="G1268" s="297"/>
      <c r="H1268" s="297"/>
      <c r="J1268" s="297"/>
      <c r="L1268" s="312"/>
      <c r="N1268" s="297"/>
    </row>
    <row r="1269" spans="1:14" ht="15" customHeight="1" x14ac:dyDescent="0.25">
      <c r="A1269" s="497"/>
      <c r="C1269" s="404"/>
      <c r="E1269" s="308"/>
      <c r="G1269" s="297"/>
      <c r="H1269" s="297"/>
      <c r="J1269" s="297"/>
      <c r="L1269" s="312"/>
      <c r="N1269" s="297"/>
    </row>
    <row r="1270" spans="1:14" ht="15" customHeight="1" x14ac:dyDescent="0.25">
      <c r="A1270" s="497"/>
      <c r="C1270" s="404"/>
      <c r="E1270" s="308"/>
      <c r="G1270" s="297"/>
      <c r="H1270" s="297"/>
      <c r="J1270" s="297"/>
      <c r="L1270" s="312"/>
      <c r="N1270" s="297"/>
    </row>
    <row r="1271" spans="1:14" ht="15" customHeight="1" x14ac:dyDescent="0.25">
      <c r="A1271" s="497"/>
      <c r="C1271" s="404"/>
      <c r="E1271" s="308"/>
      <c r="G1271" s="297"/>
      <c r="H1271" s="297"/>
      <c r="J1271" s="297"/>
      <c r="L1271" s="312"/>
      <c r="N1271" s="297"/>
    </row>
    <row r="1272" spans="1:14" ht="15" customHeight="1" x14ac:dyDescent="0.25">
      <c r="A1272" s="497"/>
      <c r="C1272" s="404"/>
      <c r="E1272" s="308"/>
      <c r="G1272" s="297"/>
      <c r="H1272" s="297"/>
      <c r="J1272" s="297"/>
      <c r="L1272" s="312"/>
      <c r="N1272" s="297"/>
    </row>
    <row r="1273" spans="1:14" ht="15" customHeight="1" x14ac:dyDescent="0.25">
      <c r="A1273" s="497"/>
      <c r="C1273" s="404"/>
      <c r="E1273" s="308"/>
      <c r="G1273" s="297"/>
      <c r="H1273" s="297"/>
      <c r="J1273" s="297"/>
      <c r="L1273" s="312"/>
      <c r="N1273" s="297"/>
    </row>
    <row r="1274" spans="1:14" ht="15" customHeight="1" x14ac:dyDescent="0.25">
      <c r="A1274" s="497"/>
      <c r="C1274" s="404"/>
      <c r="E1274" s="308"/>
      <c r="G1274" s="297"/>
      <c r="H1274" s="297"/>
      <c r="J1274" s="297"/>
      <c r="L1274" s="312"/>
      <c r="N1274" s="297"/>
    </row>
    <row r="1275" spans="1:14" ht="15" customHeight="1" x14ac:dyDescent="0.25">
      <c r="A1275" s="497"/>
      <c r="C1275" s="404"/>
      <c r="E1275" s="308"/>
      <c r="G1275" s="297"/>
      <c r="H1275" s="297"/>
      <c r="J1275" s="297"/>
      <c r="L1275" s="312"/>
      <c r="N1275" s="297"/>
    </row>
    <row r="1276" spans="1:14" ht="15" customHeight="1" x14ac:dyDescent="0.25">
      <c r="A1276" s="497"/>
      <c r="C1276" s="404"/>
      <c r="E1276" s="308"/>
      <c r="G1276" s="297"/>
      <c r="H1276" s="297"/>
      <c r="J1276" s="297"/>
      <c r="L1276" s="312"/>
      <c r="N1276" s="297"/>
    </row>
    <row r="1277" spans="1:14" ht="15" customHeight="1" x14ac:dyDescent="0.25">
      <c r="A1277" s="497"/>
      <c r="C1277" s="404"/>
      <c r="E1277" s="308"/>
      <c r="G1277" s="297"/>
      <c r="H1277" s="297"/>
      <c r="J1277" s="297"/>
      <c r="L1277" s="312"/>
      <c r="N1277" s="297"/>
    </row>
    <row r="1278" spans="1:14" ht="15" customHeight="1" x14ac:dyDescent="0.25">
      <c r="A1278" s="497"/>
      <c r="C1278" s="404"/>
      <c r="E1278" s="308"/>
      <c r="G1278" s="297"/>
      <c r="H1278" s="297"/>
      <c r="J1278" s="297"/>
      <c r="L1278" s="312"/>
      <c r="N1278" s="297"/>
    </row>
    <row r="1279" spans="1:14" ht="15" customHeight="1" x14ac:dyDescent="0.25">
      <c r="A1279" s="497"/>
      <c r="C1279" s="404"/>
      <c r="E1279" s="308"/>
      <c r="G1279" s="297"/>
      <c r="H1279" s="297"/>
      <c r="J1279" s="297"/>
      <c r="L1279" s="312"/>
      <c r="N1279" s="297"/>
    </row>
    <row r="1280" spans="1:14" ht="15" customHeight="1" x14ac:dyDescent="0.25">
      <c r="A1280" s="497"/>
      <c r="C1280" s="404"/>
      <c r="E1280" s="308"/>
      <c r="G1280" s="297"/>
      <c r="H1280" s="297"/>
      <c r="J1280" s="297"/>
      <c r="L1280" s="312"/>
      <c r="N1280" s="297"/>
    </row>
    <row r="1281" spans="1:14" ht="15" customHeight="1" x14ac:dyDescent="0.25">
      <c r="A1281" s="497"/>
      <c r="C1281" s="404"/>
      <c r="E1281" s="308"/>
      <c r="G1281" s="297"/>
      <c r="H1281" s="297"/>
      <c r="J1281" s="297"/>
      <c r="L1281" s="312"/>
      <c r="N1281" s="297"/>
    </row>
    <row r="1282" spans="1:14" ht="15" customHeight="1" x14ac:dyDescent="0.25">
      <c r="A1282" s="497"/>
      <c r="C1282" s="404"/>
      <c r="E1282" s="308"/>
      <c r="G1282" s="297"/>
      <c r="H1282" s="297"/>
      <c r="J1282" s="297"/>
      <c r="L1282" s="312"/>
      <c r="N1282" s="297"/>
    </row>
    <row r="1283" spans="1:14" ht="15" customHeight="1" x14ac:dyDescent="0.25">
      <c r="A1283" s="497"/>
      <c r="C1283" s="404"/>
      <c r="E1283" s="308"/>
      <c r="G1283" s="297"/>
      <c r="H1283" s="297"/>
      <c r="J1283" s="297"/>
      <c r="L1283" s="312"/>
      <c r="N1283" s="297"/>
    </row>
    <row r="1284" spans="1:14" ht="15" customHeight="1" x14ac:dyDescent="0.25">
      <c r="A1284" s="497"/>
      <c r="C1284" s="404"/>
      <c r="E1284" s="308"/>
      <c r="G1284" s="297"/>
      <c r="H1284" s="297"/>
      <c r="J1284" s="297"/>
      <c r="L1284" s="312"/>
      <c r="N1284" s="297"/>
    </row>
    <row r="1285" spans="1:14" ht="15" customHeight="1" x14ac:dyDescent="0.25">
      <c r="A1285" s="497"/>
      <c r="C1285" s="404"/>
      <c r="E1285" s="308"/>
      <c r="G1285" s="297"/>
      <c r="H1285" s="297"/>
      <c r="J1285" s="297"/>
      <c r="L1285" s="312"/>
      <c r="N1285" s="297"/>
    </row>
    <row r="1286" spans="1:14" ht="15" customHeight="1" x14ac:dyDescent="0.25">
      <c r="A1286" s="497"/>
      <c r="C1286" s="404"/>
      <c r="E1286" s="308"/>
      <c r="G1286" s="297"/>
      <c r="H1286" s="297"/>
      <c r="J1286" s="297"/>
      <c r="L1286" s="312"/>
      <c r="N1286" s="297"/>
    </row>
    <row r="1287" spans="1:14" ht="15" customHeight="1" x14ac:dyDescent="0.25">
      <c r="A1287" s="497"/>
      <c r="C1287" s="404"/>
      <c r="E1287" s="308"/>
      <c r="G1287" s="297"/>
      <c r="H1287" s="297"/>
      <c r="J1287" s="297"/>
      <c r="L1287" s="312"/>
      <c r="N1287" s="297"/>
    </row>
    <row r="1288" spans="1:14" ht="15" customHeight="1" x14ac:dyDescent="0.25">
      <c r="A1288" s="497"/>
      <c r="C1288" s="404"/>
      <c r="E1288" s="308"/>
      <c r="G1288" s="297"/>
      <c r="H1288" s="297"/>
      <c r="J1288" s="297"/>
      <c r="L1288" s="312"/>
      <c r="N1288" s="297"/>
    </row>
    <row r="1289" spans="1:14" ht="15" customHeight="1" x14ac:dyDescent="0.25">
      <c r="A1289" s="497"/>
      <c r="C1289" s="404"/>
      <c r="E1289" s="308"/>
      <c r="G1289" s="297"/>
      <c r="H1289" s="297"/>
      <c r="J1289" s="297"/>
      <c r="L1289" s="312"/>
      <c r="N1289" s="297"/>
    </row>
    <row r="1290" spans="1:14" ht="15" customHeight="1" x14ac:dyDescent="0.25">
      <c r="A1290" s="497"/>
      <c r="C1290" s="404"/>
      <c r="E1290" s="308"/>
      <c r="G1290" s="297"/>
      <c r="H1290" s="297"/>
      <c r="J1290" s="297"/>
      <c r="L1290" s="312"/>
      <c r="N1290" s="297"/>
    </row>
    <row r="1291" spans="1:14" ht="15" customHeight="1" x14ac:dyDescent="0.25">
      <c r="A1291" s="497"/>
      <c r="C1291" s="404"/>
      <c r="E1291" s="308"/>
      <c r="G1291" s="297"/>
      <c r="H1291" s="297"/>
      <c r="J1291" s="297"/>
      <c r="L1291" s="312"/>
      <c r="N1291" s="297"/>
    </row>
    <row r="1292" spans="1:14" ht="15" customHeight="1" x14ac:dyDescent="0.25">
      <c r="A1292" s="497"/>
      <c r="C1292" s="404"/>
      <c r="E1292" s="308"/>
      <c r="G1292" s="297"/>
      <c r="H1292" s="297"/>
      <c r="J1292" s="297"/>
      <c r="L1292" s="312"/>
      <c r="N1292" s="297"/>
    </row>
    <row r="1293" spans="1:14" ht="15" customHeight="1" x14ac:dyDescent="0.25">
      <c r="A1293" s="497"/>
      <c r="C1293" s="404"/>
      <c r="E1293" s="308"/>
      <c r="G1293" s="297"/>
      <c r="H1293" s="297"/>
      <c r="J1293" s="297"/>
      <c r="L1293" s="312"/>
      <c r="N1293" s="297"/>
    </row>
    <row r="1294" spans="1:14" ht="15" customHeight="1" x14ac:dyDescent="0.25">
      <c r="A1294" s="497"/>
      <c r="C1294" s="404"/>
      <c r="E1294" s="308"/>
      <c r="G1294" s="297"/>
      <c r="H1294" s="297"/>
      <c r="J1294" s="297"/>
      <c r="L1294" s="312"/>
      <c r="N1294" s="297"/>
    </row>
    <row r="1295" spans="1:14" ht="15" customHeight="1" x14ac:dyDescent="0.25">
      <c r="A1295" s="497"/>
      <c r="C1295" s="404"/>
      <c r="E1295" s="308"/>
      <c r="G1295" s="297"/>
      <c r="H1295" s="297"/>
      <c r="J1295" s="297"/>
      <c r="L1295" s="312"/>
      <c r="N1295" s="297"/>
    </row>
    <row r="1296" spans="1:14" ht="15" customHeight="1" x14ac:dyDescent="0.25">
      <c r="A1296" s="497"/>
      <c r="C1296" s="404"/>
      <c r="E1296" s="308"/>
      <c r="G1296" s="297"/>
      <c r="H1296" s="297"/>
      <c r="J1296" s="297"/>
      <c r="L1296" s="312"/>
      <c r="N1296" s="297"/>
    </row>
    <row r="1297" spans="1:14" ht="15" customHeight="1" x14ac:dyDescent="0.25">
      <c r="A1297" s="497"/>
      <c r="C1297" s="404"/>
      <c r="E1297" s="308"/>
      <c r="G1297" s="297"/>
      <c r="H1297" s="297"/>
      <c r="J1297" s="297"/>
      <c r="L1297" s="312"/>
      <c r="N1297" s="297"/>
    </row>
    <row r="1298" spans="1:14" ht="15" customHeight="1" x14ac:dyDescent="0.25">
      <c r="A1298" s="497"/>
      <c r="C1298" s="404"/>
      <c r="E1298" s="308"/>
      <c r="G1298" s="297"/>
      <c r="H1298" s="297"/>
      <c r="J1298" s="297"/>
      <c r="L1298" s="312"/>
      <c r="N1298" s="297"/>
    </row>
    <row r="1299" spans="1:14" ht="15" customHeight="1" x14ac:dyDescent="0.25">
      <c r="A1299" s="497"/>
      <c r="C1299" s="404"/>
      <c r="E1299" s="308"/>
      <c r="G1299" s="297"/>
      <c r="H1299" s="297"/>
      <c r="J1299" s="297"/>
      <c r="L1299" s="312"/>
      <c r="N1299" s="297"/>
    </row>
    <row r="1300" spans="1:14" ht="15" customHeight="1" x14ac:dyDescent="0.25">
      <c r="A1300" s="497"/>
      <c r="C1300" s="404"/>
      <c r="E1300" s="308"/>
      <c r="G1300" s="297"/>
      <c r="H1300" s="297"/>
      <c r="J1300" s="297"/>
      <c r="L1300" s="312"/>
      <c r="N1300" s="297"/>
    </row>
    <row r="1301" spans="1:14" ht="15" customHeight="1" x14ac:dyDescent="0.25">
      <c r="A1301" s="497"/>
      <c r="C1301" s="404"/>
      <c r="E1301" s="308"/>
      <c r="G1301" s="297"/>
      <c r="H1301" s="297"/>
      <c r="J1301" s="297"/>
      <c r="L1301" s="312"/>
      <c r="N1301" s="297"/>
    </row>
    <row r="1302" spans="1:14" ht="15" customHeight="1" x14ac:dyDescent="0.25">
      <c r="A1302" s="497"/>
      <c r="C1302" s="404"/>
      <c r="E1302" s="308"/>
      <c r="G1302" s="297"/>
      <c r="H1302" s="297"/>
      <c r="J1302" s="297"/>
      <c r="L1302" s="312"/>
      <c r="N1302" s="297"/>
    </row>
    <row r="1303" spans="1:14" ht="15" customHeight="1" x14ac:dyDescent="0.25">
      <c r="A1303" s="497"/>
      <c r="C1303" s="404"/>
      <c r="E1303" s="308"/>
      <c r="G1303" s="297"/>
      <c r="H1303" s="297"/>
      <c r="J1303" s="297"/>
      <c r="L1303" s="312"/>
      <c r="N1303" s="297"/>
    </row>
    <row r="1304" spans="1:14" ht="15" customHeight="1" x14ac:dyDescent="0.25">
      <c r="A1304" s="497"/>
      <c r="C1304" s="404"/>
      <c r="E1304" s="308"/>
      <c r="G1304" s="297"/>
      <c r="H1304" s="297"/>
      <c r="J1304" s="297"/>
      <c r="L1304" s="312"/>
      <c r="N1304" s="297"/>
    </row>
    <row r="1305" spans="1:14" ht="15" customHeight="1" x14ac:dyDescent="0.25">
      <c r="A1305" s="497"/>
      <c r="C1305" s="404"/>
      <c r="E1305" s="308"/>
      <c r="G1305" s="297"/>
      <c r="H1305" s="297"/>
      <c r="J1305" s="297"/>
      <c r="L1305" s="312"/>
      <c r="N1305" s="297"/>
    </row>
    <row r="1306" spans="1:14" ht="15" customHeight="1" x14ac:dyDescent="0.25">
      <c r="A1306" s="497"/>
      <c r="C1306" s="404"/>
      <c r="E1306" s="308"/>
      <c r="G1306" s="297"/>
      <c r="H1306" s="297"/>
      <c r="J1306" s="297"/>
      <c r="L1306" s="312"/>
      <c r="N1306" s="297"/>
    </row>
    <row r="1307" spans="1:14" ht="15" customHeight="1" x14ac:dyDescent="0.25">
      <c r="A1307" s="497"/>
      <c r="C1307" s="404"/>
      <c r="E1307" s="308"/>
      <c r="G1307" s="297"/>
      <c r="H1307" s="297"/>
      <c r="J1307" s="297"/>
      <c r="L1307" s="312"/>
      <c r="N1307" s="297"/>
    </row>
    <row r="1308" spans="1:14" ht="15" customHeight="1" x14ac:dyDescent="0.25">
      <c r="A1308" s="497"/>
      <c r="C1308" s="404"/>
      <c r="E1308" s="308"/>
      <c r="G1308" s="297"/>
      <c r="H1308" s="297"/>
      <c r="J1308" s="297"/>
      <c r="L1308" s="312"/>
      <c r="N1308" s="297"/>
    </row>
    <row r="1309" spans="1:14" ht="15" customHeight="1" x14ac:dyDescent="0.25">
      <c r="A1309" s="497"/>
      <c r="C1309" s="404"/>
      <c r="E1309" s="308"/>
      <c r="G1309" s="297"/>
      <c r="H1309" s="297"/>
      <c r="J1309" s="297"/>
      <c r="L1309" s="312"/>
      <c r="N1309" s="297"/>
    </row>
    <row r="1310" spans="1:14" ht="15" customHeight="1" x14ac:dyDescent="0.25">
      <c r="A1310" s="497"/>
      <c r="C1310" s="404"/>
      <c r="E1310" s="308"/>
      <c r="G1310" s="297"/>
      <c r="H1310" s="297"/>
      <c r="J1310" s="297"/>
      <c r="L1310" s="312"/>
      <c r="N1310" s="297"/>
    </row>
    <row r="1311" spans="1:14" ht="15" customHeight="1" x14ac:dyDescent="0.25">
      <c r="A1311" s="497"/>
      <c r="C1311" s="404"/>
      <c r="E1311" s="308"/>
      <c r="G1311" s="297"/>
      <c r="H1311" s="297"/>
      <c r="J1311" s="297"/>
      <c r="L1311" s="312"/>
      <c r="N1311" s="297"/>
    </row>
    <row r="1312" spans="1:14" ht="15" customHeight="1" x14ac:dyDescent="0.25">
      <c r="A1312" s="497"/>
      <c r="C1312" s="404"/>
      <c r="E1312" s="308"/>
      <c r="G1312" s="297"/>
      <c r="H1312" s="297"/>
      <c r="J1312" s="297"/>
      <c r="L1312" s="312"/>
      <c r="N1312" s="297"/>
    </row>
    <row r="1313" spans="1:14" ht="15" customHeight="1" x14ac:dyDescent="0.25">
      <c r="A1313" s="497"/>
      <c r="C1313" s="404"/>
      <c r="E1313" s="308"/>
      <c r="G1313" s="297"/>
      <c r="H1313" s="297"/>
      <c r="J1313" s="297"/>
      <c r="L1313" s="312"/>
      <c r="N1313" s="297"/>
    </row>
    <row r="1314" spans="1:14" ht="15" customHeight="1" x14ac:dyDescent="0.25">
      <c r="A1314" s="497"/>
      <c r="C1314" s="404"/>
      <c r="E1314" s="308"/>
      <c r="G1314" s="297"/>
      <c r="H1314" s="297"/>
      <c r="J1314" s="297"/>
      <c r="L1314" s="312"/>
      <c r="N1314" s="297"/>
    </row>
    <row r="1315" spans="1:14" ht="15" customHeight="1" x14ac:dyDescent="0.25">
      <c r="A1315" s="497"/>
      <c r="C1315" s="404"/>
      <c r="E1315" s="308"/>
      <c r="G1315" s="297"/>
      <c r="H1315" s="297"/>
      <c r="J1315" s="297"/>
      <c r="L1315" s="312"/>
      <c r="N1315" s="297"/>
    </row>
    <row r="1316" spans="1:14" ht="15" customHeight="1" x14ac:dyDescent="0.25">
      <c r="A1316" s="497"/>
      <c r="C1316" s="404"/>
      <c r="E1316" s="308"/>
      <c r="G1316" s="297"/>
      <c r="H1316" s="297"/>
      <c r="J1316" s="297"/>
      <c r="L1316" s="312"/>
      <c r="N1316" s="297"/>
    </row>
    <row r="1317" spans="1:14" ht="15" customHeight="1" x14ac:dyDescent="0.25">
      <c r="A1317" s="497"/>
      <c r="C1317" s="404"/>
      <c r="E1317" s="308"/>
      <c r="G1317" s="297"/>
      <c r="H1317" s="297"/>
      <c r="J1317" s="297"/>
      <c r="L1317" s="312"/>
      <c r="N1317" s="297"/>
    </row>
    <row r="1318" spans="1:14" ht="15" customHeight="1" x14ac:dyDescent="0.25">
      <c r="A1318" s="497"/>
      <c r="C1318" s="404"/>
      <c r="E1318" s="308"/>
      <c r="G1318" s="297"/>
      <c r="H1318" s="297"/>
      <c r="J1318" s="297"/>
      <c r="L1318" s="312"/>
      <c r="N1318" s="297"/>
    </row>
    <row r="1319" spans="1:14" ht="15" customHeight="1" x14ac:dyDescent="0.25">
      <c r="A1319" s="497"/>
      <c r="C1319" s="404"/>
      <c r="E1319" s="308"/>
      <c r="G1319" s="297"/>
      <c r="H1319" s="297"/>
      <c r="J1319" s="297"/>
      <c r="L1319" s="312"/>
      <c r="N1319" s="297"/>
    </row>
    <row r="1320" spans="1:14" ht="15" customHeight="1" x14ac:dyDescent="0.25">
      <c r="A1320" s="497"/>
      <c r="C1320" s="404"/>
      <c r="E1320" s="308"/>
      <c r="G1320" s="297"/>
      <c r="H1320" s="297"/>
      <c r="J1320" s="297"/>
      <c r="L1320" s="312"/>
      <c r="N1320" s="297"/>
    </row>
    <row r="1321" spans="1:14" ht="15" customHeight="1" x14ac:dyDescent="0.25">
      <c r="A1321" s="497"/>
      <c r="C1321" s="404"/>
      <c r="E1321" s="308"/>
      <c r="G1321" s="297"/>
      <c r="H1321" s="297"/>
      <c r="J1321" s="297"/>
      <c r="L1321" s="312"/>
      <c r="N1321" s="297"/>
    </row>
    <row r="1322" spans="1:14" ht="15" customHeight="1" x14ac:dyDescent="0.25">
      <c r="A1322" s="497"/>
      <c r="C1322" s="404"/>
      <c r="E1322" s="308"/>
      <c r="G1322" s="297"/>
      <c r="H1322" s="297"/>
      <c r="J1322" s="297"/>
      <c r="L1322" s="312"/>
      <c r="N1322" s="297"/>
    </row>
    <row r="1323" spans="1:14" ht="15" customHeight="1" x14ac:dyDescent="0.25">
      <c r="A1323" s="497"/>
      <c r="C1323" s="404"/>
      <c r="E1323" s="308"/>
      <c r="G1323" s="297"/>
      <c r="H1323" s="297"/>
      <c r="J1323" s="297"/>
      <c r="L1323" s="312"/>
      <c r="N1323" s="297"/>
    </row>
    <row r="1324" spans="1:14" ht="15" customHeight="1" x14ac:dyDescent="0.25">
      <c r="A1324" s="497"/>
      <c r="C1324" s="404"/>
      <c r="E1324" s="308"/>
      <c r="G1324" s="297"/>
      <c r="H1324" s="297"/>
      <c r="J1324" s="297"/>
      <c r="L1324" s="312"/>
      <c r="N1324" s="297"/>
    </row>
    <row r="1325" spans="1:14" ht="15" customHeight="1" x14ac:dyDescent="0.25">
      <c r="A1325" s="497"/>
      <c r="C1325" s="404"/>
      <c r="E1325" s="308"/>
      <c r="G1325" s="297"/>
      <c r="H1325" s="297"/>
      <c r="J1325" s="297"/>
      <c r="L1325" s="312"/>
      <c r="N1325" s="297"/>
    </row>
    <row r="1326" spans="1:14" ht="15" customHeight="1" x14ac:dyDescent="0.25">
      <c r="A1326" s="497"/>
      <c r="C1326" s="404"/>
      <c r="E1326" s="308"/>
      <c r="G1326" s="297"/>
      <c r="H1326" s="297"/>
      <c r="J1326" s="297"/>
      <c r="L1326" s="312"/>
      <c r="N1326" s="297"/>
    </row>
    <row r="1327" spans="1:14" ht="15" customHeight="1" x14ac:dyDescent="0.25">
      <c r="A1327" s="497"/>
      <c r="C1327" s="404"/>
      <c r="E1327" s="308"/>
      <c r="G1327" s="297"/>
      <c r="H1327" s="297"/>
      <c r="J1327" s="297"/>
      <c r="L1327" s="312"/>
      <c r="N1327" s="297"/>
    </row>
    <row r="1328" spans="1:14" ht="15" customHeight="1" x14ac:dyDescent="0.25">
      <c r="A1328" s="497"/>
      <c r="C1328" s="404"/>
      <c r="E1328" s="308"/>
      <c r="G1328" s="297"/>
      <c r="H1328" s="297"/>
      <c r="J1328" s="297"/>
      <c r="L1328" s="312"/>
      <c r="N1328" s="297"/>
    </row>
    <row r="1329" spans="1:14" ht="15" customHeight="1" x14ac:dyDescent="0.25">
      <c r="A1329" s="497"/>
      <c r="C1329" s="404"/>
      <c r="E1329" s="308"/>
      <c r="G1329" s="297"/>
      <c r="H1329" s="297"/>
      <c r="J1329" s="297"/>
      <c r="L1329" s="312"/>
      <c r="N1329" s="297"/>
    </row>
    <row r="1330" spans="1:14" ht="15" customHeight="1" x14ac:dyDescent="0.25">
      <c r="A1330" s="497"/>
      <c r="C1330" s="404"/>
      <c r="E1330" s="308"/>
      <c r="G1330" s="297"/>
      <c r="H1330" s="297"/>
      <c r="J1330" s="297"/>
      <c r="L1330" s="312"/>
      <c r="N1330" s="297"/>
    </row>
    <row r="1331" spans="1:14" ht="15" customHeight="1" x14ac:dyDescent="0.25">
      <c r="A1331" s="497"/>
      <c r="C1331" s="404"/>
      <c r="E1331" s="308"/>
      <c r="G1331" s="297"/>
      <c r="H1331" s="297"/>
      <c r="J1331" s="297"/>
      <c r="L1331" s="312"/>
      <c r="N1331" s="297"/>
    </row>
    <row r="1332" spans="1:14" ht="15" customHeight="1" x14ac:dyDescent="0.25">
      <c r="A1332" s="497"/>
      <c r="C1332" s="404"/>
      <c r="E1332" s="308"/>
      <c r="G1332" s="297"/>
      <c r="H1332" s="297"/>
      <c r="J1332" s="297"/>
      <c r="L1332" s="312"/>
      <c r="N1332" s="297"/>
    </row>
    <row r="1333" spans="1:14" ht="15" customHeight="1" x14ac:dyDescent="0.25">
      <c r="A1333" s="497"/>
      <c r="C1333" s="404"/>
      <c r="E1333" s="308"/>
      <c r="G1333" s="297"/>
      <c r="H1333" s="297"/>
      <c r="J1333" s="297"/>
      <c r="L1333" s="312"/>
      <c r="N1333" s="297"/>
    </row>
    <row r="1334" spans="1:14" ht="15" customHeight="1" x14ac:dyDescent="0.25">
      <c r="A1334" s="497"/>
      <c r="C1334" s="404"/>
      <c r="E1334" s="308"/>
      <c r="G1334" s="297"/>
      <c r="H1334" s="297"/>
      <c r="J1334" s="297"/>
      <c r="L1334" s="312"/>
      <c r="N1334" s="297"/>
    </row>
    <row r="1335" spans="1:14" ht="15" customHeight="1" x14ac:dyDescent="0.25">
      <c r="A1335" s="497"/>
      <c r="C1335" s="404"/>
      <c r="E1335" s="308"/>
      <c r="G1335" s="297"/>
      <c r="H1335" s="297"/>
      <c r="J1335" s="297"/>
      <c r="L1335" s="312"/>
      <c r="N1335" s="297"/>
    </row>
    <row r="1336" spans="1:14" ht="15" customHeight="1" x14ac:dyDescent="0.25">
      <c r="A1336" s="497"/>
      <c r="C1336" s="404"/>
      <c r="E1336" s="308"/>
      <c r="G1336" s="297"/>
      <c r="H1336" s="297"/>
      <c r="J1336" s="297"/>
      <c r="L1336" s="312"/>
      <c r="N1336" s="297"/>
    </row>
    <row r="1337" spans="1:14" ht="15" customHeight="1" x14ac:dyDescent="0.25">
      <c r="A1337" s="497"/>
      <c r="C1337" s="404"/>
      <c r="E1337" s="308"/>
      <c r="G1337" s="297"/>
      <c r="H1337" s="297"/>
      <c r="J1337" s="297"/>
      <c r="L1337" s="312"/>
      <c r="N1337" s="297"/>
    </row>
    <row r="1338" spans="1:14" ht="15" customHeight="1" x14ac:dyDescent="0.25">
      <c r="A1338" s="497"/>
      <c r="C1338" s="404"/>
      <c r="E1338" s="308"/>
      <c r="G1338" s="297"/>
      <c r="H1338" s="297"/>
      <c r="J1338" s="297"/>
      <c r="L1338" s="312"/>
      <c r="N1338" s="297"/>
    </row>
    <row r="1339" spans="1:14" ht="15" customHeight="1" x14ac:dyDescent="0.25">
      <c r="A1339" s="497"/>
      <c r="C1339" s="404"/>
      <c r="E1339" s="308"/>
      <c r="G1339" s="297"/>
      <c r="H1339" s="297"/>
      <c r="J1339" s="297"/>
      <c r="L1339" s="312"/>
      <c r="N1339" s="297"/>
    </row>
    <row r="1340" spans="1:14" ht="15" customHeight="1" x14ac:dyDescent="0.25">
      <c r="A1340" s="497"/>
      <c r="C1340" s="404"/>
      <c r="E1340" s="308"/>
      <c r="G1340" s="297"/>
      <c r="H1340" s="297"/>
      <c r="J1340" s="297"/>
      <c r="L1340" s="312"/>
      <c r="N1340" s="297"/>
    </row>
    <row r="1341" spans="1:14" ht="15" customHeight="1" x14ac:dyDescent="0.25">
      <c r="A1341" s="497"/>
      <c r="C1341" s="404"/>
      <c r="E1341" s="308"/>
      <c r="G1341" s="297"/>
      <c r="H1341" s="297"/>
      <c r="J1341" s="297"/>
      <c r="L1341" s="312"/>
      <c r="N1341" s="297"/>
    </row>
    <row r="1342" spans="1:14" ht="15" customHeight="1" x14ac:dyDescent="0.25">
      <c r="A1342" s="497"/>
      <c r="C1342" s="404"/>
      <c r="E1342" s="308"/>
      <c r="G1342" s="297"/>
      <c r="H1342" s="297"/>
      <c r="J1342" s="297"/>
      <c r="L1342" s="312"/>
      <c r="N1342" s="297"/>
    </row>
    <row r="1343" spans="1:14" ht="15" customHeight="1" x14ac:dyDescent="0.25">
      <c r="A1343" s="497"/>
      <c r="C1343" s="404"/>
      <c r="E1343" s="308"/>
      <c r="G1343" s="297"/>
      <c r="H1343" s="297"/>
      <c r="J1343" s="297"/>
      <c r="L1343" s="312"/>
      <c r="N1343" s="297"/>
    </row>
    <row r="1344" spans="1:14" ht="15" customHeight="1" x14ac:dyDescent="0.25">
      <c r="A1344" s="497"/>
      <c r="C1344" s="404"/>
      <c r="E1344" s="308"/>
      <c r="G1344" s="297"/>
      <c r="H1344" s="297"/>
      <c r="J1344" s="297"/>
      <c r="L1344" s="312"/>
      <c r="N1344" s="297"/>
    </row>
    <row r="1345" spans="1:14" ht="15" customHeight="1" x14ac:dyDescent="0.25">
      <c r="A1345" s="497"/>
      <c r="C1345" s="404"/>
      <c r="E1345" s="308"/>
      <c r="G1345" s="297"/>
      <c r="H1345" s="297"/>
      <c r="J1345" s="297"/>
      <c r="L1345" s="312"/>
      <c r="N1345" s="297"/>
    </row>
    <row r="1346" spans="1:14" ht="15" customHeight="1" x14ac:dyDescent="0.25">
      <c r="A1346" s="497"/>
      <c r="C1346" s="404"/>
      <c r="E1346" s="308"/>
      <c r="G1346" s="297"/>
      <c r="H1346" s="297"/>
      <c r="J1346" s="297"/>
      <c r="L1346" s="312"/>
      <c r="N1346" s="297"/>
    </row>
    <row r="1347" spans="1:14" ht="15" customHeight="1" x14ac:dyDescent="0.25">
      <c r="A1347" s="497"/>
      <c r="C1347" s="404"/>
      <c r="E1347" s="308"/>
      <c r="G1347" s="297"/>
      <c r="H1347" s="297"/>
      <c r="J1347" s="297"/>
      <c r="L1347" s="312"/>
      <c r="N1347" s="297"/>
    </row>
    <row r="1348" spans="1:14" ht="15" customHeight="1" x14ac:dyDescent="0.25">
      <c r="A1348" s="497"/>
      <c r="C1348" s="404"/>
      <c r="E1348" s="308"/>
      <c r="G1348" s="297"/>
      <c r="H1348" s="297"/>
      <c r="J1348" s="297"/>
      <c r="L1348" s="312"/>
      <c r="N1348" s="297"/>
    </row>
    <row r="1349" spans="1:14" ht="15" customHeight="1" x14ac:dyDescent="0.25">
      <c r="A1349" s="497"/>
      <c r="C1349" s="404"/>
      <c r="E1349" s="308"/>
      <c r="G1349" s="297"/>
      <c r="H1349" s="297"/>
      <c r="J1349" s="297"/>
      <c r="L1349" s="312"/>
      <c r="N1349" s="297"/>
    </row>
    <row r="1350" spans="1:14" ht="15" customHeight="1" x14ac:dyDescent="0.25">
      <c r="A1350" s="497"/>
      <c r="C1350" s="404"/>
      <c r="E1350" s="308"/>
      <c r="G1350" s="297"/>
      <c r="H1350" s="297"/>
      <c r="J1350" s="297"/>
      <c r="L1350" s="312"/>
      <c r="N1350" s="297"/>
    </row>
    <row r="1351" spans="1:14" ht="15" customHeight="1" x14ac:dyDescent="0.25">
      <c r="A1351" s="497"/>
      <c r="C1351" s="404"/>
      <c r="E1351" s="308"/>
      <c r="G1351" s="297"/>
      <c r="H1351" s="297"/>
      <c r="J1351" s="297"/>
      <c r="L1351" s="312"/>
      <c r="N1351" s="297"/>
    </row>
    <row r="1352" spans="1:14" ht="15" customHeight="1" x14ac:dyDescent="0.25">
      <c r="A1352" s="497"/>
      <c r="C1352" s="404"/>
      <c r="E1352" s="308"/>
      <c r="G1352" s="297"/>
      <c r="H1352" s="297"/>
      <c r="J1352" s="297"/>
      <c r="L1352" s="312"/>
      <c r="N1352" s="297"/>
    </row>
    <row r="1353" spans="1:14" ht="15" customHeight="1" x14ac:dyDescent="0.25">
      <c r="A1353" s="497"/>
      <c r="C1353" s="404"/>
      <c r="E1353" s="308"/>
      <c r="G1353" s="297"/>
      <c r="H1353" s="297"/>
      <c r="J1353" s="297"/>
      <c r="L1353" s="312"/>
      <c r="N1353" s="297"/>
    </row>
    <row r="1354" spans="1:14" ht="15" customHeight="1" x14ac:dyDescent="0.25">
      <c r="A1354" s="497"/>
      <c r="C1354" s="404"/>
      <c r="E1354" s="308"/>
      <c r="G1354" s="297"/>
      <c r="H1354" s="297"/>
      <c r="J1354" s="297"/>
      <c r="L1354" s="312"/>
      <c r="N1354" s="297"/>
    </row>
    <row r="1355" spans="1:14" ht="15" customHeight="1" x14ac:dyDescent="0.25">
      <c r="A1355" s="497"/>
      <c r="C1355" s="404"/>
      <c r="E1355" s="308"/>
      <c r="G1355" s="297"/>
      <c r="H1355" s="297"/>
      <c r="J1355" s="297"/>
      <c r="L1355" s="312"/>
      <c r="N1355" s="297"/>
    </row>
    <row r="1356" spans="1:14" ht="15" customHeight="1" x14ac:dyDescent="0.25">
      <c r="A1356" s="497"/>
      <c r="C1356" s="404"/>
      <c r="E1356" s="308"/>
      <c r="G1356" s="297"/>
      <c r="H1356" s="297"/>
      <c r="J1356" s="297"/>
      <c r="L1356" s="312"/>
      <c r="N1356" s="297"/>
    </row>
    <row r="1357" spans="1:14" ht="15" customHeight="1" x14ac:dyDescent="0.25">
      <c r="A1357" s="497"/>
      <c r="C1357" s="404"/>
      <c r="E1357" s="308"/>
      <c r="G1357" s="297"/>
      <c r="H1357" s="297"/>
      <c r="J1357" s="297"/>
      <c r="L1357" s="312"/>
      <c r="N1357" s="297"/>
    </row>
    <row r="1358" spans="1:14" ht="15" customHeight="1" x14ac:dyDescent="0.25">
      <c r="A1358" s="497"/>
      <c r="C1358" s="404"/>
      <c r="E1358" s="308"/>
      <c r="G1358" s="297"/>
      <c r="H1358" s="297"/>
      <c r="J1358" s="297"/>
      <c r="L1358" s="312"/>
      <c r="N1358" s="297"/>
    </row>
    <row r="1359" spans="1:14" ht="15" customHeight="1" x14ac:dyDescent="0.25">
      <c r="A1359" s="497"/>
      <c r="C1359" s="404"/>
      <c r="E1359" s="308"/>
      <c r="G1359" s="297"/>
      <c r="H1359" s="297"/>
      <c r="J1359" s="297"/>
      <c r="L1359" s="312"/>
      <c r="N1359" s="297"/>
    </row>
    <row r="1360" spans="1:14" ht="15" customHeight="1" x14ac:dyDescent="0.25">
      <c r="A1360" s="497"/>
      <c r="C1360" s="404"/>
      <c r="E1360" s="308"/>
      <c r="G1360" s="297"/>
      <c r="H1360" s="297"/>
      <c r="J1360" s="297"/>
      <c r="L1360" s="312"/>
      <c r="N1360" s="297"/>
    </row>
    <row r="1361" spans="1:14" ht="15" customHeight="1" x14ac:dyDescent="0.25">
      <c r="A1361" s="497"/>
      <c r="C1361" s="404"/>
      <c r="E1361" s="308"/>
      <c r="G1361" s="297"/>
      <c r="H1361" s="297"/>
      <c r="J1361" s="297"/>
      <c r="L1361" s="312"/>
      <c r="N1361" s="297"/>
    </row>
    <row r="1362" spans="1:14" ht="15" customHeight="1" x14ac:dyDescent="0.25">
      <c r="A1362" s="497"/>
      <c r="C1362" s="404"/>
      <c r="E1362" s="308"/>
      <c r="G1362" s="297"/>
      <c r="H1362" s="297"/>
      <c r="J1362" s="297"/>
      <c r="L1362" s="312"/>
      <c r="N1362" s="297"/>
    </row>
    <row r="1363" spans="1:14" ht="15" customHeight="1" x14ac:dyDescent="0.25">
      <c r="A1363" s="497"/>
      <c r="C1363" s="404"/>
      <c r="E1363" s="308"/>
      <c r="G1363" s="297"/>
      <c r="H1363" s="297"/>
      <c r="J1363" s="297"/>
      <c r="L1363" s="312"/>
      <c r="N1363" s="297"/>
    </row>
    <row r="1364" spans="1:14" ht="15" customHeight="1" x14ac:dyDescent="0.25">
      <c r="A1364" s="497"/>
      <c r="C1364" s="404"/>
      <c r="E1364" s="308"/>
      <c r="G1364" s="297"/>
      <c r="H1364" s="297"/>
      <c r="J1364" s="297"/>
      <c r="L1364" s="312"/>
      <c r="N1364" s="297"/>
    </row>
    <row r="1365" spans="1:14" ht="15" customHeight="1" x14ac:dyDescent="0.25">
      <c r="A1365" s="497"/>
      <c r="C1365" s="404"/>
      <c r="E1365" s="308"/>
      <c r="G1365" s="297"/>
      <c r="H1365" s="297"/>
      <c r="J1365" s="297"/>
      <c r="L1365" s="312"/>
      <c r="N1365" s="297"/>
    </row>
    <row r="1366" spans="1:14" ht="15" customHeight="1" x14ac:dyDescent="0.25">
      <c r="A1366" s="497"/>
      <c r="C1366" s="404"/>
      <c r="E1366" s="308"/>
      <c r="G1366" s="297"/>
      <c r="H1366" s="297"/>
      <c r="J1366" s="297"/>
      <c r="L1366" s="312"/>
      <c r="N1366" s="297"/>
    </row>
    <row r="1367" spans="1:14" ht="15" customHeight="1" x14ac:dyDescent="0.25">
      <c r="A1367" s="497"/>
      <c r="C1367" s="404"/>
      <c r="E1367" s="308"/>
      <c r="G1367" s="297"/>
      <c r="H1367" s="297"/>
      <c r="J1367" s="297"/>
      <c r="L1367" s="312"/>
      <c r="N1367" s="297"/>
    </row>
    <row r="1368" spans="1:14" ht="15" customHeight="1" x14ac:dyDescent="0.25">
      <c r="A1368" s="497"/>
      <c r="C1368" s="404"/>
      <c r="E1368" s="308"/>
      <c r="G1368" s="297"/>
      <c r="H1368" s="297"/>
      <c r="J1368" s="297"/>
      <c r="L1368" s="312"/>
      <c r="N1368" s="297"/>
    </row>
    <row r="1369" spans="1:14" ht="15" customHeight="1" x14ac:dyDescent="0.25">
      <c r="A1369" s="497"/>
      <c r="C1369" s="404"/>
      <c r="E1369" s="308"/>
      <c r="G1369" s="297"/>
      <c r="H1369" s="297"/>
      <c r="J1369" s="297"/>
      <c r="L1369" s="312"/>
      <c r="N1369" s="297"/>
    </row>
    <row r="1370" spans="1:14" ht="15" customHeight="1" x14ac:dyDescent="0.25">
      <c r="A1370" s="497"/>
      <c r="C1370" s="404"/>
      <c r="E1370" s="308"/>
      <c r="G1370" s="297"/>
      <c r="H1370" s="297"/>
      <c r="J1370" s="297"/>
      <c r="L1370" s="312"/>
      <c r="N1370" s="297"/>
    </row>
    <row r="1371" spans="1:14" ht="15" customHeight="1" x14ac:dyDescent="0.25">
      <c r="A1371" s="497"/>
      <c r="C1371" s="404"/>
      <c r="E1371" s="308"/>
      <c r="G1371" s="297"/>
      <c r="H1371" s="297"/>
      <c r="J1371" s="297"/>
      <c r="L1371" s="312"/>
      <c r="N1371" s="297"/>
    </row>
    <row r="1372" spans="1:14" ht="15" customHeight="1" x14ac:dyDescent="0.25">
      <c r="A1372" s="497"/>
      <c r="C1372" s="404"/>
      <c r="E1372" s="308"/>
      <c r="G1372" s="297"/>
      <c r="H1372" s="297"/>
      <c r="J1372" s="297"/>
      <c r="L1372" s="312"/>
      <c r="N1372" s="297"/>
    </row>
    <row r="1373" spans="1:14" ht="15" customHeight="1" x14ac:dyDescent="0.25">
      <c r="A1373" s="497"/>
      <c r="C1373" s="404"/>
      <c r="E1373" s="308"/>
      <c r="G1373" s="297"/>
      <c r="H1373" s="297"/>
      <c r="J1373" s="297"/>
      <c r="L1373" s="312"/>
      <c r="N1373" s="297"/>
    </row>
    <row r="1374" spans="1:14" ht="15" customHeight="1" x14ac:dyDescent="0.25">
      <c r="A1374" s="497"/>
      <c r="C1374" s="404"/>
      <c r="E1374" s="308"/>
      <c r="G1374" s="297"/>
      <c r="H1374" s="297"/>
      <c r="J1374" s="297"/>
      <c r="L1374" s="312"/>
      <c r="N1374" s="297"/>
    </row>
    <row r="1375" spans="1:14" ht="15" customHeight="1" x14ac:dyDescent="0.25">
      <c r="A1375" s="497"/>
      <c r="C1375" s="404"/>
      <c r="E1375" s="308"/>
      <c r="G1375" s="297"/>
      <c r="H1375" s="297"/>
      <c r="J1375" s="297"/>
      <c r="L1375" s="312"/>
      <c r="N1375" s="297"/>
    </row>
    <row r="1376" spans="1:14" ht="15" customHeight="1" x14ac:dyDescent="0.25">
      <c r="A1376" s="497"/>
      <c r="C1376" s="404"/>
      <c r="E1376" s="308"/>
      <c r="G1376" s="297"/>
      <c r="H1376" s="297"/>
      <c r="J1376" s="297"/>
      <c r="L1376" s="312"/>
      <c r="N1376" s="297"/>
    </row>
    <row r="1377" spans="1:14" ht="15" customHeight="1" x14ac:dyDescent="0.25">
      <c r="A1377" s="497"/>
      <c r="C1377" s="404"/>
      <c r="E1377" s="308"/>
      <c r="G1377" s="297"/>
      <c r="H1377" s="297"/>
      <c r="J1377" s="297"/>
      <c r="L1377" s="312"/>
      <c r="N1377" s="297"/>
    </row>
    <row r="1378" spans="1:14" ht="15" customHeight="1" x14ac:dyDescent="0.25">
      <c r="A1378" s="497"/>
      <c r="C1378" s="404"/>
      <c r="E1378" s="308"/>
      <c r="G1378" s="297"/>
      <c r="H1378" s="297"/>
      <c r="J1378" s="297"/>
      <c r="L1378" s="312"/>
      <c r="N1378" s="297"/>
    </row>
    <row r="1379" spans="1:14" ht="15" customHeight="1" x14ac:dyDescent="0.25">
      <c r="A1379" s="497"/>
      <c r="C1379" s="404"/>
      <c r="E1379" s="308"/>
      <c r="G1379" s="297"/>
      <c r="H1379" s="297"/>
      <c r="J1379" s="297"/>
      <c r="L1379" s="312"/>
      <c r="N1379" s="297"/>
    </row>
    <row r="1380" spans="1:14" ht="15" customHeight="1" x14ac:dyDescent="0.25">
      <c r="A1380" s="497"/>
      <c r="C1380" s="404"/>
      <c r="E1380" s="308"/>
      <c r="G1380" s="297"/>
      <c r="H1380" s="297"/>
      <c r="J1380" s="297"/>
      <c r="L1380" s="312"/>
      <c r="N1380" s="297"/>
    </row>
    <row r="1381" spans="1:14" ht="15" customHeight="1" x14ac:dyDescent="0.25">
      <c r="A1381" s="497"/>
      <c r="C1381" s="404"/>
      <c r="E1381" s="308"/>
      <c r="G1381" s="297"/>
      <c r="H1381" s="297"/>
      <c r="J1381" s="297"/>
      <c r="L1381" s="312"/>
      <c r="N1381" s="297"/>
    </row>
    <row r="1382" spans="1:14" ht="15" customHeight="1" x14ac:dyDescent="0.25">
      <c r="A1382" s="497"/>
      <c r="C1382" s="404"/>
      <c r="E1382" s="308"/>
      <c r="G1382" s="297"/>
      <c r="H1382" s="297"/>
      <c r="J1382" s="297"/>
      <c r="L1382" s="312"/>
      <c r="N1382" s="297"/>
    </row>
    <row r="1383" spans="1:14" ht="15" customHeight="1" x14ac:dyDescent="0.25">
      <c r="A1383" s="497"/>
      <c r="C1383" s="404"/>
      <c r="E1383" s="308"/>
      <c r="G1383" s="297"/>
      <c r="H1383" s="297"/>
      <c r="J1383" s="297"/>
      <c r="L1383" s="312"/>
      <c r="N1383" s="297"/>
    </row>
    <row r="1384" spans="1:14" ht="15" customHeight="1" x14ac:dyDescent="0.25">
      <c r="A1384" s="497"/>
      <c r="C1384" s="404"/>
      <c r="E1384" s="308"/>
      <c r="G1384" s="297"/>
      <c r="H1384" s="297"/>
      <c r="J1384" s="297"/>
      <c r="L1384" s="312"/>
      <c r="N1384" s="297"/>
    </row>
    <row r="1385" spans="1:14" ht="15" customHeight="1" x14ac:dyDescent="0.25">
      <c r="A1385" s="497"/>
      <c r="C1385" s="404"/>
      <c r="E1385" s="308"/>
      <c r="G1385" s="297"/>
      <c r="H1385" s="297"/>
      <c r="J1385" s="297"/>
      <c r="L1385" s="312"/>
      <c r="N1385" s="297"/>
    </row>
    <row r="1386" spans="1:14" ht="15" customHeight="1" x14ac:dyDescent="0.25">
      <c r="A1386" s="497"/>
      <c r="C1386" s="404"/>
      <c r="E1386" s="308"/>
      <c r="G1386" s="297"/>
      <c r="H1386" s="297"/>
      <c r="J1386" s="297"/>
      <c r="L1386" s="312"/>
      <c r="N1386" s="297"/>
    </row>
    <row r="1387" spans="1:14" ht="15" customHeight="1" x14ac:dyDescent="0.25">
      <c r="A1387" s="497"/>
      <c r="C1387" s="404"/>
      <c r="E1387" s="308"/>
      <c r="G1387" s="297"/>
      <c r="H1387" s="297"/>
      <c r="J1387" s="297"/>
      <c r="L1387" s="312"/>
      <c r="N1387" s="297"/>
    </row>
    <row r="1388" spans="1:14" ht="15" customHeight="1" x14ac:dyDescent="0.25">
      <c r="A1388" s="497"/>
      <c r="C1388" s="404"/>
      <c r="E1388" s="308"/>
      <c r="G1388" s="297"/>
      <c r="H1388" s="297"/>
      <c r="J1388" s="297"/>
      <c r="L1388" s="312"/>
      <c r="N1388" s="297"/>
    </row>
    <row r="1389" spans="1:14" ht="15" customHeight="1" x14ac:dyDescent="0.25">
      <c r="A1389" s="497"/>
      <c r="C1389" s="404"/>
      <c r="E1389" s="308"/>
      <c r="G1389" s="297"/>
      <c r="H1389" s="297"/>
      <c r="J1389" s="297"/>
      <c r="L1389" s="312"/>
      <c r="N1389" s="297"/>
    </row>
    <row r="1390" spans="1:14" ht="15" customHeight="1" x14ac:dyDescent="0.25">
      <c r="A1390" s="497"/>
      <c r="C1390" s="404"/>
      <c r="E1390" s="308"/>
      <c r="G1390" s="297"/>
      <c r="H1390" s="297"/>
      <c r="J1390" s="297"/>
      <c r="L1390" s="312"/>
      <c r="N1390" s="297"/>
    </row>
    <row r="1391" spans="1:14" ht="15" customHeight="1" x14ac:dyDescent="0.25">
      <c r="A1391" s="497"/>
      <c r="C1391" s="404"/>
      <c r="E1391" s="308"/>
      <c r="G1391" s="297"/>
      <c r="H1391" s="297"/>
      <c r="J1391" s="297"/>
      <c r="L1391" s="312"/>
      <c r="N1391" s="297"/>
    </row>
    <row r="1392" spans="1:14" ht="15" customHeight="1" x14ac:dyDescent="0.25">
      <c r="A1392" s="497"/>
      <c r="C1392" s="404"/>
      <c r="E1392" s="308"/>
      <c r="G1392" s="297"/>
      <c r="H1392" s="297"/>
      <c r="J1392" s="297"/>
      <c r="L1392" s="312"/>
      <c r="N1392" s="297"/>
    </row>
    <row r="1393" spans="1:14" ht="15" customHeight="1" x14ac:dyDescent="0.25">
      <c r="A1393" s="497"/>
      <c r="C1393" s="404"/>
      <c r="E1393" s="308"/>
      <c r="G1393" s="297"/>
      <c r="H1393" s="297"/>
      <c r="J1393" s="297"/>
      <c r="L1393" s="312"/>
      <c r="N1393" s="297"/>
    </row>
    <row r="1394" spans="1:14" ht="15" customHeight="1" x14ac:dyDescent="0.25">
      <c r="A1394" s="497"/>
      <c r="C1394" s="404"/>
      <c r="E1394" s="308"/>
      <c r="G1394" s="297"/>
      <c r="H1394" s="297"/>
      <c r="J1394" s="297"/>
      <c r="L1394" s="312"/>
      <c r="N1394" s="297"/>
    </row>
    <row r="1395" spans="1:14" ht="15" customHeight="1" x14ac:dyDescent="0.25">
      <c r="A1395" s="497"/>
      <c r="C1395" s="404"/>
      <c r="E1395" s="308"/>
      <c r="G1395" s="297"/>
      <c r="H1395" s="297"/>
      <c r="J1395" s="297"/>
      <c r="L1395" s="312"/>
      <c r="N1395" s="297"/>
    </row>
    <row r="1396" spans="1:14" ht="15" customHeight="1" x14ac:dyDescent="0.25">
      <c r="A1396" s="497"/>
      <c r="C1396" s="404"/>
      <c r="E1396" s="308"/>
      <c r="G1396" s="297"/>
      <c r="H1396" s="297"/>
      <c r="J1396" s="297"/>
      <c r="L1396" s="312"/>
      <c r="N1396" s="297"/>
    </row>
    <row r="1397" spans="1:14" ht="15" customHeight="1" x14ac:dyDescent="0.25">
      <c r="A1397" s="497"/>
      <c r="C1397" s="404"/>
      <c r="E1397" s="308"/>
      <c r="G1397" s="297"/>
      <c r="H1397" s="297"/>
      <c r="J1397" s="297"/>
      <c r="L1397" s="312"/>
      <c r="N1397" s="297"/>
    </row>
    <row r="1398" spans="1:14" ht="15" customHeight="1" x14ac:dyDescent="0.25">
      <c r="A1398" s="497"/>
      <c r="C1398" s="404"/>
      <c r="E1398" s="308"/>
      <c r="G1398" s="297"/>
      <c r="H1398" s="297"/>
      <c r="J1398" s="297"/>
      <c r="L1398" s="312"/>
      <c r="N1398" s="297"/>
    </row>
    <row r="1399" spans="1:14" ht="15" customHeight="1" x14ac:dyDescent="0.25">
      <c r="A1399" s="497"/>
      <c r="C1399" s="404"/>
      <c r="E1399" s="308"/>
      <c r="G1399" s="297"/>
      <c r="H1399" s="297"/>
      <c r="J1399" s="297"/>
      <c r="L1399" s="312"/>
      <c r="N1399" s="297"/>
    </row>
    <row r="1400" spans="1:14" ht="15" customHeight="1" x14ac:dyDescent="0.25">
      <c r="A1400" s="497"/>
      <c r="C1400" s="404"/>
      <c r="E1400" s="308"/>
      <c r="G1400" s="297"/>
      <c r="H1400" s="297"/>
      <c r="J1400" s="297"/>
      <c r="L1400" s="312"/>
      <c r="N1400" s="297"/>
    </row>
    <row r="1401" spans="1:14" ht="15" customHeight="1" x14ac:dyDescent="0.25">
      <c r="A1401" s="497"/>
      <c r="C1401" s="404"/>
      <c r="E1401" s="308"/>
      <c r="G1401" s="297"/>
      <c r="H1401" s="297"/>
      <c r="J1401" s="297"/>
      <c r="L1401" s="312"/>
      <c r="N1401" s="297"/>
    </row>
    <row r="1402" spans="1:14" ht="15" customHeight="1" x14ac:dyDescent="0.25">
      <c r="A1402" s="497"/>
      <c r="C1402" s="404"/>
      <c r="E1402" s="308"/>
      <c r="G1402" s="297"/>
      <c r="H1402" s="297"/>
      <c r="J1402" s="297"/>
      <c r="L1402" s="312"/>
      <c r="N1402" s="297"/>
    </row>
    <row r="1403" spans="1:14" ht="15" customHeight="1" x14ac:dyDescent="0.25">
      <c r="A1403" s="497"/>
      <c r="C1403" s="404"/>
      <c r="E1403" s="308"/>
      <c r="G1403" s="297"/>
      <c r="H1403" s="297"/>
      <c r="J1403" s="297"/>
      <c r="L1403" s="312"/>
      <c r="N1403" s="297"/>
    </row>
    <row r="1404" spans="1:14" ht="15" customHeight="1" x14ac:dyDescent="0.25">
      <c r="A1404" s="497"/>
      <c r="C1404" s="404"/>
      <c r="E1404" s="308"/>
      <c r="G1404" s="297"/>
      <c r="H1404" s="297"/>
      <c r="J1404" s="297"/>
      <c r="L1404" s="312"/>
      <c r="N1404" s="297"/>
    </row>
    <row r="1405" spans="1:14" ht="15" customHeight="1" x14ac:dyDescent="0.25">
      <c r="A1405" s="497"/>
      <c r="C1405" s="404"/>
      <c r="E1405" s="308"/>
      <c r="G1405" s="297"/>
      <c r="H1405" s="297"/>
      <c r="J1405" s="297"/>
      <c r="L1405" s="312"/>
      <c r="N1405" s="297"/>
    </row>
    <row r="1406" spans="1:14" ht="15" customHeight="1" x14ac:dyDescent="0.25">
      <c r="A1406" s="497"/>
      <c r="C1406" s="404"/>
      <c r="E1406" s="308"/>
      <c r="G1406" s="297"/>
      <c r="H1406" s="297"/>
      <c r="J1406" s="297"/>
      <c r="L1406" s="312"/>
      <c r="N1406" s="297"/>
    </row>
    <row r="1407" spans="1:14" ht="15" customHeight="1" x14ac:dyDescent="0.25">
      <c r="A1407" s="497"/>
      <c r="C1407" s="404"/>
      <c r="E1407" s="308"/>
      <c r="G1407" s="297"/>
      <c r="H1407" s="297"/>
      <c r="J1407" s="297"/>
      <c r="L1407" s="312"/>
      <c r="N1407" s="297"/>
    </row>
    <row r="1408" spans="1:14" ht="15" customHeight="1" x14ac:dyDescent="0.25">
      <c r="A1408" s="497"/>
      <c r="C1408" s="404"/>
      <c r="E1408" s="308"/>
      <c r="G1408" s="297"/>
      <c r="H1408" s="297"/>
      <c r="J1408" s="297"/>
      <c r="L1408" s="312"/>
      <c r="N1408" s="297"/>
    </row>
    <row r="1409" spans="1:14" ht="15" customHeight="1" x14ac:dyDescent="0.25">
      <c r="A1409" s="497"/>
      <c r="C1409" s="404"/>
      <c r="E1409" s="308"/>
      <c r="G1409" s="297"/>
      <c r="H1409" s="297"/>
      <c r="J1409" s="297"/>
      <c r="L1409" s="312"/>
      <c r="N1409" s="297"/>
    </row>
    <row r="1410" spans="1:14" ht="15" customHeight="1" x14ac:dyDescent="0.25">
      <c r="A1410" s="497"/>
      <c r="C1410" s="404"/>
      <c r="E1410" s="308"/>
      <c r="G1410" s="297"/>
      <c r="H1410" s="297"/>
      <c r="J1410" s="297"/>
      <c r="L1410" s="312"/>
      <c r="N1410" s="297"/>
    </row>
    <row r="1411" spans="1:14" ht="15" customHeight="1" x14ac:dyDescent="0.25">
      <c r="A1411" s="497"/>
      <c r="C1411" s="404"/>
      <c r="E1411" s="308"/>
      <c r="G1411" s="297"/>
      <c r="H1411" s="297"/>
      <c r="J1411" s="297"/>
      <c r="L1411" s="312"/>
      <c r="N1411" s="297"/>
    </row>
    <row r="1412" spans="1:14" ht="15" customHeight="1" x14ac:dyDescent="0.25">
      <c r="A1412" s="497"/>
      <c r="C1412" s="404"/>
      <c r="E1412" s="308"/>
      <c r="G1412" s="297"/>
      <c r="H1412" s="297"/>
      <c r="J1412" s="297"/>
      <c r="L1412" s="312"/>
      <c r="N1412" s="297"/>
    </row>
    <row r="1413" spans="1:14" ht="15" customHeight="1" x14ac:dyDescent="0.25">
      <c r="A1413" s="497"/>
      <c r="C1413" s="404"/>
      <c r="E1413" s="308"/>
      <c r="G1413" s="297"/>
      <c r="H1413" s="297"/>
      <c r="J1413" s="297"/>
      <c r="L1413" s="312"/>
      <c r="N1413" s="297"/>
    </row>
    <row r="1414" spans="1:14" ht="15" customHeight="1" x14ac:dyDescent="0.25">
      <c r="A1414" s="497"/>
      <c r="C1414" s="404"/>
      <c r="E1414" s="308"/>
      <c r="G1414" s="297"/>
      <c r="H1414" s="297"/>
      <c r="J1414" s="297"/>
      <c r="L1414" s="312"/>
      <c r="N1414" s="297"/>
    </row>
    <row r="1415" spans="1:14" ht="15" customHeight="1" x14ac:dyDescent="0.25">
      <c r="A1415" s="497"/>
      <c r="C1415" s="404"/>
      <c r="E1415" s="308"/>
      <c r="G1415" s="297"/>
      <c r="H1415" s="297"/>
      <c r="J1415" s="297"/>
      <c r="L1415" s="312"/>
      <c r="N1415" s="297"/>
    </row>
    <row r="1416" spans="1:14" ht="15" customHeight="1" x14ac:dyDescent="0.25">
      <c r="A1416" s="497"/>
      <c r="C1416" s="404"/>
      <c r="E1416" s="308"/>
      <c r="G1416" s="297"/>
      <c r="H1416" s="297"/>
      <c r="J1416" s="297"/>
      <c r="L1416" s="312"/>
      <c r="N1416" s="297"/>
    </row>
    <row r="1417" spans="1:14" ht="15" customHeight="1" x14ac:dyDescent="0.25">
      <c r="A1417" s="497"/>
      <c r="C1417" s="404"/>
      <c r="E1417" s="308"/>
      <c r="G1417" s="297"/>
      <c r="H1417" s="297"/>
      <c r="J1417" s="297"/>
      <c r="L1417" s="312"/>
      <c r="N1417" s="297"/>
    </row>
    <row r="1418" spans="1:14" ht="15" customHeight="1" x14ac:dyDescent="0.25">
      <c r="A1418" s="497"/>
      <c r="C1418" s="404"/>
      <c r="E1418" s="308"/>
      <c r="G1418" s="297"/>
      <c r="H1418" s="297"/>
      <c r="J1418" s="297"/>
      <c r="L1418" s="312"/>
      <c r="N1418" s="297"/>
    </row>
    <row r="1419" spans="1:14" ht="15" customHeight="1" x14ac:dyDescent="0.25">
      <c r="A1419" s="497"/>
      <c r="C1419" s="404"/>
      <c r="E1419" s="308"/>
      <c r="G1419" s="297"/>
      <c r="H1419" s="297"/>
      <c r="J1419" s="297"/>
      <c r="L1419" s="312"/>
      <c r="N1419" s="297"/>
    </row>
    <row r="1420" spans="1:14" ht="15" customHeight="1" x14ac:dyDescent="0.25">
      <c r="A1420" s="497"/>
      <c r="C1420" s="404"/>
      <c r="E1420" s="308"/>
      <c r="G1420" s="297"/>
      <c r="H1420" s="297"/>
      <c r="J1420" s="297"/>
      <c r="L1420" s="312"/>
      <c r="N1420" s="297"/>
    </row>
    <row r="1421" spans="1:14" ht="15" customHeight="1" x14ac:dyDescent="0.25">
      <c r="A1421" s="497"/>
      <c r="C1421" s="404"/>
      <c r="E1421" s="308"/>
      <c r="G1421" s="297"/>
      <c r="H1421" s="297"/>
      <c r="J1421" s="297"/>
      <c r="L1421" s="312"/>
      <c r="N1421" s="297"/>
    </row>
    <row r="1422" spans="1:14" ht="15" customHeight="1" x14ac:dyDescent="0.25">
      <c r="A1422" s="497"/>
      <c r="C1422" s="404"/>
      <c r="E1422" s="308"/>
      <c r="G1422" s="297"/>
      <c r="H1422" s="297"/>
      <c r="J1422" s="297"/>
      <c r="L1422" s="312"/>
      <c r="N1422" s="297"/>
    </row>
    <row r="1423" spans="1:14" ht="15" customHeight="1" x14ac:dyDescent="0.25">
      <c r="A1423" s="497"/>
      <c r="C1423" s="404"/>
      <c r="E1423" s="308"/>
      <c r="G1423" s="297"/>
      <c r="H1423" s="297"/>
      <c r="J1423" s="297"/>
      <c r="L1423" s="312"/>
      <c r="N1423" s="297"/>
    </row>
    <row r="1424" spans="1:14" ht="15" customHeight="1" x14ac:dyDescent="0.25">
      <c r="A1424" s="497"/>
      <c r="C1424" s="404"/>
      <c r="E1424" s="308"/>
      <c r="G1424" s="297"/>
      <c r="H1424" s="297"/>
      <c r="J1424" s="297"/>
      <c r="L1424" s="312"/>
      <c r="N1424" s="297"/>
    </row>
    <row r="1425" spans="1:14" ht="15" customHeight="1" x14ac:dyDescent="0.25">
      <c r="A1425" s="497"/>
      <c r="C1425" s="404"/>
      <c r="E1425" s="308"/>
      <c r="G1425" s="297"/>
      <c r="H1425" s="297"/>
      <c r="J1425" s="297"/>
      <c r="L1425" s="312"/>
      <c r="N1425" s="297"/>
    </row>
    <row r="1426" spans="1:14" ht="15" customHeight="1" x14ac:dyDescent="0.25">
      <c r="A1426" s="497"/>
      <c r="C1426" s="404"/>
      <c r="E1426" s="308"/>
      <c r="G1426" s="297"/>
      <c r="H1426" s="297"/>
      <c r="J1426" s="297"/>
      <c r="L1426" s="312"/>
      <c r="N1426" s="297"/>
    </row>
    <row r="1427" spans="1:14" ht="15" customHeight="1" x14ac:dyDescent="0.25">
      <c r="A1427" s="497"/>
      <c r="C1427" s="404"/>
      <c r="E1427" s="308"/>
      <c r="G1427" s="297"/>
      <c r="H1427" s="297"/>
      <c r="J1427" s="297"/>
      <c r="L1427" s="312"/>
      <c r="N1427" s="297"/>
    </row>
    <row r="1428" spans="1:14" ht="15" customHeight="1" x14ac:dyDescent="0.25">
      <c r="A1428" s="497"/>
      <c r="C1428" s="404"/>
      <c r="E1428" s="308"/>
      <c r="G1428" s="297"/>
      <c r="H1428" s="297"/>
      <c r="J1428" s="297"/>
      <c r="L1428" s="312"/>
      <c r="N1428" s="297"/>
    </row>
    <row r="1429" spans="1:14" ht="15" customHeight="1" x14ac:dyDescent="0.25">
      <c r="A1429" s="497"/>
      <c r="C1429" s="404"/>
      <c r="E1429" s="308"/>
      <c r="G1429" s="297"/>
      <c r="H1429" s="297"/>
      <c r="J1429" s="297"/>
      <c r="L1429" s="312"/>
      <c r="N1429" s="297"/>
    </row>
    <row r="1430" spans="1:14" ht="15" customHeight="1" x14ac:dyDescent="0.25">
      <c r="A1430" s="497"/>
      <c r="C1430" s="404"/>
      <c r="E1430" s="308"/>
      <c r="G1430" s="297"/>
      <c r="H1430" s="297"/>
      <c r="J1430" s="297"/>
      <c r="L1430" s="312"/>
      <c r="N1430" s="297"/>
    </row>
    <row r="1431" spans="1:14" ht="15" customHeight="1" x14ac:dyDescent="0.25">
      <c r="A1431" s="497"/>
      <c r="C1431" s="404"/>
      <c r="E1431" s="308"/>
      <c r="G1431" s="297"/>
      <c r="H1431" s="297"/>
      <c r="J1431" s="297"/>
      <c r="L1431" s="312"/>
      <c r="N1431" s="297"/>
    </row>
    <row r="1432" spans="1:14" ht="15" customHeight="1" x14ac:dyDescent="0.25">
      <c r="A1432" s="497"/>
      <c r="C1432" s="404"/>
      <c r="E1432" s="308"/>
      <c r="G1432" s="297"/>
      <c r="H1432" s="297"/>
      <c r="J1432" s="297"/>
      <c r="L1432" s="312"/>
      <c r="N1432" s="297"/>
    </row>
    <row r="1433" spans="1:14" ht="15" customHeight="1" x14ac:dyDescent="0.25">
      <c r="A1433" s="497"/>
      <c r="C1433" s="404"/>
      <c r="E1433" s="308"/>
      <c r="G1433" s="297"/>
      <c r="H1433" s="297"/>
      <c r="J1433" s="297"/>
      <c r="L1433" s="312"/>
      <c r="N1433" s="297"/>
    </row>
    <row r="1434" spans="1:14" ht="15" customHeight="1" x14ac:dyDescent="0.25">
      <c r="A1434" s="497"/>
      <c r="C1434" s="404"/>
      <c r="E1434" s="308"/>
      <c r="G1434" s="297"/>
      <c r="H1434" s="297"/>
      <c r="J1434" s="297"/>
      <c r="L1434" s="312"/>
      <c r="N1434" s="297"/>
    </row>
    <row r="1435" spans="1:14" ht="15" customHeight="1" x14ac:dyDescent="0.25">
      <c r="A1435" s="497"/>
      <c r="C1435" s="404"/>
      <c r="E1435" s="308"/>
      <c r="G1435" s="297"/>
      <c r="H1435" s="297"/>
      <c r="J1435" s="297"/>
      <c r="L1435" s="312"/>
      <c r="N1435" s="297"/>
    </row>
    <row r="1436" spans="1:14" ht="15" customHeight="1" x14ac:dyDescent="0.25">
      <c r="A1436" s="497"/>
      <c r="C1436" s="404"/>
      <c r="E1436" s="308"/>
      <c r="G1436" s="297"/>
      <c r="H1436" s="297"/>
      <c r="J1436" s="297"/>
      <c r="L1436" s="312"/>
      <c r="N1436" s="297"/>
    </row>
    <row r="1437" spans="1:14" ht="15" customHeight="1" x14ac:dyDescent="0.25">
      <c r="A1437" s="497"/>
      <c r="C1437" s="404"/>
      <c r="E1437" s="308"/>
      <c r="G1437" s="297"/>
      <c r="H1437" s="297"/>
      <c r="J1437" s="297"/>
      <c r="L1437" s="312"/>
      <c r="N1437" s="297"/>
    </row>
    <row r="1438" spans="1:14" ht="15" customHeight="1" x14ac:dyDescent="0.25">
      <c r="A1438" s="497"/>
      <c r="C1438" s="404"/>
      <c r="E1438" s="308"/>
      <c r="G1438" s="297"/>
      <c r="H1438" s="297"/>
      <c r="J1438" s="297"/>
      <c r="L1438" s="312"/>
      <c r="N1438" s="297"/>
    </row>
    <row r="1439" spans="1:14" ht="15" customHeight="1" x14ac:dyDescent="0.25">
      <c r="A1439" s="497"/>
      <c r="C1439" s="404"/>
      <c r="E1439" s="308"/>
      <c r="G1439" s="297"/>
      <c r="H1439" s="297"/>
      <c r="J1439" s="297"/>
      <c r="L1439" s="312"/>
      <c r="N1439" s="297"/>
    </row>
    <row r="1440" spans="1:14" ht="15" customHeight="1" x14ac:dyDescent="0.25">
      <c r="A1440" s="497"/>
      <c r="C1440" s="404"/>
      <c r="E1440" s="308"/>
      <c r="G1440" s="297"/>
      <c r="H1440" s="297"/>
      <c r="J1440" s="297"/>
      <c r="L1440" s="312"/>
      <c r="N1440" s="297"/>
    </row>
    <row r="1441" spans="1:14" ht="15" customHeight="1" x14ac:dyDescent="0.25">
      <c r="A1441" s="497"/>
      <c r="C1441" s="404"/>
      <c r="E1441" s="308"/>
      <c r="G1441" s="297"/>
      <c r="H1441" s="297"/>
      <c r="J1441" s="297"/>
      <c r="L1441" s="312"/>
      <c r="N1441" s="297"/>
    </row>
    <row r="1442" spans="1:14" ht="15" customHeight="1" x14ac:dyDescent="0.25">
      <c r="A1442" s="497"/>
      <c r="C1442" s="404"/>
      <c r="E1442" s="308"/>
      <c r="G1442" s="297"/>
      <c r="H1442" s="297"/>
      <c r="J1442" s="297"/>
      <c r="L1442" s="312"/>
      <c r="N1442" s="297"/>
    </row>
    <row r="1443" spans="1:14" ht="15" customHeight="1" x14ac:dyDescent="0.25">
      <c r="A1443" s="497"/>
      <c r="C1443" s="404"/>
      <c r="E1443" s="308"/>
      <c r="G1443" s="297"/>
      <c r="H1443" s="297"/>
      <c r="J1443" s="297"/>
      <c r="L1443" s="312"/>
      <c r="N1443" s="297"/>
    </row>
    <row r="1444" spans="1:14" ht="15" customHeight="1" x14ac:dyDescent="0.25">
      <c r="A1444" s="497"/>
      <c r="C1444" s="404"/>
      <c r="E1444" s="308"/>
      <c r="G1444" s="297"/>
      <c r="H1444" s="297"/>
      <c r="J1444" s="297"/>
      <c r="L1444" s="312"/>
      <c r="N1444" s="297"/>
    </row>
    <row r="1445" spans="1:14" ht="15" customHeight="1" x14ac:dyDescent="0.25">
      <c r="A1445" s="497"/>
      <c r="C1445" s="404"/>
      <c r="E1445" s="308"/>
      <c r="G1445" s="297"/>
      <c r="H1445" s="297"/>
      <c r="J1445" s="297"/>
      <c r="L1445" s="312"/>
      <c r="N1445" s="297"/>
    </row>
    <row r="1446" spans="1:14" ht="15" customHeight="1" x14ac:dyDescent="0.25">
      <c r="A1446" s="497"/>
      <c r="C1446" s="404"/>
      <c r="E1446" s="308"/>
      <c r="G1446" s="297"/>
      <c r="H1446" s="297"/>
      <c r="J1446" s="297"/>
      <c r="L1446" s="312"/>
      <c r="N1446" s="297"/>
    </row>
    <row r="1447" spans="1:14" ht="15" customHeight="1" x14ac:dyDescent="0.25">
      <c r="A1447" s="497"/>
      <c r="C1447" s="404"/>
      <c r="E1447" s="308"/>
      <c r="G1447" s="297"/>
      <c r="H1447" s="297"/>
      <c r="J1447" s="297"/>
      <c r="L1447" s="312"/>
      <c r="N1447" s="297"/>
    </row>
    <row r="1448" spans="1:14" ht="15" customHeight="1" x14ac:dyDescent="0.25">
      <c r="A1448" s="497"/>
      <c r="C1448" s="404"/>
      <c r="E1448" s="308"/>
      <c r="G1448" s="297"/>
      <c r="H1448" s="297"/>
      <c r="J1448" s="297"/>
      <c r="L1448" s="312"/>
      <c r="N1448" s="297"/>
    </row>
    <row r="1449" spans="1:14" ht="15" customHeight="1" x14ac:dyDescent="0.25">
      <c r="A1449" s="497"/>
      <c r="C1449" s="404"/>
      <c r="E1449" s="308"/>
      <c r="G1449" s="297"/>
      <c r="H1449" s="297"/>
      <c r="J1449" s="297"/>
      <c r="L1449" s="312"/>
      <c r="N1449" s="297"/>
    </row>
    <row r="1450" spans="1:14" ht="15" customHeight="1" x14ac:dyDescent="0.25">
      <c r="A1450" s="497"/>
      <c r="C1450" s="404"/>
      <c r="E1450" s="308"/>
      <c r="G1450" s="297"/>
      <c r="H1450" s="297"/>
      <c r="J1450" s="297"/>
      <c r="L1450" s="312"/>
      <c r="N1450" s="297"/>
    </row>
    <row r="1451" spans="1:14" ht="15" customHeight="1" x14ac:dyDescent="0.25">
      <c r="A1451" s="497"/>
      <c r="C1451" s="404"/>
      <c r="E1451" s="308"/>
      <c r="G1451" s="297"/>
      <c r="H1451" s="297"/>
      <c r="J1451" s="297"/>
      <c r="L1451" s="312"/>
      <c r="N1451" s="297"/>
    </row>
    <row r="1452" spans="1:14" ht="15" customHeight="1" x14ac:dyDescent="0.25">
      <c r="A1452" s="497"/>
      <c r="C1452" s="404"/>
      <c r="E1452" s="308"/>
      <c r="G1452" s="297"/>
      <c r="H1452" s="297"/>
      <c r="J1452" s="297"/>
      <c r="L1452" s="312"/>
      <c r="N1452" s="297"/>
    </row>
    <row r="1453" spans="1:14" ht="15" customHeight="1" x14ac:dyDescent="0.25">
      <c r="A1453" s="497"/>
      <c r="C1453" s="404"/>
      <c r="E1453" s="308"/>
      <c r="G1453" s="297"/>
      <c r="H1453" s="297"/>
      <c r="J1453" s="297"/>
      <c r="L1453" s="312"/>
      <c r="N1453" s="297"/>
    </row>
    <row r="1454" spans="1:14" ht="15" customHeight="1" x14ac:dyDescent="0.25">
      <c r="A1454" s="497"/>
      <c r="C1454" s="404"/>
      <c r="E1454" s="308"/>
      <c r="G1454" s="297"/>
      <c r="H1454" s="297"/>
      <c r="J1454" s="297"/>
      <c r="L1454" s="312"/>
      <c r="N1454" s="297"/>
    </row>
    <row r="1455" spans="1:14" ht="15" customHeight="1" x14ac:dyDescent="0.25">
      <c r="A1455" s="497"/>
      <c r="C1455" s="404"/>
      <c r="E1455" s="308"/>
      <c r="G1455" s="297"/>
      <c r="H1455" s="297"/>
      <c r="J1455" s="297"/>
      <c r="L1455" s="312"/>
      <c r="N1455" s="297"/>
    </row>
    <row r="1456" spans="1:14" ht="15" customHeight="1" x14ac:dyDescent="0.25">
      <c r="A1456" s="497"/>
      <c r="C1456" s="404"/>
      <c r="E1456" s="308"/>
      <c r="G1456" s="297"/>
      <c r="H1456" s="297"/>
      <c r="J1456" s="297"/>
      <c r="L1456" s="312"/>
      <c r="N1456" s="297"/>
    </row>
    <row r="1457" spans="1:14" ht="15" customHeight="1" x14ac:dyDescent="0.25">
      <c r="A1457" s="497"/>
      <c r="C1457" s="404"/>
      <c r="E1457" s="308"/>
      <c r="G1457" s="297"/>
      <c r="H1457" s="297"/>
      <c r="J1457" s="297"/>
      <c r="L1457" s="312"/>
      <c r="N1457" s="297"/>
    </row>
    <row r="1458" spans="1:14" ht="15" customHeight="1" x14ac:dyDescent="0.25">
      <c r="A1458" s="497"/>
      <c r="C1458" s="404"/>
      <c r="E1458" s="308"/>
      <c r="G1458" s="297"/>
      <c r="H1458" s="297"/>
      <c r="J1458" s="297"/>
      <c r="L1458" s="312"/>
      <c r="N1458" s="297"/>
    </row>
    <row r="1459" spans="1:14" ht="15" customHeight="1" x14ac:dyDescent="0.25">
      <c r="A1459" s="497"/>
      <c r="C1459" s="404"/>
      <c r="E1459" s="308"/>
      <c r="G1459" s="297"/>
      <c r="H1459" s="297"/>
      <c r="J1459" s="297"/>
      <c r="L1459" s="312"/>
      <c r="N1459" s="297"/>
    </row>
    <row r="1460" spans="1:14" ht="15" customHeight="1" x14ac:dyDescent="0.25">
      <c r="A1460" s="497"/>
      <c r="C1460" s="404"/>
      <c r="E1460" s="308"/>
      <c r="G1460" s="297"/>
      <c r="H1460" s="297"/>
      <c r="J1460" s="297"/>
      <c r="L1460" s="312"/>
      <c r="N1460" s="297"/>
    </row>
    <row r="1461" spans="1:14" ht="15" customHeight="1" x14ac:dyDescent="0.25">
      <c r="A1461" s="497"/>
      <c r="C1461" s="404"/>
      <c r="E1461" s="308"/>
      <c r="G1461" s="297"/>
      <c r="H1461" s="297"/>
      <c r="J1461" s="297"/>
      <c r="L1461" s="312"/>
      <c r="N1461" s="297"/>
    </row>
    <row r="1462" spans="1:14" ht="15" customHeight="1" x14ac:dyDescent="0.25">
      <c r="A1462" s="497"/>
      <c r="C1462" s="404"/>
      <c r="E1462" s="308"/>
      <c r="G1462" s="297"/>
      <c r="H1462" s="297"/>
      <c r="J1462" s="297"/>
      <c r="L1462" s="312"/>
      <c r="N1462" s="297"/>
    </row>
    <row r="1463" spans="1:14" ht="15" customHeight="1" x14ac:dyDescent="0.25">
      <c r="A1463" s="497"/>
      <c r="C1463" s="404"/>
      <c r="E1463" s="308"/>
      <c r="G1463" s="297"/>
      <c r="H1463" s="297"/>
      <c r="J1463" s="297"/>
      <c r="L1463" s="312"/>
      <c r="N1463" s="297"/>
    </row>
    <row r="1464" spans="1:14" ht="15" customHeight="1" x14ac:dyDescent="0.25">
      <c r="A1464" s="497"/>
      <c r="C1464" s="404"/>
      <c r="E1464" s="308"/>
      <c r="G1464" s="297"/>
      <c r="H1464" s="297"/>
      <c r="J1464" s="297"/>
      <c r="L1464" s="312"/>
      <c r="N1464" s="297"/>
    </row>
    <row r="1465" spans="1:14" ht="15" customHeight="1" x14ac:dyDescent="0.25">
      <c r="A1465" s="497"/>
      <c r="C1465" s="404"/>
      <c r="E1465" s="308"/>
      <c r="G1465" s="297"/>
      <c r="H1465" s="297"/>
      <c r="J1465" s="297"/>
      <c r="L1465" s="312"/>
      <c r="N1465" s="297"/>
    </row>
    <row r="1466" spans="1:14" ht="15" customHeight="1" x14ac:dyDescent="0.25">
      <c r="A1466" s="497"/>
      <c r="C1466" s="404"/>
      <c r="E1466" s="308"/>
      <c r="G1466" s="297"/>
      <c r="H1466" s="297"/>
      <c r="J1466" s="297"/>
      <c r="L1466" s="312"/>
      <c r="N1466" s="297"/>
    </row>
    <row r="1467" spans="1:14" ht="15" customHeight="1" x14ac:dyDescent="0.25">
      <c r="A1467" s="497"/>
      <c r="C1467" s="404"/>
      <c r="E1467" s="308"/>
      <c r="G1467" s="297"/>
      <c r="H1467" s="297"/>
      <c r="J1467" s="297"/>
      <c r="L1467" s="312"/>
      <c r="N1467" s="297"/>
    </row>
    <row r="1468" spans="1:14" ht="15" customHeight="1" x14ac:dyDescent="0.25">
      <c r="A1468" s="497"/>
      <c r="C1468" s="404"/>
      <c r="E1468" s="308"/>
      <c r="G1468" s="297"/>
      <c r="H1468" s="297"/>
      <c r="J1468" s="297"/>
      <c r="L1468" s="312"/>
      <c r="N1468" s="297"/>
    </row>
    <row r="1469" spans="1:14" ht="15" customHeight="1" x14ac:dyDescent="0.25">
      <c r="A1469" s="497"/>
      <c r="C1469" s="404"/>
      <c r="E1469" s="308"/>
      <c r="G1469" s="297"/>
      <c r="H1469" s="297"/>
      <c r="J1469" s="297"/>
      <c r="L1469" s="312"/>
      <c r="N1469" s="297"/>
    </row>
    <row r="1470" spans="1:14" ht="15" customHeight="1" x14ac:dyDescent="0.25">
      <c r="A1470" s="497"/>
      <c r="C1470" s="404"/>
      <c r="E1470" s="308"/>
      <c r="G1470" s="297"/>
      <c r="H1470" s="297"/>
      <c r="J1470" s="297"/>
      <c r="L1470" s="312"/>
      <c r="N1470" s="297"/>
    </row>
    <row r="1471" spans="1:14" ht="15" customHeight="1" x14ac:dyDescent="0.25">
      <c r="A1471" s="497"/>
      <c r="C1471" s="404"/>
      <c r="E1471" s="308"/>
      <c r="G1471" s="297"/>
      <c r="H1471" s="297"/>
      <c r="J1471" s="297"/>
      <c r="L1471" s="312"/>
      <c r="N1471" s="297"/>
    </row>
    <row r="1472" spans="1:14" ht="15" customHeight="1" x14ac:dyDescent="0.25">
      <c r="A1472" s="497"/>
      <c r="C1472" s="404"/>
      <c r="E1472" s="308"/>
      <c r="G1472" s="297"/>
      <c r="H1472" s="297"/>
      <c r="J1472" s="297"/>
      <c r="L1472" s="312"/>
      <c r="N1472" s="297"/>
    </row>
    <row r="1473" spans="1:14" ht="15" customHeight="1" x14ac:dyDescent="0.25">
      <c r="A1473" s="497"/>
      <c r="C1473" s="404"/>
      <c r="E1473" s="308"/>
      <c r="G1473" s="297"/>
      <c r="H1473" s="297"/>
      <c r="J1473" s="297"/>
      <c r="L1473" s="312"/>
      <c r="N1473" s="297"/>
    </row>
    <row r="1474" spans="1:14" ht="15" customHeight="1" x14ac:dyDescent="0.25">
      <c r="A1474" s="497"/>
      <c r="C1474" s="404"/>
      <c r="E1474" s="308"/>
      <c r="G1474" s="297"/>
      <c r="H1474" s="297"/>
      <c r="J1474" s="297"/>
      <c r="L1474" s="312"/>
      <c r="N1474" s="297"/>
    </row>
    <row r="1475" spans="1:14" ht="15" customHeight="1" x14ac:dyDescent="0.25">
      <c r="A1475" s="497"/>
      <c r="C1475" s="404"/>
      <c r="E1475" s="308"/>
      <c r="G1475" s="297"/>
      <c r="H1475" s="297"/>
      <c r="J1475" s="297"/>
      <c r="L1475" s="312"/>
      <c r="N1475" s="297"/>
    </row>
    <row r="1476" spans="1:14" ht="15" customHeight="1" x14ac:dyDescent="0.25">
      <c r="A1476" s="497"/>
      <c r="C1476" s="404"/>
      <c r="E1476" s="308"/>
      <c r="G1476" s="297"/>
      <c r="H1476" s="297"/>
      <c r="J1476" s="297"/>
      <c r="L1476" s="312"/>
      <c r="N1476" s="297"/>
    </row>
    <row r="1477" spans="1:14" ht="15" customHeight="1" x14ac:dyDescent="0.25">
      <c r="A1477" s="497"/>
      <c r="C1477" s="404"/>
      <c r="E1477" s="308"/>
      <c r="G1477" s="297"/>
      <c r="H1477" s="297"/>
      <c r="J1477" s="297"/>
      <c r="L1477" s="312"/>
      <c r="N1477" s="297"/>
    </row>
    <row r="1478" spans="1:14" ht="15" customHeight="1" x14ac:dyDescent="0.25">
      <c r="A1478" s="497"/>
      <c r="C1478" s="404"/>
      <c r="E1478" s="308"/>
      <c r="G1478" s="297"/>
      <c r="H1478" s="297"/>
      <c r="J1478" s="297"/>
      <c r="L1478" s="312"/>
      <c r="N1478" s="297"/>
    </row>
    <row r="1479" spans="1:14" ht="15" customHeight="1" x14ac:dyDescent="0.25">
      <c r="A1479" s="497"/>
      <c r="C1479" s="404"/>
      <c r="E1479" s="308"/>
      <c r="G1479" s="297"/>
      <c r="H1479" s="297"/>
      <c r="J1479" s="297"/>
      <c r="L1479" s="312"/>
      <c r="N1479" s="297"/>
    </row>
    <row r="1480" spans="1:14" ht="15" customHeight="1" x14ac:dyDescent="0.25">
      <c r="A1480" s="497"/>
      <c r="C1480" s="404"/>
      <c r="E1480" s="308"/>
      <c r="G1480" s="297"/>
      <c r="H1480" s="297"/>
      <c r="J1480" s="297"/>
      <c r="L1480" s="312"/>
      <c r="N1480" s="297"/>
    </row>
    <row r="1481" spans="1:14" ht="15" customHeight="1" x14ac:dyDescent="0.25">
      <c r="A1481" s="497"/>
      <c r="C1481" s="404"/>
      <c r="E1481" s="308"/>
      <c r="G1481" s="297"/>
      <c r="H1481" s="297"/>
      <c r="J1481" s="297"/>
      <c r="L1481" s="312"/>
      <c r="N1481" s="297"/>
    </row>
    <row r="1482" spans="1:14" ht="15" customHeight="1" x14ac:dyDescent="0.25">
      <c r="A1482" s="497"/>
      <c r="C1482" s="404"/>
      <c r="E1482" s="308"/>
      <c r="G1482" s="297"/>
      <c r="H1482" s="297"/>
      <c r="J1482" s="297"/>
      <c r="L1482" s="312"/>
      <c r="N1482" s="297"/>
    </row>
    <row r="1483" spans="1:14" ht="15" customHeight="1" x14ac:dyDescent="0.25">
      <c r="A1483" s="497"/>
      <c r="C1483" s="404"/>
      <c r="E1483" s="308"/>
      <c r="G1483" s="297"/>
      <c r="H1483" s="297"/>
      <c r="J1483" s="297"/>
      <c r="L1483" s="312"/>
      <c r="N1483" s="297"/>
    </row>
    <row r="1484" spans="1:14" ht="15" customHeight="1" x14ac:dyDescent="0.25">
      <c r="A1484" s="497"/>
      <c r="C1484" s="404"/>
      <c r="E1484" s="308"/>
      <c r="G1484" s="297"/>
      <c r="H1484" s="297"/>
      <c r="J1484" s="297"/>
      <c r="L1484" s="312"/>
      <c r="N1484" s="297"/>
    </row>
    <row r="1485" spans="1:14" ht="15" customHeight="1" x14ac:dyDescent="0.25">
      <c r="A1485" s="497"/>
      <c r="C1485" s="404"/>
      <c r="E1485" s="308"/>
      <c r="G1485" s="297"/>
      <c r="H1485" s="297"/>
      <c r="J1485" s="297"/>
      <c r="L1485" s="312"/>
      <c r="N1485" s="297"/>
    </row>
    <row r="1486" spans="1:14" ht="15" customHeight="1" x14ac:dyDescent="0.25">
      <c r="A1486" s="497"/>
      <c r="C1486" s="404"/>
      <c r="E1486" s="308"/>
      <c r="G1486" s="297"/>
      <c r="H1486" s="297"/>
      <c r="J1486" s="297"/>
      <c r="L1486" s="312"/>
      <c r="N1486" s="297"/>
    </row>
    <row r="1487" spans="1:14" ht="15" customHeight="1" x14ac:dyDescent="0.25">
      <c r="A1487" s="497"/>
      <c r="C1487" s="404"/>
      <c r="E1487" s="308"/>
      <c r="G1487" s="297"/>
      <c r="H1487" s="297"/>
      <c r="J1487" s="297"/>
      <c r="L1487" s="312"/>
      <c r="N1487" s="297"/>
    </row>
    <row r="1488" spans="1:14" ht="15" customHeight="1" x14ac:dyDescent="0.25">
      <c r="A1488" s="497"/>
      <c r="C1488" s="404"/>
      <c r="E1488" s="308"/>
      <c r="G1488" s="297"/>
      <c r="H1488" s="297"/>
      <c r="J1488" s="297"/>
      <c r="L1488" s="312"/>
      <c r="N1488" s="297"/>
    </row>
    <row r="1489" spans="1:14" ht="15" customHeight="1" x14ac:dyDescent="0.25">
      <c r="A1489" s="497"/>
      <c r="C1489" s="404"/>
      <c r="E1489" s="308"/>
      <c r="G1489" s="297"/>
      <c r="H1489" s="297"/>
      <c r="J1489" s="297"/>
      <c r="L1489" s="312"/>
      <c r="N1489" s="297"/>
    </row>
    <row r="1490" spans="1:14" ht="15" customHeight="1" x14ac:dyDescent="0.25">
      <c r="A1490" s="497"/>
      <c r="C1490" s="404"/>
      <c r="E1490" s="308"/>
      <c r="G1490" s="297"/>
      <c r="H1490" s="297"/>
      <c r="J1490" s="297"/>
      <c r="L1490" s="312"/>
      <c r="N1490" s="297"/>
    </row>
    <row r="1491" spans="1:14" ht="15" customHeight="1" x14ac:dyDescent="0.25">
      <c r="A1491" s="497"/>
      <c r="C1491" s="404"/>
      <c r="E1491" s="308"/>
      <c r="G1491" s="297"/>
      <c r="H1491" s="297"/>
      <c r="J1491" s="297"/>
      <c r="L1491" s="312"/>
      <c r="N1491" s="297"/>
    </row>
    <row r="1492" spans="1:14" ht="15" customHeight="1" x14ac:dyDescent="0.25">
      <c r="A1492" s="497"/>
      <c r="C1492" s="404"/>
      <c r="E1492" s="308"/>
      <c r="G1492" s="297"/>
      <c r="H1492" s="297"/>
      <c r="J1492" s="297"/>
      <c r="L1492" s="312"/>
      <c r="N1492" s="297"/>
    </row>
    <row r="1493" spans="1:14" ht="15" customHeight="1" x14ac:dyDescent="0.25">
      <c r="A1493" s="497"/>
      <c r="C1493" s="404"/>
      <c r="E1493" s="308"/>
      <c r="G1493" s="297"/>
      <c r="H1493" s="297"/>
      <c r="J1493" s="297"/>
      <c r="L1493" s="312"/>
      <c r="N1493" s="297"/>
    </row>
    <row r="1494" spans="1:14" ht="15" customHeight="1" x14ac:dyDescent="0.25">
      <c r="A1494" s="497"/>
      <c r="C1494" s="404"/>
      <c r="E1494" s="308"/>
      <c r="G1494" s="297"/>
      <c r="H1494" s="297"/>
      <c r="J1494" s="297"/>
      <c r="L1494" s="312"/>
      <c r="N1494" s="297"/>
    </row>
    <row r="1495" spans="1:14" ht="15" customHeight="1" x14ac:dyDescent="0.25">
      <c r="A1495" s="497"/>
      <c r="C1495" s="404"/>
      <c r="E1495" s="308"/>
      <c r="G1495" s="297"/>
      <c r="H1495" s="297"/>
      <c r="J1495" s="297"/>
      <c r="L1495" s="312"/>
      <c r="N1495" s="297"/>
    </row>
    <row r="1496" spans="1:14" ht="15" customHeight="1" x14ac:dyDescent="0.25">
      <c r="A1496" s="497"/>
      <c r="C1496" s="404"/>
      <c r="E1496" s="308"/>
      <c r="G1496" s="297"/>
      <c r="H1496" s="297"/>
      <c r="J1496" s="297"/>
      <c r="L1496" s="312"/>
      <c r="N1496" s="297"/>
    </row>
    <row r="1497" spans="1:14" ht="15" customHeight="1" x14ac:dyDescent="0.25">
      <c r="A1497" s="497"/>
      <c r="C1497" s="404"/>
      <c r="E1497" s="308"/>
      <c r="G1497" s="297"/>
      <c r="H1497" s="297"/>
      <c r="J1497" s="297"/>
      <c r="L1497" s="312"/>
      <c r="N1497" s="297"/>
    </row>
    <row r="1498" spans="1:14" ht="15" customHeight="1" x14ac:dyDescent="0.25">
      <c r="A1498" s="497"/>
      <c r="C1498" s="404"/>
      <c r="E1498" s="308"/>
      <c r="G1498" s="297"/>
      <c r="H1498" s="297"/>
      <c r="J1498" s="297"/>
      <c r="L1498" s="312"/>
      <c r="N1498" s="297"/>
    </row>
    <row r="1499" spans="1:14" ht="15" customHeight="1" x14ac:dyDescent="0.25">
      <c r="A1499" s="497"/>
      <c r="C1499" s="404"/>
      <c r="E1499" s="308"/>
      <c r="G1499" s="297"/>
      <c r="H1499" s="297"/>
      <c r="J1499" s="297"/>
      <c r="L1499" s="312"/>
      <c r="N1499" s="297"/>
    </row>
    <row r="1500" spans="1:14" ht="15" customHeight="1" x14ac:dyDescent="0.25">
      <c r="A1500" s="497"/>
      <c r="C1500" s="404"/>
      <c r="E1500" s="308"/>
      <c r="G1500" s="297"/>
      <c r="H1500" s="297"/>
      <c r="J1500" s="297"/>
      <c r="L1500" s="312"/>
      <c r="N1500" s="297"/>
    </row>
    <row r="1501" spans="1:14" ht="15" customHeight="1" x14ac:dyDescent="0.25">
      <c r="A1501" s="497"/>
      <c r="C1501" s="404"/>
      <c r="E1501" s="308"/>
      <c r="G1501" s="297"/>
      <c r="H1501" s="297"/>
      <c r="J1501" s="297"/>
      <c r="L1501" s="312"/>
      <c r="N1501" s="297"/>
    </row>
    <row r="1502" spans="1:14" ht="15" customHeight="1" x14ac:dyDescent="0.25">
      <c r="A1502" s="497"/>
      <c r="C1502" s="404"/>
      <c r="E1502" s="308"/>
      <c r="G1502" s="297"/>
      <c r="H1502" s="297"/>
      <c r="J1502" s="297"/>
      <c r="L1502" s="312"/>
      <c r="N1502" s="297"/>
    </row>
    <row r="1503" spans="1:14" ht="15" customHeight="1" x14ac:dyDescent="0.25">
      <c r="A1503" s="497"/>
      <c r="C1503" s="404"/>
      <c r="E1503" s="308"/>
      <c r="G1503" s="297"/>
      <c r="H1503" s="297"/>
      <c r="J1503" s="297"/>
      <c r="L1503" s="312"/>
      <c r="N1503" s="297"/>
    </row>
    <row r="1504" spans="1:14" ht="15" customHeight="1" x14ac:dyDescent="0.25">
      <c r="A1504" s="497"/>
      <c r="C1504" s="404"/>
      <c r="E1504" s="308"/>
      <c r="G1504" s="297"/>
      <c r="H1504" s="297"/>
      <c r="J1504" s="297"/>
      <c r="L1504" s="312"/>
      <c r="N1504" s="297"/>
    </row>
    <row r="1505" spans="1:14" ht="15" customHeight="1" x14ac:dyDescent="0.25">
      <c r="A1505" s="497"/>
      <c r="C1505" s="404"/>
      <c r="E1505" s="308"/>
      <c r="G1505" s="297"/>
      <c r="H1505" s="297"/>
      <c r="J1505" s="297"/>
      <c r="L1505" s="312"/>
      <c r="N1505" s="297"/>
    </row>
    <row r="1506" spans="1:14" ht="15" customHeight="1" x14ac:dyDescent="0.25">
      <c r="A1506" s="497"/>
      <c r="C1506" s="404"/>
      <c r="E1506" s="308"/>
      <c r="G1506" s="297"/>
      <c r="H1506" s="297"/>
      <c r="J1506" s="297"/>
      <c r="L1506" s="312"/>
      <c r="N1506" s="297"/>
    </row>
    <row r="1507" spans="1:14" ht="15" customHeight="1" x14ac:dyDescent="0.25">
      <c r="A1507" s="497"/>
      <c r="C1507" s="404"/>
      <c r="E1507" s="308"/>
      <c r="G1507" s="297"/>
      <c r="H1507" s="297"/>
      <c r="J1507" s="297"/>
      <c r="L1507" s="312"/>
      <c r="N1507" s="297"/>
    </row>
    <row r="1508" spans="1:14" ht="15" customHeight="1" x14ac:dyDescent="0.25">
      <c r="A1508" s="497"/>
      <c r="C1508" s="404"/>
      <c r="E1508" s="308"/>
      <c r="G1508" s="297"/>
      <c r="H1508" s="297"/>
      <c r="J1508" s="297"/>
      <c r="L1508" s="312"/>
      <c r="N1508" s="297"/>
    </row>
    <row r="1509" spans="1:14" ht="15" customHeight="1" x14ac:dyDescent="0.25">
      <c r="A1509" s="497"/>
      <c r="C1509" s="404"/>
      <c r="E1509" s="308"/>
      <c r="G1509" s="297"/>
      <c r="H1509" s="297"/>
      <c r="J1509" s="297"/>
      <c r="L1509" s="312"/>
      <c r="N1509" s="297"/>
    </row>
    <row r="1510" spans="1:14" ht="15" customHeight="1" x14ac:dyDescent="0.25">
      <c r="A1510" s="497"/>
      <c r="C1510" s="404"/>
      <c r="E1510" s="308"/>
      <c r="G1510" s="297"/>
      <c r="H1510" s="297"/>
      <c r="J1510" s="297"/>
      <c r="L1510" s="312"/>
      <c r="N1510" s="297"/>
    </row>
    <row r="1511" spans="1:14" ht="15" customHeight="1" x14ac:dyDescent="0.25">
      <c r="A1511" s="497"/>
      <c r="C1511" s="404"/>
      <c r="E1511" s="308"/>
      <c r="G1511" s="297"/>
      <c r="H1511" s="297"/>
      <c r="J1511" s="297"/>
      <c r="L1511" s="312"/>
      <c r="N1511" s="297"/>
    </row>
    <row r="1512" spans="1:14" ht="15" customHeight="1" x14ac:dyDescent="0.25">
      <c r="A1512" s="497"/>
      <c r="C1512" s="404"/>
      <c r="E1512" s="308"/>
      <c r="G1512" s="297"/>
      <c r="H1512" s="297"/>
      <c r="J1512" s="297"/>
      <c r="L1512" s="312"/>
      <c r="N1512" s="297"/>
    </row>
    <row r="1513" spans="1:14" ht="15" customHeight="1" x14ac:dyDescent="0.25">
      <c r="A1513" s="497"/>
      <c r="C1513" s="404"/>
      <c r="E1513" s="308"/>
      <c r="G1513" s="297"/>
      <c r="H1513" s="297"/>
      <c r="J1513" s="297"/>
      <c r="L1513" s="312"/>
      <c r="N1513" s="297"/>
    </row>
    <row r="1514" spans="1:14" ht="15" customHeight="1" x14ac:dyDescent="0.25">
      <c r="A1514" s="497"/>
      <c r="C1514" s="404"/>
      <c r="E1514" s="308"/>
      <c r="G1514" s="297"/>
      <c r="H1514" s="297"/>
      <c r="J1514" s="297"/>
      <c r="L1514" s="312"/>
      <c r="N1514" s="297"/>
    </row>
    <row r="1515" spans="1:14" ht="15" customHeight="1" x14ac:dyDescent="0.25">
      <c r="A1515" s="497"/>
      <c r="C1515" s="404"/>
      <c r="E1515" s="308"/>
      <c r="G1515" s="297"/>
      <c r="H1515" s="297"/>
      <c r="J1515" s="297"/>
      <c r="L1515" s="312"/>
      <c r="N1515" s="297"/>
    </row>
    <row r="1516" spans="1:14" ht="15" customHeight="1" x14ac:dyDescent="0.25">
      <c r="A1516" s="497"/>
      <c r="C1516" s="404"/>
      <c r="E1516" s="308"/>
      <c r="G1516" s="297"/>
      <c r="H1516" s="297"/>
      <c r="J1516" s="297"/>
      <c r="L1516" s="312"/>
      <c r="N1516" s="297"/>
    </row>
    <row r="1517" spans="1:14" ht="15" customHeight="1" x14ac:dyDescent="0.25">
      <c r="A1517" s="497"/>
      <c r="C1517" s="404"/>
      <c r="E1517" s="308"/>
      <c r="G1517" s="297"/>
      <c r="H1517" s="297"/>
      <c r="J1517" s="297"/>
      <c r="L1517" s="312"/>
      <c r="N1517" s="297"/>
    </row>
    <row r="1518" spans="1:14" ht="15" customHeight="1" x14ac:dyDescent="0.25">
      <c r="A1518" s="497"/>
      <c r="C1518" s="404"/>
      <c r="E1518" s="308"/>
      <c r="G1518" s="297"/>
      <c r="H1518" s="297"/>
      <c r="J1518" s="297"/>
      <c r="L1518" s="312"/>
      <c r="N1518" s="297"/>
    </row>
    <row r="1519" spans="1:14" ht="15" customHeight="1" x14ac:dyDescent="0.25">
      <c r="A1519" s="497"/>
      <c r="C1519" s="404"/>
      <c r="E1519" s="308"/>
      <c r="G1519" s="297"/>
      <c r="H1519" s="297"/>
      <c r="J1519" s="297"/>
      <c r="L1519" s="312"/>
      <c r="N1519" s="297"/>
    </row>
    <row r="1520" spans="1:14" ht="15" customHeight="1" x14ac:dyDescent="0.25">
      <c r="A1520" s="497"/>
      <c r="C1520" s="404"/>
      <c r="E1520" s="308"/>
      <c r="G1520" s="297"/>
      <c r="H1520" s="297"/>
      <c r="J1520" s="297"/>
      <c r="L1520" s="312"/>
      <c r="N1520" s="297"/>
    </row>
    <row r="1521" spans="1:14" ht="15" customHeight="1" x14ac:dyDescent="0.25">
      <c r="A1521" s="497"/>
      <c r="C1521" s="404"/>
      <c r="E1521" s="308"/>
      <c r="G1521" s="297"/>
      <c r="H1521" s="297"/>
      <c r="J1521" s="297"/>
      <c r="L1521" s="312"/>
      <c r="N1521" s="297"/>
    </row>
    <row r="1522" spans="1:14" ht="15" customHeight="1" x14ac:dyDescent="0.25">
      <c r="A1522" s="497"/>
      <c r="C1522" s="404"/>
      <c r="E1522" s="308"/>
      <c r="G1522" s="297"/>
      <c r="H1522" s="297"/>
      <c r="J1522" s="297"/>
      <c r="L1522" s="312"/>
      <c r="N1522" s="297"/>
    </row>
    <row r="1523" spans="1:14" ht="15" customHeight="1" x14ac:dyDescent="0.25">
      <c r="A1523" s="497"/>
      <c r="C1523" s="404"/>
      <c r="E1523" s="308"/>
      <c r="G1523" s="297"/>
      <c r="H1523" s="297"/>
      <c r="J1523" s="297"/>
      <c r="L1523" s="312"/>
      <c r="N1523" s="297"/>
    </row>
    <row r="1524" spans="1:14" ht="15" customHeight="1" x14ac:dyDescent="0.25">
      <c r="A1524" s="497"/>
      <c r="C1524" s="404"/>
      <c r="E1524" s="308"/>
      <c r="G1524" s="297"/>
      <c r="H1524" s="297"/>
      <c r="J1524" s="297"/>
      <c r="L1524" s="312"/>
      <c r="N1524" s="297"/>
    </row>
    <row r="1525" spans="1:14" ht="15" customHeight="1" x14ac:dyDescent="0.25">
      <c r="A1525" s="497"/>
      <c r="C1525" s="404"/>
      <c r="E1525" s="308"/>
      <c r="G1525" s="297"/>
      <c r="H1525" s="297"/>
      <c r="J1525" s="297"/>
      <c r="L1525" s="312"/>
      <c r="N1525" s="297"/>
    </row>
    <row r="1526" spans="1:14" ht="15" customHeight="1" x14ac:dyDescent="0.25">
      <c r="A1526" s="497"/>
      <c r="C1526" s="404"/>
      <c r="E1526" s="308"/>
      <c r="G1526" s="297"/>
      <c r="H1526" s="297"/>
      <c r="J1526" s="297"/>
      <c r="L1526" s="312"/>
      <c r="N1526" s="297"/>
    </row>
    <row r="1527" spans="1:14" ht="15" customHeight="1" x14ac:dyDescent="0.25">
      <c r="A1527" s="497"/>
      <c r="C1527" s="404"/>
      <c r="E1527" s="308"/>
      <c r="G1527" s="297"/>
      <c r="H1527" s="297"/>
      <c r="J1527" s="297"/>
      <c r="L1527" s="312"/>
      <c r="N1527" s="297"/>
    </row>
    <row r="1528" spans="1:14" ht="15" customHeight="1" x14ac:dyDescent="0.25">
      <c r="A1528" s="497"/>
      <c r="C1528" s="404"/>
      <c r="E1528" s="308"/>
      <c r="G1528" s="297"/>
      <c r="H1528" s="297"/>
      <c r="J1528" s="297"/>
      <c r="L1528" s="312"/>
      <c r="N1528" s="297"/>
    </row>
    <row r="1529" spans="1:14" ht="15" customHeight="1" x14ac:dyDescent="0.25">
      <c r="A1529" s="497"/>
      <c r="C1529" s="404"/>
      <c r="E1529" s="308"/>
      <c r="G1529" s="297"/>
      <c r="H1529" s="297"/>
      <c r="J1529" s="297"/>
      <c r="L1529" s="312"/>
      <c r="N1529" s="297"/>
    </row>
    <row r="1530" spans="1:14" ht="15" customHeight="1" x14ac:dyDescent="0.25">
      <c r="A1530" s="497"/>
      <c r="C1530" s="404"/>
      <c r="E1530" s="308"/>
      <c r="G1530" s="297"/>
      <c r="H1530" s="297"/>
      <c r="J1530" s="297"/>
      <c r="L1530" s="312"/>
      <c r="N1530" s="297"/>
    </row>
    <row r="1531" spans="1:14" ht="15" customHeight="1" x14ac:dyDescent="0.25">
      <c r="A1531" s="497"/>
      <c r="C1531" s="404"/>
      <c r="E1531" s="308"/>
      <c r="G1531" s="297"/>
      <c r="H1531" s="297"/>
      <c r="J1531" s="297"/>
      <c r="L1531" s="312"/>
      <c r="N1531" s="297"/>
    </row>
    <row r="1532" spans="1:14" ht="15" customHeight="1" x14ac:dyDescent="0.25">
      <c r="A1532" s="497"/>
      <c r="C1532" s="404"/>
      <c r="E1532" s="308"/>
      <c r="G1532" s="297"/>
      <c r="H1532" s="297"/>
      <c r="J1532" s="297"/>
      <c r="L1532" s="312"/>
      <c r="N1532" s="297"/>
    </row>
    <row r="1533" spans="1:14" ht="15" customHeight="1" x14ac:dyDescent="0.25">
      <c r="A1533" s="497"/>
      <c r="C1533" s="404"/>
      <c r="E1533" s="308"/>
      <c r="G1533" s="297"/>
      <c r="H1533" s="297"/>
      <c r="J1533" s="297"/>
      <c r="L1533" s="312"/>
      <c r="N1533" s="297"/>
    </row>
    <row r="1534" spans="1:14" ht="15" customHeight="1" x14ac:dyDescent="0.25">
      <c r="A1534" s="497"/>
      <c r="C1534" s="404"/>
      <c r="E1534" s="308"/>
      <c r="G1534" s="297"/>
      <c r="H1534" s="297"/>
      <c r="J1534" s="297"/>
      <c r="L1534" s="312"/>
      <c r="N1534" s="297"/>
    </row>
    <row r="1535" spans="1:14" ht="15" customHeight="1" x14ac:dyDescent="0.25">
      <c r="A1535" s="497"/>
      <c r="C1535" s="404"/>
      <c r="E1535" s="308"/>
      <c r="G1535" s="297"/>
      <c r="H1535" s="297"/>
      <c r="J1535" s="297"/>
      <c r="L1535" s="312"/>
      <c r="N1535" s="297"/>
    </row>
    <row r="1536" spans="1:14" ht="15" customHeight="1" x14ac:dyDescent="0.25">
      <c r="A1536" s="497"/>
      <c r="C1536" s="404"/>
      <c r="E1536" s="308"/>
      <c r="G1536" s="297"/>
      <c r="H1536" s="297"/>
      <c r="J1536" s="297"/>
      <c r="L1536" s="312"/>
      <c r="N1536" s="297"/>
    </row>
    <row r="1537" spans="1:14" ht="15" customHeight="1" x14ac:dyDescent="0.25">
      <c r="A1537" s="497"/>
      <c r="C1537" s="404"/>
      <c r="E1537" s="308"/>
      <c r="G1537" s="297"/>
      <c r="H1537" s="297"/>
      <c r="J1537" s="297"/>
      <c r="L1537" s="312"/>
      <c r="N1537" s="297"/>
    </row>
    <row r="1538" spans="1:14" ht="15" customHeight="1" x14ac:dyDescent="0.25">
      <c r="A1538" s="497"/>
      <c r="C1538" s="404"/>
      <c r="E1538" s="308"/>
      <c r="G1538" s="297"/>
      <c r="H1538" s="297"/>
      <c r="J1538" s="297"/>
      <c r="L1538" s="312"/>
      <c r="N1538" s="297"/>
    </row>
    <row r="1539" spans="1:14" ht="15" customHeight="1" x14ac:dyDescent="0.25">
      <c r="A1539" s="497"/>
      <c r="C1539" s="404"/>
      <c r="E1539" s="308"/>
      <c r="G1539" s="297"/>
      <c r="H1539" s="297"/>
      <c r="J1539" s="297"/>
      <c r="L1539" s="312"/>
      <c r="N1539" s="297"/>
    </row>
    <row r="1540" spans="1:14" ht="15" customHeight="1" x14ac:dyDescent="0.25">
      <c r="A1540" s="497"/>
      <c r="C1540" s="404"/>
      <c r="E1540" s="308"/>
      <c r="G1540" s="297"/>
      <c r="H1540" s="297"/>
      <c r="J1540" s="297"/>
      <c r="L1540" s="312"/>
      <c r="N1540" s="297"/>
    </row>
    <row r="1541" spans="1:14" ht="15" customHeight="1" x14ac:dyDescent="0.25">
      <c r="A1541" s="497"/>
      <c r="C1541" s="404"/>
      <c r="E1541" s="308"/>
      <c r="G1541" s="297"/>
      <c r="H1541" s="297"/>
      <c r="J1541" s="297"/>
      <c r="L1541" s="312"/>
      <c r="N1541" s="297"/>
    </row>
    <row r="1542" spans="1:14" ht="15" customHeight="1" x14ac:dyDescent="0.25">
      <c r="A1542" s="497"/>
      <c r="C1542" s="404"/>
      <c r="E1542" s="308"/>
      <c r="G1542" s="297"/>
      <c r="H1542" s="297"/>
      <c r="J1542" s="297"/>
      <c r="L1542" s="312"/>
      <c r="N1542" s="297"/>
    </row>
    <row r="1543" spans="1:14" ht="15" customHeight="1" x14ac:dyDescent="0.25">
      <c r="A1543" s="497"/>
      <c r="C1543" s="404"/>
      <c r="E1543" s="308"/>
      <c r="G1543" s="297"/>
      <c r="H1543" s="297"/>
      <c r="J1543" s="297"/>
      <c r="L1543" s="312"/>
      <c r="N1543" s="297"/>
    </row>
    <row r="1544" spans="1:14" ht="15" customHeight="1" x14ac:dyDescent="0.25">
      <c r="A1544" s="497"/>
      <c r="C1544" s="404"/>
      <c r="E1544" s="308"/>
      <c r="G1544" s="297"/>
      <c r="H1544" s="297"/>
      <c r="J1544" s="297"/>
      <c r="L1544" s="312"/>
      <c r="N1544" s="297"/>
    </row>
    <row r="1545" spans="1:14" ht="15" customHeight="1" x14ac:dyDescent="0.25">
      <c r="A1545" s="497"/>
      <c r="C1545" s="404"/>
      <c r="E1545" s="308"/>
      <c r="G1545" s="297"/>
      <c r="H1545" s="297"/>
      <c r="J1545" s="297"/>
      <c r="L1545" s="312"/>
      <c r="N1545" s="297"/>
    </row>
    <row r="1546" spans="1:14" ht="15" customHeight="1" x14ac:dyDescent="0.25">
      <c r="A1546" s="497"/>
      <c r="C1546" s="404"/>
      <c r="E1546" s="308"/>
      <c r="G1546" s="297"/>
      <c r="H1546" s="297"/>
      <c r="J1546" s="297"/>
      <c r="L1546" s="312"/>
      <c r="N1546" s="297"/>
    </row>
    <row r="1547" spans="1:14" ht="15" customHeight="1" x14ac:dyDescent="0.25">
      <c r="A1547" s="497"/>
      <c r="C1547" s="404"/>
      <c r="E1547" s="308"/>
      <c r="G1547" s="297"/>
      <c r="H1547" s="297"/>
      <c r="J1547" s="297"/>
      <c r="L1547" s="312"/>
      <c r="N1547" s="297"/>
    </row>
    <row r="1548" spans="1:14" ht="15" customHeight="1" x14ac:dyDescent="0.25">
      <c r="A1548" s="497"/>
      <c r="C1548" s="404"/>
      <c r="E1548" s="308"/>
      <c r="G1548" s="297"/>
      <c r="H1548" s="297"/>
      <c r="J1548" s="297"/>
      <c r="L1548" s="312"/>
      <c r="N1548" s="297"/>
    </row>
    <row r="1549" spans="1:14" ht="15" customHeight="1" x14ac:dyDescent="0.25">
      <c r="A1549" s="497"/>
      <c r="C1549" s="404"/>
      <c r="E1549" s="308"/>
      <c r="G1549" s="297"/>
      <c r="H1549" s="297"/>
      <c r="J1549" s="297"/>
      <c r="L1549" s="312"/>
      <c r="N1549" s="297"/>
    </row>
    <row r="1550" spans="1:14" ht="15" customHeight="1" x14ac:dyDescent="0.25">
      <c r="A1550" s="497"/>
      <c r="C1550" s="404"/>
      <c r="E1550" s="308"/>
      <c r="G1550" s="297"/>
      <c r="H1550" s="297"/>
      <c r="J1550" s="297"/>
      <c r="L1550" s="312"/>
      <c r="N1550" s="297"/>
    </row>
    <row r="1551" spans="1:14" ht="15" customHeight="1" x14ac:dyDescent="0.25">
      <c r="A1551" s="497"/>
      <c r="C1551" s="404"/>
      <c r="E1551" s="308"/>
      <c r="G1551" s="297"/>
      <c r="H1551" s="297"/>
      <c r="J1551" s="297"/>
      <c r="L1551" s="312"/>
      <c r="N1551" s="297"/>
    </row>
    <row r="1552" spans="1:14" ht="15" customHeight="1" x14ac:dyDescent="0.25">
      <c r="A1552" s="497"/>
      <c r="C1552" s="404"/>
      <c r="E1552" s="308"/>
      <c r="G1552" s="297"/>
      <c r="H1552" s="297"/>
      <c r="J1552" s="297"/>
      <c r="L1552" s="312"/>
      <c r="N1552" s="297"/>
    </row>
    <row r="1553" spans="1:14" ht="15" customHeight="1" x14ac:dyDescent="0.25">
      <c r="A1553" s="497"/>
      <c r="C1553" s="404"/>
      <c r="E1553" s="308"/>
      <c r="G1553" s="297"/>
      <c r="H1553" s="297"/>
      <c r="J1553" s="297"/>
      <c r="L1553" s="312"/>
      <c r="N1553" s="297"/>
    </row>
    <row r="1554" spans="1:14" ht="15" customHeight="1" x14ac:dyDescent="0.25">
      <c r="A1554" s="497"/>
      <c r="C1554" s="404"/>
      <c r="E1554" s="308"/>
      <c r="G1554" s="297"/>
      <c r="H1554" s="297"/>
      <c r="J1554" s="297"/>
      <c r="L1554" s="312"/>
      <c r="N1554" s="297"/>
    </row>
    <row r="1555" spans="1:14" ht="15" customHeight="1" x14ac:dyDescent="0.25">
      <c r="A1555" s="497"/>
      <c r="C1555" s="404"/>
      <c r="E1555" s="308"/>
      <c r="G1555" s="297"/>
      <c r="H1555" s="297"/>
      <c r="J1555" s="297"/>
      <c r="L1555" s="312"/>
      <c r="N1555" s="297"/>
    </row>
    <row r="1556" spans="1:14" ht="15" customHeight="1" x14ac:dyDescent="0.25">
      <c r="A1556" s="497"/>
      <c r="C1556" s="404"/>
      <c r="E1556" s="308"/>
      <c r="G1556" s="297"/>
      <c r="H1556" s="297"/>
      <c r="J1556" s="297"/>
      <c r="L1556" s="312"/>
      <c r="N1556" s="297"/>
    </row>
    <row r="1557" spans="1:14" ht="15" customHeight="1" x14ac:dyDescent="0.25">
      <c r="A1557" s="497"/>
      <c r="C1557" s="404"/>
      <c r="E1557" s="308"/>
      <c r="G1557" s="297"/>
      <c r="H1557" s="297"/>
      <c r="J1557" s="297"/>
      <c r="L1557" s="312"/>
      <c r="N1557" s="297"/>
    </row>
    <row r="1558" spans="1:14" ht="15" customHeight="1" x14ac:dyDescent="0.25">
      <c r="A1558" s="497"/>
      <c r="C1558" s="404"/>
      <c r="E1558" s="308"/>
      <c r="G1558" s="297"/>
      <c r="H1558" s="297"/>
      <c r="J1558" s="297"/>
      <c r="L1558" s="312"/>
      <c r="N1558" s="297"/>
    </row>
    <row r="1559" spans="1:14" ht="15" customHeight="1" x14ac:dyDescent="0.25">
      <c r="A1559" s="497"/>
      <c r="C1559" s="404"/>
      <c r="E1559" s="308"/>
      <c r="G1559" s="297"/>
      <c r="H1559" s="297"/>
      <c r="J1559" s="297"/>
      <c r="L1559" s="312"/>
      <c r="N1559" s="297"/>
    </row>
    <row r="1560" spans="1:14" ht="15" customHeight="1" x14ac:dyDescent="0.25">
      <c r="A1560" s="497"/>
      <c r="C1560" s="404"/>
      <c r="E1560" s="308"/>
      <c r="G1560" s="297"/>
      <c r="H1560" s="297"/>
      <c r="J1560" s="297"/>
      <c r="L1560" s="312"/>
      <c r="N1560" s="297"/>
    </row>
    <row r="1561" spans="1:14" ht="15" customHeight="1" x14ac:dyDescent="0.25">
      <c r="A1561" s="497"/>
      <c r="C1561" s="404"/>
      <c r="E1561" s="308"/>
      <c r="G1561" s="297"/>
      <c r="H1561" s="297"/>
      <c r="J1561" s="297"/>
      <c r="L1561" s="312"/>
      <c r="N1561" s="297"/>
    </row>
    <row r="1562" spans="1:14" ht="15" customHeight="1" x14ac:dyDescent="0.25">
      <c r="A1562" s="497"/>
      <c r="C1562" s="404"/>
      <c r="E1562" s="308"/>
      <c r="G1562" s="297"/>
      <c r="H1562" s="297"/>
      <c r="J1562" s="297"/>
      <c r="L1562" s="312"/>
      <c r="N1562" s="297"/>
    </row>
    <row r="1563" spans="1:14" ht="15" customHeight="1" x14ac:dyDescent="0.25">
      <c r="A1563" s="497"/>
      <c r="C1563" s="404"/>
      <c r="E1563" s="308"/>
      <c r="G1563" s="297"/>
      <c r="H1563" s="297"/>
      <c r="J1563" s="297"/>
      <c r="L1563" s="312"/>
      <c r="N1563" s="297"/>
    </row>
    <row r="1564" spans="1:14" ht="15" customHeight="1" x14ac:dyDescent="0.25">
      <c r="A1564" s="497"/>
      <c r="C1564" s="404"/>
      <c r="E1564" s="308"/>
      <c r="G1564" s="297"/>
      <c r="H1564" s="297"/>
      <c r="J1564" s="297"/>
      <c r="L1564" s="312"/>
      <c r="N1564" s="297"/>
    </row>
    <row r="1565" spans="1:14" ht="15" customHeight="1" x14ac:dyDescent="0.25">
      <c r="A1565" s="497"/>
      <c r="C1565" s="404"/>
      <c r="E1565" s="308"/>
      <c r="G1565" s="297"/>
      <c r="H1565" s="297"/>
      <c r="J1565" s="297"/>
      <c r="L1565" s="312"/>
      <c r="N1565" s="297"/>
    </row>
    <row r="1566" spans="1:14" ht="15" customHeight="1" x14ac:dyDescent="0.25">
      <c r="A1566" s="497"/>
      <c r="C1566" s="404"/>
      <c r="E1566" s="308"/>
      <c r="G1566" s="297"/>
      <c r="H1566" s="297"/>
      <c r="J1566" s="297"/>
      <c r="L1566" s="312"/>
      <c r="N1566" s="297"/>
    </row>
    <row r="1567" spans="1:14" ht="15" customHeight="1" x14ac:dyDescent="0.25">
      <c r="A1567" s="497"/>
      <c r="C1567" s="404"/>
      <c r="E1567" s="308"/>
      <c r="G1567" s="297"/>
      <c r="H1567" s="297"/>
      <c r="J1567" s="297"/>
      <c r="L1567" s="312"/>
      <c r="N1567" s="297"/>
    </row>
    <row r="1568" spans="1:14" ht="15" customHeight="1" x14ac:dyDescent="0.25">
      <c r="A1568" s="497"/>
      <c r="C1568" s="404"/>
      <c r="E1568" s="308"/>
      <c r="G1568" s="297"/>
      <c r="H1568" s="297"/>
      <c r="J1568" s="297"/>
      <c r="L1568" s="312"/>
      <c r="N1568" s="297"/>
    </row>
    <row r="1569" spans="1:14" ht="15" customHeight="1" x14ac:dyDescent="0.25">
      <c r="A1569" s="497"/>
      <c r="C1569" s="404"/>
      <c r="E1569" s="308"/>
      <c r="G1569" s="297"/>
      <c r="H1569" s="297"/>
      <c r="J1569" s="297"/>
      <c r="L1569" s="312"/>
      <c r="N1569" s="297"/>
    </row>
    <row r="1570" spans="1:14" ht="15" customHeight="1" x14ac:dyDescent="0.25">
      <c r="A1570" s="497"/>
      <c r="C1570" s="404"/>
      <c r="E1570" s="308"/>
      <c r="G1570" s="297"/>
      <c r="H1570" s="297"/>
      <c r="J1570" s="297"/>
      <c r="L1570" s="312"/>
      <c r="N1570" s="297"/>
    </row>
    <row r="1571" spans="1:14" ht="15" customHeight="1" x14ac:dyDescent="0.25">
      <c r="A1571" s="497"/>
      <c r="C1571" s="404"/>
      <c r="E1571" s="308"/>
      <c r="G1571" s="297"/>
      <c r="H1571" s="297"/>
      <c r="J1571" s="297"/>
      <c r="L1571" s="312"/>
      <c r="N1571" s="297"/>
    </row>
    <row r="1572" spans="1:14" ht="15" customHeight="1" x14ac:dyDescent="0.25">
      <c r="A1572" s="497"/>
      <c r="C1572" s="404"/>
      <c r="E1572" s="308"/>
      <c r="G1572" s="297"/>
      <c r="H1572" s="297"/>
      <c r="J1572" s="297"/>
      <c r="L1572" s="312"/>
      <c r="N1572" s="297"/>
    </row>
    <row r="1573" spans="1:14" ht="15" customHeight="1" x14ac:dyDescent="0.25">
      <c r="A1573" s="497"/>
      <c r="C1573" s="404"/>
      <c r="E1573" s="308"/>
      <c r="G1573" s="297"/>
      <c r="H1573" s="297"/>
      <c r="J1573" s="297"/>
      <c r="L1573" s="312"/>
      <c r="N1573" s="297"/>
    </row>
    <row r="1574" spans="1:14" ht="15" customHeight="1" x14ac:dyDescent="0.25">
      <c r="A1574" s="497"/>
      <c r="C1574" s="404"/>
      <c r="E1574" s="308"/>
      <c r="G1574" s="297"/>
      <c r="H1574" s="297"/>
      <c r="J1574" s="297"/>
      <c r="L1574" s="312"/>
      <c r="N1574" s="297"/>
    </row>
    <row r="1575" spans="1:14" ht="15" customHeight="1" x14ac:dyDescent="0.25">
      <c r="A1575" s="497"/>
      <c r="C1575" s="404"/>
      <c r="E1575" s="308"/>
      <c r="G1575" s="297"/>
      <c r="H1575" s="297"/>
      <c r="J1575" s="297"/>
      <c r="L1575" s="312"/>
      <c r="N1575" s="297"/>
    </row>
    <row r="1576" spans="1:14" ht="15" customHeight="1" x14ac:dyDescent="0.25">
      <c r="A1576" s="497"/>
      <c r="C1576" s="404"/>
      <c r="E1576" s="308"/>
      <c r="G1576" s="297"/>
      <c r="H1576" s="297"/>
      <c r="J1576" s="297"/>
      <c r="L1576" s="312"/>
      <c r="N1576" s="297"/>
    </row>
    <row r="1577" spans="1:14" ht="15" customHeight="1" x14ac:dyDescent="0.25">
      <c r="A1577" s="497"/>
      <c r="C1577" s="404"/>
      <c r="E1577" s="308"/>
      <c r="G1577" s="297"/>
      <c r="H1577" s="297"/>
      <c r="J1577" s="297"/>
      <c r="L1577" s="312"/>
      <c r="N1577" s="297"/>
    </row>
    <row r="1578" spans="1:14" ht="15" customHeight="1" x14ac:dyDescent="0.25">
      <c r="A1578" s="497"/>
      <c r="C1578" s="404"/>
      <c r="E1578" s="308"/>
      <c r="G1578" s="297"/>
      <c r="H1578" s="297"/>
      <c r="J1578" s="297"/>
      <c r="L1578" s="312"/>
      <c r="N1578" s="297"/>
    </row>
    <row r="1579" spans="1:14" ht="15" customHeight="1" x14ac:dyDescent="0.25">
      <c r="A1579" s="497"/>
      <c r="C1579" s="404"/>
      <c r="E1579" s="308"/>
      <c r="G1579" s="297"/>
      <c r="H1579" s="297"/>
      <c r="J1579" s="297"/>
      <c r="L1579" s="312"/>
      <c r="N1579" s="297"/>
    </row>
    <row r="1580" spans="1:14" ht="15" customHeight="1" x14ac:dyDescent="0.25">
      <c r="A1580" s="497"/>
      <c r="C1580" s="404"/>
      <c r="E1580" s="308"/>
      <c r="G1580" s="297"/>
      <c r="H1580" s="297"/>
      <c r="J1580" s="297"/>
      <c r="L1580" s="312"/>
      <c r="N1580" s="297"/>
    </row>
    <row r="1581" spans="1:14" ht="15" customHeight="1" x14ac:dyDescent="0.25">
      <c r="A1581" s="497"/>
      <c r="C1581" s="404"/>
      <c r="E1581" s="308"/>
      <c r="G1581" s="297"/>
      <c r="H1581" s="297"/>
      <c r="J1581" s="297"/>
      <c r="L1581" s="312"/>
      <c r="N1581" s="297"/>
    </row>
    <row r="1582" spans="1:14" ht="15" customHeight="1" x14ac:dyDescent="0.25">
      <c r="A1582" s="497"/>
      <c r="C1582" s="404"/>
      <c r="E1582" s="308"/>
      <c r="G1582" s="297"/>
      <c r="H1582" s="297"/>
      <c r="J1582" s="297"/>
      <c r="L1582" s="312"/>
      <c r="N1582" s="297"/>
    </row>
    <row r="1583" spans="1:14" ht="15" customHeight="1" x14ac:dyDescent="0.25">
      <c r="A1583" s="497"/>
      <c r="C1583" s="404"/>
      <c r="E1583" s="308"/>
      <c r="G1583" s="297"/>
      <c r="H1583" s="297"/>
      <c r="J1583" s="297"/>
      <c r="L1583" s="312"/>
      <c r="N1583" s="297"/>
    </row>
    <row r="1584" spans="1:14" ht="15" customHeight="1" x14ac:dyDescent="0.25">
      <c r="A1584" s="497"/>
      <c r="C1584" s="404"/>
      <c r="E1584" s="308"/>
      <c r="G1584" s="297"/>
      <c r="H1584" s="297"/>
      <c r="J1584" s="297"/>
      <c r="L1584" s="312"/>
      <c r="N1584" s="297"/>
    </row>
    <row r="1585" spans="1:14" ht="15" customHeight="1" x14ac:dyDescent="0.25">
      <c r="A1585" s="497"/>
      <c r="C1585" s="404"/>
      <c r="E1585" s="308"/>
      <c r="G1585" s="297"/>
      <c r="H1585" s="297"/>
      <c r="J1585" s="297"/>
      <c r="L1585" s="312"/>
      <c r="N1585" s="297"/>
    </row>
    <row r="1586" spans="1:14" ht="15" customHeight="1" x14ac:dyDescent="0.25">
      <c r="A1586" s="497"/>
      <c r="C1586" s="404"/>
      <c r="E1586" s="308"/>
      <c r="G1586" s="297"/>
      <c r="H1586" s="297"/>
      <c r="J1586" s="297"/>
      <c r="L1586" s="312"/>
      <c r="N1586" s="297"/>
    </row>
    <row r="1587" spans="1:14" ht="15" customHeight="1" x14ac:dyDescent="0.25">
      <c r="A1587" s="497"/>
      <c r="C1587" s="404"/>
      <c r="E1587" s="308"/>
      <c r="G1587" s="297"/>
      <c r="H1587" s="297"/>
      <c r="J1587" s="297"/>
      <c r="L1587" s="312"/>
      <c r="N1587" s="297"/>
    </row>
    <row r="1588" spans="1:14" ht="15" customHeight="1" x14ac:dyDescent="0.25">
      <c r="A1588" s="497"/>
      <c r="C1588" s="404"/>
      <c r="E1588" s="308"/>
      <c r="G1588" s="297"/>
      <c r="H1588" s="297"/>
      <c r="J1588" s="297"/>
      <c r="L1588" s="312"/>
      <c r="N1588" s="297"/>
    </row>
    <row r="1589" spans="1:14" ht="15" customHeight="1" x14ac:dyDescent="0.25">
      <c r="A1589" s="497"/>
      <c r="C1589" s="404"/>
      <c r="E1589" s="308"/>
      <c r="G1589" s="297"/>
      <c r="H1589" s="297"/>
      <c r="J1589" s="297"/>
      <c r="L1589" s="312"/>
      <c r="N1589" s="297"/>
    </row>
    <row r="1590" spans="1:14" ht="15" customHeight="1" x14ac:dyDescent="0.25">
      <c r="A1590" s="497"/>
      <c r="C1590" s="404"/>
      <c r="E1590" s="308"/>
      <c r="G1590" s="297"/>
      <c r="H1590" s="297"/>
      <c r="J1590" s="297"/>
      <c r="L1590" s="312"/>
      <c r="N1590" s="297"/>
    </row>
    <row r="1591" spans="1:14" ht="15" customHeight="1" x14ac:dyDescent="0.25">
      <c r="A1591" s="497"/>
      <c r="C1591" s="404"/>
      <c r="E1591" s="308"/>
      <c r="G1591" s="297"/>
      <c r="H1591" s="297"/>
      <c r="J1591" s="297"/>
      <c r="L1591" s="312"/>
      <c r="N1591" s="297"/>
    </row>
    <row r="1592" spans="1:14" ht="15" customHeight="1" x14ac:dyDescent="0.25">
      <c r="A1592" s="497"/>
      <c r="C1592" s="404"/>
      <c r="E1592" s="308"/>
      <c r="G1592" s="297"/>
      <c r="H1592" s="297"/>
      <c r="J1592" s="297"/>
      <c r="L1592" s="312"/>
      <c r="N1592" s="297"/>
    </row>
    <row r="1593" spans="1:14" ht="15" customHeight="1" x14ac:dyDescent="0.25">
      <c r="A1593" s="497"/>
      <c r="C1593" s="404"/>
      <c r="E1593" s="308"/>
      <c r="G1593" s="297"/>
      <c r="H1593" s="297"/>
      <c r="J1593" s="297"/>
      <c r="L1593" s="312"/>
      <c r="N1593" s="297"/>
    </row>
    <row r="1594" spans="1:14" ht="15" customHeight="1" x14ac:dyDescent="0.25">
      <c r="A1594" s="497"/>
      <c r="C1594" s="404"/>
      <c r="E1594" s="308"/>
      <c r="G1594" s="297"/>
      <c r="H1594" s="297"/>
      <c r="J1594" s="297"/>
      <c r="L1594" s="312"/>
      <c r="N1594" s="297"/>
    </row>
    <row r="1595" spans="1:14" ht="15" customHeight="1" x14ac:dyDescent="0.25">
      <c r="A1595" s="497"/>
      <c r="C1595" s="404"/>
      <c r="E1595" s="308"/>
      <c r="G1595" s="297"/>
      <c r="H1595" s="297"/>
      <c r="J1595" s="297"/>
      <c r="L1595" s="312"/>
      <c r="N1595" s="297"/>
    </row>
    <row r="1596" spans="1:14" ht="15" customHeight="1" x14ac:dyDescent="0.25">
      <c r="A1596" s="497"/>
      <c r="C1596" s="404"/>
      <c r="E1596" s="308"/>
      <c r="G1596" s="297"/>
      <c r="H1596" s="297"/>
      <c r="J1596" s="297"/>
      <c r="L1596" s="312"/>
      <c r="N1596" s="297"/>
    </row>
    <row r="1597" spans="1:14" ht="15" customHeight="1" x14ac:dyDescent="0.25">
      <c r="A1597" s="497"/>
      <c r="C1597" s="404"/>
      <c r="E1597" s="308"/>
      <c r="G1597" s="297"/>
      <c r="H1597" s="297"/>
      <c r="J1597" s="297"/>
      <c r="L1597" s="312"/>
      <c r="N1597" s="297"/>
    </row>
    <row r="1598" spans="1:14" ht="15" customHeight="1" x14ac:dyDescent="0.25">
      <c r="A1598" s="497"/>
      <c r="C1598" s="404"/>
      <c r="E1598" s="308"/>
      <c r="G1598" s="297"/>
      <c r="H1598" s="297"/>
      <c r="J1598" s="297"/>
      <c r="L1598" s="312"/>
      <c r="N1598" s="297"/>
    </row>
    <row r="1599" spans="1:14" ht="15" customHeight="1" x14ac:dyDescent="0.25">
      <c r="A1599" s="497"/>
      <c r="C1599" s="404"/>
      <c r="E1599" s="308"/>
      <c r="G1599" s="297"/>
      <c r="H1599" s="297"/>
      <c r="J1599" s="297"/>
      <c r="L1599" s="312"/>
      <c r="N1599" s="297"/>
    </row>
    <row r="1600" spans="1:14" ht="15" customHeight="1" x14ac:dyDescent="0.25">
      <c r="A1600" s="497"/>
      <c r="C1600" s="404"/>
      <c r="E1600" s="308"/>
      <c r="G1600" s="297"/>
      <c r="H1600" s="297"/>
      <c r="J1600" s="297"/>
      <c r="L1600" s="312"/>
      <c r="N1600" s="297"/>
    </row>
    <row r="1601" spans="1:14" ht="15" customHeight="1" x14ac:dyDescent="0.25">
      <c r="A1601" s="497"/>
      <c r="C1601" s="404"/>
      <c r="E1601" s="308"/>
      <c r="G1601" s="297"/>
      <c r="H1601" s="297"/>
      <c r="J1601" s="297"/>
      <c r="L1601" s="312"/>
      <c r="N1601" s="297"/>
    </row>
    <row r="1602" spans="1:14" ht="15" customHeight="1" x14ac:dyDescent="0.25">
      <c r="A1602" s="497"/>
      <c r="C1602" s="404"/>
      <c r="E1602" s="308"/>
      <c r="G1602" s="297"/>
      <c r="H1602" s="297"/>
      <c r="J1602" s="297"/>
      <c r="L1602" s="312"/>
      <c r="N1602" s="297"/>
    </row>
    <row r="1603" spans="1:14" ht="15" customHeight="1" x14ac:dyDescent="0.25">
      <c r="A1603" s="497"/>
      <c r="C1603" s="404"/>
      <c r="E1603" s="308"/>
      <c r="G1603" s="297"/>
      <c r="H1603" s="297"/>
      <c r="J1603" s="297"/>
      <c r="L1603" s="312"/>
      <c r="N1603" s="297"/>
    </row>
    <row r="1604" spans="1:14" ht="15" customHeight="1" x14ac:dyDescent="0.25">
      <c r="A1604" s="497"/>
      <c r="C1604" s="404"/>
      <c r="E1604" s="308"/>
      <c r="G1604" s="297"/>
      <c r="H1604" s="297"/>
      <c r="J1604" s="297"/>
      <c r="L1604" s="312"/>
      <c r="N1604" s="297"/>
    </row>
    <row r="1605" spans="1:14" ht="15" customHeight="1" x14ac:dyDescent="0.25">
      <c r="A1605" s="497"/>
      <c r="C1605" s="404"/>
      <c r="E1605" s="308"/>
      <c r="G1605" s="297"/>
      <c r="H1605" s="297"/>
      <c r="J1605" s="297"/>
      <c r="L1605" s="312"/>
      <c r="N1605" s="297"/>
    </row>
    <row r="1606" spans="1:14" ht="15" customHeight="1" x14ac:dyDescent="0.25">
      <c r="A1606" s="497"/>
      <c r="C1606" s="404"/>
      <c r="E1606" s="308"/>
      <c r="G1606" s="297"/>
      <c r="H1606" s="297"/>
      <c r="J1606" s="297"/>
      <c r="L1606" s="312"/>
      <c r="N1606" s="297"/>
    </row>
    <row r="1607" spans="1:14" ht="15" customHeight="1" x14ac:dyDescent="0.25">
      <c r="A1607" s="497"/>
      <c r="C1607" s="404"/>
      <c r="E1607" s="308"/>
      <c r="G1607" s="297"/>
      <c r="H1607" s="297"/>
      <c r="J1607" s="297"/>
      <c r="L1607" s="312"/>
      <c r="N1607" s="297"/>
    </row>
    <row r="1608" spans="1:14" ht="15" customHeight="1" x14ac:dyDescent="0.25">
      <c r="A1608" s="497"/>
      <c r="C1608" s="404"/>
      <c r="E1608" s="308"/>
      <c r="G1608" s="297"/>
      <c r="H1608" s="297"/>
      <c r="J1608" s="297"/>
      <c r="L1608" s="312"/>
      <c r="N1608" s="297"/>
    </row>
    <row r="1609" spans="1:14" ht="15" customHeight="1" x14ac:dyDescent="0.25">
      <c r="A1609" s="497"/>
      <c r="C1609" s="404"/>
      <c r="E1609" s="308"/>
      <c r="G1609" s="297"/>
      <c r="H1609" s="297"/>
      <c r="J1609" s="297"/>
      <c r="L1609" s="312"/>
      <c r="N1609" s="297"/>
    </row>
    <row r="1610" spans="1:14" ht="15" customHeight="1" x14ac:dyDescent="0.25">
      <c r="A1610" s="497"/>
      <c r="C1610" s="404"/>
      <c r="E1610" s="308"/>
      <c r="G1610" s="297"/>
      <c r="H1610" s="297"/>
      <c r="J1610" s="297"/>
      <c r="L1610" s="312"/>
      <c r="N1610" s="297"/>
    </row>
    <row r="1611" spans="1:14" ht="15" customHeight="1" x14ac:dyDescent="0.25">
      <c r="A1611" s="497"/>
      <c r="C1611" s="404"/>
      <c r="E1611" s="308"/>
      <c r="G1611" s="297"/>
      <c r="H1611" s="297"/>
      <c r="J1611" s="297"/>
      <c r="L1611" s="312"/>
      <c r="N1611" s="297"/>
    </row>
    <row r="1612" spans="1:14" ht="15" customHeight="1" x14ac:dyDescent="0.25">
      <c r="A1612" s="497"/>
      <c r="C1612" s="404"/>
      <c r="E1612" s="308"/>
      <c r="G1612" s="297"/>
      <c r="H1612" s="297"/>
      <c r="J1612" s="297"/>
      <c r="L1612" s="312"/>
      <c r="N1612" s="297"/>
    </row>
    <row r="1613" spans="1:14" ht="15" customHeight="1" x14ac:dyDescent="0.25">
      <c r="A1613" s="497"/>
      <c r="C1613" s="404"/>
      <c r="E1613" s="308"/>
      <c r="G1613" s="297"/>
      <c r="H1613" s="297"/>
      <c r="J1613" s="297"/>
      <c r="L1613" s="312"/>
      <c r="N1613" s="297"/>
    </row>
    <row r="1614" spans="1:14" ht="15" customHeight="1" x14ac:dyDescent="0.25">
      <c r="A1614" s="497"/>
      <c r="C1614" s="404"/>
      <c r="E1614" s="308"/>
      <c r="G1614" s="297"/>
      <c r="H1614" s="297"/>
      <c r="J1614" s="297"/>
      <c r="L1614" s="312"/>
      <c r="N1614" s="297"/>
    </row>
    <row r="1615" spans="1:14" ht="15" customHeight="1" x14ac:dyDescent="0.25">
      <c r="A1615" s="497"/>
      <c r="C1615" s="404"/>
      <c r="E1615" s="308"/>
      <c r="G1615" s="297"/>
      <c r="H1615" s="297"/>
      <c r="J1615" s="297"/>
      <c r="L1615" s="312"/>
      <c r="N1615" s="297"/>
    </row>
    <row r="1616" spans="1:14" ht="15" customHeight="1" x14ac:dyDescent="0.25">
      <c r="A1616" s="497"/>
      <c r="C1616" s="404"/>
      <c r="E1616" s="308"/>
      <c r="G1616" s="297"/>
      <c r="H1616" s="297"/>
      <c r="J1616" s="297"/>
      <c r="L1616" s="312"/>
      <c r="N1616" s="297"/>
    </row>
    <row r="1617" spans="1:14" ht="15" customHeight="1" x14ac:dyDescent="0.25">
      <c r="A1617" s="497"/>
      <c r="C1617" s="404"/>
      <c r="E1617" s="308"/>
      <c r="G1617" s="297"/>
      <c r="H1617" s="297"/>
      <c r="J1617" s="297"/>
      <c r="L1617" s="312"/>
      <c r="N1617" s="297"/>
    </row>
    <row r="1618" spans="1:14" ht="15" customHeight="1" x14ac:dyDescent="0.25">
      <c r="A1618" s="497"/>
      <c r="C1618" s="404"/>
      <c r="E1618" s="308"/>
      <c r="G1618" s="297"/>
      <c r="H1618" s="297"/>
      <c r="J1618" s="297"/>
      <c r="L1618" s="312"/>
      <c r="N1618" s="297"/>
    </row>
    <row r="1619" spans="1:14" ht="15" customHeight="1" x14ac:dyDescent="0.25">
      <c r="A1619" s="497"/>
      <c r="C1619" s="404"/>
      <c r="E1619" s="308"/>
      <c r="G1619" s="297"/>
      <c r="H1619" s="297"/>
      <c r="J1619" s="297"/>
      <c r="L1619" s="312"/>
      <c r="N1619" s="297"/>
    </row>
    <row r="1620" spans="1:14" ht="15" customHeight="1" x14ac:dyDescent="0.25">
      <c r="A1620" s="497"/>
      <c r="C1620" s="404"/>
      <c r="E1620" s="308"/>
      <c r="G1620" s="297"/>
      <c r="H1620" s="297"/>
      <c r="J1620" s="297"/>
      <c r="L1620" s="312"/>
      <c r="N1620" s="297"/>
    </row>
    <row r="1621" spans="1:14" ht="15" customHeight="1" x14ac:dyDescent="0.25">
      <c r="A1621" s="497"/>
      <c r="C1621" s="404"/>
      <c r="E1621" s="308"/>
      <c r="G1621" s="297"/>
      <c r="H1621" s="297"/>
      <c r="J1621" s="297"/>
      <c r="L1621" s="312"/>
      <c r="N1621" s="297"/>
    </row>
    <row r="1622" spans="1:14" ht="15" customHeight="1" x14ac:dyDescent="0.25">
      <c r="A1622" s="497"/>
      <c r="C1622" s="404"/>
      <c r="E1622" s="308"/>
      <c r="G1622" s="297"/>
      <c r="H1622" s="297"/>
      <c r="J1622" s="297"/>
      <c r="L1622" s="312"/>
      <c r="N1622" s="297"/>
    </row>
    <row r="1623" spans="1:14" ht="15" customHeight="1" x14ac:dyDescent="0.25">
      <c r="A1623" s="497"/>
      <c r="C1623" s="404"/>
      <c r="E1623" s="308"/>
      <c r="G1623" s="297"/>
      <c r="H1623" s="297"/>
      <c r="J1623" s="297"/>
      <c r="L1623" s="312"/>
      <c r="N1623" s="297"/>
    </row>
    <row r="1624" spans="1:14" ht="15" customHeight="1" x14ac:dyDescent="0.25">
      <c r="A1624" s="497"/>
      <c r="C1624" s="404"/>
      <c r="E1624" s="308"/>
      <c r="G1624" s="297"/>
      <c r="H1624" s="297"/>
      <c r="J1624" s="297"/>
      <c r="L1624" s="312"/>
      <c r="N1624" s="297"/>
    </row>
    <row r="1625" spans="1:14" ht="15" customHeight="1" x14ac:dyDescent="0.25">
      <c r="A1625" s="497"/>
      <c r="C1625" s="404"/>
      <c r="E1625" s="308"/>
      <c r="G1625" s="297"/>
      <c r="H1625" s="297"/>
      <c r="J1625" s="297"/>
      <c r="L1625" s="312"/>
      <c r="N1625" s="297"/>
    </row>
    <row r="1626" spans="1:14" ht="15" customHeight="1" x14ac:dyDescent="0.25">
      <c r="A1626" s="497"/>
      <c r="C1626" s="404"/>
      <c r="E1626" s="308"/>
      <c r="G1626" s="297"/>
      <c r="H1626" s="297"/>
      <c r="J1626" s="297"/>
      <c r="L1626" s="312"/>
      <c r="N1626" s="297"/>
    </row>
    <row r="1627" spans="1:14" ht="15" customHeight="1" x14ac:dyDescent="0.25">
      <c r="A1627" s="497"/>
      <c r="C1627" s="404"/>
      <c r="E1627" s="308"/>
      <c r="G1627" s="297"/>
      <c r="H1627" s="297"/>
      <c r="J1627" s="297"/>
      <c r="L1627" s="312"/>
      <c r="N1627" s="297"/>
    </row>
    <row r="1628" spans="1:14" ht="15" customHeight="1" x14ac:dyDescent="0.25">
      <c r="A1628" s="497"/>
      <c r="C1628" s="404"/>
      <c r="E1628" s="308"/>
      <c r="G1628" s="297"/>
      <c r="H1628" s="297"/>
      <c r="J1628" s="297"/>
      <c r="L1628" s="312"/>
      <c r="N1628" s="297"/>
    </row>
    <row r="1629" spans="1:14" ht="15" customHeight="1" x14ac:dyDescent="0.25">
      <c r="A1629" s="497"/>
      <c r="C1629" s="404"/>
      <c r="E1629" s="308"/>
      <c r="G1629" s="297"/>
      <c r="H1629" s="297"/>
      <c r="J1629" s="297"/>
      <c r="L1629" s="312"/>
      <c r="N1629" s="297"/>
    </row>
    <row r="1630" spans="1:14" ht="15" customHeight="1" x14ac:dyDescent="0.25">
      <c r="A1630" s="497"/>
      <c r="C1630" s="404"/>
      <c r="E1630" s="308"/>
      <c r="G1630" s="297"/>
      <c r="H1630" s="297"/>
      <c r="J1630" s="297"/>
      <c r="L1630" s="312"/>
      <c r="N1630" s="297"/>
    </row>
    <row r="1631" spans="1:14" ht="15" customHeight="1" x14ac:dyDescent="0.25">
      <c r="A1631" s="497"/>
      <c r="C1631" s="404"/>
      <c r="E1631" s="308"/>
      <c r="G1631" s="297"/>
      <c r="H1631" s="297"/>
      <c r="J1631" s="297"/>
      <c r="L1631" s="312"/>
      <c r="N1631" s="297"/>
    </row>
    <row r="1632" spans="1:14" ht="15" customHeight="1" x14ac:dyDescent="0.25">
      <c r="A1632" s="497"/>
      <c r="C1632" s="404"/>
      <c r="E1632" s="308"/>
      <c r="G1632" s="297"/>
      <c r="H1632" s="297"/>
      <c r="J1632" s="297"/>
      <c r="L1632" s="312"/>
      <c r="N1632" s="297"/>
    </row>
    <row r="1633" spans="1:14" ht="15" customHeight="1" x14ac:dyDescent="0.25">
      <c r="A1633" s="497"/>
      <c r="C1633" s="404"/>
      <c r="E1633" s="308"/>
      <c r="G1633" s="297"/>
      <c r="H1633" s="297"/>
      <c r="J1633" s="297"/>
      <c r="L1633" s="312"/>
      <c r="N1633" s="297"/>
    </row>
    <row r="1634" spans="1:14" ht="15" customHeight="1" x14ac:dyDescent="0.25">
      <c r="A1634" s="497"/>
      <c r="C1634" s="404"/>
      <c r="E1634" s="308"/>
      <c r="G1634" s="297"/>
      <c r="H1634" s="297"/>
      <c r="J1634" s="297"/>
      <c r="L1634" s="312"/>
      <c r="N1634" s="297"/>
    </row>
    <row r="1635" spans="1:14" ht="15" customHeight="1" x14ac:dyDescent="0.25">
      <c r="A1635" s="497"/>
      <c r="C1635" s="404"/>
      <c r="E1635" s="308"/>
      <c r="G1635" s="297"/>
      <c r="H1635" s="297"/>
      <c r="J1635" s="297"/>
      <c r="L1635" s="312"/>
      <c r="N1635" s="297"/>
    </row>
    <row r="1636" spans="1:14" ht="15" customHeight="1" x14ac:dyDescent="0.25">
      <c r="A1636" s="497"/>
      <c r="C1636" s="404"/>
      <c r="E1636" s="308"/>
      <c r="G1636" s="297"/>
      <c r="H1636" s="297"/>
      <c r="J1636" s="297"/>
      <c r="L1636" s="312"/>
      <c r="N1636" s="297"/>
    </row>
    <row r="1637" spans="1:14" ht="15" customHeight="1" x14ac:dyDescent="0.25">
      <c r="A1637" s="497"/>
      <c r="C1637" s="404"/>
      <c r="E1637" s="308"/>
      <c r="G1637" s="297"/>
      <c r="H1637" s="297"/>
      <c r="J1637" s="297"/>
      <c r="L1637" s="312"/>
      <c r="N1637" s="297"/>
    </row>
    <row r="1638" spans="1:14" ht="15" customHeight="1" x14ac:dyDescent="0.25">
      <c r="A1638" s="497"/>
      <c r="C1638" s="404"/>
      <c r="E1638" s="308"/>
      <c r="G1638" s="297"/>
      <c r="H1638" s="297"/>
      <c r="J1638" s="297"/>
      <c r="L1638" s="312"/>
      <c r="N1638" s="297"/>
    </row>
    <row r="1639" spans="1:14" ht="15" customHeight="1" x14ac:dyDescent="0.25">
      <c r="A1639" s="497"/>
      <c r="C1639" s="404"/>
      <c r="E1639" s="308"/>
      <c r="G1639" s="297"/>
      <c r="H1639" s="297"/>
      <c r="J1639" s="297"/>
      <c r="L1639" s="312"/>
      <c r="N1639" s="297"/>
    </row>
    <row r="1640" spans="1:14" ht="15" customHeight="1" x14ac:dyDescent="0.25">
      <c r="A1640" s="497"/>
      <c r="C1640" s="404"/>
      <c r="E1640" s="308"/>
      <c r="G1640" s="297"/>
      <c r="H1640" s="297"/>
      <c r="J1640" s="297"/>
      <c r="L1640" s="312"/>
      <c r="N1640" s="297"/>
    </row>
    <row r="1641" spans="1:14" ht="15" customHeight="1" x14ac:dyDescent="0.25">
      <c r="A1641" s="497"/>
      <c r="C1641" s="404"/>
      <c r="E1641" s="308"/>
      <c r="G1641" s="297"/>
      <c r="H1641" s="297"/>
      <c r="J1641" s="297"/>
      <c r="L1641" s="312"/>
      <c r="N1641" s="297"/>
    </row>
    <row r="1642" spans="1:14" ht="15" customHeight="1" x14ac:dyDescent="0.25">
      <c r="A1642" s="497"/>
      <c r="C1642" s="404"/>
      <c r="E1642" s="308"/>
      <c r="G1642" s="297"/>
      <c r="H1642" s="297"/>
      <c r="J1642" s="297"/>
      <c r="L1642" s="312"/>
      <c r="N1642" s="297"/>
    </row>
    <row r="1643" spans="1:14" ht="15" customHeight="1" x14ac:dyDescent="0.25">
      <c r="A1643" s="497"/>
      <c r="C1643" s="404"/>
      <c r="E1643" s="308"/>
      <c r="G1643" s="297"/>
      <c r="H1643" s="297"/>
      <c r="J1643" s="297"/>
      <c r="L1643" s="312"/>
      <c r="N1643" s="297"/>
    </row>
    <row r="1644" spans="1:14" ht="15" customHeight="1" x14ac:dyDescent="0.25">
      <c r="A1644" s="497"/>
      <c r="C1644" s="404"/>
      <c r="E1644" s="308"/>
      <c r="G1644" s="297"/>
      <c r="H1644" s="297"/>
      <c r="J1644" s="297"/>
      <c r="L1644" s="312"/>
      <c r="N1644" s="297"/>
    </row>
    <row r="1645" spans="1:14" ht="15" customHeight="1" x14ac:dyDescent="0.25">
      <c r="A1645" s="497"/>
      <c r="C1645" s="404"/>
      <c r="E1645" s="308"/>
      <c r="G1645" s="297"/>
      <c r="H1645" s="297"/>
      <c r="J1645" s="297"/>
      <c r="L1645" s="312"/>
      <c r="N1645" s="297"/>
    </row>
    <row r="1646" spans="1:14" ht="15" customHeight="1" x14ac:dyDescent="0.25">
      <c r="A1646" s="497"/>
      <c r="C1646" s="404"/>
      <c r="E1646" s="308"/>
      <c r="G1646" s="297"/>
      <c r="H1646" s="297"/>
      <c r="J1646" s="297"/>
      <c r="L1646" s="312"/>
      <c r="N1646" s="297"/>
    </row>
    <row r="1647" spans="1:14" ht="15" customHeight="1" x14ac:dyDescent="0.25">
      <c r="A1647" s="497"/>
      <c r="C1647" s="404"/>
      <c r="E1647" s="308"/>
      <c r="G1647" s="297"/>
      <c r="H1647" s="297"/>
      <c r="J1647" s="297"/>
      <c r="L1647" s="312"/>
      <c r="N1647" s="297"/>
    </row>
    <row r="1648" spans="1:14" ht="15" customHeight="1" x14ac:dyDescent="0.25">
      <c r="A1648" s="497"/>
      <c r="C1648" s="404"/>
      <c r="E1648" s="308"/>
      <c r="G1648" s="297"/>
      <c r="H1648" s="297"/>
      <c r="J1648" s="297"/>
      <c r="L1648" s="312"/>
      <c r="N1648" s="297"/>
    </row>
    <row r="1649" spans="1:14" ht="15" customHeight="1" x14ac:dyDescent="0.25">
      <c r="A1649" s="497"/>
      <c r="C1649" s="404"/>
      <c r="E1649" s="308"/>
      <c r="G1649" s="297"/>
      <c r="H1649" s="297"/>
      <c r="J1649" s="297"/>
      <c r="L1649" s="312"/>
      <c r="N1649" s="297"/>
    </row>
    <row r="1650" spans="1:14" ht="15" customHeight="1" x14ac:dyDescent="0.25">
      <c r="A1650" s="497"/>
      <c r="C1650" s="404"/>
      <c r="E1650" s="308"/>
      <c r="G1650" s="297"/>
      <c r="H1650" s="297"/>
      <c r="J1650" s="297"/>
      <c r="L1650" s="312"/>
      <c r="N1650" s="297"/>
    </row>
    <row r="1651" spans="1:14" ht="15" customHeight="1" x14ac:dyDescent="0.25">
      <c r="A1651" s="497"/>
      <c r="C1651" s="404"/>
      <c r="E1651" s="308"/>
      <c r="G1651" s="297"/>
      <c r="H1651" s="297"/>
      <c r="J1651" s="297"/>
      <c r="L1651" s="312"/>
      <c r="N1651" s="297"/>
    </row>
    <row r="1652" spans="1:14" ht="15" customHeight="1" x14ac:dyDescent="0.25">
      <c r="A1652" s="497"/>
      <c r="C1652" s="404"/>
      <c r="E1652" s="308"/>
      <c r="G1652" s="297"/>
      <c r="H1652" s="297"/>
      <c r="J1652" s="297"/>
      <c r="L1652" s="312"/>
      <c r="N1652" s="297"/>
    </row>
    <row r="1653" spans="1:14" ht="15" customHeight="1" x14ac:dyDescent="0.25">
      <c r="A1653" s="497"/>
      <c r="C1653" s="404"/>
      <c r="E1653" s="308"/>
      <c r="G1653" s="297"/>
      <c r="H1653" s="297"/>
      <c r="J1653" s="297"/>
      <c r="L1653" s="312"/>
      <c r="N1653" s="297"/>
    </row>
    <row r="1654" spans="1:14" ht="15" customHeight="1" x14ac:dyDescent="0.25">
      <c r="A1654" s="497"/>
      <c r="C1654" s="404"/>
      <c r="E1654" s="308"/>
      <c r="G1654" s="297"/>
      <c r="H1654" s="297"/>
      <c r="J1654" s="297"/>
      <c r="L1654" s="312"/>
      <c r="N1654" s="297"/>
    </row>
    <row r="1655" spans="1:14" ht="15" customHeight="1" x14ac:dyDescent="0.25">
      <c r="A1655" s="497"/>
      <c r="C1655" s="404"/>
      <c r="E1655" s="308"/>
      <c r="G1655" s="297"/>
      <c r="H1655" s="297"/>
      <c r="J1655" s="297"/>
      <c r="L1655" s="312"/>
      <c r="N1655" s="297"/>
    </row>
    <row r="1656" spans="1:14" ht="15" customHeight="1" x14ac:dyDescent="0.25">
      <c r="A1656" s="497"/>
      <c r="C1656" s="404"/>
      <c r="E1656" s="308"/>
      <c r="G1656" s="297"/>
      <c r="H1656" s="297"/>
      <c r="J1656" s="297"/>
      <c r="L1656" s="312"/>
      <c r="N1656" s="297"/>
    </row>
    <row r="1657" spans="1:14" ht="15" customHeight="1" x14ac:dyDescent="0.25">
      <c r="A1657" s="497"/>
      <c r="C1657" s="404"/>
      <c r="E1657" s="308"/>
      <c r="G1657" s="297"/>
      <c r="H1657" s="297"/>
      <c r="J1657" s="297"/>
      <c r="L1657" s="312"/>
      <c r="N1657" s="297"/>
    </row>
    <row r="1658" spans="1:14" ht="15" customHeight="1" x14ac:dyDescent="0.25">
      <c r="A1658" s="497"/>
      <c r="C1658" s="404"/>
      <c r="E1658" s="308"/>
      <c r="G1658" s="297"/>
      <c r="H1658" s="297"/>
      <c r="J1658" s="297"/>
      <c r="L1658" s="312"/>
      <c r="N1658" s="297"/>
    </row>
    <row r="1659" spans="1:14" ht="15" customHeight="1" x14ac:dyDescent="0.25">
      <c r="A1659" s="497"/>
      <c r="C1659" s="404"/>
      <c r="E1659" s="308"/>
      <c r="G1659" s="297"/>
      <c r="H1659" s="297"/>
      <c r="J1659" s="297"/>
      <c r="L1659" s="312"/>
      <c r="N1659" s="297"/>
    </row>
    <row r="1660" spans="1:14" ht="15" customHeight="1" x14ac:dyDescent="0.25">
      <c r="A1660" s="497"/>
      <c r="C1660" s="404"/>
      <c r="E1660" s="308"/>
      <c r="G1660" s="297"/>
      <c r="H1660" s="297"/>
      <c r="J1660" s="297"/>
      <c r="L1660" s="312"/>
      <c r="N1660" s="297"/>
    </row>
    <row r="1661" spans="1:14" ht="15" customHeight="1" x14ac:dyDescent="0.25">
      <c r="A1661" s="497"/>
      <c r="C1661" s="404"/>
      <c r="E1661" s="308"/>
      <c r="G1661" s="297"/>
      <c r="H1661" s="297"/>
      <c r="J1661" s="297"/>
      <c r="L1661" s="312"/>
      <c r="N1661" s="297"/>
    </row>
    <row r="1662" spans="1:14" ht="15" customHeight="1" x14ac:dyDescent="0.25">
      <c r="A1662" s="497"/>
      <c r="C1662" s="404"/>
      <c r="E1662" s="308"/>
      <c r="G1662" s="297"/>
      <c r="H1662" s="297"/>
      <c r="J1662" s="297"/>
      <c r="L1662" s="312"/>
      <c r="N1662" s="297"/>
    </row>
    <row r="1663" spans="1:14" ht="15" customHeight="1" x14ac:dyDescent="0.25">
      <c r="A1663" s="497"/>
      <c r="C1663" s="404"/>
      <c r="E1663" s="308"/>
      <c r="G1663" s="297"/>
      <c r="H1663" s="297"/>
      <c r="J1663" s="297"/>
      <c r="L1663" s="312"/>
      <c r="N1663" s="297"/>
    </row>
    <row r="1664" spans="1:14" ht="15" customHeight="1" x14ac:dyDescent="0.25">
      <c r="A1664" s="497"/>
      <c r="C1664" s="404"/>
      <c r="E1664" s="308"/>
      <c r="G1664" s="297"/>
      <c r="H1664" s="297"/>
      <c r="J1664" s="297"/>
      <c r="L1664" s="312"/>
      <c r="N1664" s="297"/>
    </row>
    <row r="1665" spans="1:14" ht="15" customHeight="1" x14ac:dyDescent="0.25">
      <c r="A1665" s="497"/>
      <c r="C1665" s="404"/>
      <c r="E1665" s="308"/>
      <c r="G1665" s="297"/>
      <c r="H1665" s="297"/>
      <c r="J1665" s="297"/>
      <c r="L1665" s="312"/>
      <c r="N1665" s="297"/>
    </row>
    <row r="1666" spans="1:14" ht="15" customHeight="1" x14ac:dyDescent="0.25">
      <c r="A1666" s="497"/>
      <c r="C1666" s="404"/>
      <c r="E1666" s="308"/>
      <c r="G1666" s="297"/>
      <c r="H1666" s="297"/>
      <c r="J1666" s="297"/>
      <c r="L1666" s="312"/>
      <c r="N1666" s="297"/>
    </row>
    <row r="1667" spans="1:14" ht="15" customHeight="1" x14ac:dyDescent="0.25">
      <c r="A1667" s="497"/>
      <c r="C1667" s="404"/>
      <c r="E1667" s="308"/>
      <c r="G1667" s="297"/>
      <c r="H1667" s="297"/>
      <c r="J1667" s="297"/>
      <c r="L1667" s="312"/>
      <c r="N1667" s="297"/>
    </row>
    <row r="1668" spans="1:14" ht="15" customHeight="1" x14ac:dyDescent="0.25">
      <c r="A1668" s="497"/>
      <c r="C1668" s="404"/>
      <c r="E1668" s="308"/>
      <c r="G1668" s="297"/>
      <c r="H1668" s="297"/>
      <c r="J1668" s="297"/>
      <c r="L1668" s="312"/>
      <c r="N1668" s="297"/>
    </row>
    <row r="1669" spans="1:14" ht="15" customHeight="1" x14ac:dyDescent="0.25">
      <c r="A1669" s="497"/>
      <c r="C1669" s="404"/>
      <c r="E1669" s="308"/>
      <c r="G1669" s="297"/>
      <c r="H1669" s="297"/>
      <c r="J1669" s="297"/>
      <c r="L1669" s="312"/>
      <c r="N1669" s="297"/>
    </row>
    <row r="1670" spans="1:14" ht="15" customHeight="1" x14ac:dyDescent="0.25">
      <c r="A1670" s="497"/>
      <c r="C1670" s="404"/>
      <c r="E1670" s="308"/>
      <c r="G1670" s="297"/>
      <c r="H1670" s="297"/>
      <c r="J1670" s="297"/>
      <c r="L1670" s="312"/>
      <c r="N1670" s="297"/>
    </row>
    <row r="1671" spans="1:14" ht="15" customHeight="1" x14ac:dyDescent="0.25">
      <c r="A1671" s="497"/>
      <c r="C1671" s="404"/>
      <c r="E1671" s="308"/>
      <c r="G1671" s="297"/>
      <c r="H1671" s="297"/>
      <c r="J1671" s="297"/>
      <c r="L1671" s="312"/>
      <c r="N1671" s="297"/>
    </row>
    <row r="1672" spans="1:14" ht="15" customHeight="1" x14ac:dyDescent="0.25">
      <c r="A1672" s="497"/>
      <c r="C1672" s="404"/>
      <c r="E1672" s="308"/>
      <c r="G1672" s="297"/>
      <c r="H1672" s="297"/>
      <c r="J1672" s="297"/>
      <c r="L1672" s="312"/>
      <c r="N1672" s="297"/>
    </row>
    <row r="1673" spans="1:14" ht="15" customHeight="1" x14ac:dyDescent="0.25">
      <c r="A1673" s="497"/>
      <c r="C1673" s="404"/>
      <c r="E1673" s="308"/>
      <c r="G1673" s="297"/>
      <c r="H1673" s="297"/>
      <c r="J1673" s="297"/>
      <c r="L1673" s="312"/>
      <c r="N1673" s="297"/>
    </row>
    <row r="1674" spans="1:14" ht="15" customHeight="1" x14ac:dyDescent="0.25">
      <c r="A1674" s="497"/>
      <c r="C1674" s="404"/>
      <c r="E1674" s="308"/>
      <c r="G1674" s="297"/>
      <c r="H1674" s="297"/>
      <c r="J1674" s="297"/>
      <c r="L1674" s="312"/>
      <c r="N1674" s="297"/>
    </row>
    <row r="1675" spans="1:14" ht="15" customHeight="1" x14ac:dyDescent="0.25">
      <c r="A1675" s="497"/>
      <c r="C1675" s="404"/>
      <c r="E1675" s="308"/>
      <c r="G1675" s="297"/>
      <c r="H1675" s="297"/>
      <c r="J1675" s="297"/>
      <c r="L1675" s="312"/>
      <c r="N1675" s="297"/>
    </row>
    <row r="1676" spans="1:14" ht="15" customHeight="1" x14ac:dyDescent="0.25">
      <c r="A1676" s="497"/>
      <c r="C1676" s="404"/>
      <c r="E1676" s="308"/>
      <c r="G1676" s="297"/>
      <c r="H1676" s="297"/>
      <c r="J1676" s="297"/>
      <c r="L1676" s="312"/>
      <c r="N1676" s="297"/>
    </row>
    <row r="1677" spans="1:14" ht="15" customHeight="1" x14ac:dyDescent="0.25">
      <c r="A1677" s="497"/>
      <c r="C1677" s="404"/>
      <c r="E1677" s="308"/>
      <c r="G1677" s="297"/>
      <c r="H1677" s="297"/>
      <c r="J1677" s="297"/>
      <c r="L1677" s="312"/>
      <c r="N1677" s="297"/>
    </row>
    <row r="1678" spans="1:14" ht="15" customHeight="1" x14ac:dyDescent="0.25">
      <c r="A1678" s="497"/>
      <c r="C1678" s="404"/>
      <c r="E1678" s="308"/>
      <c r="G1678" s="297"/>
      <c r="H1678" s="297"/>
      <c r="J1678" s="297"/>
      <c r="L1678" s="312"/>
      <c r="N1678" s="297"/>
    </row>
    <row r="1679" spans="1:14" ht="15" customHeight="1" x14ac:dyDescent="0.25">
      <c r="A1679" s="497"/>
      <c r="C1679" s="404"/>
      <c r="E1679" s="308"/>
      <c r="G1679" s="297"/>
      <c r="H1679" s="297"/>
      <c r="J1679" s="297"/>
      <c r="L1679" s="312"/>
      <c r="N1679" s="297"/>
    </row>
    <row r="1680" spans="1:14" ht="15" customHeight="1" x14ac:dyDescent="0.25">
      <c r="A1680" s="497"/>
      <c r="C1680" s="404"/>
      <c r="E1680" s="308"/>
      <c r="G1680" s="297"/>
      <c r="H1680" s="297"/>
      <c r="J1680" s="297"/>
      <c r="L1680" s="312"/>
      <c r="N1680" s="297"/>
    </row>
    <row r="1681" spans="1:14" ht="15" customHeight="1" x14ac:dyDescent="0.25">
      <c r="A1681" s="497"/>
      <c r="C1681" s="404"/>
      <c r="E1681" s="308"/>
      <c r="G1681" s="297"/>
      <c r="H1681" s="297"/>
      <c r="J1681" s="297"/>
      <c r="L1681" s="312"/>
      <c r="N1681" s="297"/>
    </row>
    <row r="1682" spans="1:14" ht="15" customHeight="1" x14ac:dyDescent="0.25">
      <c r="A1682" s="497"/>
      <c r="C1682" s="404"/>
      <c r="E1682" s="308"/>
      <c r="G1682" s="297"/>
      <c r="H1682" s="297"/>
      <c r="J1682" s="297"/>
      <c r="L1682" s="312"/>
      <c r="N1682" s="297"/>
    </row>
    <row r="1683" spans="1:14" ht="15" customHeight="1" x14ac:dyDescent="0.25">
      <c r="A1683" s="497"/>
      <c r="C1683" s="404"/>
      <c r="E1683" s="308"/>
      <c r="G1683" s="297"/>
      <c r="H1683" s="297"/>
      <c r="J1683" s="297"/>
      <c r="L1683" s="312"/>
      <c r="N1683" s="297"/>
    </row>
    <row r="1684" spans="1:14" ht="15" customHeight="1" x14ac:dyDescent="0.25">
      <c r="A1684" s="497"/>
      <c r="C1684" s="404"/>
      <c r="E1684" s="308"/>
      <c r="G1684" s="297"/>
      <c r="H1684" s="297"/>
      <c r="J1684" s="297"/>
      <c r="L1684" s="312"/>
      <c r="N1684" s="297"/>
    </row>
    <row r="1685" spans="1:14" ht="15" customHeight="1" x14ac:dyDescent="0.25">
      <c r="A1685" s="497"/>
      <c r="C1685" s="404"/>
      <c r="E1685" s="308"/>
      <c r="G1685" s="297"/>
      <c r="H1685" s="297"/>
      <c r="J1685" s="297"/>
      <c r="L1685" s="312"/>
      <c r="N1685" s="297"/>
    </row>
    <row r="1686" spans="1:14" ht="15" customHeight="1" x14ac:dyDescent="0.25">
      <c r="A1686" s="497"/>
      <c r="C1686" s="404"/>
      <c r="E1686" s="308"/>
      <c r="G1686" s="297"/>
      <c r="H1686" s="297"/>
      <c r="J1686" s="297"/>
      <c r="L1686" s="312"/>
      <c r="N1686" s="297"/>
    </row>
    <row r="1687" spans="1:14" ht="15" customHeight="1" x14ac:dyDescent="0.25">
      <c r="A1687" s="497"/>
      <c r="C1687" s="404"/>
      <c r="E1687" s="308"/>
      <c r="G1687" s="297"/>
      <c r="H1687" s="297"/>
      <c r="J1687" s="297"/>
      <c r="L1687" s="312"/>
      <c r="N1687" s="297"/>
    </row>
    <row r="1688" spans="1:14" ht="15" customHeight="1" x14ac:dyDescent="0.25">
      <c r="A1688" s="497"/>
      <c r="C1688" s="404"/>
      <c r="E1688" s="308"/>
      <c r="G1688" s="297"/>
      <c r="H1688" s="297"/>
      <c r="J1688" s="297"/>
      <c r="L1688" s="312"/>
      <c r="N1688" s="297"/>
    </row>
    <row r="1689" spans="1:14" ht="15" customHeight="1" x14ac:dyDescent="0.25">
      <c r="A1689" s="497"/>
      <c r="C1689" s="404"/>
      <c r="E1689" s="308"/>
      <c r="G1689" s="297"/>
      <c r="H1689" s="297"/>
      <c r="J1689" s="297"/>
      <c r="L1689" s="312"/>
      <c r="N1689" s="297"/>
    </row>
    <row r="1690" spans="1:14" ht="15" customHeight="1" x14ac:dyDescent="0.25">
      <c r="A1690" s="497"/>
      <c r="C1690" s="404"/>
      <c r="E1690" s="308"/>
      <c r="G1690" s="297"/>
      <c r="H1690" s="297"/>
      <c r="J1690" s="297"/>
      <c r="L1690" s="312"/>
      <c r="N1690" s="297"/>
    </row>
    <row r="1691" spans="1:14" ht="15" customHeight="1" x14ac:dyDescent="0.25">
      <c r="A1691" s="497"/>
      <c r="C1691" s="404"/>
      <c r="E1691" s="308"/>
      <c r="G1691" s="297"/>
      <c r="H1691" s="297"/>
      <c r="J1691" s="297"/>
      <c r="L1691" s="312"/>
      <c r="N1691" s="297"/>
    </row>
    <row r="1692" spans="1:14" ht="15" customHeight="1" x14ac:dyDescent="0.25">
      <c r="A1692" s="497"/>
      <c r="C1692" s="404"/>
      <c r="E1692" s="308"/>
      <c r="G1692" s="297"/>
      <c r="H1692" s="297"/>
      <c r="J1692" s="297"/>
      <c r="L1692" s="312"/>
      <c r="N1692" s="297"/>
    </row>
    <row r="1693" spans="1:14" ht="15" customHeight="1" x14ac:dyDescent="0.25">
      <c r="A1693" s="497"/>
      <c r="C1693" s="404"/>
      <c r="E1693" s="308"/>
      <c r="G1693" s="297"/>
      <c r="H1693" s="297"/>
      <c r="J1693" s="297"/>
      <c r="L1693" s="312"/>
      <c r="N1693" s="297"/>
    </row>
    <row r="1694" spans="1:14" ht="15" customHeight="1" x14ac:dyDescent="0.25">
      <c r="A1694" s="497"/>
      <c r="C1694" s="404"/>
      <c r="E1694" s="308"/>
      <c r="G1694" s="297"/>
      <c r="H1694" s="297"/>
      <c r="J1694" s="297"/>
      <c r="L1694" s="312"/>
      <c r="N1694" s="297"/>
    </row>
    <row r="1695" spans="1:14" ht="15" customHeight="1" x14ac:dyDescent="0.25">
      <c r="A1695" s="497"/>
      <c r="C1695" s="404"/>
      <c r="E1695" s="308"/>
      <c r="G1695" s="297"/>
      <c r="H1695" s="297"/>
      <c r="J1695" s="297"/>
      <c r="L1695" s="312"/>
      <c r="N1695" s="297"/>
    </row>
    <row r="1696" spans="1:14" ht="15" customHeight="1" x14ac:dyDescent="0.25">
      <c r="A1696" s="497"/>
      <c r="C1696" s="404"/>
      <c r="E1696" s="308"/>
      <c r="G1696" s="297"/>
      <c r="H1696" s="297"/>
      <c r="J1696" s="297"/>
      <c r="L1696" s="312"/>
      <c r="N1696" s="297"/>
    </row>
    <row r="1697" spans="1:14" ht="15" customHeight="1" x14ac:dyDescent="0.25">
      <c r="A1697" s="497"/>
      <c r="C1697" s="404"/>
      <c r="E1697" s="308"/>
      <c r="G1697" s="297"/>
      <c r="H1697" s="297"/>
      <c r="J1697" s="297"/>
      <c r="L1697" s="312"/>
      <c r="N1697" s="297"/>
    </row>
    <row r="1698" spans="1:14" ht="15" customHeight="1" x14ac:dyDescent="0.25">
      <c r="A1698" s="497"/>
      <c r="C1698" s="404"/>
      <c r="E1698" s="308"/>
      <c r="G1698" s="297"/>
      <c r="H1698" s="297"/>
      <c r="J1698" s="297"/>
      <c r="L1698" s="312"/>
      <c r="N1698" s="297"/>
    </row>
    <row r="1699" spans="1:14" ht="15" customHeight="1" x14ac:dyDescent="0.25">
      <c r="A1699" s="497"/>
      <c r="C1699" s="404"/>
      <c r="E1699" s="308"/>
      <c r="G1699" s="297"/>
      <c r="H1699" s="297"/>
      <c r="J1699" s="297"/>
      <c r="L1699" s="312"/>
      <c r="N1699" s="297"/>
    </row>
    <row r="1700" spans="1:14" ht="15" customHeight="1" x14ac:dyDescent="0.25">
      <c r="A1700" s="497"/>
      <c r="C1700" s="404"/>
      <c r="E1700" s="308"/>
      <c r="G1700" s="297"/>
      <c r="H1700" s="297"/>
      <c r="J1700" s="297"/>
      <c r="L1700" s="312"/>
      <c r="N1700" s="297"/>
    </row>
    <row r="1701" spans="1:14" ht="15" customHeight="1" x14ac:dyDescent="0.25">
      <c r="A1701" s="497"/>
      <c r="C1701" s="404"/>
      <c r="E1701" s="308"/>
      <c r="G1701" s="297"/>
      <c r="H1701" s="297"/>
      <c r="J1701" s="297"/>
      <c r="L1701" s="312"/>
      <c r="N1701" s="297"/>
    </row>
    <row r="1702" spans="1:14" ht="15" customHeight="1" x14ac:dyDescent="0.25">
      <c r="A1702" s="497"/>
      <c r="C1702" s="404"/>
      <c r="E1702" s="308"/>
      <c r="G1702" s="297"/>
      <c r="H1702" s="297"/>
      <c r="J1702" s="297"/>
      <c r="L1702" s="312"/>
      <c r="N1702" s="297"/>
    </row>
    <row r="1703" spans="1:14" ht="15" customHeight="1" x14ac:dyDescent="0.25">
      <c r="A1703" s="497"/>
      <c r="C1703" s="404"/>
      <c r="E1703" s="308"/>
      <c r="G1703" s="297"/>
      <c r="H1703" s="297"/>
      <c r="J1703" s="297"/>
      <c r="L1703" s="312"/>
      <c r="N1703" s="297"/>
    </row>
    <row r="1704" spans="1:14" ht="15" customHeight="1" x14ac:dyDescent="0.25">
      <c r="A1704" s="497"/>
      <c r="C1704" s="404"/>
      <c r="E1704" s="308"/>
      <c r="G1704" s="297"/>
      <c r="H1704" s="297"/>
      <c r="J1704" s="297"/>
      <c r="L1704" s="312"/>
      <c r="N1704" s="297"/>
    </row>
    <row r="1705" spans="1:14" ht="15" customHeight="1" x14ac:dyDescent="0.25">
      <c r="A1705" s="497"/>
      <c r="C1705" s="404"/>
      <c r="E1705" s="308"/>
      <c r="G1705" s="297"/>
      <c r="H1705" s="297"/>
      <c r="J1705" s="297"/>
      <c r="L1705" s="312"/>
      <c r="N1705" s="297"/>
    </row>
    <row r="1706" spans="1:14" ht="15" customHeight="1" x14ac:dyDescent="0.25">
      <c r="A1706" s="497"/>
      <c r="C1706" s="404"/>
      <c r="E1706" s="308"/>
      <c r="G1706" s="297"/>
      <c r="H1706" s="297"/>
      <c r="J1706" s="297"/>
      <c r="L1706" s="312"/>
      <c r="N1706" s="297"/>
    </row>
    <row r="1707" spans="1:14" ht="15" customHeight="1" x14ac:dyDescent="0.25">
      <c r="A1707" s="497"/>
      <c r="C1707" s="404"/>
      <c r="E1707" s="308"/>
      <c r="G1707" s="297"/>
      <c r="H1707" s="297"/>
      <c r="J1707" s="297"/>
      <c r="L1707" s="312"/>
      <c r="N1707" s="297"/>
    </row>
    <row r="1708" spans="1:14" ht="15" customHeight="1" x14ac:dyDescent="0.25">
      <c r="A1708" s="497"/>
      <c r="C1708" s="404"/>
      <c r="E1708" s="308"/>
      <c r="G1708" s="297"/>
      <c r="H1708" s="297"/>
      <c r="J1708" s="297"/>
      <c r="L1708" s="312"/>
      <c r="N1708" s="297"/>
    </row>
    <row r="1709" spans="1:14" ht="15" customHeight="1" x14ac:dyDescent="0.25">
      <c r="A1709" s="497"/>
      <c r="C1709" s="404"/>
      <c r="E1709" s="308"/>
      <c r="G1709" s="297"/>
      <c r="H1709" s="297"/>
      <c r="J1709" s="297"/>
      <c r="L1709" s="312"/>
      <c r="N1709" s="297"/>
    </row>
    <row r="1710" spans="1:14" ht="15" customHeight="1" x14ac:dyDescent="0.25">
      <c r="A1710" s="497"/>
      <c r="C1710" s="404"/>
      <c r="E1710" s="308"/>
      <c r="G1710" s="297"/>
      <c r="H1710" s="297"/>
      <c r="J1710" s="297"/>
      <c r="L1710" s="312"/>
      <c r="N1710" s="297"/>
    </row>
    <row r="1711" spans="1:14" ht="15" customHeight="1" x14ac:dyDescent="0.25">
      <c r="A1711" s="497"/>
      <c r="C1711" s="404"/>
      <c r="E1711" s="308"/>
      <c r="G1711" s="297"/>
      <c r="H1711" s="297"/>
      <c r="J1711" s="297"/>
      <c r="L1711" s="312"/>
      <c r="N1711" s="297"/>
    </row>
    <row r="1712" spans="1:14" ht="15" customHeight="1" x14ac:dyDescent="0.25">
      <c r="A1712" s="497"/>
      <c r="C1712" s="404"/>
      <c r="E1712" s="308"/>
      <c r="G1712" s="297"/>
      <c r="H1712" s="297"/>
      <c r="J1712" s="297"/>
      <c r="L1712" s="312"/>
      <c r="N1712" s="297"/>
    </row>
    <row r="1713" spans="1:14" ht="15" customHeight="1" x14ac:dyDescent="0.25">
      <c r="A1713" s="497"/>
      <c r="C1713" s="404"/>
      <c r="E1713" s="308"/>
      <c r="G1713" s="297"/>
      <c r="H1713" s="297"/>
      <c r="J1713" s="297"/>
      <c r="L1713" s="312"/>
      <c r="N1713" s="297"/>
    </row>
    <row r="1714" spans="1:14" ht="15" customHeight="1" x14ac:dyDescent="0.25">
      <c r="A1714" s="497"/>
      <c r="C1714" s="404"/>
      <c r="E1714" s="308"/>
      <c r="G1714" s="297"/>
      <c r="H1714" s="297"/>
      <c r="J1714" s="297"/>
      <c r="L1714" s="312"/>
      <c r="N1714" s="297"/>
    </row>
    <row r="1715" spans="1:14" ht="15" customHeight="1" x14ac:dyDescent="0.25">
      <c r="A1715" s="497"/>
      <c r="C1715" s="404"/>
      <c r="E1715" s="308"/>
      <c r="G1715" s="297"/>
      <c r="H1715" s="297"/>
      <c r="J1715" s="297"/>
      <c r="L1715" s="312"/>
      <c r="N1715" s="297"/>
    </row>
    <row r="1716" spans="1:14" ht="15" customHeight="1" x14ac:dyDescent="0.25">
      <c r="A1716" s="497"/>
      <c r="C1716" s="404"/>
      <c r="E1716" s="308"/>
      <c r="G1716" s="297"/>
      <c r="H1716" s="297"/>
      <c r="J1716" s="297"/>
      <c r="L1716" s="312"/>
      <c r="N1716" s="297"/>
    </row>
    <row r="1717" spans="1:14" ht="15" customHeight="1" x14ac:dyDescent="0.25">
      <c r="A1717" s="497"/>
      <c r="C1717" s="404"/>
      <c r="E1717" s="308"/>
      <c r="G1717" s="297"/>
      <c r="H1717" s="297"/>
      <c r="J1717" s="297"/>
      <c r="L1717" s="312"/>
      <c r="N1717" s="297"/>
    </row>
    <row r="1718" spans="1:14" ht="15" customHeight="1" x14ac:dyDescent="0.25">
      <c r="A1718" s="497"/>
      <c r="C1718" s="404"/>
      <c r="E1718" s="308"/>
      <c r="G1718" s="297"/>
      <c r="H1718" s="297"/>
      <c r="J1718" s="297"/>
      <c r="L1718" s="312"/>
      <c r="N1718" s="297"/>
    </row>
    <row r="1719" spans="1:14" ht="15" customHeight="1" x14ac:dyDescent="0.25">
      <c r="A1719" s="497"/>
      <c r="C1719" s="404"/>
      <c r="E1719" s="308"/>
      <c r="G1719" s="297"/>
      <c r="H1719" s="297"/>
      <c r="J1719" s="297"/>
      <c r="L1719" s="312"/>
      <c r="N1719" s="297"/>
    </row>
    <row r="1720" spans="1:14" ht="15" customHeight="1" x14ac:dyDescent="0.25">
      <c r="A1720" s="497"/>
      <c r="C1720" s="404"/>
      <c r="E1720" s="308"/>
      <c r="G1720" s="297"/>
      <c r="H1720" s="297"/>
      <c r="J1720" s="297"/>
      <c r="L1720" s="312"/>
      <c r="N1720" s="297"/>
    </row>
    <row r="1721" spans="1:14" ht="15" customHeight="1" x14ac:dyDescent="0.25">
      <c r="A1721" s="497"/>
      <c r="C1721" s="404"/>
      <c r="E1721" s="308"/>
      <c r="G1721" s="297"/>
      <c r="H1721" s="297"/>
      <c r="J1721" s="297"/>
      <c r="L1721" s="312"/>
      <c r="N1721" s="297"/>
    </row>
    <row r="1722" spans="1:14" ht="15" customHeight="1" x14ac:dyDescent="0.25">
      <c r="A1722" s="497"/>
      <c r="C1722" s="404"/>
      <c r="E1722" s="308"/>
      <c r="G1722" s="297"/>
      <c r="H1722" s="297"/>
      <c r="J1722" s="297"/>
      <c r="L1722" s="312"/>
      <c r="N1722" s="297"/>
    </row>
    <row r="1723" spans="1:14" ht="15" customHeight="1" x14ac:dyDescent="0.25">
      <c r="A1723" s="497"/>
      <c r="C1723" s="404"/>
      <c r="E1723" s="308"/>
      <c r="G1723" s="297"/>
      <c r="H1723" s="297"/>
      <c r="J1723" s="297"/>
      <c r="L1723" s="312"/>
      <c r="N1723" s="297"/>
    </row>
    <row r="1724" spans="1:14" ht="15" customHeight="1" x14ac:dyDescent="0.25">
      <c r="A1724" s="497"/>
      <c r="C1724" s="404"/>
      <c r="E1724" s="308"/>
      <c r="G1724" s="297"/>
      <c r="H1724" s="297"/>
      <c r="J1724" s="297"/>
      <c r="L1724" s="312"/>
      <c r="N1724" s="297"/>
    </row>
    <row r="1725" spans="1:14" ht="15" customHeight="1" x14ac:dyDescent="0.25">
      <c r="A1725" s="497"/>
      <c r="C1725" s="404"/>
      <c r="E1725" s="308"/>
      <c r="G1725" s="297"/>
      <c r="H1725" s="297"/>
      <c r="J1725" s="297"/>
      <c r="L1725" s="312"/>
      <c r="N1725" s="297"/>
    </row>
    <row r="1726" spans="1:14" ht="15" customHeight="1" x14ac:dyDescent="0.25">
      <c r="A1726" s="497"/>
      <c r="C1726" s="404"/>
      <c r="E1726" s="308"/>
      <c r="G1726" s="297"/>
      <c r="H1726" s="297"/>
      <c r="J1726" s="297"/>
      <c r="L1726" s="312"/>
      <c r="N1726" s="297"/>
    </row>
    <row r="1727" spans="1:14" ht="15" customHeight="1" x14ac:dyDescent="0.25">
      <c r="A1727" s="497"/>
      <c r="C1727" s="404"/>
      <c r="E1727" s="308"/>
      <c r="G1727" s="297"/>
      <c r="H1727" s="297"/>
      <c r="J1727" s="297"/>
      <c r="L1727" s="312"/>
      <c r="N1727" s="297"/>
    </row>
    <row r="1728" spans="1:14" ht="15" customHeight="1" x14ac:dyDescent="0.25">
      <c r="A1728" s="497"/>
      <c r="C1728" s="404"/>
      <c r="E1728" s="308"/>
      <c r="G1728" s="297"/>
      <c r="H1728" s="297"/>
      <c r="J1728" s="297"/>
      <c r="L1728" s="312"/>
      <c r="N1728" s="297"/>
    </row>
    <row r="1729" spans="1:14" ht="15" customHeight="1" x14ac:dyDescent="0.25">
      <c r="A1729" s="497"/>
      <c r="C1729" s="404"/>
      <c r="E1729" s="308"/>
      <c r="G1729" s="297"/>
      <c r="H1729" s="297"/>
      <c r="J1729" s="297"/>
      <c r="L1729" s="312"/>
      <c r="N1729" s="297"/>
    </row>
    <row r="1730" spans="1:14" ht="15" customHeight="1" x14ac:dyDescent="0.25">
      <c r="A1730" s="497"/>
      <c r="C1730" s="404"/>
      <c r="E1730" s="308"/>
      <c r="G1730" s="297"/>
      <c r="H1730" s="297"/>
      <c r="J1730" s="297"/>
      <c r="L1730" s="312"/>
      <c r="N1730" s="297"/>
    </row>
    <row r="1731" spans="1:14" ht="15" customHeight="1" x14ac:dyDescent="0.25">
      <c r="A1731" s="497"/>
      <c r="C1731" s="404"/>
      <c r="E1731" s="308"/>
      <c r="G1731" s="297"/>
      <c r="H1731" s="297"/>
      <c r="J1731" s="297"/>
      <c r="L1731" s="312"/>
      <c r="N1731" s="297"/>
    </row>
    <row r="1732" spans="1:14" ht="15" customHeight="1" x14ac:dyDescent="0.25">
      <c r="A1732" s="497"/>
      <c r="C1732" s="404"/>
      <c r="E1732" s="308"/>
      <c r="G1732" s="297"/>
      <c r="H1732" s="297"/>
      <c r="J1732" s="297"/>
      <c r="L1732" s="312"/>
      <c r="N1732" s="297"/>
    </row>
    <row r="1733" spans="1:14" ht="15" customHeight="1" x14ac:dyDescent="0.25">
      <c r="A1733" s="497"/>
      <c r="C1733" s="404"/>
      <c r="E1733" s="308"/>
      <c r="G1733" s="297"/>
      <c r="H1733" s="297"/>
      <c r="J1733" s="297"/>
      <c r="L1733" s="312"/>
      <c r="N1733" s="297"/>
    </row>
    <row r="1734" spans="1:14" ht="15" customHeight="1" x14ac:dyDescent="0.25">
      <c r="A1734" s="497"/>
      <c r="C1734" s="404"/>
      <c r="E1734" s="308"/>
      <c r="G1734" s="297"/>
      <c r="H1734" s="297"/>
      <c r="J1734" s="297"/>
      <c r="L1734" s="312"/>
      <c r="N1734" s="297"/>
    </row>
    <row r="1735" spans="1:14" ht="15" customHeight="1" x14ac:dyDescent="0.25">
      <c r="A1735" s="497"/>
      <c r="C1735" s="404"/>
      <c r="E1735" s="308"/>
      <c r="G1735" s="297"/>
      <c r="H1735" s="297"/>
      <c r="J1735" s="297"/>
      <c r="L1735" s="312"/>
      <c r="N1735" s="297"/>
    </row>
    <row r="1736" spans="1:14" ht="15" customHeight="1" x14ac:dyDescent="0.25">
      <c r="A1736" s="497"/>
      <c r="C1736" s="404"/>
      <c r="E1736" s="308"/>
      <c r="G1736" s="297"/>
      <c r="H1736" s="297"/>
      <c r="J1736" s="297"/>
      <c r="L1736" s="312"/>
      <c r="N1736" s="297"/>
    </row>
    <row r="1737" spans="1:14" ht="15" customHeight="1" x14ac:dyDescent="0.25">
      <c r="A1737" s="497"/>
      <c r="C1737" s="404"/>
      <c r="E1737" s="308"/>
      <c r="G1737" s="297"/>
      <c r="H1737" s="297"/>
      <c r="J1737" s="297"/>
      <c r="L1737" s="312"/>
      <c r="N1737" s="297"/>
    </row>
    <row r="1738" spans="1:14" ht="15" customHeight="1" x14ac:dyDescent="0.25">
      <c r="A1738" s="497"/>
      <c r="C1738" s="404"/>
      <c r="E1738" s="308"/>
      <c r="G1738" s="297"/>
      <c r="H1738" s="297"/>
      <c r="J1738" s="297"/>
      <c r="L1738" s="312"/>
      <c r="N1738" s="297"/>
    </row>
    <row r="1739" spans="1:14" ht="15" customHeight="1" x14ac:dyDescent="0.25">
      <c r="A1739" s="497"/>
      <c r="C1739" s="404"/>
      <c r="E1739" s="308"/>
      <c r="G1739" s="297"/>
      <c r="H1739" s="297"/>
      <c r="J1739" s="297"/>
      <c r="L1739" s="312"/>
      <c r="N1739" s="297"/>
    </row>
    <row r="1740" spans="1:14" ht="15" customHeight="1" x14ac:dyDescent="0.25">
      <c r="A1740" s="497"/>
      <c r="C1740" s="404"/>
      <c r="E1740" s="308"/>
      <c r="G1740" s="297"/>
      <c r="H1740" s="297"/>
      <c r="J1740" s="297"/>
      <c r="L1740" s="312"/>
      <c r="N1740" s="297"/>
    </row>
    <row r="1741" spans="1:14" ht="15" customHeight="1" x14ac:dyDescent="0.25">
      <c r="A1741" s="497"/>
      <c r="C1741" s="404"/>
      <c r="E1741" s="308"/>
      <c r="G1741" s="297"/>
      <c r="H1741" s="297"/>
      <c r="J1741" s="297"/>
      <c r="L1741" s="312"/>
      <c r="N1741" s="297"/>
    </row>
    <row r="1742" spans="1:14" ht="15" customHeight="1" x14ac:dyDescent="0.25">
      <c r="A1742" s="497"/>
      <c r="C1742" s="404"/>
      <c r="E1742" s="308"/>
      <c r="G1742" s="297"/>
      <c r="H1742" s="297"/>
      <c r="J1742" s="297"/>
      <c r="L1742" s="312"/>
      <c r="N1742" s="297"/>
    </row>
    <row r="1743" spans="1:14" ht="15" customHeight="1" x14ac:dyDescent="0.25">
      <c r="A1743" s="497"/>
      <c r="C1743" s="404"/>
      <c r="E1743" s="308"/>
      <c r="G1743" s="297"/>
      <c r="H1743" s="297"/>
      <c r="J1743" s="297"/>
      <c r="L1743" s="312"/>
      <c r="N1743" s="297"/>
    </row>
    <row r="1744" spans="1:14" ht="15" customHeight="1" x14ac:dyDescent="0.25">
      <c r="A1744" s="497"/>
      <c r="C1744" s="404"/>
      <c r="E1744" s="308"/>
      <c r="G1744" s="297"/>
      <c r="H1744" s="297"/>
      <c r="J1744" s="297"/>
      <c r="L1744" s="312"/>
      <c r="N1744" s="297"/>
    </row>
    <row r="1745" spans="1:14" ht="15" customHeight="1" x14ac:dyDescent="0.25">
      <c r="A1745" s="497"/>
      <c r="C1745" s="404"/>
      <c r="E1745" s="308"/>
      <c r="G1745" s="297"/>
      <c r="H1745" s="297"/>
      <c r="J1745" s="297"/>
      <c r="L1745" s="312"/>
      <c r="N1745" s="297"/>
    </row>
    <row r="1746" spans="1:14" ht="15" customHeight="1" x14ac:dyDescent="0.25">
      <c r="A1746" s="497"/>
      <c r="C1746" s="404"/>
      <c r="E1746" s="308"/>
      <c r="G1746" s="297"/>
      <c r="H1746" s="297"/>
      <c r="J1746" s="297"/>
      <c r="L1746" s="312"/>
      <c r="N1746" s="297"/>
    </row>
    <row r="1747" spans="1:14" ht="15" customHeight="1" x14ac:dyDescent="0.25">
      <c r="A1747" s="497"/>
      <c r="C1747" s="404"/>
      <c r="E1747" s="308"/>
      <c r="G1747" s="297"/>
      <c r="H1747" s="297"/>
      <c r="J1747" s="297"/>
      <c r="L1747" s="312"/>
      <c r="N1747" s="297"/>
    </row>
    <row r="1748" spans="1:14" ht="15" customHeight="1" x14ac:dyDescent="0.25">
      <c r="A1748" s="497"/>
      <c r="C1748" s="404"/>
      <c r="E1748" s="308"/>
      <c r="G1748" s="297"/>
      <c r="H1748" s="297"/>
      <c r="J1748" s="297"/>
      <c r="L1748" s="312"/>
      <c r="N1748" s="297"/>
    </row>
    <row r="1749" spans="1:14" ht="15" customHeight="1" x14ac:dyDescent="0.25">
      <c r="A1749" s="497"/>
      <c r="C1749" s="404"/>
      <c r="E1749" s="308"/>
      <c r="G1749" s="297"/>
      <c r="H1749" s="297"/>
      <c r="J1749" s="297"/>
      <c r="L1749" s="312"/>
      <c r="N1749" s="297"/>
    </row>
    <row r="1750" spans="1:14" ht="15" customHeight="1" x14ac:dyDescent="0.25">
      <c r="A1750" s="497"/>
      <c r="C1750" s="404"/>
      <c r="E1750" s="308"/>
      <c r="G1750" s="297"/>
      <c r="H1750" s="297"/>
      <c r="J1750" s="297"/>
      <c r="L1750" s="312"/>
      <c r="N1750" s="297"/>
    </row>
    <row r="1751" spans="1:14" ht="15" customHeight="1" x14ac:dyDescent="0.25">
      <c r="A1751" s="497"/>
      <c r="C1751" s="404"/>
      <c r="E1751" s="308"/>
      <c r="G1751" s="297"/>
      <c r="H1751" s="297"/>
      <c r="J1751" s="297"/>
      <c r="L1751" s="312"/>
      <c r="N1751" s="297"/>
    </row>
    <row r="1752" spans="1:14" ht="15" customHeight="1" x14ac:dyDescent="0.25">
      <c r="A1752" s="497"/>
      <c r="C1752" s="404"/>
      <c r="E1752" s="308"/>
      <c r="G1752" s="297"/>
      <c r="H1752" s="297"/>
      <c r="J1752" s="297"/>
      <c r="L1752" s="312"/>
      <c r="N1752" s="297"/>
    </row>
    <row r="1753" spans="1:14" ht="15" customHeight="1" x14ac:dyDescent="0.25">
      <c r="A1753" s="497"/>
      <c r="C1753" s="404"/>
      <c r="E1753" s="308"/>
      <c r="G1753" s="297"/>
      <c r="H1753" s="297"/>
      <c r="J1753" s="297"/>
      <c r="L1753" s="312"/>
      <c r="N1753" s="297"/>
    </row>
    <row r="1754" spans="1:14" ht="15" customHeight="1" x14ac:dyDescent="0.25">
      <c r="A1754" s="497"/>
      <c r="C1754" s="404"/>
      <c r="E1754" s="308"/>
      <c r="G1754" s="297"/>
      <c r="H1754" s="297"/>
      <c r="J1754" s="297"/>
      <c r="L1754" s="312"/>
      <c r="N1754" s="297"/>
    </row>
    <row r="1755" spans="1:14" ht="15" customHeight="1" x14ac:dyDescent="0.25">
      <c r="A1755" s="497"/>
      <c r="C1755" s="404"/>
      <c r="E1755" s="308"/>
      <c r="G1755" s="297"/>
      <c r="H1755" s="297"/>
      <c r="J1755" s="297"/>
      <c r="L1755" s="312"/>
      <c r="N1755" s="297"/>
    </row>
    <row r="1756" spans="1:14" ht="15" customHeight="1" x14ac:dyDescent="0.25">
      <c r="A1756" s="497"/>
      <c r="C1756" s="404"/>
      <c r="E1756" s="308"/>
      <c r="G1756" s="297"/>
      <c r="H1756" s="297"/>
      <c r="J1756" s="297"/>
      <c r="L1756" s="312"/>
      <c r="N1756" s="297"/>
    </row>
    <row r="1757" spans="1:14" ht="15" customHeight="1" x14ac:dyDescent="0.25">
      <c r="A1757" s="497"/>
      <c r="C1757" s="404"/>
      <c r="E1757" s="308"/>
      <c r="G1757" s="297"/>
      <c r="H1757" s="297"/>
      <c r="J1757" s="297"/>
      <c r="L1757" s="312"/>
      <c r="N1757" s="297"/>
    </row>
    <row r="1758" spans="1:14" ht="15" customHeight="1" x14ac:dyDescent="0.25">
      <c r="A1758" s="497"/>
      <c r="C1758" s="404"/>
      <c r="E1758" s="308"/>
      <c r="G1758" s="297"/>
      <c r="H1758" s="297"/>
      <c r="J1758" s="297"/>
      <c r="L1758" s="312"/>
      <c r="N1758" s="297"/>
    </row>
    <row r="1759" spans="1:14" ht="15" customHeight="1" x14ac:dyDescent="0.25">
      <c r="A1759" s="497"/>
      <c r="C1759" s="404"/>
      <c r="E1759" s="308"/>
      <c r="G1759" s="297"/>
      <c r="H1759" s="297"/>
      <c r="J1759" s="297"/>
      <c r="L1759" s="312"/>
      <c r="N1759" s="297"/>
    </row>
    <row r="1760" spans="1:14" ht="15" customHeight="1" x14ac:dyDescent="0.25">
      <c r="A1760" s="497"/>
      <c r="C1760" s="404"/>
      <c r="E1760" s="308"/>
      <c r="G1760" s="297"/>
      <c r="H1760" s="297"/>
      <c r="J1760" s="297"/>
      <c r="L1760" s="312"/>
      <c r="N1760" s="297"/>
    </row>
    <row r="1761" spans="1:14" ht="15" customHeight="1" x14ac:dyDescent="0.25">
      <c r="A1761" s="497"/>
      <c r="C1761" s="404"/>
      <c r="E1761" s="308"/>
      <c r="G1761" s="297"/>
      <c r="H1761" s="297"/>
      <c r="J1761" s="297"/>
      <c r="L1761" s="312"/>
      <c r="N1761" s="297"/>
    </row>
    <row r="1762" spans="1:14" ht="15" customHeight="1" x14ac:dyDescent="0.25">
      <c r="A1762" s="497"/>
      <c r="C1762" s="404"/>
      <c r="E1762" s="308"/>
      <c r="G1762" s="297"/>
      <c r="H1762" s="297"/>
      <c r="J1762" s="297"/>
      <c r="L1762" s="312"/>
      <c r="N1762" s="297"/>
    </row>
    <row r="1763" spans="1:14" ht="15" customHeight="1" x14ac:dyDescent="0.25">
      <c r="A1763" s="497"/>
      <c r="C1763" s="404"/>
      <c r="E1763" s="308"/>
      <c r="G1763" s="297"/>
      <c r="H1763" s="297"/>
      <c r="J1763" s="297"/>
      <c r="L1763" s="312"/>
      <c r="N1763" s="297"/>
    </row>
    <row r="1764" spans="1:14" ht="15" customHeight="1" x14ac:dyDescent="0.25">
      <c r="A1764" s="497"/>
      <c r="C1764" s="404"/>
      <c r="E1764" s="308"/>
      <c r="G1764" s="297"/>
      <c r="H1764" s="297"/>
      <c r="J1764" s="297"/>
      <c r="L1764" s="312"/>
      <c r="N1764" s="297"/>
    </row>
    <row r="1765" spans="1:14" ht="15" customHeight="1" x14ac:dyDescent="0.25">
      <c r="A1765" s="497"/>
      <c r="C1765" s="404"/>
      <c r="E1765" s="308"/>
      <c r="G1765" s="297"/>
      <c r="H1765" s="297"/>
      <c r="J1765" s="297"/>
      <c r="L1765" s="312"/>
      <c r="N1765" s="297"/>
    </row>
    <row r="1766" spans="1:14" ht="15" customHeight="1" x14ac:dyDescent="0.25">
      <c r="A1766" s="497"/>
      <c r="C1766" s="404"/>
      <c r="E1766" s="308"/>
      <c r="G1766" s="297"/>
      <c r="H1766" s="297"/>
      <c r="J1766" s="297"/>
      <c r="L1766" s="312"/>
      <c r="N1766" s="297"/>
    </row>
    <row r="1767" spans="1:14" ht="15" customHeight="1" x14ac:dyDescent="0.25">
      <c r="A1767" s="497"/>
      <c r="C1767" s="404"/>
      <c r="E1767" s="308"/>
      <c r="G1767" s="297"/>
      <c r="H1767" s="297"/>
      <c r="J1767" s="297"/>
      <c r="L1767" s="312"/>
      <c r="N1767" s="297"/>
    </row>
    <row r="1768" spans="1:14" ht="15" customHeight="1" x14ac:dyDescent="0.25">
      <c r="A1768" s="497"/>
      <c r="C1768" s="404"/>
      <c r="E1768" s="308"/>
      <c r="G1768" s="297"/>
      <c r="H1768" s="297"/>
      <c r="J1768" s="297"/>
      <c r="L1768" s="312"/>
      <c r="N1768" s="297"/>
    </row>
    <row r="1769" spans="1:14" ht="15" customHeight="1" x14ac:dyDescent="0.25">
      <c r="A1769" s="497"/>
      <c r="C1769" s="404"/>
      <c r="E1769" s="308"/>
      <c r="G1769" s="297"/>
      <c r="H1769" s="297"/>
      <c r="J1769" s="297"/>
      <c r="L1769" s="312"/>
      <c r="N1769" s="297"/>
    </row>
    <row r="1770" spans="1:14" ht="15" customHeight="1" x14ac:dyDescent="0.25">
      <c r="A1770" s="497"/>
      <c r="C1770" s="404"/>
      <c r="E1770" s="308"/>
      <c r="G1770" s="297"/>
      <c r="H1770" s="297"/>
      <c r="J1770" s="297"/>
      <c r="L1770" s="312"/>
      <c r="N1770" s="297"/>
    </row>
    <row r="1771" spans="1:14" ht="15" customHeight="1" x14ac:dyDescent="0.25">
      <c r="A1771" s="497"/>
      <c r="C1771" s="404"/>
      <c r="E1771" s="308"/>
      <c r="G1771" s="297"/>
      <c r="H1771" s="297"/>
      <c r="J1771" s="297"/>
      <c r="L1771" s="312"/>
      <c r="N1771" s="297"/>
    </row>
    <row r="1772" spans="1:14" ht="15" customHeight="1" x14ac:dyDescent="0.25">
      <c r="A1772" s="497"/>
      <c r="C1772" s="404"/>
      <c r="E1772" s="308"/>
      <c r="G1772" s="297"/>
      <c r="H1772" s="297"/>
      <c r="J1772" s="297"/>
      <c r="L1772" s="312"/>
      <c r="N1772" s="297"/>
    </row>
    <row r="1773" spans="1:14" ht="15" customHeight="1" x14ac:dyDescent="0.25">
      <c r="A1773" s="497"/>
      <c r="C1773" s="404"/>
      <c r="E1773" s="308"/>
      <c r="G1773" s="297"/>
      <c r="H1773" s="297"/>
      <c r="J1773" s="297"/>
      <c r="L1773" s="312"/>
      <c r="N1773" s="297"/>
    </row>
    <row r="1774" spans="1:14" ht="15" customHeight="1" x14ac:dyDescent="0.25">
      <c r="A1774" s="497"/>
      <c r="C1774" s="404"/>
      <c r="E1774" s="308"/>
      <c r="G1774" s="297"/>
      <c r="H1774" s="297"/>
      <c r="J1774" s="297"/>
      <c r="L1774" s="312"/>
      <c r="N1774" s="297"/>
    </row>
    <row r="1775" spans="1:14" ht="15" customHeight="1" x14ac:dyDescent="0.25">
      <c r="A1775" s="497"/>
      <c r="C1775" s="404"/>
      <c r="E1775" s="308"/>
      <c r="G1775" s="297"/>
      <c r="H1775" s="297"/>
      <c r="J1775" s="297"/>
      <c r="L1775" s="312"/>
      <c r="N1775" s="297"/>
    </row>
    <row r="1776" spans="1:14" ht="15" customHeight="1" x14ac:dyDescent="0.25">
      <c r="A1776" s="497"/>
      <c r="C1776" s="404"/>
      <c r="E1776" s="308"/>
      <c r="G1776" s="297"/>
      <c r="H1776" s="297"/>
      <c r="J1776" s="297"/>
      <c r="L1776" s="312"/>
      <c r="N1776" s="297"/>
    </row>
    <row r="1777" spans="1:14" ht="15" customHeight="1" x14ac:dyDescent="0.25">
      <c r="A1777" s="497"/>
      <c r="C1777" s="404"/>
      <c r="E1777" s="308"/>
      <c r="G1777" s="297"/>
      <c r="H1777" s="297"/>
      <c r="J1777" s="297"/>
      <c r="L1777" s="312"/>
      <c r="N1777" s="297"/>
    </row>
    <row r="1778" spans="1:14" ht="15" customHeight="1" x14ac:dyDescent="0.25">
      <c r="A1778" s="497"/>
      <c r="C1778" s="404"/>
      <c r="E1778" s="308"/>
      <c r="G1778" s="297"/>
      <c r="H1778" s="297"/>
      <c r="J1778" s="297"/>
      <c r="L1778" s="312"/>
      <c r="N1778" s="297"/>
    </row>
    <row r="1779" spans="1:14" ht="15" customHeight="1" x14ac:dyDescent="0.25">
      <c r="A1779" s="497"/>
      <c r="C1779" s="404"/>
      <c r="E1779" s="308"/>
      <c r="G1779" s="297"/>
      <c r="H1779" s="297"/>
      <c r="J1779" s="297"/>
      <c r="L1779" s="312"/>
      <c r="N1779" s="297"/>
    </row>
    <row r="1780" spans="1:14" ht="15" customHeight="1" x14ac:dyDescent="0.25">
      <c r="A1780" s="497"/>
      <c r="C1780" s="404"/>
      <c r="E1780" s="308"/>
      <c r="G1780" s="297"/>
      <c r="H1780" s="297"/>
      <c r="J1780" s="297"/>
      <c r="L1780" s="312"/>
      <c r="N1780" s="297"/>
    </row>
    <row r="1781" spans="1:14" ht="15" customHeight="1" x14ac:dyDescent="0.25">
      <c r="A1781" s="497"/>
      <c r="C1781" s="404"/>
      <c r="E1781" s="308"/>
      <c r="G1781" s="297"/>
      <c r="H1781" s="297"/>
      <c r="J1781" s="297"/>
      <c r="L1781" s="312"/>
      <c r="N1781" s="297"/>
    </row>
    <row r="1782" spans="1:14" ht="15" customHeight="1" x14ac:dyDescent="0.25">
      <c r="A1782" s="497"/>
      <c r="C1782" s="404"/>
      <c r="E1782" s="308"/>
      <c r="G1782" s="297"/>
      <c r="H1782" s="297"/>
      <c r="J1782" s="297"/>
      <c r="L1782" s="312"/>
      <c r="N1782" s="297"/>
    </row>
    <row r="1783" spans="1:14" ht="15" customHeight="1" x14ac:dyDescent="0.25">
      <c r="A1783" s="497"/>
      <c r="C1783" s="404"/>
      <c r="E1783" s="308"/>
      <c r="G1783" s="297"/>
      <c r="H1783" s="297"/>
      <c r="J1783" s="297"/>
      <c r="L1783" s="312"/>
      <c r="N1783" s="297"/>
    </row>
    <row r="1784" spans="1:14" ht="15" customHeight="1" x14ac:dyDescent="0.25">
      <c r="A1784" s="497"/>
      <c r="C1784" s="404"/>
      <c r="E1784" s="308"/>
      <c r="G1784" s="297"/>
      <c r="H1784" s="297"/>
      <c r="J1784" s="297"/>
      <c r="L1784" s="312"/>
      <c r="N1784" s="297"/>
    </row>
    <row r="1785" spans="1:14" ht="15" customHeight="1" x14ac:dyDescent="0.25">
      <c r="A1785" s="497"/>
      <c r="C1785" s="404"/>
      <c r="E1785" s="308"/>
      <c r="G1785" s="297"/>
      <c r="H1785" s="297"/>
      <c r="J1785" s="297"/>
      <c r="L1785" s="312"/>
      <c r="N1785" s="297"/>
    </row>
    <row r="1786" spans="1:14" ht="15" customHeight="1" x14ac:dyDescent="0.25">
      <c r="A1786" s="497"/>
      <c r="C1786" s="404"/>
      <c r="E1786" s="308"/>
      <c r="G1786" s="297"/>
      <c r="H1786" s="297"/>
      <c r="J1786" s="297"/>
      <c r="L1786" s="312"/>
      <c r="N1786" s="297"/>
    </row>
    <row r="1787" spans="1:14" ht="15" customHeight="1" x14ac:dyDescent="0.25">
      <c r="A1787" s="497"/>
      <c r="C1787" s="404"/>
      <c r="E1787" s="308"/>
      <c r="G1787" s="297"/>
      <c r="H1787" s="297"/>
      <c r="J1787" s="297"/>
      <c r="L1787" s="312"/>
      <c r="N1787" s="297"/>
    </row>
    <row r="1788" spans="1:14" ht="15" customHeight="1" x14ac:dyDescent="0.25">
      <c r="A1788" s="497"/>
      <c r="C1788" s="404"/>
      <c r="E1788" s="308"/>
      <c r="G1788" s="297"/>
      <c r="H1788" s="297"/>
      <c r="J1788" s="297"/>
      <c r="L1788" s="312"/>
      <c r="N1788" s="297"/>
    </row>
    <row r="1789" spans="1:14" ht="15" customHeight="1" x14ac:dyDescent="0.25">
      <c r="A1789" s="497"/>
      <c r="C1789" s="404"/>
      <c r="E1789" s="308"/>
      <c r="G1789" s="297"/>
      <c r="H1789" s="297"/>
      <c r="J1789" s="297"/>
      <c r="L1789" s="312"/>
      <c r="N1789" s="297"/>
    </row>
    <row r="1790" spans="1:14" ht="15" customHeight="1" x14ac:dyDescent="0.25">
      <c r="A1790" s="497"/>
      <c r="C1790" s="404"/>
      <c r="E1790" s="308"/>
      <c r="G1790" s="297"/>
      <c r="H1790" s="297"/>
      <c r="J1790" s="297"/>
      <c r="L1790" s="312"/>
      <c r="N1790" s="297"/>
    </row>
    <row r="1791" spans="1:14" ht="15" customHeight="1" x14ac:dyDescent="0.25">
      <c r="A1791" s="497"/>
      <c r="C1791" s="404"/>
      <c r="E1791" s="308"/>
      <c r="G1791" s="297"/>
      <c r="H1791" s="297"/>
      <c r="J1791" s="297"/>
      <c r="L1791" s="312"/>
      <c r="N1791" s="297"/>
    </row>
    <row r="1792" spans="1:14" ht="15" customHeight="1" x14ac:dyDescent="0.25">
      <c r="A1792" s="497"/>
      <c r="C1792" s="404"/>
      <c r="E1792" s="308"/>
      <c r="G1792" s="297"/>
      <c r="H1792" s="297"/>
      <c r="J1792" s="297"/>
      <c r="L1792" s="312"/>
      <c r="N1792" s="297"/>
    </row>
    <row r="1793" spans="1:14" ht="15" customHeight="1" x14ac:dyDescent="0.25">
      <c r="A1793" s="497"/>
      <c r="C1793" s="404"/>
      <c r="E1793" s="308"/>
      <c r="G1793" s="297"/>
      <c r="H1793" s="297"/>
      <c r="J1793" s="297"/>
      <c r="L1793" s="312"/>
      <c r="N1793" s="297"/>
    </row>
    <row r="1794" spans="1:14" ht="15" customHeight="1" x14ac:dyDescent="0.25">
      <c r="A1794" s="497"/>
      <c r="C1794" s="404"/>
      <c r="E1794" s="308"/>
      <c r="G1794" s="297"/>
      <c r="H1794" s="297"/>
      <c r="J1794" s="297"/>
      <c r="L1794" s="312"/>
      <c r="N1794" s="297"/>
    </row>
    <row r="1795" spans="1:14" ht="15" customHeight="1" x14ac:dyDescent="0.25">
      <c r="A1795" s="497"/>
      <c r="C1795" s="404"/>
      <c r="E1795" s="308"/>
      <c r="G1795" s="297"/>
      <c r="H1795" s="297"/>
      <c r="J1795" s="297"/>
      <c r="L1795" s="312"/>
      <c r="N1795" s="297"/>
    </row>
    <row r="1796" spans="1:14" ht="15" customHeight="1" x14ac:dyDescent="0.25">
      <c r="A1796" s="497"/>
      <c r="C1796" s="404"/>
      <c r="E1796" s="308"/>
      <c r="G1796" s="297"/>
      <c r="H1796" s="297"/>
      <c r="J1796" s="297"/>
      <c r="L1796" s="312"/>
      <c r="N1796" s="297"/>
    </row>
    <row r="1797" spans="1:14" ht="15" customHeight="1" x14ac:dyDescent="0.25">
      <c r="A1797" s="497"/>
      <c r="C1797" s="404"/>
      <c r="E1797" s="308"/>
      <c r="G1797" s="297"/>
      <c r="H1797" s="297"/>
      <c r="J1797" s="297"/>
      <c r="L1797" s="312"/>
      <c r="N1797" s="297"/>
    </row>
    <row r="1798" spans="1:14" ht="15" customHeight="1" x14ac:dyDescent="0.25">
      <c r="A1798" s="497"/>
      <c r="C1798" s="404"/>
      <c r="E1798" s="308"/>
      <c r="G1798" s="297"/>
      <c r="H1798" s="297"/>
      <c r="J1798" s="297"/>
      <c r="L1798" s="312"/>
      <c r="N1798" s="297"/>
    </row>
    <row r="1799" spans="1:14" ht="15" customHeight="1" x14ac:dyDescent="0.25">
      <c r="A1799" s="497"/>
      <c r="C1799" s="404"/>
      <c r="E1799" s="308"/>
      <c r="G1799" s="297"/>
      <c r="H1799" s="297"/>
      <c r="J1799" s="297"/>
      <c r="L1799" s="312"/>
      <c r="N1799" s="297"/>
    </row>
    <row r="1800" spans="1:14" ht="15" customHeight="1" x14ac:dyDescent="0.25">
      <c r="A1800" s="497"/>
      <c r="C1800" s="404"/>
      <c r="E1800" s="308"/>
      <c r="G1800" s="297"/>
      <c r="H1800" s="297"/>
      <c r="J1800" s="297"/>
      <c r="L1800" s="312"/>
      <c r="N1800" s="297"/>
    </row>
    <row r="1801" spans="1:14" ht="15" customHeight="1" x14ac:dyDescent="0.25">
      <c r="A1801" s="497"/>
      <c r="C1801" s="404"/>
      <c r="E1801" s="308"/>
      <c r="G1801" s="297"/>
      <c r="H1801" s="297"/>
      <c r="J1801" s="297"/>
      <c r="L1801" s="312"/>
      <c r="N1801" s="297"/>
    </row>
    <row r="1802" spans="1:14" ht="15" customHeight="1" x14ac:dyDescent="0.25">
      <c r="A1802" s="497"/>
      <c r="C1802" s="404"/>
      <c r="E1802" s="308"/>
      <c r="G1802" s="297"/>
      <c r="H1802" s="297"/>
      <c r="J1802" s="297"/>
      <c r="L1802" s="312"/>
      <c r="N1802" s="297"/>
    </row>
    <row r="1803" spans="1:14" ht="15" customHeight="1" x14ac:dyDescent="0.25">
      <c r="A1803" s="497"/>
      <c r="C1803" s="404"/>
      <c r="E1803" s="308"/>
      <c r="G1803" s="297"/>
      <c r="H1803" s="297"/>
      <c r="J1803" s="297"/>
      <c r="L1803" s="312"/>
      <c r="N1803" s="297"/>
    </row>
    <row r="1804" spans="1:14" ht="15" customHeight="1" x14ac:dyDescent="0.25">
      <c r="A1804" s="497"/>
      <c r="C1804" s="404"/>
      <c r="E1804" s="308"/>
      <c r="G1804" s="297"/>
      <c r="H1804" s="297"/>
      <c r="J1804" s="297"/>
      <c r="L1804" s="312"/>
      <c r="N1804" s="297"/>
    </row>
    <row r="1805" spans="1:14" ht="15" customHeight="1" x14ac:dyDescent="0.25">
      <c r="A1805" s="497"/>
      <c r="C1805" s="404"/>
      <c r="E1805" s="308"/>
      <c r="G1805" s="297"/>
      <c r="H1805" s="297"/>
      <c r="J1805" s="297"/>
      <c r="L1805" s="312"/>
      <c r="N1805" s="297"/>
    </row>
    <row r="1806" spans="1:14" ht="15" customHeight="1" x14ac:dyDescent="0.25">
      <c r="A1806" s="497"/>
      <c r="C1806" s="404"/>
      <c r="E1806" s="308"/>
      <c r="G1806" s="297"/>
      <c r="H1806" s="297"/>
      <c r="J1806" s="297"/>
      <c r="L1806" s="312"/>
      <c r="N1806" s="297"/>
    </row>
    <row r="1807" spans="1:14" ht="15" customHeight="1" x14ac:dyDescent="0.25">
      <c r="A1807" s="497"/>
      <c r="C1807" s="404"/>
      <c r="E1807" s="308"/>
      <c r="G1807" s="297"/>
      <c r="H1807" s="297"/>
      <c r="J1807" s="297"/>
      <c r="L1807" s="312"/>
      <c r="N1807" s="297"/>
    </row>
    <row r="1808" spans="1:14" ht="15" customHeight="1" x14ac:dyDescent="0.25">
      <c r="A1808" s="497"/>
      <c r="C1808" s="404"/>
      <c r="E1808" s="308"/>
      <c r="G1808" s="297"/>
      <c r="H1808" s="297"/>
      <c r="J1808" s="297"/>
      <c r="L1808" s="312"/>
      <c r="N1808" s="297"/>
    </row>
    <row r="1809" spans="1:14" ht="15" customHeight="1" x14ac:dyDescent="0.25">
      <c r="A1809" s="497"/>
      <c r="C1809" s="404"/>
      <c r="E1809" s="308"/>
      <c r="G1809" s="297"/>
      <c r="H1809" s="297"/>
      <c r="J1809" s="297"/>
      <c r="L1809" s="312"/>
      <c r="N1809" s="297"/>
    </row>
    <row r="1810" spans="1:14" ht="15" customHeight="1" x14ac:dyDescent="0.25">
      <c r="A1810" s="497"/>
      <c r="C1810" s="404"/>
      <c r="E1810" s="308"/>
      <c r="G1810" s="297"/>
      <c r="H1810" s="297"/>
      <c r="J1810" s="297"/>
      <c r="L1810" s="312"/>
      <c r="N1810" s="297"/>
    </row>
    <row r="1811" spans="1:14" ht="15" customHeight="1" x14ac:dyDescent="0.25">
      <c r="A1811" s="497"/>
      <c r="C1811" s="404"/>
      <c r="E1811" s="308"/>
      <c r="G1811" s="297"/>
      <c r="H1811" s="297"/>
      <c r="J1811" s="297"/>
      <c r="L1811" s="312"/>
      <c r="N1811" s="297"/>
    </row>
    <row r="1812" spans="1:14" ht="15" customHeight="1" x14ac:dyDescent="0.25">
      <c r="A1812" s="497"/>
      <c r="C1812" s="404"/>
      <c r="E1812" s="308"/>
      <c r="G1812" s="297"/>
      <c r="H1812" s="297"/>
      <c r="J1812" s="297"/>
      <c r="L1812" s="312"/>
      <c r="N1812" s="297"/>
    </row>
    <row r="1813" spans="1:14" ht="15" customHeight="1" x14ac:dyDescent="0.25">
      <c r="A1813" s="497"/>
      <c r="C1813" s="404"/>
      <c r="E1813" s="308"/>
      <c r="G1813" s="297"/>
      <c r="H1813" s="297"/>
      <c r="J1813" s="297"/>
      <c r="L1813" s="312"/>
      <c r="N1813" s="297"/>
    </row>
    <row r="1814" spans="1:14" ht="15" customHeight="1" x14ac:dyDescent="0.25">
      <c r="A1814" s="497"/>
      <c r="C1814" s="404"/>
      <c r="E1814" s="308"/>
      <c r="G1814" s="297"/>
      <c r="H1814" s="297"/>
      <c r="J1814" s="297"/>
      <c r="L1814" s="312"/>
      <c r="N1814" s="297"/>
    </row>
    <row r="1815" spans="1:14" ht="15" customHeight="1" x14ac:dyDescent="0.25">
      <c r="A1815" s="497"/>
      <c r="C1815" s="404"/>
      <c r="E1815" s="308"/>
      <c r="G1815" s="297"/>
      <c r="H1815" s="297"/>
      <c r="J1815" s="297"/>
      <c r="L1815" s="312"/>
      <c r="N1815" s="297"/>
    </row>
    <row r="1816" spans="1:14" ht="15" customHeight="1" x14ac:dyDescent="0.25">
      <c r="A1816" s="497"/>
      <c r="C1816" s="404"/>
      <c r="E1816" s="308"/>
      <c r="G1816" s="297"/>
      <c r="H1816" s="297"/>
      <c r="J1816" s="297"/>
      <c r="L1816" s="312"/>
      <c r="N1816" s="297"/>
    </row>
    <row r="1817" spans="1:14" ht="15" customHeight="1" x14ac:dyDescent="0.25">
      <c r="A1817" s="497"/>
      <c r="C1817" s="404"/>
      <c r="E1817" s="308"/>
      <c r="G1817" s="297"/>
      <c r="H1817" s="297"/>
      <c r="J1817" s="297"/>
      <c r="L1817" s="312"/>
      <c r="N1817" s="297"/>
    </row>
    <row r="1818" spans="1:14" ht="15" customHeight="1" x14ac:dyDescent="0.25">
      <c r="A1818" s="497"/>
      <c r="C1818" s="404"/>
      <c r="E1818" s="308"/>
      <c r="G1818" s="297"/>
      <c r="H1818" s="297"/>
      <c r="J1818" s="297"/>
      <c r="L1818" s="312"/>
      <c r="N1818" s="297"/>
    </row>
    <row r="1819" spans="1:14" ht="15" customHeight="1" x14ac:dyDescent="0.25">
      <c r="A1819" s="497"/>
      <c r="C1819" s="404"/>
      <c r="E1819" s="308"/>
      <c r="G1819" s="297"/>
      <c r="H1819" s="297"/>
      <c r="J1819" s="297"/>
      <c r="L1819" s="312"/>
      <c r="N1819" s="297"/>
    </row>
    <row r="1820" spans="1:14" ht="15" customHeight="1" x14ac:dyDescent="0.25">
      <c r="A1820" s="497"/>
      <c r="C1820" s="404"/>
      <c r="E1820" s="308"/>
      <c r="G1820" s="297"/>
      <c r="H1820" s="297"/>
      <c r="J1820" s="297"/>
      <c r="L1820" s="312"/>
      <c r="N1820" s="297"/>
    </row>
    <row r="1821" spans="1:14" ht="15" customHeight="1" x14ac:dyDescent="0.25">
      <c r="A1821" s="497"/>
      <c r="C1821" s="404"/>
      <c r="E1821" s="308"/>
      <c r="G1821" s="297"/>
      <c r="H1821" s="297"/>
      <c r="J1821" s="297"/>
      <c r="L1821" s="312"/>
      <c r="N1821" s="297"/>
    </row>
    <row r="1822" spans="1:14" ht="15" customHeight="1" x14ac:dyDescent="0.25">
      <c r="A1822" s="497"/>
      <c r="C1822" s="404"/>
      <c r="E1822" s="308"/>
      <c r="G1822" s="297"/>
      <c r="H1822" s="297"/>
      <c r="J1822" s="297"/>
      <c r="L1822" s="312"/>
      <c r="N1822" s="297"/>
    </row>
    <row r="1823" spans="1:14" ht="15" customHeight="1" x14ac:dyDescent="0.25">
      <c r="A1823" s="497"/>
      <c r="C1823" s="404"/>
      <c r="E1823" s="308"/>
      <c r="G1823" s="297"/>
      <c r="H1823" s="297"/>
      <c r="J1823" s="297"/>
      <c r="L1823" s="312"/>
      <c r="N1823" s="297"/>
    </row>
    <row r="1824" spans="1:14" ht="15" customHeight="1" x14ac:dyDescent="0.25">
      <c r="A1824" s="497"/>
      <c r="C1824" s="404"/>
      <c r="E1824" s="308"/>
      <c r="G1824" s="297"/>
      <c r="H1824" s="297"/>
      <c r="J1824" s="297"/>
      <c r="L1824" s="312"/>
      <c r="N1824" s="297"/>
    </row>
    <row r="1825" spans="1:14" ht="15" customHeight="1" x14ac:dyDescent="0.25">
      <c r="A1825" s="497"/>
      <c r="C1825" s="404"/>
      <c r="E1825" s="308"/>
      <c r="G1825" s="297"/>
      <c r="H1825" s="297"/>
      <c r="J1825" s="297"/>
      <c r="L1825" s="312"/>
      <c r="N1825" s="297"/>
    </row>
    <row r="1826" spans="1:14" ht="15" customHeight="1" x14ac:dyDescent="0.25">
      <c r="A1826" s="497"/>
      <c r="C1826" s="404"/>
      <c r="E1826" s="308"/>
      <c r="G1826" s="297"/>
      <c r="H1826" s="297"/>
      <c r="J1826" s="297"/>
      <c r="L1826" s="312"/>
      <c r="N1826" s="297"/>
    </row>
    <row r="1827" spans="1:14" ht="15" customHeight="1" x14ac:dyDescent="0.25">
      <c r="A1827" s="497"/>
      <c r="C1827" s="404"/>
      <c r="E1827" s="308"/>
      <c r="G1827" s="297"/>
      <c r="H1827" s="297"/>
      <c r="J1827" s="297"/>
      <c r="L1827" s="312"/>
      <c r="N1827" s="297"/>
    </row>
    <row r="1828" spans="1:14" ht="15" customHeight="1" x14ac:dyDescent="0.25">
      <c r="A1828" s="497"/>
      <c r="C1828" s="404"/>
      <c r="E1828" s="308"/>
      <c r="G1828" s="297"/>
      <c r="H1828" s="297"/>
      <c r="J1828" s="297"/>
      <c r="L1828" s="312"/>
      <c r="N1828" s="297"/>
    </row>
    <row r="1829" spans="1:14" ht="15" customHeight="1" x14ac:dyDescent="0.25">
      <c r="A1829" s="497"/>
      <c r="C1829" s="404"/>
      <c r="E1829" s="308"/>
      <c r="G1829" s="297"/>
      <c r="H1829" s="297"/>
      <c r="J1829" s="297"/>
      <c r="L1829" s="312"/>
      <c r="N1829" s="297"/>
    </row>
    <row r="1830" spans="1:14" ht="15" customHeight="1" x14ac:dyDescent="0.25">
      <c r="A1830" s="497"/>
      <c r="C1830" s="404"/>
      <c r="E1830" s="308"/>
      <c r="G1830" s="297"/>
      <c r="H1830" s="297"/>
      <c r="J1830" s="297"/>
      <c r="L1830" s="312"/>
      <c r="N1830" s="297"/>
    </row>
    <row r="1831" spans="1:14" ht="15" customHeight="1" x14ac:dyDescent="0.25">
      <c r="A1831" s="497"/>
      <c r="C1831" s="404"/>
      <c r="E1831" s="308"/>
      <c r="G1831" s="297"/>
      <c r="H1831" s="297"/>
      <c r="J1831" s="297"/>
      <c r="L1831" s="312"/>
      <c r="N1831" s="297"/>
    </row>
    <row r="1832" spans="1:14" ht="15" customHeight="1" x14ac:dyDescent="0.25">
      <c r="A1832" s="497"/>
      <c r="C1832" s="404"/>
      <c r="E1832" s="308"/>
      <c r="G1832" s="297"/>
      <c r="H1832" s="297"/>
      <c r="J1832" s="297"/>
      <c r="L1832" s="312"/>
      <c r="N1832" s="297"/>
    </row>
    <row r="1833" spans="1:14" ht="15" customHeight="1" x14ac:dyDescent="0.25">
      <c r="A1833" s="497"/>
      <c r="C1833" s="404"/>
      <c r="E1833" s="308"/>
      <c r="G1833" s="297"/>
      <c r="H1833" s="297"/>
      <c r="J1833" s="297"/>
      <c r="L1833" s="312"/>
      <c r="N1833" s="297"/>
    </row>
    <row r="1834" spans="1:14" ht="15" customHeight="1" x14ac:dyDescent="0.25">
      <c r="A1834" s="497"/>
      <c r="C1834" s="404"/>
      <c r="E1834" s="308"/>
      <c r="G1834" s="297"/>
      <c r="H1834" s="297"/>
      <c r="J1834" s="297"/>
      <c r="L1834" s="312"/>
      <c r="N1834" s="297"/>
    </row>
    <row r="1835" spans="1:14" ht="15" customHeight="1" x14ac:dyDescent="0.25">
      <c r="A1835" s="497"/>
      <c r="C1835" s="404"/>
      <c r="E1835" s="308"/>
      <c r="G1835" s="297"/>
      <c r="H1835" s="297"/>
      <c r="J1835" s="297"/>
      <c r="L1835" s="312"/>
      <c r="N1835" s="297"/>
    </row>
    <row r="1836" spans="1:14" ht="15" customHeight="1" x14ac:dyDescent="0.25">
      <c r="A1836" s="497"/>
      <c r="C1836" s="404"/>
      <c r="E1836" s="308"/>
      <c r="G1836" s="297"/>
      <c r="H1836" s="297"/>
      <c r="J1836" s="297"/>
      <c r="L1836" s="312"/>
      <c r="N1836" s="297"/>
    </row>
    <row r="1837" spans="1:14" ht="15" customHeight="1" x14ac:dyDescent="0.25">
      <c r="A1837" s="497"/>
      <c r="C1837" s="404"/>
      <c r="E1837" s="308"/>
      <c r="G1837" s="297"/>
      <c r="H1837" s="297"/>
      <c r="J1837" s="297"/>
      <c r="L1837" s="312"/>
      <c r="N1837" s="297"/>
    </row>
    <row r="1838" spans="1:14" ht="15" customHeight="1" x14ac:dyDescent="0.25">
      <c r="A1838" s="497"/>
      <c r="C1838" s="404"/>
      <c r="E1838" s="308"/>
      <c r="G1838" s="297"/>
      <c r="H1838" s="297"/>
      <c r="J1838" s="297"/>
      <c r="L1838" s="312"/>
      <c r="N1838" s="297"/>
    </row>
    <row r="1839" spans="1:14" ht="15" customHeight="1" x14ac:dyDescent="0.25">
      <c r="A1839" s="497"/>
      <c r="C1839" s="404"/>
      <c r="E1839" s="308"/>
      <c r="G1839" s="297"/>
      <c r="H1839" s="297"/>
      <c r="J1839" s="297"/>
      <c r="L1839" s="312"/>
      <c r="N1839" s="297"/>
    </row>
    <row r="1840" spans="1:14" ht="15" customHeight="1" x14ac:dyDescent="0.25">
      <c r="A1840" s="497"/>
      <c r="C1840" s="404"/>
      <c r="E1840" s="308"/>
      <c r="G1840" s="297"/>
      <c r="H1840" s="297"/>
      <c r="J1840" s="297"/>
      <c r="L1840" s="312"/>
      <c r="N1840" s="297"/>
    </row>
    <row r="1841" spans="1:14" ht="15" customHeight="1" x14ac:dyDescent="0.25">
      <c r="A1841" s="497"/>
      <c r="C1841" s="404"/>
      <c r="E1841" s="308"/>
      <c r="G1841" s="297"/>
      <c r="H1841" s="297"/>
      <c r="J1841" s="297"/>
      <c r="L1841" s="312"/>
      <c r="N1841" s="297"/>
    </row>
    <row r="1842" spans="1:14" ht="15" customHeight="1" x14ac:dyDescent="0.25">
      <c r="A1842" s="497"/>
      <c r="C1842" s="404"/>
      <c r="E1842" s="308"/>
      <c r="G1842" s="297"/>
      <c r="H1842" s="297"/>
      <c r="J1842" s="297"/>
      <c r="L1842" s="312"/>
      <c r="N1842" s="297"/>
    </row>
    <row r="1843" spans="1:14" ht="15" customHeight="1" x14ac:dyDescent="0.25">
      <c r="A1843" s="497"/>
      <c r="C1843" s="404"/>
      <c r="E1843" s="308"/>
      <c r="G1843" s="297"/>
      <c r="H1843" s="297"/>
      <c r="J1843" s="297"/>
      <c r="L1843" s="312"/>
      <c r="N1843" s="297"/>
    </row>
    <row r="1844" spans="1:14" ht="15" customHeight="1" x14ac:dyDescent="0.25">
      <c r="A1844" s="497"/>
      <c r="C1844" s="404"/>
      <c r="E1844" s="308"/>
      <c r="G1844" s="297"/>
      <c r="H1844" s="297"/>
      <c r="J1844" s="297"/>
      <c r="L1844" s="312"/>
      <c r="N1844" s="297"/>
    </row>
    <row r="1845" spans="1:14" ht="15" customHeight="1" x14ac:dyDescent="0.25">
      <c r="A1845" s="497"/>
      <c r="C1845" s="404"/>
      <c r="E1845" s="308"/>
      <c r="G1845" s="297"/>
      <c r="H1845" s="297"/>
      <c r="J1845" s="297"/>
      <c r="L1845" s="312"/>
      <c r="N1845" s="297"/>
    </row>
    <row r="1846" spans="1:14" ht="15" customHeight="1" x14ac:dyDescent="0.25">
      <c r="A1846" s="497"/>
      <c r="C1846" s="404"/>
      <c r="E1846" s="308"/>
      <c r="G1846" s="297"/>
      <c r="H1846" s="297"/>
      <c r="J1846" s="297"/>
      <c r="L1846" s="312"/>
      <c r="N1846" s="297"/>
    </row>
    <row r="1847" spans="1:14" ht="15" customHeight="1" x14ac:dyDescent="0.25">
      <c r="A1847" s="497"/>
      <c r="C1847" s="404"/>
      <c r="E1847" s="308"/>
      <c r="G1847" s="297"/>
      <c r="H1847" s="297"/>
      <c r="J1847" s="297"/>
      <c r="L1847" s="312"/>
      <c r="N1847" s="297"/>
    </row>
    <row r="1848" spans="1:14" ht="15" customHeight="1" x14ac:dyDescent="0.25">
      <c r="A1848" s="497"/>
      <c r="C1848" s="404"/>
      <c r="E1848" s="308"/>
      <c r="G1848" s="297"/>
      <c r="H1848" s="297"/>
      <c r="J1848" s="297"/>
      <c r="L1848" s="312"/>
      <c r="N1848" s="297"/>
    </row>
    <row r="1849" spans="1:14" ht="15" customHeight="1" x14ac:dyDescent="0.25">
      <c r="A1849" s="497"/>
      <c r="C1849" s="404"/>
      <c r="E1849" s="308"/>
      <c r="G1849" s="297"/>
      <c r="H1849" s="297"/>
      <c r="J1849" s="297"/>
      <c r="L1849" s="312"/>
      <c r="N1849" s="297"/>
    </row>
    <row r="1850" spans="1:14" ht="15" customHeight="1" x14ac:dyDescent="0.25">
      <c r="A1850" s="497"/>
      <c r="C1850" s="404"/>
      <c r="E1850" s="308"/>
      <c r="G1850" s="297"/>
      <c r="H1850" s="297"/>
      <c r="J1850" s="297"/>
      <c r="L1850" s="312"/>
      <c r="N1850" s="297"/>
    </row>
    <row r="1851" spans="1:14" ht="15" customHeight="1" x14ac:dyDescent="0.25">
      <c r="A1851" s="497"/>
      <c r="C1851" s="404"/>
      <c r="E1851" s="308"/>
      <c r="G1851" s="297"/>
      <c r="H1851" s="297"/>
      <c r="J1851" s="297"/>
      <c r="L1851" s="312"/>
      <c r="N1851" s="297"/>
    </row>
    <row r="1852" spans="1:14" ht="15" customHeight="1" x14ac:dyDescent="0.25">
      <c r="A1852" s="497"/>
      <c r="C1852" s="404"/>
      <c r="E1852" s="308"/>
      <c r="G1852" s="297"/>
      <c r="H1852" s="297"/>
      <c r="J1852" s="297"/>
      <c r="L1852" s="312"/>
      <c r="N1852" s="297"/>
    </row>
    <row r="1853" spans="1:14" ht="15" customHeight="1" x14ac:dyDescent="0.25">
      <c r="A1853" s="497"/>
      <c r="C1853" s="404"/>
      <c r="E1853" s="308"/>
      <c r="G1853" s="297"/>
      <c r="H1853" s="297"/>
      <c r="J1853" s="297"/>
      <c r="L1853" s="312"/>
      <c r="N1853" s="297"/>
    </row>
    <row r="1854" spans="1:14" ht="15" customHeight="1" x14ac:dyDescent="0.25">
      <c r="A1854" s="497"/>
      <c r="C1854" s="404"/>
      <c r="E1854" s="308"/>
      <c r="G1854" s="297"/>
      <c r="H1854" s="297"/>
      <c r="J1854" s="297"/>
      <c r="L1854" s="312"/>
      <c r="N1854" s="297"/>
    </row>
    <row r="1855" spans="1:14" ht="15" customHeight="1" x14ac:dyDescent="0.25">
      <c r="A1855" s="497"/>
      <c r="C1855" s="404"/>
      <c r="E1855" s="308"/>
      <c r="G1855" s="297"/>
      <c r="H1855" s="297"/>
      <c r="J1855" s="297"/>
      <c r="L1855" s="312"/>
      <c r="N1855" s="297"/>
    </row>
    <row r="1856" spans="1:14" ht="15" customHeight="1" x14ac:dyDescent="0.25">
      <c r="A1856" s="497"/>
      <c r="C1856" s="404"/>
      <c r="E1856" s="308"/>
      <c r="G1856" s="297"/>
      <c r="H1856" s="297"/>
      <c r="J1856" s="297"/>
      <c r="L1856" s="312"/>
      <c r="N1856" s="297"/>
    </row>
    <row r="1857" spans="1:14" ht="15" customHeight="1" x14ac:dyDescent="0.25">
      <c r="A1857" s="497"/>
      <c r="C1857" s="404"/>
      <c r="E1857" s="308"/>
      <c r="G1857" s="297"/>
      <c r="H1857" s="297"/>
      <c r="J1857" s="297"/>
      <c r="L1857" s="312"/>
      <c r="N1857" s="297"/>
    </row>
    <row r="1858" spans="1:14" ht="15" customHeight="1" x14ac:dyDescent="0.25">
      <c r="A1858" s="497"/>
      <c r="C1858" s="404"/>
      <c r="E1858" s="308"/>
      <c r="G1858" s="297"/>
      <c r="H1858" s="297"/>
      <c r="J1858" s="297"/>
      <c r="L1858" s="312"/>
      <c r="N1858" s="297"/>
    </row>
    <row r="1859" spans="1:14" ht="15" customHeight="1" x14ac:dyDescent="0.25">
      <c r="A1859" s="497"/>
      <c r="C1859" s="404"/>
      <c r="E1859" s="308"/>
      <c r="G1859" s="297"/>
      <c r="H1859" s="297"/>
      <c r="J1859" s="297"/>
      <c r="L1859" s="312"/>
      <c r="N1859" s="297"/>
    </row>
    <row r="1860" spans="1:14" ht="15" customHeight="1" x14ac:dyDescent="0.25">
      <c r="A1860" s="497"/>
      <c r="C1860" s="404"/>
      <c r="E1860" s="308"/>
      <c r="G1860" s="297"/>
      <c r="H1860" s="297"/>
      <c r="J1860" s="297"/>
      <c r="L1860" s="312"/>
      <c r="N1860" s="297"/>
    </row>
    <row r="1861" spans="1:14" ht="15" customHeight="1" x14ac:dyDescent="0.25">
      <c r="A1861" s="497"/>
      <c r="C1861" s="404"/>
      <c r="E1861" s="308"/>
      <c r="G1861" s="297"/>
      <c r="H1861" s="297"/>
      <c r="J1861" s="297"/>
      <c r="L1861" s="312"/>
      <c r="N1861" s="297"/>
    </row>
    <row r="1862" spans="1:14" ht="15" customHeight="1" x14ac:dyDescent="0.25">
      <c r="A1862" s="497"/>
      <c r="C1862" s="404"/>
      <c r="E1862" s="308"/>
      <c r="G1862" s="297"/>
      <c r="H1862" s="297"/>
      <c r="J1862" s="297"/>
      <c r="L1862" s="312"/>
      <c r="N1862" s="297"/>
    </row>
    <row r="1863" spans="1:14" ht="15" customHeight="1" x14ac:dyDescent="0.25">
      <c r="A1863" s="497"/>
      <c r="C1863" s="404"/>
      <c r="E1863" s="308"/>
      <c r="G1863" s="297"/>
      <c r="H1863" s="297"/>
      <c r="J1863" s="297"/>
      <c r="L1863" s="312"/>
      <c r="N1863" s="297"/>
    </row>
    <row r="1864" spans="1:14" ht="15" customHeight="1" x14ac:dyDescent="0.25">
      <c r="A1864" s="497"/>
      <c r="C1864" s="404"/>
      <c r="E1864" s="308"/>
      <c r="G1864" s="297"/>
      <c r="H1864" s="297"/>
      <c r="J1864" s="297"/>
      <c r="L1864" s="312"/>
      <c r="N1864" s="297"/>
    </row>
    <row r="1865" spans="1:14" ht="15" customHeight="1" x14ac:dyDescent="0.25">
      <c r="A1865" s="497"/>
      <c r="C1865" s="404"/>
      <c r="E1865" s="308"/>
      <c r="G1865" s="297"/>
      <c r="H1865" s="297"/>
      <c r="J1865" s="297"/>
      <c r="L1865" s="312"/>
      <c r="N1865" s="297"/>
    </row>
    <row r="1866" spans="1:14" ht="15" customHeight="1" x14ac:dyDescent="0.25">
      <c r="A1866" s="497"/>
      <c r="C1866" s="404"/>
      <c r="E1866" s="308"/>
      <c r="G1866" s="297"/>
      <c r="H1866" s="297"/>
      <c r="J1866" s="297"/>
      <c r="L1866" s="312"/>
      <c r="N1866" s="297"/>
    </row>
    <row r="1867" spans="1:14" ht="15" customHeight="1" x14ac:dyDescent="0.25">
      <c r="A1867" s="497"/>
      <c r="C1867" s="404"/>
      <c r="E1867" s="308"/>
      <c r="G1867" s="297"/>
      <c r="H1867" s="297"/>
      <c r="J1867" s="297"/>
      <c r="L1867" s="312"/>
      <c r="N1867" s="297"/>
    </row>
    <row r="1868" spans="1:14" ht="15" customHeight="1" x14ac:dyDescent="0.25">
      <c r="A1868" s="497"/>
      <c r="C1868" s="404"/>
      <c r="E1868" s="308"/>
      <c r="G1868" s="297"/>
      <c r="H1868" s="297"/>
      <c r="J1868" s="297"/>
      <c r="L1868" s="312"/>
      <c r="N1868" s="297"/>
    </row>
    <row r="1869" spans="1:14" ht="15" customHeight="1" x14ac:dyDescent="0.25">
      <c r="A1869" s="497"/>
      <c r="C1869" s="404"/>
      <c r="E1869" s="308"/>
      <c r="G1869" s="297"/>
      <c r="H1869" s="297"/>
      <c r="J1869" s="297"/>
      <c r="L1869" s="312"/>
      <c r="N1869" s="297"/>
    </row>
    <row r="1870" spans="1:14" ht="15" customHeight="1" x14ac:dyDescent="0.25">
      <c r="A1870" s="497"/>
      <c r="C1870" s="404"/>
      <c r="E1870" s="308"/>
      <c r="G1870" s="297"/>
      <c r="H1870" s="297"/>
      <c r="J1870" s="297"/>
      <c r="L1870" s="312"/>
      <c r="N1870" s="297"/>
    </row>
    <row r="1871" spans="1:14" ht="15" customHeight="1" x14ac:dyDescent="0.25">
      <c r="A1871" s="497"/>
      <c r="C1871" s="404"/>
      <c r="E1871" s="308"/>
      <c r="G1871" s="297"/>
      <c r="H1871" s="297"/>
      <c r="J1871" s="297"/>
      <c r="L1871" s="312"/>
      <c r="N1871" s="297"/>
    </row>
    <row r="1872" spans="1:14" ht="15" customHeight="1" x14ac:dyDescent="0.25">
      <c r="A1872" s="497"/>
      <c r="C1872" s="404"/>
      <c r="E1872" s="308"/>
      <c r="G1872" s="297"/>
      <c r="H1872" s="297"/>
      <c r="J1872" s="297"/>
      <c r="L1872" s="312"/>
      <c r="N1872" s="297"/>
    </row>
    <row r="1873" spans="1:14" ht="15" customHeight="1" x14ac:dyDescent="0.25">
      <c r="A1873" s="497"/>
      <c r="C1873" s="404"/>
      <c r="E1873" s="308"/>
      <c r="G1873" s="297"/>
      <c r="H1873" s="297"/>
      <c r="J1873" s="297"/>
      <c r="L1873" s="312"/>
      <c r="N1873" s="297"/>
    </row>
    <row r="1874" spans="1:14" ht="15" customHeight="1" x14ac:dyDescent="0.25">
      <c r="A1874" s="497"/>
      <c r="C1874" s="404"/>
      <c r="E1874" s="308"/>
      <c r="G1874" s="297"/>
      <c r="H1874" s="297"/>
      <c r="J1874" s="297"/>
      <c r="L1874" s="312"/>
      <c r="N1874" s="297"/>
    </row>
    <row r="1875" spans="1:14" ht="15" customHeight="1" x14ac:dyDescent="0.25">
      <c r="A1875" s="497"/>
      <c r="C1875" s="404"/>
      <c r="E1875" s="308"/>
      <c r="G1875" s="297"/>
      <c r="H1875" s="297"/>
      <c r="J1875" s="297"/>
      <c r="L1875" s="312"/>
      <c r="N1875" s="297"/>
    </row>
    <row r="1876" spans="1:14" ht="15" customHeight="1" x14ac:dyDescent="0.25">
      <c r="A1876" s="497"/>
      <c r="C1876" s="404"/>
      <c r="E1876" s="308"/>
      <c r="G1876" s="297"/>
      <c r="H1876" s="297"/>
      <c r="J1876" s="297"/>
      <c r="L1876" s="312"/>
      <c r="N1876" s="297"/>
    </row>
    <row r="1877" spans="1:14" ht="15" customHeight="1" x14ac:dyDescent="0.25">
      <c r="A1877" s="497"/>
      <c r="C1877" s="404"/>
      <c r="E1877" s="308"/>
      <c r="G1877" s="297"/>
      <c r="H1877" s="297"/>
      <c r="J1877" s="297"/>
      <c r="L1877" s="312"/>
      <c r="N1877" s="297"/>
    </row>
    <row r="1878" spans="1:14" ht="15" customHeight="1" x14ac:dyDescent="0.25">
      <c r="A1878" s="497"/>
      <c r="C1878" s="404"/>
      <c r="E1878" s="308"/>
      <c r="G1878" s="297"/>
      <c r="H1878" s="297"/>
      <c r="J1878" s="297"/>
      <c r="L1878" s="312"/>
      <c r="N1878" s="297"/>
    </row>
    <row r="1879" spans="1:14" ht="15" customHeight="1" x14ac:dyDescent="0.25">
      <c r="A1879" s="497"/>
      <c r="C1879" s="404"/>
      <c r="E1879" s="308"/>
      <c r="G1879" s="297"/>
      <c r="H1879" s="297"/>
      <c r="J1879" s="297"/>
      <c r="L1879" s="312"/>
      <c r="N1879" s="297"/>
    </row>
    <row r="1880" spans="1:14" ht="15" customHeight="1" x14ac:dyDescent="0.25">
      <c r="A1880" s="497"/>
      <c r="C1880" s="404"/>
      <c r="E1880" s="308"/>
      <c r="G1880" s="297"/>
      <c r="H1880" s="297"/>
      <c r="J1880" s="297"/>
      <c r="L1880" s="312"/>
      <c r="N1880" s="297"/>
    </row>
    <row r="1881" spans="1:14" ht="15" customHeight="1" x14ac:dyDescent="0.25">
      <c r="A1881" s="497"/>
      <c r="C1881" s="404"/>
      <c r="E1881" s="308"/>
      <c r="G1881" s="297"/>
      <c r="H1881" s="297"/>
      <c r="J1881" s="297"/>
      <c r="L1881" s="312"/>
      <c r="N1881" s="297"/>
    </row>
    <row r="1882" spans="1:14" ht="15" customHeight="1" x14ac:dyDescent="0.25">
      <c r="A1882" s="497"/>
      <c r="C1882" s="404"/>
      <c r="E1882" s="308"/>
      <c r="G1882" s="297"/>
      <c r="H1882" s="297"/>
      <c r="J1882" s="297"/>
      <c r="L1882" s="312"/>
      <c r="N1882" s="297"/>
    </row>
    <row r="1883" spans="1:14" ht="15" customHeight="1" x14ac:dyDescent="0.25">
      <c r="A1883" s="497"/>
      <c r="C1883" s="404"/>
      <c r="E1883" s="308"/>
      <c r="G1883" s="297"/>
      <c r="H1883" s="297"/>
      <c r="J1883" s="297"/>
      <c r="L1883" s="312"/>
      <c r="N1883" s="297"/>
    </row>
    <row r="1884" spans="1:14" ht="15" customHeight="1" x14ac:dyDescent="0.25">
      <c r="A1884" s="497"/>
      <c r="C1884" s="404"/>
      <c r="E1884" s="308"/>
      <c r="G1884" s="297"/>
      <c r="H1884" s="297"/>
      <c r="J1884" s="297"/>
      <c r="L1884" s="312"/>
      <c r="N1884" s="297"/>
    </row>
    <row r="1885" spans="1:14" ht="15" customHeight="1" x14ac:dyDescent="0.25">
      <c r="A1885" s="497"/>
      <c r="C1885" s="404"/>
      <c r="E1885" s="308"/>
      <c r="G1885" s="297"/>
      <c r="H1885" s="297"/>
      <c r="J1885" s="297"/>
      <c r="L1885" s="312"/>
      <c r="N1885" s="297"/>
    </row>
    <row r="1886" spans="1:14" ht="15" customHeight="1" x14ac:dyDescent="0.25">
      <c r="A1886" s="497"/>
      <c r="C1886" s="404"/>
      <c r="E1886" s="308"/>
      <c r="G1886" s="297"/>
      <c r="H1886" s="297"/>
      <c r="J1886" s="297"/>
      <c r="L1886" s="312"/>
      <c r="N1886" s="297"/>
    </row>
    <row r="1887" spans="1:14" ht="15" customHeight="1" x14ac:dyDescent="0.25">
      <c r="A1887" s="497"/>
      <c r="C1887" s="404"/>
      <c r="E1887" s="308"/>
      <c r="G1887" s="297"/>
      <c r="H1887" s="297"/>
      <c r="J1887" s="297"/>
      <c r="L1887" s="312"/>
      <c r="N1887" s="297"/>
    </row>
    <row r="1888" spans="1:14" ht="15" customHeight="1" x14ac:dyDescent="0.25">
      <c r="A1888" s="497"/>
      <c r="C1888" s="404"/>
      <c r="E1888" s="308"/>
      <c r="G1888" s="297"/>
      <c r="H1888" s="297"/>
      <c r="J1888" s="297"/>
      <c r="L1888" s="312"/>
      <c r="N1888" s="297"/>
    </row>
    <row r="1889" spans="1:14" ht="15" customHeight="1" x14ac:dyDescent="0.25">
      <c r="A1889" s="497"/>
      <c r="C1889" s="404"/>
      <c r="E1889" s="308"/>
      <c r="G1889" s="297"/>
      <c r="H1889" s="297"/>
      <c r="J1889" s="297"/>
      <c r="L1889" s="312"/>
      <c r="N1889" s="297"/>
    </row>
    <row r="1890" spans="1:14" ht="15" customHeight="1" x14ac:dyDescent="0.25">
      <c r="A1890" s="497"/>
      <c r="C1890" s="404"/>
      <c r="E1890" s="308"/>
      <c r="G1890" s="297"/>
      <c r="H1890" s="297"/>
      <c r="J1890" s="297"/>
      <c r="L1890" s="312"/>
      <c r="N1890" s="297"/>
    </row>
    <row r="1891" spans="1:14" ht="15" customHeight="1" x14ac:dyDescent="0.25">
      <c r="A1891" s="497"/>
      <c r="C1891" s="404"/>
      <c r="E1891" s="308"/>
      <c r="G1891" s="297"/>
      <c r="H1891" s="297"/>
      <c r="J1891" s="297"/>
      <c r="L1891" s="312"/>
      <c r="N1891" s="297"/>
    </row>
    <row r="1892" spans="1:14" ht="15" customHeight="1" x14ac:dyDescent="0.25">
      <c r="A1892" s="497"/>
      <c r="C1892" s="404"/>
      <c r="E1892" s="308"/>
      <c r="G1892" s="297"/>
      <c r="H1892" s="297"/>
      <c r="J1892" s="297"/>
      <c r="L1892" s="312"/>
      <c r="N1892" s="297"/>
    </row>
    <row r="1893" spans="1:14" ht="15" customHeight="1" x14ac:dyDescent="0.25">
      <c r="A1893" s="497"/>
      <c r="C1893" s="404"/>
      <c r="E1893" s="308"/>
      <c r="G1893" s="297"/>
      <c r="H1893" s="297"/>
      <c r="J1893" s="297"/>
      <c r="L1893" s="312"/>
      <c r="N1893" s="297"/>
    </row>
    <row r="1894" spans="1:14" ht="15" customHeight="1" x14ac:dyDescent="0.25">
      <c r="A1894" s="497"/>
      <c r="C1894" s="404"/>
      <c r="E1894" s="308"/>
      <c r="G1894" s="297"/>
      <c r="H1894" s="297"/>
      <c r="J1894" s="297"/>
      <c r="L1894" s="312"/>
      <c r="N1894" s="297"/>
    </row>
    <row r="1895" spans="1:14" ht="15" customHeight="1" x14ac:dyDescent="0.25">
      <c r="A1895" s="497"/>
      <c r="C1895" s="404"/>
      <c r="E1895" s="308"/>
      <c r="G1895" s="297"/>
      <c r="H1895" s="297"/>
      <c r="J1895" s="297"/>
      <c r="L1895" s="312"/>
      <c r="N1895" s="297"/>
    </row>
    <row r="1896" spans="1:14" ht="15" customHeight="1" x14ac:dyDescent="0.25">
      <c r="A1896" s="497"/>
      <c r="C1896" s="404"/>
      <c r="E1896" s="308"/>
      <c r="G1896" s="297"/>
      <c r="H1896" s="297"/>
      <c r="J1896" s="297"/>
      <c r="L1896" s="312"/>
      <c r="N1896" s="297"/>
    </row>
    <row r="1897" spans="1:14" ht="15" customHeight="1" x14ac:dyDescent="0.25">
      <c r="A1897" s="497"/>
      <c r="C1897" s="404"/>
      <c r="E1897" s="308"/>
      <c r="G1897" s="297"/>
      <c r="H1897" s="297"/>
      <c r="J1897" s="297"/>
      <c r="L1897" s="312"/>
      <c r="N1897" s="297"/>
    </row>
    <row r="1898" spans="1:14" ht="15" customHeight="1" x14ac:dyDescent="0.25">
      <c r="A1898" s="497"/>
      <c r="C1898" s="404"/>
      <c r="E1898" s="308"/>
      <c r="G1898" s="297"/>
      <c r="H1898" s="297"/>
      <c r="J1898" s="297"/>
      <c r="L1898" s="312"/>
      <c r="N1898" s="297"/>
    </row>
    <row r="1899" spans="1:14" ht="15" customHeight="1" x14ac:dyDescent="0.25">
      <c r="A1899" s="497"/>
      <c r="C1899" s="404"/>
      <c r="E1899" s="308"/>
      <c r="G1899" s="297"/>
      <c r="H1899" s="297"/>
      <c r="J1899" s="297"/>
      <c r="L1899" s="312"/>
      <c r="N1899" s="297"/>
    </row>
    <row r="1900" spans="1:14" ht="15" customHeight="1" x14ac:dyDescent="0.25">
      <c r="A1900" s="497"/>
      <c r="C1900" s="404"/>
      <c r="E1900" s="308"/>
      <c r="G1900" s="297"/>
      <c r="H1900" s="297"/>
      <c r="J1900" s="297"/>
      <c r="L1900" s="312"/>
      <c r="N1900" s="297"/>
    </row>
    <row r="1901" spans="1:14" ht="15" customHeight="1" x14ac:dyDescent="0.25">
      <c r="A1901" s="497"/>
      <c r="C1901" s="404"/>
      <c r="E1901" s="308"/>
      <c r="G1901" s="297"/>
      <c r="H1901" s="297"/>
      <c r="J1901" s="297"/>
      <c r="L1901" s="312"/>
      <c r="N1901" s="297"/>
    </row>
    <row r="1902" spans="1:14" ht="15" customHeight="1" x14ac:dyDescent="0.25">
      <c r="A1902" s="497"/>
      <c r="C1902" s="404"/>
      <c r="E1902" s="308"/>
      <c r="G1902" s="297"/>
      <c r="H1902" s="297"/>
      <c r="J1902" s="297"/>
      <c r="L1902" s="312"/>
      <c r="N1902" s="297"/>
    </row>
    <row r="1903" spans="1:14" ht="15" customHeight="1" x14ac:dyDescent="0.25">
      <c r="A1903" s="497"/>
      <c r="C1903" s="404"/>
      <c r="E1903" s="308"/>
      <c r="G1903" s="297"/>
      <c r="H1903" s="297"/>
      <c r="J1903" s="297"/>
      <c r="L1903" s="312"/>
      <c r="N1903" s="297"/>
    </row>
    <row r="1904" spans="1:14" ht="15" customHeight="1" x14ac:dyDescent="0.25">
      <c r="A1904" s="497"/>
      <c r="C1904" s="404"/>
      <c r="E1904" s="308"/>
      <c r="G1904" s="297"/>
      <c r="H1904" s="297"/>
      <c r="J1904" s="297"/>
      <c r="L1904" s="312"/>
      <c r="N1904" s="297"/>
    </row>
    <row r="1905" spans="1:14" ht="15" customHeight="1" x14ac:dyDescent="0.25">
      <c r="A1905" s="497"/>
      <c r="C1905" s="404"/>
      <c r="E1905" s="308"/>
      <c r="G1905" s="297"/>
      <c r="H1905" s="297"/>
      <c r="J1905" s="297"/>
      <c r="L1905" s="312"/>
      <c r="N1905" s="297"/>
    </row>
    <row r="1906" spans="1:14" ht="15" customHeight="1" x14ac:dyDescent="0.25">
      <c r="A1906" s="497"/>
      <c r="C1906" s="404"/>
      <c r="E1906" s="308"/>
      <c r="G1906" s="297"/>
      <c r="H1906" s="297"/>
      <c r="J1906" s="297"/>
      <c r="L1906" s="312"/>
      <c r="N1906" s="297"/>
    </row>
    <row r="1907" spans="1:14" ht="15" customHeight="1" x14ac:dyDescent="0.25">
      <c r="A1907" s="497"/>
      <c r="C1907" s="404"/>
      <c r="E1907" s="308"/>
      <c r="G1907" s="297"/>
      <c r="H1907" s="297"/>
      <c r="J1907" s="297"/>
      <c r="L1907" s="312"/>
      <c r="N1907" s="297"/>
    </row>
    <row r="1908" spans="1:14" ht="15" customHeight="1" x14ac:dyDescent="0.25">
      <c r="A1908" s="497"/>
      <c r="C1908" s="404"/>
      <c r="E1908" s="308"/>
      <c r="G1908" s="297"/>
      <c r="H1908" s="297"/>
      <c r="J1908" s="297"/>
      <c r="L1908" s="312"/>
      <c r="N1908" s="297"/>
    </row>
    <row r="1909" spans="1:14" ht="15" customHeight="1" x14ac:dyDescent="0.25">
      <c r="A1909" s="497"/>
      <c r="C1909" s="404"/>
      <c r="E1909" s="308"/>
      <c r="G1909" s="297"/>
      <c r="H1909" s="297"/>
      <c r="J1909" s="297"/>
      <c r="L1909" s="312"/>
      <c r="N1909" s="297"/>
    </row>
    <row r="1910" spans="1:14" ht="15" customHeight="1" x14ac:dyDescent="0.25">
      <c r="A1910" s="497"/>
      <c r="C1910" s="404"/>
      <c r="E1910" s="308"/>
      <c r="G1910" s="297"/>
      <c r="H1910" s="297"/>
      <c r="J1910" s="297"/>
      <c r="L1910" s="312"/>
      <c r="N1910" s="297"/>
    </row>
    <row r="1911" spans="1:14" ht="15" customHeight="1" x14ac:dyDescent="0.25">
      <c r="A1911" s="497"/>
      <c r="C1911" s="404"/>
      <c r="E1911" s="308"/>
      <c r="G1911" s="297"/>
      <c r="H1911" s="297"/>
      <c r="J1911" s="297"/>
      <c r="L1911" s="312"/>
      <c r="N1911" s="297"/>
    </row>
    <row r="1912" spans="1:14" ht="15" customHeight="1" x14ac:dyDescent="0.25">
      <c r="A1912" s="497"/>
      <c r="C1912" s="404"/>
      <c r="E1912" s="308"/>
      <c r="G1912" s="297"/>
      <c r="H1912" s="297"/>
      <c r="J1912" s="297"/>
      <c r="L1912" s="312"/>
      <c r="N1912" s="297"/>
    </row>
    <row r="1913" spans="1:14" ht="15" customHeight="1" x14ac:dyDescent="0.25">
      <c r="A1913" s="497"/>
      <c r="C1913" s="404"/>
      <c r="E1913" s="308"/>
      <c r="G1913" s="297"/>
      <c r="H1913" s="297"/>
      <c r="J1913" s="297"/>
      <c r="L1913" s="312"/>
      <c r="N1913" s="297"/>
    </row>
    <row r="1914" spans="1:14" ht="15" customHeight="1" x14ac:dyDescent="0.25">
      <c r="A1914" s="497"/>
      <c r="C1914" s="404"/>
      <c r="E1914" s="308"/>
      <c r="G1914" s="297"/>
      <c r="H1914" s="297"/>
      <c r="J1914" s="297"/>
      <c r="L1914" s="312"/>
      <c r="N1914" s="297"/>
    </row>
    <row r="1915" spans="1:14" ht="15" customHeight="1" x14ac:dyDescent="0.25">
      <c r="A1915" s="497"/>
      <c r="C1915" s="404"/>
      <c r="E1915" s="308"/>
      <c r="G1915" s="297"/>
      <c r="H1915" s="297"/>
      <c r="J1915" s="297"/>
      <c r="L1915" s="312"/>
      <c r="N1915" s="297"/>
    </row>
    <row r="1916" spans="1:14" ht="15" customHeight="1" x14ac:dyDescent="0.25">
      <c r="A1916" s="497"/>
      <c r="C1916" s="404"/>
      <c r="E1916" s="308"/>
      <c r="G1916" s="297"/>
      <c r="H1916" s="297"/>
      <c r="J1916" s="297"/>
      <c r="L1916" s="312"/>
      <c r="N1916" s="297"/>
    </row>
    <row r="1917" spans="1:14" ht="15" customHeight="1" x14ac:dyDescent="0.25">
      <c r="A1917" s="497"/>
      <c r="C1917" s="404"/>
      <c r="E1917" s="308"/>
      <c r="G1917" s="297"/>
      <c r="H1917" s="297"/>
      <c r="J1917" s="297"/>
      <c r="L1917" s="312"/>
      <c r="N1917" s="297"/>
    </row>
    <row r="1918" spans="1:14" ht="15" customHeight="1" x14ac:dyDescent="0.25">
      <c r="A1918" s="497"/>
      <c r="C1918" s="404"/>
      <c r="E1918" s="308"/>
      <c r="G1918" s="297"/>
      <c r="H1918" s="297"/>
      <c r="J1918" s="297"/>
      <c r="L1918" s="312"/>
      <c r="N1918" s="297"/>
    </row>
    <row r="1919" spans="1:14" ht="15" customHeight="1" x14ac:dyDescent="0.25">
      <c r="A1919" s="497"/>
      <c r="C1919" s="404"/>
      <c r="E1919" s="308"/>
      <c r="G1919" s="297"/>
      <c r="H1919" s="297"/>
      <c r="J1919" s="297"/>
      <c r="L1919" s="312"/>
      <c r="N1919" s="297"/>
    </row>
    <row r="1920" spans="1:14" ht="15" customHeight="1" x14ac:dyDescent="0.25">
      <c r="A1920" s="497"/>
      <c r="C1920" s="404"/>
      <c r="E1920" s="308"/>
      <c r="G1920" s="297"/>
      <c r="H1920" s="297"/>
      <c r="J1920" s="297"/>
      <c r="L1920" s="312"/>
      <c r="N1920" s="297"/>
    </row>
    <row r="1921" spans="1:14" ht="15" customHeight="1" x14ac:dyDescent="0.25">
      <c r="A1921" s="497"/>
      <c r="C1921" s="404"/>
      <c r="E1921" s="308"/>
      <c r="G1921" s="297"/>
      <c r="H1921" s="297"/>
      <c r="J1921" s="297"/>
      <c r="L1921" s="312"/>
      <c r="N1921" s="297"/>
    </row>
    <row r="1922" spans="1:14" ht="15" customHeight="1" x14ac:dyDescent="0.25">
      <c r="A1922" s="497"/>
      <c r="C1922" s="404"/>
      <c r="E1922" s="308"/>
      <c r="G1922" s="297"/>
      <c r="H1922" s="297"/>
      <c r="J1922" s="297"/>
      <c r="L1922" s="312"/>
      <c r="N1922" s="297"/>
    </row>
    <row r="1923" spans="1:14" ht="15" customHeight="1" x14ac:dyDescent="0.25">
      <c r="A1923" s="497"/>
      <c r="C1923" s="404"/>
      <c r="E1923" s="308"/>
      <c r="G1923" s="297"/>
      <c r="H1923" s="297"/>
      <c r="J1923" s="297"/>
      <c r="L1923" s="312"/>
      <c r="N1923" s="297"/>
    </row>
    <row r="1924" spans="1:14" ht="15" customHeight="1" x14ac:dyDescent="0.25">
      <c r="A1924" s="497"/>
      <c r="C1924" s="404"/>
      <c r="E1924" s="308"/>
      <c r="G1924" s="297"/>
      <c r="H1924" s="297"/>
      <c r="J1924" s="297"/>
      <c r="L1924" s="312"/>
      <c r="N1924" s="297"/>
    </row>
    <row r="1925" spans="1:14" ht="15" customHeight="1" x14ac:dyDescent="0.25">
      <c r="A1925" s="497"/>
      <c r="C1925" s="404"/>
      <c r="E1925" s="308"/>
      <c r="F1925" s="407">
        <f>SUM(F1926:F1939)</f>
        <v>0</v>
      </c>
      <c r="G1925" s="297"/>
      <c r="H1925" s="297"/>
      <c r="J1925" s="297"/>
      <c r="L1925" s="312"/>
      <c r="N1925" s="297"/>
    </row>
    <row r="1926" spans="1:14" ht="15" customHeight="1" x14ac:dyDescent="0.25">
      <c r="A1926" s="497"/>
      <c r="C1926" s="404"/>
      <c r="E1926" s="308"/>
      <c r="G1926" s="297"/>
      <c r="H1926" s="297"/>
      <c r="J1926" s="297"/>
      <c r="L1926" s="312"/>
      <c r="N1926" s="297"/>
    </row>
    <row r="1927" spans="1:14" ht="15" customHeight="1" x14ac:dyDescent="0.25">
      <c r="A1927" s="497"/>
      <c r="C1927" s="404"/>
      <c r="E1927" s="308"/>
      <c r="G1927" s="297"/>
      <c r="H1927" s="297"/>
      <c r="J1927" s="297"/>
      <c r="L1927" s="312"/>
      <c r="N1927" s="297"/>
    </row>
    <row r="1928" spans="1:14" ht="15" customHeight="1" x14ac:dyDescent="0.25">
      <c r="A1928" s="497"/>
      <c r="C1928" s="404"/>
      <c r="E1928" s="308"/>
      <c r="G1928" s="297"/>
      <c r="H1928" s="297"/>
      <c r="J1928" s="297"/>
      <c r="L1928" s="312"/>
      <c r="N1928" s="297"/>
    </row>
    <row r="1929" spans="1:14" ht="15" customHeight="1" x14ac:dyDescent="0.25">
      <c r="A1929" s="497"/>
      <c r="C1929" s="404"/>
      <c r="E1929" s="308"/>
      <c r="G1929" s="297"/>
      <c r="H1929" s="297"/>
      <c r="J1929" s="297"/>
      <c r="L1929" s="312"/>
      <c r="N1929" s="297"/>
    </row>
    <row r="1930" spans="1:14" ht="15" customHeight="1" x14ac:dyDescent="0.25">
      <c r="A1930" s="497"/>
      <c r="C1930" s="404"/>
      <c r="E1930" s="308"/>
      <c r="G1930" s="297"/>
      <c r="H1930" s="297"/>
      <c r="J1930" s="297"/>
      <c r="L1930" s="312"/>
      <c r="N1930" s="297"/>
    </row>
    <row r="1931" spans="1:14" ht="15" customHeight="1" x14ac:dyDescent="0.25">
      <c r="A1931" s="497"/>
      <c r="C1931" s="404"/>
      <c r="E1931" s="308"/>
      <c r="G1931" s="297"/>
      <c r="H1931" s="297"/>
      <c r="J1931" s="297"/>
      <c r="L1931" s="312"/>
      <c r="N1931" s="297"/>
    </row>
    <row r="1932" spans="1:14" ht="15" customHeight="1" x14ac:dyDescent="0.25">
      <c r="A1932" s="497"/>
      <c r="C1932" s="404"/>
      <c r="E1932" s="308"/>
      <c r="G1932" s="297"/>
      <c r="H1932" s="297"/>
      <c r="J1932" s="297"/>
      <c r="L1932" s="312"/>
      <c r="N1932" s="297"/>
    </row>
    <row r="1933" spans="1:14" ht="15" customHeight="1" x14ac:dyDescent="0.25">
      <c r="A1933" s="497"/>
      <c r="C1933" s="404"/>
      <c r="E1933" s="308"/>
      <c r="G1933" s="297"/>
      <c r="H1933" s="297"/>
      <c r="J1933" s="297"/>
      <c r="L1933" s="312"/>
      <c r="N1933" s="297"/>
    </row>
    <row r="1934" spans="1:14" ht="15" customHeight="1" x14ac:dyDescent="0.25">
      <c r="A1934" s="497"/>
      <c r="C1934" s="404"/>
      <c r="E1934" s="308"/>
      <c r="G1934" s="297"/>
      <c r="H1934" s="297"/>
      <c r="J1934" s="297"/>
      <c r="L1934" s="312"/>
      <c r="N1934" s="297"/>
    </row>
    <row r="1935" spans="1:14" ht="15" customHeight="1" x14ac:dyDescent="0.25">
      <c r="A1935" s="497"/>
      <c r="C1935" s="404"/>
      <c r="E1935" s="308"/>
      <c r="G1935" s="297"/>
      <c r="H1935" s="297"/>
      <c r="J1935" s="297"/>
      <c r="L1935" s="312"/>
      <c r="N1935" s="297"/>
    </row>
    <row r="1936" spans="1:14" ht="15" customHeight="1" x14ac:dyDescent="0.25">
      <c r="A1936" s="497"/>
      <c r="C1936" s="404"/>
      <c r="E1936" s="308"/>
      <c r="G1936" s="297"/>
      <c r="H1936" s="297"/>
      <c r="J1936" s="297"/>
      <c r="L1936" s="312"/>
      <c r="N1936" s="297"/>
    </row>
    <row r="1937" spans="1:14" ht="15" customHeight="1" x14ac:dyDescent="0.25">
      <c r="A1937" s="497"/>
      <c r="C1937" s="404"/>
      <c r="E1937" s="308"/>
      <c r="G1937" s="297"/>
      <c r="H1937" s="297"/>
      <c r="J1937" s="297"/>
      <c r="L1937" s="312"/>
      <c r="N1937" s="297"/>
    </row>
    <row r="1938" spans="1:14" ht="15" customHeight="1" x14ac:dyDescent="0.25">
      <c r="A1938" s="497"/>
      <c r="C1938" s="404"/>
      <c r="E1938" s="308"/>
      <c r="G1938" s="297"/>
      <c r="H1938" s="297"/>
      <c r="J1938" s="297"/>
      <c r="L1938" s="312"/>
      <c r="N1938" s="297"/>
    </row>
    <row r="1939" spans="1:14" ht="15" customHeight="1" x14ac:dyDescent="0.25">
      <c r="A1939" s="497"/>
      <c r="C1939" s="404"/>
      <c r="E1939" s="308"/>
      <c r="G1939" s="297"/>
      <c r="H1939" s="297"/>
      <c r="J1939" s="297"/>
      <c r="L1939" s="312"/>
      <c r="N1939" s="297"/>
    </row>
    <row r="1940" spans="1:14" ht="15" customHeight="1" x14ac:dyDescent="0.25">
      <c r="A1940" s="497"/>
      <c r="C1940" s="404"/>
      <c r="E1940" s="308"/>
      <c r="G1940" s="297"/>
      <c r="H1940" s="297"/>
      <c r="J1940" s="297"/>
      <c r="L1940" s="312"/>
      <c r="N1940" s="297"/>
    </row>
    <row r="1941" spans="1:14" ht="15" customHeight="1" x14ac:dyDescent="0.25">
      <c r="A1941" s="497"/>
      <c r="C1941" s="404"/>
      <c r="E1941" s="308"/>
      <c r="G1941" s="297"/>
      <c r="H1941" s="297"/>
      <c r="J1941" s="297"/>
      <c r="L1941" s="312"/>
      <c r="N1941" s="297"/>
    </row>
    <row r="1942" spans="1:14" ht="15" customHeight="1" x14ac:dyDescent="0.25">
      <c r="A1942" s="497"/>
      <c r="C1942" s="404"/>
      <c r="E1942" s="308"/>
      <c r="G1942" s="297"/>
      <c r="H1942" s="297"/>
      <c r="J1942" s="297"/>
      <c r="L1942" s="312"/>
      <c r="N1942" s="297"/>
    </row>
    <row r="1943" spans="1:14" ht="15" customHeight="1" x14ac:dyDescent="0.25">
      <c r="A1943" s="497"/>
      <c r="C1943" s="404"/>
      <c r="E1943" s="308"/>
      <c r="G1943" s="297"/>
      <c r="H1943" s="297"/>
      <c r="J1943" s="297"/>
      <c r="L1943" s="312"/>
      <c r="N1943" s="297"/>
    </row>
    <row r="1944" spans="1:14" ht="15" customHeight="1" x14ac:dyDescent="0.25">
      <c r="A1944" s="497"/>
      <c r="C1944" s="404"/>
      <c r="E1944" s="308"/>
      <c r="G1944" s="297"/>
      <c r="H1944" s="297"/>
      <c r="J1944" s="297"/>
      <c r="L1944" s="312"/>
      <c r="N1944" s="297"/>
    </row>
    <row r="1945" spans="1:14" ht="15" customHeight="1" x14ac:dyDescent="0.25">
      <c r="A1945" s="497"/>
      <c r="C1945" s="404"/>
      <c r="E1945" s="308"/>
      <c r="G1945" s="297"/>
      <c r="H1945" s="297"/>
      <c r="J1945" s="297"/>
      <c r="L1945" s="312"/>
      <c r="N1945" s="297"/>
    </row>
    <row r="1946" spans="1:14" ht="15" customHeight="1" x14ac:dyDescent="0.25">
      <c r="A1946" s="497"/>
      <c r="C1946" s="404"/>
      <c r="E1946" s="308"/>
      <c r="G1946" s="297"/>
      <c r="H1946" s="297"/>
      <c r="J1946" s="297"/>
      <c r="L1946" s="312"/>
      <c r="N1946" s="297"/>
    </row>
    <row r="1947" spans="1:14" ht="15" customHeight="1" x14ac:dyDescent="0.25">
      <c r="A1947" s="497"/>
      <c r="C1947" s="404"/>
      <c r="E1947" s="308"/>
      <c r="G1947" s="297"/>
      <c r="H1947" s="297"/>
      <c r="J1947" s="297"/>
      <c r="L1947" s="312"/>
      <c r="N1947" s="297"/>
    </row>
    <row r="1948" spans="1:14" ht="15" customHeight="1" x14ac:dyDescent="0.25">
      <c r="A1948" s="497"/>
      <c r="C1948" s="404"/>
      <c r="E1948" s="308"/>
      <c r="G1948" s="297"/>
      <c r="H1948" s="297"/>
      <c r="J1948" s="297"/>
      <c r="L1948" s="312"/>
      <c r="N1948" s="297"/>
    </row>
    <row r="1949" spans="1:14" ht="15" customHeight="1" x14ac:dyDescent="0.25">
      <c r="A1949" s="497"/>
      <c r="C1949" s="404"/>
      <c r="E1949" s="308"/>
      <c r="G1949" s="297"/>
      <c r="H1949" s="297"/>
      <c r="J1949" s="297"/>
      <c r="L1949" s="312"/>
      <c r="N1949" s="297"/>
    </row>
    <row r="1950" spans="1:14" ht="15" customHeight="1" x14ac:dyDescent="0.25">
      <c r="A1950" s="497"/>
      <c r="C1950" s="404"/>
      <c r="E1950" s="308"/>
      <c r="G1950" s="297"/>
      <c r="H1950" s="297"/>
      <c r="J1950" s="297"/>
      <c r="L1950" s="312"/>
      <c r="N1950" s="297"/>
    </row>
    <row r="1951" spans="1:14" ht="15" customHeight="1" x14ac:dyDescent="0.25">
      <c r="A1951" s="497"/>
      <c r="C1951" s="404"/>
      <c r="E1951" s="308"/>
      <c r="G1951" s="297"/>
      <c r="H1951" s="297"/>
      <c r="J1951" s="297"/>
      <c r="L1951" s="312"/>
      <c r="N1951" s="297"/>
    </row>
    <row r="1952" spans="1:14" ht="15" customHeight="1" x14ac:dyDescent="0.25">
      <c r="A1952" s="497"/>
      <c r="C1952" s="404"/>
      <c r="E1952" s="308"/>
      <c r="G1952" s="297"/>
      <c r="H1952" s="297"/>
      <c r="J1952" s="297"/>
      <c r="L1952" s="312"/>
      <c r="N1952" s="297"/>
    </row>
    <row r="1953" spans="1:14" ht="15" customHeight="1" x14ac:dyDescent="0.25">
      <c r="A1953" s="497"/>
      <c r="C1953" s="404"/>
      <c r="E1953" s="308"/>
      <c r="G1953" s="297"/>
      <c r="H1953" s="297"/>
      <c r="J1953" s="297"/>
      <c r="L1953" s="312"/>
      <c r="N1953" s="297"/>
    </row>
    <row r="1954" spans="1:14" ht="15" customHeight="1" x14ac:dyDescent="0.25">
      <c r="A1954" s="497"/>
      <c r="C1954" s="404"/>
      <c r="E1954" s="308"/>
      <c r="G1954" s="297"/>
      <c r="H1954" s="297"/>
      <c r="J1954" s="297"/>
      <c r="L1954" s="312"/>
      <c r="N1954" s="297"/>
    </row>
    <row r="1955" spans="1:14" ht="15" customHeight="1" x14ac:dyDescent="0.25">
      <c r="A1955" s="497"/>
      <c r="C1955" s="404"/>
      <c r="E1955" s="308"/>
      <c r="G1955" s="297"/>
      <c r="H1955" s="297"/>
      <c r="J1955" s="297"/>
      <c r="L1955" s="312"/>
      <c r="N1955" s="297"/>
    </row>
    <row r="1956" spans="1:14" ht="15" customHeight="1" x14ac:dyDescent="0.25">
      <c r="A1956" s="497"/>
      <c r="C1956" s="404"/>
      <c r="E1956" s="308"/>
      <c r="G1956" s="297"/>
      <c r="H1956" s="297"/>
      <c r="J1956" s="297"/>
      <c r="L1956" s="312"/>
      <c r="N1956" s="297"/>
    </row>
    <row r="1957" spans="1:14" ht="15" customHeight="1" x14ac:dyDescent="0.25">
      <c r="A1957" s="497"/>
      <c r="C1957" s="404"/>
      <c r="E1957" s="308"/>
      <c r="G1957" s="297"/>
      <c r="H1957" s="297"/>
      <c r="J1957" s="297"/>
      <c r="L1957" s="312"/>
      <c r="N1957" s="297"/>
    </row>
    <row r="1958" spans="1:14" ht="15" customHeight="1" x14ac:dyDescent="0.25">
      <c r="A1958" s="497"/>
      <c r="C1958" s="404"/>
      <c r="E1958" s="308"/>
      <c r="G1958" s="297"/>
      <c r="H1958" s="297"/>
      <c r="J1958" s="297"/>
      <c r="L1958" s="312"/>
      <c r="N1958" s="297"/>
    </row>
    <row r="1959" spans="1:14" ht="15" customHeight="1" x14ac:dyDescent="0.25">
      <c r="A1959" s="497"/>
      <c r="C1959" s="404"/>
      <c r="E1959" s="308"/>
      <c r="G1959" s="297"/>
      <c r="H1959" s="297"/>
      <c r="J1959" s="297"/>
      <c r="L1959" s="312"/>
      <c r="N1959" s="297"/>
    </row>
    <row r="1960" spans="1:14" ht="15" customHeight="1" x14ac:dyDescent="0.25">
      <c r="A1960" s="497"/>
      <c r="C1960" s="404"/>
      <c r="E1960" s="308"/>
      <c r="G1960" s="297"/>
      <c r="H1960" s="297"/>
      <c r="J1960" s="297"/>
      <c r="L1960" s="312"/>
      <c r="N1960" s="297"/>
    </row>
    <row r="1961" spans="1:14" ht="15" customHeight="1" x14ac:dyDescent="0.25">
      <c r="A1961" s="497"/>
      <c r="C1961" s="404"/>
      <c r="E1961" s="308"/>
      <c r="G1961" s="297"/>
      <c r="H1961" s="297"/>
      <c r="J1961" s="297"/>
      <c r="L1961" s="312"/>
      <c r="N1961" s="297"/>
    </row>
    <row r="1962" spans="1:14" ht="15" customHeight="1" x14ac:dyDescent="0.25">
      <c r="A1962" s="497"/>
      <c r="C1962" s="404"/>
      <c r="E1962" s="308"/>
      <c r="G1962" s="297"/>
      <c r="H1962" s="297"/>
      <c r="J1962" s="297"/>
      <c r="L1962" s="312"/>
      <c r="N1962" s="297"/>
    </row>
    <row r="1963" spans="1:14" ht="15" customHeight="1" x14ac:dyDescent="0.25">
      <c r="A1963" s="497"/>
      <c r="C1963" s="404"/>
      <c r="E1963" s="308"/>
      <c r="G1963" s="297"/>
      <c r="H1963" s="297"/>
      <c r="J1963" s="297"/>
      <c r="L1963" s="312"/>
      <c r="N1963" s="297"/>
    </row>
    <row r="1964" spans="1:14" ht="15" customHeight="1" x14ac:dyDescent="0.25">
      <c r="A1964" s="497"/>
      <c r="C1964" s="404"/>
      <c r="E1964" s="308"/>
      <c r="G1964" s="297"/>
      <c r="H1964" s="297"/>
      <c r="J1964" s="297"/>
      <c r="L1964" s="312"/>
      <c r="N1964" s="297"/>
    </row>
    <row r="1965" spans="1:14" ht="15" customHeight="1" x14ac:dyDescent="0.25">
      <c r="A1965" s="497"/>
      <c r="C1965" s="404"/>
      <c r="E1965" s="308"/>
      <c r="G1965" s="297"/>
      <c r="H1965" s="297"/>
      <c r="J1965" s="297"/>
      <c r="L1965" s="312"/>
      <c r="N1965" s="297"/>
    </row>
    <row r="1966" spans="1:14" ht="15" customHeight="1" x14ac:dyDescent="0.25">
      <c r="A1966" s="497"/>
      <c r="C1966" s="404"/>
      <c r="E1966" s="308"/>
      <c r="G1966" s="297"/>
      <c r="H1966" s="297"/>
      <c r="J1966" s="297"/>
      <c r="L1966" s="312"/>
      <c r="N1966" s="297"/>
    </row>
    <row r="1967" spans="1:14" ht="15" customHeight="1" x14ac:dyDescent="0.25">
      <c r="A1967" s="497"/>
      <c r="C1967" s="404"/>
      <c r="E1967" s="308"/>
      <c r="G1967" s="297"/>
      <c r="H1967" s="297"/>
      <c r="J1967" s="297"/>
      <c r="L1967" s="312"/>
      <c r="N1967" s="297"/>
    </row>
    <row r="1968" spans="1:14" ht="15" customHeight="1" x14ac:dyDescent="0.25">
      <c r="A1968" s="497"/>
      <c r="C1968" s="404"/>
      <c r="E1968" s="308"/>
      <c r="G1968" s="297"/>
      <c r="H1968" s="297"/>
      <c r="J1968" s="297"/>
      <c r="L1968" s="312"/>
      <c r="N1968" s="297"/>
    </row>
    <row r="1969" spans="1:14" ht="15" customHeight="1" x14ac:dyDescent="0.25">
      <c r="A1969" s="497"/>
      <c r="C1969" s="404"/>
      <c r="E1969" s="308"/>
      <c r="G1969" s="297"/>
      <c r="H1969" s="297"/>
      <c r="J1969" s="297"/>
      <c r="L1969" s="312"/>
      <c r="N1969" s="297"/>
    </row>
    <row r="1970" spans="1:14" ht="15" customHeight="1" x14ac:dyDescent="0.25">
      <c r="A1970" s="497"/>
      <c r="C1970" s="404"/>
      <c r="E1970" s="308"/>
      <c r="G1970" s="297"/>
      <c r="H1970" s="297"/>
      <c r="J1970" s="297"/>
      <c r="L1970" s="312"/>
      <c r="N1970" s="297"/>
    </row>
    <row r="1971" spans="1:14" ht="15" customHeight="1" x14ac:dyDescent="0.25">
      <c r="A1971" s="497"/>
      <c r="C1971" s="404"/>
      <c r="E1971" s="308"/>
      <c r="G1971" s="297"/>
      <c r="H1971" s="297"/>
      <c r="J1971" s="297"/>
      <c r="L1971" s="312"/>
      <c r="N1971" s="297"/>
    </row>
    <row r="1972" spans="1:14" ht="15" customHeight="1" x14ac:dyDescent="0.25">
      <c r="A1972" s="497"/>
      <c r="C1972" s="404"/>
      <c r="E1972" s="308"/>
      <c r="G1972" s="297"/>
      <c r="H1972" s="297"/>
      <c r="J1972" s="297"/>
      <c r="L1972" s="312"/>
      <c r="N1972" s="297"/>
    </row>
    <row r="1973" spans="1:14" ht="15" customHeight="1" x14ac:dyDescent="0.25">
      <c r="A1973" s="497"/>
      <c r="C1973" s="404"/>
      <c r="E1973" s="308"/>
      <c r="G1973" s="297"/>
      <c r="H1973" s="297"/>
      <c r="J1973" s="297"/>
      <c r="L1973" s="312"/>
      <c r="N1973" s="297"/>
    </row>
    <row r="1974" spans="1:14" ht="15" customHeight="1" x14ac:dyDescent="0.25">
      <c r="A1974" s="497"/>
      <c r="C1974" s="404"/>
      <c r="E1974" s="308"/>
      <c r="G1974" s="297"/>
      <c r="H1974" s="297"/>
      <c r="J1974" s="297"/>
      <c r="L1974" s="312"/>
      <c r="N1974" s="297"/>
    </row>
    <row r="1975" spans="1:14" ht="15" customHeight="1" x14ac:dyDescent="0.25">
      <c r="A1975" s="497"/>
      <c r="C1975" s="404"/>
      <c r="E1975" s="308"/>
      <c r="G1975" s="297"/>
      <c r="H1975" s="297"/>
      <c r="J1975" s="297"/>
      <c r="L1975" s="312"/>
      <c r="N1975" s="297"/>
    </row>
    <row r="1976" spans="1:14" ht="15" customHeight="1" x14ac:dyDescent="0.25">
      <c r="A1976" s="497"/>
      <c r="C1976" s="404"/>
      <c r="E1976" s="308"/>
      <c r="G1976" s="297"/>
      <c r="H1976" s="297"/>
      <c r="J1976" s="297"/>
      <c r="L1976" s="312"/>
      <c r="N1976" s="297"/>
    </row>
    <row r="1977" spans="1:14" ht="15" customHeight="1" x14ac:dyDescent="0.25">
      <c r="A1977" s="497"/>
      <c r="C1977" s="404"/>
      <c r="E1977" s="308"/>
      <c r="G1977" s="297"/>
      <c r="H1977" s="297"/>
      <c r="J1977" s="297"/>
      <c r="L1977" s="312"/>
      <c r="N1977" s="297"/>
    </row>
    <row r="1978" spans="1:14" ht="15" customHeight="1" x14ac:dyDescent="0.25">
      <c r="A1978" s="497"/>
      <c r="C1978" s="404"/>
      <c r="E1978" s="308"/>
      <c r="G1978" s="297"/>
      <c r="H1978" s="297"/>
      <c r="J1978" s="297"/>
      <c r="L1978" s="312"/>
      <c r="N1978" s="297"/>
    </row>
    <row r="1979" spans="1:14" ht="15" customHeight="1" x14ac:dyDescent="0.25">
      <c r="A1979" s="497"/>
      <c r="C1979" s="404"/>
      <c r="E1979" s="308"/>
      <c r="G1979" s="297"/>
      <c r="H1979" s="297"/>
      <c r="J1979" s="297"/>
      <c r="L1979" s="312"/>
      <c r="N1979" s="297"/>
    </row>
    <row r="1980" spans="1:14" ht="15" customHeight="1" x14ac:dyDescent="0.25">
      <c r="A1980" s="497"/>
      <c r="C1980" s="404"/>
      <c r="E1980" s="308"/>
      <c r="G1980" s="297"/>
      <c r="H1980" s="297"/>
      <c r="J1980" s="297"/>
      <c r="L1980" s="312"/>
      <c r="N1980" s="297"/>
    </row>
    <row r="1981" spans="1:14" ht="15" customHeight="1" x14ac:dyDescent="0.25">
      <c r="A1981" s="497"/>
      <c r="C1981" s="404"/>
      <c r="E1981" s="308"/>
      <c r="G1981" s="297"/>
      <c r="H1981" s="297"/>
      <c r="J1981" s="297"/>
      <c r="L1981" s="312"/>
      <c r="N1981" s="297"/>
    </row>
    <row r="1982" spans="1:14" ht="15" customHeight="1" x14ac:dyDescent="0.25">
      <c r="A1982" s="497"/>
      <c r="C1982" s="404"/>
      <c r="E1982" s="308"/>
      <c r="G1982" s="297"/>
      <c r="H1982" s="297"/>
      <c r="J1982" s="297"/>
      <c r="L1982" s="312"/>
      <c r="N1982" s="297"/>
    </row>
    <row r="1983" spans="1:14" ht="15" customHeight="1" x14ac:dyDescent="0.25">
      <c r="A1983" s="497"/>
      <c r="C1983" s="404"/>
      <c r="E1983" s="308"/>
      <c r="G1983" s="297"/>
      <c r="H1983" s="297"/>
      <c r="J1983" s="297"/>
      <c r="L1983" s="312"/>
      <c r="N1983" s="297"/>
    </row>
    <row r="1984" spans="1:14" ht="15" customHeight="1" x14ac:dyDescent="0.25">
      <c r="A1984" s="497"/>
      <c r="C1984" s="404"/>
      <c r="E1984" s="308"/>
      <c r="G1984" s="297"/>
      <c r="H1984" s="297"/>
      <c r="J1984" s="297"/>
      <c r="L1984" s="312"/>
      <c r="N1984" s="297"/>
    </row>
    <row r="1985" spans="1:14" ht="15" customHeight="1" x14ac:dyDescent="0.25">
      <c r="A1985" s="497"/>
      <c r="C1985" s="404"/>
      <c r="E1985" s="308"/>
      <c r="G1985" s="297"/>
      <c r="H1985" s="297"/>
      <c r="J1985" s="297"/>
      <c r="L1985" s="312"/>
      <c r="N1985" s="297"/>
    </row>
    <row r="1986" spans="1:14" ht="15" customHeight="1" x14ac:dyDescent="0.25">
      <c r="A1986" s="497"/>
      <c r="C1986" s="404"/>
      <c r="E1986" s="308"/>
      <c r="G1986" s="297"/>
      <c r="H1986" s="297"/>
      <c r="J1986" s="297"/>
      <c r="L1986" s="312"/>
      <c r="N1986" s="297"/>
    </row>
    <row r="1987" spans="1:14" ht="15" customHeight="1" x14ac:dyDescent="0.25">
      <c r="A1987" s="497"/>
      <c r="C1987" s="404"/>
      <c r="E1987" s="308"/>
      <c r="G1987" s="297"/>
      <c r="H1987" s="297"/>
      <c r="J1987" s="297"/>
      <c r="L1987" s="312"/>
      <c r="N1987" s="297"/>
    </row>
    <row r="1988" spans="1:14" ht="15" customHeight="1" x14ac:dyDescent="0.25">
      <c r="A1988" s="497"/>
      <c r="C1988" s="404"/>
      <c r="E1988" s="308"/>
      <c r="G1988" s="297"/>
      <c r="H1988" s="297"/>
      <c r="J1988" s="297"/>
      <c r="L1988" s="312"/>
      <c r="N1988" s="297"/>
    </row>
    <row r="1989" spans="1:14" ht="15" customHeight="1" x14ac:dyDescent="0.25">
      <c r="A1989" s="497"/>
      <c r="C1989" s="404"/>
      <c r="E1989" s="308"/>
      <c r="G1989" s="297"/>
      <c r="H1989" s="297"/>
      <c r="J1989" s="297"/>
      <c r="L1989" s="312"/>
      <c r="N1989" s="297"/>
    </row>
    <row r="1990" spans="1:14" ht="15" customHeight="1" x14ac:dyDescent="0.25">
      <c r="A1990" s="497"/>
      <c r="C1990" s="404"/>
      <c r="E1990" s="308"/>
      <c r="G1990" s="297"/>
      <c r="H1990" s="297"/>
      <c r="J1990" s="297"/>
      <c r="L1990" s="312"/>
      <c r="N1990" s="297"/>
    </row>
    <row r="1991" spans="1:14" ht="15" customHeight="1" x14ac:dyDescent="0.25">
      <c r="A1991" s="497"/>
      <c r="C1991" s="404"/>
      <c r="E1991" s="308"/>
      <c r="G1991" s="297"/>
      <c r="H1991" s="297"/>
      <c r="J1991" s="297"/>
      <c r="L1991" s="312"/>
      <c r="N1991" s="297"/>
    </row>
    <row r="1992" spans="1:14" ht="15" customHeight="1" x14ac:dyDescent="0.25">
      <c r="A1992" s="497"/>
      <c r="C1992" s="404"/>
      <c r="E1992" s="308"/>
      <c r="G1992" s="297"/>
      <c r="H1992" s="297"/>
      <c r="J1992" s="297"/>
      <c r="L1992" s="312"/>
      <c r="N1992" s="297"/>
    </row>
    <row r="1993" spans="1:14" ht="15" customHeight="1" x14ac:dyDescent="0.25">
      <c r="A1993" s="497"/>
      <c r="C1993" s="404"/>
      <c r="E1993" s="308"/>
      <c r="G1993" s="297"/>
      <c r="H1993" s="297"/>
      <c r="J1993" s="297"/>
      <c r="L1993" s="312"/>
      <c r="N1993" s="297"/>
    </row>
    <row r="1994" spans="1:14" ht="15" customHeight="1" x14ac:dyDescent="0.25">
      <c r="A1994" s="497"/>
      <c r="C1994" s="404"/>
      <c r="E1994" s="308"/>
      <c r="G1994" s="297"/>
      <c r="H1994" s="297"/>
      <c r="J1994" s="297"/>
      <c r="L1994" s="312"/>
      <c r="N1994" s="297"/>
    </row>
    <row r="1995" spans="1:14" ht="15" customHeight="1" x14ac:dyDescent="0.25">
      <c r="A1995" s="497"/>
      <c r="C1995" s="404"/>
      <c r="E1995" s="308"/>
      <c r="G1995" s="297"/>
      <c r="H1995" s="297"/>
      <c r="J1995" s="297"/>
      <c r="L1995" s="312"/>
      <c r="N1995" s="297"/>
    </row>
    <row r="1996" spans="1:14" ht="15" customHeight="1" x14ac:dyDescent="0.25">
      <c r="A1996" s="497"/>
      <c r="C1996" s="404"/>
      <c r="E1996" s="308"/>
      <c r="G1996" s="297"/>
      <c r="H1996" s="297"/>
      <c r="J1996" s="297"/>
      <c r="L1996" s="312"/>
      <c r="N1996" s="297"/>
    </row>
    <row r="1997" spans="1:14" ht="15" customHeight="1" x14ac:dyDescent="0.25">
      <c r="A1997" s="497"/>
      <c r="C1997" s="404"/>
      <c r="E1997" s="308"/>
      <c r="G1997" s="297"/>
      <c r="H1997" s="297"/>
      <c r="J1997" s="297"/>
      <c r="L1997" s="312"/>
      <c r="N1997" s="297"/>
    </row>
    <row r="1998" spans="1:14" ht="15" customHeight="1" x14ac:dyDescent="0.25">
      <c r="A1998" s="497"/>
      <c r="C1998" s="404"/>
      <c r="E1998" s="308"/>
      <c r="G1998" s="297"/>
      <c r="H1998" s="297"/>
      <c r="J1998" s="297"/>
      <c r="L1998" s="312"/>
      <c r="N1998" s="297"/>
    </row>
    <row r="1999" spans="1:14" ht="15" customHeight="1" x14ac:dyDescent="0.25">
      <c r="A1999" s="497"/>
      <c r="C1999" s="404"/>
      <c r="E1999" s="308"/>
      <c r="G1999" s="297"/>
      <c r="H1999" s="297"/>
      <c r="J1999" s="297"/>
      <c r="L1999" s="312"/>
      <c r="N1999" s="297"/>
    </row>
    <row r="2000" spans="1:14" ht="15" customHeight="1" x14ac:dyDescent="0.25">
      <c r="A2000" s="497"/>
      <c r="C2000" s="404"/>
      <c r="E2000" s="308"/>
      <c r="G2000" s="297"/>
      <c r="H2000" s="297"/>
      <c r="J2000" s="297"/>
      <c r="L2000" s="312"/>
      <c r="N2000" s="297"/>
    </row>
    <row r="2001" spans="1:14" ht="15" customHeight="1" x14ac:dyDescent="0.25">
      <c r="A2001" s="497"/>
      <c r="C2001" s="404"/>
      <c r="E2001" s="308"/>
      <c r="G2001" s="297"/>
      <c r="H2001" s="297"/>
      <c r="J2001" s="297"/>
      <c r="L2001" s="312"/>
      <c r="N2001" s="297"/>
    </row>
    <row r="2002" spans="1:14" ht="15" customHeight="1" x14ac:dyDescent="0.25">
      <c r="A2002" s="497"/>
      <c r="C2002" s="404"/>
      <c r="E2002" s="308"/>
      <c r="G2002" s="297"/>
      <c r="H2002" s="297"/>
      <c r="J2002" s="297"/>
      <c r="L2002" s="312"/>
      <c r="N2002" s="297"/>
    </row>
    <row r="2003" spans="1:14" ht="15" customHeight="1" x14ac:dyDescent="0.25">
      <c r="A2003" s="497"/>
      <c r="C2003" s="404"/>
      <c r="E2003" s="308"/>
      <c r="G2003" s="297"/>
      <c r="H2003" s="297"/>
      <c r="J2003" s="297"/>
      <c r="L2003" s="312"/>
      <c r="N2003" s="297"/>
    </row>
    <row r="2004" spans="1:14" ht="15" customHeight="1" x14ac:dyDescent="0.25">
      <c r="A2004" s="497"/>
      <c r="C2004" s="404"/>
      <c r="E2004" s="308"/>
      <c r="G2004" s="297"/>
      <c r="H2004" s="297"/>
      <c r="J2004" s="297"/>
      <c r="L2004" s="312"/>
      <c r="N2004" s="297"/>
    </row>
    <row r="2005" spans="1:14" ht="15" customHeight="1" x14ac:dyDescent="0.25">
      <c r="A2005" s="497"/>
      <c r="C2005" s="404"/>
      <c r="E2005" s="308"/>
      <c r="G2005" s="297"/>
      <c r="H2005" s="297"/>
      <c r="J2005" s="297"/>
      <c r="L2005" s="312"/>
      <c r="N2005" s="297"/>
    </row>
    <row r="2006" spans="1:14" ht="15" customHeight="1" x14ac:dyDescent="0.25">
      <c r="A2006" s="497"/>
      <c r="C2006" s="404"/>
      <c r="E2006" s="308"/>
      <c r="G2006" s="297"/>
      <c r="H2006" s="297"/>
      <c r="J2006" s="297"/>
      <c r="L2006" s="312"/>
      <c r="N2006" s="297"/>
    </row>
    <row r="2007" spans="1:14" ht="15" customHeight="1" x14ac:dyDescent="0.25">
      <c r="A2007" s="497"/>
      <c r="C2007" s="404"/>
      <c r="E2007" s="308"/>
      <c r="G2007" s="297"/>
      <c r="H2007" s="297"/>
      <c r="J2007" s="297"/>
      <c r="L2007" s="312"/>
      <c r="N2007" s="297"/>
    </row>
    <row r="2008" spans="1:14" ht="15" customHeight="1" x14ac:dyDescent="0.25">
      <c r="A2008" s="497"/>
      <c r="C2008" s="404"/>
      <c r="E2008" s="308"/>
      <c r="G2008" s="297"/>
      <c r="H2008" s="297"/>
      <c r="J2008" s="297"/>
      <c r="L2008" s="312"/>
      <c r="N2008" s="297"/>
    </row>
    <row r="2009" spans="1:14" ht="15" customHeight="1" x14ac:dyDescent="0.25">
      <c r="A2009" s="497"/>
      <c r="C2009" s="404"/>
      <c r="E2009" s="308"/>
      <c r="G2009" s="297"/>
      <c r="H2009" s="297"/>
      <c r="J2009" s="297"/>
      <c r="L2009" s="312"/>
      <c r="N2009" s="297"/>
    </row>
    <row r="2010" spans="1:14" ht="15" customHeight="1" x14ac:dyDescent="0.25">
      <c r="A2010" s="497"/>
      <c r="C2010" s="404"/>
      <c r="E2010" s="308"/>
      <c r="G2010" s="297"/>
      <c r="H2010" s="297"/>
      <c r="J2010" s="297"/>
      <c r="L2010" s="312"/>
      <c r="N2010" s="297"/>
    </row>
    <row r="2011" spans="1:14" ht="15" customHeight="1" x14ac:dyDescent="0.25">
      <c r="A2011" s="497"/>
      <c r="C2011" s="404"/>
      <c r="E2011" s="308"/>
      <c r="G2011" s="297"/>
      <c r="H2011" s="297"/>
      <c r="J2011" s="297"/>
      <c r="L2011" s="312"/>
      <c r="N2011" s="297"/>
    </row>
    <row r="2012" spans="1:14" ht="15" customHeight="1" x14ac:dyDescent="0.25">
      <c r="A2012" s="497"/>
      <c r="C2012" s="404"/>
      <c r="E2012" s="308"/>
      <c r="G2012" s="297"/>
      <c r="H2012" s="297"/>
      <c r="J2012" s="297"/>
      <c r="L2012" s="312"/>
      <c r="N2012" s="297"/>
    </row>
    <row r="2013" spans="1:14" ht="15" customHeight="1" x14ac:dyDescent="0.25">
      <c r="A2013" s="497"/>
      <c r="C2013" s="404"/>
      <c r="E2013" s="308"/>
      <c r="G2013" s="297"/>
      <c r="H2013" s="297"/>
      <c r="J2013" s="297"/>
      <c r="L2013" s="312"/>
      <c r="N2013" s="297"/>
    </row>
    <row r="2014" spans="1:14" ht="15" customHeight="1" x14ac:dyDescent="0.25">
      <c r="A2014" s="497"/>
      <c r="C2014" s="404"/>
      <c r="E2014" s="308"/>
      <c r="G2014" s="297"/>
      <c r="H2014" s="297"/>
      <c r="J2014" s="297"/>
      <c r="L2014" s="312"/>
      <c r="N2014" s="297"/>
    </row>
    <row r="2015" spans="1:14" ht="15" customHeight="1" x14ac:dyDescent="0.25">
      <c r="A2015" s="497"/>
      <c r="C2015" s="404"/>
      <c r="E2015" s="308"/>
      <c r="G2015" s="297"/>
      <c r="H2015" s="297"/>
      <c r="J2015" s="297"/>
      <c r="L2015" s="312"/>
      <c r="N2015" s="297"/>
    </row>
    <row r="2016" spans="1:14" ht="15" customHeight="1" x14ac:dyDescent="0.25">
      <c r="A2016" s="497"/>
      <c r="C2016" s="404"/>
      <c r="E2016" s="308"/>
      <c r="G2016" s="297"/>
      <c r="H2016" s="297"/>
      <c r="J2016" s="297"/>
      <c r="L2016" s="312"/>
      <c r="N2016" s="297"/>
    </row>
    <row r="2017" spans="1:14" ht="15" customHeight="1" x14ac:dyDescent="0.25">
      <c r="A2017" s="497"/>
      <c r="C2017" s="404"/>
      <c r="E2017" s="308"/>
      <c r="G2017" s="297"/>
      <c r="H2017" s="297"/>
      <c r="J2017" s="297"/>
      <c r="L2017" s="312"/>
      <c r="N2017" s="297"/>
    </row>
    <row r="2018" spans="1:14" ht="15" customHeight="1" x14ac:dyDescent="0.25">
      <c r="A2018" s="497"/>
      <c r="C2018" s="404"/>
      <c r="E2018" s="308"/>
      <c r="G2018" s="297"/>
      <c r="H2018" s="297"/>
      <c r="J2018" s="297"/>
      <c r="L2018" s="312"/>
      <c r="N2018" s="297"/>
    </row>
    <row r="2019" spans="1:14" ht="15" customHeight="1" x14ac:dyDescent="0.25">
      <c r="A2019" s="497"/>
      <c r="C2019" s="404"/>
      <c r="E2019" s="308"/>
      <c r="G2019" s="297"/>
      <c r="H2019" s="297"/>
      <c r="J2019" s="297"/>
      <c r="L2019" s="312"/>
      <c r="N2019" s="297"/>
    </row>
    <row r="2020" spans="1:14" ht="15" customHeight="1" x14ac:dyDescent="0.25">
      <c r="A2020" s="497"/>
      <c r="C2020" s="404"/>
      <c r="E2020" s="308"/>
      <c r="G2020" s="297"/>
      <c r="H2020" s="297"/>
      <c r="J2020" s="297"/>
      <c r="L2020" s="312"/>
      <c r="N2020" s="297"/>
    </row>
    <row r="2021" spans="1:14" ht="15" customHeight="1" x14ac:dyDescent="0.25">
      <c r="A2021" s="497"/>
      <c r="C2021" s="404"/>
      <c r="E2021" s="308"/>
      <c r="G2021" s="297"/>
      <c r="H2021" s="297"/>
      <c r="J2021" s="297"/>
      <c r="L2021" s="312"/>
      <c r="N2021" s="297"/>
    </row>
    <row r="2022" spans="1:14" ht="15" customHeight="1" x14ac:dyDescent="0.25">
      <c r="A2022" s="497"/>
      <c r="C2022" s="404"/>
      <c r="E2022" s="308"/>
      <c r="G2022" s="297"/>
      <c r="H2022" s="297"/>
      <c r="J2022" s="297"/>
      <c r="L2022" s="312"/>
      <c r="N2022" s="297"/>
    </row>
    <row r="2023" spans="1:14" ht="15" customHeight="1" x14ac:dyDescent="0.25">
      <c r="A2023" s="497"/>
      <c r="C2023" s="404"/>
      <c r="E2023" s="308"/>
      <c r="G2023" s="297"/>
      <c r="H2023" s="297"/>
      <c r="J2023" s="297"/>
      <c r="L2023" s="312"/>
      <c r="N2023" s="297"/>
    </row>
    <row r="2024" spans="1:14" ht="15" customHeight="1" x14ac:dyDescent="0.25">
      <c r="A2024" s="497"/>
      <c r="C2024" s="404"/>
      <c r="E2024" s="308"/>
      <c r="G2024" s="297"/>
      <c r="H2024" s="297"/>
      <c r="J2024" s="297"/>
      <c r="L2024" s="312"/>
      <c r="N2024" s="297"/>
    </row>
    <row r="2025" spans="1:14" ht="15" customHeight="1" x14ac:dyDescent="0.25">
      <c r="A2025" s="497"/>
      <c r="C2025" s="404"/>
      <c r="E2025" s="308"/>
      <c r="G2025" s="297"/>
      <c r="H2025" s="297"/>
      <c r="J2025" s="297"/>
      <c r="L2025" s="312"/>
      <c r="N2025" s="297"/>
    </row>
    <row r="2026" spans="1:14" ht="15" customHeight="1" x14ac:dyDescent="0.25">
      <c r="A2026" s="497"/>
      <c r="C2026" s="404"/>
      <c r="E2026" s="308"/>
      <c r="G2026" s="297"/>
      <c r="H2026" s="297"/>
      <c r="J2026" s="297"/>
      <c r="L2026" s="312"/>
      <c r="N2026" s="297"/>
    </row>
    <row r="2027" spans="1:14" ht="15" customHeight="1" x14ac:dyDescent="0.25">
      <c r="A2027" s="497"/>
      <c r="C2027" s="404"/>
      <c r="E2027" s="308"/>
      <c r="G2027" s="297"/>
      <c r="H2027" s="297"/>
      <c r="J2027" s="297"/>
      <c r="L2027" s="312"/>
      <c r="N2027" s="297"/>
    </row>
    <row r="2028" spans="1:14" ht="15" customHeight="1" x14ac:dyDescent="0.25">
      <c r="A2028" s="497"/>
      <c r="C2028" s="404"/>
      <c r="E2028" s="308"/>
      <c r="G2028" s="297"/>
      <c r="H2028" s="297"/>
      <c r="J2028" s="297"/>
      <c r="L2028" s="312"/>
      <c r="N2028" s="297"/>
    </row>
    <row r="2029" spans="1:14" ht="15" customHeight="1" x14ac:dyDescent="0.25">
      <c r="A2029" s="497"/>
      <c r="C2029" s="404"/>
      <c r="E2029" s="308"/>
      <c r="G2029" s="297"/>
      <c r="H2029" s="297"/>
      <c r="J2029" s="297"/>
      <c r="L2029" s="312"/>
      <c r="N2029" s="297"/>
    </row>
    <row r="2030" spans="1:14" ht="15" customHeight="1" x14ac:dyDescent="0.25">
      <c r="A2030" s="497"/>
      <c r="C2030" s="404"/>
      <c r="E2030" s="308"/>
      <c r="G2030" s="297"/>
      <c r="H2030" s="297"/>
      <c r="J2030" s="297"/>
      <c r="L2030" s="312"/>
      <c r="N2030" s="297"/>
    </row>
    <row r="2031" spans="1:14" ht="15" customHeight="1" x14ac:dyDescent="0.25">
      <c r="A2031" s="497"/>
      <c r="C2031" s="404"/>
      <c r="E2031" s="308"/>
      <c r="G2031" s="297"/>
      <c r="H2031" s="297"/>
      <c r="J2031" s="297"/>
      <c r="L2031" s="312"/>
      <c r="N2031" s="297"/>
    </row>
    <row r="2032" spans="1:14" ht="15" customHeight="1" x14ac:dyDescent="0.25">
      <c r="A2032" s="497"/>
      <c r="C2032" s="404"/>
      <c r="E2032" s="308"/>
      <c r="G2032" s="297"/>
      <c r="H2032" s="297"/>
      <c r="J2032" s="297"/>
      <c r="L2032" s="312"/>
      <c r="N2032" s="297"/>
    </row>
    <row r="2033" spans="1:14" ht="15" customHeight="1" x14ac:dyDescent="0.25">
      <c r="A2033" s="497"/>
      <c r="C2033" s="404"/>
      <c r="E2033" s="308"/>
      <c r="G2033" s="297"/>
      <c r="H2033" s="297"/>
      <c r="J2033" s="297"/>
      <c r="L2033" s="312"/>
      <c r="N2033" s="297"/>
    </row>
    <row r="2034" spans="1:14" ht="15" customHeight="1" x14ac:dyDescent="0.25">
      <c r="A2034" s="497"/>
      <c r="C2034" s="404"/>
      <c r="E2034" s="308"/>
      <c r="G2034" s="297"/>
      <c r="H2034" s="297"/>
      <c r="J2034" s="297"/>
      <c r="L2034" s="312"/>
      <c r="N2034" s="297"/>
    </row>
    <row r="2035" spans="1:14" ht="15" customHeight="1" x14ac:dyDescent="0.25">
      <c r="A2035" s="497"/>
      <c r="C2035" s="404"/>
      <c r="E2035" s="308"/>
      <c r="G2035" s="297"/>
      <c r="H2035" s="297"/>
      <c r="J2035" s="297"/>
      <c r="L2035" s="312"/>
      <c r="N2035" s="297"/>
    </row>
    <row r="2036" spans="1:14" ht="15" customHeight="1" x14ac:dyDescent="0.25">
      <c r="A2036" s="497"/>
      <c r="C2036" s="404"/>
      <c r="E2036" s="308"/>
      <c r="G2036" s="297"/>
      <c r="H2036" s="297"/>
      <c r="J2036" s="297"/>
      <c r="L2036" s="312"/>
      <c r="N2036" s="297"/>
    </row>
    <row r="2037" spans="1:14" ht="15" customHeight="1" x14ac:dyDescent="0.25">
      <c r="A2037" s="497"/>
      <c r="C2037" s="404"/>
      <c r="E2037" s="308"/>
      <c r="G2037" s="297"/>
      <c r="H2037" s="297"/>
      <c r="J2037" s="297"/>
      <c r="L2037" s="312"/>
      <c r="N2037" s="297"/>
    </row>
    <row r="2038" spans="1:14" ht="15" customHeight="1" x14ac:dyDescent="0.25">
      <c r="A2038" s="497"/>
      <c r="C2038" s="404"/>
      <c r="E2038" s="308"/>
      <c r="G2038" s="297"/>
      <c r="H2038" s="297"/>
      <c r="J2038" s="297"/>
      <c r="L2038" s="312"/>
      <c r="N2038" s="297"/>
    </row>
    <row r="2039" spans="1:14" ht="15" customHeight="1" x14ac:dyDescent="0.25">
      <c r="A2039" s="497"/>
      <c r="C2039" s="404"/>
      <c r="E2039" s="308"/>
      <c r="G2039" s="297"/>
      <c r="H2039" s="297"/>
      <c r="J2039" s="297"/>
      <c r="L2039" s="312"/>
      <c r="N2039" s="297"/>
    </row>
    <row r="2040" spans="1:14" ht="15" customHeight="1" x14ac:dyDescent="0.25">
      <c r="A2040" s="497"/>
      <c r="C2040" s="404"/>
      <c r="E2040" s="308"/>
      <c r="G2040" s="297"/>
      <c r="H2040" s="297"/>
      <c r="J2040" s="297"/>
      <c r="L2040" s="312"/>
      <c r="N2040" s="297"/>
    </row>
    <row r="2041" spans="1:14" ht="15" customHeight="1" x14ac:dyDescent="0.25">
      <c r="A2041" s="497"/>
      <c r="C2041" s="404"/>
      <c r="E2041" s="308"/>
      <c r="G2041" s="297"/>
      <c r="H2041" s="297"/>
      <c r="J2041" s="297"/>
      <c r="L2041" s="312"/>
      <c r="N2041" s="297"/>
    </row>
    <row r="2042" spans="1:14" ht="15" customHeight="1" x14ac:dyDescent="0.25">
      <c r="A2042" s="497"/>
      <c r="C2042" s="404"/>
      <c r="E2042" s="308"/>
      <c r="G2042" s="297"/>
      <c r="H2042" s="297"/>
      <c r="J2042" s="297"/>
      <c r="L2042" s="312"/>
      <c r="N2042" s="297"/>
    </row>
    <row r="2043" spans="1:14" ht="15" customHeight="1" x14ac:dyDescent="0.25">
      <c r="A2043" s="497"/>
      <c r="C2043" s="404"/>
      <c r="E2043" s="308"/>
      <c r="G2043" s="297"/>
      <c r="H2043" s="297"/>
      <c r="J2043" s="297"/>
      <c r="L2043" s="312"/>
      <c r="N2043" s="297"/>
    </row>
    <row r="2044" spans="1:14" ht="15" customHeight="1" x14ac:dyDescent="0.25">
      <c r="A2044" s="497"/>
      <c r="C2044" s="404"/>
      <c r="E2044" s="308"/>
      <c r="G2044" s="297"/>
      <c r="H2044" s="297"/>
      <c r="J2044" s="297"/>
      <c r="L2044" s="312"/>
      <c r="N2044" s="297"/>
    </row>
    <row r="2045" spans="1:14" ht="15" customHeight="1" x14ac:dyDescent="0.25">
      <c r="A2045" s="497"/>
      <c r="C2045" s="404"/>
      <c r="E2045" s="308"/>
      <c r="G2045" s="297"/>
      <c r="H2045" s="297"/>
      <c r="J2045" s="297"/>
      <c r="L2045" s="312"/>
      <c r="N2045" s="297"/>
    </row>
    <row r="2046" spans="1:14" ht="15" customHeight="1" x14ac:dyDescent="0.25">
      <c r="A2046" s="497"/>
      <c r="C2046" s="404"/>
      <c r="E2046" s="308"/>
      <c r="G2046" s="297"/>
      <c r="H2046" s="297"/>
      <c r="J2046" s="297"/>
      <c r="L2046" s="312"/>
      <c r="N2046" s="297"/>
    </row>
    <row r="2047" spans="1:14" ht="15" customHeight="1" x14ac:dyDescent="0.25">
      <c r="A2047" s="497"/>
      <c r="C2047" s="404"/>
      <c r="E2047" s="308"/>
      <c r="G2047" s="297"/>
      <c r="H2047" s="297"/>
      <c r="J2047" s="297"/>
      <c r="L2047" s="312"/>
      <c r="N2047" s="297"/>
    </row>
    <row r="2048" spans="1:14" ht="15" customHeight="1" x14ac:dyDescent="0.25">
      <c r="A2048" s="497"/>
      <c r="C2048" s="404"/>
      <c r="E2048" s="308"/>
      <c r="G2048" s="297"/>
      <c r="H2048" s="297"/>
      <c r="J2048" s="297"/>
      <c r="L2048" s="312"/>
      <c r="N2048" s="297"/>
    </row>
    <row r="2049" spans="1:14" ht="15" customHeight="1" x14ac:dyDescent="0.25">
      <c r="A2049" s="497"/>
      <c r="C2049" s="404"/>
      <c r="E2049" s="308"/>
      <c r="G2049" s="297"/>
      <c r="H2049" s="297"/>
      <c r="J2049" s="297"/>
      <c r="L2049" s="312"/>
      <c r="N2049" s="297"/>
    </row>
    <row r="2050" spans="1:14" ht="15" customHeight="1" x14ac:dyDescent="0.25">
      <c r="A2050" s="497"/>
      <c r="C2050" s="404"/>
      <c r="E2050" s="308"/>
      <c r="G2050" s="297"/>
      <c r="H2050" s="297"/>
      <c r="J2050" s="297"/>
      <c r="L2050" s="312"/>
      <c r="N2050" s="297"/>
    </row>
    <row r="2051" spans="1:14" ht="15" customHeight="1" x14ac:dyDescent="0.25">
      <c r="A2051" s="497"/>
      <c r="C2051" s="404"/>
      <c r="E2051" s="308"/>
      <c r="G2051" s="297"/>
      <c r="H2051" s="297"/>
      <c r="J2051" s="297"/>
      <c r="L2051" s="312"/>
      <c r="N2051" s="297"/>
    </row>
    <row r="2052" spans="1:14" ht="15" customHeight="1" x14ac:dyDescent="0.25">
      <c r="A2052" s="497"/>
      <c r="C2052" s="404"/>
      <c r="E2052" s="308"/>
      <c r="G2052" s="297"/>
      <c r="H2052" s="297"/>
      <c r="J2052" s="297"/>
      <c r="L2052" s="312"/>
      <c r="N2052" s="297"/>
    </row>
    <row r="2053" spans="1:14" ht="15" customHeight="1" x14ac:dyDescent="0.25">
      <c r="A2053" s="497"/>
      <c r="C2053" s="404"/>
      <c r="E2053" s="308"/>
      <c r="G2053" s="297"/>
      <c r="H2053" s="297"/>
      <c r="J2053" s="297"/>
      <c r="L2053" s="312"/>
      <c r="N2053" s="297"/>
    </row>
    <row r="2054" spans="1:14" ht="15" customHeight="1" x14ac:dyDescent="0.25">
      <c r="A2054" s="497"/>
      <c r="C2054" s="404"/>
      <c r="E2054" s="308"/>
      <c r="G2054" s="297"/>
      <c r="H2054" s="297"/>
      <c r="J2054" s="297"/>
      <c r="L2054" s="312"/>
      <c r="N2054" s="297"/>
    </row>
    <row r="2055" spans="1:14" ht="15" customHeight="1" x14ac:dyDescent="0.25">
      <c r="A2055" s="497"/>
      <c r="C2055" s="404"/>
      <c r="E2055" s="308"/>
      <c r="G2055" s="297"/>
      <c r="H2055" s="297"/>
      <c r="J2055" s="297"/>
      <c r="L2055" s="312"/>
      <c r="N2055" s="297"/>
    </row>
    <row r="2056" spans="1:14" ht="15" customHeight="1" x14ac:dyDescent="0.25">
      <c r="A2056" s="497"/>
      <c r="C2056" s="404"/>
      <c r="E2056" s="308"/>
      <c r="G2056" s="297"/>
      <c r="H2056" s="297"/>
      <c r="J2056" s="297"/>
      <c r="L2056" s="312"/>
      <c r="N2056" s="297"/>
    </row>
    <row r="2057" spans="1:14" ht="15" customHeight="1" x14ac:dyDescent="0.25">
      <c r="A2057" s="497"/>
      <c r="C2057" s="404"/>
      <c r="E2057" s="308"/>
      <c r="G2057" s="297"/>
      <c r="H2057" s="297"/>
      <c r="J2057" s="297"/>
      <c r="L2057" s="312"/>
      <c r="N2057" s="297"/>
    </row>
    <row r="2058" spans="1:14" ht="15" customHeight="1" x14ac:dyDescent="0.25">
      <c r="A2058" s="497"/>
      <c r="C2058" s="404"/>
      <c r="E2058" s="308"/>
      <c r="G2058" s="297"/>
      <c r="H2058" s="297"/>
      <c r="J2058" s="297"/>
      <c r="L2058" s="312"/>
      <c r="N2058" s="297"/>
    </row>
    <row r="2059" spans="1:14" ht="15" customHeight="1" x14ac:dyDescent="0.25">
      <c r="A2059" s="497"/>
      <c r="C2059" s="404"/>
      <c r="E2059" s="308"/>
      <c r="G2059" s="297"/>
      <c r="H2059" s="297"/>
      <c r="J2059" s="297"/>
      <c r="L2059" s="312"/>
      <c r="N2059" s="297"/>
    </row>
    <row r="2060" spans="1:14" ht="15" customHeight="1" x14ac:dyDescent="0.25">
      <c r="A2060" s="497"/>
      <c r="C2060" s="404"/>
      <c r="E2060" s="308"/>
      <c r="G2060" s="297"/>
      <c r="H2060" s="297"/>
      <c r="J2060" s="297"/>
      <c r="L2060" s="312"/>
      <c r="N2060" s="297"/>
    </row>
    <row r="2061" spans="1:14" ht="15" customHeight="1" x14ac:dyDescent="0.25">
      <c r="A2061" s="497"/>
      <c r="C2061" s="404"/>
      <c r="E2061" s="308"/>
      <c r="G2061" s="297"/>
      <c r="H2061" s="297"/>
      <c r="J2061" s="297"/>
      <c r="L2061" s="312"/>
      <c r="N2061" s="297"/>
    </row>
    <row r="2062" spans="1:14" ht="15" customHeight="1" x14ac:dyDescent="0.25">
      <c r="A2062" s="497"/>
      <c r="C2062" s="404"/>
      <c r="E2062" s="308"/>
      <c r="G2062" s="297"/>
      <c r="H2062" s="297"/>
      <c r="J2062" s="297"/>
      <c r="L2062" s="312"/>
      <c r="N2062" s="297"/>
    </row>
    <row r="2063" spans="1:14" ht="15" customHeight="1" x14ac:dyDescent="0.25">
      <c r="A2063" s="497"/>
      <c r="C2063" s="404"/>
      <c r="E2063" s="308"/>
      <c r="G2063" s="297"/>
      <c r="H2063" s="297"/>
      <c r="J2063" s="297"/>
      <c r="L2063" s="312"/>
      <c r="N2063" s="297"/>
    </row>
    <row r="2064" spans="1:14" ht="15" customHeight="1" x14ac:dyDescent="0.25">
      <c r="A2064" s="497"/>
      <c r="C2064" s="404"/>
      <c r="E2064" s="308"/>
      <c r="G2064" s="297"/>
      <c r="H2064" s="297"/>
      <c r="J2064" s="297"/>
      <c r="L2064" s="312"/>
      <c r="N2064" s="297"/>
    </row>
    <row r="2065" spans="1:14" ht="15" customHeight="1" x14ac:dyDescent="0.25">
      <c r="A2065" s="497"/>
      <c r="C2065" s="404"/>
      <c r="E2065" s="308"/>
      <c r="G2065" s="297"/>
      <c r="H2065" s="297"/>
      <c r="J2065" s="297"/>
      <c r="L2065" s="312"/>
      <c r="N2065" s="297"/>
    </row>
    <row r="2066" spans="1:14" ht="15" customHeight="1" x14ac:dyDescent="0.25">
      <c r="A2066" s="497"/>
      <c r="C2066" s="404"/>
      <c r="E2066" s="308"/>
      <c r="G2066" s="297"/>
      <c r="H2066" s="297"/>
      <c r="J2066" s="297"/>
      <c r="L2066" s="312"/>
      <c r="N2066" s="297"/>
    </row>
    <row r="2067" spans="1:14" ht="15" customHeight="1" x14ac:dyDescent="0.25">
      <c r="A2067" s="497"/>
      <c r="C2067" s="404"/>
      <c r="E2067" s="308"/>
      <c r="G2067" s="297"/>
      <c r="H2067" s="297"/>
      <c r="J2067" s="297"/>
      <c r="L2067" s="312"/>
      <c r="N2067" s="297"/>
    </row>
    <row r="2068" spans="1:14" ht="15" customHeight="1" x14ac:dyDescent="0.25">
      <c r="A2068" s="497"/>
      <c r="C2068" s="404"/>
      <c r="E2068" s="308"/>
      <c r="G2068" s="297"/>
      <c r="H2068" s="297"/>
      <c r="J2068" s="297"/>
      <c r="L2068" s="312"/>
      <c r="N2068" s="297"/>
    </row>
    <row r="2069" spans="1:14" ht="15" customHeight="1" x14ac:dyDescent="0.25">
      <c r="A2069" s="497"/>
      <c r="C2069" s="404"/>
      <c r="E2069" s="308"/>
      <c r="G2069" s="297"/>
      <c r="H2069" s="297"/>
      <c r="J2069" s="297"/>
      <c r="L2069" s="312"/>
      <c r="N2069" s="297"/>
    </row>
    <row r="2070" spans="1:14" ht="15" customHeight="1" x14ac:dyDescent="0.25">
      <c r="A2070" s="497"/>
      <c r="C2070" s="404"/>
      <c r="E2070" s="308"/>
      <c r="G2070" s="297"/>
      <c r="H2070" s="297"/>
      <c r="J2070" s="297"/>
      <c r="L2070" s="312"/>
      <c r="N2070" s="297"/>
    </row>
    <row r="2071" spans="1:14" ht="15" customHeight="1" x14ac:dyDescent="0.25">
      <c r="A2071" s="497"/>
      <c r="C2071" s="404"/>
      <c r="E2071" s="308"/>
      <c r="G2071" s="297"/>
      <c r="H2071" s="297"/>
      <c r="J2071" s="297"/>
      <c r="L2071" s="312"/>
      <c r="N2071" s="297"/>
    </row>
    <row r="2072" spans="1:14" ht="15" customHeight="1" x14ac:dyDescent="0.25">
      <c r="A2072" s="497"/>
      <c r="C2072" s="404"/>
      <c r="E2072" s="308"/>
      <c r="G2072" s="297"/>
      <c r="H2072" s="297"/>
      <c r="J2072" s="297"/>
      <c r="L2072" s="312"/>
      <c r="N2072" s="297"/>
    </row>
    <row r="2073" spans="1:14" ht="15" customHeight="1" x14ac:dyDescent="0.25">
      <c r="A2073" s="497"/>
      <c r="C2073" s="404"/>
      <c r="E2073" s="308"/>
      <c r="G2073" s="297"/>
      <c r="H2073" s="297"/>
      <c r="J2073" s="297"/>
      <c r="L2073" s="312"/>
      <c r="N2073" s="297"/>
    </row>
    <row r="2074" spans="1:14" ht="15" customHeight="1" x14ac:dyDescent="0.25">
      <c r="A2074" s="497"/>
      <c r="C2074" s="404"/>
      <c r="E2074" s="308"/>
      <c r="G2074" s="297"/>
      <c r="H2074" s="297"/>
      <c r="J2074" s="297"/>
      <c r="L2074" s="312"/>
      <c r="N2074" s="297"/>
    </row>
    <row r="2075" spans="1:14" ht="15" customHeight="1" x14ac:dyDescent="0.25">
      <c r="A2075" s="497"/>
      <c r="C2075" s="404"/>
      <c r="E2075" s="308"/>
      <c r="G2075" s="297"/>
      <c r="H2075" s="297"/>
      <c r="J2075" s="297"/>
      <c r="L2075" s="312"/>
      <c r="N2075" s="297"/>
    </row>
    <row r="2076" spans="1:14" ht="15" customHeight="1" x14ac:dyDescent="0.25">
      <c r="A2076" s="497"/>
      <c r="C2076" s="404"/>
      <c r="E2076" s="308"/>
      <c r="G2076" s="297"/>
      <c r="H2076" s="297"/>
      <c r="J2076" s="297"/>
      <c r="L2076" s="312"/>
      <c r="N2076" s="297"/>
    </row>
    <row r="2077" spans="1:14" ht="15" customHeight="1" x14ac:dyDescent="0.25">
      <c r="A2077" s="497"/>
      <c r="C2077" s="404"/>
      <c r="E2077" s="308"/>
      <c r="G2077" s="297"/>
      <c r="H2077" s="297"/>
      <c r="J2077" s="297"/>
      <c r="L2077" s="312"/>
      <c r="N2077" s="297"/>
    </row>
    <row r="2078" spans="1:14" ht="15" customHeight="1" x14ac:dyDescent="0.25">
      <c r="A2078" s="497"/>
      <c r="C2078" s="404"/>
      <c r="E2078" s="308"/>
      <c r="G2078" s="297"/>
      <c r="H2078" s="297"/>
      <c r="J2078" s="297"/>
      <c r="L2078" s="312"/>
      <c r="N2078" s="297"/>
    </row>
    <row r="2079" spans="1:14" ht="15" customHeight="1" x14ac:dyDescent="0.25">
      <c r="A2079" s="497"/>
      <c r="C2079" s="404"/>
      <c r="E2079" s="308"/>
      <c r="G2079" s="297"/>
      <c r="H2079" s="297"/>
      <c r="J2079" s="297"/>
      <c r="L2079" s="312"/>
      <c r="N2079" s="297"/>
    </row>
    <row r="2080" spans="1:14" ht="15" customHeight="1" x14ac:dyDescent="0.25">
      <c r="A2080" s="497"/>
      <c r="C2080" s="404"/>
      <c r="E2080" s="308"/>
      <c r="G2080" s="297"/>
      <c r="H2080" s="297"/>
      <c r="J2080" s="297"/>
      <c r="L2080" s="312"/>
      <c r="N2080" s="297"/>
    </row>
    <row r="2081" spans="1:14" ht="15" customHeight="1" x14ac:dyDescent="0.25">
      <c r="A2081" s="497"/>
      <c r="C2081" s="404"/>
      <c r="E2081" s="308"/>
      <c r="G2081" s="297"/>
      <c r="H2081" s="297"/>
      <c r="J2081" s="297"/>
      <c r="L2081" s="312"/>
      <c r="N2081" s="297"/>
    </row>
    <row r="2082" spans="1:14" ht="15" customHeight="1" x14ac:dyDescent="0.25">
      <c r="A2082" s="497"/>
      <c r="C2082" s="404"/>
      <c r="E2082" s="308"/>
      <c r="G2082" s="297"/>
      <c r="H2082" s="297"/>
      <c r="J2082" s="297"/>
      <c r="L2082" s="312"/>
      <c r="N2082" s="297"/>
    </row>
    <row r="2083" spans="1:14" ht="15" customHeight="1" x14ac:dyDescent="0.25">
      <c r="A2083" s="497"/>
      <c r="B2083" s="396"/>
      <c r="C2083" s="404"/>
      <c r="E2083" s="308"/>
      <c r="G2083" s="297"/>
      <c r="H2083" s="297"/>
      <c r="I2083" s="401"/>
      <c r="J2083" s="297"/>
      <c r="K2083" s="401"/>
      <c r="L2083" s="312"/>
      <c r="M2083" s="402"/>
      <c r="N2083" s="297"/>
    </row>
    <row r="2084" spans="1:14" ht="15" customHeight="1" x14ac:dyDescent="0.25">
      <c r="A2084" s="498"/>
      <c r="B2084" s="409"/>
      <c r="C2084" s="410"/>
      <c r="D2084" s="411"/>
      <c r="E2084" s="412"/>
      <c r="F2084" s="413"/>
      <c r="G2084" s="414"/>
      <c r="H2084" s="414"/>
      <c r="I2084" s="415"/>
      <c r="J2084" s="414"/>
      <c r="K2084" s="415"/>
      <c r="L2084" s="416"/>
      <c r="M2084" s="417"/>
      <c r="N2084" s="414"/>
    </row>
  </sheetData>
  <mergeCells count="6">
    <mergeCell ref="A1:F1"/>
    <mergeCell ref="A2:F2"/>
    <mergeCell ref="A5:A6"/>
    <mergeCell ref="B5:B6"/>
    <mergeCell ref="C5:D6"/>
    <mergeCell ref="E5:E6"/>
  </mergeCells>
  <printOptions horizontalCentered="1"/>
  <pageMargins left="0.43307086614173229" right="0.11811023622047245" top="0.23622047244094491" bottom="0.23622047244094491" header="0.15748031496062992" footer="0.15748031496062992"/>
  <pageSetup paperSize="9" scale="6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</sheetPr>
  <dimension ref="A1:O1619"/>
  <sheetViews>
    <sheetView tabSelected="1" view="pageBreakPreview" topLeftCell="A34" zoomScale="90" zoomScaleNormal="85" zoomScaleSheetLayoutView="90" workbookViewId="0">
      <selection activeCell="B48" sqref="B48"/>
    </sheetView>
  </sheetViews>
  <sheetFormatPr defaultRowHeight="15" customHeight="1" x14ac:dyDescent="0.25"/>
  <cols>
    <col min="1" max="1" width="6.140625" style="499" customWidth="1"/>
    <col min="2" max="2" width="83.28515625" style="405" customWidth="1"/>
    <col min="3" max="3" width="11.28515625" style="419" customWidth="1"/>
    <col min="4" max="4" width="8.42578125" style="406" customWidth="1"/>
    <col min="5" max="5" width="14.28515625" style="399" customWidth="1"/>
    <col min="6" max="6" width="18.42578125" style="407" customWidth="1"/>
    <col min="7" max="7" width="11.5703125" style="295" hidden="1" customWidth="1"/>
    <col min="8" max="8" width="53.28515625" style="295" hidden="1" customWidth="1"/>
    <col min="9" max="10" width="0" style="295" hidden="1" customWidth="1"/>
    <col min="11" max="11" width="17.140625" style="295" hidden="1" customWidth="1"/>
    <col min="12" max="12" width="21.28515625" style="296" hidden="1" customWidth="1"/>
    <col min="13" max="13" width="14" style="296" hidden="1" customWidth="1"/>
    <col min="14" max="14" width="9.5703125" style="295" hidden="1" customWidth="1"/>
    <col min="15" max="15" width="9.85546875" style="295" bestFit="1" customWidth="1"/>
    <col min="16" max="16384" width="9.140625" style="295"/>
  </cols>
  <sheetData>
    <row r="1" spans="1:15" ht="15" customHeight="1" x14ac:dyDescent="0.25">
      <c r="A1" s="2108" t="s">
        <v>2288</v>
      </c>
      <c r="B1" s="2108"/>
      <c r="C1" s="2108"/>
      <c r="D1" s="2108"/>
      <c r="E1" s="2108"/>
      <c r="F1" s="2108"/>
    </row>
    <row r="2" spans="1:15" ht="15" customHeight="1" x14ac:dyDescent="0.25">
      <c r="A2" s="2109" t="s">
        <v>1743</v>
      </c>
      <c r="B2" s="2109"/>
      <c r="C2" s="2109"/>
      <c r="D2" s="2109"/>
      <c r="E2" s="2109"/>
      <c r="F2" s="2109"/>
      <c r="N2" s="297"/>
    </row>
    <row r="3" spans="1:15" ht="15" customHeight="1" x14ac:dyDescent="0.25">
      <c r="A3" s="298"/>
      <c r="B3" s="298"/>
      <c r="C3" s="298"/>
      <c r="D3" s="298"/>
      <c r="E3" s="299"/>
      <c r="F3" s="298"/>
      <c r="N3" s="297"/>
    </row>
    <row r="4" spans="1:15" ht="15" customHeight="1" thickBot="1" x14ac:dyDescent="0.3">
      <c r="A4" s="298"/>
      <c r="B4" s="298"/>
      <c r="C4" s="298"/>
      <c r="D4" s="298"/>
      <c r="E4" s="299"/>
      <c r="F4" s="298"/>
      <c r="N4" s="297"/>
    </row>
    <row r="5" spans="1:15" s="301" customFormat="1" ht="15" customHeight="1" x14ac:dyDescent="0.25">
      <c r="A5" s="2088" t="s">
        <v>1</v>
      </c>
      <c r="B5" s="2090" t="s">
        <v>850</v>
      </c>
      <c r="C5" s="2092" t="s">
        <v>2</v>
      </c>
      <c r="D5" s="2093"/>
      <c r="E5" s="2096" t="s">
        <v>851</v>
      </c>
      <c r="F5" s="300" t="s">
        <v>852</v>
      </c>
      <c r="J5" s="302"/>
      <c r="L5" s="303"/>
      <c r="M5" s="304"/>
      <c r="N5" s="302"/>
    </row>
    <row r="6" spans="1:15" s="301" customFormat="1" ht="15" customHeight="1" thickBot="1" x14ac:dyDescent="0.3">
      <c r="A6" s="2089"/>
      <c r="B6" s="2091"/>
      <c r="C6" s="2094"/>
      <c r="D6" s="2095"/>
      <c r="E6" s="2097"/>
      <c r="F6" s="305" t="s">
        <v>853</v>
      </c>
      <c r="J6" s="302"/>
      <c r="L6" s="303"/>
      <c r="M6" s="304"/>
      <c r="N6" s="302"/>
    </row>
    <row r="7" spans="1:15" ht="15" customHeight="1" thickTop="1" thickBot="1" x14ac:dyDescent="0.3">
      <c r="A7" s="306"/>
      <c r="B7" s="307"/>
      <c r="C7" s="308"/>
      <c r="D7" s="309"/>
      <c r="E7" s="308"/>
      <c r="F7" s="310"/>
      <c r="G7" s="311"/>
      <c r="H7" s="297"/>
      <c r="J7" s="297"/>
      <c r="L7" s="312"/>
      <c r="N7" s="297"/>
    </row>
    <row r="8" spans="1:15" s="333" customFormat="1" ht="15" customHeight="1" thickBot="1" x14ac:dyDescent="0.3">
      <c r="A8" s="325" t="s">
        <v>575</v>
      </c>
      <c r="B8" s="326" t="s">
        <v>1733</v>
      </c>
      <c r="C8" s="327">
        <f>C10+C38</f>
        <v>12</v>
      </c>
      <c r="D8" s="328" t="s">
        <v>860</v>
      </c>
      <c r="E8" s="329"/>
      <c r="F8" s="330">
        <f>F10+F38</f>
        <v>60623736</v>
      </c>
      <c r="G8" s="331"/>
      <c r="H8" s="332"/>
      <c r="J8" s="334"/>
      <c r="L8" s="335"/>
      <c r="M8" s="336"/>
      <c r="N8" s="334"/>
      <c r="O8" s="658"/>
    </row>
    <row r="9" spans="1:15" s="346" customFormat="1" ht="15" customHeight="1" thickBot="1" x14ac:dyDescent="0.3">
      <c r="A9" s="444"/>
      <c r="B9" s="445"/>
      <c r="C9" s="446"/>
      <c r="D9" s="445"/>
      <c r="E9" s="446"/>
      <c r="F9" s="343"/>
      <c r="G9" s="344"/>
      <c r="H9" s="347"/>
      <c r="J9" s="347"/>
      <c r="L9" s="340"/>
      <c r="M9" s="348"/>
      <c r="N9" s="347"/>
    </row>
    <row r="10" spans="1:15" s="383" customFormat="1" ht="15" customHeight="1" thickBot="1" x14ac:dyDescent="0.3">
      <c r="A10" s="325" t="s">
        <v>1726</v>
      </c>
      <c r="B10" s="447" t="s">
        <v>1761</v>
      </c>
      <c r="C10" s="327">
        <f>C12+C20</f>
        <v>7</v>
      </c>
      <c r="D10" s="328" t="s">
        <v>16</v>
      </c>
      <c r="E10" s="329"/>
      <c r="F10" s="330">
        <f>F12+F20</f>
        <v>43123736</v>
      </c>
      <c r="G10" s="448">
        <v>0</v>
      </c>
      <c r="H10" s="384"/>
      <c r="J10" s="384"/>
      <c r="L10" s="385"/>
      <c r="M10" s="386"/>
      <c r="N10" s="384"/>
    </row>
    <row r="11" spans="1:15" s="346" customFormat="1" ht="15" customHeight="1" x14ac:dyDescent="0.25">
      <c r="A11" s="449"/>
      <c r="B11" s="450"/>
      <c r="C11" s="451"/>
      <c r="D11" s="452"/>
      <c r="E11" s="453"/>
      <c r="F11" s="454"/>
      <c r="G11" s="455"/>
      <c r="H11" s="347"/>
      <c r="J11" s="347"/>
      <c r="L11" s="340"/>
      <c r="M11" s="348"/>
      <c r="N11" s="347"/>
    </row>
    <row r="12" spans="1:15" s="346" customFormat="1" ht="15" customHeight="1" x14ac:dyDescent="0.25">
      <c r="A12" s="456"/>
      <c r="B12" s="602" t="s">
        <v>1749</v>
      </c>
      <c r="C12" s="603">
        <f>C15+C18</f>
        <v>2</v>
      </c>
      <c r="D12" s="604"/>
      <c r="E12" s="605"/>
      <c r="F12" s="603">
        <f>F15+F18</f>
        <v>12000000</v>
      </c>
      <c r="G12" s="455"/>
      <c r="H12" s="347"/>
      <c r="J12" s="347"/>
      <c r="L12" s="340"/>
      <c r="M12" s="348"/>
      <c r="N12" s="347"/>
    </row>
    <row r="13" spans="1:15" s="346" customFormat="1" ht="15" customHeight="1" x14ac:dyDescent="0.25">
      <c r="A13" s="449"/>
      <c r="B13" s="450"/>
      <c r="C13" s="451"/>
      <c r="D13" s="452"/>
      <c r="E13" s="453"/>
      <c r="F13" s="454"/>
      <c r="G13" s="455"/>
      <c r="H13" s="347"/>
      <c r="J13" s="347"/>
      <c r="L13" s="340"/>
      <c r="M13" s="348"/>
      <c r="N13" s="347"/>
    </row>
    <row r="14" spans="1:15" s="346" customFormat="1" ht="15" customHeight="1" x14ac:dyDescent="0.25">
      <c r="A14" s="457">
        <v>1</v>
      </c>
      <c r="B14" s="458" t="s">
        <v>863</v>
      </c>
      <c r="C14" s="459"/>
      <c r="D14" s="459"/>
      <c r="E14" s="459"/>
      <c r="F14" s="460">
        <f>C14*E14</f>
        <v>0</v>
      </c>
      <c r="G14" s="344"/>
      <c r="H14" s="345"/>
      <c r="J14" s="347"/>
      <c r="L14" s="340"/>
      <c r="M14" s="348"/>
      <c r="N14" s="347"/>
    </row>
    <row r="15" spans="1:15" s="346" customFormat="1" ht="15" customHeight="1" x14ac:dyDescent="0.25">
      <c r="A15" s="457"/>
      <c r="B15" s="459" t="str">
        <f>'DEFINITIF (APBNP)'!B237</f>
        <v>-. Peningkatan Perangkat ATCS di Kota Batam Thp II</v>
      </c>
      <c r="C15" s="459">
        <f>'DEFINITIF (APBNP)'!C237</f>
        <v>1</v>
      </c>
      <c r="D15" s="459" t="str">
        <f>'DEFINITIF (APBNP)'!D237</f>
        <v>PKT</v>
      </c>
      <c r="E15" s="459">
        <f>'DEFINITIF (APBNP)'!E237</f>
        <v>6000000</v>
      </c>
      <c r="F15" s="460">
        <f>C15*E15</f>
        <v>6000000</v>
      </c>
      <c r="G15" s="344"/>
      <c r="H15" s="345"/>
      <c r="J15" s="347"/>
      <c r="L15" s="340"/>
      <c r="M15" s="348"/>
      <c r="N15" s="347"/>
    </row>
    <row r="16" spans="1:15" s="346" customFormat="1" ht="15" customHeight="1" x14ac:dyDescent="0.25">
      <c r="A16" s="457"/>
      <c r="B16" s="459"/>
      <c r="C16" s="459"/>
      <c r="D16" s="459"/>
      <c r="E16" s="459"/>
      <c r="F16" s="460"/>
      <c r="G16" s="344"/>
      <c r="H16" s="345"/>
      <c r="J16" s="347"/>
      <c r="L16" s="340"/>
      <c r="M16" s="348"/>
      <c r="N16" s="347"/>
    </row>
    <row r="17" spans="1:14" s="346" customFormat="1" ht="15" customHeight="1" x14ac:dyDescent="0.25">
      <c r="A17" s="457">
        <v>2</v>
      </c>
      <c r="B17" s="458" t="s">
        <v>778</v>
      </c>
      <c r="C17" s="459"/>
      <c r="D17" s="459"/>
      <c r="E17" s="459"/>
      <c r="F17" s="460">
        <f>C17*E17</f>
        <v>0</v>
      </c>
      <c r="G17" s="344"/>
      <c r="H17" s="345"/>
      <c r="J17" s="347"/>
      <c r="L17" s="340"/>
      <c r="M17" s="348"/>
      <c r="N17" s="347"/>
    </row>
    <row r="18" spans="1:14" s="346" customFormat="1" ht="15" customHeight="1" x14ac:dyDescent="0.25">
      <c r="A18" s="457"/>
      <c r="B18" s="459" t="str">
        <f>'DEFINITIF (APBNP)'!B504</f>
        <v xml:space="preserve">Pengadaan dan Pemasangan Area Traffic Control System (ATCS) Bandar Lampung Tahap II </v>
      </c>
      <c r="C18" s="459">
        <f>'DEFINITIF (APBNP)'!C504</f>
        <v>1</v>
      </c>
      <c r="D18" s="459" t="str">
        <f>'DEFINITIF (APBNP)'!D504</f>
        <v>PKT</v>
      </c>
      <c r="E18" s="459">
        <f>'DEFINITIF (APBNP)'!E504</f>
        <v>6000000</v>
      </c>
      <c r="F18" s="460">
        <f>C18*E18</f>
        <v>6000000</v>
      </c>
      <c r="G18" s="344"/>
      <c r="H18" s="345"/>
      <c r="J18" s="347"/>
      <c r="L18" s="340"/>
      <c r="M18" s="348"/>
      <c r="N18" s="347"/>
    </row>
    <row r="19" spans="1:14" s="346" customFormat="1" ht="15" customHeight="1" x14ac:dyDescent="0.25">
      <c r="A19" s="457"/>
      <c r="B19" s="459"/>
      <c r="C19" s="459"/>
      <c r="D19" s="459"/>
      <c r="E19" s="459"/>
      <c r="F19" s="460"/>
      <c r="G19" s="344"/>
      <c r="H19" s="345"/>
      <c r="J19" s="347"/>
      <c r="L19" s="340"/>
      <c r="M19" s="348"/>
      <c r="N19" s="347"/>
    </row>
    <row r="20" spans="1:14" s="346" customFormat="1" ht="15" customHeight="1" x14ac:dyDescent="0.25">
      <c r="A20" s="456"/>
      <c r="B20" s="602" t="s">
        <v>1750</v>
      </c>
      <c r="C20" s="606">
        <f>C23+C26+C29+C32+C35</f>
        <v>5</v>
      </c>
      <c r="D20" s="604"/>
      <c r="E20" s="605"/>
      <c r="F20" s="668">
        <f>F23+F26+F29+F32+F35</f>
        <v>31123736</v>
      </c>
      <c r="G20" s="455"/>
      <c r="H20" s="347"/>
      <c r="J20" s="347"/>
      <c r="L20" s="340"/>
      <c r="M20" s="348"/>
      <c r="N20" s="347"/>
    </row>
    <row r="21" spans="1:14" s="346" customFormat="1" ht="15" customHeight="1" x14ac:dyDescent="0.25">
      <c r="A21" s="449"/>
      <c r="B21" s="450"/>
      <c r="C21" s="451"/>
      <c r="D21" s="452"/>
      <c r="E21" s="453"/>
      <c r="F21" s="454"/>
      <c r="G21" s="455"/>
      <c r="H21" s="347"/>
      <c r="J21" s="347"/>
      <c r="L21" s="340"/>
      <c r="M21" s="348"/>
      <c r="N21" s="347"/>
    </row>
    <row r="22" spans="1:14" s="346" customFormat="1" ht="15" customHeight="1" x14ac:dyDescent="0.25">
      <c r="A22" s="457">
        <v>1</v>
      </c>
      <c r="B22" s="458" t="s">
        <v>760</v>
      </c>
      <c r="C22" s="469"/>
      <c r="D22" s="470"/>
      <c r="E22" s="471"/>
      <c r="F22" s="460">
        <f>C22*E22</f>
        <v>0</v>
      </c>
      <c r="G22" s="344"/>
      <c r="H22" s="347"/>
      <c r="J22" s="347"/>
      <c r="L22" s="340"/>
      <c r="M22" s="348"/>
      <c r="N22" s="347"/>
    </row>
    <row r="23" spans="1:14" s="346" customFormat="1" ht="15" customHeight="1" x14ac:dyDescent="0.25">
      <c r="A23" s="457"/>
      <c r="B23" s="459" t="str">
        <f>'DEFINITIF (APBNP)'!B70</f>
        <v>ATCS Kota Medan Thp IV (Selesai)</v>
      </c>
      <c r="C23" s="459">
        <f>'DEFINITIF (APBNP)'!C70</f>
        <v>1</v>
      </c>
      <c r="D23" s="459" t="str">
        <f>'DEFINITIF (APBNP)'!D70</f>
        <v xml:space="preserve">PKT </v>
      </c>
      <c r="E23" s="459">
        <f>'DEFINITIF (APBNP)'!E70</f>
        <v>7500000</v>
      </c>
      <c r="F23" s="460">
        <f>C23*E23</f>
        <v>7500000</v>
      </c>
      <c r="G23" s="344"/>
      <c r="H23" s="345">
        <f>SUM(C23:C35)</f>
        <v>5</v>
      </c>
      <c r="J23" s="347"/>
      <c r="L23" s="340"/>
      <c r="M23" s="348"/>
      <c r="N23" s="347"/>
    </row>
    <row r="24" spans="1:14" s="346" customFormat="1" ht="15" customHeight="1" x14ac:dyDescent="0.25">
      <c r="A24" s="457"/>
      <c r="B24" s="459"/>
      <c r="C24" s="459"/>
      <c r="D24" s="459"/>
      <c r="E24" s="459"/>
      <c r="F24" s="460"/>
      <c r="G24" s="344"/>
      <c r="H24" s="345"/>
      <c r="J24" s="347"/>
      <c r="L24" s="340"/>
      <c r="M24" s="348"/>
      <c r="N24" s="347"/>
    </row>
    <row r="25" spans="1:14" s="346" customFormat="1" ht="15" customHeight="1" x14ac:dyDescent="0.25">
      <c r="A25" s="457">
        <v>2</v>
      </c>
      <c r="B25" s="458" t="s">
        <v>862</v>
      </c>
      <c r="C25" s="469"/>
      <c r="D25" s="470"/>
      <c r="E25" s="471"/>
      <c r="F25" s="460">
        <f>C25*E25</f>
        <v>0</v>
      </c>
      <c r="G25" s="344"/>
      <c r="H25" s="347"/>
      <c r="J25" s="347"/>
      <c r="L25" s="340"/>
      <c r="M25" s="348"/>
      <c r="N25" s="347"/>
    </row>
    <row r="26" spans="1:14" s="346" customFormat="1" ht="15" customHeight="1" x14ac:dyDescent="0.25">
      <c r="A26" s="457"/>
      <c r="B26" s="459" t="str">
        <f>'DEFINITIF (APBNP)'!B109</f>
        <v>Pembangunan ATCS Kota Padang Tahap III (selesai)</v>
      </c>
      <c r="C26" s="459">
        <f>'DEFINITIF (APBNP)'!C109</f>
        <v>1</v>
      </c>
      <c r="D26" s="459" t="str">
        <f>'DEFINITIF (APBNP)'!D109</f>
        <v>PKT</v>
      </c>
      <c r="E26" s="459">
        <f>'DEFINITIF (APBNP)'!E109</f>
        <v>7500000</v>
      </c>
      <c r="F26" s="460">
        <f>C26*E26</f>
        <v>7500000</v>
      </c>
      <c r="G26" s="344"/>
      <c r="H26" s="345"/>
      <c r="J26" s="347"/>
      <c r="L26" s="340"/>
      <c r="M26" s="348"/>
      <c r="N26" s="347"/>
    </row>
    <row r="27" spans="1:14" s="346" customFormat="1" ht="15" customHeight="1" thickBot="1" x14ac:dyDescent="0.3">
      <c r="A27" s="1913"/>
      <c r="B27" s="1880"/>
      <c r="C27" s="1880"/>
      <c r="D27" s="1880"/>
      <c r="E27" s="1880"/>
      <c r="F27" s="478"/>
      <c r="G27" s="344"/>
      <c r="H27" s="345"/>
      <c r="J27" s="347"/>
      <c r="L27" s="340"/>
      <c r="M27" s="348"/>
      <c r="N27" s="347"/>
    </row>
    <row r="28" spans="1:14" s="346" customFormat="1" ht="15" customHeight="1" x14ac:dyDescent="0.25">
      <c r="A28" s="1935">
        <v>3</v>
      </c>
      <c r="B28" s="1936" t="s">
        <v>781</v>
      </c>
      <c r="C28" s="481"/>
      <c r="D28" s="483"/>
      <c r="E28" s="483"/>
      <c r="F28" s="484">
        <f>C28*E28</f>
        <v>0</v>
      </c>
      <c r="G28" s="344"/>
      <c r="H28" s="347"/>
      <c r="J28" s="347"/>
      <c r="L28" s="340"/>
      <c r="M28" s="348"/>
      <c r="N28" s="347"/>
    </row>
    <row r="29" spans="1:14" s="346" customFormat="1" ht="15" customHeight="1" thickBot="1" x14ac:dyDescent="0.3">
      <c r="A29" s="1937"/>
      <c r="B29" s="1938" t="str">
        <f>'DEFINITIF (APBNP)'!B621</f>
        <v>Pembangunan ATCS Sp 4 Kota Bandung Tahap IV selesai</v>
      </c>
      <c r="C29" s="1938">
        <f>'DEFINITIF (APBNP)'!C621</f>
        <v>1</v>
      </c>
      <c r="D29" s="1938" t="str">
        <f>'DEFINITIF (APBNP)'!D621</f>
        <v>PKT</v>
      </c>
      <c r="E29" s="1938">
        <f>'DEFINITIF (APBNP)'!E621</f>
        <v>6000000</v>
      </c>
      <c r="F29" s="669">
        <f>C29*E29</f>
        <v>6000000</v>
      </c>
      <c r="G29" s="344"/>
      <c r="H29" s="347"/>
      <c r="J29" s="347"/>
      <c r="L29" s="340"/>
      <c r="M29" s="348"/>
      <c r="N29" s="347"/>
    </row>
    <row r="30" spans="1:14" s="346" customFormat="1" ht="15" customHeight="1" x14ac:dyDescent="0.25">
      <c r="A30" s="449"/>
      <c r="B30" s="1921"/>
      <c r="C30" s="1921"/>
      <c r="D30" s="1921"/>
      <c r="E30" s="1921"/>
      <c r="F30" s="454"/>
      <c r="G30" s="344"/>
      <c r="H30" s="347"/>
      <c r="J30" s="347"/>
      <c r="L30" s="340"/>
      <c r="M30" s="348"/>
      <c r="N30" s="347"/>
    </row>
    <row r="31" spans="1:14" s="346" customFormat="1" ht="15" customHeight="1" x14ac:dyDescent="0.25">
      <c r="A31" s="457">
        <v>4</v>
      </c>
      <c r="B31" s="458" t="s">
        <v>783</v>
      </c>
      <c r="C31" s="469"/>
      <c r="D31" s="471"/>
      <c r="E31" s="471"/>
      <c r="F31" s="460">
        <f>C31*E31</f>
        <v>0</v>
      </c>
      <c r="G31" s="344"/>
      <c r="H31" s="347"/>
      <c r="J31" s="347"/>
      <c r="L31" s="340"/>
      <c r="M31" s="348"/>
      <c r="N31" s="347"/>
    </row>
    <row r="32" spans="1:14" s="346" customFormat="1" ht="15" customHeight="1" x14ac:dyDescent="0.25">
      <c r="A32" s="457"/>
      <c r="B32" s="472" t="str">
        <f>'DEFINITIF (APBNP)'!B680</f>
        <v>Pembangunan ATCS Pekalongan Tahap II (selesai)</v>
      </c>
      <c r="C32" s="472">
        <f>'DEFINITIF (APBNP)'!C680</f>
        <v>1</v>
      </c>
      <c r="D32" s="472" t="str">
        <f>'DEFINITIF (APBNP)'!D680</f>
        <v>PKT</v>
      </c>
      <c r="E32" s="472">
        <f>'DEFINITIF (APBNP)'!E680</f>
        <v>5000000</v>
      </c>
      <c r="F32" s="460">
        <f>C32*E32</f>
        <v>5000000</v>
      </c>
      <c r="G32" s="344"/>
      <c r="H32" s="347"/>
      <c r="J32" s="347"/>
      <c r="L32" s="340"/>
      <c r="M32" s="348"/>
      <c r="N32" s="347"/>
    </row>
    <row r="33" spans="1:14" s="346" customFormat="1" ht="15" customHeight="1" x14ac:dyDescent="0.25">
      <c r="A33" s="457"/>
      <c r="B33" s="472"/>
      <c r="C33" s="472"/>
      <c r="D33" s="472"/>
      <c r="E33" s="472"/>
      <c r="F33" s="460"/>
      <c r="G33" s="344"/>
      <c r="H33" s="347"/>
      <c r="J33" s="347"/>
      <c r="L33" s="340"/>
      <c r="M33" s="348"/>
      <c r="N33" s="347"/>
    </row>
    <row r="34" spans="1:14" s="465" customFormat="1" ht="15" customHeight="1" x14ac:dyDescent="0.25">
      <c r="A34" s="473">
        <v>5</v>
      </c>
      <c r="B34" s="458" t="s">
        <v>786</v>
      </c>
      <c r="C34" s="474"/>
      <c r="D34" s="474"/>
      <c r="E34" s="474"/>
      <c r="F34" s="462">
        <f>C34*E34</f>
        <v>0</v>
      </c>
      <c r="G34" s="463"/>
      <c r="H34" s="464"/>
      <c r="J34" s="464"/>
      <c r="L34" s="466"/>
      <c r="M34" s="467"/>
      <c r="N34" s="464"/>
    </row>
    <row r="35" spans="1:14" s="346" customFormat="1" ht="15" customHeight="1" x14ac:dyDescent="0.25">
      <c r="A35" s="475"/>
      <c r="B35" s="459" t="str">
        <f>'DEFINITIF (APBNP)'!B734</f>
        <v>Pengadaan dan Pemasangan ATCS  DIY Thp IV (termasuk supervisi) selesai</v>
      </c>
      <c r="C35" s="459">
        <f>'DEFINITIF (APBNP)'!C734</f>
        <v>1</v>
      </c>
      <c r="D35" s="459" t="str">
        <f>'DEFINITIF (APBNP)'!D734</f>
        <v>PKT</v>
      </c>
      <c r="E35" s="459">
        <f>'DEFINITIF (APBNP)'!E734</f>
        <v>5123736</v>
      </c>
      <c r="F35" s="460">
        <f>C35*E35</f>
        <v>5123736</v>
      </c>
      <c r="G35" s="344"/>
      <c r="H35" s="347"/>
      <c r="J35" s="347"/>
      <c r="L35" s="340"/>
      <c r="M35" s="348"/>
      <c r="N35" s="347"/>
    </row>
    <row r="36" spans="1:14" s="346" customFormat="1" ht="15" customHeight="1" x14ac:dyDescent="0.25">
      <c r="A36" s="457"/>
      <c r="B36" s="459"/>
      <c r="C36" s="459"/>
      <c r="D36" s="459"/>
      <c r="E36" s="459"/>
      <c r="F36" s="460"/>
      <c r="G36" s="344"/>
      <c r="H36" s="345"/>
      <c r="J36" s="347"/>
      <c r="L36" s="340"/>
      <c r="M36" s="348"/>
      <c r="N36" s="347"/>
    </row>
    <row r="37" spans="1:14" s="346" customFormat="1" ht="15" customHeight="1" thickBot="1" x14ac:dyDescent="0.3">
      <c r="A37" s="476"/>
      <c r="B37" s="477"/>
      <c r="C37" s="477"/>
      <c r="D37" s="477"/>
      <c r="E37" s="477"/>
      <c r="F37" s="478"/>
      <c r="G37" s="344"/>
      <c r="H37" s="347"/>
      <c r="J37" s="347"/>
      <c r="L37" s="340"/>
      <c r="M37" s="348"/>
      <c r="N37" s="347"/>
    </row>
    <row r="38" spans="1:14" s="383" customFormat="1" ht="15" customHeight="1" thickBot="1" x14ac:dyDescent="0.3">
      <c r="A38" s="325" t="s">
        <v>1726</v>
      </c>
      <c r="B38" s="2004" t="s">
        <v>1762</v>
      </c>
      <c r="C38" s="327">
        <f>SUM(C40:C51)</f>
        <v>5</v>
      </c>
      <c r="D38" s="328" t="s">
        <v>16</v>
      </c>
      <c r="E38" s="2021"/>
      <c r="F38" s="330">
        <f>SUM(F40:F51)</f>
        <v>17500000</v>
      </c>
      <c r="G38" s="448">
        <v>0</v>
      </c>
      <c r="H38" s="384"/>
      <c r="J38" s="384"/>
      <c r="L38" s="385"/>
      <c r="M38" s="386"/>
      <c r="N38" s="384"/>
    </row>
    <row r="39" spans="1:14" s="346" customFormat="1" ht="15" customHeight="1" x14ac:dyDescent="0.25">
      <c r="A39" s="1995"/>
      <c r="B39" s="2006"/>
      <c r="C39" s="2000"/>
      <c r="D39" s="2010"/>
      <c r="E39" s="471"/>
      <c r="F39" s="2016"/>
      <c r="G39" s="455"/>
      <c r="H39" s="347"/>
      <c r="J39" s="347"/>
      <c r="L39" s="340"/>
      <c r="M39" s="348"/>
      <c r="N39" s="347"/>
    </row>
    <row r="40" spans="1:14" s="346" customFormat="1" ht="15" customHeight="1" x14ac:dyDescent="0.25">
      <c r="A40" s="1996">
        <v>1</v>
      </c>
      <c r="B40" s="458" t="s">
        <v>855</v>
      </c>
      <c r="C40" s="2001"/>
      <c r="D40" s="2011"/>
      <c r="E40" s="459"/>
      <c r="F40" s="2017">
        <f>C40*E40</f>
        <v>0</v>
      </c>
      <c r="G40" s="344"/>
      <c r="H40" s="345"/>
      <c r="J40" s="347"/>
      <c r="L40" s="340"/>
      <c r="M40" s="348"/>
      <c r="N40" s="347"/>
    </row>
    <row r="41" spans="1:14" s="346" customFormat="1" ht="15" customHeight="1" x14ac:dyDescent="0.25">
      <c r="A41" s="1996"/>
      <c r="B41" s="459" t="str">
        <f>'DEFINITIF (APBNP)'!B343</f>
        <v>Pembangunan ATCS Provinsi Bangka Belitung Thp 1</v>
      </c>
      <c r="C41" s="2001">
        <f>'DEFINITIF (APBNP)'!C343</f>
        <v>1</v>
      </c>
      <c r="D41" s="2011" t="str">
        <f>'DEFINITIF (APBNP)'!D343</f>
        <v>PKT</v>
      </c>
      <c r="E41" s="459">
        <f>'DEFINITIF (APBNP)'!E343</f>
        <v>3500000</v>
      </c>
      <c r="F41" s="2017">
        <f>C41*E41</f>
        <v>3500000</v>
      </c>
      <c r="G41" s="344"/>
      <c r="H41" s="345"/>
      <c r="J41" s="347"/>
      <c r="L41" s="340"/>
      <c r="M41" s="348"/>
      <c r="N41" s="347"/>
    </row>
    <row r="42" spans="1:14" s="346" customFormat="1" ht="15" customHeight="1" x14ac:dyDescent="0.25">
      <c r="A42" s="1996"/>
      <c r="B42" s="459"/>
      <c r="C42" s="2001"/>
      <c r="D42" s="2011"/>
      <c r="E42" s="459"/>
      <c r="F42" s="2017"/>
      <c r="G42" s="344"/>
      <c r="H42" s="345"/>
      <c r="J42" s="347"/>
      <c r="L42" s="340"/>
      <c r="M42" s="348"/>
      <c r="N42" s="347"/>
    </row>
    <row r="43" spans="1:14" s="346" customFormat="1" ht="15" customHeight="1" x14ac:dyDescent="0.25">
      <c r="A43" s="1997">
        <v>2</v>
      </c>
      <c r="B43" s="458" t="s">
        <v>788</v>
      </c>
      <c r="C43" s="2002"/>
      <c r="D43" s="2012"/>
      <c r="E43" s="471"/>
      <c r="F43" s="2018"/>
      <c r="G43" s="344"/>
      <c r="H43" s="347"/>
      <c r="J43" s="347"/>
      <c r="L43" s="340"/>
      <c r="M43" s="348"/>
      <c r="N43" s="347"/>
    </row>
    <row r="44" spans="1:14" s="346" customFormat="1" ht="15" customHeight="1" x14ac:dyDescent="0.25">
      <c r="A44" s="1997"/>
      <c r="B44" s="485" t="str">
        <f>'DEFINITIF (APBNP)'!B795</f>
        <v>Kota Sidoarjo Tahap I</v>
      </c>
      <c r="C44" s="468">
        <f>'DEFINITIF (APBNP)'!C795</f>
        <v>1</v>
      </c>
      <c r="D44" s="2013" t="str">
        <f>'DEFINITIF (APBNP)'!D795</f>
        <v>PKT</v>
      </c>
      <c r="E44" s="485">
        <f>'DEFINITIF (APBNP)'!E795</f>
        <v>3000000</v>
      </c>
      <c r="F44" s="2017">
        <f t="shared" ref="F44:F50" si="0">C44*E44</f>
        <v>3000000</v>
      </c>
      <c r="G44" s="344"/>
      <c r="H44" s="347"/>
      <c r="J44" s="347"/>
      <c r="L44" s="340"/>
      <c r="M44" s="348"/>
      <c r="N44" s="347"/>
    </row>
    <row r="45" spans="1:14" s="346" customFormat="1" ht="15" customHeight="1" x14ac:dyDescent="0.25">
      <c r="A45" s="1997"/>
      <c r="B45" s="485" t="str">
        <f>'DEFINITIF (APBNP)'!B796</f>
        <v>Kota Kediri Tahap I</v>
      </c>
      <c r="C45" s="468">
        <f>'DEFINITIF (APBNP)'!C796</f>
        <v>1</v>
      </c>
      <c r="D45" s="2013" t="str">
        <f>'DEFINITIF (APBNP)'!D796</f>
        <v>PKT</v>
      </c>
      <c r="E45" s="485">
        <f>'DEFINITIF (APBNP)'!E796</f>
        <v>3000000</v>
      </c>
      <c r="F45" s="2017">
        <f t="shared" si="0"/>
        <v>3000000</v>
      </c>
      <c r="G45" s="344"/>
      <c r="H45" s="347"/>
      <c r="J45" s="347"/>
      <c r="L45" s="340"/>
      <c r="M45" s="348"/>
      <c r="N45" s="347"/>
    </row>
    <row r="46" spans="1:14" s="346" customFormat="1" ht="15" customHeight="1" x14ac:dyDescent="0.25">
      <c r="A46" s="1997">
        <v>3</v>
      </c>
      <c r="B46" s="458" t="s">
        <v>811</v>
      </c>
      <c r="C46" s="2002"/>
      <c r="D46" s="2012"/>
      <c r="E46" s="471"/>
      <c r="F46" s="2017">
        <f t="shared" si="0"/>
        <v>0</v>
      </c>
      <c r="G46" s="344"/>
      <c r="H46" s="347"/>
      <c r="J46" s="347"/>
      <c r="L46" s="340"/>
      <c r="M46" s="348"/>
      <c r="N46" s="347"/>
    </row>
    <row r="47" spans="1:14" s="346" customFormat="1" ht="15" customHeight="1" x14ac:dyDescent="0.25">
      <c r="A47" s="1997"/>
      <c r="B47" s="459" t="str">
        <f>'DEFINITIF (APBNP)'!B1457</f>
        <v>ATCS Kota Palu Tahap I</v>
      </c>
      <c r="C47" s="2001">
        <f>'DEFINITIF (APBNP)'!C1457</f>
        <v>1</v>
      </c>
      <c r="D47" s="2011" t="str">
        <f>'DEFINITIF (APBNP)'!D1457</f>
        <v>PKT</v>
      </c>
      <c r="E47" s="459">
        <f>'DEFINITIF (APBNP)'!E1457</f>
        <v>4000000</v>
      </c>
      <c r="F47" s="2017">
        <f t="shared" si="0"/>
        <v>4000000</v>
      </c>
      <c r="G47" s="344"/>
      <c r="H47" s="347"/>
      <c r="J47" s="347"/>
      <c r="L47" s="340"/>
      <c r="M47" s="348"/>
      <c r="N47" s="347"/>
    </row>
    <row r="48" spans="1:14" s="346" customFormat="1" ht="15" customHeight="1" x14ac:dyDescent="0.25">
      <c r="A48" s="1998"/>
      <c r="B48" s="1988"/>
      <c r="C48" s="2003"/>
      <c r="D48" s="2014"/>
      <c r="E48" s="1988"/>
      <c r="F48" s="2019"/>
      <c r="G48" s="344"/>
      <c r="H48" s="347"/>
      <c r="J48" s="347"/>
      <c r="L48" s="340"/>
      <c r="M48" s="348"/>
      <c r="N48" s="347"/>
    </row>
    <row r="49" spans="1:14" s="346" customFormat="1" ht="15" customHeight="1" x14ac:dyDescent="0.25">
      <c r="A49" s="1989">
        <v>4</v>
      </c>
      <c r="B49" s="2007" t="s">
        <v>771</v>
      </c>
      <c r="C49" s="1990"/>
      <c r="D49" s="1991"/>
      <c r="E49" s="2023"/>
      <c r="F49" s="1992">
        <f t="shared" si="0"/>
        <v>0</v>
      </c>
      <c r="G49" s="344"/>
      <c r="H49" s="347"/>
      <c r="J49" s="347"/>
      <c r="L49" s="340"/>
      <c r="M49" s="348"/>
      <c r="N49" s="347"/>
    </row>
    <row r="50" spans="1:14" s="346" customFormat="1" ht="15" customHeight="1" x14ac:dyDescent="0.25">
      <c r="A50" s="1989"/>
      <c r="B50" s="2008" t="str">
        <f>'DEFINITIF (APBNP)'!B404</f>
        <v>Pembangunan ATCS Palembang Thp 1</v>
      </c>
      <c r="C50" s="1993">
        <f>'DEFINITIF (APBNP)'!C404</f>
        <v>1</v>
      </c>
      <c r="D50" s="1993" t="str">
        <f>'DEFINITIF (APBNP)'!D404</f>
        <v>PKT</v>
      </c>
      <c r="E50" s="2008">
        <f>'DEFINITIF (APBNP)'!E404</f>
        <v>4000000</v>
      </c>
      <c r="F50" s="1992">
        <f t="shared" si="0"/>
        <v>4000000</v>
      </c>
      <c r="G50" s="344"/>
      <c r="H50" s="347"/>
      <c r="J50" s="347"/>
      <c r="L50" s="340"/>
      <c r="M50" s="348"/>
      <c r="N50" s="347"/>
    </row>
    <row r="51" spans="1:14" s="346" customFormat="1" ht="15" customHeight="1" thickBot="1" x14ac:dyDescent="0.3">
      <c r="A51" s="1999"/>
      <c r="B51" s="2009"/>
      <c r="C51" s="1994"/>
      <c r="D51" s="2015"/>
      <c r="E51" s="2009"/>
      <c r="F51" s="2020"/>
      <c r="G51" s="344"/>
      <c r="H51" s="347"/>
      <c r="J51" s="347"/>
      <c r="L51" s="340"/>
      <c r="M51" s="348"/>
      <c r="N51" s="347"/>
    </row>
    <row r="52" spans="1:14" s="383" customFormat="1" ht="15" customHeight="1" thickBot="1" x14ac:dyDescent="0.3">
      <c r="A52" s="325" t="s">
        <v>1729</v>
      </c>
      <c r="B52" s="2005" t="s">
        <v>1734</v>
      </c>
      <c r="C52" s="327">
        <f>SUM(C54:C55)</f>
        <v>2</v>
      </c>
      <c r="D52" s="328" t="s">
        <v>16</v>
      </c>
      <c r="E52" s="2022"/>
      <c r="F52" s="330">
        <f>SUM(F54:F55)</f>
        <v>4000000</v>
      </c>
      <c r="G52" s="448">
        <v>0</v>
      </c>
      <c r="H52" s="384"/>
      <c r="J52" s="384"/>
      <c r="L52" s="385"/>
      <c r="M52" s="386"/>
      <c r="N52" s="384"/>
    </row>
    <row r="53" spans="1:14" s="346" customFormat="1" ht="15" customHeight="1" x14ac:dyDescent="0.25">
      <c r="A53" s="479"/>
      <c r="B53" s="480"/>
      <c r="C53" s="481"/>
      <c r="D53" s="482"/>
      <c r="E53" s="483"/>
      <c r="F53" s="484"/>
      <c r="G53" s="455"/>
      <c r="H53" s="347"/>
      <c r="J53" s="347"/>
      <c r="L53" s="340"/>
      <c r="M53" s="348"/>
      <c r="N53" s="347"/>
    </row>
    <row r="54" spans="1:14" s="346" customFormat="1" ht="15" customHeight="1" x14ac:dyDescent="0.25">
      <c r="A54" s="486">
        <v>1</v>
      </c>
      <c r="B54" s="485" t="str">
        <f>'DEFINITIF (APBNP)'!B3164</f>
        <v>Pembangunan Fasilitas Pemaduan Moda di Kota Tangerang (termasuk supervisi)</v>
      </c>
      <c r="C54" s="485">
        <f>'DEFINITIF (APBNP)'!C3164</f>
        <v>1</v>
      </c>
      <c r="D54" s="485" t="str">
        <f>'DEFINITIF (APBNP)'!D3164</f>
        <v>PKT</v>
      </c>
      <c r="E54" s="485">
        <f>'DEFINITIF (APBNP)'!E3164</f>
        <v>2000000</v>
      </c>
      <c r="F54" s="460">
        <f>C54*E54</f>
        <v>2000000</v>
      </c>
      <c r="G54" s="344"/>
      <c r="H54" s="347"/>
      <c r="J54" s="347"/>
      <c r="L54" s="340"/>
      <c r="M54" s="348"/>
      <c r="N54" s="347"/>
    </row>
    <row r="55" spans="1:14" s="346" customFormat="1" ht="15" customHeight="1" x14ac:dyDescent="0.25">
      <c r="A55" s="486">
        <v>2</v>
      </c>
      <c r="B55" s="485" t="str">
        <f>'DEFINITIF (APBNP)'!B3165</f>
        <v>Pembangunan Fasilitas Pemaduan Moda di Kota Palembang (termasuk supervisi)</v>
      </c>
      <c r="C55" s="485">
        <f>'DEFINITIF (APBNP)'!C3165</f>
        <v>1</v>
      </c>
      <c r="D55" s="485" t="str">
        <f>'DEFINITIF (APBNP)'!D3165</f>
        <v>PKT</v>
      </c>
      <c r="E55" s="485">
        <f>'DEFINITIF (APBNP)'!E3165</f>
        <v>2000000</v>
      </c>
      <c r="F55" s="460">
        <f>C55*E55</f>
        <v>2000000</v>
      </c>
      <c r="G55" s="344"/>
      <c r="H55" s="347"/>
      <c r="J55" s="347"/>
      <c r="L55" s="340"/>
      <c r="M55" s="348"/>
      <c r="N55" s="347"/>
    </row>
    <row r="56" spans="1:14" s="346" customFormat="1" ht="15" customHeight="1" thickBot="1" x14ac:dyDescent="0.3">
      <c r="A56" s="487"/>
      <c r="B56" s="488"/>
      <c r="C56" s="489"/>
      <c r="D56" s="490"/>
      <c r="E56" s="491"/>
      <c r="F56" s="492"/>
      <c r="G56" s="344"/>
      <c r="H56" s="347"/>
      <c r="J56" s="347"/>
      <c r="L56" s="340"/>
      <c r="M56" s="348"/>
      <c r="N56" s="347"/>
    </row>
    <row r="57" spans="1:14" s="422" customFormat="1" ht="15" customHeight="1" x14ac:dyDescent="0.25">
      <c r="A57" s="1846"/>
      <c r="B57" s="493"/>
      <c r="C57" s="494"/>
      <c r="D57" s="495"/>
      <c r="E57" s="496"/>
      <c r="F57" s="1847"/>
      <c r="L57" s="421"/>
      <c r="M57" s="421"/>
    </row>
    <row r="58" spans="1:14" s="422" customFormat="1" ht="15" customHeight="1" x14ac:dyDescent="0.25">
      <c r="A58" s="1846"/>
      <c r="B58" s="493"/>
      <c r="C58" s="494"/>
      <c r="D58" s="495"/>
      <c r="E58" s="496"/>
      <c r="F58" s="1847"/>
      <c r="L58" s="421"/>
      <c r="M58" s="421"/>
    </row>
    <row r="59" spans="1:14" s="422" customFormat="1" ht="15" customHeight="1" x14ac:dyDescent="0.25">
      <c r="A59" s="1846"/>
      <c r="B59" s="493"/>
      <c r="C59" s="494"/>
      <c r="D59" s="495"/>
      <c r="E59" s="496"/>
      <c r="F59" s="1847"/>
      <c r="L59" s="421"/>
      <c r="M59" s="421"/>
    </row>
    <row r="60" spans="1:14" s="422" customFormat="1" ht="15" customHeight="1" x14ac:dyDescent="0.25">
      <c r="A60" s="1846"/>
      <c r="B60" s="493"/>
      <c r="C60" s="494"/>
      <c r="D60" s="495"/>
      <c r="E60" s="496"/>
      <c r="F60" s="1847"/>
      <c r="L60" s="421"/>
      <c r="M60" s="421"/>
    </row>
    <row r="61" spans="1:14" s="422" customFormat="1" ht="15" customHeight="1" x14ac:dyDescent="0.25">
      <c r="A61" s="1846"/>
      <c r="B61" s="493"/>
      <c r="C61" s="494"/>
      <c r="D61" s="495"/>
      <c r="E61" s="496"/>
      <c r="F61" s="1847"/>
      <c r="L61" s="421"/>
      <c r="M61" s="421"/>
    </row>
    <row r="62" spans="1:14" s="422" customFormat="1" ht="15" customHeight="1" x14ac:dyDescent="0.25">
      <c r="A62" s="1846"/>
      <c r="B62" s="493"/>
      <c r="C62" s="494"/>
      <c r="D62" s="495"/>
      <c r="E62" s="496"/>
      <c r="F62" s="1847"/>
      <c r="L62" s="421"/>
      <c r="M62" s="421"/>
    </row>
    <row r="63" spans="1:14" s="422" customFormat="1" ht="15" customHeight="1" x14ac:dyDescent="0.25">
      <c r="A63" s="1846"/>
      <c r="B63" s="493"/>
      <c r="C63" s="494"/>
      <c r="D63" s="495"/>
      <c r="E63" s="496"/>
      <c r="F63" s="1847"/>
      <c r="L63" s="421"/>
      <c r="M63" s="421"/>
    </row>
    <row r="64" spans="1:14" s="422" customFormat="1" ht="15" customHeight="1" x14ac:dyDescent="0.25">
      <c r="A64" s="1846"/>
      <c r="B64" s="493"/>
      <c r="C64" s="494"/>
      <c r="D64" s="495"/>
      <c r="E64" s="496"/>
      <c r="F64" s="1847"/>
      <c r="L64" s="421"/>
      <c r="M64" s="421"/>
    </row>
    <row r="65" spans="1:13" s="422" customFormat="1" ht="15" customHeight="1" x14ac:dyDescent="0.25">
      <c r="A65" s="1846"/>
      <c r="B65" s="493"/>
      <c r="C65" s="494"/>
      <c r="D65" s="495"/>
      <c r="E65" s="496"/>
      <c r="F65" s="1847"/>
      <c r="L65" s="421"/>
      <c r="M65" s="421"/>
    </row>
    <row r="66" spans="1:13" s="422" customFormat="1" ht="15" customHeight="1" x14ac:dyDescent="0.25">
      <c r="A66" s="1846"/>
      <c r="B66" s="493"/>
      <c r="C66" s="494"/>
      <c r="D66" s="495"/>
      <c r="E66" s="496"/>
      <c r="F66" s="1847"/>
      <c r="L66" s="421"/>
      <c r="M66" s="421"/>
    </row>
    <row r="67" spans="1:13" s="422" customFormat="1" ht="15" customHeight="1" x14ac:dyDescent="0.25">
      <c r="A67" s="1846"/>
      <c r="B67" s="493"/>
      <c r="C67" s="494"/>
      <c r="D67" s="495"/>
      <c r="E67" s="496"/>
      <c r="F67" s="1847"/>
      <c r="L67" s="421"/>
      <c r="M67" s="421"/>
    </row>
    <row r="68" spans="1:13" s="422" customFormat="1" ht="15" customHeight="1" x14ac:dyDescent="0.25">
      <c r="A68" s="1846"/>
      <c r="B68" s="493"/>
      <c r="C68" s="494"/>
      <c r="D68" s="495"/>
      <c r="E68" s="496"/>
      <c r="F68" s="1847"/>
      <c r="L68" s="421"/>
      <c r="M68" s="421"/>
    </row>
    <row r="69" spans="1:13" s="422" customFormat="1" ht="15" customHeight="1" x14ac:dyDescent="0.25">
      <c r="A69" s="1846"/>
      <c r="B69" s="493"/>
      <c r="C69" s="494"/>
      <c r="D69" s="495"/>
      <c r="E69" s="496"/>
      <c r="F69" s="1847"/>
      <c r="L69" s="421"/>
      <c r="M69" s="421"/>
    </row>
    <row r="70" spans="1:13" s="422" customFormat="1" ht="15" customHeight="1" x14ac:dyDescent="0.25">
      <c r="A70" s="1846"/>
      <c r="B70" s="493"/>
      <c r="C70" s="494"/>
      <c r="D70" s="495"/>
      <c r="E70" s="496"/>
      <c r="F70" s="1847"/>
      <c r="L70" s="421"/>
      <c r="M70" s="421"/>
    </row>
    <row r="71" spans="1:13" s="422" customFormat="1" ht="15" customHeight="1" x14ac:dyDescent="0.25">
      <c r="A71" s="1846"/>
      <c r="B71" s="493"/>
      <c r="C71" s="494"/>
      <c r="D71" s="495"/>
      <c r="E71" s="496"/>
      <c r="F71" s="1847"/>
      <c r="L71" s="421"/>
      <c r="M71" s="421"/>
    </row>
    <row r="72" spans="1:13" s="422" customFormat="1" ht="15" customHeight="1" x14ac:dyDescent="0.25">
      <c r="A72" s="1846"/>
      <c r="B72" s="493"/>
      <c r="C72" s="494"/>
      <c r="D72" s="495"/>
      <c r="E72" s="496"/>
      <c r="F72" s="1847"/>
      <c r="L72" s="421"/>
      <c r="M72" s="421"/>
    </row>
    <row r="73" spans="1:13" s="422" customFormat="1" ht="15" customHeight="1" x14ac:dyDescent="0.25">
      <c r="A73" s="1846"/>
      <c r="B73" s="493"/>
      <c r="C73" s="494"/>
      <c r="D73" s="495"/>
      <c r="E73" s="496"/>
      <c r="F73" s="1847"/>
      <c r="L73" s="421"/>
      <c r="M73" s="421"/>
    </row>
    <row r="74" spans="1:13" s="422" customFormat="1" ht="15" customHeight="1" x14ac:dyDescent="0.25">
      <c r="A74" s="1846"/>
      <c r="B74" s="493"/>
      <c r="C74" s="494"/>
      <c r="D74" s="495"/>
      <c r="E74" s="496"/>
      <c r="F74" s="1847"/>
      <c r="L74" s="421"/>
      <c r="M74" s="421"/>
    </row>
    <row r="75" spans="1:13" s="422" customFormat="1" ht="15" customHeight="1" x14ac:dyDescent="0.25">
      <c r="A75" s="1846"/>
      <c r="B75" s="493"/>
      <c r="C75" s="494"/>
      <c r="D75" s="495"/>
      <c r="E75" s="496"/>
      <c r="F75" s="1847"/>
      <c r="L75" s="421"/>
      <c r="M75" s="421"/>
    </row>
    <row r="76" spans="1:13" s="422" customFormat="1" ht="15" customHeight="1" x14ac:dyDescent="0.25">
      <c r="A76" s="1846"/>
      <c r="B76" s="493"/>
      <c r="C76" s="494"/>
      <c r="D76" s="495"/>
      <c r="E76" s="496"/>
      <c r="F76" s="1847"/>
      <c r="L76" s="421"/>
      <c r="M76" s="421"/>
    </row>
    <row r="77" spans="1:13" s="422" customFormat="1" ht="15" customHeight="1" x14ac:dyDescent="0.25">
      <c r="A77" s="1846"/>
      <c r="B77" s="493"/>
      <c r="C77" s="494"/>
      <c r="D77" s="495"/>
      <c r="E77" s="496"/>
      <c r="F77" s="1847"/>
      <c r="L77" s="421"/>
      <c r="M77" s="421"/>
    </row>
    <row r="78" spans="1:13" s="422" customFormat="1" ht="15" customHeight="1" x14ac:dyDescent="0.25">
      <c r="A78" s="1846"/>
      <c r="B78" s="493"/>
      <c r="C78" s="494"/>
      <c r="D78" s="495"/>
      <c r="E78" s="496"/>
      <c r="F78" s="1847"/>
      <c r="L78" s="421"/>
      <c r="M78" s="421"/>
    </row>
    <row r="79" spans="1:13" s="422" customFormat="1" ht="15" customHeight="1" x14ac:dyDescent="0.25">
      <c r="A79" s="1846"/>
      <c r="B79" s="493"/>
      <c r="C79" s="494"/>
      <c r="D79" s="495"/>
      <c r="E79" s="496"/>
      <c r="F79" s="1847"/>
      <c r="L79" s="421"/>
      <c r="M79" s="421"/>
    </row>
    <row r="80" spans="1:13" s="422" customFormat="1" ht="15" customHeight="1" x14ac:dyDescent="0.25">
      <c r="A80" s="1846"/>
      <c r="B80" s="493"/>
      <c r="C80" s="494"/>
      <c r="D80" s="495"/>
      <c r="E80" s="496"/>
      <c r="F80" s="1847"/>
      <c r="L80" s="421"/>
      <c r="M80" s="421"/>
    </row>
    <row r="81" spans="1:13" s="422" customFormat="1" ht="15" customHeight="1" x14ac:dyDescent="0.25">
      <c r="A81" s="1846"/>
      <c r="B81" s="493"/>
      <c r="C81" s="494"/>
      <c r="D81" s="495"/>
      <c r="E81" s="496"/>
      <c r="F81" s="1847"/>
      <c r="L81" s="421"/>
      <c r="M81" s="421"/>
    </row>
    <row r="82" spans="1:13" s="422" customFormat="1" ht="15" customHeight="1" x14ac:dyDescent="0.25">
      <c r="A82" s="1846"/>
      <c r="B82" s="493"/>
      <c r="C82" s="494"/>
      <c r="D82" s="495"/>
      <c r="E82" s="496"/>
      <c r="F82" s="1847"/>
      <c r="L82" s="421"/>
      <c r="M82" s="421"/>
    </row>
    <row r="83" spans="1:13" s="422" customFormat="1" ht="15" customHeight="1" x14ac:dyDescent="0.25">
      <c r="A83" s="1846"/>
      <c r="B83" s="493"/>
      <c r="C83" s="494"/>
      <c r="D83" s="495"/>
      <c r="E83" s="496"/>
      <c r="F83" s="1847"/>
      <c r="L83" s="421"/>
      <c r="M83" s="421"/>
    </row>
    <row r="84" spans="1:13" s="422" customFormat="1" ht="15" customHeight="1" x14ac:dyDescent="0.25">
      <c r="A84" s="1846"/>
      <c r="B84" s="493"/>
      <c r="C84" s="494"/>
      <c r="D84" s="495"/>
      <c r="E84" s="496"/>
      <c r="F84" s="1847"/>
      <c r="L84" s="421"/>
      <c r="M84" s="421"/>
    </row>
    <row r="85" spans="1:13" s="422" customFormat="1" ht="15" customHeight="1" x14ac:dyDescent="0.25">
      <c r="A85" s="1846"/>
      <c r="B85" s="493"/>
      <c r="C85" s="494"/>
      <c r="D85" s="495"/>
      <c r="E85" s="496"/>
      <c r="F85" s="1847"/>
      <c r="L85" s="421"/>
      <c r="M85" s="421"/>
    </row>
    <row r="86" spans="1:13" s="422" customFormat="1" ht="15" customHeight="1" x14ac:dyDescent="0.25">
      <c r="A86" s="1846"/>
      <c r="B86" s="493"/>
      <c r="C86" s="494"/>
      <c r="D86" s="495"/>
      <c r="E86" s="496"/>
      <c r="F86" s="1847"/>
      <c r="L86" s="421"/>
      <c r="M86" s="421"/>
    </row>
    <row r="87" spans="1:13" s="422" customFormat="1" ht="15" customHeight="1" x14ac:dyDescent="0.25">
      <c r="A87" s="1846"/>
      <c r="B87" s="493"/>
      <c r="C87" s="494"/>
      <c r="D87" s="495"/>
      <c r="E87" s="496"/>
      <c r="F87" s="1847"/>
      <c r="L87" s="421"/>
      <c r="M87" s="421"/>
    </row>
    <row r="88" spans="1:13" s="422" customFormat="1" ht="15" customHeight="1" x14ac:dyDescent="0.25">
      <c r="A88" s="1846"/>
      <c r="B88" s="493"/>
      <c r="C88" s="494"/>
      <c r="D88" s="495"/>
      <c r="E88" s="496"/>
      <c r="F88" s="1847"/>
      <c r="L88" s="421"/>
      <c r="M88" s="421"/>
    </row>
    <row r="89" spans="1:13" s="422" customFormat="1" ht="15" customHeight="1" x14ac:dyDescent="0.25">
      <c r="A89" s="1846"/>
      <c r="B89" s="493"/>
      <c r="C89" s="494"/>
      <c r="D89" s="495"/>
      <c r="E89" s="496"/>
      <c r="F89" s="1847"/>
      <c r="L89" s="421"/>
      <c r="M89" s="421"/>
    </row>
    <row r="90" spans="1:13" s="422" customFormat="1" ht="15" customHeight="1" x14ac:dyDescent="0.25">
      <c r="A90" s="1846"/>
      <c r="B90" s="493"/>
      <c r="C90" s="494"/>
      <c r="D90" s="495"/>
      <c r="E90" s="496"/>
      <c r="F90" s="1847"/>
      <c r="L90" s="421"/>
      <c r="M90" s="421"/>
    </row>
    <row r="91" spans="1:13" s="422" customFormat="1" ht="15" customHeight="1" x14ac:dyDescent="0.25">
      <c r="A91" s="1846"/>
      <c r="B91" s="493"/>
      <c r="C91" s="494"/>
      <c r="D91" s="495"/>
      <c r="E91" s="496"/>
      <c r="F91" s="1847"/>
      <c r="L91" s="421"/>
      <c r="M91" s="421"/>
    </row>
    <row r="92" spans="1:13" s="422" customFormat="1" ht="15" customHeight="1" x14ac:dyDescent="0.25">
      <c r="A92" s="1846"/>
      <c r="B92" s="493"/>
      <c r="C92" s="494"/>
      <c r="D92" s="495"/>
      <c r="E92" s="496"/>
      <c r="F92" s="1847"/>
      <c r="L92" s="421"/>
      <c r="M92" s="421"/>
    </row>
    <row r="93" spans="1:13" s="422" customFormat="1" ht="15" customHeight="1" x14ac:dyDescent="0.25">
      <c r="A93" s="1846"/>
      <c r="B93" s="493"/>
      <c r="C93" s="494"/>
      <c r="D93" s="495"/>
      <c r="E93" s="496"/>
      <c r="F93" s="1847"/>
      <c r="L93" s="421"/>
      <c r="M93" s="421"/>
    </row>
    <row r="94" spans="1:13" s="422" customFormat="1" ht="15" customHeight="1" x14ac:dyDescent="0.25">
      <c r="A94" s="1846"/>
      <c r="B94" s="493"/>
      <c r="C94" s="494"/>
      <c r="D94" s="495"/>
      <c r="E94" s="496"/>
      <c r="F94" s="1847"/>
      <c r="L94" s="421"/>
      <c r="M94" s="421"/>
    </row>
    <row r="95" spans="1:13" s="422" customFormat="1" ht="15" customHeight="1" x14ac:dyDescent="0.25">
      <c r="A95" s="1846"/>
      <c r="B95" s="493"/>
      <c r="C95" s="494"/>
      <c r="D95" s="495"/>
      <c r="E95" s="496"/>
      <c r="F95" s="1847"/>
      <c r="L95" s="421"/>
      <c r="M95" s="421"/>
    </row>
    <row r="96" spans="1:13" s="422" customFormat="1" ht="15" customHeight="1" x14ac:dyDescent="0.25">
      <c r="A96" s="1846"/>
      <c r="B96" s="493"/>
      <c r="C96" s="494"/>
      <c r="D96" s="495"/>
      <c r="E96" s="496"/>
      <c r="F96" s="1847"/>
      <c r="L96" s="421"/>
      <c r="M96" s="421"/>
    </row>
    <row r="97" spans="1:13" s="422" customFormat="1" ht="15" customHeight="1" x14ac:dyDescent="0.25">
      <c r="A97" s="1846"/>
      <c r="B97" s="493"/>
      <c r="C97" s="494"/>
      <c r="D97" s="495"/>
      <c r="E97" s="496"/>
      <c r="F97" s="1847"/>
      <c r="L97" s="421"/>
      <c r="M97" s="421"/>
    </row>
    <row r="98" spans="1:13" s="422" customFormat="1" ht="15" customHeight="1" x14ac:dyDescent="0.25">
      <c r="A98" s="1846"/>
      <c r="B98" s="493"/>
      <c r="C98" s="494"/>
      <c r="D98" s="495"/>
      <c r="E98" s="496"/>
      <c r="F98" s="1847"/>
      <c r="L98" s="421"/>
      <c r="M98" s="421"/>
    </row>
    <row r="99" spans="1:13" s="422" customFormat="1" ht="15" customHeight="1" x14ac:dyDescent="0.25">
      <c r="A99" s="1846"/>
      <c r="B99" s="493"/>
      <c r="C99" s="494"/>
      <c r="D99" s="495"/>
      <c r="E99" s="496"/>
      <c r="F99" s="1847"/>
      <c r="L99" s="421"/>
      <c r="M99" s="421"/>
    </row>
    <row r="100" spans="1:13" s="422" customFormat="1" ht="15" customHeight="1" x14ac:dyDescent="0.25">
      <c r="A100" s="1846"/>
      <c r="B100" s="493"/>
      <c r="C100" s="494"/>
      <c r="D100" s="495"/>
      <c r="E100" s="496"/>
      <c r="F100" s="1847"/>
      <c r="L100" s="421"/>
      <c r="M100" s="421"/>
    </row>
    <row r="101" spans="1:13" s="422" customFormat="1" ht="15" customHeight="1" x14ac:dyDescent="0.25">
      <c r="A101" s="1846"/>
      <c r="B101" s="493"/>
      <c r="C101" s="494"/>
      <c r="D101" s="495"/>
      <c r="E101" s="496"/>
      <c r="F101" s="1847"/>
      <c r="L101" s="421"/>
      <c r="M101" s="421"/>
    </row>
    <row r="102" spans="1:13" s="422" customFormat="1" ht="15" customHeight="1" x14ac:dyDescent="0.25">
      <c r="A102" s="1846"/>
      <c r="B102" s="493"/>
      <c r="C102" s="494"/>
      <c r="D102" s="495"/>
      <c r="E102" s="496"/>
      <c r="F102" s="1847"/>
      <c r="L102" s="421"/>
      <c r="M102" s="421"/>
    </row>
    <row r="103" spans="1:13" s="422" customFormat="1" ht="15" customHeight="1" x14ac:dyDescent="0.25">
      <c r="A103" s="1846"/>
      <c r="B103" s="493"/>
      <c r="C103" s="494"/>
      <c r="D103" s="495"/>
      <c r="E103" s="496"/>
      <c r="F103" s="1847"/>
      <c r="L103" s="421"/>
      <c r="M103" s="421"/>
    </row>
    <row r="104" spans="1:13" s="422" customFormat="1" ht="15" customHeight="1" x14ac:dyDescent="0.25">
      <c r="A104" s="1846"/>
      <c r="B104" s="493"/>
      <c r="C104" s="494"/>
      <c r="D104" s="495"/>
      <c r="E104" s="496"/>
      <c r="F104" s="1847"/>
      <c r="L104" s="421"/>
      <c r="M104" s="421"/>
    </row>
    <row r="105" spans="1:13" s="422" customFormat="1" ht="15" customHeight="1" x14ac:dyDescent="0.25">
      <c r="A105" s="1846"/>
      <c r="B105" s="493"/>
      <c r="C105" s="494"/>
      <c r="D105" s="495"/>
      <c r="E105" s="496"/>
      <c r="F105" s="1847"/>
      <c r="L105" s="421"/>
      <c r="M105" s="421"/>
    </row>
    <row r="106" spans="1:13" s="422" customFormat="1" ht="15" customHeight="1" x14ac:dyDescent="0.25">
      <c r="A106" s="1846"/>
      <c r="B106" s="493"/>
      <c r="C106" s="494"/>
      <c r="D106" s="495"/>
      <c r="E106" s="496"/>
      <c r="F106" s="1847"/>
      <c r="L106" s="421"/>
      <c r="M106" s="421"/>
    </row>
    <row r="107" spans="1:13" s="422" customFormat="1" ht="15" customHeight="1" x14ac:dyDescent="0.25">
      <c r="A107" s="1846"/>
      <c r="B107" s="493"/>
      <c r="C107" s="494"/>
      <c r="D107" s="495"/>
      <c r="E107" s="496"/>
      <c r="F107" s="1847"/>
      <c r="L107" s="421"/>
      <c r="M107" s="421"/>
    </row>
    <row r="108" spans="1:13" s="422" customFormat="1" ht="15" customHeight="1" x14ac:dyDescent="0.25">
      <c r="A108" s="1846"/>
      <c r="B108" s="493"/>
      <c r="C108" s="494"/>
      <c r="D108" s="495"/>
      <c r="E108" s="496"/>
      <c r="F108" s="1847"/>
      <c r="L108" s="421"/>
      <c r="M108" s="421"/>
    </row>
    <row r="109" spans="1:13" s="422" customFormat="1" ht="15" customHeight="1" x14ac:dyDescent="0.25">
      <c r="A109" s="1846"/>
      <c r="B109" s="493"/>
      <c r="C109" s="494"/>
      <c r="D109" s="495"/>
      <c r="E109" s="496"/>
      <c r="F109" s="1847"/>
      <c r="L109" s="421"/>
      <c r="M109" s="421"/>
    </row>
    <row r="110" spans="1:13" s="422" customFormat="1" ht="15" customHeight="1" x14ac:dyDescent="0.25">
      <c r="A110" s="1846"/>
      <c r="B110" s="493"/>
      <c r="C110" s="494"/>
      <c r="D110" s="495"/>
      <c r="E110" s="496"/>
      <c r="F110" s="1847"/>
      <c r="L110" s="421"/>
      <c r="M110" s="421"/>
    </row>
    <row r="111" spans="1:13" s="422" customFormat="1" ht="15" customHeight="1" x14ac:dyDescent="0.25">
      <c r="A111" s="1846"/>
      <c r="B111" s="493"/>
      <c r="C111" s="494"/>
      <c r="D111" s="495"/>
      <c r="E111" s="496"/>
      <c r="F111" s="1847"/>
      <c r="L111" s="421"/>
      <c r="M111" s="421"/>
    </row>
    <row r="112" spans="1:13" s="422" customFormat="1" ht="15" customHeight="1" x14ac:dyDescent="0.25">
      <c r="A112" s="1846"/>
      <c r="B112" s="493"/>
      <c r="C112" s="494"/>
      <c r="D112" s="495"/>
      <c r="E112" s="496"/>
      <c r="F112" s="1847"/>
      <c r="L112" s="421"/>
      <c r="M112" s="421"/>
    </row>
    <row r="113" spans="1:13" s="422" customFormat="1" ht="15" customHeight="1" x14ac:dyDescent="0.25">
      <c r="A113" s="1846"/>
      <c r="B113" s="493"/>
      <c r="C113" s="494"/>
      <c r="D113" s="495"/>
      <c r="E113" s="496"/>
      <c r="F113" s="1847"/>
      <c r="L113" s="421"/>
      <c r="M113" s="421"/>
    </row>
    <row r="114" spans="1:13" s="422" customFormat="1" ht="15" customHeight="1" x14ac:dyDescent="0.25">
      <c r="A114" s="1846"/>
      <c r="B114" s="493"/>
      <c r="C114" s="494"/>
      <c r="D114" s="495"/>
      <c r="E114" s="496"/>
      <c r="F114" s="1847"/>
      <c r="L114" s="421"/>
      <c r="M114" s="421"/>
    </row>
    <row r="115" spans="1:13" s="422" customFormat="1" ht="15" customHeight="1" x14ac:dyDescent="0.25">
      <c r="A115" s="1846"/>
      <c r="B115" s="493"/>
      <c r="C115" s="494"/>
      <c r="D115" s="495"/>
      <c r="E115" s="496"/>
      <c r="F115" s="1847"/>
      <c r="L115" s="421"/>
      <c r="M115" s="421"/>
    </row>
    <row r="116" spans="1:13" s="422" customFormat="1" ht="15" customHeight="1" x14ac:dyDescent="0.25">
      <c r="A116" s="1846"/>
      <c r="B116" s="493"/>
      <c r="C116" s="494"/>
      <c r="D116" s="495"/>
      <c r="E116" s="496"/>
      <c r="F116" s="1847"/>
      <c r="L116" s="421"/>
      <c r="M116" s="421"/>
    </row>
    <row r="117" spans="1:13" s="422" customFormat="1" ht="15" customHeight="1" x14ac:dyDescent="0.25">
      <c r="A117" s="1846"/>
      <c r="B117" s="493"/>
      <c r="C117" s="494"/>
      <c r="D117" s="495"/>
      <c r="E117" s="496"/>
      <c r="F117" s="1847"/>
      <c r="L117" s="421"/>
      <c r="M117" s="421"/>
    </row>
    <row r="118" spans="1:13" s="422" customFormat="1" ht="15" customHeight="1" x14ac:dyDescent="0.25">
      <c r="A118" s="1846"/>
      <c r="B118" s="493"/>
      <c r="C118" s="494"/>
      <c r="D118" s="495"/>
      <c r="E118" s="496"/>
      <c r="F118" s="1847"/>
      <c r="L118" s="421"/>
      <c r="M118" s="421"/>
    </row>
    <row r="119" spans="1:13" s="422" customFormat="1" ht="15" customHeight="1" x14ac:dyDescent="0.25">
      <c r="A119" s="1846"/>
      <c r="B119" s="493"/>
      <c r="C119" s="494"/>
      <c r="D119" s="495"/>
      <c r="E119" s="496"/>
      <c r="F119" s="1847"/>
      <c r="L119" s="421"/>
      <c r="M119" s="421"/>
    </row>
    <row r="120" spans="1:13" s="422" customFormat="1" ht="15" customHeight="1" x14ac:dyDescent="0.25">
      <c r="A120" s="1846"/>
      <c r="B120" s="493"/>
      <c r="C120" s="494"/>
      <c r="D120" s="495"/>
      <c r="E120" s="496"/>
      <c r="F120" s="1847"/>
      <c r="L120" s="421"/>
      <c r="M120" s="421"/>
    </row>
    <row r="121" spans="1:13" s="422" customFormat="1" ht="15" customHeight="1" x14ac:dyDescent="0.25">
      <c r="A121" s="1846"/>
      <c r="B121" s="493"/>
      <c r="C121" s="494"/>
      <c r="D121" s="495"/>
      <c r="E121" s="496"/>
      <c r="F121" s="1847"/>
      <c r="L121" s="421"/>
      <c r="M121" s="421"/>
    </row>
    <row r="122" spans="1:13" s="422" customFormat="1" ht="15" customHeight="1" x14ac:dyDescent="0.25">
      <c r="A122" s="1846"/>
      <c r="B122" s="493"/>
      <c r="C122" s="494"/>
      <c r="D122" s="495"/>
      <c r="E122" s="496"/>
      <c r="F122" s="1847"/>
      <c r="L122" s="421"/>
      <c r="M122" s="421"/>
    </row>
    <row r="123" spans="1:13" s="422" customFormat="1" ht="15" customHeight="1" x14ac:dyDescent="0.25">
      <c r="A123" s="1846"/>
      <c r="B123" s="493"/>
      <c r="C123" s="494"/>
      <c r="D123" s="495"/>
      <c r="E123" s="496"/>
      <c r="F123" s="1847"/>
      <c r="L123" s="421"/>
      <c r="M123" s="421"/>
    </row>
    <row r="124" spans="1:13" s="422" customFormat="1" ht="15" customHeight="1" x14ac:dyDescent="0.25">
      <c r="A124" s="1846"/>
      <c r="B124" s="493"/>
      <c r="C124" s="494"/>
      <c r="D124" s="495"/>
      <c r="E124" s="496"/>
      <c r="F124" s="1847"/>
      <c r="L124" s="421"/>
      <c r="M124" s="421"/>
    </row>
    <row r="125" spans="1:13" s="422" customFormat="1" ht="15" customHeight="1" x14ac:dyDescent="0.25">
      <c r="A125" s="1846"/>
      <c r="B125" s="493"/>
      <c r="C125" s="494"/>
      <c r="D125" s="495"/>
      <c r="E125" s="496"/>
      <c r="F125" s="1847"/>
      <c r="L125" s="421"/>
      <c r="M125" s="421"/>
    </row>
    <row r="126" spans="1:13" s="422" customFormat="1" ht="15" customHeight="1" x14ac:dyDescent="0.25">
      <c r="A126" s="1846"/>
      <c r="B126" s="493"/>
      <c r="C126" s="494"/>
      <c r="D126" s="495"/>
      <c r="E126" s="496"/>
      <c r="F126" s="1847"/>
      <c r="L126" s="421"/>
      <c r="M126" s="421"/>
    </row>
    <row r="127" spans="1:13" s="422" customFormat="1" ht="15" customHeight="1" x14ac:dyDescent="0.25">
      <c r="A127" s="1846"/>
      <c r="B127" s="493"/>
      <c r="C127" s="494"/>
      <c r="D127" s="495"/>
      <c r="E127" s="496"/>
      <c r="F127" s="1847"/>
      <c r="L127" s="421"/>
      <c r="M127" s="421"/>
    </row>
    <row r="128" spans="1:13" s="422" customFormat="1" ht="15" customHeight="1" x14ac:dyDescent="0.25">
      <c r="A128" s="1846"/>
      <c r="B128" s="493"/>
      <c r="C128" s="494"/>
      <c r="D128" s="495"/>
      <c r="E128" s="496"/>
      <c r="F128" s="1847"/>
      <c r="L128" s="421"/>
      <c r="M128" s="421"/>
    </row>
    <row r="129" spans="1:13" s="422" customFormat="1" ht="15" customHeight="1" x14ac:dyDescent="0.25">
      <c r="A129" s="1846"/>
      <c r="B129" s="493"/>
      <c r="C129" s="494"/>
      <c r="D129" s="495"/>
      <c r="E129" s="496"/>
      <c r="F129" s="1847"/>
      <c r="L129" s="421"/>
      <c r="M129" s="421"/>
    </row>
    <row r="130" spans="1:13" s="422" customFormat="1" ht="15" customHeight="1" x14ac:dyDescent="0.25">
      <c r="A130" s="1846"/>
      <c r="B130" s="493"/>
      <c r="C130" s="494"/>
      <c r="D130" s="495"/>
      <c r="E130" s="496"/>
      <c r="F130" s="1847"/>
      <c r="L130" s="421"/>
      <c r="M130" s="421"/>
    </row>
    <row r="131" spans="1:13" s="422" customFormat="1" ht="15" customHeight="1" x14ac:dyDescent="0.25">
      <c r="A131" s="1846"/>
      <c r="B131" s="493"/>
      <c r="C131" s="494"/>
      <c r="D131" s="495"/>
      <c r="E131" s="496"/>
      <c r="F131" s="1847"/>
      <c r="L131" s="421"/>
      <c r="M131" s="421"/>
    </row>
    <row r="132" spans="1:13" s="422" customFormat="1" ht="15" customHeight="1" x14ac:dyDescent="0.25">
      <c r="A132" s="1846"/>
      <c r="B132" s="493"/>
      <c r="C132" s="494"/>
      <c r="D132" s="495"/>
      <c r="E132" s="496"/>
      <c r="F132" s="1847"/>
      <c r="L132" s="421"/>
      <c r="M132" s="421"/>
    </row>
    <row r="133" spans="1:13" s="422" customFormat="1" ht="15" customHeight="1" x14ac:dyDescent="0.25">
      <c r="A133" s="1846"/>
      <c r="B133" s="493"/>
      <c r="C133" s="494"/>
      <c r="D133" s="495"/>
      <c r="E133" s="496"/>
      <c r="F133" s="1847"/>
      <c r="L133" s="421"/>
      <c r="M133" s="421"/>
    </row>
    <row r="134" spans="1:13" s="422" customFormat="1" ht="15" customHeight="1" x14ac:dyDescent="0.25">
      <c r="A134" s="1846"/>
      <c r="B134" s="493"/>
      <c r="C134" s="494"/>
      <c r="D134" s="495"/>
      <c r="E134" s="496"/>
      <c r="F134" s="1847"/>
      <c r="L134" s="421"/>
      <c r="M134" s="421"/>
    </row>
    <row r="135" spans="1:13" s="422" customFormat="1" ht="15" customHeight="1" x14ac:dyDescent="0.25">
      <c r="A135" s="1846"/>
      <c r="B135" s="493"/>
      <c r="C135" s="494"/>
      <c r="D135" s="495"/>
      <c r="E135" s="496"/>
      <c r="F135" s="1847"/>
      <c r="L135" s="421"/>
      <c r="M135" s="421"/>
    </row>
    <row r="136" spans="1:13" s="422" customFormat="1" ht="15" customHeight="1" x14ac:dyDescent="0.25">
      <c r="A136" s="1846"/>
      <c r="B136" s="493"/>
      <c r="C136" s="494"/>
      <c r="D136" s="495"/>
      <c r="E136" s="496"/>
      <c r="F136" s="1847"/>
      <c r="L136" s="421"/>
      <c r="M136" s="421"/>
    </row>
    <row r="137" spans="1:13" s="422" customFormat="1" ht="15" customHeight="1" x14ac:dyDescent="0.25">
      <c r="A137" s="1846"/>
      <c r="B137" s="493"/>
      <c r="C137" s="494"/>
      <c r="D137" s="495"/>
      <c r="E137" s="496"/>
      <c r="F137" s="1847"/>
      <c r="L137" s="421"/>
      <c r="M137" s="421"/>
    </row>
    <row r="138" spans="1:13" s="422" customFormat="1" ht="15" customHeight="1" x14ac:dyDescent="0.25">
      <c r="A138" s="1846"/>
      <c r="B138" s="493"/>
      <c r="C138" s="494"/>
      <c r="D138" s="495"/>
      <c r="E138" s="496"/>
      <c r="F138" s="1847"/>
      <c r="L138" s="421"/>
      <c r="M138" s="421"/>
    </row>
    <row r="139" spans="1:13" s="422" customFormat="1" ht="15" customHeight="1" x14ac:dyDescent="0.25">
      <c r="A139" s="1846"/>
      <c r="B139" s="493"/>
      <c r="C139" s="494"/>
      <c r="D139" s="495"/>
      <c r="E139" s="496"/>
      <c r="F139" s="1847"/>
      <c r="L139" s="421"/>
      <c r="M139" s="421"/>
    </row>
    <row r="140" spans="1:13" s="422" customFormat="1" ht="15" customHeight="1" x14ac:dyDescent="0.25">
      <c r="A140" s="1846"/>
      <c r="B140" s="493"/>
      <c r="C140" s="494"/>
      <c r="D140" s="495"/>
      <c r="E140" s="496"/>
      <c r="F140" s="1847"/>
      <c r="L140" s="421"/>
      <c r="M140" s="421"/>
    </row>
    <row r="141" spans="1:13" s="422" customFormat="1" ht="15" customHeight="1" x14ac:dyDescent="0.25">
      <c r="A141" s="1846"/>
      <c r="B141" s="493"/>
      <c r="C141" s="494"/>
      <c r="D141" s="495"/>
      <c r="E141" s="496"/>
      <c r="F141" s="1847"/>
      <c r="L141" s="421"/>
      <c r="M141" s="421"/>
    </row>
    <row r="142" spans="1:13" s="422" customFormat="1" ht="15" customHeight="1" x14ac:dyDescent="0.25">
      <c r="A142" s="1846"/>
      <c r="B142" s="493"/>
      <c r="C142" s="494"/>
      <c r="D142" s="495"/>
      <c r="E142" s="496"/>
      <c r="F142" s="1847"/>
      <c r="L142" s="421"/>
      <c r="M142" s="421"/>
    </row>
    <row r="143" spans="1:13" s="422" customFormat="1" ht="15" customHeight="1" x14ac:dyDescent="0.25">
      <c r="A143" s="1846"/>
      <c r="B143" s="493"/>
      <c r="C143" s="494"/>
      <c r="D143" s="495"/>
      <c r="E143" s="496"/>
      <c r="F143" s="1847"/>
      <c r="L143" s="421"/>
      <c r="M143" s="421"/>
    </row>
    <row r="144" spans="1:13" s="401" customFormat="1" ht="15" customHeight="1" x14ac:dyDescent="0.25">
      <c r="A144" s="1848"/>
      <c r="B144" s="396"/>
      <c r="C144" s="397"/>
      <c r="D144" s="398"/>
      <c r="E144" s="399"/>
      <c r="F144" s="310"/>
      <c r="L144" s="402"/>
      <c r="M144" s="402"/>
    </row>
    <row r="145" spans="1:13" s="401" customFormat="1" ht="15" customHeight="1" x14ac:dyDescent="0.25">
      <c r="A145" s="1848"/>
      <c r="B145" s="396"/>
      <c r="C145" s="397"/>
      <c r="D145" s="398"/>
      <c r="E145" s="399"/>
      <c r="F145" s="310"/>
      <c r="L145" s="402"/>
      <c r="M145" s="402"/>
    </row>
    <row r="146" spans="1:13" s="401" customFormat="1" ht="15" customHeight="1" x14ac:dyDescent="0.25">
      <c r="A146" s="1848"/>
      <c r="B146" s="396"/>
      <c r="C146" s="397"/>
      <c r="D146" s="398"/>
      <c r="E146" s="399"/>
      <c r="F146" s="310"/>
      <c r="L146" s="402"/>
      <c r="M146" s="402"/>
    </row>
    <row r="147" spans="1:13" s="401" customFormat="1" ht="15" customHeight="1" x14ac:dyDescent="0.25">
      <c r="A147" s="1848"/>
      <c r="B147" s="396"/>
      <c r="C147" s="397"/>
      <c r="D147" s="398"/>
      <c r="E147" s="399"/>
      <c r="F147" s="310"/>
      <c r="L147" s="402"/>
      <c r="M147" s="402"/>
    </row>
    <row r="148" spans="1:13" s="401" customFormat="1" ht="15" customHeight="1" x14ac:dyDescent="0.25">
      <c r="A148" s="1848"/>
      <c r="B148" s="396"/>
      <c r="C148" s="397"/>
      <c r="D148" s="398"/>
      <c r="E148" s="399"/>
      <c r="F148" s="310"/>
      <c r="L148" s="402"/>
      <c r="M148" s="402"/>
    </row>
    <row r="149" spans="1:13" s="401" customFormat="1" ht="15" customHeight="1" x14ac:dyDescent="0.25">
      <c r="A149" s="1848"/>
      <c r="B149" s="396"/>
      <c r="C149" s="397"/>
      <c r="D149" s="398"/>
      <c r="E149" s="399"/>
      <c r="F149" s="310"/>
      <c r="L149" s="402"/>
      <c r="M149" s="402"/>
    </row>
    <row r="150" spans="1:13" s="401" customFormat="1" ht="15" customHeight="1" x14ac:dyDescent="0.25">
      <c r="A150" s="1848"/>
      <c r="B150" s="396"/>
      <c r="C150" s="397"/>
      <c r="D150" s="398"/>
      <c r="E150" s="399"/>
      <c r="F150" s="310"/>
      <c r="L150" s="402"/>
      <c r="M150" s="402"/>
    </row>
    <row r="151" spans="1:13" s="401" customFormat="1" ht="15" customHeight="1" x14ac:dyDescent="0.25">
      <c r="A151" s="1848"/>
      <c r="B151" s="396"/>
      <c r="C151" s="397"/>
      <c r="D151" s="398"/>
      <c r="E151" s="399"/>
      <c r="F151" s="310"/>
      <c r="L151" s="402"/>
      <c r="M151" s="402"/>
    </row>
    <row r="152" spans="1:13" s="401" customFormat="1" ht="15" customHeight="1" x14ac:dyDescent="0.25">
      <c r="A152" s="1848"/>
      <c r="B152" s="396"/>
      <c r="C152" s="397"/>
      <c r="D152" s="398"/>
      <c r="E152" s="399"/>
      <c r="F152" s="310"/>
      <c r="L152" s="402"/>
      <c r="M152" s="402"/>
    </row>
    <row r="153" spans="1:13" s="401" customFormat="1" ht="15" customHeight="1" x14ac:dyDescent="0.25">
      <c r="A153" s="1848"/>
      <c r="B153" s="396"/>
      <c r="C153" s="397"/>
      <c r="D153" s="398"/>
      <c r="E153" s="399"/>
      <c r="F153" s="310"/>
      <c r="L153" s="402"/>
      <c r="M153" s="402"/>
    </row>
    <row r="154" spans="1:13" s="401" customFormat="1" ht="15" customHeight="1" x14ac:dyDescent="0.25">
      <c r="A154" s="1848"/>
      <c r="B154" s="396"/>
      <c r="C154" s="397"/>
      <c r="D154" s="398"/>
      <c r="E154" s="399"/>
      <c r="F154" s="310"/>
      <c r="L154" s="402"/>
      <c r="M154" s="402"/>
    </row>
    <row r="155" spans="1:13" s="401" customFormat="1" ht="15" customHeight="1" x14ac:dyDescent="0.25">
      <c r="A155" s="1848"/>
      <c r="B155" s="396"/>
      <c r="C155" s="397"/>
      <c r="D155" s="398"/>
      <c r="E155" s="399"/>
      <c r="F155" s="310"/>
      <c r="L155" s="402"/>
      <c r="M155" s="402"/>
    </row>
    <row r="156" spans="1:13" s="401" customFormat="1" ht="15" customHeight="1" x14ac:dyDescent="0.25">
      <c r="A156" s="1848"/>
      <c r="B156" s="396"/>
      <c r="C156" s="397"/>
      <c r="D156" s="398"/>
      <c r="E156" s="399"/>
      <c r="F156" s="310"/>
      <c r="L156" s="402"/>
      <c r="M156" s="402"/>
    </row>
    <row r="157" spans="1:13" s="401" customFormat="1" ht="15" customHeight="1" x14ac:dyDescent="0.25">
      <c r="A157" s="1848"/>
      <c r="B157" s="396"/>
      <c r="C157" s="397"/>
      <c r="D157" s="398"/>
      <c r="E157" s="399"/>
      <c r="F157" s="310"/>
      <c r="L157" s="402"/>
      <c r="M157" s="402"/>
    </row>
    <row r="158" spans="1:13" s="401" customFormat="1" ht="15" customHeight="1" x14ac:dyDescent="0.25">
      <c r="A158" s="1848"/>
      <c r="B158" s="396"/>
      <c r="C158" s="397"/>
      <c r="D158" s="398"/>
      <c r="E158" s="399"/>
      <c r="F158" s="310"/>
      <c r="L158" s="402"/>
      <c r="M158" s="402"/>
    </row>
    <row r="159" spans="1:13" s="401" customFormat="1" ht="15" customHeight="1" x14ac:dyDescent="0.25">
      <c r="A159" s="1848"/>
      <c r="B159" s="396"/>
      <c r="C159" s="397"/>
      <c r="D159" s="398"/>
      <c r="E159" s="399"/>
      <c r="F159" s="310"/>
      <c r="L159" s="402"/>
      <c r="M159" s="402"/>
    </row>
    <row r="160" spans="1:13" s="401" customFormat="1" ht="15" customHeight="1" x14ac:dyDescent="0.25">
      <c r="A160" s="1848"/>
      <c r="B160" s="396"/>
      <c r="C160" s="397"/>
      <c r="D160" s="398"/>
      <c r="E160" s="399"/>
      <c r="F160" s="310"/>
      <c r="L160" s="402"/>
      <c r="M160" s="402"/>
    </row>
    <row r="161" spans="1:13" s="401" customFormat="1" ht="15" customHeight="1" x14ac:dyDescent="0.25">
      <c r="A161" s="1848"/>
      <c r="B161" s="396"/>
      <c r="C161" s="397"/>
      <c r="D161" s="398"/>
      <c r="E161" s="399"/>
      <c r="F161" s="310"/>
      <c r="L161" s="402"/>
      <c r="M161" s="402"/>
    </row>
    <row r="162" spans="1:13" s="401" customFormat="1" ht="15" customHeight="1" x14ac:dyDescent="0.25">
      <c r="A162" s="1848"/>
      <c r="B162" s="396"/>
      <c r="C162" s="397"/>
      <c r="D162" s="398"/>
      <c r="E162" s="399"/>
      <c r="F162" s="310"/>
      <c r="L162" s="402"/>
      <c r="M162" s="402"/>
    </row>
    <row r="163" spans="1:13" s="401" customFormat="1" ht="15" customHeight="1" x14ac:dyDescent="0.25">
      <c r="A163" s="1848"/>
      <c r="B163" s="396"/>
      <c r="C163" s="397"/>
      <c r="D163" s="398"/>
      <c r="E163" s="399"/>
      <c r="F163" s="310"/>
      <c r="L163" s="402"/>
      <c r="M163" s="402"/>
    </row>
    <row r="164" spans="1:13" s="401" customFormat="1" ht="15" customHeight="1" x14ac:dyDescent="0.25">
      <c r="A164" s="1848"/>
      <c r="B164" s="396"/>
      <c r="C164" s="397"/>
      <c r="D164" s="398"/>
      <c r="E164" s="399"/>
      <c r="F164" s="310"/>
      <c r="L164" s="402"/>
      <c r="M164" s="402"/>
    </row>
    <row r="165" spans="1:13" s="401" customFormat="1" ht="15" customHeight="1" x14ac:dyDescent="0.25">
      <c r="A165" s="1848"/>
      <c r="B165" s="396"/>
      <c r="C165" s="397"/>
      <c r="D165" s="398"/>
      <c r="E165" s="399"/>
      <c r="F165" s="310"/>
      <c r="L165" s="402"/>
      <c r="M165" s="402"/>
    </row>
    <row r="166" spans="1:13" s="401" customFormat="1" ht="15" customHeight="1" x14ac:dyDescent="0.25">
      <c r="A166" s="1848"/>
      <c r="B166" s="396"/>
      <c r="C166" s="397"/>
      <c r="D166" s="398"/>
      <c r="E166" s="399"/>
      <c r="F166" s="310"/>
      <c r="L166" s="402"/>
      <c r="M166" s="402"/>
    </row>
    <row r="167" spans="1:13" s="401" customFormat="1" ht="15" customHeight="1" x14ac:dyDescent="0.25">
      <c r="A167" s="1848"/>
      <c r="B167" s="396"/>
      <c r="C167" s="397"/>
      <c r="D167" s="398"/>
      <c r="E167" s="399"/>
      <c r="F167" s="310"/>
      <c r="L167" s="402"/>
      <c r="M167" s="402"/>
    </row>
    <row r="168" spans="1:13" s="401" customFormat="1" ht="15" customHeight="1" x14ac:dyDescent="0.25">
      <c r="A168" s="1848"/>
      <c r="B168" s="396"/>
      <c r="C168" s="397"/>
      <c r="D168" s="398"/>
      <c r="E168" s="399"/>
      <c r="F168" s="310"/>
      <c r="L168" s="402"/>
      <c r="M168" s="402"/>
    </row>
    <row r="169" spans="1:13" s="401" customFormat="1" ht="15" customHeight="1" x14ac:dyDescent="0.25">
      <c r="A169" s="1848"/>
      <c r="B169" s="396"/>
      <c r="C169" s="397"/>
      <c r="D169" s="398"/>
      <c r="E169" s="399"/>
      <c r="F169" s="310"/>
      <c r="L169" s="402"/>
      <c r="M169" s="402"/>
    </row>
    <row r="170" spans="1:13" s="401" customFormat="1" ht="15" customHeight="1" x14ac:dyDescent="0.25">
      <c r="A170" s="1848"/>
      <c r="B170" s="396"/>
      <c r="C170" s="397"/>
      <c r="D170" s="398"/>
      <c r="E170" s="399"/>
      <c r="F170" s="310"/>
      <c r="L170" s="402"/>
      <c r="M170" s="402"/>
    </row>
    <row r="171" spans="1:13" s="401" customFormat="1" ht="15" customHeight="1" x14ac:dyDescent="0.25">
      <c r="A171" s="1848"/>
      <c r="B171" s="396"/>
      <c r="C171" s="397"/>
      <c r="D171" s="398"/>
      <c r="E171" s="399"/>
      <c r="F171" s="310"/>
      <c r="L171" s="402"/>
      <c r="M171" s="402"/>
    </row>
    <row r="172" spans="1:13" s="401" customFormat="1" ht="15" customHeight="1" x14ac:dyDescent="0.25">
      <c r="A172" s="1848"/>
      <c r="B172" s="396"/>
      <c r="C172" s="397"/>
      <c r="D172" s="398"/>
      <c r="E172" s="399"/>
      <c r="F172" s="310"/>
      <c r="L172" s="402"/>
      <c r="M172" s="402"/>
    </row>
    <row r="173" spans="1:13" s="401" customFormat="1" ht="15" customHeight="1" x14ac:dyDescent="0.25">
      <c r="A173" s="1848"/>
      <c r="B173" s="396"/>
      <c r="C173" s="397"/>
      <c r="D173" s="398"/>
      <c r="E173" s="399"/>
      <c r="F173" s="310"/>
      <c r="L173" s="402"/>
      <c r="M173" s="402"/>
    </row>
    <row r="174" spans="1:13" s="401" customFormat="1" ht="15" customHeight="1" x14ac:dyDescent="0.25">
      <c r="A174" s="1848"/>
      <c r="B174" s="396"/>
      <c r="C174" s="397"/>
      <c r="D174" s="398"/>
      <c r="E174" s="399"/>
      <c r="F174" s="310"/>
      <c r="L174" s="402"/>
      <c r="M174" s="402"/>
    </row>
    <row r="175" spans="1:13" s="401" customFormat="1" ht="15" customHeight="1" x14ac:dyDescent="0.25">
      <c r="A175" s="1848"/>
      <c r="B175" s="396"/>
      <c r="C175" s="397"/>
      <c r="D175" s="398"/>
      <c r="E175" s="399"/>
      <c r="F175" s="310"/>
      <c r="L175" s="402"/>
      <c r="M175" s="402"/>
    </row>
    <row r="176" spans="1:13" s="401" customFormat="1" ht="15" customHeight="1" x14ac:dyDescent="0.25">
      <c r="A176" s="1848"/>
      <c r="B176" s="396"/>
      <c r="C176" s="397"/>
      <c r="D176" s="398"/>
      <c r="E176" s="399"/>
      <c r="F176" s="310"/>
      <c r="L176" s="402"/>
      <c r="M176" s="402"/>
    </row>
    <row r="177" spans="1:13" s="401" customFormat="1" ht="15" customHeight="1" x14ac:dyDescent="0.25">
      <c r="A177" s="1848"/>
      <c r="B177" s="396"/>
      <c r="C177" s="397"/>
      <c r="D177" s="398"/>
      <c r="E177" s="399"/>
      <c r="F177" s="310"/>
      <c r="L177" s="402"/>
      <c r="M177" s="402"/>
    </row>
    <row r="178" spans="1:13" s="401" customFormat="1" ht="15" customHeight="1" x14ac:dyDescent="0.25">
      <c r="A178" s="1848"/>
      <c r="B178" s="396"/>
      <c r="C178" s="397"/>
      <c r="D178" s="398"/>
      <c r="E178" s="399"/>
      <c r="F178" s="310"/>
      <c r="L178" s="402"/>
      <c r="M178" s="402"/>
    </row>
    <row r="179" spans="1:13" s="401" customFormat="1" ht="15" customHeight="1" x14ac:dyDescent="0.25">
      <c r="A179" s="1848"/>
      <c r="B179" s="396"/>
      <c r="C179" s="397"/>
      <c r="D179" s="398"/>
      <c r="E179" s="399"/>
      <c r="F179" s="310"/>
      <c r="L179" s="402"/>
      <c r="M179" s="402"/>
    </row>
    <row r="180" spans="1:13" s="401" customFormat="1" ht="15" customHeight="1" x14ac:dyDescent="0.25">
      <c r="A180" s="1848"/>
      <c r="B180" s="396"/>
      <c r="C180" s="397"/>
      <c r="D180" s="398"/>
      <c r="E180" s="399"/>
      <c r="F180" s="310"/>
      <c r="L180" s="402"/>
      <c r="M180" s="402"/>
    </row>
    <row r="181" spans="1:13" s="401" customFormat="1" ht="15" customHeight="1" x14ac:dyDescent="0.25">
      <c r="A181" s="1848"/>
      <c r="B181" s="396"/>
      <c r="C181" s="397"/>
      <c r="D181" s="398"/>
      <c r="E181" s="399"/>
      <c r="F181" s="310"/>
      <c r="L181" s="402"/>
      <c r="M181" s="402"/>
    </row>
    <row r="182" spans="1:13" s="401" customFormat="1" ht="15" customHeight="1" x14ac:dyDescent="0.25">
      <c r="A182" s="1848"/>
      <c r="B182" s="396"/>
      <c r="C182" s="397"/>
      <c r="D182" s="398"/>
      <c r="E182" s="399"/>
      <c r="F182" s="310"/>
      <c r="L182" s="402"/>
      <c r="M182" s="402"/>
    </row>
    <row r="183" spans="1:13" s="401" customFormat="1" ht="15" customHeight="1" x14ac:dyDescent="0.25">
      <c r="A183" s="1848"/>
      <c r="B183" s="396"/>
      <c r="C183" s="397"/>
      <c r="D183" s="398"/>
      <c r="E183" s="399"/>
      <c r="F183" s="310"/>
      <c r="L183" s="402"/>
      <c r="M183" s="402"/>
    </row>
    <row r="184" spans="1:13" s="401" customFormat="1" ht="15" customHeight="1" x14ac:dyDescent="0.25">
      <c r="A184" s="1848"/>
      <c r="B184" s="396"/>
      <c r="C184" s="397"/>
      <c r="D184" s="398"/>
      <c r="E184" s="399"/>
      <c r="F184" s="310"/>
      <c r="L184" s="402"/>
      <c r="M184" s="402"/>
    </row>
    <row r="185" spans="1:13" s="401" customFormat="1" ht="15" customHeight="1" x14ac:dyDescent="0.25">
      <c r="A185" s="1848"/>
      <c r="B185" s="396"/>
      <c r="C185" s="397"/>
      <c r="D185" s="398"/>
      <c r="E185" s="399"/>
      <c r="F185" s="310"/>
      <c r="L185" s="402"/>
      <c r="M185" s="402"/>
    </row>
    <row r="186" spans="1:13" s="401" customFormat="1" ht="15" customHeight="1" x14ac:dyDescent="0.25">
      <c r="A186" s="1848"/>
      <c r="B186" s="396"/>
      <c r="C186" s="397"/>
      <c r="D186" s="398"/>
      <c r="E186" s="399"/>
      <c r="F186" s="310"/>
      <c r="L186" s="402"/>
      <c r="M186" s="402"/>
    </row>
    <row r="187" spans="1:13" s="401" customFormat="1" ht="15" customHeight="1" x14ac:dyDescent="0.25">
      <c r="A187" s="1848"/>
      <c r="B187" s="396"/>
      <c r="C187" s="397"/>
      <c r="D187" s="398"/>
      <c r="E187" s="399"/>
      <c r="F187" s="310"/>
      <c r="L187" s="402"/>
      <c r="M187" s="402"/>
    </row>
    <row r="188" spans="1:13" s="401" customFormat="1" ht="15" customHeight="1" x14ac:dyDescent="0.25">
      <c r="A188" s="1848"/>
      <c r="B188" s="396"/>
      <c r="C188" s="397"/>
      <c r="D188" s="398"/>
      <c r="E188" s="399"/>
      <c r="F188" s="310"/>
      <c r="L188" s="402"/>
      <c r="M188" s="402"/>
    </row>
    <row r="189" spans="1:13" s="401" customFormat="1" ht="15" customHeight="1" x14ac:dyDescent="0.25">
      <c r="A189" s="1848"/>
      <c r="B189" s="396"/>
      <c r="C189" s="397"/>
      <c r="D189" s="398"/>
      <c r="E189" s="399"/>
      <c r="F189" s="310"/>
      <c r="L189" s="402"/>
      <c r="M189" s="402"/>
    </row>
    <row r="190" spans="1:13" s="401" customFormat="1" ht="15" customHeight="1" x14ac:dyDescent="0.25">
      <c r="A190" s="1848"/>
      <c r="B190" s="396"/>
      <c r="C190" s="397"/>
      <c r="D190" s="398"/>
      <c r="E190" s="399"/>
      <c r="F190" s="310"/>
      <c r="L190" s="402"/>
      <c r="M190" s="402"/>
    </row>
    <row r="191" spans="1:13" s="401" customFormat="1" ht="15" customHeight="1" x14ac:dyDescent="0.25">
      <c r="A191" s="1848"/>
      <c r="B191" s="396"/>
      <c r="C191" s="397"/>
      <c r="D191" s="398"/>
      <c r="E191" s="399"/>
      <c r="F191" s="310"/>
      <c r="L191" s="402"/>
      <c r="M191" s="402"/>
    </row>
    <row r="192" spans="1:13" s="401" customFormat="1" ht="15" customHeight="1" x14ac:dyDescent="0.25">
      <c r="A192" s="1848"/>
      <c r="B192" s="396"/>
      <c r="C192" s="397"/>
      <c r="D192" s="398"/>
      <c r="E192" s="399"/>
      <c r="F192" s="310"/>
      <c r="L192" s="402"/>
      <c r="M192" s="402"/>
    </row>
    <row r="193" spans="1:13" s="401" customFormat="1" ht="15" customHeight="1" x14ac:dyDescent="0.25">
      <c r="A193" s="1848"/>
      <c r="B193" s="396"/>
      <c r="C193" s="397"/>
      <c r="D193" s="398"/>
      <c r="E193" s="399"/>
      <c r="F193" s="310"/>
      <c r="L193" s="402"/>
      <c r="M193" s="402"/>
    </row>
    <row r="194" spans="1:13" s="401" customFormat="1" ht="15" customHeight="1" x14ac:dyDescent="0.25">
      <c r="A194" s="1848"/>
      <c r="B194" s="396"/>
      <c r="C194" s="397"/>
      <c r="D194" s="398"/>
      <c r="E194" s="399"/>
      <c r="F194" s="310"/>
      <c r="L194" s="402"/>
      <c r="M194" s="402"/>
    </row>
    <row r="195" spans="1:13" s="401" customFormat="1" ht="15" customHeight="1" x14ac:dyDescent="0.25">
      <c r="A195" s="1848"/>
      <c r="B195" s="396"/>
      <c r="C195" s="397"/>
      <c r="D195" s="398"/>
      <c r="E195" s="399"/>
      <c r="F195" s="310"/>
      <c r="L195" s="402"/>
      <c r="M195" s="402"/>
    </row>
    <row r="196" spans="1:13" s="401" customFormat="1" ht="15" customHeight="1" x14ac:dyDescent="0.25">
      <c r="A196" s="1848"/>
      <c r="B196" s="396"/>
      <c r="C196" s="397"/>
      <c r="D196" s="398"/>
      <c r="E196" s="399"/>
      <c r="F196" s="310"/>
      <c r="L196" s="402"/>
      <c r="M196" s="402"/>
    </row>
    <row r="197" spans="1:13" s="401" customFormat="1" ht="15" customHeight="1" x14ac:dyDescent="0.25">
      <c r="A197" s="1848"/>
      <c r="B197" s="396"/>
      <c r="C197" s="397"/>
      <c r="D197" s="398"/>
      <c r="E197" s="399"/>
      <c r="F197" s="310"/>
      <c r="L197" s="402"/>
      <c r="M197" s="402"/>
    </row>
    <row r="198" spans="1:13" s="401" customFormat="1" ht="15" customHeight="1" x14ac:dyDescent="0.25">
      <c r="A198" s="1848"/>
      <c r="B198" s="396"/>
      <c r="C198" s="397"/>
      <c r="D198" s="398"/>
      <c r="E198" s="399"/>
      <c r="F198" s="310"/>
      <c r="L198" s="402"/>
      <c r="M198" s="402"/>
    </row>
    <row r="199" spans="1:13" s="401" customFormat="1" ht="15" customHeight="1" x14ac:dyDescent="0.25">
      <c r="A199" s="1848"/>
      <c r="B199" s="396"/>
      <c r="C199" s="397"/>
      <c r="D199" s="398"/>
      <c r="E199" s="399"/>
      <c r="F199" s="310"/>
      <c r="L199" s="402"/>
      <c r="M199" s="402"/>
    </row>
    <row r="200" spans="1:13" s="401" customFormat="1" ht="15" customHeight="1" x14ac:dyDescent="0.25">
      <c r="A200" s="1848"/>
      <c r="B200" s="396"/>
      <c r="C200" s="397"/>
      <c r="D200" s="398"/>
      <c r="E200" s="399"/>
      <c r="F200" s="310"/>
      <c r="L200" s="402"/>
      <c r="M200" s="402"/>
    </row>
    <row r="201" spans="1:13" s="401" customFormat="1" ht="15" customHeight="1" x14ac:dyDescent="0.25">
      <c r="A201" s="1848"/>
      <c r="B201" s="396"/>
      <c r="C201" s="397"/>
      <c r="D201" s="398"/>
      <c r="E201" s="399"/>
      <c r="F201" s="310"/>
      <c r="L201" s="402"/>
      <c r="M201" s="402"/>
    </row>
    <row r="202" spans="1:13" s="401" customFormat="1" ht="15" customHeight="1" x14ac:dyDescent="0.25">
      <c r="A202" s="1848"/>
      <c r="B202" s="396"/>
      <c r="C202" s="397"/>
      <c r="D202" s="398"/>
      <c r="E202" s="399"/>
      <c r="F202" s="310"/>
      <c r="L202" s="402"/>
      <c r="M202" s="402"/>
    </row>
    <row r="203" spans="1:13" s="401" customFormat="1" ht="15" customHeight="1" x14ac:dyDescent="0.25">
      <c r="A203" s="1848"/>
      <c r="B203" s="396"/>
      <c r="C203" s="397"/>
      <c r="D203" s="398"/>
      <c r="E203" s="399"/>
      <c r="F203" s="310"/>
      <c r="L203" s="402"/>
      <c r="M203" s="402"/>
    </row>
    <row r="204" spans="1:13" s="401" customFormat="1" ht="15" customHeight="1" x14ac:dyDescent="0.25">
      <c r="A204" s="1848"/>
      <c r="B204" s="396"/>
      <c r="C204" s="397"/>
      <c r="D204" s="398"/>
      <c r="E204" s="399"/>
      <c r="F204" s="310"/>
      <c r="L204" s="402"/>
      <c r="M204" s="402"/>
    </row>
    <row r="205" spans="1:13" s="401" customFormat="1" ht="15" customHeight="1" x14ac:dyDescent="0.25">
      <c r="A205" s="1848"/>
      <c r="B205" s="396"/>
      <c r="C205" s="397"/>
      <c r="D205" s="398"/>
      <c r="E205" s="399"/>
      <c r="F205" s="310"/>
      <c r="L205" s="402"/>
      <c r="M205" s="402"/>
    </row>
    <row r="206" spans="1:13" s="401" customFormat="1" ht="15" customHeight="1" x14ac:dyDescent="0.25">
      <c r="A206" s="1848"/>
      <c r="B206" s="396"/>
      <c r="C206" s="397"/>
      <c r="D206" s="398"/>
      <c r="E206" s="399"/>
      <c r="F206" s="310"/>
      <c r="L206" s="402"/>
      <c r="M206" s="402"/>
    </row>
    <row r="207" spans="1:13" s="401" customFormat="1" ht="15" customHeight="1" x14ac:dyDescent="0.25">
      <c r="A207" s="1848"/>
      <c r="B207" s="396"/>
      <c r="C207" s="397"/>
      <c r="D207" s="398"/>
      <c r="E207" s="399"/>
      <c r="F207" s="310"/>
      <c r="L207" s="402"/>
      <c r="M207" s="402"/>
    </row>
    <row r="208" spans="1:13" s="401" customFormat="1" ht="15" customHeight="1" x14ac:dyDescent="0.25">
      <c r="A208" s="1848"/>
      <c r="B208" s="396"/>
      <c r="C208" s="397"/>
      <c r="D208" s="398"/>
      <c r="E208" s="399"/>
      <c r="F208" s="310"/>
      <c r="L208" s="402"/>
      <c r="M208" s="402"/>
    </row>
    <row r="209" spans="1:13" s="401" customFormat="1" ht="15" customHeight="1" x14ac:dyDescent="0.25">
      <c r="A209" s="1848"/>
      <c r="B209" s="396"/>
      <c r="C209" s="397"/>
      <c r="D209" s="398"/>
      <c r="E209" s="399"/>
      <c r="F209" s="310"/>
      <c r="L209" s="402"/>
      <c r="M209" s="402"/>
    </row>
    <row r="210" spans="1:13" s="401" customFormat="1" ht="15" customHeight="1" x14ac:dyDescent="0.25">
      <c r="A210" s="1848"/>
      <c r="B210" s="396"/>
      <c r="C210" s="397"/>
      <c r="D210" s="398"/>
      <c r="E210" s="399"/>
      <c r="F210" s="310"/>
      <c r="L210" s="402"/>
      <c r="M210" s="402"/>
    </row>
    <row r="211" spans="1:13" s="401" customFormat="1" ht="15" customHeight="1" x14ac:dyDescent="0.25">
      <c r="A211" s="1848"/>
      <c r="B211" s="396"/>
      <c r="C211" s="397"/>
      <c r="D211" s="398"/>
      <c r="E211" s="399"/>
      <c r="F211" s="310"/>
      <c r="L211" s="402"/>
      <c r="M211" s="402"/>
    </row>
    <row r="212" spans="1:13" s="401" customFormat="1" ht="15" customHeight="1" x14ac:dyDescent="0.25">
      <c r="A212" s="1848"/>
      <c r="B212" s="396"/>
      <c r="C212" s="397"/>
      <c r="D212" s="398"/>
      <c r="E212" s="399"/>
      <c r="F212" s="310"/>
      <c r="L212" s="402"/>
      <c r="M212" s="402"/>
    </row>
    <row r="213" spans="1:13" s="401" customFormat="1" ht="15" customHeight="1" x14ac:dyDescent="0.25">
      <c r="A213" s="1848"/>
      <c r="B213" s="396"/>
      <c r="C213" s="397"/>
      <c r="D213" s="398"/>
      <c r="E213" s="399"/>
      <c r="F213" s="310"/>
      <c r="L213" s="402"/>
      <c r="M213" s="402"/>
    </row>
    <row r="214" spans="1:13" s="401" customFormat="1" ht="15" customHeight="1" x14ac:dyDescent="0.25">
      <c r="A214" s="1848"/>
      <c r="B214" s="396"/>
      <c r="C214" s="397"/>
      <c r="D214" s="398"/>
      <c r="E214" s="399"/>
      <c r="F214" s="310"/>
      <c r="L214" s="402"/>
      <c r="M214" s="402"/>
    </row>
    <row r="215" spans="1:13" s="401" customFormat="1" ht="15" customHeight="1" x14ac:dyDescent="0.25">
      <c r="A215" s="1848"/>
      <c r="B215" s="396"/>
      <c r="C215" s="397"/>
      <c r="D215" s="398"/>
      <c r="E215" s="399"/>
      <c r="F215" s="310"/>
      <c r="L215" s="402"/>
      <c r="M215" s="402"/>
    </row>
    <row r="216" spans="1:13" s="401" customFormat="1" ht="15" customHeight="1" x14ac:dyDescent="0.25">
      <c r="A216" s="1848"/>
      <c r="B216" s="396"/>
      <c r="C216" s="397"/>
      <c r="D216" s="398"/>
      <c r="E216" s="399"/>
      <c r="F216" s="310"/>
      <c r="L216" s="402"/>
      <c r="M216" s="402"/>
    </row>
    <row r="217" spans="1:13" s="401" customFormat="1" ht="15" customHeight="1" x14ac:dyDescent="0.25">
      <c r="A217" s="1848"/>
      <c r="B217" s="396"/>
      <c r="C217" s="397"/>
      <c r="D217" s="398"/>
      <c r="E217" s="399"/>
      <c r="F217" s="310"/>
      <c r="L217" s="402"/>
      <c r="M217" s="402"/>
    </row>
    <row r="218" spans="1:13" s="401" customFormat="1" ht="15" customHeight="1" x14ac:dyDescent="0.25">
      <c r="A218" s="1848"/>
      <c r="B218" s="396"/>
      <c r="C218" s="397"/>
      <c r="D218" s="398"/>
      <c r="E218" s="399"/>
      <c r="F218" s="310"/>
      <c r="L218" s="402"/>
      <c r="M218" s="402"/>
    </row>
    <row r="219" spans="1:13" s="401" customFormat="1" ht="15" customHeight="1" x14ac:dyDescent="0.25">
      <c r="A219" s="1848"/>
      <c r="B219" s="396"/>
      <c r="C219" s="397"/>
      <c r="D219" s="398"/>
      <c r="E219" s="399"/>
      <c r="F219" s="310"/>
      <c r="L219" s="402"/>
      <c r="M219" s="402"/>
    </row>
    <row r="220" spans="1:13" s="401" customFormat="1" ht="15" customHeight="1" x14ac:dyDescent="0.25">
      <c r="A220" s="1848"/>
      <c r="B220" s="396"/>
      <c r="C220" s="397"/>
      <c r="D220" s="398"/>
      <c r="E220" s="399"/>
      <c r="F220" s="310"/>
      <c r="L220" s="402"/>
      <c r="M220" s="402"/>
    </row>
    <row r="221" spans="1:13" s="401" customFormat="1" ht="15" customHeight="1" x14ac:dyDescent="0.25">
      <c r="A221" s="1848"/>
      <c r="B221" s="396"/>
      <c r="C221" s="397"/>
      <c r="D221" s="398"/>
      <c r="E221" s="399"/>
      <c r="F221" s="310"/>
      <c r="L221" s="402"/>
      <c r="M221" s="402"/>
    </row>
    <row r="222" spans="1:13" s="401" customFormat="1" ht="15" customHeight="1" x14ac:dyDescent="0.25">
      <c r="A222" s="1848"/>
      <c r="B222" s="396"/>
      <c r="C222" s="397"/>
      <c r="D222" s="398"/>
      <c r="E222" s="399"/>
      <c r="F222" s="310"/>
      <c r="L222" s="402"/>
      <c r="M222" s="402"/>
    </row>
    <row r="223" spans="1:13" s="401" customFormat="1" ht="15" customHeight="1" x14ac:dyDescent="0.25">
      <c r="A223" s="1848"/>
      <c r="B223" s="396"/>
      <c r="C223" s="397"/>
      <c r="D223" s="398"/>
      <c r="E223" s="399"/>
      <c r="F223" s="310"/>
      <c r="L223" s="402"/>
      <c r="M223" s="402"/>
    </row>
    <row r="224" spans="1:13" s="401" customFormat="1" ht="15" customHeight="1" x14ac:dyDescent="0.25">
      <c r="A224" s="1848"/>
      <c r="B224" s="396"/>
      <c r="C224" s="397"/>
      <c r="D224" s="398"/>
      <c r="E224" s="399"/>
      <c r="F224" s="310"/>
      <c r="L224" s="402"/>
      <c r="M224" s="402"/>
    </row>
    <row r="225" spans="1:13" s="401" customFormat="1" ht="15" customHeight="1" x14ac:dyDescent="0.25">
      <c r="A225" s="1848"/>
      <c r="B225" s="396"/>
      <c r="C225" s="397"/>
      <c r="D225" s="398"/>
      <c r="E225" s="399"/>
      <c r="F225" s="310"/>
      <c r="L225" s="402"/>
      <c r="M225" s="402"/>
    </row>
    <row r="226" spans="1:13" s="401" customFormat="1" ht="15" customHeight="1" x14ac:dyDescent="0.25">
      <c r="A226" s="1848"/>
      <c r="B226" s="396"/>
      <c r="C226" s="397"/>
      <c r="D226" s="398"/>
      <c r="E226" s="399"/>
      <c r="F226" s="310"/>
      <c r="L226" s="402"/>
      <c r="M226" s="402"/>
    </row>
    <row r="227" spans="1:13" s="401" customFormat="1" ht="15" customHeight="1" x14ac:dyDescent="0.25">
      <c r="A227" s="1848"/>
      <c r="B227" s="396"/>
      <c r="C227" s="397"/>
      <c r="D227" s="398"/>
      <c r="E227" s="399"/>
      <c r="F227" s="310"/>
      <c r="L227" s="402"/>
      <c r="M227" s="402"/>
    </row>
    <row r="228" spans="1:13" s="401" customFormat="1" ht="15" customHeight="1" x14ac:dyDescent="0.25">
      <c r="A228" s="1848"/>
      <c r="B228" s="396"/>
      <c r="C228" s="397"/>
      <c r="D228" s="398"/>
      <c r="E228" s="399"/>
      <c r="F228" s="310"/>
      <c r="L228" s="402"/>
      <c r="M228" s="402"/>
    </row>
    <row r="229" spans="1:13" s="401" customFormat="1" ht="15" customHeight="1" x14ac:dyDescent="0.25">
      <c r="A229" s="1848"/>
      <c r="B229" s="396"/>
      <c r="C229" s="397"/>
      <c r="D229" s="398"/>
      <c r="E229" s="399"/>
      <c r="F229" s="310"/>
      <c r="L229" s="402"/>
      <c r="M229" s="402"/>
    </row>
    <row r="230" spans="1:13" s="401" customFormat="1" ht="15" customHeight="1" x14ac:dyDescent="0.25">
      <c r="A230" s="1848"/>
      <c r="B230" s="396"/>
      <c r="C230" s="397"/>
      <c r="D230" s="398"/>
      <c r="E230" s="399"/>
      <c r="F230" s="310"/>
      <c r="L230" s="402"/>
      <c r="M230" s="402"/>
    </row>
    <row r="231" spans="1:13" s="401" customFormat="1" ht="15" customHeight="1" x14ac:dyDescent="0.25">
      <c r="A231" s="1848"/>
      <c r="B231" s="396"/>
      <c r="C231" s="397"/>
      <c r="D231" s="398"/>
      <c r="E231" s="399"/>
      <c r="F231" s="310"/>
      <c r="L231" s="402"/>
      <c r="M231" s="402"/>
    </row>
    <row r="232" spans="1:13" s="401" customFormat="1" ht="15" customHeight="1" x14ac:dyDescent="0.25">
      <c r="A232" s="1848"/>
      <c r="B232" s="396"/>
      <c r="C232" s="397"/>
      <c r="D232" s="398"/>
      <c r="E232" s="399"/>
      <c r="F232" s="310"/>
      <c r="L232" s="402"/>
      <c r="M232" s="402"/>
    </row>
    <row r="233" spans="1:13" s="401" customFormat="1" ht="15" customHeight="1" x14ac:dyDescent="0.25">
      <c r="A233" s="1848"/>
      <c r="B233" s="396"/>
      <c r="C233" s="397"/>
      <c r="D233" s="398"/>
      <c r="E233" s="399"/>
      <c r="F233" s="310"/>
      <c r="L233" s="402"/>
      <c r="M233" s="402"/>
    </row>
    <row r="234" spans="1:13" s="401" customFormat="1" ht="15" customHeight="1" x14ac:dyDescent="0.25">
      <c r="A234" s="1848"/>
      <c r="B234" s="396"/>
      <c r="C234" s="397"/>
      <c r="D234" s="398"/>
      <c r="E234" s="399"/>
      <c r="F234" s="310"/>
      <c r="L234" s="402"/>
      <c r="M234" s="402"/>
    </row>
    <row r="235" spans="1:13" s="401" customFormat="1" ht="15" customHeight="1" x14ac:dyDescent="0.25">
      <c r="A235" s="1848"/>
      <c r="B235" s="396"/>
      <c r="C235" s="397"/>
      <c r="D235" s="398"/>
      <c r="E235" s="399"/>
      <c r="F235" s="310"/>
      <c r="L235" s="402"/>
      <c r="M235" s="402"/>
    </row>
    <row r="236" spans="1:13" s="401" customFormat="1" ht="15" customHeight="1" x14ac:dyDescent="0.25">
      <c r="A236" s="1848"/>
      <c r="B236" s="396"/>
      <c r="C236" s="397"/>
      <c r="D236" s="398"/>
      <c r="E236" s="399"/>
      <c r="F236" s="310"/>
      <c r="L236" s="402"/>
      <c r="M236" s="402"/>
    </row>
    <row r="237" spans="1:13" s="401" customFormat="1" ht="15" customHeight="1" x14ac:dyDescent="0.25">
      <c r="A237" s="1848"/>
      <c r="B237" s="396"/>
      <c r="C237" s="397"/>
      <c r="D237" s="398"/>
      <c r="E237" s="399"/>
      <c r="F237" s="310"/>
      <c r="L237" s="402"/>
      <c r="M237" s="402"/>
    </row>
    <row r="238" spans="1:13" s="401" customFormat="1" ht="15" customHeight="1" x14ac:dyDescent="0.25">
      <c r="A238" s="1848"/>
      <c r="B238" s="396"/>
      <c r="C238" s="397"/>
      <c r="D238" s="398"/>
      <c r="E238" s="399"/>
      <c r="F238" s="310"/>
      <c r="L238" s="402"/>
      <c r="M238" s="402"/>
    </row>
    <row r="239" spans="1:13" s="401" customFormat="1" ht="15" customHeight="1" x14ac:dyDescent="0.25">
      <c r="A239" s="1848"/>
      <c r="B239" s="396"/>
      <c r="C239" s="397"/>
      <c r="D239" s="398"/>
      <c r="E239" s="399"/>
      <c r="F239" s="310"/>
      <c r="L239" s="402"/>
      <c r="M239" s="402"/>
    </row>
    <row r="240" spans="1:13" s="401" customFormat="1" ht="15" customHeight="1" x14ac:dyDescent="0.25">
      <c r="A240" s="1848"/>
      <c r="B240" s="396"/>
      <c r="C240" s="397"/>
      <c r="D240" s="398"/>
      <c r="E240" s="399"/>
      <c r="F240" s="310"/>
      <c r="L240" s="402"/>
      <c r="M240" s="402"/>
    </row>
    <row r="241" spans="1:13" s="401" customFormat="1" ht="15" customHeight="1" x14ac:dyDescent="0.25">
      <c r="A241" s="1848"/>
      <c r="B241" s="396"/>
      <c r="C241" s="397"/>
      <c r="D241" s="398"/>
      <c r="E241" s="399"/>
      <c r="F241" s="310"/>
      <c r="L241" s="402"/>
      <c r="M241" s="402"/>
    </row>
    <row r="242" spans="1:13" s="401" customFormat="1" ht="15" customHeight="1" x14ac:dyDescent="0.25">
      <c r="A242" s="1848"/>
      <c r="B242" s="396"/>
      <c r="C242" s="397"/>
      <c r="D242" s="398"/>
      <c r="E242" s="399"/>
      <c r="F242" s="310"/>
      <c r="L242" s="402"/>
      <c r="M242" s="402"/>
    </row>
    <row r="243" spans="1:13" s="401" customFormat="1" ht="15" customHeight="1" x14ac:dyDescent="0.25">
      <c r="A243" s="1848"/>
      <c r="B243" s="396"/>
      <c r="C243" s="397"/>
      <c r="D243" s="398"/>
      <c r="E243" s="399"/>
      <c r="F243" s="310"/>
      <c r="L243" s="402"/>
      <c r="M243" s="402"/>
    </row>
    <row r="244" spans="1:13" s="401" customFormat="1" ht="15" customHeight="1" x14ac:dyDescent="0.25">
      <c r="A244" s="1848"/>
      <c r="B244" s="396"/>
      <c r="C244" s="397"/>
      <c r="D244" s="398"/>
      <c r="E244" s="399"/>
      <c r="F244" s="310"/>
      <c r="L244" s="402"/>
      <c r="M244" s="402"/>
    </row>
    <row r="245" spans="1:13" s="401" customFormat="1" ht="15" customHeight="1" x14ac:dyDescent="0.25">
      <c r="A245" s="1848"/>
      <c r="B245" s="396"/>
      <c r="C245" s="397"/>
      <c r="D245" s="398"/>
      <c r="E245" s="399"/>
      <c r="F245" s="310"/>
      <c r="L245" s="402"/>
      <c r="M245" s="402"/>
    </row>
    <row r="246" spans="1:13" s="401" customFormat="1" ht="15" customHeight="1" x14ac:dyDescent="0.25">
      <c r="A246" s="1848"/>
      <c r="B246" s="396"/>
      <c r="C246" s="397"/>
      <c r="D246" s="398"/>
      <c r="E246" s="399"/>
      <c r="F246" s="310"/>
      <c r="L246" s="402"/>
      <c r="M246" s="402"/>
    </row>
    <row r="247" spans="1:13" s="401" customFormat="1" ht="15" customHeight="1" x14ac:dyDescent="0.25">
      <c r="A247" s="1848"/>
      <c r="B247" s="396"/>
      <c r="C247" s="397"/>
      <c r="D247" s="398"/>
      <c r="E247" s="399"/>
      <c r="F247" s="310"/>
      <c r="L247" s="402"/>
      <c r="M247" s="402"/>
    </row>
    <row r="248" spans="1:13" s="401" customFormat="1" ht="15" customHeight="1" x14ac:dyDescent="0.25">
      <c r="A248" s="1848"/>
      <c r="B248" s="396"/>
      <c r="C248" s="397"/>
      <c r="D248" s="398"/>
      <c r="E248" s="399"/>
      <c r="F248" s="310"/>
      <c r="L248" s="402"/>
      <c r="M248" s="402"/>
    </row>
    <row r="249" spans="1:13" s="401" customFormat="1" ht="15" customHeight="1" x14ac:dyDescent="0.25">
      <c r="A249" s="1848"/>
      <c r="B249" s="396"/>
      <c r="C249" s="397"/>
      <c r="D249" s="398"/>
      <c r="E249" s="399"/>
      <c r="F249" s="310"/>
      <c r="L249" s="402"/>
      <c r="M249" s="402"/>
    </row>
    <row r="250" spans="1:13" s="401" customFormat="1" ht="15" customHeight="1" x14ac:dyDescent="0.25">
      <c r="A250" s="1848"/>
      <c r="B250" s="396"/>
      <c r="C250" s="397"/>
      <c r="D250" s="398"/>
      <c r="E250" s="399"/>
      <c r="F250" s="310"/>
      <c r="L250" s="402"/>
      <c r="M250" s="402"/>
    </row>
    <row r="251" spans="1:13" s="401" customFormat="1" ht="15" customHeight="1" x14ac:dyDescent="0.25">
      <c r="A251" s="1848"/>
      <c r="B251" s="396"/>
      <c r="C251" s="397"/>
      <c r="D251" s="398"/>
      <c r="E251" s="399"/>
      <c r="F251" s="310"/>
      <c r="L251" s="402"/>
      <c r="M251" s="402"/>
    </row>
    <row r="252" spans="1:13" s="401" customFormat="1" ht="15" customHeight="1" x14ac:dyDescent="0.25">
      <c r="A252" s="1848"/>
      <c r="B252" s="396"/>
      <c r="C252" s="397"/>
      <c r="D252" s="398"/>
      <c r="E252" s="399"/>
      <c r="F252" s="310"/>
      <c r="L252" s="402"/>
      <c r="M252" s="402"/>
    </row>
    <row r="253" spans="1:13" s="401" customFormat="1" ht="15" customHeight="1" x14ac:dyDescent="0.25">
      <c r="A253" s="1848"/>
      <c r="B253" s="396"/>
      <c r="C253" s="397"/>
      <c r="D253" s="398"/>
      <c r="E253" s="399"/>
      <c r="F253" s="310"/>
      <c r="L253" s="402"/>
      <c r="M253" s="402"/>
    </row>
    <row r="254" spans="1:13" s="401" customFormat="1" ht="15" customHeight="1" x14ac:dyDescent="0.25">
      <c r="A254" s="1848"/>
      <c r="B254" s="396"/>
      <c r="C254" s="397"/>
      <c r="D254" s="398"/>
      <c r="E254" s="399"/>
      <c r="F254" s="310"/>
      <c r="L254" s="402"/>
      <c r="M254" s="402"/>
    </row>
    <row r="255" spans="1:13" s="401" customFormat="1" ht="15" customHeight="1" x14ac:dyDescent="0.25">
      <c r="A255" s="1848"/>
      <c r="B255" s="396"/>
      <c r="C255" s="397"/>
      <c r="D255" s="398"/>
      <c r="E255" s="399"/>
      <c r="F255" s="310"/>
      <c r="L255" s="402"/>
      <c r="M255" s="402"/>
    </row>
    <row r="256" spans="1:13" s="401" customFormat="1" ht="15" customHeight="1" x14ac:dyDescent="0.25">
      <c r="A256" s="1848"/>
      <c r="B256" s="396"/>
      <c r="C256" s="397"/>
      <c r="D256" s="398"/>
      <c r="E256" s="399"/>
      <c r="F256" s="310"/>
      <c r="L256" s="402"/>
      <c r="M256" s="402"/>
    </row>
    <row r="257" spans="1:13" s="401" customFormat="1" ht="15" customHeight="1" x14ac:dyDescent="0.25">
      <c r="A257" s="1848"/>
      <c r="B257" s="396"/>
      <c r="C257" s="397"/>
      <c r="D257" s="398"/>
      <c r="E257" s="399"/>
      <c r="F257" s="310"/>
      <c r="L257" s="402"/>
      <c r="M257" s="402"/>
    </row>
    <row r="258" spans="1:13" s="401" customFormat="1" ht="15" customHeight="1" x14ac:dyDescent="0.25">
      <c r="A258" s="1848"/>
      <c r="B258" s="396"/>
      <c r="C258" s="397"/>
      <c r="D258" s="398"/>
      <c r="E258" s="399"/>
      <c r="F258" s="310"/>
      <c r="L258" s="402"/>
      <c r="M258" s="402"/>
    </row>
    <row r="259" spans="1:13" s="401" customFormat="1" ht="15" customHeight="1" x14ac:dyDescent="0.25">
      <c r="A259" s="1848"/>
      <c r="B259" s="396"/>
      <c r="C259" s="397"/>
      <c r="D259" s="398"/>
      <c r="E259" s="399"/>
      <c r="F259" s="310"/>
      <c r="L259" s="402"/>
      <c r="M259" s="402"/>
    </row>
    <row r="260" spans="1:13" s="401" customFormat="1" ht="15" customHeight="1" x14ac:dyDescent="0.25">
      <c r="A260" s="1848"/>
      <c r="B260" s="396"/>
      <c r="C260" s="397"/>
      <c r="D260" s="398"/>
      <c r="E260" s="399"/>
      <c r="F260" s="310"/>
      <c r="L260" s="402"/>
      <c r="M260" s="402"/>
    </row>
    <row r="261" spans="1:13" s="401" customFormat="1" ht="15" customHeight="1" x14ac:dyDescent="0.25">
      <c r="A261" s="1848"/>
      <c r="B261" s="396"/>
      <c r="C261" s="397"/>
      <c r="D261" s="398"/>
      <c r="E261" s="399"/>
      <c r="F261" s="310"/>
      <c r="L261" s="402"/>
      <c r="M261" s="402"/>
    </row>
    <row r="262" spans="1:13" s="401" customFormat="1" ht="15" customHeight="1" x14ac:dyDescent="0.25">
      <c r="A262" s="1848"/>
      <c r="B262" s="396"/>
      <c r="C262" s="397"/>
      <c r="D262" s="398"/>
      <c r="E262" s="399"/>
      <c r="F262" s="310"/>
      <c r="L262" s="402"/>
      <c r="M262" s="402"/>
    </row>
    <row r="263" spans="1:13" s="401" customFormat="1" ht="15" customHeight="1" x14ac:dyDescent="0.25">
      <c r="A263" s="1848"/>
      <c r="B263" s="396"/>
      <c r="C263" s="397"/>
      <c r="D263" s="398"/>
      <c r="E263" s="399"/>
      <c r="F263" s="310"/>
      <c r="L263" s="402"/>
      <c r="M263" s="402"/>
    </row>
    <row r="264" spans="1:13" s="401" customFormat="1" ht="15" customHeight="1" x14ac:dyDescent="0.25">
      <c r="A264" s="1848"/>
      <c r="B264" s="396"/>
      <c r="C264" s="397"/>
      <c r="D264" s="398"/>
      <c r="E264" s="399"/>
      <c r="F264" s="310"/>
      <c r="L264" s="402"/>
      <c r="M264" s="402"/>
    </row>
    <row r="265" spans="1:13" s="401" customFormat="1" ht="15" customHeight="1" x14ac:dyDescent="0.25">
      <c r="A265" s="1848"/>
      <c r="B265" s="396"/>
      <c r="C265" s="397"/>
      <c r="D265" s="398"/>
      <c r="E265" s="399"/>
      <c r="F265" s="310"/>
      <c r="L265" s="402"/>
      <c r="M265" s="402"/>
    </row>
    <row r="266" spans="1:13" s="401" customFormat="1" ht="15" customHeight="1" x14ac:dyDescent="0.25">
      <c r="A266" s="1848"/>
      <c r="B266" s="396"/>
      <c r="C266" s="397"/>
      <c r="D266" s="398"/>
      <c r="E266" s="399"/>
      <c r="F266" s="310"/>
      <c r="L266" s="402"/>
      <c r="M266" s="402"/>
    </row>
    <row r="267" spans="1:13" s="401" customFormat="1" ht="15" customHeight="1" x14ac:dyDescent="0.25">
      <c r="A267" s="1848"/>
      <c r="B267" s="396"/>
      <c r="C267" s="397"/>
      <c r="D267" s="398"/>
      <c r="E267" s="399"/>
      <c r="F267" s="310"/>
      <c r="L267" s="402"/>
      <c r="M267" s="402"/>
    </row>
    <row r="268" spans="1:13" s="401" customFormat="1" ht="15" customHeight="1" x14ac:dyDescent="0.25">
      <c r="A268" s="1848"/>
      <c r="B268" s="396"/>
      <c r="C268" s="397"/>
      <c r="D268" s="398"/>
      <c r="E268" s="399"/>
      <c r="F268" s="310"/>
      <c r="L268" s="402"/>
      <c r="M268" s="402"/>
    </row>
    <row r="269" spans="1:13" s="401" customFormat="1" ht="15" customHeight="1" x14ac:dyDescent="0.25">
      <c r="A269" s="1848"/>
      <c r="B269" s="396"/>
      <c r="C269" s="397"/>
      <c r="D269" s="398"/>
      <c r="E269" s="399"/>
      <c r="F269" s="310"/>
      <c r="L269" s="402"/>
      <c r="M269" s="402"/>
    </row>
    <row r="270" spans="1:13" s="401" customFormat="1" ht="15" customHeight="1" x14ac:dyDescent="0.25">
      <c r="A270" s="1848"/>
      <c r="B270" s="396"/>
      <c r="C270" s="397"/>
      <c r="D270" s="398"/>
      <c r="E270" s="399"/>
      <c r="F270" s="310"/>
      <c r="L270" s="402"/>
      <c r="M270" s="402"/>
    </row>
    <row r="271" spans="1:13" s="401" customFormat="1" ht="15" customHeight="1" x14ac:dyDescent="0.25">
      <c r="A271" s="1848"/>
      <c r="B271" s="396"/>
      <c r="C271" s="397"/>
      <c r="D271" s="398"/>
      <c r="E271" s="399"/>
      <c r="F271" s="310"/>
      <c r="L271" s="402"/>
      <c r="M271" s="402"/>
    </row>
    <row r="272" spans="1:13" s="401" customFormat="1" ht="15" customHeight="1" x14ac:dyDescent="0.25">
      <c r="A272" s="1848"/>
      <c r="B272" s="396"/>
      <c r="C272" s="397"/>
      <c r="D272" s="398"/>
      <c r="E272" s="399"/>
      <c r="F272" s="310"/>
      <c r="L272" s="402"/>
      <c r="M272" s="402"/>
    </row>
    <row r="273" spans="1:13" s="401" customFormat="1" ht="15" customHeight="1" x14ac:dyDescent="0.25">
      <c r="A273" s="1848"/>
      <c r="B273" s="396"/>
      <c r="C273" s="397"/>
      <c r="D273" s="398"/>
      <c r="E273" s="399"/>
      <c r="F273" s="310"/>
      <c r="L273" s="402"/>
      <c r="M273" s="402"/>
    </row>
    <row r="274" spans="1:13" s="401" customFormat="1" ht="15" customHeight="1" x14ac:dyDescent="0.25">
      <c r="A274" s="1848"/>
      <c r="B274" s="396"/>
      <c r="C274" s="397"/>
      <c r="D274" s="398"/>
      <c r="E274" s="399"/>
      <c r="F274" s="310"/>
      <c r="L274" s="402"/>
      <c r="M274" s="402"/>
    </row>
    <row r="275" spans="1:13" s="401" customFormat="1" ht="15" customHeight="1" x14ac:dyDescent="0.25">
      <c r="A275" s="1848"/>
      <c r="B275" s="396"/>
      <c r="C275" s="397"/>
      <c r="D275" s="398"/>
      <c r="E275" s="399"/>
      <c r="F275" s="310"/>
      <c r="L275" s="402"/>
      <c r="M275" s="402"/>
    </row>
    <row r="276" spans="1:13" s="401" customFormat="1" ht="15" customHeight="1" x14ac:dyDescent="0.25">
      <c r="A276" s="1848"/>
      <c r="B276" s="396"/>
      <c r="C276" s="397"/>
      <c r="D276" s="398"/>
      <c r="E276" s="399"/>
      <c r="F276" s="310"/>
      <c r="L276" s="402"/>
      <c r="M276" s="402"/>
    </row>
    <row r="277" spans="1:13" s="401" customFormat="1" ht="15" customHeight="1" x14ac:dyDescent="0.25">
      <c r="A277" s="1848"/>
      <c r="B277" s="396"/>
      <c r="C277" s="397"/>
      <c r="D277" s="398"/>
      <c r="E277" s="399"/>
      <c r="F277" s="310"/>
      <c r="L277" s="402"/>
      <c r="M277" s="402"/>
    </row>
    <row r="278" spans="1:13" s="401" customFormat="1" ht="15" customHeight="1" x14ac:dyDescent="0.25">
      <c r="A278" s="1848"/>
      <c r="B278" s="396"/>
      <c r="C278" s="397"/>
      <c r="D278" s="398"/>
      <c r="E278" s="399"/>
      <c r="F278" s="310"/>
      <c r="L278" s="402"/>
      <c r="M278" s="402"/>
    </row>
    <row r="279" spans="1:13" s="401" customFormat="1" ht="15" customHeight="1" x14ac:dyDescent="0.25">
      <c r="A279" s="1848"/>
      <c r="B279" s="396"/>
      <c r="C279" s="397"/>
      <c r="D279" s="398"/>
      <c r="E279" s="399"/>
      <c r="F279" s="310"/>
      <c r="L279" s="402"/>
      <c r="M279" s="402"/>
    </row>
    <row r="280" spans="1:13" s="401" customFormat="1" ht="15" customHeight="1" x14ac:dyDescent="0.25">
      <c r="A280" s="1848"/>
      <c r="B280" s="396"/>
      <c r="C280" s="397"/>
      <c r="D280" s="398"/>
      <c r="E280" s="399"/>
      <c r="F280" s="310"/>
      <c r="L280" s="402"/>
      <c r="M280" s="402"/>
    </row>
    <row r="281" spans="1:13" s="401" customFormat="1" ht="15" customHeight="1" x14ac:dyDescent="0.25">
      <c r="A281" s="1848"/>
      <c r="B281" s="396"/>
      <c r="C281" s="397"/>
      <c r="D281" s="398"/>
      <c r="E281" s="399"/>
      <c r="F281" s="310"/>
      <c r="L281" s="402"/>
      <c r="M281" s="402"/>
    </row>
    <row r="282" spans="1:13" s="401" customFormat="1" ht="15" customHeight="1" x14ac:dyDescent="0.25">
      <c r="A282" s="1848"/>
      <c r="B282" s="396"/>
      <c r="C282" s="397"/>
      <c r="D282" s="398"/>
      <c r="E282" s="399"/>
      <c r="F282" s="310"/>
      <c r="L282" s="402"/>
      <c r="M282" s="402"/>
    </row>
    <row r="283" spans="1:13" s="401" customFormat="1" ht="15" customHeight="1" x14ac:dyDescent="0.25">
      <c r="A283" s="1848"/>
      <c r="B283" s="396"/>
      <c r="C283" s="397"/>
      <c r="D283" s="398"/>
      <c r="E283" s="399"/>
      <c r="F283" s="310"/>
      <c r="L283" s="402"/>
      <c r="M283" s="402"/>
    </row>
    <row r="284" spans="1:13" s="401" customFormat="1" ht="15" customHeight="1" x14ac:dyDescent="0.25">
      <c r="A284" s="1848"/>
      <c r="B284" s="396"/>
      <c r="C284" s="397"/>
      <c r="D284" s="398"/>
      <c r="E284" s="399"/>
      <c r="F284" s="310"/>
      <c r="L284" s="402"/>
      <c r="M284" s="402"/>
    </row>
    <row r="285" spans="1:13" s="401" customFormat="1" ht="15" customHeight="1" x14ac:dyDescent="0.25">
      <c r="A285" s="1848"/>
      <c r="B285" s="396"/>
      <c r="C285" s="397"/>
      <c r="D285" s="398"/>
      <c r="E285" s="399"/>
      <c r="F285" s="310"/>
      <c r="L285" s="402"/>
      <c r="M285" s="402"/>
    </row>
    <row r="286" spans="1:13" s="401" customFormat="1" ht="15" customHeight="1" x14ac:dyDescent="0.25">
      <c r="A286" s="1848"/>
      <c r="B286" s="396"/>
      <c r="C286" s="397"/>
      <c r="D286" s="398"/>
      <c r="E286" s="399"/>
      <c r="F286" s="310"/>
      <c r="L286" s="402"/>
      <c r="M286" s="402"/>
    </row>
    <row r="287" spans="1:13" s="401" customFormat="1" ht="15" customHeight="1" x14ac:dyDescent="0.25">
      <c r="A287" s="1848"/>
      <c r="B287" s="396"/>
      <c r="C287" s="397"/>
      <c r="D287" s="398"/>
      <c r="E287" s="399"/>
      <c r="F287" s="310"/>
      <c r="L287" s="402"/>
      <c r="M287" s="402"/>
    </row>
    <row r="288" spans="1:13" s="401" customFormat="1" ht="15" customHeight="1" x14ac:dyDescent="0.25">
      <c r="A288" s="1848"/>
      <c r="B288" s="396"/>
      <c r="C288" s="397"/>
      <c r="D288" s="398"/>
      <c r="E288" s="399"/>
      <c r="F288" s="310"/>
      <c r="L288" s="402"/>
      <c r="M288" s="402"/>
    </row>
    <row r="289" spans="1:14" s="401" customFormat="1" ht="15" customHeight="1" x14ac:dyDescent="0.25">
      <c r="A289" s="1848"/>
      <c r="B289" s="396"/>
      <c r="C289" s="397"/>
      <c r="D289" s="398"/>
      <c r="E289" s="399"/>
      <c r="F289" s="310"/>
      <c r="L289" s="402"/>
      <c r="M289" s="402"/>
    </row>
    <row r="290" spans="1:14" s="401" customFormat="1" ht="15" customHeight="1" x14ac:dyDescent="0.25">
      <c r="A290" s="1848"/>
      <c r="B290" s="396"/>
      <c r="C290" s="397"/>
      <c r="D290" s="398"/>
      <c r="E290" s="399"/>
      <c r="F290" s="310"/>
      <c r="L290" s="402"/>
      <c r="M290" s="402"/>
    </row>
    <row r="291" spans="1:14" s="401" customFormat="1" ht="15" customHeight="1" x14ac:dyDescent="0.25">
      <c r="A291" s="1848"/>
      <c r="B291" s="396"/>
      <c r="C291" s="397"/>
      <c r="D291" s="398"/>
      <c r="E291" s="399"/>
      <c r="F291" s="310"/>
      <c r="L291" s="402"/>
      <c r="M291" s="402"/>
    </row>
    <row r="292" spans="1:14" s="401" customFormat="1" ht="15" customHeight="1" x14ac:dyDescent="0.25">
      <c r="A292" s="1848"/>
      <c r="B292" s="396"/>
      <c r="C292" s="397"/>
      <c r="D292" s="398"/>
      <c r="E292" s="399"/>
      <c r="F292" s="310"/>
      <c r="L292" s="402"/>
      <c r="M292" s="402"/>
    </row>
    <row r="293" spans="1:14" s="401" customFormat="1" ht="15" customHeight="1" x14ac:dyDescent="0.25">
      <c r="A293" s="1848"/>
      <c r="B293" s="396"/>
      <c r="C293" s="397"/>
      <c r="D293" s="398"/>
      <c r="E293" s="399"/>
      <c r="F293" s="310"/>
      <c r="L293" s="402"/>
      <c r="M293" s="402"/>
    </row>
    <row r="294" spans="1:14" s="401" customFormat="1" ht="15" customHeight="1" x14ac:dyDescent="0.25">
      <c r="A294" s="1848"/>
      <c r="B294" s="396"/>
      <c r="C294" s="397"/>
      <c r="D294" s="398"/>
      <c r="E294" s="399"/>
      <c r="F294" s="310"/>
      <c r="L294" s="402"/>
      <c r="M294" s="402"/>
    </row>
    <row r="295" spans="1:14" ht="15" customHeight="1" x14ac:dyDescent="0.25">
      <c r="A295" s="1849"/>
      <c r="B295" s="396"/>
      <c r="C295" s="404"/>
      <c r="E295" s="308"/>
      <c r="F295" s="310"/>
      <c r="G295" s="297"/>
      <c r="H295" s="297"/>
      <c r="J295" s="297"/>
      <c r="L295" s="312"/>
      <c r="N295" s="297"/>
    </row>
    <row r="296" spans="1:14" ht="15" customHeight="1" x14ac:dyDescent="0.25">
      <c r="A296" s="1849"/>
      <c r="B296" s="396"/>
      <c r="C296" s="404"/>
      <c r="E296" s="308"/>
      <c r="F296" s="310"/>
      <c r="G296" s="297"/>
      <c r="H296" s="297"/>
      <c r="J296" s="297"/>
      <c r="L296" s="312"/>
      <c r="N296" s="297"/>
    </row>
    <row r="297" spans="1:14" ht="15" customHeight="1" x14ac:dyDescent="0.25">
      <c r="A297" s="1849"/>
      <c r="B297" s="396"/>
      <c r="C297" s="404"/>
      <c r="E297" s="308"/>
      <c r="F297" s="310"/>
      <c r="G297" s="297"/>
      <c r="H297" s="297"/>
      <c r="J297" s="297"/>
      <c r="L297" s="312"/>
      <c r="N297" s="297"/>
    </row>
    <row r="298" spans="1:14" ht="15" customHeight="1" x14ac:dyDescent="0.25">
      <c r="A298" s="1849"/>
      <c r="B298" s="396"/>
      <c r="C298" s="404"/>
      <c r="E298" s="308"/>
      <c r="F298" s="310"/>
      <c r="G298" s="297"/>
      <c r="H298" s="297"/>
      <c r="J298" s="297"/>
      <c r="L298" s="312"/>
      <c r="N298" s="297"/>
    </row>
    <row r="299" spans="1:14" ht="15" customHeight="1" x14ac:dyDescent="0.25">
      <c r="A299" s="1849"/>
      <c r="B299" s="396"/>
      <c r="C299" s="404"/>
      <c r="E299" s="308"/>
      <c r="F299" s="310"/>
      <c r="G299" s="297"/>
      <c r="H299" s="297"/>
      <c r="J299" s="297"/>
      <c r="L299" s="312"/>
      <c r="N299" s="297"/>
    </row>
    <row r="300" spans="1:14" ht="15" customHeight="1" x14ac:dyDescent="0.25">
      <c r="A300" s="1849"/>
      <c r="B300" s="396"/>
      <c r="C300" s="404"/>
      <c r="E300" s="308"/>
      <c r="F300" s="310"/>
      <c r="G300" s="297"/>
      <c r="H300" s="297"/>
      <c r="J300" s="297"/>
      <c r="L300" s="312"/>
      <c r="N300" s="297"/>
    </row>
    <row r="301" spans="1:14" ht="15" customHeight="1" x14ac:dyDescent="0.25">
      <c r="A301" s="1849"/>
      <c r="B301" s="396"/>
      <c r="C301" s="404"/>
      <c r="E301" s="308"/>
      <c r="F301" s="310"/>
      <c r="G301" s="297"/>
      <c r="H301" s="297"/>
      <c r="J301" s="297"/>
      <c r="L301" s="312"/>
      <c r="N301" s="297"/>
    </row>
    <row r="302" spans="1:14" ht="15" customHeight="1" x14ac:dyDescent="0.25">
      <c r="A302" s="1849"/>
      <c r="B302" s="396"/>
      <c r="C302" s="404"/>
      <c r="E302" s="308"/>
      <c r="F302" s="310"/>
      <c r="G302" s="297"/>
      <c r="H302" s="297"/>
      <c r="J302" s="297"/>
      <c r="L302" s="312"/>
      <c r="N302" s="297"/>
    </row>
    <row r="303" spans="1:14" ht="15" customHeight="1" x14ac:dyDescent="0.25">
      <c r="A303" s="1849"/>
      <c r="B303" s="396"/>
      <c r="C303" s="404"/>
      <c r="E303" s="308"/>
      <c r="F303" s="310"/>
      <c r="G303" s="297"/>
      <c r="H303" s="297"/>
      <c r="J303" s="297"/>
      <c r="L303" s="312"/>
      <c r="N303" s="297"/>
    </row>
    <row r="304" spans="1:14" ht="15" customHeight="1" x14ac:dyDescent="0.25">
      <c r="A304" s="1849"/>
      <c r="B304" s="396"/>
      <c r="C304" s="404"/>
      <c r="E304" s="308"/>
      <c r="F304" s="310"/>
      <c r="G304" s="297"/>
      <c r="H304" s="297"/>
      <c r="J304" s="297"/>
      <c r="L304" s="312"/>
      <c r="N304" s="297"/>
    </row>
    <row r="305" spans="1:14" ht="15" customHeight="1" x14ac:dyDescent="0.25">
      <c r="A305" s="1849"/>
      <c r="B305" s="396"/>
      <c r="C305" s="404"/>
      <c r="E305" s="308"/>
      <c r="F305" s="310"/>
      <c r="G305" s="297"/>
      <c r="H305" s="297"/>
      <c r="J305" s="297"/>
      <c r="L305" s="312"/>
      <c r="N305" s="297"/>
    </row>
    <row r="306" spans="1:14" ht="15" customHeight="1" x14ac:dyDescent="0.25">
      <c r="A306" s="1849"/>
      <c r="B306" s="396"/>
      <c r="C306" s="404"/>
      <c r="E306" s="308"/>
      <c r="F306" s="310"/>
      <c r="G306" s="297"/>
      <c r="H306" s="297"/>
      <c r="J306" s="297"/>
      <c r="L306" s="312"/>
      <c r="N306" s="297"/>
    </row>
    <row r="307" spans="1:14" ht="15" customHeight="1" x14ac:dyDescent="0.25">
      <c r="A307" s="1849"/>
      <c r="B307" s="396"/>
      <c r="C307" s="404"/>
      <c r="E307" s="308"/>
      <c r="F307" s="310"/>
      <c r="G307" s="297"/>
      <c r="H307" s="297"/>
      <c r="J307" s="297"/>
      <c r="L307" s="312"/>
      <c r="N307" s="297"/>
    </row>
    <row r="308" spans="1:14" ht="15" customHeight="1" x14ac:dyDescent="0.25">
      <c r="A308" s="1849"/>
      <c r="B308" s="396"/>
      <c r="C308" s="404"/>
      <c r="E308" s="308"/>
      <c r="F308" s="310"/>
      <c r="G308" s="297"/>
      <c r="H308" s="297"/>
      <c r="J308" s="297"/>
      <c r="L308" s="312"/>
      <c r="N308" s="297"/>
    </row>
    <row r="309" spans="1:14" ht="15" customHeight="1" x14ac:dyDescent="0.25">
      <c r="A309" s="1849"/>
      <c r="B309" s="396"/>
      <c r="C309" s="404"/>
      <c r="E309" s="308"/>
      <c r="F309" s="310"/>
      <c r="G309" s="297"/>
      <c r="H309" s="297"/>
      <c r="J309" s="297"/>
      <c r="L309" s="312"/>
      <c r="N309" s="297"/>
    </row>
    <row r="310" spans="1:14" ht="15" customHeight="1" x14ac:dyDescent="0.25">
      <c r="A310" s="1849"/>
      <c r="B310" s="396"/>
      <c r="C310" s="404"/>
      <c r="E310" s="308"/>
      <c r="F310" s="310"/>
      <c r="G310" s="297"/>
      <c r="H310" s="297"/>
      <c r="J310" s="297"/>
      <c r="L310" s="312"/>
      <c r="N310" s="297"/>
    </row>
    <row r="311" spans="1:14" ht="15" customHeight="1" x14ac:dyDescent="0.25">
      <c r="A311" s="1849"/>
      <c r="B311" s="396"/>
      <c r="C311" s="404"/>
      <c r="E311" s="308"/>
      <c r="F311" s="310"/>
      <c r="G311" s="297"/>
      <c r="H311" s="297"/>
      <c r="J311" s="297"/>
      <c r="L311" s="312"/>
      <c r="N311" s="297"/>
    </row>
    <row r="312" spans="1:14" ht="15" customHeight="1" x14ac:dyDescent="0.25">
      <c r="A312" s="1849"/>
      <c r="B312" s="396"/>
      <c r="C312" s="404"/>
      <c r="E312" s="308"/>
      <c r="F312" s="310"/>
      <c r="G312" s="297"/>
      <c r="H312" s="297"/>
      <c r="J312" s="297"/>
      <c r="L312" s="312"/>
      <c r="N312" s="297"/>
    </row>
    <row r="313" spans="1:14" ht="15" customHeight="1" x14ac:dyDescent="0.25">
      <c r="A313" s="1849"/>
      <c r="B313" s="396"/>
      <c r="C313" s="404"/>
      <c r="E313" s="308"/>
      <c r="F313" s="310"/>
      <c r="G313" s="297"/>
      <c r="H313" s="297"/>
      <c r="J313" s="297"/>
      <c r="L313" s="312"/>
      <c r="N313" s="297"/>
    </row>
    <row r="314" spans="1:14" ht="15" customHeight="1" x14ac:dyDescent="0.25">
      <c r="A314" s="1849"/>
      <c r="B314" s="396"/>
      <c r="C314" s="404"/>
      <c r="E314" s="308"/>
      <c r="F314" s="310"/>
      <c r="G314" s="297"/>
      <c r="H314" s="297"/>
      <c r="J314" s="297"/>
      <c r="L314" s="312"/>
      <c r="N314" s="297"/>
    </row>
    <row r="315" spans="1:14" ht="15" customHeight="1" x14ac:dyDescent="0.25">
      <c r="A315" s="1849"/>
      <c r="B315" s="396"/>
      <c r="C315" s="404"/>
      <c r="E315" s="308"/>
      <c r="F315" s="310"/>
      <c r="G315" s="297"/>
      <c r="H315" s="297"/>
      <c r="J315" s="297"/>
      <c r="L315" s="312"/>
      <c r="N315" s="297"/>
    </row>
    <row r="316" spans="1:14" ht="15" customHeight="1" x14ac:dyDescent="0.25">
      <c r="A316" s="1849"/>
      <c r="B316" s="396"/>
      <c r="C316" s="404"/>
      <c r="E316" s="308"/>
      <c r="F316" s="310"/>
      <c r="G316" s="297"/>
      <c r="H316" s="297"/>
      <c r="J316" s="297"/>
      <c r="L316" s="312"/>
      <c r="N316" s="297"/>
    </row>
    <row r="317" spans="1:14" ht="15" customHeight="1" x14ac:dyDescent="0.25">
      <c r="A317" s="1849"/>
      <c r="B317" s="396"/>
      <c r="C317" s="404"/>
      <c r="E317" s="308"/>
      <c r="F317" s="310"/>
      <c r="G317" s="297"/>
      <c r="H317" s="297"/>
      <c r="J317" s="297"/>
      <c r="L317" s="312"/>
      <c r="N317" s="297"/>
    </row>
    <row r="318" spans="1:14" ht="15" customHeight="1" x14ac:dyDescent="0.25">
      <c r="A318" s="1849"/>
      <c r="B318" s="396"/>
      <c r="C318" s="404"/>
      <c r="E318" s="308"/>
      <c r="F318" s="310"/>
      <c r="G318" s="297"/>
      <c r="H318" s="297"/>
      <c r="J318" s="297"/>
      <c r="L318" s="312"/>
      <c r="N318" s="297"/>
    </row>
    <row r="319" spans="1:14" ht="15" customHeight="1" x14ac:dyDescent="0.25">
      <c r="A319" s="1849"/>
      <c r="B319" s="396"/>
      <c r="C319" s="404"/>
      <c r="E319" s="308"/>
      <c r="F319" s="310"/>
      <c r="G319" s="297"/>
      <c r="H319" s="297"/>
      <c r="J319" s="297"/>
      <c r="L319" s="312"/>
      <c r="N319" s="297"/>
    </row>
    <row r="320" spans="1:14" ht="15" customHeight="1" x14ac:dyDescent="0.25">
      <c r="A320" s="1849"/>
      <c r="B320" s="396"/>
      <c r="C320" s="404"/>
      <c r="E320" s="308"/>
      <c r="F320" s="310"/>
      <c r="G320" s="297"/>
      <c r="H320" s="297"/>
      <c r="J320" s="297"/>
      <c r="L320" s="312"/>
      <c r="N320" s="297"/>
    </row>
    <row r="321" spans="1:14" ht="15" customHeight="1" x14ac:dyDescent="0.25">
      <c r="A321" s="1849"/>
      <c r="B321" s="396"/>
      <c r="C321" s="404"/>
      <c r="E321" s="308"/>
      <c r="F321" s="310"/>
      <c r="G321" s="297"/>
      <c r="H321" s="297"/>
      <c r="J321" s="297"/>
      <c r="L321" s="312"/>
      <c r="N321" s="297"/>
    </row>
    <row r="322" spans="1:14" ht="15" customHeight="1" x14ac:dyDescent="0.25">
      <c r="A322" s="1849"/>
      <c r="B322" s="396"/>
      <c r="C322" s="404"/>
      <c r="E322" s="308"/>
      <c r="F322" s="310"/>
      <c r="G322" s="297"/>
      <c r="H322" s="297"/>
      <c r="J322" s="297"/>
      <c r="L322" s="312"/>
      <c r="N322" s="297"/>
    </row>
    <row r="323" spans="1:14" ht="15" customHeight="1" x14ac:dyDescent="0.25">
      <c r="A323" s="1849"/>
      <c r="B323" s="396"/>
      <c r="C323" s="404"/>
      <c r="E323" s="308"/>
      <c r="F323" s="310"/>
      <c r="G323" s="297"/>
      <c r="H323" s="297"/>
      <c r="J323" s="297"/>
      <c r="L323" s="312"/>
      <c r="N323" s="297"/>
    </row>
    <row r="324" spans="1:14" ht="15" customHeight="1" x14ac:dyDescent="0.25">
      <c r="A324" s="1849"/>
      <c r="B324" s="396"/>
      <c r="C324" s="404"/>
      <c r="E324" s="308"/>
      <c r="F324" s="310"/>
      <c r="G324" s="297"/>
      <c r="H324" s="297"/>
      <c r="J324" s="297"/>
      <c r="L324" s="312"/>
      <c r="N324" s="297"/>
    </row>
    <row r="325" spans="1:14" ht="15" customHeight="1" x14ac:dyDescent="0.25">
      <c r="A325" s="1849"/>
      <c r="B325" s="396"/>
      <c r="C325" s="404"/>
      <c r="E325" s="308"/>
      <c r="F325" s="310"/>
      <c r="G325" s="297"/>
      <c r="H325" s="297"/>
      <c r="J325" s="297"/>
      <c r="L325" s="312"/>
      <c r="N325" s="297"/>
    </row>
    <row r="326" spans="1:14" ht="15" customHeight="1" x14ac:dyDescent="0.25">
      <c r="A326" s="1849"/>
      <c r="B326" s="396"/>
      <c r="C326" s="404"/>
      <c r="E326" s="308"/>
      <c r="F326" s="310"/>
      <c r="G326" s="297"/>
      <c r="H326" s="297"/>
      <c r="J326" s="297"/>
      <c r="L326" s="312"/>
      <c r="N326" s="297"/>
    </row>
    <row r="327" spans="1:14" ht="15" customHeight="1" x14ac:dyDescent="0.25">
      <c r="A327" s="1849"/>
      <c r="B327" s="396"/>
      <c r="C327" s="404"/>
      <c r="E327" s="308"/>
      <c r="F327" s="310"/>
      <c r="G327" s="297"/>
      <c r="H327" s="297"/>
      <c r="J327" s="297"/>
      <c r="L327" s="312"/>
      <c r="N327" s="297"/>
    </row>
    <row r="328" spans="1:14" ht="15" customHeight="1" x14ac:dyDescent="0.25">
      <c r="A328" s="1849"/>
      <c r="B328" s="396"/>
      <c r="C328" s="404"/>
      <c r="E328" s="308"/>
      <c r="F328" s="310"/>
      <c r="G328" s="297"/>
      <c r="H328" s="297"/>
      <c r="J328" s="297"/>
      <c r="L328" s="312"/>
      <c r="N328" s="297"/>
    </row>
    <row r="329" spans="1:14" ht="15" customHeight="1" x14ac:dyDescent="0.25">
      <c r="A329" s="1849"/>
      <c r="B329" s="396"/>
      <c r="C329" s="404"/>
      <c r="E329" s="308"/>
      <c r="F329" s="310"/>
      <c r="G329" s="297"/>
      <c r="H329" s="297"/>
      <c r="J329" s="297"/>
      <c r="L329" s="312"/>
      <c r="N329" s="297"/>
    </row>
    <row r="330" spans="1:14" ht="15" customHeight="1" x14ac:dyDescent="0.25">
      <c r="A330" s="1849"/>
      <c r="B330" s="396"/>
      <c r="C330" s="404"/>
      <c r="E330" s="308"/>
      <c r="F330" s="310"/>
      <c r="G330" s="297"/>
      <c r="H330" s="297"/>
      <c r="J330" s="297"/>
      <c r="L330" s="312"/>
      <c r="N330" s="297"/>
    </row>
    <row r="331" spans="1:14" ht="15" customHeight="1" x14ac:dyDescent="0.25">
      <c r="A331" s="1849"/>
      <c r="B331" s="396"/>
      <c r="C331" s="404"/>
      <c r="E331" s="308"/>
      <c r="F331" s="310"/>
      <c r="G331" s="297"/>
      <c r="H331" s="297"/>
      <c r="J331" s="297"/>
      <c r="L331" s="312"/>
      <c r="N331" s="297"/>
    </row>
    <row r="332" spans="1:14" ht="15" customHeight="1" x14ac:dyDescent="0.25">
      <c r="A332" s="1849"/>
      <c r="B332" s="396"/>
      <c r="C332" s="404"/>
      <c r="E332" s="308"/>
      <c r="F332" s="310"/>
      <c r="G332" s="297"/>
      <c r="H332" s="297"/>
      <c r="J332" s="297"/>
      <c r="L332" s="312"/>
      <c r="N332" s="297"/>
    </row>
    <row r="333" spans="1:14" ht="15" customHeight="1" x14ac:dyDescent="0.25">
      <c r="A333" s="1849"/>
      <c r="B333" s="396"/>
      <c r="C333" s="404"/>
      <c r="E333" s="308"/>
      <c r="F333" s="310"/>
      <c r="G333" s="297"/>
      <c r="H333" s="297"/>
      <c r="J333" s="297"/>
      <c r="L333" s="312"/>
      <c r="N333" s="297"/>
    </row>
    <row r="334" spans="1:14" ht="15" customHeight="1" x14ac:dyDescent="0.25">
      <c r="A334" s="1849"/>
      <c r="B334" s="396"/>
      <c r="C334" s="404"/>
      <c r="E334" s="308"/>
      <c r="F334" s="310"/>
      <c r="G334" s="297"/>
      <c r="H334" s="297"/>
      <c r="J334" s="297"/>
      <c r="L334" s="312"/>
      <c r="N334" s="297"/>
    </row>
    <row r="335" spans="1:14" ht="15" customHeight="1" x14ac:dyDescent="0.25">
      <c r="A335" s="1849"/>
      <c r="B335" s="396"/>
      <c r="C335" s="404"/>
      <c r="E335" s="308"/>
      <c r="F335" s="310"/>
      <c r="G335" s="297"/>
      <c r="H335" s="297"/>
      <c r="J335" s="297"/>
      <c r="L335" s="312"/>
      <c r="N335" s="297"/>
    </row>
    <row r="336" spans="1:14" ht="15" customHeight="1" x14ac:dyDescent="0.25">
      <c r="A336" s="1849"/>
      <c r="B336" s="396"/>
      <c r="C336" s="404"/>
      <c r="E336" s="308"/>
      <c r="F336" s="310"/>
      <c r="G336" s="297"/>
      <c r="H336" s="297"/>
      <c r="J336" s="297"/>
      <c r="L336" s="312"/>
      <c r="N336" s="297"/>
    </row>
    <row r="337" spans="1:14" ht="15" customHeight="1" x14ac:dyDescent="0.25">
      <c r="A337" s="1849"/>
      <c r="B337" s="396"/>
      <c r="C337" s="404"/>
      <c r="E337" s="308"/>
      <c r="F337" s="310"/>
      <c r="G337" s="297"/>
      <c r="H337" s="297"/>
      <c r="J337" s="297"/>
      <c r="L337" s="312"/>
      <c r="N337" s="297"/>
    </row>
    <row r="338" spans="1:14" ht="15" customHeight="1" x14ac:dyDescent="0.25">
      <c r="A338" s="1849"/>
      <c r="B338" s="396"/>
      <c r="C338" s="404"/>
      <c r="E338" s="308"/>
      <c r="F338" s="310"/>
      <c r="G338" s="297"/>
      <c r="H338" s="297"/>
      <c r="J338" s="297"/>
      <c r="L338" s="312"/>
      <c r="N338" s="297"/>
    </row>
    <row r="339" spans="1:14" ht="15" customHeight="1" x14ac:dyDescent="0.25">
      <c r="A339" s="1849"/>
      <c r="B339" s="396"/>
      <c r="C339" s="404"/>
      <c r="E339" s="308"/>
      <c r="F339" s="310"/>
      <c r="G339" s="297"/>
      <c r="H339" s="297"/>
      <c r="J339" s="297"/>
      <c r="L339" s="312"/>
      <c r="N339" s="297"/>
    </row>
    <row r="340" spans="1:14" ht="15" customHeight="1" x14ac:dyDescent="0.25">
      <c r="A340" s="1849"/>
      <c r="B340" s="396"/>
      <c r="C340" s="404"/>
      <c r="E340" s="308"/>
      <c r="F340" s="310"/>
      <c r="G340" s="297"/>
      <c r="H340" s="297"/>
      <c r="J340" s="297"/>
      <c r="L340" s="312"/>
      <c r="N340" s="297"/>
    </row>
    <row r="341" spans="1:14" ht="15" customHeight="1" x14ac:dyDescent="0.25">
      <c r="A341" s="1849"/>
      <c r="B341" s="396"/>
      <c r="C341" s="404"/>
      <c r="E341" s="308"/>
      <c r="F341" s="310"/>
      <c r="G341" s="297"/>
      <c r="H341" s="297"/>
      <c r="J341" s="297"/>
      <c r="L341" s="312"/>
      <c r="N341" s="297"/>
    </row>
    <row r="342" spans="1:14" ht="15" customHeight="1" thickBot="1" x14ac:dyDescent="0.3">
      <c r="A342" s="1850"/>
      <c r="B342" s="1851"/>
      <c r="C342" s="1852"/>
      <c r="D342" s="1853"/>
      <c r="E342" s="1854"/>
      <c r="F342" s="1855"/>
      <c r="G342" s="297"/>
      <c r="H342" s="297"/>
      <c r="J342" s="297"/>
      <c r="L342" s="312"/>
      <c r="N342" s="297"/>
    </row>
    <row r="343" spans="1:14" ht="15" customHeight="1" x14ac:dyDescent="0.25">
      <c r="A343" s="497"/>
      <c r="C343" s="404"/>
      <c r="E343" s="308"/>
      <c r="G343" s="297"/>
      <c r="H343" s="297"/>
      <c r="J343" s="297"/>
      <c r="L343" s="312"/>
      <c r="N343" s="297"/>
    </row>
    <row r="344" spans="1:14" ht="15" customHeight="1" x14ac:dyDescent="0.25">
      <c r="A344" s="497"/>
      <c r="C344" s="404"/>
      <c r="E344" s="308"/>
      <c r="G344" s="297"/>
      <c r="H344" s="297"/>
      <c r="J344" s="297"/>
      <c r="L344" s="312"/>
      <c r="N344" s="297"/>
    </row>
    <row r="345" spans="1:14" ht="15" customHeight="1" x14ac:dyDescent="0.25">
      <c r="A345" s="497"/>
      <c r="C345" s="404"/>
      <c r="E345" s="308"/>
      <c r="G345" s="297"/>
      <c r="H345" s="297"/>
      <c r="J345" s="297"/>
      <c r="L345" s="312"/>
      <c r="N345" s="297"/>
    </row>
    <row r="346" spans="1:14" ht="15" customHeight="1" x14ac:dyDescent="0.25">
      <c r="A346" s="497"/>
      <c r="C346" s="404"/>
      <c r="E346" s="308"/>
      <c r="G346" s="297"/>
      <c r="H346" s="297"/>
      <c r="J346" s="297"/>
      <c r="L346" s="312"/>
      <c r="N346" s="297"/>
    </row>
    <row r="347" spans="1:14" ht="15" customHeight="1" x14ac:dyDescent="0.25">
      <c r="A347" s="497"/>
      <c r="C347" s="404"/>
      <c r="E347" s="308"/>
      <c r="G347" s="297"/>
      <c r="H347" s="297"/>
      <c r="J347" s="297"/>
      <c r="L347" s="312"/>
      <c r="N347" s="297"/>
    </row>
    <row r="348" spans="1:14" ht="15" customHeight="1" x14ac:dyDescent="0.25">
      <c r="A348" s="497"/>
      <c r="C348" s="404"/>
      <c r="E348" s="308"/>
      <c r="G348" s="297"/>
      <c r="H348" s="297"/>
      <c r="J348" s="297"/>
      <c r="L348" s="312"/>
      <c r="N348" s="297"/>
    </row>
    <row r="349" spans="1:14" ht="15" customHeight="1" x14ac:dyDescent="0.25">
      <c r="A349" s="497"/>
      <c r="C349" s="404"/>
      <c r="E349" s="308"/>
      <c r="G349" s="297"/>
      <c r="H349" s="297"/>
      <c r="J349" s="297"/>
      <c r="L349" s="312"/>
      <c r="N349" s="297"/>
    </row>
    <row r="350" spans="1:14" ht="15" customHeight="1" x14ac:dyDescent="0.25">
      <c r="A350" s="497"/>
      <c r="C350" s="404"/>
      <c r="E350" s="308"/>
      <c r="G350" s="297"/>
      <c r="H350" s="297"/>
      <c r="J350" s="297"/>
      <c r="L350" s="312"/>
      <c r="N350" s="297"/>
    </row>
    <row r="351" spans="1:14" ht="15" customHeight="1" x14ac:dyDescent="0.25">
      <c r="A351" s="497"/>
      <c r="C351" s="404"/>
      <c r="E351" s="308"/>
      <c r="G351" s="297"/>
      <c r="H351" s="297"/>
      <c r="J351" s="297"/>
      <c r="L351" s="312"/>
      <c r="N351" s="297"/>
    </row>
    <row r="352" spans="1:14" ht="15" customHeight="1" x14ac:dyDescent="0.25">
      <c r="A352" s="497"/>
      <c r="C352" s="404"/>
      <c r="E352" s="308"/>
      <c r="G352" s="297"/>
      <c r="H352" s="297"/>
      <c r="J352" s="297"/>
      <c r="L352" s="312"/>
      <c r="N352" s="297"/>
    </row>
    <row r="353" spans="1:14" ht="15" customHeight="1" x14ac:dyDescent="0.25">
      <c r="A353" s="497"/>
      <c r="C353" s="404"/>
      <c r="E353" s="308"/>
      <c r="G353" s="297"/>
      <c r="H353" s="297"/>
      <c r="J353" s="297"/>
      <c r="L353" s="312"/>
      <c r="N353" s="297"/>
    </row>
    <row r="354" spans="1:14" ht="15" customHeight="1" x14ac:dyDescent="0.25">
      <c r="A354" s="497"/>
      <c r="C354" s="404"/>
      <c r="E354" s="308"/>
      <c r="G354" s="297"/>
      <c r="H354" s="297"/>
      <c r="J354" s="297"/>
      <c r="L354" s="312"/>
      <c r="N354" s="297"/>
    </row>
    <row r="355" spans="1:14" ht="15" customHeight="1" x14ac:dyDescent="0.25">
      <c r="A355" s="497"/>
      <c r="C355" s="404"/>
      <c r="E355" s="308"/>
      <c r="G355" s="297"/>
      <c r="H355" s="297"/>
      <c r="J355" s="297"/>
      <c r="L355" s="312"/>
      <c r="N355" s="297"/>
    </row>
    <row r="356" spans="1:14" ht="15" customHeight="1" x14ac:dyDescent="0.25">
      <c r="A356" s="497"/>
      <c r="C356" s="404"/>
      <c r="E356" s="308"/>
      <c r="G356" s="297"/>
      <c r="H356" s="297"/>
      <c r="J356" s="297"/>
      <c r="L356" s="312"/>
      <c r="N356" s="297"/>
    </row>
    <row r="357" spans="1:14" ht="15" customHeight="1" x14ac:dyDescent="0.25">
      <c r="A357" s="497"/>
      <c r="C357" s="404"/>
      <c r="E357" s="308"/>
      <c r="G357" s="297"/>
      <c r="H357" s="297"/>
      <c r="J357" s="297"/>
      <c r="L357" s="312"/>
      <c r="N357" s="297"/>
    </row>
    <row r="358" spans="1:14" ht="15" customHeight="1" x14ac:dyDescent="0.25">
      <c r="A358" s="497"/>
      <c r="C358" s="404"/>
      <c r="E358" s="308"/>
      <c r="G358" s="297"/>
      <c r="H358" s="297"/>
      <c r="J358" s="297"/>
      <c r="L358" s="312"/>
      <c r="N358" s="297"/>
    </row>
    <row r="359" spans="1:14" ht="15" customHeight="1" x14ac:dyDescent="0.25">
      <c r="A359" s="497"/>
      <c r="C359" s="404"/>
      <c r="E359" s="308"/>
      <c r="G359" s="297"/>
      <c r="H359" s="297"/>
      <c r="J359" s="297"/>
      <c r="L359" s="312"/>
      <c r="N359" s="297"/>
    </row>
    <row r="360" spans="1:14" ht="15" customHeight="1" x14ac:dyDescent="0.25">
      <c r="A360" s="497"/>
      <c r="C360" s="404"/>
      <c r="E360" s="308"/>
      <c r="G360" s="297"/>
      <c r="H360" s="297"/>
      <c r="J360" s="297"/>
      <c r="L360" s="312"/>
      <c r="N360" s="297"/>
    </row>
    <row r="361" spans="1:14" ht="15" customHeight="1" x14ac:dyDescent="0.25">
      <c r="A361" s="497"/>
      <c r="C361" s="404"/>
      <c r="E361" s="308"/>
      <c r="G361" s="297"/>
      <c r="H361" s="297"/>
      <c r="J361" s="297"/>
      <c r="L361" s="312"/>
      <c r="N361" s="297"/>
    </row>
    <row r="362" spans="1:14" ht="15" customHeight="1" x14ac:dyDescent="0.25">
      <c r="A362" s="497"/>
      <c r="C362" s="404"/>
      <c r="E362" s="308"/>
      <c r="G362" s="297"/>
      <c r="H362" s="297"/>
      <c r="J362" s="297"/>
      <c r="L362" s="312"/>
      <c r="N362" s="297"/>
    </row>
    <row r="363" spans="1:14" ht="15" customHeight="1" x14ac:dyDescent="0.25">
      <c r="A363" s="497"/>
      <c r="C363" s="404"/>
      <c r="E363" s="308"/>
      <c r="G363" s="297"/>
      <c r="H363" s="297"/>
      <c r="J363" s="297"/>
      <c r="L363" s="312"/>
      <c r="N363" s="297"/>
    </row>
    <row r="364" spans="1:14" ht="15" customHeight="1" x14ac:dyDescent="0.25">
      <c r="A364" s="497"/>
      <c r="C364" s="404"/>
      <c r="E364" s="308"/>
      <c r="G364" s="297"/>
      <c r="H364" s="297"/>
      <c r="J364" s="297"/>
      <c r="L364" s="312"/>
      <c r="N364" s="297"/>
    </row>
    <row r="365" spans="1:14" ht="15" customHeight="1" x14ac:dyDescent="0.25">
      <c r="A365" s="497"/>
      <c r="C365" s="404"/>
      <c r="E365" s="308"/>
      <c r="G365" s="297"/>
      <c r="H365" s="297"/>
      <c r="J365" s="297"/>
      <c r="L365" s="312"/>
      <c r="N365" s="297"/>
    </row>
    <row r="366" spans="1:14" ht="15" customHeight="1" x14ac:dyDescent="0.25">
      <c r="A366" s="497"/>
      <c r="C366" s="404"/>
      <c r="E366" s="308"/>
      <c r="G366" s="297"/>
      <c r="H366" s="297"/>
      <c r="J366" s="297"/>
      <c r="L366" s="312"/>
      <c r="N366" s="297"/>
    </row>
    <row r="367" spans="1:14" ht="15" customHeight="1" x14ac:dyDescent="0.25">
      <c r="A367" s="497"/>
      <c r="C367" s="404"/>
      <c r="E367" s="308"/>
      <c r="G367" s="297"/>
      <c r="H367" s="297"/>
      <c r="J367" s="297"/>
      <c r="L367" s="312"/>
      <c r="N367" s="297"/>
    </row>
    <row r="368" spans="1:14" ht="15" customHeight="1" x14ac:dyDescent="0.25">
      <c r="A368" s="497"/>
      <c r="C368" s="404"/>
      <c r="E368" s="308"/>
      <c r="G368" s="297"/>
      <c r="H368" s="297"/>
      <c r="J368" s="297"/>
      <c r="L368" s="312"/>
      <c r="N368" s="297"/>
    </row>
    <row r="369" spans="1:14" ht="15" customHeight="1" x14ac:dyDescent="0.25">
      <c r="A369" s="497"/>
      <c r="C369" s="404"/>
      <c r="E369" s="308"/>
      <c r="G369" s="297"/>
      <c r="H369" s="297"/>
      <c r="J369" s="297"/>
      <c r="L369" s="312"/>
      <c r="N369" s="297"/>
    </row>
    <row r="370" spans="1:14" ht="15" customHeight="1" x14ac:dyDescent="0.25">
      <c r="A370" s="497"/>
      <c r="C370" s="404"/>
      <c r="E370" s="308"/>
      <c r="G370" s="297"/>
      <c r="H370" s="297"/>
      <c r="J370" s="297"/>
      <c r="L370" s="312"/>
      <c r="N370" s="297"/>
    </row>
    <row r="371" spans="1:14" ht="15" customHeight="1" x14ac:dyDescent="0.25">
      <c r="A371" s="497"/>
      <c r="C371" s="404"/>
      <c r="E371" s="308"/>
      <c r="G371" s="297"/>
      <c r="H371" s="297"/>
      <c r="J371" s="297"/>
      <c r="L371" s="312"/>
      <c r="N371" s="297"/>
    </row>
    <row r="372" spans="1:14" ht="15" customHeight="1" x14ac:dyDescent="0.25">
      <c r="A372" s="497"/>
      <c r="C372" s="404"/>
      <c r="E372" s="308"/>
      <c r="G372" s="297"/>
      <c r="H372" s="297"/>
      <c r="J372" s="297"/>
      <c r="L372" s="312"/>
      <c r="N372" s="297"/>
    </row>
    <row r="373" spans="1:14" ht="15" customHeight="1" x14ac:dyDescent="0.25">
      <c r="A373" s="497"/>
      <c r="C373" s="404"/>
      <c r="E373" s="308"/>
      <c r="G373" s="297"/>
      <c r="H373" s="297"/>
      <c r="J373" s="297"/>
      <c r="L373" s="312"/>
      <c r="N373" s="297"/>
    </row>
    <row r="374" spans="1:14" ht="15" customHeight="1" x14ac:dyDescent="0.25">
      <c r="A374" s="497"/>
      <c r="C374" s="404"/>
      <c r="E374" s="308"/>
      <c r="G374" s="297"/>
      <c r="H374" s="297"/>
      <c r="J374" s="297"/>
      <c r="L374" s="312"/>
      <c r="N374" s="297"/>
    </row>
    <row r="375" spans="1:14" ht="15" customHeight="1" x14ac:dyDescent="0.25">
      <c r="A375" s="497"/>
      <c r="C375" s="404"/>
      <c r="E375" s="308"/>
      <c r="G375" s="297"/>
      <c r="H375" s="297"/>
      <c r="J375" s="297"/>
      <c r="L375" s="312"/>
      <c r="N375" s="297"/>
    </row>
    <row r="376" spans="1:14" ht="15" customHeight="1" x14ac:dyDescent="0.25">
      <c r="A376" s="497"/>
      <c r="C376" s="404"/>
      <c r="E376" s="308"/>
      <c r="G376" s="297"/>
      <c r="H376" s="297"/>
      <c r="J376" s="297"/>
      <c r="L376" s="312"/>
      <c r="N376" s="297"/>
    </row>
    <row r="377" spans="1:14" ht="15" customHeight="1" x14ac:dyDescent="0.25">
      <c r="A377" s="497"/>
      <c r="C377" s="404"/>
      <c r="E377" s="308"/>
      <c r="G377" s="297"/>
      <c r="H377" s="297"/>
      <c r="J377" s="297"/>
      <c r="L377" s="312"/>
      <c r="N377" s="297"/>
    </row>
    <row r="378" spans="1:14" ht="15" customHeight="1" x14ac:dyDescent="0.25">
      <c r="A378" s="497"/>
      <c r="C378" s="404"/>
      <c r="E378" s="308"/>
      <c r="G378" s="297"/>
      <c r="H378" s="297"/>
      <c r="J378" s="297"/>
      <c r="L378" s="312"/>
      <c r="N378" s="297"/>
    </row>
    <row r="379" spans="1:14" ht="15" customHeight="1" x14ac:dyDescent="0.25">
      <c r="A379" s="497"/>
      <c r="C379" s="404"/>
      <c r="E379" s="308"/>
      <c r="G379" s="297"/>
      <c r="H379" s="297"/>
      <c r="J379" s="297"/>
      <c r="L379" s="312"/>
      <c r="N379" s="297"/>
    </row>
    <row r="380" spans="1:14" ht="15" customHeight="1" x14ac:dyDescent="0.25">
      <c r="A380" s="497"/>
      <c r="C380" s="404"/>
      <c r="E380" s="308"/>
      <c r="G380" s="297"/>
      <c r="H380" s="297"/>
      <c r="J380" s="297"/>
      <c r="L380" s="312"/>
      <c r="N380" s="297"/>
    </row>
    <row r="381" spans="1:14" ht="15" customHeight="1" x14ac:dyDescent="0.25">
      <c r="A381" s="497"/>
      <c r="C381" s="404"/>
      <c r="E381" s="308"/>
      <c r="G381" s="297"/>
      <c r="H381" s="297"/>
      <c r="J381" s="297"/>
      <c r="L381" s="312"/>
      <c r="N381" s="297"/>
    </row>
    <row r="382" spans="1:14" ht="15" customHeight="1" x14ac:dyDescent="0.25">
      <c r="A382" s="497"/>
      <c r="C382" s="404"/>
      <c r="E382" s="308"/>
      <c r="G382" s="297"/>
      <c r="H382" s="297"/>
      <c r="J382" s="297"/>
      <c r="L382" s="312"/>
      <c r="N382" s="297"/>
    </row>
    <row r="383" spans="1:14" ht="15" customHeight="1" x14ac:dyDescent="0.25">
      <c r="A383" s="497"/>
      <c r="C383" s="404"/>
      <c r="E383" s="308"/>
      <c r="G383" s="297"/>
      <c r="H383" s="297"/>
      <c r="J383" s="297"/>
      <c r="L383" s="312"/>
      <c r="N383" s="297"/>
    </row>
    <row r="384" spans="1:14" ht="15" customHeight="1" x14ac:dyDescent="0.25">
      <c r="A384" s="497"/>
      <c r="C384" s="404"/>
      <c r="E384" s="308"/>
      <c r="G384" s="297"/>
      <c r="H384" s="297"/>
      <c r="J384" s="297"/>
      <c r="L384" s="312"/>
      <c r="N384" s="297"/>
    </row>
    <row r="385" spans="1:14" ht="15" customHeight="1" x14ac:dyDescent="0.25">
      <c r="A385" s="497"/>
      <c r="C385" s="404"/>
      <c r="E385" s="308"/>
      <c r="G385" s="297"/>
      <c r="H385" s="297"/>
      <c r="J385" s="297"/>
      <c r="L385" s="312"/>
      <c r="N385" s="297"/>
    </row>
    <row r="386" spans="1:14" ht="15" customHeight="1" x14ac:dyDescent="0.25">
      <c r="A386" s="497"/>
      <c r="C386" s="404"/>
      <c r="E386" s="308"/>
      <c r="G386" s="297"/>
      <c r="H386" s="297"/>
      <c r="J386" s="297"/>
      <c r="L386" s="312"/>
      <c r="N386" s="297"/>
    </row>
    <row r="387" spans="1:14" ht="15" customHeight="1" x14ac:dyDescent="0.25">
      <c r="A387" s="497"/>
      <c r="C387" s="404"/>
      <c r="E387" s="308"/>
      <c r="G387" s="297"/>
      <c r="H387" s="297"/>
      <c r="J387" s="297"/>
      <c r="L387" s="312"/>
      <c r="N387" s="297"/>
    </row>
    <row r="388" spans="1:14" ht="15" customHeight="1" x14ac:dyDescent="0.25">
      <c r="A388" s="497"/>
      <c r="C388" s="404"/>
      <c r="E388" s="308"/>
      <c r="G388" s="297"/>
      <c r="H388" s="297"/>
      <c r="J388" s="297"/>
      <c r="L388" s="312"/>
      <c r="N388" s="297"/>
    </row>
    <row r="389" spans="1:14" ht="15" customHeight="1" x14ac:dyDescent="0.25">
      <c r="A389" s="497"/>
      <c r="C389" s="404"/>
      <c r="E389" s="308"/>
      <c r="G389" s="297"/>
      <c r="H389" s="297"/>
      <c r="J389" s="297"/>
      <c r="L389" s="312"/>
      <c r="N389" s="297"/>
    </row>
    <row r="390" spans="1:14" ht="15" customHeight="1" x14ac:dyDescent="0.25">
      <c r="A390" s="497"/>
      <c r="C390" s="404"/>
      <c r="E390" s="308"/>
      <c r="G390" s="297"/>
      <c r="H390" s="297"/>
      <c r="J390" s="297"/>
      <c r="L390" s="312"/>
      <c r="N390" s="297"/>
    </row>
    <row r="391" spans="1:14" ht="15" customHeight="1" x14ac:dyDescent="0.25">
      <c r="A391" s="497"/>
      <c r="C391" s="404"/>
      <c r="E391" s="308"/>
      <c r="G391" s="297"/>
      <c r="H391" s="297"/>
      <c r="J391" s="297"/>
      <c r="L391" s="312"/>
      <c r="N391" s="297"/>
    </row>
    <row r="392" spans="1:14" ht="15" customHeight="1" x14ac:dyDescent="0.25">
      <c r="A392" s="497"/>
      <c r="C392" s="404"/>
      <c r="E392" s="308"/>
      <c r="G392" s="297"/>
      <c r="H392" s="297"/>
      <c r="J392" s="297"/>
      <c r="L392" s="312"/>
      <c r="N392" s="297"/>
    </row>
    <row r="393" spans="1:14" ht="15" customHeight="1" x14ac:dyDescent="0.25">
      <c r="A393" s="497"/>
      <c r="C393" s="404"/>
      <c r="E393" s="308"/>
      <c r="G393" s="297"/>
      <c r="H393" s="297"/>
      <c r="J393" s="297"/>
      <c r="L393" s="312"/>
      <c r="N393" s="297"/>
    </row>
    <row r="394" spans="1:14" ht="15" customHeight="1" x14ac:dyDescent="0.25">
      <c r="A394" s="497"/>
      <c r="C394" s="404"/>
      <c r="E394" s="308"/>
      <c r="G394" s="297"/>
      <c r="H394" s="297"/>
      <c r="J394" s="297"/>
      <c r="L394" s="312"/>
      <c r="N394" s="297"/>
    </row>
    <row r="395" spans="1:14" ht="15" customHeight="1" x14ac:dyDescent="0.25">
      <c r="A395" s="497"/>
      <c r="C395" s="404"/>
      <c r="E395" s="308"/>
      <c r="G395" s="297"/>
      <c r="H395" s="297"/>
      <c r="J395" s="297"/>
      <c r="L395" s="312"/>
      <c r="N395" s="297"/>
    </row>
    <row r="396" spans="1:14" ht="15" customHeight="1" x14ac:dyDescent="0.25">
      <c r="A396" s="497"/>
      <c r="C396" s="404"/>
      <c r="E396" s="308"/>
      <c r="G396" s="297"/>
      <c r="H396" s="297"/>
      <c r="J396" s="297"/>
      <c r="L396" s="312"/>
      <c r="N396" s="297"/>
    </row>
    <row r="397" spans="1:14" ht="15" customHeight="1" x14ac:dyDescent="0.25">
      <c r="A397" s="497"/>
      <c r="C397" s="404"/>
      <c r="E397" s="308"/>
      <c r="G397" s="297"/>
      <c r="H397" s="297"/>
      <c r="J397" s="297"/>
      <c r="L397" s="312"/>
      <c r="N397" s="297"/>
    </row>
    <row r="398" spans="1:14" ht="15" customHeight="1" x14ac:dyDescent="0.25">
      <c r="A398" s="497"/>
      <c r="C398" s="404"/>
      <c r="E398" s="308"/>
      <c r="G398" s="297"/>
      <c r="H398" s="297"/>
      <c r="J398" s="297"/>
      <c r="L398" s="312"/>
      <c r="N398" s="297"/>
    </row>
    <row r="399" spans="1:14" ht="15" customHeight="1" x14ac:dyDescent="0.25">
      <c r="A399" s="497"/>
      <c r="C399" s="404"/>
      <c r="E399" s="308"/>
      <c r="G399" s="297"/>
      <c r="H399" s="297"/>
      <c r="J399" s="297"/>
      <c r="L399" s="312"/>
      <c r="N399" s="297"/>
    </row>
    <row r="400" spans="1:14" ht="15" customHeight="1" x14ac:dyDescent="0.25">
      <c r="A400" s="497"/>
      <c r="C400" s="404"/>
      <c r="E400" s="308"/>
      <c r="G400" s="297"/>
      <c r="H400" s="297"/>
      <c r="J400" s="297"/>
      <c r="L400" s="312"/>
      <c r="N400" s="297"/>
    </row>
    <row r="401" spans="1:14" ht="15" customHeight="1" x14ac:dyDescent="0.25">
      <c r="A401" s="497"/>
      <c r="C401" s="404"/>
      <c r="E401" s="308"/>
      <c r="G401" s="297"/>
      <c r="H401" s="297"/>
      <c r="J401" s="297"/>
      <c r="L401" s="312"/>
      <c r="N401" s="297"/>
    </row>
    <row r="402" spans="1:14" ht="15" customHeight="1" x14ac:dyDescent="0.25">
      <c r="A402" s="497"/>
      <c r="C402" s="404"/>
      <c r="E402" s="308"/>
      <c r="G402" s="297"/>
      <c r="H402" s="297"/>
      <c r="J402" s="297"/>
      <c r="L402" s="312"/>
      <c r="N402" s="297"/>
    </row>
    <row r="403" spans="1:14" ht="15" customHeight="1" x14ac:dyDescent="0.25">
      <c r="A403" s="497"/>
      <c r="C403" s="404"/>
      <c r="E403" s="308"/>
      <c r="G403" s="297"/>
      <c r="H403" s="297"/>
      <c r="J403" s="297"/>
      <c r="L403" s="312"/>
      <c r="N403" s="297"/>
    </row>
    <row r="404" spans="1:14" ht="15" customHeight="1" x14ac:dyDescent="0.25">
      <c r="A404" s="497"/>
      <c r="C404" s="404"/>
      <c r="E404" s="308"/>
      <c r="G404" s="297"/>
      <c r="H404" s="297"/>
      <c r="J404" s="297"/>
      <c r="L404" s="312"/>
      <c r="N404" s="297"/>
    </row>
    <row r="405" spans="1:14" ht="15" customHeight="1" x14ac:dyDescent="0.25">
      <c r="A405" s="497"/>
      <c r="C405" s="404"/>
      <c r="E405" s="308"/>
      <c r="G405" s="297"/>
      <c r="H405" s="297"/>
      <c r="J405" s="297"/>
      <c r="L405" s="312"/>
      <c r="N405" s="297"/>
    </row>
    <row r="406" spans="1:14" ht="15" customHeight="1" x14ac:dyDescent="0.25">
      <c r="A406" s="497"/>
      <c r="C406" s="404"/>
      <c r="E406" s="308"/>
      <c r="G406" s="297"/>
      <c r="H406" s="297"/>
      <c r="J406" s="297"/>
      <c r="L406" s="312"/>
      <c r="N406" s="297"/>
    </row>
    <row r="407" spans="1:14" ht="15" customHeight="1" x14ac:dyDescent="0.25">
      <c r="A407" s="497"/>
      <c r="C407" s="404"/>
      <c r="E407" s="308"/>
      <c r="G407" s="297"/>
      <c r="H407" s="297"/>
      <c r="J407" s="297"/>
      <c r="L407" s="312"/>
      <c r="N407" s="297"/>
    </row>
    <row r="408" spans="1:14" ht="15" customHeight="1" x14ac:dyDescent="0.25">
      <c r="A408" s="497"/>
      <c r="C408" s="404"/>
      <c r="E408" s="308"/>
      <c r="G408" s="297"/>
      <c r="H408" s="297"/>
      <c r="J408" s="297"/>
      <c r="L408" s="312"/>
      <c r="N408" s="297"/>
    </row>
    <row r="409" spans="1:14" ht="15" customHeight="1" x14ac:dyDescent="0.25">
      <c r="A409" s="497"/>
      <c r="C409" s="404"/>
      <c r="E409" s="308"/>
      <c r="G409" s="297"/>
      <c r="H409" s="297"/>
      <c r="J409" s="297"/>
      <c r="L409" s="312"/>
      <c r="N409" s="297"/>
    </row>
    <row r="410" spans="1:14" ht="15" customHeight="1" x14ac:dyDescent="0.25">
      <c r="A410" s="497"/>
      <c r="C410" s="404"/>
      <c r="E410" s="308"/>
      <c r="G410" s="297"/>
      <c r="H410" s="297"/>
      <c r="J410" s="297"/>
      <c r="L410" s="312"/>
      <c r="N410" s="297"/>
    </row>
    <row r="411" spans="1:14" ht="15" customHeight="1" x14ac:dyDescent="0.25">
      <c r="A411" s="497"/>
      <c r="C411" s="404"/>
      <c r="E411" s="308"/>
      <c r="G411" s="297"/>
      <c r="H411" s="297"/>
      <c r="J411" s="297"/>
      <c r="L411" s="312"/>
      <c r="N411" s="297"/>
    </row>
    <row r="412" spans="1:14" ht="15" customHeight="1" x14ac:dyDescent="0.25">
      <c r="A412" s="497"/>
      <c r="C412" s="404"/>
      <c r="E412" s="308"/>
      <c r="G412" s="297"/>
      <c r="H412" s="297"/>
      <c r="J412" s="297"/>
      <c r="L412" s="312"/>
      <c r="N412" s="297"/>
    </row>
    <row r="413" spans="1:14" ht="15" customHeight="1" x14ac:dyDescent="0.25">
      <c r="A413" s="497"/>
      <c r="C413" s="404"/>
      <c r="E413" s="308"/>
      <c r="G413" s="297"/>
      <c r="H413" s="297"/>
      <c r="J413" s="297"/>
      <c r="L413" s="312"/>
      <c r="N413" s="297"/>
    </row>
    <row r="414" spans="1:14" ht="15" customHeight="1" x14ac:dyDescent="0.25">
      <c r="A414" s="497"/>
      <c r="C414" s="404"/>
      <c r="E414" s="308"/>
      <c r="G414" s="297"/>
      <c r="H414" s="297"/>
      <c r="J414" s="297"/>
      <c r="L414" s="312"/>
      <c r="N414" s="297"/>
    </row>
    <row r="415" spans="1:14" ht="15" customHeight="1" x14ac:dyDescent="0.25">
      <c r="A415" s="497"/>
      <c r="C415" s="404"/>
      <c r="E415" s="308"/>
      <c r="G415" s="297"/>
      <c r="H415" s="297"/>
      <c r="J415" s="297"/>
      <c r="L415" s="312"/>
      <c r="N415" s="297"/>
    </row>
    <row r="416" spans="1:14" ht="15" customHeight="1" x14ac:dyDescent="0.25">
      <c r="A416" s="497"/>
      <c r="C416" s="404"/>
      <c r="E416" s="308"/>
      <c r="G416" s="297"/>
      <c r="H416" s="297"/>
      <c r="J416" s="297"/>
      <c r="L416" s="312"/>
      <c r="N416" s="297"/>
    </row>
    <row r="417" spans="1:14" ht="15" customHeight="1" x14ac:dyDescent="0.25">
      <c r="A417" s="497"/>
      <c r="C417" s="404"/>
      <c r="E417" s="308"/>
      <c r="G417" s="297"/>
      <c r="H417" s="297"/>
      <c r="J417" s="297"/>
      <c r="L417" s="312"/>
      <c r="N417" s="297"/>
    </row>
    <row r="418" spans="1:14" ht="15" customHeight="1" x14ac:dyDescent="0.25">
      <c r="A418" s="497"/>
      <c r="C418" s="404"/>
      <c r="E418" s="308"/>
      <c r="G418" s="297"/>
      <c r="H418" s="297"/>
      <c r="J418" s="297"/>
      <c r="L418" s="312"/>
      <c r="N418" s="297"/>
    </row>
    <row r="419" spans="1:14" ht="15" customHeight="1" x14ac:dyDescent="0.25">
      <c r="A419" s="497"/>
      <c r="C419" s="404"/>
      <c r="E419" s="308"/>
      <c r="G419" s="297"/>
      <c r="H419" s="297"/>
      <c r="J419" s="297"/>
      <c r="L419" s="312"/>
      <c r="N419" s="297"/>
    </row>
    <row r="420" spans="1:14" ht="15" customHeight="1" x14ac:dyDescent="0.25">
      <c r="A420" s="497"/>
      <c r="C420" s="404"/>
      <c r="E420" s="308"/>
      <c r="G420" s="297"/>
      <c r="H420" s="297"/>
      <c r="J420" s="297"/>
      <c r="L420" s="312"/>
      <c r="N420" s="297"/>
    </row>
    <row r="421" spans="1:14" ht="15" customHeight="1" x14ac:dyDescent="0.25">
      <c r="A421" s="497"/>
      <c r="C421" s="404"/>
      <c r="E421" s="308"/>
      <c r="G421" s="297"/>
      <c r="H421" s="297"/>
      <c r="J421" s="297"/>
      <c r="L421" s="312"/>
      <c r="N421" s="297"/>
    </row>
    <row r="422" spans="1:14" ht="15" customHeight="1" x14ac:dyDescent="0.25">
      <c r="A422" s="497"/>
      <c r="C422" s="404"/>
      <c r="E422" s="308"/>
      <c r="G422" s="297"/>
      <c r="H422" s="297"/>
      <c r="J422" s="297"/>
      <c r="L422" s="312"/>
      <c r="N422" s="297"/>
    </row>
    <row r="423" spans="1:14" ht="15" customHeight="1" x14ac:dyDescent="0.25">
      <c r="A423" s="497"/>
      <c r="C423" s="404"/>
      <c r="E423" s="308"/>
      <c r="G423" s="297"/>
      <c r="H423" s="297"/>
      <c r="J423" s="297"/>
      <c r="L423" s="312"/>
      <c r="N423" s="297"/>
    </row>
    <row r="424" spans="1:14" ht="15" customHeight="1" x14ac:dyDescent="0.25">
      <c r="A424" s="497"/>
      <c r="C424" s="404"/>
      <c r="E424" s="308"/>
      <c r="G424" s="297"/>
      <c r="H424" s="297"/>
      <c r="J424" s="297"/>
      <c r="L424" s="312"/>
      <c r="N424" s="297"/>
    </row>
    <row r="425" spans="1:14" ht="15" customHeight="1" x14ac:dyDescent="0.25">
      <c r="A425" s="497"/>
      <c r="C425" s="404"/>
      <c r="E425" s="308"/>
      <c r="G425" s="297"/>
      <c r="H425" s="297"/>
      <c r="J425" s="297"/>
      <c r="L425" s="312"/>
      <c r="N425" s="297"/>
    </row>
    <row r="426" spans="1:14" ht="15" customHeight="1" x14ac:dyDescent="0.25">
      <c r="A426" s="497"/>
      <c r="C426" s="404"/>
      <c r="E426" s="308"/>
      <c r="G426" s="297"/>
      <c r="H426" s="297"/>
      <c r="J426" s="297"/>
      <c r="L426" s="312"/>
      <c r="N426" s="297"/>
    </row>
    <row r="427" spans="1:14" ht="15" customHeight="1" x14ac:dyDescent="0.25">
      <c r="A427" s="497"/>
      <c r="C427" s="404"/>
      <c r="E427" s="308"/>
      <c r="G427" s="297"/>
      <c r="H427" s="297"/>
      <c r="J427" s="297"/>
      <c r="L427" s="312"/>
      <c r="N427" s="297"/>
    </row>
    <row r="428" spans="1:14" ht="15" customHeight="1" x14ac:dyDescent="0.25">
      <c r="A428" s="497"/>
      <c r="C428" s="404"/>
      <c r="E428" s="308"/>
      <c r="G428" s="297"/>
      <c r="H428" s="297"/>
      <c r="J428" s="297"/>
      <c r="L428" s="312"/>
      <c r="N428" s="297"/>
    </row>
    <row r="429" spans="1:14" ht="15" customHeight="1" x14ac:dyDescent="0.25">
      <c r="A429" s="497"/>
      <c r="C429" s="404"/>
      <c r="E429" s="308"/>
      <c r="G429" s="297"/>
      <c r="H429" s="297"/>
      <c r="J429" s="297"/>
      <c r="L429" s="312"/>
      <c r="N429" s="297"/>
    </row>
    <row r="430" spans="1:14" ht="15" customHeight="1" x14ac:dyDescent="0.25">
      <c r="A430" s="497"/>
      <c r="C430" s="404"/>
      <c r="E430" s="308"/>
      <c r="G430" s="297"/>
      <c r="H430" s="297"/>
      <c r="J430" s="297"/>
      <c r="L430" s="312"/>
      <c r="N430" s="297"/>
    </row>
    <row r="431" spans="1:14" ht="15" customHeight="1" x14ac:dyDescent="0.25">
      <c r="A431" s="497"/>
      <c r="C431" s="404"/>
      <c r="E431" s="308"/>
      <c r="G431" s="297"/>
      <c r="H431" s="297"/>
      <c r="J431" s="297"/>
      <c r="L431" s="312"/>
      <c r="N431" s="297"/>
    </row>
    <row r="432" spans="1:14" ht="15" customHeight="1" x14ac:dyDescent="0.25">
      <c r="A432" s="497"/>
      <c r="C432" s="404"/>
      <c r="E432" s="308"/>
      <c r="G432" s="297"/>
      <c r="H432" s="297"/>
      <c r="J432" s="297"/>
      <c r="L432" s="312"/>
      <c r="N432" s="297"/>
    </row>
    <row r="433" spans="1:14" ht="15" customHeight="1" x14ac:dyDescent="0.25">
      <c r="A433" s="497"/>
      <c r="C433" s="404"/>
      <c r="E433" s="308"/>
      <c r="G433" s="297"/>
      <c r="H433" s="297"/>
      <c r="J433" s="297"/>
      <c r="L433" s="312"/>
      <c r="N433" s="297"/>
    </row>
    <row r="434" spans="1:14" ht="15" customHeight="1" x14ac:dyDescent="0.25">
      <c r="A434" s="497"/>
      <c r="C434" s="404"/>
      <c r="E434" s="308"/>
      <c r="G434" s="297"/>
      <c r="H434" s="297"/>
      <c r="J434" s="297"/>
      <c r="L434" s="312"/>
      <c r="N434" s="297"/>
    </row>
    <row r="435" spans="1:14" ht="15" customHeight="1" x14ac:dyDescent="0.25">
      <c r="A435" s="497"/>
      <c r="C435" s="404"/>
      <c r="E435" s="308"/>
      <c r="G435" s="297"/>
      <c r="H435" s="297"/>
      <c r="J435" s="297"/>
      <c r="L435" s="312"/>
      <c r="N435" s="297"/>
    </row>
    <row r="436" spans="1:14" ht="15" customHeight="1" x14ac:dyDescent="0.25">
      <c r="A436" s="497"/>
      <c r="C436" s="404"/>
      <c r="E436" s="308"/>
      <c r="G436" s="297"/>
      <c r="H436" s="297"/>
      <c r="J436" s="297"/>
      <c r="L436" s="312"/>
      <c r="N436" s="297"/>
    </row>
    <row r="437" spans="1:14" ht="15" customHeight="1" x14ac:dyDescent="0.25">
      <c r="A437" s="497"/>
      <c r="C437" s="404"/>
      <c r="E437" s="308"/>
      <c r="G437" s="297"/>
      <c r="H437" s="297"/>
      <c r="J437" s="297"/>
      <c r="L437" s="312"/>
      <c r="N437" s="297"/>
    </row>
    <row r="438" spans="1:14" ht="15" customHeight="1" x14ac:dyDescent="0.25">
      <c r="A438" s="497"/>
      <c r="C438" s="404"/>
      <c r="E438" s="308"/>
      <c r="G438" s="297"/>
      <c r="H438" s="297"/>
      <c r="J438" s="297"/>
      <c r="L438" s="312"/>
      <c r="N438" s="297"/>
    </row>
    <row r="439" spans="1:14" ht="15" customHeight="1" x14ac:dyDescent="0.25">
      <c r="A439" s="497"/>
      <c r="C439" s="404"/>
      <c r="E439" s="308"/>
      <c r="G439" s="297"/>
      <c r="H439" s="297"/>
      <c r="J439" s="297"/>
      <c r="L439" s="312"/>
      <c r="N439" s="297"/>
    </row>
    <row r="440" spans="1:14" ht="15" customHeight="1" x14ac:dyDescent="0.25">
      <c r="A440" s="497"/>
      <c r="C440" s="404"/>
      <c r="E440" s="308"/>
      <c r="G440" s="297"/>
      <c r="H440" s="297"/>
      <c r="J440" s="297"/>
      <c r="L440" s="312"/>
      <c r="N440" s="297"/>
    </row>
    <row r="441" spans="1:14" ht="15" customHeight="1" x14ac:dyDescent="0.25">
      <c r="A441" s="497"/>
      <c r="C441" s="404"/>
      <c r="E441" s="308"/>
      <c r="G441" s="297"/>
      <c r="H441" s="297"/>
      <c r="J441" s="297"/>
      <c r="L441" s="312"/>
      <c r="N441" s="297"/>
    </row>
    <row r="442" spans="1:14" ht="15" customHeight="1" x14ac:dyDescent="0.25">
      <c r="A442" s="497"/>
      <c r="C442" s="404"/>
      <c r="E442" s="308"/>
      <c r="G442" s="297"/>
      <c r="H442" s="297"/>
      <c r="J442" s="297"/>
      <c r="L442" s="312"/>
      <c r="N442" s="297"/>
    </row>
    <row r="443" spans="1:14" ht="15" customHeight="1" x14ac:dyDescent="0.25">
      <c r="A443" s="497"/>
      <c r="C443" s="404"/>
      <c r="E443" s="308"/>
      <c r="G443" s="297"/>
      <c r="H443" s="297"/>
      <c r="J443" s="297"/>
      <c r="L443" s="312"/>
      <c r="N443" s="297"/>
    </row>
    <row r="444" spans="1:14" ht="15" customHeight="1" x14ac:dyDescent="0.25">
      <c r="A444" s="497"/>
      <c r="C444" s="404"/>
      <c r="E444" s="308"/>
      <c r="G444" s="297"/>
      <c r="H444" s="297"/>
      <c r="J444" s="297"/>
      <c r="L444" s="312"/>
      <c r="N444" s="297"/>
    </row>
    <row r="445" spans="1:14" ht="15" customHeight="1" x14ac:dyDescent="0.25">
      <c r="A445" s="497"/>
      <c r="C445" s="404"/>
      <c r="E445" s="308"/>
      <c r="G445" s="297"/>
      <c r="H445" s="297"/>
      <c r="J445" s="297"/>
      <c r="L445" s="312"/>
      <c r="N445" s="297"/>
    </row>
    <row r="446" spans="1:14" ht="15" customHeight="1" x14ac:dyDescent="0.25">
      <c r="A446" s="497"/>
      <c r="C446" s="404"/>
      <c r="E446" s="308"/>
      <c r="G446" s="297"/>
      <c r="H446" s="297"/>
      <c r="J446" s="297"/>
      <c r="L446" s="312"/>
      <c r="N446" s="297"/>
    </row>
    <row r="447" spans="1:14" ht="15" customHeight="1" x14ac:dyDescent="0.25">
      <c r="A447" s="497"/>
      <c r="C447" s="404"/>
      <c r="E447" s="308"/>
      <c r="G447" s="297"/>
      <c r="H447" s="297"/>
      <c r="J447" s="297"/>
      <c r="L447" s="312"/>
      <c r="N447" s="297"/>
    </row>
    <row r="448" spans="1:14" ht="15" customHeight="1" x14ac:dyDescent="0.25">
      <c r="A448" s="497"/>
      <c r="C448" s="404"/>
      <c r="E448" s="308"/>
      <c r="G448" s="297"/>
      <c r="H448" s="297"/>
      <c r="J448" s="297"/>
      <c r="L448" s="312"/>
      <c r="N448" s="297"/>
    </row>
    <row r="449" spans="1:14" ht="15" customHeight="1" x14ac:dyDescent="0.25">
      <c r="A449" s="497"/>
      <c r="C449" s="404"/>
      <c r="E449" s="308"/>
      <c r="G449" s="297"/>
      <c r="H449" s="297"/>
      <c r="J449" s="297"/>
      <c r="L449" s="312"/>
      <c r="N449" s="297"/>
    </row>
    <row r="450" spans="1:14" ht="15" customHeight="1" x14ac:dyDescent="0.25">
      <c r="A450" s="497"/>
      <c r="C450" s="404"/>
      <c r="E450" s="308"/>
      <c r="G450" s="297"/>
      <c r="H450" s="297"/>
      <c r="J450" s="297"/>
      <c r="L450" s="312"/>
      <c r="N450" s="297"/>
    </row>
    <row r="451" spans="1:14" ht="15" customHeight="1" x14ac:dyDescent="0.25">
      <c r="A451" s="497"/>
      <c r="C451" s="404"/>
      <c r="E451" s="308"/>
      <c r="G451" s="297"/>
      <c r="H451" s="297"/>
      <c r="J451" s="297"/>
      <c r="L451" s="312"/>
      <c r="N451" s="297"/>
    </row>
    <row r="452" spans="1:14" ht="15" customHeight="1" x14ac:dyDescent="0.25">
      <c r="A452" s="497"/>
      <c r="C452" s="404"/>
      <c r="E452" s="308"/>
      <c r="G452" s="297"/>
      <c r="H452" s="297"/>
      <c r="J452" s="297"/>
      <c r="L452" s="312"/>
      <c r="N452" s="297"/>
    </row>
    <row r="453" spans="1:14" ht="15" customHeight="1" x14ac:dyDescent="0.25">
      <c r="A453" s="497"/>
      <c r="C453" s="404"/>
      <c r="E453" s="308"/>
      <c r="G453" s="297"/>
      <c r="H453" s="297"/>
      <c r="J453" s="297"/>
      <c r="L453" s="312"/>
      <c r="N453" s="297"/>
    </row>
    <row r="454" spans="1:14" ht="15" customHeight="1" x14ac:dyDescent="0.25">
      <c r="A454" s="497"/>
      <c r="C454" s="404"/>
      <c r="E454" s="308"/>
      <c r="G454" s="297"/>
      <c r="H454" s="297"/>
      <c r="J454" s="297"/>
      <c r="L454" s="312"/>
      <c r="N454" s="297"/>
    </row>
    <row r="455" spans="1:14" ht="15" customHeight="1" x14ac:dyDescent="0.25">
      <c r="A455" s="497"/>
      <c r="C455" s="404"/>
      <c r="E455" s="308"/>
      <c r="G455" s="297"/>
      <c r="H455" s="297"/>
      <c r="J455" s="297"/>
      <c r="L455" s="312"/>
      <c r="N455" s="297"/>
    </row>
    <row r="456" spans="1:14" ht="15" customHeight="1" x14ac:dyDescent="0.25">
      <c r="A456" s="497"/>
      <c r="C456" s="404"/>
      <c r="E456" s="308"/>
      <c r="G456" s="297"/>
      <c r="H456" s="297"/>
      <c r="J456" s="297"/>
      <c r="L456" s="312"/>
      <c r="N456" s="297"/>
    </row>
    <row r="457" spans="1:14" ht="15" customHeight="1" x14ac:dyDescent="0.25">
      <c r="A457" s="497"/>
      <c r="C457" s="404"/>
      <c r="E457" s="308"/>
      <c r="G457" s="297"/>
      <c r="H457" s="297"/>
      <c r="J457" s="297"/>
      <c r="L457" s="312"/>
      <c r="N457" s="297"/>
    </row>
    <row r="458" spans="1:14" ht="15" customHeight="1" x14ac:dyDescent="0.25">
      <c r="A458" s="497"/>
      <c r="C458" s="404"/>
      <c r="E458" s="308"/>
      <c r="G458" s="297"/>
      <c r="H458" s="297"/>
      <c r="J458" s="297"/>
      <c r="L458" s="312"/>
      <c r="N458" s="297"/>
    </row>
    <row r="459" spans="1:14" ht="15" customHeight="1" x14ac:dyDescent="0.25">
      <c r="A459" s="497"/>
      <c r="C459" s="404"/>
      <c r="E459" s="308"/>
      <c r="G459" s="297"/>
      <c r="H459" s="297"/>
      <c r="J459" s="297"/>
      <c r="L459" s="312"/>
      <c r="N459" s="297"/>
    </row>
    <row r="460" spans="1:14" ht="15" customHeight="1" x14ac:dyDescent="0.25">
      <c r="A460" s="497"/>
      <c r="C460" s="404"/>
      <c r="E460" s="308"/>
      <c r="G460" s="297"/>
      <c r="H460" s="297"/>
      <c r="J460" s="297"/>
      <c r="L460" s="312"/>
      <c r="N460" s="297"/>
    </row>
    <row r="461" spans="1:14" ht="15" customHeight="1" x14ac:dyDescent="0.25">
      <c r="A461" s="497"/>
      <c r="C461" s="404"/>
      <c r="E461" s="308"/>
      <c r="G461" s="297"/>
      <c r="H461" s="297"/>
      <c r="J461" s="297"/>
      <c r="L461" s="312"/>
      <c r="N461" s="297"/>
    </row>
    <row r="462" spans="1:14" ht="15" customHeight="1" x14ac:dyDescent="0.25">
      <c r="A462" s="497"/>
      <c r="C462" s="404"/>
      <c r="E462" s="308"/>
      <c r="G462" s="297"/>
      <c r="H462" s="297"/>
      <c r="J462" s="297"/>
      <c r="L462" s="312"/>
      <c r="N462" s="297"/>
    </row>
    <row r="463" spans="1:14" ht="15" customHeight="1" x14ac:dyDescent="0.25">
      <c r="A463" s="497"/>
      <c r="C463" s="404"/>
      <c r="E463" s="308"/>
      <c r="G463" s="297"/>
      <c r="H463" s="297"/>
      <c r="J463" s="297"/>
      <c r="L463" s="312"/>
      <c r="N463" s="297"/>
    </row>
    <row r="464" spans="1:14" ht="15" customHeight="1" x14ac:dyDescent="0.25">
      <c r="A464" s="497"/>
      <c r="C464" s="404"/>
      <c r="E464" s="308"/>
      <c r="G464" s="297"/>
      <c r="H464" s="297"/>
      <c r="J464" s="297"/>
      <c r="L464" s="312"/>
      <c r="N464" s="297"/>
    </row>
    <row r="465" spans="1:14" ht="15" customHeight="1" x14ac:dyDescent="0.25">
      <c r="A465" s="497"/>
      <c r="C465" s="404"/>
      <c r="E465" s="308"/>
      <c r="G465" s="297"/>
      <c r="H465" s="297"/>
      <c r="J465" s="297"/>
      <c r="L465" s="312"/>
      <c r="N465" s="297"/>
    </row>
    <row r="466" spans="1:14" ht="15" customHeight="1" x14ac:dyDescent="0.25">
      <c r="A466" s="497"/>
      <c r="C466" s="404"/>
      <c r="E466" s="308"/>
      <c r="G466" s="297"/>
      <c r="H466" s="297"/>
      <c r="J466" s="297"/>
      <c r="L466" s="312"/>
      <c r="N466" s="297"/>
    </row>
    <row r="467" spans="1:14" ht="15" customHeight="1" x14ac:dyDescent="0.25">
      <c r="A467" s="497"/>
      <c r="C467" s="404"/>
      <c r="E467" s="308"/>
      <c r="G467" s="297"/>
      <c r="H467" s="297"/>
      <c r="J467" s="297"/>
      <c r="L467" s="312"/>
      <c r="N467" s="297"/>
    </row>
    <row r="468" spans="1:14" ht="15" customHeight="1" x14ac:dyDescent="0.25">
      <c r="A468" s="497"/>
      <c r="C468" s="404"/>
      <c r="E468" s="308"/>
      <c r="G468" s="297"/>
      <c r="H468" s="297"/>
      <c r="J468" s="297"/>
      <c r="L468" s="312"/>
      <c r="N468" s="297"/>
    </row>
    <row r="469" spans="1:14" ht="15" customHeight="1" x14ac:dyDescent="0.25">
      <c r="A469" s="497"/>
      <c r="C469" s="404"/>
      <c r="E469" s="308"/>
      <c r="G469" s="297"/>
      <c r="H469" s="297"/>
      <c r="J469" s="297"/>
      <c r="L469" s="312"/>
      <c r="N469" s="297"/>
    </row>
    <row r="470" spans="1:14" ht="15" customHeight="1" x14ac:dyDescent="0.25">
      <c r="A470" s="497"/>
      <c r="C470" s="404"/>
      <c r="E470" s="308"/>
      <c r="G470" s="297"/>
      <c r="H470" s="297"/>
      <c r="J470" s="297"/>
      <c r="L470" s="312"/>
      <c r="N470" s="297"/>
    </row>
    <row r="471" spans="1:14" ht="15" customHeight="1" x14ac:dyDescent="0.25">
      <c r="A471" s="497"/>
      <c r="C471" s="404"/>
      <c r="E471" s="308"/>
      <c r="G471" s="297"/>
      <c r="H471" s="297"/>
      <c r="J471" s="297"/>
      <c r="L471" s="312"/>
      <c r="N471" s="297"/>
    </row>
    <row r="472" spans="1:14" ht="15" customHeight="1" x14ac:dyDescent="0.25">
      <c r="A472" s="497"/>
      <c r="C472" s="404"/>
      <c r="E472" s="308"/>
      <c r="G472" s="297"/>
      <c r="H472" s="297"/>
      <c r="J472" s="297"/>
      <c r="L472" s="312"/>
      <c r="N472" s="297"/>
    </row>
    <row r="473" spans="1:14" ht="15" customHeight="1" x14ac:dyDescent="0.25">
      <c r="A473" s="497"/>
      <c r="C473" s="404"/>
      <c r="E473" s="308"/>
      <c r="G473" s="297"/>
      <c r="H473" s="297"/>
      <c r="J473" s="297"/>
      <c r="L473" s="312"/>
      <c r="N473" s="297"/>
    </row>
    <row r="474" spans="1:14" ht="15" customHeight="1" x14ac:dyDescent="0.25">
      <c r="A474" s="497"/>
      <c r="C474" s="404"/>
      <c r="E474" s="308"/>
      <c r="G474" s="297"/>
      <c r="H474" s="297"/>
      <c r="J474" s="297"/>
      <c r="L474" s="312"/>
      <c r="N474" s="297"/>
    </row>
    <row r="475" spans="1:14" ht="15" customHeight="1" x14ac:dyDescent="0.25">
      <c r="A475" s="497"/>
      <c r="C475" s="404"/>
      <c r="E475" s="308"/>
      <c r="G475" s="297"/>
      <c r="H475" s="297"/>
      <c r="J475" s="297"/>
      <c r="L475" s="312"/>
      <c r="N475" s="297"/>
    </row>
    <row r="476" spans="1:14" ht="15" customHeight="1" x14ac:dyDescent="0.25">
      <c r="A476" s="497"/>
      <c r="C476" s="404"/>
      <c r="E476" s="308"/>
      <c r="G476" s="297"/>
      <c r="H476" s="297"/>
      <c r="J476" s="297"/>
      <c r="L476" s="312"/>
      <c r="N476" s="297"/>
    </row>
    <row r="477" spans="1:14" ht="15" customHeight="1" x14ac:dyDescent="0.25">
      <c r="A477" s="497"/>
      <c r="C477" s="404"/>
      <c r="E477" s="308"/>
      <c r="G477" s="297"/>
      <c r="H477" s="297"/>
      <c r="J477" s="297"/>
      <c r="L477" s="312"/>
      <c r="N477" s="297"/>
    </row>
    <row r="478" spans="1:14" ht="15" customHeight="1" x14ac:dyDescent="0.25">
      <c r="A478" s="497"/>
      <c r="C478" s="404"/>
      <c r="E478" s="308"/>
      <c r="G478" s="297"/>
      <c r="H478" s="297"/>
      <c r="J478" s="297"/>
      <c r="L478" s="312"/>
      <c r="N478" s="297"/>
    </row>
    <row r="479" spans="1:14" ht="15" customHeight="1" x14ac:dyDescent="0.25">
      <c r="A479" s="497"/>
      <c r="C479" s="404"/>
      <c r="E479" s="308"/>
      <c r="G479" s="297"/>
      <c r="H479" s="297"/>
      <c r="J479" s="297"/>
      <c r="L479" s="312"/>
      <c r="N479" s="297"/>
    </row>
    <row r="480" spans="1:14" ht="15" customHeight="1" x14ac:dyDescent="0.25">
      <c r="A480" s="497"/>
      <c r="C480" s="404"/>
      <c r="E480" s="308"/>
      <c r="G480" s="297"/>
      <c r="H480" s="297"/>
      <c r="J480" s="297"/>
      <c r="L480" s="312"/>
      <c r="N480" s="297"/>
    </row>
    <row r="481" spans="1:14" ht="15" customHeight="1" x14ac:dyDescent="0.25">
      <c r="A481" s="497"/>
      <c r="C481" s="404"/>
      <c r="E481" s="308"/>
      <c r="G481" s="297"/>
      <c r="H481" s="297"/>
      <c r="J481" s="297"/>
      <c r="L481" s="312"/>
      <c r="N481" s="297"/>
    </row>
    <row r="482" spans="1:14" ht="15" customHeight="1" x14ac:dyDescent="0.25">
      <c r="A482" s="497"/>
      <c r="C482" s="404"/>
      <c r="E482" s="308"/>
      <c r="G482" s="297"/>
      <c r="H482" s="297"/>
      <c r="J482" s="297"/>
      <c r="L482" s="312"/>
      <c r="N482" s="297"/>
    </row>
    <row r="483" spans="1:14" ht="15" customHeight="1" x14ac:dyDescent="0.25">
      <c r="A483" s="497"/>
      <c r="C483" s="404"/>
      <c r="E483" s="308"/>
      <c r="G483" s="297"/>
      <c r="H483" s="297"/>
      <c r="J483" s="297"/>
      <c r="L483" s="312"/>
      <c r="N483" s="297"/>
    </row>
    <row r="484" spans="1:14" ht="15" customHeight="1" x14ac:dyDescent="0.25">
      <c r="A484" s="497"/>
      <c r="C484" s="404"/>
      <c r="E484" s="308"/>
      <c r="G484" s="297"/>
      <c r="H484" s="297"/>
      <c r="J484" s="297"/>
      <c r="L484" s="312"/>
      <c r="N484" s="297"/>
    </row>
    <row r="485" spans="1:14" ht="15" customHeight="1" x14ac:dyDescent="0.25">
      <c r="A485" s="497"/>
      <c r="C485" s="404"/>
      <c r="E485" s="308"/>
      <c r="G485" s="297"/>
      <c r="H485" s="297"/>
      <c r="J485" s="297"/>
      <c r="L485" s="312"/>
      <c r="N485" s="297"/>
    </row>
    <row r="486" spans="1:14" ht="15" customHeight="1" x14ac:dyDescent="0.25">
      <c r="A486" s="497"/>
      <c r="C486" s="404"/>
      <c r="E486" s="308"/>
      <c r="G486" s="297"/>
      <c r="H486" s="297"/>
      <c r="J486" s="297"/>
      <c r="L486" s="312"/>
      <c r="N486" s="297"/>
    </row>
    <row r="487" spans="1:14" ht="15" customHeight="1" x14ac:dyDescent="0.25">
      <c r="A487" s="497"/>
      <c r="C487" s="404"/>
      <c r="E487" s="308"/>
      <c r="G487" s="297"/>
      <c r="H487" s="297"/>
      <c r="J487" s="297"/>
      <c r="L487" s="312"/>
      <c r="N487" s="297"/>
    </row>
    <row r="488" spans="1:14" ht="15" customHeight="1" x14ac:dyDescent="0.25">
      <c r="A488" s="497"/>
      <c r="C488" s="404"/>
      <c r="E488" s="308"/>
      <c r="G488" s="297"/>
      <c r="H488" s="297"/>
      <c r="J488" s="297"/>
      <c r="L488" s="312"/>
      <c r="N488" s="297"/>
    </row>
    <row r="489" spans="1:14" ht="15" customHeight="1" x14ac:dyDescent="0.25">
      <c r="A489" s="497"/>
      <c r="C489" s="404"/>
      <c r="E489" s="308"/>
      <c r="G489" s="297"/>
      <c r="H489" s="297"/>
      <c r="J489" s="297"/>
      <c r="L489" s="312"/>
      <c r="N489" s="297"/>
    </row>
    <row r="490" spans="1:14" ht="15" customHeight="1" x14ac:dyDescent="0.25">
      <c r="A490" s="497"/>
      <c r="C490" s="404"/>
      <c r="E490" s="308"/>
      <c r="G490" s="297"/>
      <c r="H490" s="297"/>
      <c r="J490" s="297"/>
      <c r="L490" s="312"/>
      <c r="N490" s="297"/>
    </row>
    <row r="491" spans="1:14" ht="15" customHeight="1" x14ac:dyDescent="0.25">
      <c r="A491" s="497"/>
      <c r="C491" s="404"/>
      <c r="E491" s="308"/>
      <c r="G491" s="297"/>
      <c r="H491" s="297"/>
      <c r="J491" s="297"/>
      <c r="L491" s="312"/>
      <c r="N491" s="297"/>
    </row>
    <row r="492" spans="1:14" ht="15" customHeight="1" x14ac:dyDescent="0.25">
      <c r="A492" s="497"/>
      <c r="C492" s="404"/>
      <c r="E492" s="308"/>
      <c r="G492" s="297"/>
      <c r="H492" s="297"/>
      <c r="J492" s="297"/>
      <c r="L492" s="312"/>
      <c r="N492" s="297"/>
    </row>
    <row r="493" spans="1:14" ht="15" customHeight="1" x14ac:dyDescent="0.25">
      <c r="A493" s="497"/>
      <c r="C493" s="404"/>
      <c r="E493" s="308"/>
      <c r="G493" s="297"/>
      <c r="H493" s="297"/>
      <c r="J493" s="297"/>
      <c r="L493" s="312"/>
      <c r="N493" s="297"/>
    </row>
    <row r="494" spans="1:14" ht="15" customHeight="1" x14ac:dyDescent="0.25">
      <c r="A494" s="497"/>
      <c r="C494" s="404"/>
      <c r="E494" s="308"/>
      <c r="G494" s="297"/>
      <c r="H494" s="297"/>
      <c r="J494" s="297"/>
      <c r="L494" s="312"/>
      <c r="N494" s="297"/>
    </row>
    <row r="495" spans="1:14" ht="15" customHeight="1" x14ac:dyDescent="0.25">
      <c r="A495" s="497"/>
      <c r="C495" s="404"/>
      <c r="E495" s="308"/>
      <c r="G495" s="297"/>
      <c r="H495" s="297"/>
      <c r="J495" s="297"/>
      <c r="L495" s="312"/>
      <c r="N495" s="297"/>
    </row>
    <row r="496" spans="1:14" ht="15" customHeight="1" x14ac:dyDescent="0.25">
      <c r="A496" s="497"/>
      <c r="C496" s="404"/>
      <c r="E496" s="308"/>
      <c r="G496" s="297"/>
      <c r="H496" s="297"/>
      <c r="J496" s="297"/>
      <c r="L496" s="312"/>
      <c r="N496" s="297"/>
    </row>
    <row r="497" spans="1:14" ht="15" customHeight="1" x14ac:dyDescent="0.25">
      <c r="A497" s="497"/>
      <c r="C497" s="404"/>
      <c r="E497" s="308"/>
      <c r="G497" s="297"/>
      <c r="H497" s="297"/>
      <c r="J497" s="297"/>
      <c r="L497" s="312"/>
      <c r="N497" s="297"/>
    </row>
    <row r="498" spans="1:14" ht="15" customHeight="1" x14ac:dyDescent="0.25">
      <c r="A498" s="497"/>
      <c r="C498" s="404"/>
      <c r="E498" s="308"/>
      <c r="G498" s="297"/>
      <c r="H498" s="297"/>
      <c r="J498" s="297"/>
      <c r="L498" s="312"/>
      <c r="N498" s="297"/>
    </row>
    <row r="499" spans="1:14" ht="15" customHeight="1" x14ac:dyDescent="0.25">
      <c r="A499" s="497"/>
      <c r="C499" s="404"/>
      <c r="E499" s="308"/>
      <c r="G499" s="297"/>
      <c r="H499" s="297"/>
      <c r="J499" s="297"/>
      <c r="L499" s="312"/>
      <c r="N499" s="297"/>
    </row>
    <row r="500" spans="1:14" ht="15" customHeight="1" x14ac:dyDescent="0.25">
      <c r="A500" s="497"/>
      <c r="C500" s="404"/>
      <c r="E500" s="308"/>
      <c r="G500" s="297"/>
      <c r="H500" s="297"/>
      <c r="J500" s="297"/>
      <c r="L500" s="312"/>
      <c r="N500" s="297"/>
    </row>
    <row r="501" spans="1:14" ht="15" customHeight="1" x14ac:dyDescent="0.25">
      <c r="A501" s="497"/>
      <c r="C501" s="404"/>
      <c r="E501" s="308"/>
      <c r="G501" s="297"/>
      <c r="H501" s="297"/>
      <c r="J501" s="297"/>
      <c r="L501" s="312"/>
      <c r="N501" s="297"/>
    </row>
    <row r="502" spans="1:14" ht="15" customHeight="1" x14ac:dyDescent="0.25">
      <c r="A502" s="497"/>
      <c r="C502" s="404"/>
      <c r="E502" s="308"/>
      <c r="G502" s="297"/>
      <c r="H502" s="297"/>
      <c r="J502" s="297"/>
      <c r="L502" s="312"/>
      <c r="N502" s="297"/>
    </row>
    <row r="503" spans="1:14" ht="15" customHeight="1" x14ac:dyDescent="0.25">
      <c r="A503" s="497"/>
      <c r="C503" s="404"/>
      <c r="E503" s="308"/>
      <c r="G503" s="297"/>
      <c r="H503" s="297"/>
      <c r="J503" s="297"/>
      <c r="L503" s="312"/>
      <c r="N503" s="297"/>
    </row>
    <row r="504" spans="1:14" ht="15" customHeight="1" x14ac:dyDescent="0.25">
      <c r="A504" s="497"/>
      <c r="C504" s="404"/>
      <c r="E504" s="308"/>
      <c r="G504" s="297"/>
      <c r="H504" s="297"/>
      <c r="J504" s="297"/>
      <c r="L504" s="312"/>
      <c r="N504" s="297"/>
    </row>
    <row r="505" spans="1:14" ht="15" customHeight="1" x14ac:dyDescent="0.25">
      <c r="A505" s="497"/>
      <c r="C505" s="404"/>
      <c r="E505" s="308"/>
      <c r="G505" s="297"/>
      <c r="H505" s="297"/>
      <c r="J505" s="297"/>
      <c r="L505" s="312"/>
      <c r="N505" s="297"/>
    </row>
    <row r="506" spans="1:14" ht="15" customHeight="1" x14ac:dyDescent="0.25">
      <c r="A506" s="497"/>
      <c r="C506" s="404"/>
      <c r="E506" s="308"/>
      <c r="G506" s="297"/>
      <c r="H506" s="297"/>
      <c r="J506" s="297"/>
      <c r="L506" s="312"/>
      <c r="N506" s="297"/>
    </row>
    <row r="507" spans="1:14" ht="15" customHeight="1" x14ac:dyDescent="0.25">
      <c r="A507" s="497"/>
      <c r="C507" s="404"/>
      <c r="E507" s="308"/>
      <c r="G507" s="297"/>
      <c r="H507" s="297"/>
      <c r="J507" s="297"/>
      <c r="L507" s="312"/>
      <c r="N507" s="297"/>
    </row>
    <row r="508" spans="1:14" ht="15" customHeight="1" x14ac:dyDescent="0.25">
      <c r="A508" s="497"/>
      <c r="C508" s="404"/>
      <c r="E508" s="308"/>
      <c r="G508" s="297"/>
      <c r="H508" s="297"/>
      <c r="J508" s="297"/>
      <c r="L508" s="312"/>
      <c r="N508" s="297"/>
    </row>
    <row r="509" spans="1:14" ht="15" customHeight="1" x14ac:dyDescent="0.25">
      <c r="A509" s="497"/>
      <c r="C509" s="404"/>
      <c r="E509" s="308"/>
      <c r="G509" s="297"/>
      <c r="H509" s="297"/>
      <c r="J509" s="297"/>
      <c r="L509" s="312"/>
      <c r="N509" s="297"/>
    </row>
    <row r="510" spans="1:14" ht="15" customHeight="1" x14ac:dyDescent="0.25">
      <c r="A510" s="497"/>
      <c r="C510" s="404"/>
      <c r="E510" s="308"/>
      <c r="G510" s="297"/>
      <c r="H510" s="297"/>
      <c r="J510" s="297"/>
      <c r="L510" s="312"/>
      <c r="N510" s="297"/>
    </row>
    <row r="511" spans="1:14" ht="15" customHeight="1" x14ac:dyDescent="0.25">
      <c r="A511" s="497"/>
      <c r="C511" s="404"/>
      <c r="E511" s="308"/>
      <c r="G511" s="297"/>
      <c r="H511" s="297"/>
      <c r="J511" s="297"/>
      <c r="L511" s="312"/>
      <c r="N511" s="297"/>
    </row>
    <row r="512" spans="1:14" ht="15" customHeight="1" x14ac:dyDescent="0.25">
      <c r="A512" s="497"/>
      <c r="C512" s="404"/>
      <c r="E512" s="308"/>
      <c r="G512" s="297"/>
      <c r="H512" s="297"/>
      <c r="J512" s="297"/>
      <c r="L512" s="312"/>
      <c r="N512" s="297"/>
    </row>
    <row r="513" spans="1:14" ht="15" customHeight="1" x14ac:dyDescent="0.25">
      <c r="A513" s="497"/>
      <c r="C513" s="404"/>
      <c r="E513" s="308"/>
      <c r="G513" s="297"/>
      <c r="H513" s="297"/>
      <c r="J513" s="297"/>
      <c r="L513" s="312"/>
      <c r="N513" s="297"/>
    </row>
    <row r="514" spans="1:14" ht="15" customHeight="1" x14ac:dyDescent="0.25">
      <c r="A514" s="497"/>
      <c r="C514" s="404"/>
      <c r="E514" s="308"/>
      <c r="G514" s="297"/>
      <c r="H514" s="297"/>
      <c r="J514" s="297"/>
      <c r="L514" s="312"/>
      <c r="N514" s="297"/>
    </row>
    <row r="515" spans="1:14" ht="15" customHeight="1" x14ac:dyDescent="0.25">
      <c r="A515" s="497"/>
      <c r="C515" s="404"/>
      <c r="E515" s="308"/>
      <c r="G515" s="297"/>
      <c r="H515" s="297"/>
      <c r="J515" s="297"/>
      <c r="L515" s="312"/>
      <c r="N515" s="297"/>
    </row>
    <row r="516" spans="1:14" ht="15" customHeight="1" x14ac:dyDescent="0.25">
      <c r="A516" s="497"/>
      <c r="C516" s="404"/>
      <c r="E516" s="308"/>
      <c r="G516" s="297"/>
      <c r="H516" s="297"/>
      <c r="J516" s="297"/>
      <c r="L516" s="312"/>
      <c r="N516" s="297"/>
    </row>
    <row r="517" spans="1:14" ht="15" customHeight="1" x14ac:dyDescent="0.25">
      <c r="A517" s="497"/>
      <c r="C517" s="404"/>
      <c r="E517" s="308"/>
      <c r="G517" s="297"/>
      <c r="H517" s="297"/>
      <c r="J517" s="297"/>
      <c r="L517" s="312"/>
      <c r="N517" s="297"/>
    </row>
    <row r="518" spans="1:14" ht="15" customHeight="1" x14ac:dyDescent="0.25">
      <c r="A518" s="497"/>
      <c r="C518" s="404"/>
      <c r="E518" s="308"/>
      <c r="G518" s="297"/>
      <c r="H518" s="297"/>
      <c r="J518" s="297"/>
      <c r="L518" s="312"/>
      <c r="N518" s="297"/>
    </row>
    <row r="519" spans="1:14" ht="15" customHeight="1" x14ac:dyDescent="0.25">
      <c r="A519" s="497"/>
      <c r="C519" s="404"/>
      <c r="E519" s="308"/>
      <c r="G519" s="297"/>
      <c r="H519" s="297"/>
      <c r="J519" s="297"/>
      <c r="L519" s="312"/>
      <c r="N519" s="297"/>
    </row>
    <row r="520" spans="1:14" ht="15" customHeight="1" x14ac:dyDescent="0.25">
      <c r="A520" s="497"/>
      <c r="C520" s="404"/>
      <c r="E520" s="308"/>
      <c r="G520" s="297"/>
      <c r="H520" s="297"/>
      <c r="J520" s="297"/>
      <c r="L520" s="312"/>
      <c r="N520" s="297"/>
    </row>
    <row r="521" spans="1:14" ht="15" customHeight="1" x14ac:dyDescent="0.25">
      <c r="A521" s="497"/>
      <c r="C521" s="404"/>
      <c r="E521" s="308"/>
      <c r="G521" s="297"/>
      <c r="H521" s="297"/>
      <c r="J521" s="297"/>
      <c r="L521" s="312"/>
      <c r="N521" s="297"/>
    </row>
    <row r="522" spans="1:14" ht="15" customHeight="1" x14ac:dyDescent="0.25">
      <c r="A522" s="497"/>
      <c r="C522" s="404"/>
      <c r="E522" s="308"/>
      <c r="G522" s="297"/>
      <c r="H522" s="297"/>
      <c r="J522" s="297"/>
      <c r="L522" s="312"/>
      <c r="N522" s="297"/>
    </row>
    <row r="523" spans="1:14" ht="15" customHeight="1" x14ac:dyDescent="0.25">
      <c r="A523" s="497"/>
      <c r="C523" s="404"/>
      <c r="E523" s="308"/>
      <c r="G523" s="297"/>
      <c r="H523" s="297"/>
      <c r="J523" s="297"/>
      <c r="L523" s="312"/>
      <c r="N523" s="297"/>
    </row>
    <row r="524" spans="1:14" ht="15" customHeight="1" x14ac:dyDescent="0.25">
      <c r="A524" s="497"/>
      <c r="C524" s="404"/>
      <c r="E524" s="308"/>
      <c r="G524" s="297"/>
      <c r="H524" s="297"/>
      <c r="J524" s="297"/>
      <c r="L524" s="312"/>
      <c r="N524" s="297"/>
    </row>
    <row r="525" spans="1:14" ht="15" customHeight="1" x14ac:dyDescent="0.25">
      <c r="A525" s="497"/>
      <c r="C525" s="404"/>
      <c r="E525" s="308"/>
      <c r="G525" s="297"/>
      <c r="H525" s="297"/>
      <c r="J525" s="297"/>
      <c r="L525" s="312"/>
      <c r="N525" s="297"/>
    </row>
    <row r="526" spans="1:14" ht="15" customHeight="1" x14ac:dyDescent="0.25">
      <c r="A526" s="497"/>
      <c r="C526" s="404"/>
      <c r="E526" s="308"/>
      <c r="G526" s="297"/>
      <c r="H526" s="297"/>
      <c r="J526" s="297"/>
      <c r="L526" s="312"/>
      <c r="N526" s="297"/>
    </row>
    <row r="527" spans="1:14" ht="15" customHeight="1" x14ac:dyDescent="0.25">
      <c r="A527" s="497"/>
      <c r="C527" s="404"/>
      <c r="E527" s="308"/>
      <c r="G527" s="297"/>
      <c r="H527" s="297"/>
      <c r="J527" s="297"/>
      <c r="L527" s="312"/>
      <c r="N527" s="297"/>
    </row>
    <row r="528" spans="1:14" ht="15" customHeight="1" x14ac:dyDescent="0.25">
      <c r="A528" s="497"/>
      <c r="C528" s="404"/>
      <c r="E528" s="308"/>
      <c r="G528" s="297"/>
      <c r="H528" s="297"/>
      <c r="J528" s="297"/>
      <c r="L528" s="312"/>
      <c r="N528" s="297"/>
    </row>
    <row r="529" spans="1:14" ht="15" customHeight="1" x14ac:dyDescent="0.25">
      <c r="A529" s="497"/>
      <c r="C529" s="404"/>
      <c r="E529" s="308"/>
      <c r="G529" s="297"/>
      <c r="H529" s="297"/>
      <c r="J529" s="297"/>
      <c r="L529" s="312"/>
      <c r="N529" s="297"/>
    </row>
    <row r="530" spans="1:14" ht="15" customHeight="1" x14ac:dyDescent="0.25">
      <c r="A530" s="497"/>
      <c r="C530" s="404"/>
      <c r="E530" s="308"/>
      <c r="G530" s="297"/>
      <c r="H530" s="297"/>
      <c r="J530" s="297"/>
      <c r="L530" s="312"/>
      <c r="N530" s="297"/>
    </row>
    <row r="531" spans="1:14" ht="15" customHeight="1" x14ac:dyDescent="0.25">
      <c r="A531" s="497"/>
      <c r="C531" s="404"/>
      <c r="E531" s="308"/>
      <c r="G531" s="297"/>
      <c r="H531" s="297"/>
      <c r="J531" s="297"/>
      <c r="L531" s="312"/>
      <c r="N531" s="297"/>
    </row>
    <row r="532" spans="1:14" ht="15" customHeight="1" x14ac:dyDescent="0.25">
      <c r="A532" s="497"/>
      <c r="C532" s="404"/>
      <c r="E532" s="308"/>
      <c r="G532" s="297"/>
      <c r="H532" s="297"/>
      <c r="J532" s="297"/>
      <c r="L532" s="312"/>
      <c r="N532" s="297"/>
    </row>
    <row r="533" spans="1:14" ht="15" customHeight="1" x14ac:dyDescent="0.25">
      <c r="A533" s="497"/>
      <c r="C533" s="404"/>
      <c r="E533" s="308"/>
      <c r="G533" s="297"/>
      <c r="H533" s="297"/>
      <c r="J533" s="297"/>
      <c r="L533" s="312"/>
      <c r="N533" s="297"/>
    </row>
    <row r="534" spans="1:14" ht="15" customHeight="1" x14ac:dyDescent="0.25">
      <c r="A534" s="497"/>
      <c r="C534" s="404"/>
      <c r="E534" s="308"/>
      <c r="G534" s="297"/>
      <c r="H534" s="297"/>
      <c r="J534" s="297"/>
      <c r="L534" s="312"/>
      <c r="N534" s="297"/>
    </row>
    <row r="535" spans="1:14" ht="15" customHeight="1" x14ac:dyDescent="0.25">
      <c r="A535" s="497"/>
      <c r="C535" s="404"/>
      <c r="E535" s="308"/>
      <c r="G535" s="297"/>
      <c r="H535" s="297"/>
      <c r="J535" s="297"/>
      <c r="L535" s="312"/>
      <c r="N535" s="297"/>
    </row>
    <row r="536" spans="1:14" ht="15" customHeight="1" x14ac:dyDescent="0.25">
      <c r="A536" s="497"/>
      <c r="C536" s="404"/>
      <c r="E536" s="308"/>
      <c r="G536" s="297"/>
      <c r="H536" s="297"/>
      <c r="J536" s="297"/>
      <c r="L536" s="312"/>
      <c r="N536" s="297"/>
    </row>
    <row r="537" spans="1:14" ht="15" customHeight="1" x14ac:dyDescent="0.25">
      <c r="A537" s="497"/>
      <c r="C537" s="404"/>
      <c r="E537" s="308"/>
      <c r="G537" s="297"/>
      <c r="H537" s="297"/>
      <c r="J537" s="297"/>
      <c r="L537" s="312"/>
      <c r="N537" s="297"/>
    </row>
    <row r="538" spans="1:14" ht="15" customHeight="1" x14ac:dyDescent="0.25">
      <c r="A538" s="497"/>
      <c r="C538" s="404"/>
      <c r="E538" s="308"/>
      <c r="G538" s="297"/>
      <c r="H538" s="297"/>
      <c r="J538" s="297"/>
      <c r="L538" s="312"/>
      <c r="N538" s="297"/>
    </row>
    <row r="539" spans="1:14" ht="15" customHeight="1" x14ac:dyDescent="0.25">
      <c r="A539" s="497"/>
      <c r="C539" s="404"/>
      <c r="E539" s="308"/>
      <c r="G539" s="297"/>
      <c r="H539" s="297"/>
      <c r="J539" s="297"/>
      <c r="L539" s="312"/>
      <c r="N539" s="297"/>
    </row>
    <row r="540" spans="1:14" ht="15" customHeight="1" x14ac:dyDescent="0.25">
      <c r="A540" s="497"/>
      <c r="C540" s="404"/>
      <c r="E540" s="308"/>
      <c r="G540" s="297"/>
      <c r="H540" s="297"/>
      <c r="J540" s="297"/>
      <c r="L540" s="312"/>
      <c r="N540" s="297"/>
    </row>
    <row r="541" spans="1:14" ht="15" customHeight="1" x14ac:dyDescent="0.25">
      <c r="A541" s="497"/>
      <c r="C541" s="404"/>
      <c r="E541" s="308"/>
      <c r="G541" s="297"/>
      <c r="H541" s="297"/>
      <c r="J541" s="297"/>
      <c r="L541" s="312"/>
      <c r="N541" s="297"/>
    </row>
    <row r="542" spans="1:14" ht="15" customHeight="1" x14ac:dyDescent="0.25">
      <c r="A542" s="497"/>
      <c r="C542" s="404"/>
      <c r="E542" s="308"/>
      <c r="G542" s="297"/>
      <c r="H542" s="297"/>
      <c r="J542" s="297"/>
      <c r="L542" s="312"/>
      <c r="N542" s="297"/>
    </row>
    <row r="543" spans="1:14" ht="15" customHeight="1" x14ac:dyDescent="0.25">
      <c r="A543" s="497"/>
      <c r="C543" s="404"/>
      <c r="E543" s="308"/>
      <c r="G543" s="297"/>
      <c r="H543" s="297"/>
      <c r="J543" s="297"/>
      <c r="L543" s="312"/>
      <c r="N543" s="297"/>
    </row>
    <row r="544" spans="1:14" ht="15" customHeight="1" x14ac:dyDescent="0.25">
      <c r="A544" s="497"/>
      <c r="C544" s="404"/>
      <c r="E544" s="308"/>
      <c r="G544" s="297"/>
      <c r="H544" s="297"/>
      <c r="J544" s="297"/>
      <c r="L544" s="312"/>
      <c r="N544" s="297"/>
    </row>
    <row r="545" spans="1:14" ht="15" customHeight="1" x14ac:dyDescent="0.25">
      <c r="A545" s="497"/>
      <c r="C545" s="404"/>
      <c r="E545" s="308"/>
      <c r="G545" s="297"/>
      <c r="H545" s="297"/>
      <c r="J545" s="297"/>
      <c r="L545" s="312"/>
      <c r="N545" s="297"/>
    </row>
    <row r="546" spans="1:14" ht="15" customHeight="1" x14ac:dyDescent="0.25">
      <c r="A546" s="497"/>
      <c r="C546" s="404"/>
      <c r="E546" s="308"/>
      <c r="G546" s="297"/>
      <c r="H546" s="297"/>
      <c r="J546" s="297"/>
      <c r="L546" s="312"/>
      <c r="N546" s="297"/>
    </row>
    <row r="547" spans="1:14" ht="15" customHeight="1" x14ac:dyDescent="0.25">
      <c r="A547" s="497"/>
      <c r="C547" s="404"/>
      <c r="E547" s="308"/>
      <c r="G547" s="297"/>
      <c r="H547" s="297"/>
      <c r="J547" s="297"/>
      <c r="L547" s="312"/>
      <c r="N547" s="297"/>
    </row>
    <row r="548" spans="1:14" ht="15" customHeight="1" x14ac:dyDescent="0.25">
      <c r="A548" s="497"/>
      <c r="C548" s="404"/>
      <c r="E548" s="308"/>
      <c r="G548" s="297"/>
      <c r="H548" s="297"/>
      <c r="J548" s="297"/>
      <c r="L548" s="312"/>
      <c r="N548" s="297"/>
    </row>
    <row r="549" spans="1:14" ht="15" customHeight="1" x14ac:dyDescent="0.25">
      <c r="A549" s="497"/>
      <c r="C549" s="404"/>
      <c r="E549" s="308"/>
      <c r="G549" s="297"/>
      <c r="H549" s="297"/>
      <c r="J549" s="297"/>
      <c r="L549" s="312"/>
      <c r="N549" s="297"/>
    </row>
    <row r="550" spans="1:14" ht="15" customHeight="1" x14ac:dyDescent="0.25">
      <c r="A550" s="497"/>
      <c r="C550" s="404"/>
      <c r="E550" s="308"/>
      <c r="G550" s="297"/>
      <c r="H550" s="297"/>
      <c r="J550" s="297"/>
      <c r="L550" s="312"/>
      <c r="N550" s="297"/>
    </row>
    <row r="551" spans="1:14" ht="15" customHeight="1" x14ac:dyDescent="0.25">
      <c r="A551" s="497"/>
      <c r="C551" s="404"/>
      <c r="E551" s="308"/>
      <c r="G551" s="297"/>
      <c r="H551" s="297"/>
      <c r="J551" s="297"/>
      <c r="L551" s="312"/>
      <c r="N551" s="297"/>
    </row>
    <row r="552" spans="1:14" ht="15" customHeight="1" x14ac:dyDescent="0.25">
      <c r="A552" s="497"/>
      <c r="C552" s="404"/>
      <c r="E552" s="308"/>
      <c r="G552" s="297"/>
      <c r="H552" s="297"/>
      <c r="J552" s="297"/>
      <c r="L552" s="312"/>
      <c r="N552" s="297"/>
    </row>
    <row r="553" spans="1:14" ht="15" customHeight="1" x14ac:dyDescent="0.25">
      <c r="A553" s="497"/>
      <c r="C553" s="404"/>
      <c r="E553" s="308"/>
      <c r="G553" s="297"/>
      <c r="H553" s="297"/>
      <c r="J553" s="297"/>
      <c r="L553" s="312"/>
      <c r="N553" s="297"/>
    </row>
    <row r="554" spans="1:14" ht="15" customHeight="1" x14ac:dyDescent="0.25">
      <c r="A554" s="497"/>
      <c r="C554" s="404"/>
      <c r="E554" s="308"/>
      <c r="G554" s="297"/>
      <c r="H554" s="297"/>
      <c r="J554" s="297"/>
      <c r="L554" s="312"/>
      <c r="N554" s="297"/>
    </row>
    <row r="555" spans="1:14" ht="15" customHeight="1" x14ac:dyDescent="0.25">
      <c r="A555" s="497"/>
      <c r="C555" s="404"/>
      <c r="E555" s="308"/>
      <c r="G555" s="297"/>
      <c r="H555" s="297"/>
      <c r="J555" s="297"/>
      <c r="L555" s="312"/>
      <c r="N555" s="297"/>
    </row>
    <row r="556" spans="1:14" ht="15" customHeight="1" x14ac:dyDescent="0.25">
      <c r="A556" s="497"/>
      <c r="C556" s="404"/>
      <c r="E556" s="308"/>
      <c r="G556" s="297"/>
      <c r="H556" s="297"/>
      <c r="J556" s="297"/>
      <c r="L556" s="312"/>
      <c r="N556" s="297"/>
    </row>
    <row r="557" spans="1:14" ht="15" customHeight="1" x14ac:dyDescent="0.25">
      <c r="A557" s="497"/>
      <c r="C557" s="404"/>
      <c r="E557" s="308"/>
      <c r="G557" s="297"/>
      <c r="H557" s="297"/>
      <c r="J557" s="297"/>
      <c r="L557" s="312"/>
      <c r="N557" s="297"/>
    </row>
    <row r="558" spans="1:14" ht="15" customHeight="1" x14ac:dyDescent="0.25">
      <c r="A558" s="497"/>
      <c r="C558" s="404"/>
      <c r="E558" s="308"/>
      <c r="G558" s="297"/>
      <c r="H558" s="297"/>
      <c r="J558" s="297"/>
      <c r="L558" s="312"/>
      <c r="N558" s="297"/>
    </row>
    <row r="559" spans="1:14" ht="15" customHeight="1" x14ac:dyDescent="0.25">
      <c r="A559" s="497"/>
      <c r="C559" s="404"/>
      <c r="E559" s="308"/>
      <c r="G559" s="297"/>
      <c r="H559" s="297"/>
      <c r="J559" s="297"/>
      <c r="L559" s="312"/>
      <c r="N559" s="297"/>
    </row>
    <row r="560" spans="1:14" ht="15" customHeight="1" x14ac:dyDescent="0.25">
      <c r="A560" s="497"/>
      <c r="C560" s="404"/>
      <c r="E560" s="308"/>
      <c r="G560" s="297"/>
      <c r="H560" s="297"/>
      <c r="J560" s="297"/>
      <c r="L560" s="312"/>
      <c r="N560" s="297"/>
    </row>
    <row r="561" spans="1:14" ht="15" customHeight="1" x14ac:dyDescent="0.25">
      <c r="A561" s="497"/>
      <c r="C561" s="404"/>
      <c r="E561" s="308"/>
      <c r="G561" s="297"/>
      <c r="H561" s="297"/>
      <c r="J561" s="297"/>
      <c r="L561" s="312"/>
      <c r="N561" s="297"/>
    </row>
    <row r="562" spans="1:14" ht="15" customHeight="1" x14ac:dyDescent="0.25">
      <c r="A562" s="497"/>
      <c r="C562" s="404"/>
      <c r="E562" s="308"/>
      <c r="G562" s="297"/>
      <c r="H562" s="297"/>
      <c r="J562" s="297"/>
      <c r="L562" s="312"/>
      <c r="N562" s="297"/>
    </row>
    <row r="563" spans="1:14" ht="15" customHeight="1" x14ac:dyDescent="0.25">
      <c r="A563" s="497"/>
      <c r="C563" s="404"/>
      <c r="E563" s="308"/>
      <c r="G563" s="297"/>
      <c r="H563" s="297"/>
      <c r="J563" s="297"/>
      <c r="L563" s="312"/>
      <c r="N563" s="297"/>
    </row>
    <row r="564" spans="1:14" ht="15" customHeight="1" x14ac:dyDescent="0.25">
      <c r="A564" s="497"/>
      <c r="C564" s="404"/>
      <c r="E564" s="308"/>
      <c r="G564" s="297"/>
      <c r="H564" s="297"/>
      <c r="J564" s="297"/>
      <c r="L564" s="312"/>
      <c r="N564" s="297"/>
    </row>
    <row r="565" spans="1:14" ht="15" customHeight="1" x14ac:dyDescent="0.25">
      <c r="A565" s="497"/>
      <c r="C565" s="404"/>
      <c r="E565" s="308"/>
      <c r="G565" s="297"/>
      <c r="H565" s="297"/>
      <c r="J565" s="297"/>
      <c r="L565" s="312"/>
      <c r="N565" s="297"/>
    </row>
    <row r="566" spans="1:14" ht="15" customHeight="1" x14ac:dyDescent="0.25">
      <c r="A566" s="497"/>
      <c r="C566" s="404"/>
      <c r="E566" s="308"/>
      <c r="G566" s="297"/>
      <c r="H566" s="297"/>
      <c r="J566" s="297"/>
      <c r="L566" s="312"/>
      <c r="N566" s="297"/>
    </row>
    <row r="567" spans="1:14" ht="15" customHeight="1" x14ac:dyDescent="0.25">
      <c r="A567" s="497"/>
      <c r="C567" s="404"/>
      <c r="E567" s="308"/>
      <c r="G567" s="297"/>
      <c r="H567" s="297"/>
      <c r="J567" s="297"/>
      <c r="L567" s="312"/>
      <c r="N567" s="297"/>
    </row>
    <row r="568" spans="1:14" ht="15" customHeight="1" x14ac:dyDescent="0.25">
      <c r="A568" s="497"/>
      <c r="C568" s="404"/>
      <c r="E568" s="308"/>
      <c r="G568" s="297"/>
      <c r="H568" s="297"/>
      <c r="J568" s="297"/>
      <c r="L568" s="312"/>
      <c r="N568" s="297"/>
    </row>
    <row r="569" spans="1:14" ht="15" customHeight="1" x14ac:dyDescent="0.25">
      <c r="A569" s="497"/>
      <c r="C569" s="404"/>
      <c r="E569" s="308"/>
      <c r="G569" s="297"/>
      <c r="H569" s="297"/>
      <c r="J569" s="297"/>
      <c r="L569" s="312"/>
      <c r="N569" s="297"/>
    </row>
    <row r="570" spans="1:14" ht="15" customHeight="1" x14ac:dyDescent="0.25">
      <c r="A570" s="497"/>
      <c r="C570" s="404"/>
      <c r="E570" s="308"/>
      <c r="G570" s="297"/>
      <c r="H570" s="297"/>
      <c r="J570" s="297"/>
      <c r="L570" s="312"/>
      <c r="N570" s="297"/>
    </row>
    <row r="571" spans="1:14" ht="15" customHeight="1" x14ac:dyDescent="0.25">
      <c r="A571" s="497"/>
      <c r="C571" s="404"/>
      <c r="E571" s="308"/>
      <c r="G571" s="297"/>
      <c r="H571" s="297"/>
      <c r="J571" s="297"/>
      <c r="L571" s="312"/>
      <c r="N571" s="297"/>
    </row>
    <row r="572" spans="1:14" ht="15" customHeight="1" x14ac:dyDescent="0.25">
      <c r="A572" s="497"/>
      <c r="C572" s="404"/>
      <c r="E572" s="308"/>
      <c r="G572" s="297"/>
      <c r="H572" s="297"/>
      <c r="J572" s="297"/>
      <c r="L572" s="312"/>
      <c r="N572" s="297"/>
    </row>
    <row r="573" spans="1:14" ht="15" customHeight="1" x14ac:dyDescent="0.25">
      <c r="A573" s="497"/>
      <c r="C573" s="404"/>
      <c r="E573" s="308"/>
      <c r="G573" s="297"/>
      <c r="H573" s="297"/>
      <c r="J573" s="297"/>
      <c r="L573" s="312"/>
      <c r="N573" s="297"/>
    </row>
    <row r="574" spans="1:14" ht="15" customHeight="1" x14ac:dyDescent="0.25">
      <c r="A574" s="497"/>
      <c r="C574" s="404"/>
      <c r="E574" s="308"/>
      <c r="G574" s="297"/>
      <c r="H574" s="297"/>
      <c r="J574" s="297"/>
      <c r="L574" s="312"/>
      <c r="N574" s="297"/>
    </row>
    <row r="575" spans="1:14" ht="15" customHeight="1" x14ac:dyDescent="0.25">
      <c r="A575" s="497"/>
      <c r="C575" s="404"/>
      <c r="E575" s="308"/>
      <c r="G575" s="297"/>
      <c r="H575" s="297"/>
      <c r="J575" s="297"/>
      <c r="L575" s="312"/>
      <c r="N575" s="297"/>
    </row>
    <row r="576" spans="1:14" ht="15" customHeight="1" x14ac:dyDescent="0.25">
      <c r="A576" s="497"/>
      <c r="C576" s="404"/>
      <c r="E576" s="308"/>
      <c r="G576" s="297"/>
      <c r="H576" s="297"/>
      <c r="J576" s="297"/>
      <c r="L576" s="312"/>
      <c r="N576" s="297"/>
    </row>
    <row r="577" spans="1:14" ht="15" customHeight="1" x14ac:dyDescent="0.25">
      <c r="A577" s="497"/>
      <c r="C577" s="404"/>
      <c r="E577" s="308"/>
      <c r="G577" s="297"/>
      <c r="H577" s="297"/>
      <c r="J577" s="297"/>
      <c r="L577" s="312"/>
      <c r="N577" s="297"/>
    </row>
    <row r="578" spans="1:14" ht="15" customHeight="1" x14ac:dyDescent="0.25">
      <c r="A578" s="497"/>
      <c r="C578" s="404"/>
      <c r="E578" s="308"/>
      <c r="G578" s="297"/>
      <c r="H578" s="297"/>
      <c r="J578" s="297"/>
      <c r="L578" s="312"/>
      <c r="N578" s="297"/>
    </row>
    <row r="579" spans="1:14" ht="15" customHeight="1" x14ac:dyDescent="0.25">
      <c r="A579" s="497"/>
      <c r="C579" s="404"/>
      <c r="E579" s="308"/>
      <c r="G579" s="297"/>
      <c r="H579" s="297"/>
      <c r="J579" s="297"/>
      <c r="L579" s="312"/>
      <c r="N579" s="297"/>
    </row>
    <row r="580" spans="1:14" ht="15" customHeight="1" x14ac:dyDescent="0.25">
      <c r="A580" s="497"/>
      <c r="C580" s="404"/>
      <c r="E580" s="308"/>
      <c r="G580" s="297"/>
      <c r="H580" s="297"/>
      <c r="J580" s="297"/>
      <c r="L580" s="312"/>
      <c r="N580" s="297"/>
    </row>
    <row r="581" spans="1:14" ht="15" customHeight="1" x14ac:dyDescent="0.25">
      <c r="A581" s="497"/>
      <c r="C581" s="404"/>
      <c r="E581" s="308"/>
      <c r="G581" s="297"/>
      <c r="H581" s="297"/>
      <c r="J581" s="297"/>
      <c r="L581" s="312"/>
      <c r="N581" s="297"/>
    </row>
    <row r="582" spans="1:14" ht="15" customHeight="1" x14ac:dyDescent="0.25">
      <c r="A582" s="497"/>
      <c r="C582" s="404"/>
      <c r="E582" s="308"/>
      <c r="G582" s="297"/>
      <c r="H582" s="297"/>
      <c r="J582" s="297"/>
      <c r="L582" s="312"/>
      <c r="N582" s="297"/>
    </row>
    <row r="583" spans="1:14" ht="15" customHeight="1" x14ac:dyDescent="0.25">
      <c r="A583" s="497"/>
      <c r="C583" s="404"/>
      <c r="E583" s="308"/>
      <c r="G583" s="297"/>
      <c r="H583" s="297"/>
      <c r="J583" s="297"/>
      <c r="L583" s="312"/>
      <c r="N583" s="297"/>
    </row>
    <row r="584" spans="1:14" ht="15" customHeight="1" x14ac:dyDescent="0.25">
      <c r="A584" s="497"/>
      <c r="C584" s="404"/>
      <c r="E584" s="308"/>
      <c r="G584" s="297"/>
      <c r="H584" s="297"/>
      <c r="J584" s="297"/>
      <c r="L584" s="312"/>
      <c r="N584" s="297"/>
    </row>
    <row r="585" spans="1:14" ht="15" customHeight="1" x14ac:dyDescent="0.25">
      <c r="A585" s="497"/>
      <c r="C585" s="404"/>
      <c r="E585" s="308"/>
      <c r="G585" s="297"/>
      <c r="H585" s="297"/>
      <c r="J585" s="297"/>
      <c r="L585" s="312"/>
      <c r="N585" s="297"/>
    </row>
    <row r="586" spans="1:14" ht="15" customHeight="1" x14ac:dyDescent="0.25">
      <c r="A586" s="497"/>
      <c r="C586" s="404"/>
      <c r="E586" s="308"/>
      <c r="G586" s="297"/>
      <c r="H586" s="297"/>
      <c r="J586" s="297"/>
      <c r="L586" s="312"/>
      <c r="N586" s="297"/>
    </row>
    <row r="587" spans="1:14" ht="15" customHeight="1" x14ac:dyDescent="0.25">
      <c r="A587" s="497"/>
      <c r="C587" s="404"/>
      <c r="E587" s="308"/>
      <c r="G587" s="297"/>
      <c r="H587" s="297"/>
      <c r="J587" s="297"/>
      <c r="L587" s="312"/>
      <c r="N587" s="297"/>
    </row>
    <row r="588" spans="1:14" ht="15" customHeight="1" x14ac:dyDescent="0.25">
      <c r="A588" s="497"/>
      <c r="C588" s="404"/>
      <c r="E588" s="308"/>
      <c r="G588" s="297"/>
      <c r="H588" s="297"/>
      <c r="J588" s="297"/>
      <c r="L588" s="312"/>
      <c r="N588" s="297"/>
    </row>
    <row r="589" spans="1:14" ht="15" customHeight="1" x14ac:dyDescent="0.25">
      <c r="A589" s="497"/>
      <c r="C589" s="404"/>
      <c r="E589" s="308"/>
      <c r="G589" s="297"/>
      <c r="H589" s="297"/>
      <c r="J589" s="297"/>
      <c r="L589" s="312"/>
      <c r="N589" s="297"/>
    </row>
    <row r="590" spans="1:14" ht="15" customHeight="1" x14ac:dyDescent="0.25">
      <c r="A590" s="497"/>
      <c r="C590" s="404"/>
      <c r="E590" s="308"/>
      <c r="G590" s="297"/>
      <c r="H590" s="297"/>
      <c r="J590" s="297"/>
      <c r="L590" s="312"/>
      <c r="N590" s="297"/>
    </row>
    <row r="591" spans="1:14" ht="15" customHeight="1" x14ac:dyDescent="0.25">
      <c r="A591" s="497"/>
      <c r="C591" s="404"/>
      <c r="E591" s="308"/>
      <c r="G591" s="297"/>
      <c r="H591" s="297"/>
      <c r="J591" s="297"/>
      <c r="L591" s="312"/>
      <c r="N591" s="297"/>
    </row>
    <row r="592" spans="1:14" ht="15" customHeight="1" x14ac:dyDescent="0.25">
      <c r="A592" s="497"/>
      <c r="C592" s="404"/>
      <c r="E592" s="308"/>
      <c r="G592" s="297"/>
      <c r="H592" s="297"/>
      <c r="J592" s="297"/>
      <c r="L592" s="312"/>
      <c r="N592" s="297"/>
    </row>
    <row r="593" spans="1:14" ht="15" customHeight="1" x14ac:dyDescent="0.25">
      <c r="A593" s="497"/>
      <c r="C593" s="404"/>
      <c r="E593" s="308"/>
      <c r="G593" s="297"/>
      <c r="H593" s="297"/>
      <c r="J593" s="297"/>
      <c r="L593" s="312"/>
      <c r="N593" s="297"/>
    </row>
    <row r="594" spans="1:14" ht="15" customHeight="1" x14ac:dyDescent="0.25">
      <c r="A594" s="497"/>
      <c r="C594" s="404"/>
      <c r="E594" s="308"/>
      <c r="G594" s="297"/>
      <c r="H594" s="297"/>
      <c r="J594" s="297"/>
      <c r="L594" s="312"/>
      <c r="N594" s="297"/>
    </row>
    <row r="595" spans="1:14" ht="15" customHeight="1" x14ac:dyDescent="0.25">
      <c r="A595" s="497"/>
      <c r="C595" s="404"/>
      <c r="E595" s="308"/>
      <c r="G595" s="297"/>
      <c r="H595" s="297"/>
      <c r="J595" s="297"/>
      <c r="L595" s="312"/>
      <c r="N595" s="297"/>
    </row>
    <row r="596" spans="1:14" ht="15" customHeight="1" x14ac:dyDescent="0.25">
      <c r="A596" s="497"/>
      <c r="C596" s="404"/>
      <c r="E596" s="308"/>
      <c r="G596" s="297"/>
      <c r="H596" s="297"/>
      <c r="J596" s="297"/>
      <c r="L596" s="312"/>
      <c r="N596" s="297"/>
    </row>
    <row r="597" spans="1:14" ht="15" customHeight="1" x14ac:dyDescent="0.25">
      <c r="A597" s="497"/>
      <c r="C597" s="404"/>
      <c r="E597" s="308"/>
      <c r="G597" s="297"/>
      <c r="H597" s="297"/>
      <c r="J597" s="297"/>
      <c r="L597" s="312"/>
      <c r="N597" s="297"/>
    </row>
    <row r="598" spans="1:14" ht="15" customHeight="1" x14ac:dyDescent="0.25">
      <c r="A598" s="497"/>
      <c r="C598" s="404"/>
      <c r="E598" s="308"/>
      <c r="G598" s="297"/>
      <c r="H598" s="297"/>
      <c r="J598" s="297"/>
      <c r="L598" s="312"/>
      <c r="N598" s="297"/>
    </row>
    <row r="599" spans="1:14" ht="15" customHeight="1" x14ac:dyDescent="0.25">
      <c r="A599" s="497"/>
      <c r="C599" s="404"/>
      <c r="E599" s="308"/>
      <c r="G599" s="297"/>
      <c r="H599" s="297"/>
      <c r="J599" s="297"/>
      <c r="L599" s="312"/>
      <c r="N599" s="297"/>
    </row>
    <row r="600" spans="1:14" ht="15" customHeight="1" x14ac:dyDescent="0.25">
      <c r="A600" s="497"/>
      <c r="C600" s="404"/>
      <c r="E600" s="308"/>
      <c r="G600" s="297"/>
      <c r="H600" s="297"/>
      <c r="J600" s="297"/>
      <c r="L600" s="312"/>
      <c r="N600" s="297"/>
    </row>
    <row r="601" spans="1:14" ht="15" customHeight="1" x14ac:dyDescent="0.25">
      <c r="A601" s="497"/>
      <c r="C601" s="404"/>
      <c r="E601" s="308"/>
      <c r="G601" s="297"/>
      <c r="H601" s="297"/>
      <c r="J601" s="297"/>
      <c r="L601" s="312"/>
      <c r="N601" s="297"/>
    </row>
    <row r="602" spans="1:14" ht="15" customHeight="1" x14ac:dyDescent="0.25">
      <c r="A602" s="497"/>
      <c r="C602" s="404"/>
      <c r="E602" s="308"/>
      <c r="G602" s="297"/>
      <c r="H602" s="297"/>
      <c r="J602" s="297"/>
      <c r="L602" s="312"/>
      <c r="N602" s="297"/>
    </row>
    <row r="603" spans="1:14" ht="15" customHeight="1" x14ac:dyDescent="0.25">
      <c r="A603" s="497"/>
      <c r="C603" s="404"/>
      <c r="E603" s="308"/>
      <c r="G603" s="297"/>
      <c r="H603" s="297"/>
      <c r="J603" s="297"/>
      <c r="L603" s="312"/>
      <c r="N603" s="297"/>
    </row>
    <row r="604" spans="1:14" ht="15" customHeight="1" x14ac:dyDescent="0.25">
      <c r="A604" s="497"/>
      <c r="C604" s="404"/>
      <c r="E604" s="308"/>
      <c r="G604" s="297"/>
      <c r="H604" s="297"/>
      <c r="J604" s="297"/>
      <c r="L604" s="312"/>
      <c r="N604" s="297"/>
    </row>
    <row r="605" spans="1:14" ht="15" customHeight="1" x14ac:dyDescent="0.25">
      <c r="A605" s="497"/>
      <c r="C605" s="404"/>
      <c r="E605" s="308"/>
      <c r="G605" s="297"/>
      <c r="H605" s="297"/>
      <c r="J605" s="297"/>
      <c r="L605" s="312"/>
      <c r="N605" s="297"/>
    </row>
    <row r="606" spans="1:14" ht="15" customHeight="1" x14ac:dyDescent="0.25">
      <c r="A606" s="497"/>
      <c r="C606" s="404"/>
      <c r="E606" s="308"/>
      <c r="G606" s="297"/>
      <c r="H606" s="297"/>
      <c r="J606" s="297"/>
      <c r="L606" s="312"/>
      <c r="N606" s="297"/>
    </row>
    <row r="607" spans="1:14" ht="15" customHeight="1" x14ac:dyDescent="0.25">
      <c r="A607" s="497"/>
      <c r="C607" s="404"/>
      <c r="E607" s="308"/>
      <c r="G607" s="297"/>
      <c r="H607" s="297"/>
      <c r="J607" s="297"/>
      <c r="L607" s="312"/>
      <c r="N607" s="297"/>
    </row>
    <row r="608" spans="1:14" ht="15" customHeight="1" x14ac:dyDescent="0.25">
      <c r="A608" s="497"/>
      <c r="C608" s="404"/>
      <c r="E608" s="308"/>
      <c r="G608" s="297"/>
      <c r="H608" s="297"/>
      <c r="J608" s="297"/>
      <c r="L608" s="312"/>
      <c r="N608" s="297"/>
    </row>
    <row r="609" spans="1:14" ht="15" customHeight="1" x14ac:dyDescent="0.25">
      <c r="A609" s="497"/>
      <c r="C609" s="404"/>
      <c r="E609" s="308"/>
      <c r="G609" s="297"/>
      <c r="H609" s="297"/>
      <c r="J609" s="297"/>
      <c r="L609" s="312"/>
      <c r="N609" s="297"/>
    </row>
    <row r="610" spans="1:14" ht="15" customHeight="1" x14ac:dyDescent="0.25">
      <c r="A610" s="497"/>
      <c r="C610" s="404"/>
      <c r="E610" s="308"/>
      <c r="G610" s="297"/>
      <c r="H610" s="297"/>
      <c r="J610" s="297"/>
      <c r="L610" s="312"/>
      <c r="N610" s="297"/>
    </row>
    <row r="611" spans="1:14" ht="15" customHeight="1" x14ac:dyDescent="0.25">
      <c r="A611" s="497"/>
      <c r="C611" s="404"/>
      <c r="E611" s="308"/>
      <c r="G611" s="297"/>
      <c r="H611" s="297"/>
      <c r="J611" s="297"/>
      <c r="L611" s="312"/>
      <c r="N611" s="297"/>
    </row>
    <row r="612" spans="1:14" ht="15" customHeight="1" x14ac:dyDescent="0.25">
      <c r="A612" s="497"/>
      <c r="C612" s="404"/>
      <c r="E612" s="308"/>
      <c r="G612" s="297"/>
      <c r="H612" s="297"/>
      <c r="J612" s="297"/>
      <c r="L612" s="312"/>
      <c r="N612" s="297"/>
    </row>
    <row r="613" spans="1:14" ht="15" customHeight="1" x14ac:dyDescent="0.25">
      <c r="A613" s="497"/>
      <c r="C613" s="404"/>
      <c r="E613" s="308"/>
      <c r="G613" s="297"/>
      <c r="H613" s="297"/>
      <c r="J613" s="297"/>
      <c r="L613" s="312"/>
      <c r="N613" s="297"/>
    </row>
    <row r="614" spans="1:14" ht="15" customHeight="1" x14ac:dyDescent="0.25">
      <c r="A614" s="497"/>
      <c r="C614" s="404"/>
      <c r="E614" s="308"/>
      <c r="G614" s="297"/>
      <c r="H614" s="297"/>
      <c r="J614" s="297"/>
      <c r="L614" s="312"/>
      <c r="N614" s="297"/>
    </row>
    <row r="615" spans="1:14" ht="15" customHeight="1" x14ac:dyDescent="0.25">
      <c r="A615" s="497"/>
      <c r="C615" s="404"/>
      <c r="E615" s="308"/>
      <c r="G615" s="297"/>
      <c r="H615" s="297"/>
      <c r="J615" s="297"/>
      <c r="L615" s="312"/>
      <c r="N615" s="297"/>
    </row>
    <row r="616" spans="1:14" ht="15" customHeight="1" x14ac:dyDescent="0.25">
      <c r="A616" s="497"/>
      <c r="C616" s="404"/>
      <c r="E616" s="308"/>
      <c r="G616" s="297"/>
      <c r="H616" s="297"/>
      <c r="J616" s="297"/>
      <c r="L616" s="312"/>
      <c r="N616" s="297"/>
    </row>
    <row r="617" spans="1:14" ht="15" customHeight="1" x14ac:dyDescent="0.25">
      <c r="A617" s="497"/>
      <c r="C617" s="404"/>
      <c r="E617" s="308"/>
      <c r="G617" s="297"/>
      <c r="H617" s="297"/>
      <c r="J617" s="297"/>
      <c r="L617" s="312"/>
      <c r="N617" s="297"/>
    </row>
    <row r="618" spans="1:14" ht="15" customHeight="1" x14ac:dyDescent="0.25">
      <c r="A618" s="497"/>
      <c r="C618" s="404"/>
      <c r="E618" s="308"/>
      <c r="G618" s="297"/>
      <c r="H618" s="297"/>
      <c r="J618" s="297"/>
      <c r="L618" s="312"/>
      <c r="N618" s="297"/>
    </row>
    <row r="619" spans="1:14" ht="15" customHeight="1" x14ac:dyDescent="0.25">
      <c r="A619" s="497"/>
      <c r="C619" s="404"/>
      <c r="E619" s="308"/>
      <c r="G619" s="297"/>
      <c r="H619" s="297"/>
      <c r="J619" s="297"/>
      <c r="L619" s="312"/>
      <c r="N619" s="297"/>
    </row>
    <row r="620" spans="1:14" ht="15" customHeight="1" x14ac:dyDescent="0.25">
      <c r="A620" s="497"/>
      <c r="C620" s="404"/>
      <c r="E620" s="308"/>
      <c r="G620" s="297"/>
      <c r="H620" s="297"/>
      <c r="J620" s="297"/>
      <c r="L620" s="312"/>
      <c r="N620" s="297"/>
    </row>
    <row r="621" spans="1:14" ht="15" customHeight="1" x14ac:dyDescent="0.25">
      <c r="A621" s="497"/>
      <c r="C621" s="404"/>
      <c r="E621" s="308"/>
      <c r="G621" s="297"/>
      <c r="H621" s="297"/>
      <c r="J621" s="297"/>
      <c r="L621" s="312"/>
      <c r="N621" s="297"/>
    </row>
    <row r="622" spans="1:14" ht="15" customHeight="1" x14ac:dyDescent="0.25">
      <c r="A622" s="497"/>
      <c r="C622" s="404"/>
      <c r="E622" s="308"/>
      <c r="G622" s="297"/>
      <c r="H622" s="297"/>
      <c r="J622" s="297"/>
      <c r="L622" s="312"/>
      <c r="N622" s="297"/>
    </row>
    <row r="623" spans="1:14" ht="15" customHeight="1" x14ac:dyDescent="0.25">
      <c r="A623" s="497"/>
      <c r="C623" s="404"/>
      <c r="E623" s="308"/>
      <c r="G623" s="297"/>
      <c r="H623" s="297"/>
      <c r="J623" s="297"/>
      <c r="L623" s="312"/>
      <c r="N623" s="297"/>
    </row>
    <row r="624" spans="1:14" ht="15" customHeight="1" x14ac:dyDescent="0.25">
      <c r="A624" s="497"/>
      <c r="C624" s="404"/>
      <c r="E624" s="308"/>
      <c r="G624" s="297"/>
      <c r="H624" s="297"/>
      <c r="J624" s="297"/>
      <c r="L624" s="312"/>
      <c r="N624" s="297"/>
    </row>
    <row r="625" spans="1:14" ht="15" customHeight="1" x14ac:dyDescent="0.25">
      <c r="A625" s="497"/>
      <c r="C625" s="404"/>
      <c r="E625" s="308"/>
      <c r="G625" s="297"/>
      <c r="H625" s="297"/>
      <c r="J625" s="297"/>
      <c r="L625" s="312"/>
      <c r="N625" s="297"/>
    </row>
    <row r="626" spans="1:14" ht="15" customHeight="1" x14ac:dyDescent="0.25">
      <c r="A626" s="497"/>
      <c r="C626" s="404"/>
      <c r="E626" s="308"/>
      <c r="G626" s="297"/>
      <c r="H626" s="297"/>
      <c r="J626" s="297"/>
      <c r="L626" s="312"/>
      <c r="N626" s="297"/>
    </row>
    <row r="627" spans="1:14" ht="15" customHeight="1" x14ac:dyDescent="0.25">
      <c r="A627" s="497"/>
      <c r="C627" s="404"/>
      <c r="E627" s="308"/>
      <c r="G627" s="297"/>
      <c r="H627" s="297"/>
      <c r="J627" s="297"/>
      <c r="L627" s="312"/>
      <c r="N627" s="297"/>
    </row>
    <row r="628" spans="1:14" ht="15" customHeight="1" x14ac:dyDescent="0.25">
      <c r="A628" s="497"/>
      <c r="C628" s="404"/>
      <c r="E628" s="308"/>
      <c r="G628" s="297"/>
      <c r="H628" s="297"/>
      <c r="J628" s="297"/>
      <c r="L628" s="312"/>
      <c r="N628" s="297"/>
    </row>
    <row r="629" spans="1:14" ht="15" customHeight="1" x14ac:dyDescent="0.25">
      <c r="A629" s="497"/>
      <c r="C629" s="404"/>
      <c r="E629" s="308"/>
      <c r="G629" s="297"/>
      <c r="H629" s="297"/>
      <c r="J629" s="297"/>
      <c r="L629" s="312"/>
      <c r="N629" s="297"/>
    </row>
    <row r="630" spans="1:14" ht="15" customHeight="1" x14ac:dyDescent="0.25">
      <c r="A630" s="497"/>
      <c r="C630" s="404"/>
      <c r="E630" s="308"/>
      <c r="G630" s="297"/>
      <c r="H630" s="297"/>
      <c r="J630" s="297"/>
      <c r="L630" s="312"/>
      <c r="N630" s="297"/>
    </row>
    <row r="631" spans="1:14" ht="15" customHeight="1" x14ac:dyDescent="0.25">
      <c r="A631" s="497"/>
      <c r="C631" s="404"/>
      <c r="E631" s="308"/>
      <c r="G631" s="297"/>
      <c r="H631" s="297"/>
      <c r="J631" s="297"/>
      <c r="L631" s="312"/>
      <c r="N631" s="297"/>
    </row>
    <row r="632" spans="1:14" ht="15" customHeight="1" x14ac:dyDescent="0.25">
      <c r="A632" s="497"/>
      <c r="C632" s="404"/>
      <c r="E632" s="308"/>
      <c r="G632" s="297"/>
      <c r="H632" s="297"/>
      <c r="J632" s="297"/>
      <c r="L632" s="312"/>
      <c r="N632" s="297"/>
    </row>
    <row r="633" spans="1:14" ht="15" customHeight="1" x14ac:dyDescent="0.25">
      <c r="A633" s="497"/>
      <c r="C633" s="404"/>
      <c r="E633" s="308"/>
      <c r="G633" s="297"/>
      <c r="H633" s="297"/>
      <c r="J633" s="297"/>
      <c r="L633" s="312"/>
      <c r="N633" s="297"/>
    </row>
    <row r="634" spans="1:14" ht="15" customHeight="1" x14ac:dyDescent="0.25">
      <c r="A634" s="497"/>
      <c r="C634" s="404"/>
      <c r="E634" s="308"/>
      <c r="G634" s="297"/>
      <c r="H634" s="297"/>
      <c r="J634" s="297"/>
      <c r="L634" s="312"/>
      <c r="N634" s="297"/>
    </row>
    <row r="635" spans="1:14" ht="15" customHeight="1" x14ac:dyDescent="0.25">
      <c r="A635" s="497"/>
      <c r="C635" s="404"/>
      <c r="E635" s="308"/>
      <c r="G635" s="297"/>
      <c r="H635" s="297"/>
      <c r="J635" s="297"/>
      <c r="L635" s="312"/>
      <c r="N635" s="297"/>
    </row>
    <row r="636" spans="1:14" ht="15" customHeight="1" x14ac:dyDescent="0.25">
      <c r="A636" s="497"/>
      <c r="C636" s="404"/>
      <c r="E636" s="308"/>
      <c r="G636" s="297"/>
      <c r="H636" s="297"/>
      <c r="J636" s="297"/>
      <c r="L636" s="312"/>
      <c r="N636" s="297"/>
    </row>
    <row r="637" spans="1:14" ht="15" customHeight="1" x14ac:dyDescent="0.25">
      <c r="A637" s="497"/>
      <c r="C637" s="404"/>
      <c r="E637" s="308"/>
      <c r="G637" s="297"/>
      <c r="H637" s="297"/>
      <c r="J637" s="297"/>
      <c r="L637" s="312"/>
      <c r="N637" s="297"/>
    </row>
    <row r="638" spans="1:14" ht="15" customHeight="1" x14ac:dyDescent="0.25">
      <c r="A638" s="497"/>
      <c r="C638" s="404"/>
      <c r="E638" s="308"/>
      <c r="G638" s="297"/>
      <c r="H638" s="297"/>
      <c r="J638" s="297"/>
      <c r="L638" s="312"/>
      <c r="N638" s="297"/>
    </row>
    <row r="639" spans="1:14" ht="15" customHeight="1" x14ac:dyDescent="0.25">
      <c r="A639" s="497"/>
      <c r="C639" s="404"/>
      <c r="E639" s="308"/>
      <c r="G639" s="297"/>
      <c r="H639" s="297"/>
      <c r="J639" s="297"/>
      <c r="L639" s="312"/>
      <c r="N639" s="297"/>
    </row>
    <row r="640" spans="1:14" ht="15" customHeight="1" x14ac:dyDescent="0.25">
      <c r="A640" s="497"/>
      <c r="C640" s="404"/>
      <c r="E640" s="308"/>
      <c r="G640" s="297"/>
      <c r="H640" s="297"/>
      <c r="J640" s="297"/>
      <c r="L640" s="312"/>
      <c r="N640" s="297"/>
    </row>
    <row r="641" spans="1:14" ht="15" customHeight="1" x14ac:dyDescent="0.25">
      <c r="A641" s="497"/>
      <c r="C641" s="404"/>
      <c r="E641" s="308"/>
      <c r="G641" s="297"/>
      <c r="H641" s="297"/>
      <c r="J641" s="297"/>
      <c r="L641" s="312"/>
      <c r="N641" s="297"/>
    </row>
    <row r="642" spans="1:14" ht="15" customHeight="1" x14ac:dyDescent="0.25">
      <c r="A642" s="497"/>
      <c r="C642" s="404"/>
      <c r="E642" s="308"/>
      <c r="G642" s="297"/>
      <c r="H642" s="297"/>
      <c r="J642" s="297"/>
      <c r="L642" s="312"/>
      <c r="N642" s="297"/>
    </row>
    <row r="643" spans="1:14" ht="15" customHeight="1" x14ac:dyDescent="0.25">
      <c r="A643" s="497"/>
      <c r="C643" s="404"/>
      <c r="E643" s="308"/>
      <c r="G643" s="297"/>
      <c r="H643" s="297"/>
      <c r="J643" s="297"/>
      <c r="L643" s="312"/>
      <c r="N643" s="297"/>
    </row>
    <row r="644" spans="1:14" ht="15" customHeight="1" x14ac:dyDescent="0.25">
      <c r="A644" s="497"/>
      <c r="C644" s="404"/>
      <c r="E644" s="308"/>
      <c r="G644" s="297"/>
      <c r="H644" s="297"/>
      <c r="J644" s="297"/>
      <c r="L644" s="312"/>
      <c r="N644" s="297"/>
    </row>
    <row r="645" spans="1:14" ht="15" customHeight="1" x14ac:dyDescent="0.25">
      <c r="A645" s="497"/>
      <c r="C645" s="404"/>
      <c r="E645" s="308"/>
      <c r="G645" s="297"/>
      <c r="H645" s="297"/>
      <c r="J645" s="297"/>
      <c r="L645" s="312"/>
      <c r="N645" s="297"/>
    </row>
    <row r="646" spans="1:14" ht="15" customHeight="1" x14ac:dyDescent="0.25">
      <c r="A646" s="497"/>
      <c r="C646" s="404"/>
      <c r="E646" s="308"/>
      <c r="G646" s="297"/>
      <c r="H646" s="297"/>
      <c r="J646" s="297"/>
      <c r="L646" s="312"/>
      <c r="N646" s="297"/>
    </row>
    <row r="647" spans="1:14" ht="15" customHeight="1" x14ac:dyDescent="0.25">
      <c r="A647" s="497"/>
      <c r="C647" s="404"/>
      <c r="E647" s="308"/>
      <c r="G647" s="297"/>
      <c r="H647" s="297"/>
      <c r="J647" s="297"/>
      <c r="L647" s="312"/>
      <c r="N647" s="297"/>
    </row>
    <row r="648" spans="1:14" ht="15" customHeight="1" x14ac:dyDescent="0.25">
      <c r="A648" s="497"/>
      <c r="C648" s="404"/>
      <c r="E648" s="308"/>
      <c r="G648" s="297"/>
      <c r="H648" s="297"/>
      <c r="J648" s="297"/>
      <c r="L648" s="312"/>
      <c r="N648" s="297"/>
    </row>
    <row r="649" spans="1:14" ht="15" customHeight="1" x14ac:dyDescent="0.25">
      <c r="A649" s="497"/>
      <c r="C649" s="404"/>
      <c r="E649" s="308"/>
      <c r="G649" s="297"/>
      <c r="H649" s="297"/>
      <c r="J649" s="297"/>
      <c r="L649" s="312"/>
      <c r="N649" s="297"/>
    </row>
    <row r="650" spans="1:14" ht="15" customHeight="1" x14ac:dyDescent="0.25">
      <c r="A650" s="497"/>
      <c r="C650" s="404"/>
      <c r="E650" s="308"/>
      <c r="G650" s="297"/>
      <c r="H650" s="297"/>
      <c r="J650" s="297"/>
      <c r="L650" s="312"/>
      <c r="N650" s="297"/>
    </row>
    <row r="651" spans="1:14" ht="15" customHeight="1" x14ac:dyDescent="0.25">
      <c r="A651" s="497"/>
      <c r="C651" s="404"/>
      <c r="E651" s="308"/>
      <c r="G651" s="297"/>
      <c r="H651" s="297"/>
      <c r="J651" s="297"/>
      <c r="L651" s="312"/>
      <c r="N651" s="297"/>
    </row>
    <row r="652" spans="1:14" ht="15" customHeight="1" x14ac:dyDescent="0.25">
      <c r="A652" s="497"/>
      <c r="C652" s="404"/>
      <c r="E652" s="308"/>
      <c r="G652" s="297"/>
      <c r="H652" s="297"/>
      <c r="J652" s="297"/>
      <c r="L652" s="312"/>
      <c r="N652" s="297"/>
    </row>
    <row r="653" spans="1:14" ht="15" customHeight="1" x14ac:dyDescent="0.25">
      <c r="A653" s="497"/>
      <c r="C653" s="404"/>
      <c r="E653" s="308"/>
      <c r="G653" s="297"/>
      <c r="H653" s="297"/>
      <c r="J653" s="297"/>
      <c r="L653" s="312"/>
      <c r="N653" s="297"/>
    </row>
    <row r="654" spans="1:14" ht="15" customHeight="1" x14ac:dyDescent="0.25">
      <c r="A654" s="497"/>
      <c r="C654" s="404"/>
      <c r="E654" s="308"/>
      <c r="G654" s="297"/>
      <c r="H654" s="297"/>
      <c r="J654" s="297"/>
      <c r="L654" s="312"/>
      <c r="N654" s="297"/>
    </row>
    <row r="655" spans="1:14" ht="15" customHeight="1" x14ac:dyDescent="0.25">
      <c r="A655" s="497"/>
      <c r="C655" s="404"/>
      <c r="E655" s="308"/>
      <c r="G655" s="297"/>
      <c r="H655" s="297"/>
      <c r="J655" s="297"/>
      <c r="L655" s="312"/>
      <c r="N655" s="297"/>
    </row>
    <row r="656" spans="1:14" ht="15" customHeight="1" x14ac:dyDescent="0.25">
      <c r="A656" s="497"/>
      <c r="C656" s="404"/>
      <c r="E656" s="308"/>
      <c r="G656" s="297"/>
      <c r="H656" s="297"/>
      <c r="J656" s="297"/>
      <c r="L656" s="312"/>
      <c r="N656" s="297"/>
    </row>
    <row r="657" spans="1:14" ht="15" customHeight="1" x14ac:dyDescent="0.25">
      <c r="A657" s="497"/>
      <c r="C657" s="404"/>
      <c r="E657" s="308"/>
      <c r="G657" s="297"/>
      <c r="H657" s="297"/>
      <c r="J657" s="297"/>
      <c r="L657" s="312"/>
      <c r="N657" s="297"/>
    </row>
    <row r="658" spans="1:14" ht="15" customHeight="1" x14ac:dyDescent="0.25">
      <c r="A658" s="497"/>
      <c r="C658" s="404"/>
      <c r="E658" s="308"/>
      <c r="G658" s="297"/>
      <c r="H658" s="297"/>
      <c r="J658" s="297"/>
      <c r="L658" s="312"/>
      <c r="N658" s="297"/>
    </row>
    <row r="659" spans="1:14" ht="15" customHeight="1" x14ac:dyDescent="0.25">
      <c r="A659" s="497"/>
      <c r="C659" s="404"/>
      <c r="E659" s="308"/>
      <c r="G659" s="297"/>
      <c r="H659" s="297"/>
      <c r="J659" s="297"/>
      <c r="L659" s="312"/>
      <c r="N659" s="297"/>
    </row>
    <row r="660" spans="1:14" ht="15" customHeight="1" x14ac:dyDescent="0.25">
      <c r="A660" s="497"/>
      <c r="C660" s="404"/>
      <c r="E660" s="308"/>
      <c r="G660" s="297"/>
      <c r="H660" s="297"/>
      <c r="J660" s="297"/>
      <c r="L660" s="312"/>
      <c r="N660" s="297"/>
    </row>
    <row r="661" spans="1:14" ht="15" customHeight="1" x14ac:dyDescent="0.25">
      <c r="A661" s="497"/>
      <c r="C661" s="404"/>
      <c r="E661" s="308"/>
      <c r="G661" s="297"/>
      <c r="H661" s="297"/>
      <c r="J661" s="297"/>
      <c r="L661" s="312"/>
      <c r="N661" s="297"/>
    </row>
    <row r="662" spans="1:14" ht="15" customHeight="1" x14ac:dyDescent="0.25">
      <c r="A662" s="497"/>
      <c r="C662" s="404"/>
      <c r="E662" s="308"/>
      <c r="G662" s="297"/>
      <c r="H662" s="297"/>
      <c r="J662" s="297"/>
      <c r="L662" s="312"/>
      <c r="N662" s="297"/>
    </row>
    <row r="663" spans="1:14" ht="15" customHeight="1" x14ac:dyDescent="0.25">
      <c r="A663" s="497"/>
      <c r="C663" s="404"/>
      <c r="E663" s="308"/>
      <c r="G663" s="297"/>
      <c r="H663" s="297"/>
      <c r="J663" s="297"/>
      <c r="L663" s="312"/>
      <c r="N663" s="297"/>
    </row>
    <row r="664" spans="1:14" ht="15" customHeight="1" x14ac:dyDescent="0.25">
      <c r="A664" s="497"/>
      <c r="C664" s="404"/>
      <c r="E664" s="308"/>
      <c r="G664" s="297"/>
      <c r="H664" s="297"/>
      <c r="J664" s="297"/>
      <c r="L664" s="312"/>
      <c r="N664" s="297"/>
    </row>
    <row r="665" spans="1:14" ht="15" customHeight="1" x14ac:dyDescent="0.25">
      <c r="A665" s="497"/>
      <c r="C665" s="404"/>
      <c r="E665" s="308"/>
      <c r="G665" s="297"/>
      <c r="H665" s="297"/>
      <c r="J665" s="297"/>
      <c r="L665" s="312"/>
      <c r="N665" s="297"/>
    </row>
    <row r="666" spans="1:14" ht="15" customHeight="1" x14ac:dyDescent="0.25">
      <c r="A666" s="497"/>
      <c r="C666" s="404"/>
      <c r="E666" s="308"/>
      <c r="G666" s="297"/>
      <c r="H666" s="297"/>
      <c r="J666" s="297"/>
      <c r="L666" s="312"/>
      <c r="N666" s="297"/>
    </row>
    <row r="667" spans="1:14" ht="15" customHeight="1" x14ac:dyDescent="0.25">
      <c r="A667" s="497"/>
      <c r="C667" s="404"/>
      <c r="E667" s="308"/>
      <c r="G667" s="297"/>
      <c r="H667" s="297"/>
      <c r="J667" s="297"/>
      <c r="L667" s="312"/>
      <c r="N667" s="297"/>
    </row>
    <row r="668" spans="1:14" ht="15" customHeight="1" x14ac:dyDescent="0.25">
      <c r="A668" s="497"/>
      <c r="C668" s="404"/>
      <c r="E668" s="308"/>
      <c r="G668" s="297"/>
      <c r="H668" s="297"/>
      <c r="J668" s="297"/>
      <c r="L668" s="312"/>
      <c r="N668" s="297"/>
    </row>
    <row r="669" spans="1:14" ht="15" customHeight="1" x14ac:dyDescent="0.25">
      <c r="A669" s="497"/>
      <c r="C669" s="404"/>
      <c r="E669" s="308"/>
      <c r="G669" s="297"/>
      <c r="H669" s="297"/>
      <c r="J669" s="297"/>
      <c r="L669" s="312"/>
      <c r="N669" s="297"/>
    </row>
    <row r="670" spans="1:14" ht="15" customHeight="1" x14ac:dyDescent="0.25">
      <c r="A670" s="497"/>
      <c r="C670" s="404"/>
      <c r="E670" s="308"/>
      <c r="G670" s="297"/>
      <c r="H670" s="297"/>
      <c r="J670" s="297"/>
      <c r="L670" s="312"/>
      <c r="N670" s="297"/>
    </row>
    <row r="671" spans="1:14" ht="15" customHeight="1" x14ac:dyDescent="0.25">
      <c r="A671" s="497"/>
      <c r="C671" s="404"/>
      <c r="E671" s="308"/>
      <c r="G671" s="297"/>
      <c r="H671" s="297"/>
      <c r="J671" s="297"/>
      <c r="L671" s="312"/>
      <c r="N671" s="297"/>
    </row>
    <row r="672" spans="1:14" ht="15" customHeight="1" x14ac:dyDescent="0.25">
      <c r="A672" s="497"/>
      <c r="C672" s="404"/>
      <c r="E672" s="308"/>
      <c r="G672" s="297"/>
      <c r="H672" s="297"/>
      <c r="J672" s="297"/>
      <c r="L672" s="312"/>
      <c r="N672" s="297"/>
    </row>
    <row r="673" spans="1:14" ht="15" customHeight="1" x14ac:dyDescent="0.25">
      <c r="A673" s="497"/>
      <c r="C673" s="404"/>
      <c r="E673" s="308"/>
      <c r="G673" s="297"/>
      <c r="H673" s="297"/>
      <c r="J673" s="297"/>
      <c r="L673" s="312"/>
      <c r="N673" s="297"/>
    </row>
    <row r="674" spans="1:14" ht="15" customHeight="1" x14ac:dyDescent="0.25">
      <c r="A674" s="497"/>
      <c r="C674" s="404"/>
      <c r="E674" s="308"/>
      <c r="G674" s="297"/>
      <c r="H674" s="297"/>
      <c r="J674" s="297"/>
      <c r="L674" s="312"/>
      <c r="N674" s="297"/>
    </row>
    <row r="675" spans="1:14" ht="15" customHeight="1" x14ac:dyDescent="0.25">
      <c r="A675" s="497"/>
      <c r="C675" s="404"/>
      <c r="E675" s="308"/>
      <c r="G675" s="297"/>
      <c r="H675" s="297"/>
      <c r="J675" s="297"/>
      <c r="L675" s="312"/>
      <c r="N675" s="297"/>
    </row>
    <row r="676" spans="1:14" ht="15" customHeight="1" x14ac:dyDescent="0.25">
      <c r="A676" s="497"/>
      <c r="C676" s="404"/>
      <c r="E676" s="308"/>
      <c r="G676" s="297"/>
      <c r="H676" s="297"/>
      <c r="J676" s="297"/>
      <c r="L676" s="312"/>
      <c r="N676" s="297"/>
    </row>
    <row r="677" spans="1:14" ht="15" customHeight="1" x14ac:dyDescent="0.25">
      <c r="A677" s="497"/>
      <c r="C677" s="404"/>
      <c r="E677" s="308"/>
      <c r="G677" s="297"/>
      <c r="H677" s="297"/>
      <c r="J677" s="297"/>
      <c r="L677" s="312"/>
      <c r="N677" s="297"/>
    </row>
    <row r="678" spans="1:14" ht="15" customHeight="1" x14ac:dyDescent="0.25">
      <c r="A678" s="497"/>
      <c r="C678" s="404"/>
      <c r="E678" s="308"/>
      <c r="G678" s="297"/>
      <c r="H678" s="297"/>
      <c r="J678" s="297"/>
      <c r="L678" s="312"/>
      <c r="N678" s="297"/>
    </row>
    <row r="679" spans="1:14" ht="15" customHeight="1" x14ac:dyDescent="0.25">
      <c r="A679" s="497"/>
      <c r="C679" s="404"/>
      <c r="E679" s="308"/>
      <c r="G679" s="297"/>
      <c r="H679" s="297"/>
      <c r="J679" s="297"/>
      <c r="L679" s="312"/>
      <c r="N679" s="297"/>
    </row>
    <row r="680" spans="1:14" ht="15" customHeight="1" x14ac:dyDescent="0.25">
      <c r="A680" s="497"/>
      <c r="C680" s="404"/>
      <c r="E680" s="308"/>
      <c r="G680" s="297"/>
      <c r="H680" s="297"/>
      <c r="J680" s="297"/>
      <c r="L680" s="312"/>
      <c r="N680" s="297"/>
    </row>
    <row r="681" spans="1:14" ht="15" customHeight="1" x14ac:dyDescent="0.25">
      <c r="A681" s="497"/>
      <c r="C681" s="404"/>
      <c r="E681" s="308"/>
      <c r="G681" s="297"/>
      <c r="H681" s="297"/>
      <c r="J681" s="297"/>
      <c r="L681" s="312"/>
      <c r="N681" s="297"/>
    </row>
    <row r="682" spans="1:14" ht="15" customHeight="1" x14ac:dyDescent="0.25">
      <c r="A682" s="497"/>
      <c r="C682" s="404"/>
      <c r="E682" s="308"/>
      <c r="G682" s="297"/>
      <c r="H682" s="297"/>
      <c r="J682" s="297"/>
      <c r="L682" s="312"/>
      <c r="N682" s="297"/>
    </row>
    <row r="683" spans="1:14" ht="15" customHeight="1" x14ac:dyDescent="0.25">
      <c r="A683" s="497"/>
      <c r="C683" s="404"/>
      <c r="E683" s="308"/>
      <c r="G683" s="297"/>
      <c r="H683" s="297"/>
      <c r="J683" s="297"/>
      <c r="L683" s="312"/>
      <c r="N683" s="297"/>
    </row>
    <row r="684" spans="1:14" ht="15" customHeight="1" x14ac:dyDescent="0.25">
      <c r="A684" s="497"/>
      <c r="C684" s="404"/>
      <c r="E684" s="308"/>
      <c r="G684" s="297"/>
      <c r="H684" s="297"/>
      <c r="J684" s="297"/>
      <c r="L684" s="312"/>
      <c r="N684" s="297"/>
    </row>
    <row r="685" spans="1:14" ht="15" customHeight="1" x14ac:dyDescent="0.25">
      <c r="A685" s="497"/>
      <c r="C685" s="404"/>
      <c r="E685" s="308"/>
      <c r="G685" s="297"/>
      <c r="H685" s="297"/>
      <c r="J685" s="297"/>
      <c r="L685" s="312"/>
      <c r="N685" s="297"/>
    </row>
    <row r="686" spans="1:14" ht="15" customHeight="1" x14ac:dyDescent="0.25">
      <c r="A686" s="497"/>
      <c r="C686" s="404"/>
      <c r="E686" s="308"/>
      <c r="G686" s="297"/>
      <c r="H686" s="297"/>
      <c r="J686" s="297"/>
      <c r="L686" s="312"/>
      <c r="N686" s="297"/>
    </row>
    <row r="687" spans="1:14" ht="15" customHeight="1" x14ac:dyDescent="0.25">
      <c r="A687" s="497"/>
      <c r="C687" s="404"/>
      <c r="E687" s="308"/>
      <c r="G687" s="297"/>
      <c r="H687" s="297"/>
      <c r="J687" s="297"/>
      <c r="L687" s="312"/>
      <c r="N687" s="297"/>
    </row>
    <row r="688" spans="1:14" ht="15" customHeight="1" x14ac:dyDescent="0.25">
      <c r="A688" s="497"/>
      <c r="C688" s="404"/>
      <c r="E688" s="308"/>
      <c r="G688" s="297"/>
      <c r="H688" s="297"/>
      <c r="J688" s="297"/>
      <c r="L688" s="312"/>
      <c r="N688" s="297"/>
    </row>
    <row r="689" spans="1:14" ht="15" customHeight="1" x14ac:dyDescent="0.25">
      <c r="A689" s="497"/>
      <c r="C689" s="404"/>
      <c r="E689" s="308"/>
      <c r="G689" s="297"/>
      <c r="H689" s="297"/>
      <c r="J689" s="297"/>
      <c r="L689" s="312"/>
      <c r="N689" s="297"/>
    </row>
    <row r="690" spans="1:14" ht="15" customHeight="1" x14ac:dyDescent="0.25">
      <c r="A690" s="497"/>
      <c r="C690" s="404"/>
      <c r="E690" s="308"/>
      <c r="G690" s="297"/>
      <c r="H690" s="297"/>
      <c r="J690" s="297"/>
      <c r="L690" s="312"/>
      <c r="N690" s="297"/>
    </row>
    <row r="691" spans="1:14" ht="15" customHeight="1" x14ac:dyDescent="0.25">
      <c r="A691" s="497"/>
      <c r="C691" s="404"/>
      <c r="E691" s="308"/>
      <c r="G691" s="297"/>
      <c r="H691" s="297"/>
      <c r="J691" s="297"/>
      <c r="L691" s="312"/>
      <c r="N691" s="297"/>
    </row>
    <row r="692" spans="1:14" ht="15" customHeight="1" x14ac:dyDescent="0.25">
      <c r="A692" s="497"/>
      <c r="C692" s="404"/>
      <c r="E692" s="308"/>
      <c r="G692" s="297"/>
      <c r="H692" s="297"/>
      <c r="J692" s="297"/>
      <c r="L692" s="312"/>
      <c r="N692" s="297"/>
    </row>
    <row r="693" spans="1:14" ht="15" customHeight="1" x14ac:dyDescent="0.25">
      <c r="A693" s="497"/>
      <c r="C693" s="404"/>
      <c r="E693" s="308"/>
      <c r="G693" s="297"/>
      <c r="H693" s="297"/>
      <c r="J693" s="297"/>
      <c r="L693" s="312"/>
      <c r="N693" s="297"/>
    </row>
    <row r="694" spans="1:14" ht="15" customHeight="1" x14ac:dyDescent="0.25">
      <c r="A694" s="497"/>
      <c r="C694" s="404"/>
      <c r="E694" s="308"/>
      <c r="G694" s="297"/>
      <c r="H694" s="297"/>
      <c r="J694" s="297"/>
      <c r="L694" s="312"/>
      <c r="N694" s="297"/>
    </row>
    <row r="695" spans="1:14" ht="15" customHeight="1" x14ac:dyDescent="0.25">
      <c r="A695" s="497"/>
      <c r="C695" s="404"/>
      <c r="E695" s="308"/>
      <c r="G695" s="297"/>
      <c r="H695" s="297"/>
      <c r="J695" s="297"/>
      <c r="L695" s="312"/>
      <c r="N695" s="297"/>
    </row>
    <row r="696" spans="1:14" ht="15" customHeight="1" x14ac:dyDescent="0.25">
      <c r="A696" s="497"/>
      <c r="C696" s="404"/>
      <c r="E696" s="308"/>
      <c r="G696" s="297"/>
      <c r="H696" s="297"/>
      <c r="J696" s="297"/>
      <c r="L696" s="312"/>
      <c r="N696" s="297"/>
    </row>
    <row r="697" spans="1:14" ht="15" customHeight="1" x14ac:dyDescent="0.25">
      <c r="A697" s="497"/>
      <c r="C697" s="404"/>
      <c r="E697" s="308"/>
      <c r="G697" s="297"/>
      <c r="H697" s="297"/>
      <c r="J697" s="297"/>
      <c r="L697" s="312"/>
      <c r="N697" s="297"/>
    </row>
    <row r="698" spans="1:14" ht="15" customHeight="1" x14ac:dyDescent="0.25">
      <c r="A698" s="497"/>
      <c r="C698" s="404"/>
      <c r="E698" s="308"/>
      <c r="G698" s="297"/>
      <c r="H698" s="297"/>
      <c r="J698" s="297"/>
      <c r="L698" s="312"/>
      <c r="N698" s="297"/>
    </row>
    <row r="699" spans="1:14" ht="15" customHeight="1" x14ac:dyDescent="0.25">
      <c r="A699" s="497"/>
      <c r="C699" s="404"/>
      <c r="E699" s="308"/>
      <c r="G699" s="297"/>
      <c r="H699" s="297"/>
      <c r="J699" s="297"/>
      <c r="L699" s="312"/>
      <c r="N699" s="297"/>
    </row>
    <row r="700" spans="1:14" ht="15" customHeight="1" x14ac:dyDescent="0.25">
      <c r="A700" s="497"/>
      <c r="C700" s="404"/>
      <c r="E700" s="308"/>
      <c r="G700" s="297"/>
      <c r="H700" s="297"/>
      <c r="J700" s="297"/>
      <c r="L700" s="312"/>
      <c r="N700" s="297"/>
    </row>
    <row r="701" spans="1:14" ht="15" customHeight="1" x14ac:dyDescent="0.25">
      <c r="A701" s="497"/>
      <c r="C701" s="404"/>
      <c r="E701" s="308"/>
      <c r="G701" s="297"/>
      <c r="H701" s="297"/>
      <c r="J701" s="297"/>
      <c r="L701" s="312"/>
      <c r="N701" s="297"/>
    </row>
    <row r="702" spans="1:14" ht="15" customHeight="1" x14ac:dyDescent="0.25">
      <c r="A702" s="497"/>
      <c r="C702" s="404"/>
      <c r="E702" s="308"/>
      <c r="G702" s="297"/>
      <c r="H702" s="297"/>
      <c r="J702" s="297"/>
      <c r="L702" s="312"/>
      <c r="N702" s="297"/>
    </row>
    <row r="703" spans="1:14" ht="15" customHeight="1" x14ac:dyDescent="0.25">
      <c r="A703" s="497"/>
      <c r="C703" s="404"/>
      <c r="E703" s="308"/>
      <c r="G703" s="297"/>
      <c r="H703" s="297"/>
      <c r="J703" s="297"/>
      <c r="L703" s="312"/>
      <c r="N703" s="297"/>
    </row>
    <row r="704" spans="1:14" ht="15" customHeight="1" x14ac:dyDescent="0.25">
      <c r="A704" s="497"/>
      <c r="C704" s="404"/>
      <c r="E704" s="308"/>
      <c r="G704" s="297"/>
      <c r="H704" s="297"/>
      <c r="J704" s="297"/>
      <c r="L704" s="312"/>
      <c r="N704" s="297"/>
    </row>
    <row r="705" spans="1:14" ht="15" customHeight="1" x14ac:dyDescent="0.25">
      <c r="A705" s="497"/>
      <c r="C705" s="404"/>
      <c r="E705" s="308"/>
      <c r="G705" s="297"/>
      <c r="H705" s="297"/>
      <c r="J705" s="297"/>
      <c r="L705" s="312"/>
      <c r="N705" s="297"/>
    </row>
    <row r="706" spans="1:14" ht="15" customHeight="1" x14ac:dyDescent="0.25">
      <c r="A706" s="497"/>
      <c r="C706" s="404"/>
      <c r="E706" s="308"/>
      <c r="G706" s="297"/>
      <c r="H706" s="297"/>
      <c r="J706" s="297"/>
      <c r="L706" s="312"/>
      <c r="N706" s="297"/>
    </row>
    <row r="707" spans="1:14" ht="15" customHeight="1" x14ac:dyDescent="0.25">
      <c r="A707" s="497"/>
      <c r="C707" s="404"/>
      <c r="E707" s="308"/>
      <c r="G707" s="297"/>
      <c r="H707" s="297"/>
      <c r="J707" s="297"/>
      <c r="L707" s="312"/>
      <c r="N707" s="297"/>
    </row>
    <row r="708" spans="1:14" ht="15" customHeight="1" x14ac:dyDescent="0.25">
      <c r="A708" s="497"/>
      <c r="C708" s="404"/>
      <c r="E708" s="308"/>
      <c r="G708" s="297"/>
      <c r="H708" s="297"/>
      <c r="J708" s="297"/>
      <c r="L708" s="312"/>
      <c r="N708" s="297"/>
    </row>
    <row r="709" spans="1:14" ht="15" customHeight="1" x14ac:dyDescent="0.25">
      <c r="A709" s="497"/>
      <c r="C709" s="404"/>
      <c r="E709" s="308"/>
      <c r="G709" s="297"/>
      <c r="H709" s="297"/>
      <c r="J709" s="297"/>
      <c r="L709" s="312"/>
      <c r="N709" s="297"/>
    </row>
    <row r="710" spans="1:14" ht="15" customHeight="1" x14ac:dyDescent="0.25">
      <c r="A710" s="497"/>
      <c r="C710" s="404"/>
      <c r="E710" s="308"/>
      <c r="G710" s="297"/>
      <c r="H710" s="297"/>
      <c r="J710" s="297"/>
      <c r="L710" s="312"/>
      <c r="N710" s="297"/>
    </row>
    <row r="711" spans="1:14" ht="15" customHeight="1" x14ac:dyDescent="0.25">
      <c r="A711" s="497"/>
      <c r="C711" s="404"/>
      <c r="E711" s="308"/>
      <c r="G711" s="297"/>
      <c r="H711" s="297"/>
      <c r="J711" s="297"/>
      <c r="L711" s="312"/>
      <c r="N711" s="297"/>
    </row>
    <row r="712" spans="1:14" ht="15" customHeight="1" x14ac:dyDescent="0.25">
      <c r="A712" s="497"/>
      <c r="C712" s="404"/>
      <c r="E712" s="308"/>
      <c r="G712" s="297"/>
      <c r="H712" s="297"/>
      <c r="J712" s="297"/>
      <c r="L712" s="312"/>
      <c r="N712" s="297"/>
    </row>
    <row r="713" spans="1:14" ht="15" customHeight="1" x14ac:dyDescent="0.25">
      <c r="A713" s="497"/>
      <c r="C713" s="404"/>
      <c r="E713" s="308"/>
      <c r="G713" s="297"/>
      <c r="H713" s="297"/>
      <c r="J713" s="297"/>
      <c r="L713" s="312"/>
      <c r="N713" s="297"/>
    </row>
    <row r="714" spans="1:14" ht="15" customHeight="1" x14ac:dyDescent="0.25">
      <c r="A714" s="497"/>
      <c r="C714" s="404"/>
      <c r="E714" s="308"/>
      <c r="G714" s="297"/>
      <c r="H714" s="297"/>
      <c r="J714" s="297"/>
      <c r="L714" s="312"/>
      <c r="N714" s="297"/>
    </row>
    <row r="715" spans="1:14" ht="15" customHeight="1" x14ac:dyDescent="0.25">
      <c r="A715" s="497"/>
      <c r="C715" s="404"/>
      <c r="E715" s="308"/>
      <c r="G715" s="297"/>
      <c r="H715" s="297"/>
      <c r="J715" s="297"/>
      <c r="L715" s="312"/>
      <c r="N715" s="297"/>
    </row>
    <row r="716" spans="1:14" ht="15" customHeight="1" x14ac:dyDescent="0.25">
      <c r="A716" s="497"/>
      <c r="C716" s="404"/>
      <c r="E716" s="308"/>
      <c r="G716" s="297"/>
      <c r="H716" s="297"/>
      <c r="J716" s="297"/>
      <c r="L716" s="312"/>
      <c r="N716" s="297"/>
    </row>
    <row r="717" spans="1:14" ht="15" customHeight="1" x14ac:dyDescent="0.25">
      <c r="A717" s="497"/>
      <c r="C717" s="404"/>
      <c r="E717" s="308"/>
      <c r="G717" s="297"/>
      <c r="H717" s="297"/>
      <c r="J717" s="297"/>
      <c r="L717" s="312"/>
      <c r="N717" s="297"/>
    </row>
    <row r="718" spans="1:14" ht="15" customHeight="1" x14ac:dyDescent="0.25">
      <c r="A718" s="497"/>
      <c r="C718" s="404"/>
      <c r="E718" s="308"/>
      <c r="G718" s="297"/>
      <c r="H718" s="297"/>
      <c r="J718" s="297"/>
      <c r="L718" s="312"/>
      <c r="N718" s="297"/>
    </row>
    <row r="719" spans="1:14" ht="15" customHeight="1" x14ac:dyDescent="0.25">
      <c r="A719" s="497"/>
      <c r="C719" s="404"/>
      <c r="E719" s="308"/>
      <c r="G719" s="297"/>
      <c r="H719" s="297"/>
      <c r="J719" s="297"/>
      <c r="L719" s="312"/>
      <c r="N719" s="297"/>
    </row>
    <row r="720" spans="1:14" ht="15" customHeight="1" x14ac:dyDescent="0.25">
      <c r="A720" s="497"/>
      <c r="C720" s="404"/>
      <c r="E720" s="308"/>
      <c r="G720" s="297"/>
      <c r="H720" s="297"/>
      <c r="J720" s="297"/>
      <c r="L720" s="312"/>
      <c r="N720" s="297"/>
    </row>
    <row r="721" spans="1:14" ht="15" customHeight="1" x14ac:dyDescent="0.25">
      <c r="A721" s="497"/>
      <c r="C721" s="404"/>
      <c r="E721" s="308"/>
      <c r="G721" s="297"/>
      <c r="H721" s="297"/>
      <c r="J721" s="297"/>
      <c r="L721" s="312"/>
      <c r="N721" s="297"/>
    </row>
    <row r="722" spans="1:14" ht="15" customHeight="1" x14ac:dyDescent="0.25">
      <c r="A722" s="497"/>
      <c r="C722" s="404"/>
      <c r="E722" s="308"/>
      <c r="G722" s="297"/>
      <c r="H722" s="297"/>
      <c r="J722" s="297"/>
      <c r="L722" s="312"/>
      <c r="N722" s="297"/>
    </row>
    <row r="723" spans="1:14" ht="15" customHeight="1" x14ac:dyDescent="0.25">
      <c r="A723" s="497"/>
      <c r="C723" s="404"/>
      <c r="E723" s="308"/>
      <c r="G723" s="297"/>
      <c r="H723" s="297"/>
      <c r="J723" s="297"/>
      <c r="L723" s="312"/>
      <c r="N723" s="297"/>
    </row>
    <row r="724" spans="1:14" ht="15" customHeight="1" x14ac:dyDescent="0.25">
      <c r="A724" s="497"/>
      <c r="C724" s="404"/>
      <c r="E724" s="308"/>
      <c r="G724" s="297"/>
      <c r="H724" s="297"/>
      <c r="J724" s="297"/>
      <c r="L724" s="312"/>
      <c r="N724" s="297"/>
    </row>
    <row r="725" spans="1:14" ht="15" customHeight="1" x14ac:dyDescent="0.25">
      <c r="A725" s="497"/>
      <c r="C725" s="404"/>
      <c r="E725" s="308"/>
      <c r="G725" s="297"/>
      <c r="H725" s="297"/>
      <c r="J725" s="297"/>
      <c r="L725" s="312"/>
      <c r="N725" s="297"/>
    </row>
    <row r="726" spans="1:14" ht="15" customHeight="1" x14ac:dyDescent="0.25">
      <c r="A726" s="497"/>
      <c r="C726" s="404"/>
      <c r="E726" s="308"/>
      <c r="G726" s="297"/>
      <c r="H726" s="297"/>
      <c r="J726" s="297"/>
      <c r="L726" s="312"/>
      <c r="N726" s="297"/>
    </row>
    <row r="727" spans="1:14" ht="15" customHeight="1" x14ac:dyDescent="0.25">
      <c r="A727" s="497"/>
      <c r="C727" s="404"/>
      <c r="E727" s="308"/>
      <c r="G727" s="297"/>
      <c r="H727" s="297"/>
      <c r="J727" s="297"/>
      <c r="L727" s="312"/>
      <c r="N727" s="297"/>
    </row>
    <row r="728" spans="1:14" ht="15" customHeight="1" x14ac:dyDescent="0.25">
      <c r="A728" s="497"/>
      <c r="C728" s="404"/>
      <c r="E728" s="308"/>
      <c r="G728" s="297"/>
      <c r="H728" s="297"/>
      <c r="J728" s="297"/>
      <c r="L728" s="312"/>
      <c r="N728" s="297"/>
    </row>
    <row r="729" spans="1:14" ht="15" customHeight="1" x14ac:dyDescent="0.25">
      <c r="A729" s="497"/>
      <c r="C729" s="404"/>
      <c r="E729" s="308"/>
      <c r="G729" s="297"/>
      <c r="H729" s="297"/>
      <c r="J729" s="297"/>
      <c r="L729" s="312"/>
      <c r="N729" s="297"/>
    </row>
    <row r="730" spans="1:14" ht="15" customHeight="1" x14ac:dyDescent="0.25">
      <c r="A730" s="497"/>
      <c r="C730" s="404"/>
      <c r="E730" s="308"/>
      <c r="G730" s="297"/>
      <c r="H730" s="297"/>
      <c r="J730" s="297"/>
      <c r="L730" s="312"/>
      <c r="N730" s="297"/>
    </row>
    <row r="731" spans="1:14" ht="15" customHeight="1" x14ac:dyDescent="0.25">
      <c r="A731" s="497"/>
      <c r="C731" s="404"/>
      <c r="E731" s="308"/>
      <c r="G731" s="297"/>
      <c r="H731" s="297"/>
      <c r="J731" s="297"/>
      <c r="L731" s="312"/>
      <c r="N731" s="297"/>
    </row>
    <row r="732" spans="1:14" ht="15" customHeight="1" x14ac:dyDescent="0.25">
      <c r="A732" s="497"/>
      <c r="C732" s="404"/>
      <c r="E732" s="308"/>
      <c r="G732" s="297"/>
      <c r="H732" s="297"/>
      <c r="J732" s="297"/>
      <c r="L732" s="312"/>
      <c r="N732" s="297"/>
    </row>
    <row r="733" spans="1:14" ht="15" customHeight="1" x14ac:dyDescent="0.25">
      <c r="A733" s="497"/>
      <c r="C733" s="404"/>
      <c r="E733" s="308"/>
      <c r="G733" s="297"/>
      <c r="H733" s="297"/>
      <c r="J733" s="297"/>
      <c r="L733" s="312"/>
      <c r="N733" s="297"/>
    </row>
    <row r="734" spans="1:14" ht="15" customHeight="1" x14ac:dyDescent="0.25">
      <c r="A734" s="497"/>
      <c r="C734" s="404"/>
      <c r="E734" s="308"/>
      <c r="G734" s="297"/>
      <c r="H734" s="297"/>
      <c r="J734" s="297"/>
      <c r="L734" s="312"/>
      <c r="N734" s="297"/>
    </row>
    <row r="735" spans="1:14" ht="15" customHeight="1" x14ac:dyDescent="0.25">
      <c r="A735" s="497"/>
      <c r="C735" s="404"/>
      <c r="E735" s="308"/>
      <c r="G735" s="297"/>
      <c r="H735" s="297"/>
      <c r="J735" s="297"/>
      <c r="L735" s="312"/>
      <c r="N735" s="297"/>
    </row>
    <row r="736" spans="1:14" ht="15" customHeight="1" x14ac:dyDescent="0.25">
      <c r="A736" s="497"/>
      <c r="C736" s="404"/>
      <c r="E736" s="308"/>
      <c r="G736" s="297"/>
      <c r="H736" s="297"/>
      <c r="J736" s="297"/>
      <c r="L736" s="312"/>
      <c r="N736" s="297"/>
    </row>
    <row r="737" spans="1:14" ht="15" customHeight="1" x14ac:dyDescent="0.25">
      <c r="A737" s="497"/>
      <c r="C737" s="404"/>
      <c r="E737" s="308"/>
      <c r="G737" s="297"/>
      <c r="H737" s="297"/>
      <c r="J737" s="297"/>
      <c r="L737" s="312"/>
      <c r="N737" s="297"/>
    </row>
    <row r="738" spans="1:14" ht="15" customHeight="1" x14ac:dyDescent="0.25">
      <c r="A738" s="497"/>
      <c r="C738" s="404"/>
      <c r="E738" s="308"/>
      <c r="G738" s="297"/>
      <c r="H738" s="297"/>
      <c r="J738" s="297"/>
      <c r="L738" s="312"/>
      <c r="N738" s="297"/>
    </row>
    <row r="739" spans="1:14" ht="15" customHeight="1" x14ac:dyDescent="0.25">
      <c r="A739" s="497"/>
      <c r="C739" s="404"/>
      <c r="E739" s="308"/>
      <c r="G739" s="297"/>
      <c r="H739" s="297"/>
      <c r="J739" s="297"/>
      <c r="L739" s="312"/>
      <c r="N739" s="297"/>
    </row>
    <row r="740" spans="1:14" ht="15" customHeight="1" x14ac:dyDescent="0.25">
      <c r="A740" s="497"/>
      <c r="C740" s="404"/>
      <c r="E740" s="308"/>
      <c r="G740" s="297"/>
      <c r="H740" s="297"/>
      <c r="J740" s="297"/>
      <c r="L740" s="312"/>
      <c r="N740" s="297"/>
    </row>
    <row r="741" spans="1:14" ht="15" customHeight="1" x14ac:dyDescent="0.25">
      <c r="A741" s="497"/>
      <c r="C741" s="404"/>
      <c r="E741" s="308"/>
      <c r="G741" s="297"/>
      <c r="H741" s="297"/>
      <c r="J741" s="297"/>
      <c r="L741" s="312"/>
      <c r="N741" s="297"/>
    </row>
    <row r="742" spans="1:14" ht="15" customHeight="1" x14ac:dyDescent="0.25">
      <c r="A742" s="497"/>
      <c r="C742" s="404"/>
      <c r="E742" s="308"/>
      <c r="G742" s="297"/>
      <c r="H742" s="297"/>
      <c r="J742" s="297"/>
      <c r="L742" s="312"/>
      <c r="N742" s="297"/>
    </row>
    <row r="743" spans="1:14" ht="15" customHeight="1" x14ac:dyDescent="0.25">
      <c r="A743" s="497"/>
      <c r="C743" s="404"/>
      <c r="E743" s="308"/>
      <c r="G743" s="297"/>
      <c r="H743" s="297"/>
      <c r="J743" s="297"/>
      <c r="L743" s="312"/>
      <c r="N743" s="297"/>
    </row>
    <row r="744" spans="1:14" ht="15" customHeight="1" x14ac:dyDescent="0.25">
      <c r="A744" s="497"/>
      <c r="C744" s="404"/>
      <c r="E744" s="308"/>
      <c r="G744" s="297"/>
      <c r="H744" s="297"/>
      <c r="J744" s="297"/>
      <c r="L744" s="312"/>
      <c r="N744" s="297"/>
    </row>
    <row r="745" spans="1:14" ht="15" customHeight="1" x14ac:dyDescent="0.25">
      <c r="A745" s="497"/>
      <c r="C745" s="404"/>
      <c r="E745" s="308"/>
      <c r="G745" s="297"/>
      <c r="H745" s="297"/>
      <c r="J745" s="297"/>
      <c r="L745" s="312"/>
      <c r="N745" s="297"/>
    </row>
    <row r="746" spans="1:14" ht="15" customHeight="1" x14ac:dyDescent="0.25">
      <c r="A746" s="497"/>
      <c r="C746" s="404"/>
      <c r="E746" s="308"/>
      <c r="G746" s="297"/>
      <c r="H746" s="297"/>
      <c r="J746" s="297"/>
      <c r="L746" s="312"/>
      <c r="N746" s="297"/>
    </row>
    <row r="747" spans="1:14" ht="15" customHeight="1" x14ac:dyDescent="0.25">
      <c r="A747" s="497"/>
      <c r="C747" s="404"/>
      <c r="E747" s="308"/>
      <c r="G747" s="297"/>
      <c r="H747" s="297"/>
      <c r="J747" s="297"/>
      <c r="L747" s="312"/>
      <c r="N747" s="297"/>
    </row>
    <row r="748" spans="1:14" ht="15" customHeight="1" x14ac:dyDescent="0.25">
      <c r="A748" s="497"/>
      <c r="C748" s="404"/>
      <c r="E748" s="308"/>
      <c r="G748" s="297"/>
      <c r="H748" s="297"/>
      <c r="J748" s="297"/>
      <c r="L748" s="312"/>
      <c r="N748" s="297"/>
    </row>
    <row r="749" spans="1:14" ht="15" customHeight="1" x14ac:dyDescent="0.25">
      <c r="A749" s="497"/>
      <c r="C749" s="404"/>
      <c r="E749" s="308"/>
      <c r="G749" s="297"/>
      <c r="H749" s="297"/>
      <c r="J749" s="297"/>
      <c r="L749" s="312"/>
      <c r="N749" s="297"/>
    </row>
    <row r="750" spans="1:14" ht="15" customHeight="1" x14ac:dyDescent="0.25">
      <c r="A750" s="497"/>
      <c r="C750" s="404"/>
      <c r="E750" s="308"/>
      <c r="G750" s="297"/>
      <c r="H750" s="297"/>
      <c r="J750" s="297"/>
      <c r="L750" s="312"/>
      <c r="N750" s="297"/>
    </row>
    <row r="751" spans="1:14" ht="15" customHeight="1" x14ac:dyDescent="0.25">
      <c r="A751" s="497"/>
      <c r="C751" s="404"/>
      <c r="E751" s="308"/>
      <c r="G751" s="297"/>
      <c r="H751" s="297"/>
      <c r="J751" s="297"/>
      <c r="L751" s="312"/>
      <c r="N751" s="297"/>
    </row>
    <row r="752" spans="1:14" ht="15" customHeight="1" x14ac:dyDescent="0.25">
      <c r="A752" s="497"/>
      <c r="C752" s="404"/>
      <c r="E752" s="308"/>
      <c r="G752" s="297"/>
      <c r="H752" s="297"/>
      <c r="J752" s="297"/>
      <c r="L752" s="312"/>
      <c r="N752" s="297"/>
    </row>
    <row r="753" spans="1:14" ht="15" customHeight="1" x14ac:dyDescent="0.25">
      <c r="A753" s="497"/>
      <c r="C753" s="404"/>
      <c r="E753" s="308"/>
      <c r="G753" s="297"/>
      <c r="H753" s="297"/>
      <c r="J753" s="297"/>
      <c r="L753" s="312"/>
      <c r="N753" s="297"/>
    </row>
    <row r="754" spans="1:14" ht="15" customHeight="1" x14ac:dyDescent="0.25">
      <c r="A754" s="497"/>
      <c r="C754" s="404"/>
      <c r="E754" s="308"/>
      <c r="G754" s="297"/>
      <c r="H754" s="297"/>
      <c r="J754" s="297"/>
      <c r="L754" s="312"/>
      <c r="N754" s="297"/>
    </row>
    <row r="755" spans="1:14" ht="15" customHeight="1" x14ac:dyDescent="0.25">
      <c r="A755" s="497"/>
      <c r="C755" s="404"/>
      <c r="E755" s="308"/>
      <c r="G755" s="297"/>
      <c r="H755" s="297"/>
      <c r="J755" s="297"/>
      <c r="L755" s="312"/>
      <c r="N755" s="297"/>
    </row>
    <row r="756" spans="1:14" ht="15" customHeight="1" x14ac:dyDescent="0.25">
      <c r="A756" s="497"/>
      <c r="C756" s="404"/>
      <c r="E756" s="308"/>
      <c r="G756" s="297"/>
      <c r="H756" s="297"/>
      <c r="J756" s="297"/>
      <c r="L756" s="312"/>
      <c r="N756" s="297"/>
    </row>
    <row r="757" spans="1:14" ht="15" customHeight="1" x14ac:dyDescent="0.25">
      <c r="A757" s="497"/>
      <c r="C757" s="404"/>
      <c r="E757" s="308"/>
      <c r="G757" s="297"/>
      <c r="H757" s="297"/>
      <c r="J757" s="297"/>
      <c r="L757" s="312"/>
      <c r="N757" s="297"/>
    </row>
    <row r="758" spans="1:14" ht="15" customHeight="1" x14ac:dyDescent="0.25">
      <c r="A758" s="497"/>
      <c r="C758" s="404"/>
      <c r="E758" s="308"/>
      <c r="G758" s="297"/>
      <c r="H758" s="297"/>
      <c r="J758" s="297"/>
      <c r="L758" s="312"/>
      <c r="N758" s="297"/>
    </row>
    <row r="759" spans="1:14" ht="15" customHeight="1" x14ac:dyDescent="0.25">
      <c r="A759" s="497"/>
      <c r="C759" s="404"/>
      <c r="E759" s="308"/>
      <c r="G759" s="297"/>
      <c r="H759" s="297"/>
      <c r="J759" s="297"/>
      <c r="L759" s="312"/>
      <c r="N759" s="297"/>
    </row>
    <row r="760" spans="1:14" ht="15" customHeight="1" x14ac:dyDescent="0.25">
      <c r="A760" s="497"/>
      <c r="C760" s="404"/>
      <c r="E760" s="308"/>
      <c r="G760" s="297"/>
      <c r="H760" s="297"/>
      <c r="J760" s="297"/>
      <c r="L760" s="312"/>
      <c r="N760" s="297"/>
    </row>
    <row r="761" spans="1:14" ht="15" customHeight="1" x14ac:dyDescent="0.25">
      <c r="A761" s="497"/>
      <c r="C761" s="404"/>
      <c r="E761" s="308"/>
      <c r="G761" s="297"/>
      <c r="H761" s="297"/>
      <c r="J761" s="297"/>
      <c r="L761" s="312"/>
      <c r="N761" s="297"/>
    </row>
    <row r="762" spans="1:14" ht="15" customHeight="1" x14ac:dyDescent="0.25">
      <c r="A762" s="497"/>
      <c r="C762" s="404"/>
      <c r="E762" s="308"/>
      <c r="G762" s="297"/>
      <c r="H762" s="297"/>
      <c r="J762" s="297"/>
      <c r="L762" s="312"/>
      <c r="N762" s="297"/>
    </row>
    <row r="763" spans="1:14" ht="15" customHeight="1" x14ac:dyDescent="0.25">
      <c r="A763" s="497"/>
      <c r="C763" s="404"/>
      <c r="E763" s="308"/>
      <c r="G763" s="297"/>
      <c r="H763" s="297"/>
      <c r="J763" s="297"/>
      <c r="L763" s="312"/>
      <c r="N763" s="297"/>
    </row>
    <row r="764" spans="1:14" ht="15" customHeight="1" x14ac:dyDescent="0.25">
      <c r="A764" s="497"/>
      <c r="C764" s="404"/>
      <c r="E764" s="308"/>
      <c r="G764" s="297"/>
      <c r="H764" s="297"/>
      <c r="J764" s="297"/>
      <c r="L764" s="312"/>
      <c r="N764" s="297"/>
    </row>
    <row r="765" spans="1:14" ht="15" customHeight="1" x14ac:dyDescent="0.25">
      <c r="A765" s="497"/>
      <c r="C765" s="404"/>
      <c r="E765" s="308"/>
      <c r="G765" s="297"/>
      <c r="H765" s="297"/>
      <c r="J765" s="297"/>
      <c r="L765" s="312"/>
      <c r="N765" s="297"/>
    </row>
    <row r="766" spans="1:14" ht="15" customHeight="1" x14ac:dyDescent="0.25">
      <c r="A766" s="497"/>
      <c r="C766" s="404"/>
      <c r="E766" s="308"/>
      <c r="G766" s="297"/>
      <c r="H766" s="297"/>
      <c r="J766" s="297"/>
      <c r="L766" s="312"/>
      <c r="N766" s="297"/>
    </row>
    <row r="767" spans="1:14" ht="15" customHeight="1" x14ac:dyDescent="0.25">
      <c r="A767" s="497"/>
      <c r="C767" s="404"/>
      <c r="E767" s="308"/>
      <c r="G767" s="297"/>
      <c r="H767" s="297"/>
      <c r="J767" s="297"/>
      <c r="L767" s="312"/>
      <c r="N767" s="297"/>
    </row>
    <row r="768" spans="1:14" ht="15" customHeight="1" x14ac:dyDescent="0.25">
      <c r="A768" s="497"/>
      <c r="C768" s="404"/>
      <c r="E768" s="308"/>
      <c r="G768" s="297"/>
      <c r="H768" s="297"/>
      <c r="J768" s="297"/>
      <c r="L768" s="312"/>
      <c r="N768" s="297"/>
    </row>
    <row r="769" spans="1:14" ht="15" customHeight="1" x14ac:dyDescent="0.25">
      <c r="A769" s="497"/>
      <c r="C769" s="404"/>
      <c r="E769" s="308"/>
      <c r="G769" s="297"/>
      <c r="H769" s="297"/>
      <c r="J769" s="297"/>
      <c r="L769" s="312"/>
      <c r="N769" s="297"/>
    </row>
    <row r="770" spans="1:14" ht="15" customHeight="1" x14ac:dyDescent="0.25">
      <c r="A770" s="497"/>
      <c r="C770" s="404"/>
      <c r="E770" s="308"/>
      <c r="G770" s="297"/>
      <c r="H770" s="297"/>
      <c r="J770" s="297"/>
      <c r="L770" s="312"/>
      <c r="N770" s="297"/>
    </row>
    <row r="771" spans="1:14" ht="15" customHeight="1" x14ac:dyDescent="0.25">
      <c r="A771" s="497"/>
      <c r="C771" s="404"/>
      <c r="E771" s="308"/>
      <c r="G771" s="297"/>
      <c r="H771" s="297"/>
      <c r="J771" s="297"/>
      <c r="L771" s="312"/>
      <c r="N771" s="297"/>
    </row>
    <row r="772" spans="1:14" ht="15" customHeight="1" x14ac:dyDescent="0.25">
      <c r="A772" s="497"/>
      <c r="C772" s="404"/>
      <c r="E772" s="308"/>
      <c r="G772" s="297"/>
      <c r="H772" s="297"/>
      <c r="J772" s="297"/>
      <c r="L772" s="312"/>
      <c r="N772" s="297"/>
    </row>
    <row r="773" spans="1:14" ht="15" customHeight="1" x14ac:dyDescent="0.25">
      <c r="A773" s="497"/>
      <c r="C773" s="404"/>
      <c r="E773" s="308"/>
      <c r="G773" s="297"/>
      <c r="H773" s="297"/>
      <c r="J773" s="297"/>
      <c r="L773" s="312"/>
      <c r="N773" s="297"/>
    </row>
    <row r="774" spans="1:14" ht="15" customHeight="1" x14ac:dyDescent="0.25">
      <c r="A774" s="497"/>
      <c r="C774" s="404"/>
      <c r="E774" s="308"/>
      <c r="G774" s="297"/>
      <c r="H774" s="297"/>
      <c r="J774" s="297"/>
      <c r="L774" s="312"/>
      <c r="N774" s="297"/>
    </row>
    <row r="775" spans="1:14" ht="15" customHeight="1" x14ac:dyDescent="0.25">
      <c r="A775" s="497"/>
      <c r="C775" s="404"/>
      <c r="E775" s="308"/>
      <c r="G775" s="297"/>
      <c r="H775" s="297"/>
      <c r="J775" s="297"/>
      <c r="L775" s="312"/>
      <c r="N775" s="297"/>
    </row>
    <row r="776" spans="1:14" ht="15" customHeight="1" x14ac:dyDescent="0.25">
      <c r="A776" s="497"/>
      <c r="C776" s="404"/>
      <c r="E776" s="308"/>
      <c r="G776" s="297"/>
      <c r="H776" s="297"/>
      <c r="J776" s="297"/>
      <c r="L776" s="312"/>
      <c r="N776" s="297"/>
    </row>
    <row r="777" spans="1:14" ht="15" customHeight="1" x14ac:dyDescent="0.25">
      <c r="A777" s="497"/>
      <c r="C777" s="404"/>
      <c r="E777" s="308"/>
      <c r="G777" s="297"/>
      <c r="H777" s="297"/>
      <c r="J777" s="297"/>
      <c r="L777" s="312"/>
      <c r="N777" s="297"/>
    </row>
    <row r="778" spans="1:14" ht="15" customHeight="1" x14ac:dyDescent="0.25">
      <c r="A778" s="497"/>
      <c r="C778" s="404"/>
      <c r="E778" s="308"/>
      <c r="G778" s="297"/>
      <c r="H778" s="297"/>
      <c r="J778" s="297"/>
      <c r="L778" s="312"/>
      <c r="N778" s="297"/>
    </row>
    <row r="779" spans="1:14" ht="15" customHeight="1" x14ac:dyDescent="0.25">
      <c r="A779" s="497"/>
      <c r="C779" s="404"/>
      <c r="E779" s="308"/>
      <c r="G779" s="297"/>
      <c r="H779" s="297"/>
      <c r="J779" s="297"/>
      <c r="L779" s="312"/>
      <c r="N779" s="297"/>
    </row>
    <row r="780" spans="1:14" ht="15" customHeight="1" x14ac:dyDescent="0.25">
      <c r="A780" s="497"/>
      <c r="C780" s="404"/>
      <c r="E780" s="308"/>
      <c r="G780" s="297"/>
      <c r="H780" s="297"/>
      <c r="J780" s="297"/>
      <c r="L780" s="312"/>
      <c r="N780" s="297"/>
    </row>
    <row r="781" spans="1:14" ht="15" customHeight="1" x14ac:dyDescent="0.25">
      <c r="A781" s="497"/>
      <c r="C781" s="404"/>
      <c r="E781" s="308"/>
      <c r="G781" s="297"/>
      <c r="H781" s="297"/>
      <c r="J781" s="297"/>
      <c r="L781" s="312"/>
      <c r="N781" s="297"/>
    </row>
    <row r="782" spans="1:14" ht="15" customHeight="1" x14ac:dyDescent="0.25">
      <c r="A782" s="497"/>
      <c r="C782" s="404"/>
      <c r="E782" s="308"/>
      <c r="G782" s="297"/>
      <c r="H782" s="297"/>
      <c r="J782" s="297"/>
      <c r="L782" s="312"/>
      <c r="N782" s="297"/>
    </row>
    <row r="783" spans="1:14" ht="15" customHeight="1" x14ac:dyDescent="0.25">
      <c r="A783" s="497"/>
      <c r="C783" s="404"/>
      <c r="E783" s="308"/>
      <c r="G783" s="297"/>
      <c r="H783" s="297"/>
      <c r="J783" s="297"/>
      <c r="L783" s="312"/>
      <c r="N783" s="297"/>
    </row>
    <row r="784" spans="1:14" ht="15" customHeight="1" x14ac:dyDescent="0.25">
      <c r="A784" s="497"/>
      <c r="C784" s="404"/>
      <c r="E784" s="308"/>
      <c r="G784" s="297"/>
      <c r="H784" s="297"/>
      <c r="J784" s="297"/>
      <c r="L784" s="312"/>
      <c r="N784" s="297"/>
    </row>
    <row r="785" spans="1:14" ht="15" customHeight="1" x14ac:dyDescent="0.25">
      <c r="A785" s="497"/>
      <c r="C785" s="404"/>
      <c r="E785" s="308"/>
      <c r="G785" s="297"/>
      <c r="H785" s="297"/>
      <c r="J785" s="297"/>
      <c r="L785" s="312"/>
      <c r="N785" s="297"/>
    </row>
    <row r="786" spans="1:14" ht="15" customHeight="1" x14ac:dyDescent="0.25">
      <c r="A786" s="497"/>
      <c r="C786" s="404"/>
      <c r="E786" s="308"/>
      <c r="G786" s="297"/>
      <c r="H786" s="297"/>
      <c r="J786" s="297"/>
      <c r="L786" s="312"/>
      <c r="N786" s="297"/>
    </row>
    <row r="787" spans="1:14" ht="15" customHeight="1" x14ac:dyDescent="0.25">
      <c r="A787" s="497"/>
      <c r="C787" s="404"/>
      <c r="E787" s="308"/>
      <c r="G787" s="297"/>
      <c r="H787" s="297"/>
      <c r="J787" s="297"/>
      <c r="L787" s="312"/>
      <c r="N787" s="297"/>
    </row>
    <row r="788" spans="1:14" ht="15" customHeight="1" x14ac:dyDescent="0.25">
      <c r="A788" s="497"/>
      <c r="C788" s="404"/>
      <c r="E788" s="308"/>
      <c r="G788" s="297"/>
      <c r="H788" s="297"/>
      <c r="J788" s="297"/>
      <c r="L788" s="312"/>
      <c r="N788" s="297"/>
    </row>
    <row r="789" spans="1:14" ht="15" customHeight="1" x14ac:dyDescent="0.25">
      <c r="A789" s="497"/>
      <c r="C789" s="404"/>
      <c r="E789" s="308"/>
      <c r="G789" s="297"/>
      <c r="H789" s="297"/>
      <c r="J789" s="297"/>
      <c r="L789" s="312"/>
      <c r="N789" s="297"/>
    </row>
    <row r="790" spans="1:14" ht="15" customHeight="1" x14ac:dyDescent="0.25">
      <c r="A790" s="497"/>
      <c r="C790" s="404"/>
      <c r="E790" s="308"/>
      <c r="G790" s="297"/>
      <c r="H790" s="297"/>
      <c r="J790" s="297"/>
      <c r="L790" s="312"/>
      <c r="N790" s="297"/>
    </row>
    <row r="791" spans="1:14" ht="15" customHeight="1" x14ac:dyDescent="0.25">
      <c r="A791" s="497"/>
      <c r="C791" s="404"/>
      <c r="E791" s="308"/>
      <c r="G791" s="297"/>
      <c r="H791" s="297"/>
      <c r="J791" s="297"/>
      <c r="L791" s="312"/>
      <c r="N791" s="297"/>
    </row>
    <row r="792" spans="1:14" ht="15" customHeight="1" x14ac:dyDescent="0.25">
      <c r="A792" s="497"/>
      <c r="C792" s="404"/>
      <c r="E792" s="308"/>
      <c r="G792" s="297"/>
      <c r="H792" s="297"/>
      <c r="J792" s="297"/>
      <c r="L792" s="312"/>
      <c r="N792" s="297"/>
    </row>
    <row r="793" spans="1:14" ht="15" customHeight="1" x14ac:dyDescent="0.25">
      <c r="A793" s="497"/>
      <c r="C793" s="404"/>
      <c r="E793" s="308"/>
      <c r="G793" s="297"/>
      <c r="H793" s="297"/>
      <c r="J793" s="297"/>
      <c r="L793" s="312"/>
      <c r="N793" s="297"/>
    </row>
    <row r="794" spans="1:14" ht="15" customHeight="1" x14ac:dyDescent="0.25">
      <c r="A794" s="497"/>
      <c r="C794" s="404"/>
      <c r="E794" s="308"/>
      <c r="G794" s="297"/>
      <c r="H794" s="297"/>
      <c r="J794" s="297"/>
      <c r="L794" s="312"/>
      <c r="N794" s="297"/>
    </row>
    <row r="795" spans="1:14" ht="15" customHeight="1" x14ac:dyDescent="0.25">
      <c r="A795" s="497"/>
      <c r="C795" s="404"/>
      <c r="E795" s="308"/>
      <c r="G795" s="297"/>
      <c r="H795" s="297"/>
      <c r="J795" s="297"/>
      <c r="L795" s="312"/>
      <c r="N795" s="297"/>
    </row>
    <row r="796" spans="1:14" ht="15" customHeight="1" x14ac:dyDescent="0.25">
      <c r="A796" s="497"/>
      <c r="C796" s="404"/>
      <c r="E796" s="308"/>
      <c r="G796" s="297"/>
      <c r="H796" s="297"/>
      <c r="J796" s="297"/>
      <c r="L796" s="312"/>
      <c r="N796" s="297"/>
    </row>
    <row r="797" spans="1:14" ht="15" customHeight="1" x14ac:dyDescent="0.25">
      <c r="A797" s="497"/>
      <c r="C797" s="404"/>
      <c r="E797" s="308"/>
      <c r="G797" s="297"/>
      <c r="H797" s="297"/>
      <c r="J797" s="297"/>
      <c r="L797" s="312"/>
      <c r="N797" s="297"/>
    </row>
    <row r="798" spans="1:14" ht="15" customHeight="1" x14ac:dyDescent="0.25">
      <c r="A798" s="497"/>
      <c r="C798" s="404"/>
      <c r="E798" s="308"/>
      <c r="G798" s="297"/>
      <c r="H798" s="297"/>
      <c r="J798" s="297"/>
      <c r="L798" s="312"/>
      <c r="N798" s="297"/>
    </row>
    <row r="799" spans="1:14" ht="15" customHeight="1" x14ac:dyDescent="0.25">
      <c r="A799" s="497"/>
      <c r="C799" s="404"/>
      <c r="E799" s="308"/>
      <c r="G799" s="297"/>
      <c r="H799" s="297"/>
      <c r="J799" s="297"/>
      <c r="L799" s="312"/>
      <c r="N799" s="297"/>
    </row>
    <row r="800" spans="1:14" ht="15" customHeight="1" x14ac:dyDescent="0.25">
      <c r="A800" s="497"/>
      <c r="C800" s="404"/>
      <c r="E800" s="308"/>
      <c r="G800" s="297"/>
      <c r="H800" s="297"/>
      <c r="J800" s="297"/>
      <c r="L800" s="312"/>
      <c r="N800" s="297"/>
    </row>
    <row r="801" spans="1:14" ht="15" customHeight="1" x14ac:dyDescent="0.25">
      <c r="A801" s="497"/>
      <c r="C801" s="404"/>
      <c r="E801" s="308"/>
      <c r="G801" s="297"/>
      <c r="H801" s="297"/>
      <c r="J801" s="297"/>
      <c r="L801" s="312"/>
      <c r="N801" s="297"/>
    </row>
    <row r="802" spans="1:14" ht="15" customHeight="1" x14ac:dyDescent="0.25">
      <c r="A802" s="497"/>
      <c r="C802" s="404"/>
      <c r="E802" s="308"/>
      <c r="G802" s="297"/>
      <c r="H802" s="297"/>
      <c r="J802" s="297"/>
      <c r="L802" s="312"/>
      <c r="N802" s="297"/>
    </row>
    <row r="803" spans="1:14" ht="15" customHeight="1" x14ac:dyDescent="0.25">
      <c r="A803" s="497"/>
      <c r="C803" s="404"/>
      <c r="E803" s="308"/>
      <c r="G803" s="297"/>
      <c r="H803" s="297"/>
      <c r="J803" s="297"/>
      <c r="L803" s="312"/>
      <c r="N803" s="297"/>
    </row>
    <row r="804" spans="1:14" ht="15" customHeight="1" x14ac:dyDescent="0.25">
      <c r="A804" s="497"/>
      <c r="C804" s="404"/>
      <c r="E804" s="308"/>
      <c r="G804" s="297"/>
      <c r="H804" s="297"/>
      <c r="J804" s="297"/>
      <c r="L804" s="312"/>
      <c r="N804" s="297"/>
    </row>
    <row r="805" spans="1:14" ht="15" customHeight="1" x14ac:dyDescent="0.25">
      <c r="A805" s="497"/>
      <c r="C805" s="404"/>
      <c r="E805" s="308"/>
      <c r="G805" s="297"/>
      <c r="H805" s="297"/>
      <c r="J805" s="297"/>
      <c r="L805" s="312"/>
      <c r="N805" s="297"/>
    </row>
    <row r="806" spans="1:14" ht="15" customHeight="1" x14ac:dyDescent="0.25">
      <c r="A806" s="497"/>
      <c r="C806" s="404"/>
      <c r="E806" s="308"/>
      <c r="G806" s="297"/>
      <c r="H806" s="297"/>
      <c r="J806" s="297"/>
      <c r="L806" s="312"/>
      <c r="N806" s="297"/>
    </row>
    <row r="807" spans="1:14" ht="15" customHeight="1" x14ac:dyDescent="0.25">
      <c r="A807" s="497"/>
      <c r="C807" s="404"/>
      <c r="E807" s="308"/>
      <c r="G807" s="297"/>
      <c r="H807" s="297"/>
      <c r="J807" s="297"/>
      <c r="L807" s="312"/>
      <c r="N807" s="297"/>
    </row>
    <row r="808" spans="1:14" ht="15" customHeight="1" x14ac:dyDescent="0.25">
      <c r="A808" s="497"/>
      <c r="C808" s="404"/>
      <c r="E808" s="308"/>
      <c r="G808" s="297"/>
      <c r="H808" s="297"/>
      <c r="J808" s="297"/>
      <c r="L808" s="312"/>
      <c r="N808" s="297"/>
    </row>
    <row r="809" spans="1:14" ht="15" customHeight="1" x14ac:dyDescent="0.25">
      <c r="A809" s="497"/>
      <c r="C809" s="404"/>
      <c r="E809" s="308"/>
      <c r="G809" s="297"/>
      <c r="H809" s="297"/>
      <c r="J809" s="297"/>
      <c r="L809" s="312"/>
      <c r="N809" s="297"/>
    </row>
    <row r="810" spans="1:14" ht="15" customHeight="1" x14ac:dyDescent="0.25">
      <c r="A810" s="497"/>
      <c r="C810" s="404"/>
      <c r="E810" s="308"/>
      <c r="G810" s="297"/>
      <c r="H810" s="297"/>
      <c r="J810" s="297"/>
      <c r="L810" s="312"/>
      <c r="N810" s="297"/>
    </row>
    <row r="811" spans="1:14" ht="15" customHeight="1" x14ac:dyDescent="0.25">
      <c r="A811" s="497"/>
      <c r="C811" s="404"/>
      <c r="E811" s="308"/>
      <c r="G811" s="297"/>
      <c r="H811" s="297"/>
      <c r="J811" s="297"/>
      <c r="L811" s="312"/>
      <c r="N811" s="297"/>
    </row>
    <row r="812" spans="1:14" ht="15" customHeight="1" x14ac:dyDescent="0.25">
      <c r="A812" s="497"/>
      <c r="C812" s="404"/>
      <c r="E812" s="308"/>
      <c r="G812" s="297"/>
      <c r="H812" s="297"/>
      <c r="J812" s="297"/>
      <c r="L812" s="312"/>
      <c r="N812" s="297"/>
    </row>
    <row r="813" spans="1:14" ht="15" customHeight="1" x14ac:dyDescent="0.25">
      <c r="A813" s="497"/>
      <c r="C813" s="404"/>
      <c r="E813" s="308"/>
      <c r="G813" s="297"/>
      <c r="H813" s="297"/>
      <c r="J813" s="297"/>
      <c r="L813" s="312"/>
      <c r="N813" s="297"/>
    </row>
    <row r="814" spans="1:14" ht="15" customHeight="1" x14ac:dyDescent="0.25">
      <c r="A814" s="497"/>
      <c r="C814" s="404"/>
      <c r="E814" s="308"/>
      <c r="G814" s="297"/>
      <c r="H814" s="297"/>
      <c r="J814" s="297"/>
      <c r="L814" s="312"/>
      <c r="N814" s="297"/>
    </row>
    <row r="815" spans="1:14" ht="15" customHeight="1" x14ac:dyDescent="0.25">
      <c r="A815" s="497"/>
      <c r="C815" s="404"/>
      <c r="E815" s="308"/>
      <c r="G815" s="297"/>
      <c r="H815" s="297"/>
      <c r="J815" s="297"/>
      <c r="L815" s="312"/>
      <c r="N815" s="297"/>
    </row>
    <row r="816" spans="1:14" ht="15" customHeight="1" x14ac:dyDescent="0.25">
      <c r="A816" s="497"/>
      <c r="C816" s="404"/>
      <c r="E816" s="308"/>
      <c r="G816" s="297"/>
      <c r="H816" s="297"/>
      <c r="J816" s="297"/>
      <c r="L816" s="312"/>
      <c r="N816" s="297"/>
    </row>
    <row r="817" spans="1:14" ht="15" customHeight="1" x14ac:dyDescent="0.25">
      <c r="A817" s="497"/>
      <c r="C817" s="404"/>
      <c r="E817" s="308"/>
      <c r="G817" s="297"/>
      <c r="H817" s="297"/>
      <c r="J817" s="297"/>
      <c r="L817" s="312"/>
      <c r="N817" s="297"/>
    </row>
    <row r="818" spans="1:14" ht="15" customHeight="1" x14ac:dyDescent="0.25">
      <c r="A818" s="497"/>
      <c r="C818" s="404"/>
      <c r="E818" s="308"/>
      <c r="G818" s="297"/>
      <c r="H818" s="297"/>
      <c r="J818" s="297"/>
      <c r="L818" s="312"/>
      <c r="N818" s="297"/>
    </row>
    <row r="819" spans="1:14" ht="15" customHeight="1" x14ac:dyDescent="0.25">
      <c r="A819" s="497"/>
      <c r="C819" s="404"/>
      <c r="E819" s="308"/>
      <c r="G819" s="297"/>
      <c r="H819" s="297"/>
      <c r="J819" s="297"/>
      <c r="L819" s="312"/>
      <c r="N819" s="297"/>
    </row>
    <row r="820" spans="1:14" ht="15" customHeight="1" x14ac:dyDescent="0.25">
      <c r="A820" s="497"/>
      <c r="C820" s="404"/>
      <c r="E820" s="308"/>
      <c r="G820" s="297"/>
      <c r="H820" s="297"/>
      <c r="J820" s="297"/>
      <c r="L820" s="312"/>
      <c r="N820" s="297"/>
    </row>
    <row r="821" spans="1:14" ht="15" customHeight="1" x14ac:dyDescent="0.25">
      <c r="A821" s="497"/>
      <c r="C821" s="404"/>
      <c r="E821" s="308"/>
      <c r="G821" s="297"/>
      <c r="H821" s="297"/>
      <c r="J821" s="297"/>
      <c r="L821" s="312"/>
      <c r="N821" s="297"/>
    </row>
    <row r="822" spans="1:14" ht="15" customHeight="1" x14ac:dyDescent="0.25">
      <c r="A822" s="497"/>
      <c r="C822" s="404"/>
      <c r="E822" s="308"/>
      <c r="G822" s="297"/>
      <c r="H822" s="297"/>
      <c r="J822" s="297"/>
      <c r="L822" s="312"/>
      <c r="N822" s="297"/>
    </row>
    <row r="823" spans="1:14" ht="15" customHeight="1" x14ac:dyDescent="0.25">
      <c r="A823" s="497"/>
      <c r="C823" s="404"/>
      <c r="E823" s="308"/>
      <c r="G823" s="297"/>
      <c r="H823" s="297"/>
      <c r="J823" s="297"/>
      <c r="L823" s="312"/>
      <c r="N823" s="297"/>
    </row>
    <row r="824" spans="1:14" ht="15" customHeight="1" x14ac:dyDescent="0.25">
      <c r="A824" s="497"/>
      <c r="C824" s="404"/>
      <c r="E824" s="308"/>
      <c r="G824" s="297"/>
      <c r="H824" s="297"/>
      <c r="J824" s="297"/>
      <c r="L824" s="312"/>
      <c r="N824" s="297"/>
    </row>
    <row r="825" spans="1:14" ht="15" customHeight="1" x14ac:dyDescent="0.25">
      <c r="A825" s="497"/>
      <c r="C825" s="404"/>
      <c r="E825" s="308"/>
      <c r="G825" s="297"/>
      <c r="H825" s="297"/>
      <c r="J825" s="297"/>
      <c r="L825" s="312"/>
      <c r="N825" s="297"/>
    </row>
    <row r="826" spans="1:14" ht="15" customHeight="1" x14ac:dyDescent="0.25">
      <c r="A826" s="497"/>
      <c r="C826" s="404"/>
      <c r="E826" s="308"/>
      <c r="G826" s="297"/>
      <c r="H826" s="297"/>
      <c r="J826" s="297"/>
      <c r="L826" s="312"/>
      <c r="N826" s="297"/>
    </row>
    <row r="827" spans="1:14" ht="15" customHeight="1" x14ac:dyDescent="0.25">
      <c r="A827" s="497"/>
      <c r="C827" s="404"/>
      <c r="E827" s="308"/>
      <c r="G827" s="297"/>
      <c r="H827" s="297"/>
      <c r="J827" s="297"/>
      <c r="L827" s="312"/>
      <c r="N827" s="297"/>
    </row>
    <row r="828" spans="1:14" ht="15" customHeight="1" x14ac:dyDescent="0.25">
      <c r="A828" s="497"/>
      <c r="C828" s="404"/>
      <c r="E828" s="308"/>
      <c r="G828" s="297"/>
      <c r="H828" s="297"/>
      <c r="J828" s="297"/>
      <c r="L828" s="312"/>
      <c r="N828" s="297"/>
    </row>
    <row r="829" spans="1:14" ht="15" customHeight="1" x14ac:dyDescent="0.25">
      <c r="A829" s="497"/>
      <c r="C829" s="404"/>
      <c r="E829" s="308"/>
      <c r="G829" s="297"/>
      <c r="H829" s="297"/>
      <c r="J829" s="297"/>
      <c r="L829" s="312"/>
      <c r="N829" s="297"/>
    </row>
    <row r="830" spans="1:14" ht="15" customHeight="1" x14ac:dyDescent="0.25">
      <c r="A830" s="497"/>
      <c r="C830" s="404"/>
      <c r="E830" s="308"/>
      <c r="G830" s="297"/>
      <c r="H830" s="297"/>
      <c r="J830" s="297"/>
      <c r="L830" s="312"/>
      <c r="N830" s="297"/>
    </row>
    <row r="831" spans="1:14" ht="15" customHeight="1" x14ac:dyDescent="0.25">
      <c r="A831" s="497"/>
      <c r="C831" s="404"/>
      <c r="E831" s="308"/>
      <c r="G831" s="297"/>
      <c r="H831" s="297"/>
      <c r="J831" s="297"/>
      <c r="L831" s="312"/>
      <c r="N831" s="297"/>
    </row>
    <row r="832" spans="1:14" ht="15" customHeight="1" x14ac:dyDescent="0.25">
      <c r="A832" s="497"/>
      <c r="C832" s="404"/>
      <c r="E832" s="308"/>
      <c r="G832" s="297"/>
      <c r="H832" s="297"/>
      <c r="J832" s="297"/>
      <c r="L832" s="312"/>
      <c r="N832" s="297"/>
    </row>
    <row r="833" spans="1:14" ht="15" customHeight="1" x14ac:dyDescent="0.25">
      <c r="A833" s="497"/>
      <c r="C833" s="404"/>
      <c r="E833" s="308"/>
      <c r="G833" s="297"/>
      <c r="H833" s="297"/>
      <c r="J833" s="297"/>
      <c r="L833" s="312"/>
      <c r="N833" s="297"/>
    </row>
    <row r="834" spans="1:14" ht="15" customHeight="1" x14ac:dyDescent="0.25">
      <c r="A834" s="497"/>
      <c r="C834" s="404"/>
      <c r="E834" s="308"/>
      <c r="G834" s="297"/>
      <c r="H834" s="297"/>
      <c r="J834" s="297"/>
      <c r="L834" s="312"/>
      <c r="N834" s="297"/>
    </row>
    <row r="835" spans="1:14" ht="15" customHeight="1" x14ac:dyDescent="0.25">
      <c r="A835" s="497"/>
      <c r="C835" s="404"/>
      <c r="E835" s="308"/>
      <c r="G835" s="297"/>
      <c r="H835" s="297"/>
      <c r="J835" s="297"/>
      <c r="L835" s="312"/>
      <c r="N835" s="297"/>
    </row>
    <row r="836" spans="1:14" ht="15" customHeight="1" x14ac:dyDescent="0.25">
      <c r="A836" s="497"/>
      <c r="C836" s="404"/>
      <c r="E836" s="308"/>
      <c r="G836" s="297"/>
      <c r="H836" s="297"/>
      <c r="J836" s="297"/>
      <c r="L836" s="312"/>
      <c r="N836" s="297"/>
    </row>
    <row r="837" spans="1:14" ht="15" customHeight="1" x14ac:dyDescent="0.25">
      <c r="A837" s="497"/>
      <c r="C837" s="404"/>
      <c r="E837" s="308"/>
      <c r="G837" s="297"/>
      <c r="H837" s="297"/>
      <c r="J837" s="297"/>
      <c r="L837" s="312"/>
      <c r="N837" s="297"/>
    </row>
    <row r="838" spans="1:14" ht="15" customHeight="1" x14ac:dyDescent="0.25">
      <c r="A838" s="497"/>
      <c r="C838" s="404"/>
      <c r="E838" s="308"/>
      <c r="G838" s="297"/>
      <c r="H838" s="297"/>
      <c r="J838" s="297"/>
      <c r="L838" s="312"/>
      <c r="N838" s="297"/>
    </row>
    <row r="839" spans="1:14" ht="15" customHeight="1" x14ac:dyDescent="0.25">
      <c r="A839" s="497"/>
      <c r="C839" s="404"/>
      <c r="E839" s="308"/>
      <c r="G839" s="297"/>
      <c r="H839" s="297"/>
      <c r="J839" s="297"/>
      <c r="L839" s="312"/>
      <c r="N839" s="297"/>
    </row>
    <row r="840" spans="1:14" ht="15" customHeight="1" x14ac:dyDescent="0.25">
      <c r="A840" s="497"/>
      <c r="C840" s="404"/>
      <c r="E840" s="308"/>
      <c r="G840" s="297"/>
      <c r="H840" s="297"/>
      <c r="J840" s="297"/>
      <c r="L840" s="312"/>
      <c r="N840" s="297"/>
    </row>
    <row r="841" spans="1:14" ht="15" customHeight="1" x14ac:dyDescent="0.25">
      <c r="A841" s="497"/>
      <c r="C841" s="404"/>
      <c r="E841" s="308"/>
      <c r="G841" s="297"/>
      <c r="H841" s="297"/>
      <c r="J841" s="297"/>
      <c r="L841" s="312"/>
      <c r="N841" s="297"/>
    </row>
    <row r="842" spans="1:14" ht="15" customHeight="1" x14ac:dyDescent="0.25">
      <c r="A842" s="497"/>
      <c r="C842" s="404"/>
      <c r="E842" s="308"/>
      <c r="G842" s="297"/>
      <c r="H842" s="297"/>
      <c r="J842" s="297"/>
      <c r="L842" s="312"/>
      <c r="N842" s="297"/>
    </row>
    <row r="843" spans="1:14" ht="15" customHeight="1" x14ac:dyDescent="0.25">
      <c r="A843" s="497"/>
      <c r="C843" s="404"/>
      <c r="E843" s="308"/>
      <c r="G843" s="297"/>
      <c r="H843" s="297"/>
      <c r="J843" s="297"/>
      <c r="L843" s="312"/>
      <c r="N843" s="297"/>
    </row>
    <row r="844" spans="1:14" ht="15" customHeight="1" x14ac:dyDescent="0.25">
      <c r="A844" s="497"/>
      <c r="C844" s="404"/>
      <c r="E844" s="308"/>
      <c r="G844" s="297"/>
      <c r="H844" s="297"/>
      <c r="J844" s="297"/>
      <c r="L844" s="312"/>
      <c r="N844" s="297"/>
    </row>
    <row r="845" spans="1:14" ht="15" customHeight="1" x14ac:dyDescent="0.25">
      <c r="A845" s="497"/>
      <c r="C845" s="404"/>
      <c r="E845" s="308"/>
      <c r="G845" s="297"/>
      <c r="H845" s="297"/>
      <c r="J845" s="297"/>
      <c r="L845" s="312"/>
      <c r="N845" s="297"/>
    </row>
    <row r="846" spans="1:14" ht="15" customHeight="1" x14ac:dyDescent="0.25">
      <c r="A846" s="497"/>
      <c r="C846" s="404"/>
      <c r="E846" s="308"/>
      <c r="G846" s="297"/>
      <c r="H846" s="297"/>
      <c r="J846" s="297"/>
      <c r="L846" s="312"/>
      <c r="N846" s="297"/>
    </row>
    <row r="847" spans="1:14" ht="15" customHeight="1" x14ac:dyDescent="0.25">
      <c r="A847" s="497"/>
      <c r="C847" s="404"/>
      <c r="E847" s="308"/>
      <c r="G847" s="297"/>
      <c r="H847" s="297"/>
      <c r="J847" s="297"/>
      <c r="L847" s="312"/>
      <c r="N847" s="297"/>
    </row>
    <row r="848" spans="1:14" ht="15" customHeight="1" x14ac:dyDescent="0.25">
      <c r="A848" s="497"/>
      <c r="C848" s="404"/>
      <c r="E848" s="308"/>
      <c r="G848" s="297"/>
      <c r="H848" s="297"/>
      <c r="J848" s="297"/>
      <c r="L848" s="312"/>
      <c r="N848" s="297"/>
    </row>
    <row r="849" spans="1:14" ht="15" customHeight="1" x14ac:dyDescent="0.25">
      <c r="A849" s="497"/>
      <c r="C849" s="404"/>
      <c r="E849" s="308"/>
      <c r="G849" s="297"/>
      <c r="H849" s="297"/>
      <c r="J849" s="297"/>
      <c r="L849" s="312"/>
      <c r="N849" s="297"/>
    </row>
    <row r="850" spans="1:14" ht="15" customHeight="1" x14ac:dyDescent="0.25">
      <c r="A850" s="497"/>
      <c r="C850" s="404"/>
      <c r="E850" s="308"/>
      <c r="G850" s="297"/>
      <c r="H850" s="297"/>
      <c r="J850" s="297"/>
      <c r="L850" s="312"/>
      <c r="N850" s="297"/>
    </row>
    <row r="851" spans="1:14" ht="15" customHeight="1" x14ac:dyDescent="0.25">
      <c r="A851" s="497"/>
      <c r="C851" s="404"/>
      <c r="E851" s="308"/>
      <c r="G851" s="297"/>
      <c r="H851" s="297"/>
      <c r="J851" s="297"/>
      <c r="L851" s="312"/>
      <c r="N851" s="297"/>
    </row>
    <row r="852" spans="1:14" ht="15" customHeight="1" x14ac:dyDescent="0.25">
      <c r="A852" s="497"/>
      <c r="C852" s="404"/>
      <c r="E852" s="308"/>
      <c r="G852" s="297"/>
      <c r="H852" s="297"/>
      <c r="J852" s="297"/>
      <c r="L852" s="312"/>
      <c r="N852" s="297"/>
    </row>
    <row r="853" spans="1:14" ht="15" customHeight="1" x14ac:dyDescent="0.25">
      <c r="A853" s="497"/>
      <c r="C853" s="404"/>
      <c r="E853" s="308"/>
      <c r="G853" s="297"/>
      <c r="H853" s="297"/>
      <c r="J853" s="297"/>
      <c r="L853" s="312"/>
      <c r="N853" s="297"/>
    </row>
    <row r="854" spans="1:14" ht="15" customHeight="1" x14ac:dyDescent="0.25">
      <c r="A854" s="497"/>
      <c r="C854" s="404"/>
      <c r="E854" s="308"/>
      <c r="G854" s="297"/>
      <c r="H854" s="297"/>
      <c r="J854" s="297"/>
      <c r="L854" s="312"/>
      <c r="N854" s="297"/>
    </row>
    <row r="855" spans="1:14" ht="15" customHeight="1" x14ac:dyDescent="0.25">
      <c r="A855" s="497"/>
      <c r="C855" s="404"/>
      <c r="E855" s="308"/>
      <c r="G855" s="297"/>
      <c r="H855" s="297"/>
      <c r="J855" s="297"/>
      <c r="L855" s="312"/>
      <c r="N855" s="297"/>
    </row>
    <row r="856" spans="1:14" ht="15" customHeight="1" x14ac:dyDescent="0.25">
      <c r="A856" s="497"/>
      <c r="C856" s="404"/>
      <c r="E856" s="308"/>
      <c r="G856" s="297"/>
      <c r="H856" s="297"/>
      <c r="J856" s="297"/>
      <c r="L856" s="312"/>
      <c r="N856" s="297"/>
    </row>
    <row r="857" spans="1:14" ht="15" customHeight="1" x14ac:dyDescent="0.25">
      <c r="A857" s="497"/>
      <c r="C857" s="404"/>
      <c r="E857" s="308"/>
      <c r="G857" s="297"/>
      <c r="H857" s="297"/>
      <c r="J857" s="297"/>
      <c r="L857" s="312"/>
      <c r="N857" s="297"/>
    </row>
    <row r="858" spans="1:14" ht="15" customHeight="1" x14ac:dyDescent="0.25">
      <c r="A858" s="497"/>
      <c r="C858" s="404"/>
      <c r="E858" s="308"/>
      <c r="G858" s="297"/>
      <c r="H858" s="297"/>
      <c r="J858" s="297"/>
      <c r="L858" s="312"/>
      <c r="N858" s="297"/>
    </row>
    <row r="859" spans="1:14" ht="15" customHeight="1" x14ac:dyDescent="0.25">
      <c r="A859" s="497"/>
      <c r="C859" s="404"/>
      <c r="E859" s="308"/>
      <c r="G859" s="297"/>
      <c r="H859" s="297"/>
      <c r="J859" s="297"/>
      <c r="L859" s="312"/>
      <c r="N859" s="297"/>
    </row>
    <row r="860" spans="1:14" ht="15" customHeight="1" x14ac:dyDescent="0.25">
      <c r="A860" s="497"/>
      <c r="C860" s="404"/>
      <c r="E860" s="308"/>
      <c r="G860" s="297"/>
      <c r="H860" s="297"/>
      <c r="J860" s="297"/>
      <c r="L860" s="312"/>
      <c r="N860" s="297"/>
    </row>
    <row r="861" spans="1:14" ht="15" customHeight="1" x14ac:dyDescent="0.25">
      <c r="A861" s="497"/>
      <c r="C861" s="404"/>
      <c r="E861" s="308"/>
      <c r="G861" s="297"/>
      <c r="H861" s="297"/>
      <c r="J861" s="297"/>
      <c r="L861" s="312"/>
      <c r="N861" s="297"/>
    </row>
    <row r="862" spans="1:14" ht="15" customHeight="1" x14ac:dyDescent="0.25">
      <c r="A862" s="497"/>
      <c r="C862" s="404"/>
      <c r="E862" s="308"/>
      <c r="G862" s="297"/>
      <c r="H862" s="297"/>
      <c r="J862" s="297"/>
      <c r="L862" s="312"/>
      <c r="N862" s="297"/>
    </row>
    <row r="863" spans="1:14" ht="15" customHeight="1" x14ac:dyDescent="0.25">
      <c r="A863" s="497"/>
      <c r="C863" s="404"/>
      <c r="E863" s="308"/>
      <c r="G863" s="297"/>
      <c r="H863" s="297"/>
      <c r="J863" s="297"/>
      <c r="L863" s="312"/>
      <c r="N863" s="297"/>
    </row>
    <row r="864" spans="1:14" ht="15" customHeight="1" x14ac:dyDescent="0.25">
      <c r="A864" s="497"/>
      <c r="C864" s="404"/>
      <c r="E864" s="308"/>
      <c r="G864" s="297"/>
      <c r="H864" s="297"/>
      <c r="J864" s="297"/>
      <c r="L864" s="312"/>
      <c r="N864" s="297"/>
    </row>
    <row r="865" spans="1:14" ht="15" customHeight="1" x14ac:dyDescent="0.25">
      <c r="A865" s="497"/>
      <c r="C865" s="404"/>
      <c r="E865" s="308"/>
      <c r="G865" s="297"/>
      <c r="H865" s="297"/>
      <c r="J865" s="297"/>
      <c r="L865" s="312"/>
      <c r="N865" s="297"/>
    </row>
    <row r="866" spans="1:14" ht="15" customHeight="1" x14ac:dyDescent="0.25">
      <c r="A866" s="497"/>
      <c r="C866" s="404"/>
      <c r="E866" s="308"/>
      <c r="G866" s="297"/>
      <c r="H866" s="297"/>
      <c r="J866" s="297"/>
      <c r="L866" s="312"/>
      <c r="N866" s="297"/>
    </row>
    <row r="867" spans="1:14" ht="15" customHeight="1" x14ac:dyDescent="0.25">
      <c r="A867" s="497"/>
      <c r="C867" s="404"/>
      <c r="E867" s="308"/>
      <c r="G867" s="297"/>
      <c r="H867" s="297"/>
      <c r="J867" s="297"/>
      <c r="L867" s="312"/>
      <c r="N867" s="297"/>
    </row>
    <row r="868" spans="1:14" ht="15" customHeight="1" x14ac:dyDescent="0.25">
      <c r="A868" s="497"/>
      <c r="C868" s="404"/>
      <c r="E868" s="308"/>
      <c r="G868" s="297"/>
      <c r="H868" s="297"/>
      <c r="J868" s="297"/>
      <c r="L868" s="312"/>
      <c r="N868" s="297"/>
    </row>
    <row r="869" spans="1:14" ht="15" customHeight="1" x14ac:dyDescent="0.25">
      <c r="A869" s="497"/>
      <c r="C869" s="404"/>
      <c r="E869" s="308"/>
      <c r="G869" s="297"/>
      <c r="H869" s="297"/>
      <c r="J869" s="297"/>
      <c r="L869" s="312"/>
      <c r="N869" s="297"/>
    </row>
    <row r="870" spans="1:14" ht="15" customHeight="1" x14ac:dyDescent="0.25">
      <c r="A870" s="497"/>
      <c r="C870" s="404"/>
      <c r="E870" s="308"/>
      <c r="G870" s="297"/>
      <c r="H870" s="297"/>
      <c r="J870" s="297"/>
      <c r="L870" s="312"/>
      <c r="N870" s="297"/>
    </row>
    <row r="871" spans="1:14" ht="15" customHeight="1" x14ac:dyDescent="0.25">
      <c r="A871" s="497"/>
      <c r="C871" s="404"/>
      <c r="E871" s="308"/>
      <c r="G871" s="297"/>
      <c r="H871" s="297"/>
      <c r="J871" s="297"/>
      <c r="L871" s="312"/>
      <c r="N871" s="297"/>
    </row>
    <row r="872" spans="1:14" ht="15" customHeight="1" x14ac:dyDescent="0.25">
      <c r="A872" s="497"/>
      <c r="C872" s="404"/>
      <c r="E872" s="308"/>
      <c r="G872" s="297"/>
      <c r="H872" s="297"/>
      <c r="J872" s="297"/>
      <c r="L872" s="312"/>
      <c r="N872" s="297"/>
    </row>
    <row r="873" spans="1:14" ht="15" customHeight="1" x14ac:dyDescent="0.25">
      <c r="A873" s="497"/>
      <c r="C873" s="404"/>
      <c r="E873" s="308"/>
      <c r="G873" s="297"/>
      <c r="H873" s="297"/>
      <c r="J873" s="297"/>
      <c r="L873" s="312"/>
      <c r="N873" s="297"/>
    </row>
    <row r="874" spans="1:14" ht="15" customHeight="1" x14ac:dyDescent="0.25">
      <c r="A874" s="497"/>
      <c r="C874" s="404"/>
      <c r="E874" s="308"/>
      <c r="G874" s="297"/>
      <c r="H874" s="297"/>
      <c r="J874" s="297"/>
      <c r="L874" s="312"/>
      <c r="N874" s="297"/>
    </row>
    <row r="875" spans="1:14" ht="15" customHeight="1" x14ac:dyDescent="0.25">
      <c r="A875" s="497"/>
      <c r="C875" s="404"/>
      <c r="E875" s="308"/>
      <c r="G875" s="297"/>
      <c r="H875" s="297"/>
      <c r="J875" s="297"/>
      <c r="L875" s="312"/>
      <c r="N875" s="297"/>
    </row>
    <row r="876" spans="1:14" ht="15" customHeight="1" x14ac:dyDescent="0.25">
      <c r="A876" s="497"/>
      <c r="C876" s="404"/>
      <c r="E876" s="308"/>
      <c r="G876" s="297"/>
      <c r="H876" s="297"/>
      <c r="J876" s="297"/>
      <c r="L876" s="312"/>
      <c r="N876" s="297"/>
    </row>
    <row r="877" spans="1:14" ht="15" customHeight="1" x14ac:dyDescent="0.25">
      <c r="A877" s="497"/>
      <c r="C877" s="404"/>
      <c r="E877" s="308"/>
      <c r="G877" s="297"/>
      <c r="H877" s="297"/>
      <c r="J877" s="297"/>
      <c r="L877" s="312"/>
      <c r="N877" s="297"/>
    </row>
    <row r="878" spans="1:14" ht="15" customHeight="1" x14ac:dyDescent="0.25">
      <c r="A878" s="497"/>
      <c r="C878" s="404"/>
      <c r="E878" s="308"/>
      <c r="G878" s="297"/>
      <c r="H878" s="297"/>
      <c r="J878" s="297"/>
      <c r="L878" s="312"/>
      <c r="N878" s="297"/>
    </row>
    <row r="879" spans="1:14" ht="15" customHeight="1" x14ac:dyDescent="0.25">
      <c r="A879" s="497"/>
      <c r="C879" s="404"/>
      <c r="E879" s="308"/>
      <c r="G879" s="297"/>
      <c r="H879" s="297"/>
      <c r="J879" s="297"/>
      <c r="L879" s="312"/>
      <c r="N879" s="297"/>
    </row>
    <row r="880" spans="1:14" ht="15" customHeight="1" x14ac:dyDescent="0.25">
      <c r="A880" s="497"/>
      <c r="C880" s="404"/>
      <c r="E880" s="308"/>
      <c r="G880" s="297"/>
      <c r="H880" s="297"/>
      <c r="J880" s="297"/>
      <c r="L880" s="312"/>
      <c r="N880" s="297"/>
    </row>
    <row r="881" spans="1:14" ht="15" customHeight="1" x14ac:dyDescent="0.25">
      <c r="A881" s="497"/>
      <c r="C881" s="404"/>
      <c r="E881" s="308"/>
      <c r="G881" s="297"/>
      <c r="H881" s="297"/>
      <c r="J881" s="297"/>
      <c r="L881" s="312"/>
      <c r="N881" s="297"/>
    </row>
    <row r="882" spans="1:14" ht="15" customHeight="1" x14ac:dyDescent="0.25">
      <c r="A882" s="497"/>
      <c r="C882" s="404"/>
      <c r="E882" s="308"/>
      <c r="G882" s="297"/>
      <c r="H882" s="297"/>
      <c r="J882" s="297"/>
      <c r="L882" s="312"/>
      <c r="N882" s="297"/>
    </row>
    <row r="883" spans="1:14" ht="15" customHeight="1" x14ac:dyDescent="0.25">
      <c r="A883" s="497"/>
      <c r="C883" s="404"/>
      <c r="E883" s="308"/>
      <c r="G883" s="297"/>
      <c r="H883" s="297"/>
      <c r="J883" s="297"/>
      <c r="L883" s="312"/>
      <c r="N883" s="297"/>
    </row>
    <row r="884" spans="1:14" ht="15" customHeight="1" x14ac:dyDescent="0.25">
      <c r="A884" s="497"/>
      <c r="C884" s="404"/>
      <c r="E884" s="308"/>
      <c r="G884" s="297"/>
      <c r="H884" s="297"/>
      <c r="J884" s="297"/>
      <c r="L884" s="312"/>
      <c r="N884" s="297"/>
    </row>
    <row r="885" spans="1:14" ht="15" customHeight="1" x14ac:dyDescent="0.25">
      <c r="A885" s="497"/>
      <c r="C885" s="404"/>
      <c r="E885" s="308"/>
      <c r="G885" s="297"/>
      <c r="H885" s="297"/>
      <c r="J885" s="297"/>
      <c r="L885" s="312"/>
      <c r="N885" s="297"/>
    </row>
    <row r="886" spans="1:14" ht="15" customHeight="1" x14ac:dyDescent="0.25">
      <c r="A886" s="497"/>
      <c r="C886" s="404"/>
      <c r="E886" s="308"/>
      <c r="G886" s="297"/>
      <c r="H886" s="297"/>
      <c r="J886" s="297"/>
      <c r="L886" s="312"/>
      <c r="N886" s="297"/>
    </row>
    <row r="887" spans="1:14" ht="15" customHeight="1" x14ac:dyDescent="0.25">
      <c r="A887" s="497"/>
      <c r="C887" s="404"/>
      <c r="E887" s="308"/>
      <c r="G887" s="297"/>
      <c r="H887" s="297"/>
      <c r="J887" s="297"/>
      <c r="L887" s="312"/>
      <c r="N887" s="297"/>
    </row>
    <row r="888" spans="1:14" ht="15" customHeight="1" x14ac:dyDescent="0.25">
      <c r="A888" s="497"/>
      <c r="C888" s="404"/>
      <c r="E888" s="308"/>
      <c r="G888" s="297"/>
      <c r="H888" s="297"/>
      <c r="J888" s="297"/>
      <c r="L888" s="312"/>
      <c r="N888" s="297"/>
    </row>
    <row r="889" spans="1:14" ht="15" customHeight="1" x14ac:dyDescent="0.25">
      <c r="A889" s="497"/>
      <c r="C889" s="404"/>
      <c r="E889" s="308"/>
      <c r="G889" s="297"/>
      <c r="H889" s="297"/>
      <c r="J889" s="297"/>
      <c r="L889" s="312"/>
      <c r="N889" s="297"/>
    </row>
    <row r="890" spans="1:14" ht="15" customHeight="1" x14ac:dyDescent="0.25">
      <c r="A890" s="497"/>
      <c r="C890" s="404"/>
      <c r="E890" s="308"/>
      <c r="G890" s="297"/>
      <c r="H890" s="297"/>
      <c r="J890" s="297"/>
      <c r="L890" s="312"/>
      <c r="N890" s="297"/>
    </row>
    <row r="891" spans="1:14" ht="15" customHeight="1" x14ac:dyDescent="0.25">
      <c r="A891" s="497"/>
      <c r="C891" s="404"/>
      <c r="E891" s="308"/>
      <c r="G891" s="297"/>
      <c r="H891" s="297"/>
      <c r="J891" s="297"/>
      <c r="L891" s="312"/>
      <c r="N891" s="297"/>
    </row>
    <row r="892" spans="1:14" ht="15" customHeight="1" x14ac:dyDescent="0.25">
      <c r="A892" s="497"/>
      <c r="C892" s="404"/>
      <c r="E892" s="308"/>
      <c r="G892" s="297"/>
      <c r="H892" s="297"/>
      <c r="J892" s="297"/>
      <c r="L892" s="312"/>
      <c r="N892" s="297"/>
    </row>
    <row r="893" spans="1:14" ht="15" customHeight="1" x14ac:dyDescent="0.25">
      <c r="A893" s="497"/>
      <c r="C893" s="404"/>
      <c r="E893" s="308"/>
      <c r="G893" s="297"/>
      <c r="H893" s="297"/>
      <c r="J893" s="297"/>
      <c r="L893" s="312"/>
      <c r="N893" s="297"/>
    </row>
    <row r="894" spans="1:14" ht="15" customHeight="1" x14ac:dyDescent="0.25">
      <c r="A894" s="497"/>
      <c r="C894" s="404"/>
      <c r="E894" s="308"/>
      <c r="G894" s="297"/>
      <c r="H894" s="297"/>
      <c r="J894" s="297"/>
      <c r="L894" s="312"/>
      <c r="N894" s="297"/>
    </row>
    <row r="895" spans="1:14" ht="15" customHeight="1" x14ac:dyDescent="0.25">
      <c r="A895" s="497"/>
      <c r="C895" s="404"/>
      <c r="E895" s="308"/>
      <c r="G895" s="297"/>
      <c r="H895" s="297"/>
      <c r="J895" s="297"/>
      <c r="L895" s="312"/>
      <c r="N895" s="297"/>
    </row>
    <row r="896" spans="1:14" ht="15" customHeight="1" x14ac:dyDescent="0.25">
      <c r="A896" s="497"/>
      <c r="C896" s="404"/>
      <c r="E896" s="308"/>
      <c r="G896" s="297"/>
      <c r="H896" s="297"/>
      <c r="J896" s="297"/>
      <c r="L896" s="312"/>
      <c r="N896" s="297"/>
    </row>
    <row r="897" spans="1:14" ht="15" customHeight="1" x14ac:dyDescent="0.25">
      <c r="A897" s="497"/>
      <c r="C897" s="404"/>
      <c r="E897" s="308"/>
      <c r="G897" s="297"/>
      <c r="H897" s="297"/>
      <c r="J897" s="297"/>
      <c r="L897" s="312"/>
      <c r="N897" s="297"/>
    </row>
    <row r="898" spans="1:14" ht="15" customHeight="1" x14ac:dyDescent="0.25">
      <c r="A898" s="497"/>
      <c r="C898" s="404"/>
      <c r="E898" s="308"/>
      <c r="G898" s="297"/>
      <c r="H898" s="297"/>
      <c r="J898" s="297"/>
      <c r="L898" s="312"/>
      <c r="N898" s="297"/>
    </row>
    <row r="899" spans="1:14" ht="15" customHeight="1" x14ac:dyDescent="0.25">
      <c r="A899" s="497"/>
      <c r="C899" s="404"/>
      <c r="E899" s="308"/>
      <c r="G899" s="297"/>
      <c r="H899" s="297"/>
      <c r="J899" s="297"/>
      <c r="L899" s="312"/>
      <c r="N899" s="297"/>
    </row>
    <row r="900" spans="1:14" ht="15" customHeight="1" x14ac:dyDescent="0.25">
      <c r="A900" s="497"/>
      <c r="C900" s="404"/>
      <c r="E900" s="308"/>
      <c r="G900" s="297"/>
      <c r="H900" s="297"/>
      <c r="J900" s="297"/>
      <c r="L900" s="312"/>
      <c r="N900" s="297"/>
    </row>
    <row r="901" spans="1:14" ht="15" customHeight="1" x14ac:dyDescent="0.25">
      <c r="A901" s="497"/>
      <c r="C901" s="404"/>
      <c r="E901" s="308"/>
      <c r="G901" s="297"/>
      <c r="H901" s="297"/>
      <c r="J901" s="297"/>
      <c r="L901" s="312"/>
      <c r="N901" s="297"/>
    </row>
    <row r="902" spans="1:14" ht="15" customHeight="1" x14ac:dyDescent="0.25">
      <c r="A902" s="497"/>
      <c r="C902" s="404"/>
      <c r="E902" s="308"/>
      <c r="G902" s="297"/>
      <c r="H902" s="297"/>
      <c r="J902" s="297"/>
      <c r="L902" s="312"/>
      <c r="N902" s="297"/>
    </row>
    <row r="903" spans="1:14" ht="15" customHeight="1" x14ac:dyDescent="0.25">
      <c r="A903" s="497"/>
      <c r="C903" s="404"/>
      <c r="E903" s="308"/>
      <c r="G903" s="297"/>
      <c r="H903" s="297"/>
      <c r="J903" s="297"/>
      <c r="L903" s="312"/>
      <c r="N903" s="297"/>
    </row>
    <row r="904" spans="1:14" ht="15" customHeight="1" x14ac:dyDescent="0.25">
      <c r="A904" s="497"/>
      <c r="C904" s="404"/>
      <c r="E904" s="308"/>
      <c r="G904" s="297"/>
      <c r="H904" s="297"/>
      <c r="J904" s="297"/>
      <c r="L904" s="312"/>
      <c r="N904" s="297"/>
    </row>
    <row r="905" spans="1:14" ht="15" customHeight="1" x14ac:dyDescent="0.25">
      <c r="A905" s="497"/>
      <c r="C905" s="404"/>
      <c r="E905" s="308"/>
      <c r="G905" s="297"/>
      <c r="H905" s="297"/>
      <c r="J905" s="297"/>
      <c r="L905" s="312"/>
      <c r="N905" s="297"/>
    </row>
    <row r="906" spans="1:14" ht="15" customHeight="1" x14ac:dyDescent="0.25">
      <c r="A906" s="497"/>
      <c r="C906" s="404"/>
      <c r="E906" s="308"/>
      <c r="G906" s="297"/>
      <c r="H906" s="297"/>
      <c r="J906" s="297"/>
      <c r="L906" s="312"/>
      <c r="N906" s="297"/>
    </row>
    <row r="907" spans="1:14" ht="15" customHeight="1" x14ac:dyDescent="0.25">
      <c r="A907" s="497"/>
      <c r="C907" s="404"/>
      <c r="E907" s="308"/>
      <c r="G907" s="297"/>
      <c r="H907" s="297"/>
      <c r="J907" s="297"/>
      <c r="L907" s="312"/>
      <c r="N907" s="297"/>
    </row>
    <row r="908" spans="1:14" ht="15" customHeight="1" x14ac:dyDescent="0.25">
      <c r="A908" s="497"/>
      <c r="C908" s="404"/>
      <c r="E908" s="308"/>
      <c r="G908" s="297"/>
      <c r="H908" s="297"/>
      <c r="J908" s="297"/>
      <c r="L908" s="312"/>
      <c r="N908" s="297"/>
    </row>
    <row r="909" spans="1:14" ht="15" customHeight="1" x14ac:dyDescent="0.25">
      <c r="A909" s="497"/>
      <c r="C909" s="404"/>
      <c r="E909" s="308"/>
      <c r="G909" s="297"/>
      <c r="H909" s="297"/>
      <c r="J909" s="297"/>
      <c r="L909" s="312"/>
      <c r="N909" s="297"/>
    </row>
    <row r="910" spans="1:14" ht="15" customHeight="1" x14ac:dyDescent="0.25">
      <c r="A910" s="497"/>
      <c r="C910" s="404"/>
      <c r="E910" s="308"/>
      <c r="G910" s="297"/>
      <c r="H910" s="297"/>
      <c r="J910" s="297"/>
      <c r="L910" s="312"/>
      <c r="N910" s="297"/>
    </row>
    <row r="911" spans="1:14" ht="15" customHeight="1" x14ac:dyDescent="0.25">
      <c r="A911" s="497"/>
      <c r="C911" s="404"/>
      <c r="E911" s="308"/>
      <c r="G911" s="297"/>
      <c r="H911" s="297"/>
      <c r="J911" s="297"/>
      <c r="L911" s="312"/>
      <c r="N911" s="297"/>
    </row>
    <row r="912" spans="1:14" ht="15" customHeight="1" x14ac:dyDescent="0.25">
      <c r="A912" s="497"/>
      <c r="C912" s="404"/>
      <c r="E912" s="308"/>
      <c r="G912" s="297"/>
      <c r="H912" s="297"/>
      <c r="J912" s="297"/>
      <c r="L912" s="312"/>
      <c r="N912" s="297"/>
    </row>
    <row r="913" spans="1:14" ht="15" customHeight="1" x14ac:dyDescent="0.25">
      <c r="A913" s="497"/>
      <c r="C913" s="404"/>
      <c r="E913" s="308"/>
      <c r="G913" s="297"/>
      <c r="H913" s="297"/>
      <c r="J913" s="297"/>
      <c r="L913" s="312"/>
      <c r="N913" s="297"/>
    </row>
    <row r="914" spans="1:14" ht="15" customHeight="1" x14ac:dyDescent="0.25">
      <c r="A914" s="497"/>
      <c r="C914" s="404"/>
      <c r="E914" s="308"/>
      <c r="G914" s="297"/>
      <c r="H914" s="297"/>
      <c r="J914" s="297"/>
      <c r="L914" s="312"/>
      <c r="N914" s="297"/>
    </row>
    <row r="915" spans="1:14" ht="15" customHeight="1" x14ac:dyDescent="0.25">
      <c r="A915" s="497"/>
      <c r="C915" s="404"/>
      <c r="E915" s="308"/>
      <c r="G915" s="297"/>
      <c r="H915" s="297"/>
      <c r="J915" s="297"/>
      <c r="L915" s="312"/>
      <c r="N915" s="297"/>
    </row>
    <row r="916" spans="1:14" ht="15" customHeight="1" x14ac:dyDescent="0.25">
      <c r="A916" s="497"/>
      <c r="C916" s="404"/>
      <c r="E916" s="308"/>
      <c r="G916" s="297"/>
      <c r="H916" s="297"/>
      <c r="J916" s="297"/>
      <c r="L916" s="312"/>
      <c r="N916" s="297"/>
    </row>
    <row r="917" spans="1:14" ht="15" customHeight="1" x14ac:dyDescent="0.25">
      <c r="A917" s="497"/>
      <c r="C917" s="404"/>
      <c r="E917" s="308"/>
      <c r="G917" s="297"/>
      <c r="H917" s="297"/>
      <c r="J917" s="297"/>
      <c r="L917" s="312"/>
      <c r="N917" s="297"/>
    </row>
    <row r="918" spans="1:14" ht="15" customHeight="1" x14ac:dyDescent="0.25">
      <c r="A918" s="497"/>
      <c r="C918" s="404"/>
      <c r="E918" s="308"/>
      <c r="G918" s="297"/>
      <c r="H918" s="297"/>
      <c r="J918" s="297"/>
      <c r="L918" s="312"/>
      <c r="N918" s="297"/>
    </row>
    <row r="919" spans="1:14" ht="15" customHeight="1" x14ac:dyDescent="0.25">
      <c r="A919" s="497"/>
      <c r="C919" s="404"/>
      <c r="E919" s="308"/>
      <c r="G919" s="297"/>
      <c r="H919" s="297"/>
      <c r="J919" s="297"/>
      <c r="L919" s="312"/>
      <c r="N919" s="297"/>
    </row>
    <row r="920" spans="1:14" ht="15" customHeight="1" x14ac:dyDescent="0.25">
      <c r="A920" s="497"/>
      <c r="C920" s="404"/>
      <c r="E920" s="308"/>
      <c r="G920" s="297"/>
      <c r="H920" s="297"/>
      <c r="J920" s="297"/>
      <c r="L920" s="312"/>
      <c r="N920" s="297"/>
    </row>
    <row r="921" spans="1:14" ht="15" customHeight="1" x14ac:dyDescent="0.25">
      <c r="A921" s="497"/>
      <c r="C921" s="404"/>
      <c r="E921" s="308"/>
      <c r="G921" s="297"/>
      <c r="H921" s="297"/>
      <c r="J921" s="297"/>
      <c r="L921" s="312"/>
      <c r="N921" s="297"/>
    </row>
    <row r="922" spans="1:14" ht="15" customHeight="1" x14ac:dyDescent="0.25">
      <c r="A922" s="497"/>
      <c r="C922" s="404"/>
      <c r="E922" s="308"/>
      <c r="G922" s="297"/>
      <c r="H922" s="297"/>
      <c r="J922" s="297"/>
      <c r="L922" s="312"/>
      <c r="N922" s="297"/>
    </row>
    <row r="923" spans="1:14" ht="15" customHeight="1" x14ac:dyDescent="0.25">
      <c r="A923" s="497"/>
      <c r="C923" s="404"/>
      <c r="E923" s="308"/>
      <c r="G923" s="297"/>
      <c r="H923" s="297"/>
      <c r="J923" s="297"/>
      <c r="L923" s="312"/>
      <c r="N923" s="297"/>
    </row>
    <row r="924" spans="1:14" ht="15" customHeight="1" x14ac:dyDescent="0.25">
      <c r="A924" s="497"/>
      <c r="C924" s="404"/>
      <c r="E924" s="308"/>
      <c r="G924" s="297"/>
      <c r="H924" s="297"/>
      <c r="J924" s="297"/>
      <c r="L924" s="312"/>
      <c r="N924" s="297"/>
    </row>
    <row r="925" spans="1:14" ht="15" customHeight="1" x14ac:dyDescent="0.25">
      <c r="A925" s="497"/>
      <c r="C925" s="404"/>
      <c r="E925" s="308"/>
      <c r="G925" s="297"/>
      <c r="H925" s="297"/>
      <c r="J925" s="297"/>
      <c r="L925" s="312"/>
      <c r="N925" s="297"/>
    </row>
    <row r="926" spans="1:14" ht="15" customHeight="1" x14ac:dyDescent="0.25">
      <c r="A926" s="497"/>
      <c r="C926" s="404"/>
      <c r="E926" s="308"/>
      <c r="G926" s="297"/>
      <c r="H926" s="297"/>
      <c r="J926" s="297"/>
      <c r="L926" s="312"/>
      <c r="N926" s="297"/>
    </row>
    <row r="927" spans="1:14" ht="15" customHeight="1" x14ac:dyDescent="0.25">
      <c r="A927" s="497"/>
      <c r="C927" s="404"/>
      <c r="E927" s="308"/>
      <c r="G927" s="297"/>
      <c r="H927" s="297"/>
      <c r="J927" s="297"/>
      <c r="L927" s="312"/>
      <c r="N927" s="297"/>
    </row>
    <row r="928" spans="1:14" ht="15" customHeight="1" x14ac:dyDescent="0.25">
      <c r="A928" s="497"/>
      <c r="C928" s="404"/>
      <c r="E928" s="308"/>
      <c r="G928" s="297"/>
      <c r="H928" s="297"/>
      <c r="J928" s="297"/>
      <c r="L928" s="312"/>
      <c r="N928" s="297"/>
    </row>
    <row r="929" spans="1:14" ht="15" customHeight="1" x14ac:dyDescent="0.25">
      <c r="A929" s="497"/>
      <c r="C929" s="404"/>
      <c r="E929" s="308"/>
      <c r="G929" s="297"/>
      <c r="H929" s="297"/>
      <c r="J929" s="297"/>
      <c r="L929" s="312"/>
      <c r="N929" s="297"/>
    </row>
    <row r="930" spans="1:14" ht="15" customHeight="1" x14ac:dyDescent="0.25">
      <c r="A930" s="497"/>
      <c r="C930" s="404"/>
      <c r="E930" s="308"/>
      <c r="G930" s="297"/>
      <c r="H930" s="297"/>
      <c r="J930" s="297"/>
      <c r="L930" s="312"/>
      <c r="N930" s="297"/>
    </row>
    <row r="931" spans="1:14" ht="15" customHeight="1" x14ac:dyDescent="0.25">
      <c r="A931" s="497"/>
      <c r="C931" s="404"/>
      <c r="E931" s="308"/>
      <c r="G931" s="297"/>
      <c r="H931" s="297"/>
      <c r="J931" s="297"/>
      <c r="L931" s="312"/>
      <c r="N931" s="297"/>
    </row>
    <row r="932" spans="1:14" ht="15" customHeight="1" x14ac:dyDescent="0.25">
      <c r="A932" s="497"/>
      <c r="C932" s="404"/>
      <c r="E932" s="308"/>
      <c r="G932" s="297"/>
      <c r="H932" s="297"/>
      <c r="J932" s="297"/>
      <c r="L932" s="312"/>
      <c r="N932" s="297"/>
    </row>
    <row r="933" spans="1:14" ht="15" customHeight="1" x14ac:dyDescent="0.25">
      <c r="A933" s="497"/>
      <c r="C933" s="404"/>
      <c r="E933" s="308"/>
      <c r="G933" s="297"/>
      <c r="H933" s="297"/>
      <c r="J933" s="297"/>
      <c r="L933" s="312"/>
      <c r="N933" s="297"/>
    </row>
    <row r="934" spans="1:14" ht="15" customHeight="1" x14ac:dyDescent="0.25">
      <c r="A934" s="497"/>
      <c r="C934" s="404"/>
      <c r="E934" s="308"/>
      <c r="G934" s="297"/>
      <c r="H934" s="297"/>
      <c r="J934" s="297"/>
      <c r="L934" s="312"/>
      <c r="N934" s="297"/>
    </row>
    <row r="935" spans="1:14" ht="15" customHeight="1" x14ac:dyDescent="0.25">
      <c r="A935" s="497"/>
      <c r="C935" s="404"/>
      <c r="E935" s="308"/>
      <c r="G935" s="297"/>
      <c r="H935" s="297"/>
      <c r="J935" s="297"/>
      <c r="L935" s="312"/>
      <c r="N935" s="297"/>
    </row>
    <row r="936" spans="1:14" ht="15" customHeight="1" x14ac:dyDescent="0.25">
      <c r="A936" s="497"/>
      <c r="C936" s="404"/>
      <c r="E936" s="308"/>
      <c r="G936" s="297"/>
      <c r="H936" s="297"/>
      <c r="J936" s="297"/>
      <c r="L936" s="312"/>
      <c r="N936" s="297"/>
    </row>
    <row r="937" spans="1:14" ht="15" customHeight="1" x14ac:dyDescent="0.25">
      <c r="A937" s="497"/>
      <c r="C937" s="404"/>
      <c r="E937" s="308"/>
      <c r="G937" s="297"/>
      <c r="H937" s="297"/>
      <c r="J937" s="297"/>
      <c r="L937" s="312"/>
      <c r="N937" s="297"/>
    </row>
    <row r="938" spans="1:14" ht="15" customHeight="1" x14ac:dyDescent="0.25">
      <c r="A938" s="497"/>
      <c r="C938" s="404"/>
      <c r="E938" s="308"/>
      <c r="G938" s="297"/>
      <c r="H938" s="297"/>
      <c r="J938" s="297"/>
      <c r="L938" s="312"/>
      <c r="N938" s="297"/>
    </row>
    <row r="939" spans="1:14" ht="15" customHeight="1" x14ac:dyDescent="0.25">
      <c r="A939" s="497"/>
      <c r="C939" s="404"/>
      <c r="E939" s="308"/>
      <c r="G939" s="297"/>
      <c r="H939" s="297"/>
      <c r="J939" s="297"/>
      <c r="L939" s="312"/>
      <c r="N939" s="297"/>
    </row>
    <row r="940" spans="1:14" ht="15" customHeight="1" x14ac:dyDescent="0.25">
      <c r="A940" s="497"/>
      <c r="C940" s="404"/>
      <c r="E940" s="308"/>
      <c r="G940" s="297"/>
      <c r="H940" s="297"/>
      <c r="J940" s="297"/>
      <c r="L940" s="312"/>
      <c r="N940" s="297"/>
    </row>
    <row r="941" spans="1:14" ht="15" customHeight="1" x14ac:dyDescent="0.25">
      <c r="A941" s="497"/>
      <c r="C941" s="404"/>
      <c r="E941" s="308"/>
      <c r="G941" s="297"/>
      <c r="H941" s="297"/>
      <c r="J941" s="297"/>
      <c r="L941" s="312"/>
      <c r="N941" s="297"/>
    </row>
    <row r="942" spans="1:14" ht="15" customHeight="1" x14ac:dyDescent="0.25">
      <c r="A942" s="497"/>
      <c r="C942" s="404"/>
      <c r="E942" s="308"/>
      <c r="G942" s="297"/>
      <c r="H942" s="297"/>
      <c r="J942" s="297"/>
      <c r="L942" s="312"/>
      <c r="N942" s="297"/>
    </row>
    <row r="943" spans="1:14" ht="15" customHeight="1" x14ac:dyDescent="0.25">
      <c r="A943" s="497"/>
      <c r="C943" s="404"/>
      <c r="E943" s="308"/>
      <c r="G943" s="297"/>
      <c r="H943" s="297"/>
      <c r="J943" s="297"/>
      <c r="L943" s="312"/>
      <c r="N943" s="297"/>
    </row>
    <row r="944" spans="1:14" ht="15" customHeight="1" x14ac:dyDescent="0.25">
      <c r="A944" s="497"/>
      <c r="C944" s="404"/>
      <c r="E944" s="308"/>
      <c r="G944" s="297"/>
      <c r="H944" s="297"/>
      <c r="J944" s="297"/>
      <c r="L944" s="312"/>
      <c r="N944" s="297"/>
    </row>
    <row r="945" spans="1:14" ht="15" customHeight="1" x14ac:dyDescent="0.25">
      <c r="A945" s="497"/>
      <c r="C945" s="404"/>
      <c r="E945" s="308"/>
      <c r="G945" s="297"/>
      <c r="H945" s="297"/>
      <c r="J945" s="297"/>
      <c r="L945" s="312"/>
      <c r="N945" s="297"/>
    </row>
    <row r="946" spans="1:14" ht="15" customHeight="1" x14ac:dyDescent="0.25">
      <c r="A946" s="497"/>
      <c r="C946" s="404"/>
      <c r="E946" s="308"/>
      <c r="G946" s="297"/>
      <c r="H946" s="297"/>
      <c r="J946" s="297"/>
      <c r="L946" s="312"/>
      <c r="N946" s="297"/>
    </row>
    <row r="947" spans="1:14" ht="15" customHeight="1" x14ac:dyDescent="0.25">
      <c r="A947" s="497"/>
      <c r="C947" s="404"/>
      <c r="E947" s="308"/>
      <c r="G947" s="297"/>
      <c r="H947" s="297"/>
      <c r="J947" s="297"/>
      <c r="L947" s="312"/>
      <c r="N947" s="297"/>
    </row>
    <row r="948" spans="1:14" ht="15" customHeight="1" x14ac:dyDescent="0.25">
      <c r="A948" s="497"/>
      <c r="C948" s="404"/>
      <c r="E948" s="308"/>
      <c r="G948" s="297"/>
      <c r="H948" s="297"/>
      <c r="J948" s="297"/>
      <c r="L948" s="312"/>
      <c r="N948" s="297"/>
    </row>
    <row r="949" spans="1:14" ht="15" customHeight="1" x14ac:dyDescent="0.25">
      <c r="A949" s="497"/>
      <c r="C949" s="404"/>
      <c r="E949" s="308"/>
      <c r="G949" s="297"/>
      <c r="H949" s="297"/>
      <c r="J949" s="297"/>
      <c r="L949" s="312"/>
      <c r="N949" s="297"/>
    </row>
    <row r="950" spans="1:14" ht="15" customHeight="1" x14ac:dyDescent="0.25">
      <c r="A950" s="497"/>
      <c r="C950" s="404"/>
      <c r="E950" s="308"/>
      <c r="G950" s="297"/>
      <c r="H950" s="297"/>
      <c r="J950" s="297"/>
      <c r="L950" s="312"/>
      <c r="N950" s="297"/>
    </row>
    <row r="951" spans="1:14" ht="15" customHeight="1" x14ac:dyDescent="0.25">
      <c r="A951" s="497"/>
      <c r="C951" s="404"/>
      <c r="E951" s="308"/>
      <c r="G951" s="297"/>
      <c r="H951" s="297"/>
      <c r="J951" s="297"/>
      <c r="L951" s="312"/>
      <c r="N951" s="297"/>
    </row>
    <row r="952" spans="1:14" ht="15" customHeight="1" x14ac:dyDescent="0.25">
      <c r="A952" s="497"/>
      <c r="C952" s="404"/>
      <c r="E952" s="308"/>
      <c r="G952" s="297"/>
      <c r="H952" s="297"/>
      <c r="J952" s="297"/>
      <c r="L952" s="312"/>
      <c r="N952" s="297"/>
    </row>
    <row r="953" spans="1:14" ht="15" customHeight="1" x14ac:dyDescent="0.25">
      <c r="A953" s="497"/>
      <c r="C953" s="404"/>
      <c r="E953" s="308"/>
      <c r="G953" s="297"/>
      <c r="H953" s="297"/>
      <c r="J953" s="297"/>
      <c r="L953" s="312"/>
      <c r="N953" s="297"/>
    </row>
    <row r="954" spans="1:14" ht="15" customHeight="1" x14ac:dyDescent="0.25">
      <c r="A954" s="497"/>
      <c r="C954" s="404"/>
      <c r="E954" s="308"/>
      <c r="G954" s="297"/>
      <c r="H954" s="297"/>
      <c r="J954" s="297"/>
      <c r="L954" s="312"/>
      <c r="N954" s="297"/>
    </row>
    <row r="955" spans="1:14" ht="15" customHeight="1" x14ac:dyDescent="0.25">
      <c r="A955" s="497"/>
      <c r="C955" s="404"/>
      <c r="E955" s="308"/>
      <c r="G955" s="297"/>
      <c r="H955" s="297"/>
      <c r="J955" s="297"/>
      <c r="L955" s="312"/>
      <c r="N955" s="297"/>
    </row>
    <row r="956" spans="1:14" ht="15" customHeight="1" x14ac:dyDescent="0.25">
      <c r="A956" s="497"/>
      <c r="C956" s="404"/>
      <c r="E956" s="308"/>
      <c r="G956" s="297"/>
      <c r="H956" s="297"/>
      <c r="J956" s="297"/>
      <c r="L956" s="312"/>
      <c r="N956" s="297"/>
    </row>
    <row r="957" spans="1:14" ht="15" customHeight="1" x14ac:dyDescent="0.25">
      <c r="A957" s="497"/>
      <c r="C957" s="404"/>
      <c r="E957" s="308"/>
      <c r="G957" s="297"/>
      <c r="H957" s="297"/>
      <c r="J957" s="297"/>
      <c r="L957" s="312"/>
      <c r="N957" s="297"/>
    </row>
    <row r="958" spans="1:14" ht="15" customHeight="1" x14ac:dyDescent="0.25">
      <c r="A958" s="497"/>
      <c r="C958" s="404"/>
      <c r="E958" s="308"/>
      <c r="G958" s="297"/>
      <c r="H958" s="297"/>
      <c r="J958" s="297"/>
      <c r="L958" s="312"/>
      <c r="N958" s="297"/>
    </row>
    <row r="959" spans="1:14" ht="15" customHeight="1" x14ac:dyDescent="0.25">
      <c r="A959" s="497"/>
      <c r="C959" s="404"/>
      <c r="E959" s="308"/>
      <c r="G959" s="297"/>
      <c r="H959" s="297"/>
      <c r="J959" s="297"/>
      <c r="L959" s="312"/>
      <c r="N959" s="297"/>
    </row>
    <row r="960" spans="1:14" ht="15" customHeight="1" x14ac:dyDescent="0.25">
      <c r="A960" s="497"/>
      <c r="C960" s="404"/>
      <c r="E960" s="308"/>
      <c r="G960" s="297"/>
      <c r="H960" s="297"/>
      <c r="J960" s="297"/>
      <c r="L960" s="312"/>
      <c r="N960" s="297"/>
    </row>
    <row r="961" spans="1:14" ht="15" customHeight="1" x14ac:dyDescent="0.25">
      <c r="A961" s="497"/>
      <c r="C961" s="404"/>
      <c r="E961" s="308"/>
      <c r="G961" s="297"/>
      <c r="H961" s="297"/>
      <c r="J961" s="297"/>
      <c r="L961" s="312"/>
      <c r="N961" s="297"/>
    </row>
    <row r="962" spans="1:14" ht="15" customHeight="1" x14ac:dyDescent="0.25">
      <c r="A962" s="497"/>
      <c r="C962" s="404"/>
      <c r="E962" s="308"/>
      <c r="G962" s="297"/>
      <c r="H962" s="297"/>
      <c r="J962" s="297"/>
      <c r="L962" s="312"/>
      <c r="N962" s="297"/>
    </row>
    <row r="963" spans="1:14" ht="15" customHeight="1" x14ac:dyDescent="0.25">
      <c r="A963" s="497"/>
      <c r="C963" s="404"/>
      <c r="E963" s="308"/>
      <c r="G963" s="297"/>
      <c r="H963" s="297"/>
      <c r="J963" s="297"/>
      <c r="L963" s="312"/>
      <c r="N963" s="297"/>
    </row>
    <row r="964" spans="1:14" ht="15" customHeight="1" x14ac:dyDescent="0.25">
      <c r="A964" s="497"/>
      <c r="C964" s="404"/>
      <c r="E964" s="308"/>
      <c r="G964" s="297"/>
      <c r="H964" s="297"/>
      <c r="J964" s="297"/>
      <c r="L964" s="312"/>
      <c r="N964" s="297"/>
    </row>
    <row r="965" spans="1:14" ht="15" customHeight="1" x14ac:dyDescent="0.25">
      <c r="A965" s="497"/>
      <c r="C965" s="404"/>
      <c r="E965" s="308"/>
      <c r="G965" s="297"/>
      <c r="H965" s="297"/>
      <c r="J965" s="297"/>
      <c r="L965" s="312"/>
      <c r="N965" s="297"/>
    </row>
    <row r="966" spans="1:14" ht="15" customHeight="1" x14ac:dyDescent="0.25">
      <c r="A966" s="497"/>
      <c r="C966" s="404"/>
      <c r="E966" s="308"/>
      <c r="G966" s="297"/>
      <c r="H966" s="297"/>
      <c r="J966" s="297"/>
      <c r="L966" s="312"/>
      <c r="N966" s="297"/>
    </row>
    <row r="967" spans="1:14" ht="15" customHeight="1" x14ac:dyDescent="0.25">
      <c r="A967" s="497"/>
      <c r="C967" s="404"/>
      <c r="E967" s="308"/>
      <c r="G967" s="297"/>
      <c r="H967" s="297"/>
      <c r="J967" s="297"/>
      <c r="L967" s="312"/>
      <c r="N967" s="297"/>
    </row>
    <row r="968" spans="1:14" ht="15" customHeight="1" x14ac:dyDescent="0.25">
      <c r="A968" s="497"/>
      <c r="C968" s="404"/>
      <c r="E968" s="308"/>
      <c r="G968" s="297"/>
      <c r="H968" s="297"/>
      <c r="J968" s="297"/>
      <c r="L968" s="312"/>
      <c r="N968" s="297"/>
    </row>
    <row r="969" spans="1:14" ht="15" customHeight="1" x14ac:dyDescent="0.25">
      <c r="A969" s="497"/>
      <c r="C969" s="404"/>
      <c r="E969" s="308"/>
      <c r="G969" s="297"/>
      <c r="H969" s="297"/>
      <c r="J969" s="297"/>
      <c r="L969" s="312"/>
      <c r="N969" s="297"/>
    </row>
    <row r="970" spans="1:14" ht="15" customHeight="1" x14ac:dyDescent="0.25">
      <c r="A970" s="497"/>
      <c r="C970" s="404"/>
      <c r="E970" s="308"/>
      <c r="G970" s="297"/>
      <c r="H970" s="297"/>
      <c r="J970" s="297"/>
      <c r="L970" s="312"/>
      <c r="N970" s="297"/>
    </row>
    <row r="971" spans="1:14" ht="15" customHeight="1" x14ac:dyDescent="0.25">
      <c r="A971" s="497"/>
      <c r="C971" s="404"/>
      <c r="E971" s="308"/>
      <c r="G971" s="297"/>
      <c r="H971" s="297"/>
      <c r="J971" s="297"/>
      <c r="L971" s="312"/>
      <c r="N971" s="297"/>
    </row>
    <row r="972" spans="1:14" ht="15" customHeight="1" x14ac:dyDescent="0.25">
      <c r="A972" s="497"/>
      <c r="C972" s="404"/>
      <c r="E972" s="308"/>
      <c r="G972" s="297"/>
      <c r="H972" s="297"/>
      <c r="J972" s="297"/>
      <c r="L972" s="312"/>
      <c r="N972" s="297"/>
    </row>
    <row r="973" spans="1:14" ht="15" customHeight="1" x14ac:dyDescent="0.25">
      <c r="A973" s="497"/>
      <c r="C973" s="404"/>
      <c r="E973" s="308"/>
      <c r="G973" s="297"/>
      <c r="H973" s="297"/>
      <c r="J973" s="297"/>
      <c r="L973" s="312"/>
      <c r="N973" s="297"/>
    </row>
    <row r="974" spans="1:14" ht="15" customHeight="1" x14ac:dyDescent="0.25">
      <c r="A974" s="497"/>
      <c r="C974" s="404"/>
      <c r="E974" s="308"/>
      <c r="G974" s="297"/>
      <c r="H974" s="297"/>
      <c r="J974" s="297"/>
      <c r="L974" s="312"/>
      <c r="N974" s="297"/>
    </row>
    <row r="975" spans="1:14" ht="15" customHeight="1" x14ac:dyDescent="0.25">
      <c r="A975" s="497"/>
      <c r="C975" s="404"/>
      <c r="E975" s="308"/>
      <c r="G975" s="297"/>
      <c r="H975" s="297"/>
      <c r="J975" s="297"/>
      <c r="L975" s="312"/>
      <c r="N975" s="297"/>
    </row>
    <row r="976" spans="1:14" ht="15" customHeight="1" x14ac:dyDescent="0.25">
      <c r="A976" s="497"/>
      <c r="C976" s="404"/>
      <c r="E976" s="308"/>
      <c r="G976" s="297"/>
      <c r="H976" s="297"/>
      <c r="J976" s="297"/>
      <c r="L976" s="312"/>
      <c r="N976" s="297"/>
    </row>
    <row r="977" spans="1:14" ht="15" customHeight="1" x14ac:dyDescent="0.25">
      <c r="A977" s="497"/>
      <c r="C977" s="404"/>
      <c r="E977" s="308"/>
      <c r="G977" s="297"/>
      <c r="H977" s="297"/>
      <c r="J977" s="297"/>
      <c r="L977" s="312"/>
      <c r="N977" s="297"/>
    </row>
    <row r="978" spans="1:14" ht="15" customHeight="1" x14ac:dyDescent="0.25">
      <c r="A978" s="497"/>
      <c r="C978" s="404"/>
      <c r="E978" s="308"/>
      <c r="G978" s="297"/>
      <c r="H978" s="297"/>
      <c r="J978" s="297"/>
      <c r="L978" s="312"/>
      <c r="N978" s="297"/>
    </row>
    <row r="979" spans="1:14" ht="15" customHeight="1" x14ac:dyDescent="0.25">
      <c r="A979" s="497"/>
      <c r="C979" s="404"/>
      <c r="E979" s="308"/>
      <c r="G979" s="297"/>
      <c r="H979" s="297"/>
      <c r="J979" s="297"/>
      <c r="L979" s="312"/>
      <c r="N979" s="297"/>
    </row>
    <row r="980" spans="1:14" ht="15" customHeight="1" x14ac:dyDescent="0.25">
      <c r="A980" s="497"/>
      <c r="C980" s="404"/>
      <c r="E980" s="308"/>
      <c r="G980" s="297"/>
      <c r="H980" s="297"/>
      <c r="J980" s="297"/>
      <c r="L980" s="312"/>
      <c r="N980" s="297"/>
    </row>
    <row r="981" spans="1:14" ht="15" customHeight="1" x14ac:dyDescent="0.25">
      <c r="A981" s="497"/>
      <c r="C981" s="404"/>
      <c r="E981" s="308"/>
      <c r="G981" s="297"/>
      <c r="H981" s="297"/>
      <c r="J981" s="297"/>
      <c r="L981" s="312"/>
      <c r="N981" s="297"/>
    </row>
    <row r="982" spans="1:14" ht="15" customHeight="1" x14ac:dyDescent="0.25">
      <c r="A982" s="497"/>
      <c r="C982" s="404"/>
      <c r="E982" s="308"/>
      <c r="G982" s="297"/>
      <c r="H982" s="297"/>
      <c r="J982" s="297"/>
      <c r="L982" s="312"/>
      <c r="N982" s="297"/>
    </row>
    <row r="983" spans="1:14" ht="15" customHeight="1" x14ac:dyDescent="0.25">
      <c r="A983" s="497"/>
      <c r="C983" s="404"/>
      <c r="E983" s="308"/>
      <c r="G983" s="297"/>
      <c r="H983" s="297"/>
      <c r="J983" s="297"/>
      <c r="L983" s="312"/>
      <c r="N983" s="297"/>
    </row>
    <row r="984" spans="1:14" ht="15" customHeight="1" x14ac:dyDescent="0.25">
      <c r="A984" s="497"/>
      <c r="C984" s="404"/>
      <c r="E984" s="308"/>
      <c r="G984" s="297"/>
      <c r="H984" s="297"/>
      <c r="J984" s="297"/>
      <c r="L984" s="312"/>
      <c r="N984" s="297"/>
    </row>
    <row r="985" spans="1:14" ht="15" customHeight="1" x14ac:dyDescent="0.25">
      <c r="A985" s="497"/>
      <c r="C985" s="404"/>
      <c r="E985" s="308"/>
      <c r="G985" s="297"/>
      <c r="H985" s="297"/>
      <c r="J985" s="297"/>
      <c r="L985" s="312"/>
      <c r="N985" s="297"/>
    </row>
    <row r="986" spans="1:14" ht="15" customHeight="1" x14ac:dyDescent="0.25">
      <c r="A986" s="497"/>
      <c r="C986" s="404"/>
      <c r="E986" s="308"/>
      <c r="G986" s="297"/>
      <c r="H986" s="297"/>
      <c r="J986" s="297"/>
      <c r="L986" s="312"/>
      <c r="N986" s="297"/>
    </row>
    <row r="987" spans="1:14" ht="15" customHeight="1" x14ac:dyDescent="0.25">
      <c r="A987" s="497"/>
      <c r="C987" s="404"/>
      <c r="E987" s="308"/>
      <c r="G987" s="297"/>
      <c r="H987" s="297"/>
      <c r="J987" s="297"/>
      <c r="L987" s="312"/>
      <c r="N987" s="297"/>
    </row>
    <row r="988" spans="1:14" ht="15" customHeight="1" x14ac:dyDescent="0.25">
      <c r="A988" s="497"/>
      <c r="C988" s="404"/>
      <c r="E988" s="308"/>
      <c r="G988" s="297"/>
      <c r="H988" s="297"/>
      <c r="J988" s="297"/>
      <c r="L988" s="312"/>
      <c r="N988" s="297"/>
    </row>
    <row r="989" spans="1:14" ht="15" customHeight="1" x14ac:dyDescent="0.25">
      <c r="A989" s="497"/>
      <c r="C989" s="404"/>
      <c r="E989" s="308"/>
      <c r="G989" s="297"/>
      <c r="H989" s="297"/>
      <c r="J989" s="297"/>
      <c r="L989" s="312"/>
      <c r="N989" s="297"/>
    </row>
    <row r="990" spans="1:14" ht="15" customHeight="1" x14ac:dyDescent="0.25">
      <c r="A990" s="497"/>
      <c r="C990" s="404"/>
      <c r="E990" s="308"/>
      <c r="G990" s="297"/>
      <c r="H990" s="297"/>
      <c r="J990" s="297"/>
      <c r="L990" s="312"/>
      <c r="N990" s="297"/>
    </row>
    <row r="991" spans="1:14" ht="15" customHeight="1" x14ac:dyDescent="0.25">
      <c r="A991" s="497"/>
      <c r="C991" s="404"/>
      <c r="E991" s="308"/>
      <c r="G991" s="297"/>
      <c r="H991" s="297"/>
      <c r="J991" s="297"/>
      <c r="L991" s="312"/>
      <c r="N991" s="297"/>
    </row>
    <row r="992" spans="1:14" ht="15" customHeight="1" x14ac:dyDescent="0.25">
      <c r="A992" s="497"/>
      <c r="C992" s="404"/>
      <c r="E992" s="308"/>
      <c r="G992" s="297"/>
      <c r="H992" s="297"/>
      <c r="J992" s="297"/>
      <c r="L992" s="312"/>
      <c r="N992" s="297"/>
    </row>
    <row r="993" spans="1:14" ht="15" customHeight="1" x14ac:dyDescent="0.25">
      <c r="A993" s="497"/>
      <c r="C993" s="404"/>
      <c r="E993" s="308"/>
      <c r="G993" s="297"/>
      <c r="H993" s="297"/>
      <c r="J993" s="297"/>
      <c r="L993" s="312"/>
      <c r="N993" s="297"/>
    </row>
    <row r="994" spans="1:14" ht="15" customHeight="1" x14ac:dyDescent="0.25">
      <c r="A994" s="497"/>
      <c r="C994" s="404"/>
      <c r="E994" s="308"/>
      <c r="G994" s="297"/>
      <c r="H994" s="297"/>
      <c r="J994" s="297"/>
      <c r="L994" s="312"/>
      <c r="N994" s="297"/>
    </row>
    <row r="995" spans="1:14" ht="15" customHeight="1" x14ac:dyDescent="0.25">
      <c r="A995" s="497"/>
      <c r="C995" s="404"/>
      <c r="E995" s="308"/>
      <c r="G995" s="297"/>
      <c r="H995" s="297"/>
      <c r="J995" s="297"/>
      <c r="L995" s="312"/>
      <c r="N995" s="297"/>
    </row>
    <row r="996" spans="1:14" ht="15" customHeight="1" x14ac:dyDescent="0.25">
      <c r="A996" s="497"/>
      <c r="C996" s="404"/>
      <c r="E996" s="308"/>
      <c r="G996" s="297"/>
      <c r="H996" s="297"/>
      <c r="J996" s="297"/>
      <c r="L996" s="312"/>
      <c r="N996" s="297"/>
    </row>
    <row r="997" spans="1:14" ht="15" customHeight="1" x14ac:dyDescent="0.25">
      <c r="A997" s="497"/>
      <c r="C997" s="404"/>
      <c r="E997" s="308"/>
      <c r="G997" s="297"/>
      <c r="H997" s="297"/>
      <c r="J997" s="297"/>
      <c r="L997" s="312"/>
      <c r="N997" s="297"/>
    </row>
    <row r="998" spans="1:14" ht="15" customHeight="1" x14ac:dyDescent="0.25">
      <c r="A998" s="497"/>
      <c r="C998" s="404"/>
      <c r="E998" s="308"/>
      <c r="G998" s="297"/>
      <c r="H998" s="297"/>
      <c r="J998" s="297"/>
      <c r="L998" s="312"/>
      <c r="N998" s="297"/>
    </row>
    <row r="999" spans="1:14" ht="15" customHeight="1" x14ac:dyDescent="0.25">
      <c r="A999" s="497"/>
      <c r="C999" s="404"/>
      <c r="E999" s="308"/>
      <c r="G999" s="297"/>
      <c r="H999" s="297"/>
      <c r="J999" s="297"/>
      <c r="L999" s="312"/>
      <c r="N999" s="297"/>
    </row>
    <row r="1000" spans="1:14" ht="15" customHeight="1" x14ac:dyDescent="0.25">
      <c r="A1000" s="497"/>
      <c r="C1000" s="404"/>
      <c r="E1000" s="308"/>
      <c r="G1000" s="297"/>
      <c r="H1000" s="297"/>
      <c r="J1000" s="297"/>
      <c r="L1000" s="312"/>
      <c r="N1000" s="297"/>
    </row>
    <row r="1001" spans="1:14" ht="15" customHeight="1" x14ac:dyDescent="0.25">
      <c r="A1001" s="497"/>
      <c r="C1001" s="404"/>
      <c r="E1001" s="308"/>
      <c r="G1001" s="297"/>
      <c r="H1001" s="297"/>
      <c r="J1001" s="297"/>
      <c r="L1001" s="312"/>
      <c r="N1001" s="297"/>
    </row>
    <row r="1002" spans="1:14" ht="15" customHeight="1" x14ac:dyDescent="0.25">
      <c r="A1002" s="497"/>
      <c r="C1002" s="404"/>
      <c r="E1002" s="308"/>
      <c r="G1002" s="297"/>
      <c r="H1002" s="297"/>
      <c r="J1002" s="297"/>
      <c r="L1002" s="312"/>
      <c r="N1002" s="297"/>
    </row>
    <row r="1003" spans="1:14" ht="15" customHeight="1" x14ac:dyDescent="0.25">
      <c r="A1003" s="497"/>
      <c r="C1003" s="404"/>
      <c r="E1003" s="308"/>
      <c r="G1003" s="297"/>
      <c r="H1003" s="297"/>
      <c r="J1003" s="297"/>
      <c r="L1003" s="312"/>
      <c r="N1003" s="297"/>
    </row>
    <row r="1004" spans="1:14" ht="15" customHeight="1" x14ac:dyDescent="0.25">
      <c r="A1004" s="497"/>
      <c r="C1004" s="404"/>
      <c r="E1004" s="308"/>
      <c r="G1004" s="297"/>
      <c r="H1004" s="297"/>
      <c r="J1004" s="297"/>
      <c r="L1004" s="312"/>
      <c r="N1004" s="297"/>
    </row>
    <row r="1005" spans="1:14" ht="15" customHeight="1" x14ac:dyDescent="0.25">
      <c r="A1005" s="497"/>
      <c r="C1005" s="404"/>
      <c r="E1005" s="308"/>
      <c r="G1005" s="297"/>
      <c r="H1005" s="297"/>
      <c r="J1005" s="297"/>
      <c r="L1005" s="312"/>
      <c r="N1005" s="297"/>
    </row>
    <row r="1006" spans="1:14" ht="15" customHeight="1" x14ac:dyDescent="0.25">
      <c r="A1006" s="497"/>
      <c r="C1006" s="404"/>
      <c r="E1006" s="308"/>
      <c r="G1006" s="297"/>
      <c r="H1006" s="297"/>
      <c r="J1006" s="297"/>
      <c r="L1006" s="312"/>
      <c r="N1006" s="297"/>
    </row>
    <row r="1007" spans="1:14" ht="15" customHeight="1" x14ac:dyDescent="0.25">
      <c r="A1007" s="497"/>
      <c r="C1007" s="404"/>
      <c r="E1007" s="308"/>
      <c r="G1007" s="297"/>
      <c r="H1007" s="297"/>
      <c r="J1007" s="297"/>
      <c r="L1007" s="312"/>
      <c r="N1007" s="297"/>
    </row>
    <row r="1008" spans="1:14" ht="15" customHeight="1" x14ac:dyDescent="0.25">
      <c r="A1008" s="497"/>
      <c r="C1008" s="404"/>
      <c r="E1008" s="308"/>
      <c r="G1008" s="297"/>
      <c r="H1008" s="297"/>
      <c r="J1008" s="297"/>
      <c r="L1008" s="312"/>
      <c r="N1008" s="297"/>
    </row>
    <row r="1009" spans="1:14" ht="15" customHeight="1" x14ac:dyDescent="0.25">
      <c r="A1009" s="497"/>
      <c r="C1009" s="404"/>
      <c r="E1009" s="308"/>
      <c r="G1009" s="297"/>
      <c r="H1009" s="297"/>
      <c r="J1009" s="297"/>
      <c r="L1009" s="312"/>
      <c r="N1009" s="297"/>
    </row>
    <row r="1010" spans="1:14" ht="15" customHeight="1" x14ac:dyDescent="0.25">
      <c r="A1010" s="497"/>
      <c r="C1010" s="404"/>
      <c r="E1010" s="308"/>
      <c r="G1010" s="297"/>
      <c r="H1010" s="297"/>
      <c r="J1010" s="297"/>
      <c r="L1010" s="312"/>
      <c r="N1010" s="297"/>
    </row>
    <row r="1011" spans="1:14" ht="15" customHeight="1" x14ac:dyDescent="0.25">
      <c r="A1011" s="497"/>
      <c r="C1011" s="404"/>
      <c r="E1011" s="308"/>
      <c r="G1011" s="297"/>
      <c r="H1011" s="297"/>
      <c r="J1011" s="297"/>
      <c r="L1011" s="312"/>
      <c r="N1011" s="297"/>
    </row>
    <row r="1012" spans="1:14" ht="15" customHeight="1" x14ac:dyDescent="0.25">
      <c r="A1012" s="497"/>
      <c r="C1012" s="404"/>
      <c r="E1012" s="308"/>
      <c r="G1012" s="297"/>
      <c r="H1012" s="297"/>
      <c r="J1012" s="297"/>
      <c r="L1012" s="312"/>
      <c r="N1012" s="297"/>
    </row>
    <row r="1013" spans="1:14" ht="15" customHeight="1" x14ac:dyDescent="0.25">
      <c r="A1013" s="497"/>
      <c r="C1013" s="404"/>
      <c r="E1013" s="308"/>
      <c r="G1013" s="297"/>
      <c r="H1013" s="297"/>
      <c r="J1013" s="297"/>
      <c r="L1013" s="312"/>
      <c r="N1013" s="297"/>
    </row>
    <row r="1014" spans="1:14" ht="15" customHeight="1" x14ac:dyDescent="0.25">
      <c r="A1014" s="497"/>
      <c r="C1014" s="404"/>
      <c r="E1014" s="308"/>
      <c r="G1014" s="297"/>
      <c r="H1014" s="297"/>
      <c r="J1014" s="297"/>
      <c r="L1014" s="312"/>
      <c r="N1014" s="297"/>
    </row>
    <row r="1015" spans="1:14" ht="15" customHeight="1" x14ac:dyDescent="0.25">
      <c r="A1015" s="497"/>
      <c r="C1015" s="404"/>
      <c r="E1015" s="308"/>
      <c r="G1015" s="297"/>
      <c r="H1015" s="297"/>
      <c r="J1015" s="297"/>
      <c r="L1015" s="312"/>
      <c r="N1015" s="297"/>
    </row>
    <row r="1016" spans="1:14" ht="15" customHeight="1" x14ac:dyDescent="0.25">
      <c r="A1016" s="497"/>
      <c r="C1016" s="404"/>
      <c r="E1016" s="308"/>
      <c r="G1016" s="297"/>
      <c r="H1016" s="297"/>
      <c r="J1016" s="297"/>
      <c r="L1016" s="312"/>
      <c r="N1016" s="297"/>
    </row>
    <row r="1017" spans="1:14" ht="15" customHeight="1" x14ac:dyDescent="0.25">
      <c r="A1017" s="497"/>
      <c r="C1017" s="404"/>
      <c r="E1017" s="308"/>
      <c r="G1017" s="297"/>
      <c r="H1017" s="297"/>
      <c r="J1017" s="297"/>
      <c r="L1017" s="312"/>
      <c r="N1017" s="297"/>
    </row>
    <row r="1018" spans="1:14" ht="15" customHeight="1" x14ac:dyDescent="0.25">
      <c r="A1018" s="497"/>
      <c r="C1018" s="404"/>
      <c r="E1018" s="308"/>
      <c r="G1018" s="297"/>
      <c r="H1018" s="297"/>
      <c r="J1018" s="297"/>
      <c r="L1018" s="312"/>
      <c r="N1018" s="297"/>
    </row>
    <row r="1019" spans="1:14" ht="15" customHeight="1" x14ac:dyDescent="0.25">
      <c r="A1019" s="497"/>
      <c r="C1019" s="404"/>
      <c r="E1019" s="308"/>
      <c r="G1019" s="297"/>
      <c r="H1019" s="297"/>
      <c r="J1019" s="297"/>
      <c r="L1019" s="312"/>
      <c r="N1019" s="297"/>
    </row>
    <row r="1020" spans="1:14" ht="15" customHeight="1" x14ac:dyDescent="0.25">
      <c r="A1020" s="497"/>
      <c r="C1020" s="404"/>
      <c r="E1020" s="308"/>
      <c r="G1020" s="297"/>
      <c r="H1020" s="297"/>
      <c r="J1020" s="297"/>
      <c r="L1020" s="312"/>
      <c r="N1020" s="297"/>
    </row>
    <row r="1021" spans="1:14" ht="15" customHeight="1" x14ac:dyDescent="0.25">
      <c r="A1021" s="497"/>
      <c r="C1021" s="404"/>
      <c r="E1021" s="308"/>
      <c r="G1021" s="297"/>
      <c r="H1021" s="297"/>
      <c r="J1021" s="297"/>
      <c r="L1021" s="312"/>
      <c r="N1021" s="297"/>
    </row>
    <row r="1022" spans="1:14" ht="15" customHeight="1" x14ac:dyDescent="0.25">
      <c r="A1022" s="497"/>
      <c r="C1022" s="404"/>
      <c r="E1022" s="308"/>
      <c r="G1022" s="297"/>
      <c r="H1022" s="297"/>
      <c r="J1022" s="297"/>
      <c r="L1022" s="312"/>
      <c r="N1022" s="297"/>
    </row>
    <row r="1023" spans="1:14" ht="15" customHeight="1" x14ac:dyDescent="0.25">
      <c r="A1023" s="497"/>
      <c r="C1023" s="404"/>
      <c r="E1023" s="308"/>
      <c r="G1023" s="297"/>
      <c r="H1023" s="297"/>
      <c r="J1023" s="297"/>
      <c r="L1023" s="312"/>
      <c r="N1023" s="297"/>
    </row>
    <row r="1024" spans="1:14" ht="15" customHeight="1" x14ac:dyDescent="0.25">
      <c r="A1024" s="497"/>
      <c r="C1024" s="404"/>
      <c r="E1024" s="308"/>
      <c r="G1024" s="297"/>
      <c r="H1024" s="297"/>
      <c r="J1024" s="297"/>
      <c r="L1024" s="312"/>
      <c r="N1024" s="297"/>
    </row>
    <row r="1025" spans="1:14" ht="15" customHeight="1" x14ac:dyDescent="0.25">
      <c r="A1025" s="497"/>
      <c r="C1025" s="404"/>
      <c r="E1025" s="308"/>
      <c r="G1025" s="297"/>
      <c r="H1025" s="297"/>
      <c r="J1025" s="297"/>
      <c r="L1025" s="312"/>
      <c r="N1025" s="297"/>
    </row>
    <row r="1026" spans="1:14" ht="15" customHeight="1" x14ac:dyDescent="0.25">
      <c r="A1026" s="497"/>
      <c r="C1026" s="404"/>
      <c r="E1026" s="308"/>
      <c r="G1026" s="297"/>
      <c r="H1026" s="297"/>
      <c r="J1026" s="297"/>
      <c r="L1026" s="312"/>
      <c r="N1026" s="297"/>
    </row>
    <row r="1027" spans="1:14" ht="15" customHeight="1" x14ac:dyDescent="0.25">
      <c r="A1027" s="497"/>
      <c r="C1027" s="404"/>
      <c r="E1027" s="308"/>
      <c r="G1027" s="297"/>
      <c r="H1027" s="297"/>
      <c r="J1027" s="297"/>
      <c r="L1027" s="312"/>
      <c r="N1027" s="297"/>
    </row>
    <row r="1028" spans="1:14" ht="15" customHeight="1" x14ac:dyDescent="0.25">
      <c r="A1028" s="497"/>
      <c r="C1028" s="404"/>
      <c r="E1028" s="308"/>
      <c r="G1028" s="297"/>
      <c r="H1028" s="297"/>
      <c r="J1028" s="297"/>
      <c r="L1028" s="312"/>
      <c r="N1028" s="297"/>
    </row>
    <row r="1029" spans="1:14" ht="15" customHeight="1" x14ac:dyDescent="0.25">
      <c r="A1029" s="497"/>
      <c r="C1029" s="404"/>
      <c r="E1029" s="308"/>
      <c r="G1029" s="297"/>
      <c r="H1029" s="297"/>
      <c r="J1029" s="297"/>
      <c r="L1029" s="312"/>
      <c r="N1029" s="297"/>
    </row>
    <row r="1030" spans="1:14" ht="15" customHeight="1" x14ac:dyDescent="0.25">
      <c r="A1030" s="497"/>
      <c r="C1030" s="404"/>
      <c r="E1030" s="308"/>
      <c r="G1030" s="297"/>
      <c r="H1030" s="297"/>
      <c r="J1030" s="297"/>
      <c r="L1030" s="312"/>
      <c r="N1030" s="297"/>
    </row>
    <row r="1031" spans="1:14" ht="15" customHeight="1" x14ac:dyDescent="0.25">
      <c r="A1031" s="497"/>
      <c r="C1031" s="404"/>
      <c r="E1031" s="308"/>
      <c r="G1031" s="297"/>
      <c r="H1031" s="297"/>
      <c r="J1031" s="297"/>
      <c r="L1031" s="312"/>
      <c r="N1031" s="297"/>
    </row>
    <row r="1032" spans="1:14" ht="15" customHeight="1" x14ac:dyDescent="0.25">
      <c r="A1032" s="497"/>
      <c r="C1032" s="404"/>
      <c r="E1032" s="308"/>
      <c r="G1032" s="297"/>
      <c r="H1032" s="297"/>
      <c r="J1032" s="297"/>
      <c r="L1032" s="312"/>
      <c r="N1032" s="297"/>
    </row>
    <row r="1033" spans="1:14" ht="15" customHeight="1" x14ac:dyDescent="0.25">
      <c r="A1033" s="497"/>
      <c r="C1033" s="404"/>
      <c r="E1033" s="308"/>
      <c r="G1033" s="297"/>
      <c r="H1033" s="297"/>
      <c r="J1033" s="297"/>
      <c r="L1033" s="312"/>
      <c r="N1033" s="297"/>
    </row>
    <row r="1034" spans="1:14" ht="15" customHeight="1" x14ac:dyDescent="0.25">
      <c r="A1034" s="497"/>
      <c r="C1034" s="404"/>
      <c r="E1034" s="308"/>
      <c r="G1034" s="297"/>
      <c r="H1034" s="297"/>
      <c r="J1034" s="297"/>
      <c r="L1034" s="312"/>
      <c r="N1034" s="297"/>
    </row>
    <row r="1035" spans="1:14" ht="15" customHeight="1" x14ac:dyDescent="0.25">
      <c r="A1035" s="497"/>
      <c r="C1035" s="404"/>
      <c r="E1035" s="308"/>
      <c r="G1035" s="297"/>
      <c r="H1035" s="297"/>
      <c r="J1035" s="297"/>
      <c r="L1035" s="312"/>
      <c r="N1035" s="297"/>
    </row>
    <row r="1036" spans="1:14" ht="15" customHeight="1" x14ac:dyDescent="0.25">
      <c r="A1036" s="497"/>
      <c r="C1036" s="404"/>
      <c r="E1036" s="308"/>
      <c r="G1036" s="297"/>
      <c r="H1036" s="297"/>
      <c r="J1036" s="297"/>
      <c r="L1036" s="312"/>
      <c r="N1036" s="297"/>
    </row>
    <row r="1037" spans="1:14" ht="15" customHeight="1" x14ac:dyDescent="0.25">
      <c r="A1037" s="497"/>
      <c r="C1037" s="404"/>
      <c r="E1037" s="308"/>
      <c r="G1037" s="297"/>
      <c r="H1037" s="297"/>
      <c r="J1037" s="297"/>
      <c r="L1037" s="312"/>
      <c r="N1037" s="297"/>
    </row>
    <row r="1038" spans="1:14" ht="15" customHeight="1" x14ac:dyDescent="0.25">
      <c r="A1038" s="497"/>
      <c r="C1038" s="404"/>
      <c r="E1038" s="308"/>
      <c r="G1038" s="297"/>
      <c r="H1038" s="297"/>
      <c r="J1038" s="297"/>
      <c r="L1038" s="312"/>
      <c r="N1038" s="297"/>
    </row>
    <row r="1039" spans="1:14" ht="15" customHeight="1" x14ac:dyDescent="0.25">
      <c r="A1039" s="497"/>
      <c r="C1039" s="404"/>
      <c r="E1039" s="308"/>
      <c r="G1039" s="297"/>
      <c r="H1039" s="297"/>
      <c r="J1039" s="297"/>
      <c r="L1039" s="312"/>
      <c r="N1039" s="297"/>
    </row>
    <row r="1040" spans="1:14" ht="15" customHeight="1" x14ac:dyDescent="0.25">
      <c r="A1040" s="497"/>
      <c r="C1040" s="404"/>
      <c r="E1040" s="308"/>
      <c r="G1040" s="297"/>
      <c r="H1040" s="297"/>
      <c r="J1040" s="297"/>
      <c r="L1040" s="312"/>
      <c r="N1040" s="297"/>
    </row>
    <row r="1041" spans="1:14" ht="15" customHeight="1" x14ac:dyDescent="0.25">
      <c r="A1041" s="497"/>
      <c r="C1041" s="404"/>
      <c r="E1041" s="308"/>
      <c r="G1041" s="297"/>
      <c r="H1041" s="297"/>
      <c r="J1041" s="297"/>
      <c r="L1041" s="312"/>
      <c r="N1041" s="297"/>
    </row>
    <row r="1042" spans="1:14" ht="15" customHeight="1" x14ac:dyDescent="0.25">
      <c r="A1042" s="497"/>
      <c r="C1042" s="404"/>
      <c r="E1042" s="308"/>
      <c r="G1042" s="297"/>
      <c r="H1042" s="297"/>
      <c r="J1042" s="297"/>
      <c r="L1042" s="312"/>
      <c r="N1042" s="297"/>
    </row>
    <row r="1043" spans="1:14" ht="15" customHeight="1" x14ac:dyDescent="0.25">
      <c r="A1043" s="497"/>
      <c r="C1043" s="404"/>
      <c r="E1043" s="308"/>
      <c r="G1043" s="297"/>
      <c r="H1043" s="297"/>
      <c r="J1043" s="297"/>
      <c r="L1043" s="312"/>
      <c r="N1043" s="297"/>
    </row>
    <row r="1044" spans="1:14" ht="15" customHeight="1" x14ac:dyDescent="0.25">
      <c r="A1044" s="497"/>
      <c r="C1044" s="404"/>
      <c r="E1044" s="308"/>
      <c r="G1044" s="297"/>
      <c r="H1044" s="297"/>
      <c r="J1044" s="297"/>
      <c r="L1044" s="312"/>
      <c r="N1044" s="297"/>
    </row>
    <row r="1045" spans="1:14" ht="15" customHeight="1" x14ac:dyDescent="0.25">
      <c r="A1045" s="497"/>
      <c r="C1045" s="404"/>
      <c r="E1045" s="308"/>
      <c r="G1045" s="297"/>
      <c r="H1045" s="297"/>
      <c r="J1045" s="297"/>
      <c r="L1045" s="312"/>
      <c r="N1045" s="297"/>
    </row>
    <row r="1046" spans="1:14" ht="15" customHeight="1" x14ac:dyDescent="0.25">
      <c r="A1046" s="497"/>
      <c r="C1046" s="404"/>
      <c r="E1046" s="308"/>
      <c r="G1046" s="297"/>
      <c r="H1046" s="297"/>
      <c r="J1046" s="297"/>
      <c r="L1046" s="312"/>
      <c r="N1046" s="297"/>
    </row>
    <row r="1047" spans="1:14" ht="15" customHeight="1" x14ac:dyDescent="0.25">
      <c r="A1047" s="497"/>
      <c r="C1047" s="404"/>
      <c r="E1047" s="308"/>
      <c r="G1047" s="297"/>
      <c r="H1047" s="297"/>
      <c r="J1047" s="297"/>
      <c r="L1047" s="312"/>
      <c r="N1047" s="297"/>
    </row>
    <row r="1048" spans="1:14" ht="15" customHeight="1" x14ac:dyDescent="0.25">
      <c r="A1048" s="497"/>
      <c r="C1048" s="404"/>
      <c r="E1048" s="308"/>
      <c r="G1048" s="297"/>
      <c r="H1048" s="297"/>
      <c r="J1048" s="297"/>
      <c r="L1048" s="312"/>
      <c r="N1048" s="297"/>
    </row>
    <row r="1049" spans="1:14" ht="15" customHeight="1" x14ac:dyDescent="0.25">
      <c r="A1049" s="497"/>
      <c r="C1049" s="404"/>
      <c r="E1049" s="308"/>
      <c r="G1049" s="297"/>
      <c r="H1049" s="297"/>
      <c r="J1049" s="297"/>
      <c r="L1049" s="312"/>
      <c r="N1049" s="297"/>
    </row>
    <row r="1050" spans="1:14" ht="15" customHeight="1" x14ac:dyDescent="0.25">
      <c r="A1050" s="497"/>
      <c r="C1050" s="404"/>
      <c r="E1050" s="308"/>
      <c r="G1050" s="297"/>
      <c r="H1050" s="297"/>
      <c r="J1050" s="297"/>
      <c r="L1050" s="312"/>
      <c r="N1050" s="297"/>
    </row>
    <row r="1051" spans="1:14" ht="15" customHeight="1" x14ac:dyDescent="0.25">
      <c r="A1051" s="497"/>
      <c r="C1051" s="404"/>
      <c r="E1051" s="308"/>
      <c r="G1051" s="297"/>
      <c r="H1051" s="297"/>
      <c r="J1051" s="297"/>
      <c r="L1051" s="312"/>
      <c r="N1051" s="297"/>
    </row>
    <row r="1052" spans="1:14" ht="15" customHeight="1" x14ac:dyDescent="0.25">
      <c r="A1052" s="497"/>
      <c r="C1052" s="404"/>
      <c r="E1052" s="308"/>
      <c r="G1052" s="297"/>
      <c r="H1052" s="297"/>
      <c r="J1052" s="297"/>
      <c r="L1052" s="312"/>
      <c r="N1052" s="297"/>
    </row>
    <row r="1053" spans="1:14" ht="15" customHeight="1" x14ac:dyDescent="0.25">
      <c r="A1053" s="497"/>
      <c r="C1053" s="404"/>
      <c r="E1053" s="308"/>
      <c r="G1053" s="297"/>
      <c r="H1053" s="297"/>
      <c r="J1053" s="297"/>
      <c r="L1053" s="312"/>
      <c r="N1053" s="297"/>
    </row>
    <row r="1054" spans="1:14" ht="15" customHeight="1" x14ac:dyDescent="0.25">
      <c r="A1054" s="497"/>
      <c r="C1054" s="404"/>
      <c r="E1054" s="308"/>
      <c r="G1054" s="297"/>
      <c r="H1054" s="297"/>
      <c r="J1054" s="297"/>
      <c r="L1054" s="312"/>
      <c r="N1054" s="297"/>
    </row>
    <row r="1055" spans="1:14" ht="15" customHeight="1" x14ac:dyDescent="0.25">
      <c r="A1055" s="497"/>
      <c r="C1055" s="404"/>
      <c r="E1055" s="308"/>
      <c r="G1055" s="297"/>
      <c r="H1055" s="297"/>
      <c r="J1055" s="297"/>
      <c r="L1055" s="312"/>
      <c r="N1055" s="297"/>
    </row>
    <row r="1056" spans="1:14" ht="15" customHeight="1" x14ac:dyDescent="0.25">
      <c r="A1056" s="497"/>
      <c r="C1056" s="404"/>
      <c r="E1056" s="308"/>
      <c r="G1056" s="297"/>
      <c r="H1056" s="297"/>
      <c r="J1056" s="297"/>
      <c r="L1056" s="312"/>
      <c r="N1056" s="297"/>
    </row>
    <row r="1057" spans="1:14" ht="15" customHeight="1" x14ac:dyDescent="0.25">
      <c r="A1057" s="497"/>
      <c r="C1057" s="404"/>
      <c r="E1057" s="308"/>
      <c r="G1057" s="297"/>
      <c r="H1057" s="297"/>
      <c r="J1057" s="297"/>
      <c r="L1057" s="312"/>
      <c r="N1057" s="297"/>
    </row>
    <row r="1058" spans="1:14" ht="15" customHeight="1" x14ac:dyDescent="0.25">
      <c r="A1058" s="497"/>
      <c r="C1058" s="404"/>
      <c r="E1058" s="308"/>
      <c r="G1058" s="297"/>
      <c r="H1058" s="297"/>
      <c r="J1058" s="297"/>
      <c r="L1058" s="312"/>
      <c r="N1058" s="297"/>
    </row>
    <row r="1059" spans="1:14" ht="15" customHeight="1" x14ac:dyDescent="0.25">
      <c r="A1059" s="497"/>
      <c r="C1059" s="404"/>
      <c r="E1059" s="308"/>
      <c r="G1059" s="297"/>
      <c r="H1059" s="297"/>
      <c r="J1059" s="297"/>
      <c r="L1059" s="312"/>
      <c r="N1059" s="297"/>
    </row>
    <row r="1060" spans="1:14" ht="15" customHeight="1" x14ac:dyDescent="0.25">
      <c r="A1060" s="497"/>
      <c r="C1060" s="404"/>
      <c r="E1060" s="308"/>
      <c r="G1060" s="297"/>
      <c r="H1060" s="297"/>
      <c r="J1060" s="297"/>
      <c r="L1060" s="312"/>
      <c r="N1060" s="297"/>
    </row>
    <row r="1061" spans="1:14" ht="15" customHeight="1" x14ac:dyDescent="0.25">
      <c r="A1061" s="497"/>
      <c r="C1061" s="404"/>
      <c r="E1061" s="308"/>
      <c r="G1061" s="297"/>
      <c r="H1061" s="297"/>
      <c r="J1061" s="297"/>
      <c r="L1061" s="312"/>
      <c r="N1061" s="297"/>
    </row>
    <row r="1062" spans="1:14" ht="15" customHeight="1" x14ac:dyDescent="0.25">
      <c r="A1062" s="497"/>
      <c r="C1062" s="404"/>
      <c r="E1062" s="308"/>
      <c r="G1062" s="297"/>
      <c r="H1062" s="297"/>
      <c r="J1062" s="297"/>
      <c r="L1062" s="312"/>
      <c r="N1062" s="297"/>
    </row>
    <row r="1063" spans="1:14" ht="15" customHeight="1" x14ac:dyDescent="0.25">
      <c r="A1063" s="497"/>
      <c r="C1063" s="404"/>
      <c r="E1063" s="308"/>
      <c r="G1063" s="297"/>
      <c r="H1063" s="297"/>
      <c r="J1063" s="297"/>
      <c r="L1063" s="312"/>
      <c r="N1063" s="297"/>
    </row>
    <row r="1064" spans="1:14" ht="15" customHeight="1" x14ac:dyDescent="0.25">
      <c r="A1064" s="497"/>
      <c r="C1064" s="404"/>
      <c r="E1064" s="308"/>
      <c r="G1064" s="297"/>
      <c r="H1064" s="297"/>
      <c r="J1064" s="297"/>
      <c r="L1064" s="312"/>
      <c r="N1064" s="297"/>
    </row>
    <row r="1065" spans="1:14" ht="15" customHeight="1" x14ac:dyDescent="0.25">
      <c r="A1065" s="497"/>
      <c r="C1065" s="404"/>
      <c r="E1065" s="308"/>
      <c r="G1065" s="297"/>
      <c r="H1065" s="297"/>
      <c r="J1065" s="297"/>
      <c r="L1065" s="312"/>
      <c r="N1065" s="297"/>
    </row>
    <row r="1066" spans="1:14" ht="15" customHeight="1" x14ac:dyDescent="0.25">
      <c r="A1066" s="497"/>
      <c r="C1066" s="404"/>
      <c r="E1066" s="308"/>
      <c r="G1066" s="297"/>
      <c r="H1066" s="297"/>
      <c r="J1066" s="297"/>
      <c r="L1066" s="312"/>
      <c r="N1066" s="297"/>
    </row>
    <row r="1067" spans="1:14" ht="15" customHeight="1" x14ac:dyDescent="0.25">
      <c r="A1067" s="497"/>
      <c r="C1067" s="404"/>
      <c r="E1067" s="308"/>
      <c r="G1067" s="297"/>
      <c r="H1067" s="297"/>
      <c r="J1067" s="297"/>
      <c r="L1067" s="312"/>
      <c r="N1067" s="297"/>
    </row>
    <row r="1068" spans="1:14" ht="15" customHeight="1" x14ac:dyDescent="0.25">
      <c r="A1068" s="497"/>
      <c r="C1068" s="404"/>
      <c r="E1068" s="308"/>
      <c r="G1068" s="297"/>
      <c r="H1068" s="297"/>
      <c r="J1068" s="297"/>
      <c r="L1068" s="312"/>
      <c r="N1068" s="297"/>
    </row>
    <row r="1069" spans="1:14" ht="15" customHeight="1" x14ac:dyDescent="0.25">
      <c r="A1069" s="497"/>
      <c r="C1069" s="404"/>
      <c r="E1069" s="308"/>
      <c r="G1069" s="297"/>
      <c r="H1069" s="297"/>
      <c r="J1069" s="297"/>
      <c r="L1069" s="312"/>
      <c r="N1069" s="297"/>
    </row>
    <row r="1070" spans="1:14" ht="15" customHeight="1" x14ac:dyDescent="0.25">
      <c r="A1070" s="497"/>
      <c r="C1070" s="404"/>
      <c r="E1070" s="308"/>
      <c r="G1070" s="297"/>
      <c r="H1070" s="297"/>
      <c r="J1070" s="297"/>
      <c r="L1070" s="312"/>
      <c r="N1070" s="297"/>
    </row>
    <row r="1071" spans="1:14" ht="15" customHeight="1" x14ac:dyDescent="0.25">
      <c r="A1071" s="497"/>
      <c r="C1071" s="404"/>
      <c r="E1071" s="308"/>
      <c r="G1071" s="297"/>
      <c r="H1071" s="297"/>
      <c r="J1071" s="297"/>
      <c r="L1071" s="312"/>
      <c r="N1071" s="297"/>
    </row>
    <row r="1072" spans="1:14" ht="15" customHeight="1" x14ac:dyDescent="0.25">
      <c r="A1072" s="497"/>
      <c r="C1072" s="404"/>
      <c r="E1072" s="308"/>
      <c r="G1072" s="297"/>
      <c r="H1072" s="297"/>
      <c r="J1072" s="297"/>
      <c r="L1072" s="312"/>
      <c r="N1072" s="297"/>
    </row>
    <row r="1073" spans="1:14" ht="15" customHeight="1" x14ac:dyDescent="0.25">
      <c r="A1073" s="497"/>
      <c r="C1073" s="404"/>
      <c r="E1073" s="308"/>
      <c r="G1073" s="297"/>
      <c r="H1073" s="297"/>
      <c r="J1073" s="297"/>
      <c r="L1073" s="312"/>
      <c r="N1073" s="297"/>
    </row>
    <row r="1074" spans="1:14" ht="15" customHeight="1" x14ac:dyDescent="0.25">
      <c r="A1074" s="497"/>
      <c r="C1074" s="404"/>
      <c r="E1074" s="308"/>
      <c r="G1074" s="297"/>
      <c r="H1074" s="297"/>
      <c r="J1074" s="297"/>
      <c r="L1074" s="312"/>
      <c r="N1074" s="297"/>
    </row>
    <row r="1075" spans="1:14" ht="15" customHeight="1" x14ac:dyDescent="0.25">
      <c r="A1075" s="497"/>
      <c r="C1075" s="404"/>
      <c r="E1075" s="308"/>
      <c r="G1075" s="297"/>
      <c r="H1075" s="297"/>
      <c r="J1075" s="297"/>
      <c r="L1075" s="312"/>
      <c r="N1075" s="297"/>
    </row>
    <row r="1076" spans="1:14" ht="15" customHeight="1" x14ac:dyDescent="0.25">
      <c r="A1076" s="497"/>
      <c r="C1076" s="404"/>
      <c r="E1076" s="308"/>
      <c r="G1076" s="297"/>
      <c r="H1076" s="297"/>
      <c r="J1076" s="297"/>
      <c r="L1076" s="312"/>
      <c r="N1076" s="297"/>
    </row>
    <row r="1077" spans="1:14" ht="15" customHeight="1" x14ac:dyDescent="0.25">
      <c r="A1077" s="497"/>
      <c r="C1077" s="404"/>
      <c r="E1077" s="308"/>
      <c r="G1077" s="297"/>
      <c r="H1077" s="297"/>
      <c r="J1077" s="297"/>
      <c r="L1077" s="312"/>
      <c r="N1077" s="297"/>
    </row>
    <row r="1078" spans="1:14" ht="15" customHeight="1" x14ac:dyDescent="0.25">
      <c r="A1078" s="497"/>
      <c r="C1078" s="404"/>
      <c r="E1078" s="308"/>
      <c r="G1078" s="297"/>
      <c r="H1078" s="297"/>
      <c r="J1078" s="297"/>
      <c r="L1078" s="312"/>
      <c r="N1078" s="297"/>
    </row>
    <row r="1079" spans="1:14" ht="15" customHeight="1" x14ac:dyDescent="0.25">
      <c r="A1079" s="497"/>
      <c r="C1079" s="404"/>
      <c r="E1079" s="308"/>
      <c r="G1079" s="297"/>
      <c r="H1079" s="297"/>
      <c r="J1079" s="297"/>
      <c r="L1079" s="312"/>
      <c r="N1079" s="297"/>
    </row>
    <row r="1080" spans="1:14" ht="15" customHeight="1" x14ac:dyDescent="0.25">
      <c r="A1080" s="497"/>
      <c r="C1080" s="404"/>
      <c r="E1080" s="308"/>
      <c r="G1080" s="297"/>
      <c r="H1080" s="297"/>
      <c r="J1080" s="297"/>
      <c r="L1080" s="312"/>
      <c r="N1080" s="297"/>
    </row>
    <row r="1081" spans="1:14" ht="15" customHeight="1" x14ac:dyDescent="0.25">
      <c r="A1081" s="497"/>
      <c r="C1081" s="404"/>
      <c r="E1081" s="308"/>
      <c r="G1081" s="297"/>
      <c r="H1081" s="297"/>
      <c r="J1081" s="297"/>
      <c r="L1081" s="312"/>
      <c r="N1081" s="297"/>
    </row>
    <row r="1082" spans="1:14" ht="15" customHeight="1" x14ac:dyDescent="0.25">
      <c r="A1082" s="497"/>
      <c r="C1082" s="404"/>
      <c r="E1082" s="308"/>
      <c r="G1082" s="297"/>
      <c r="H1082" s="297"/>
      <c r="J1082" s="297"/>
      <c r="L1082" s="312"/>
      <c r="N1082" s="297"/>
    </row>
    <row r="1083" spans="1:14" ht="15" customHeight="1" x14ac:dyDescent="0.25">
      <c r="A1083" s="497"/>
      <c r="C1083" s="404"/>
      <c r="E1083" s="308"/>
      <c r="G1083" s="297"/>
      <c r="H1083" s="297"/>
      <c r="J1083" s="297"/>
      <c r="L1083" s="312"/>
      <c r="N1083" s="297"/>
    </row>
    <row r="1084" spans="1:14" ht="15" customHeight="1" x14ac:dyDescent="0.25">
      <c r="A1084" s="497"/>
      <c r="C1084" s="404"/>
      <c r="E1084" s="308"/>
      <c r="G1084" s="297"/>
      <c r="H1084" s="297"/>
      <c r="J1084" s="297"/>
      <c r="L1084" s="312"/>
      <c r="N1084" s="297"/>
    </row>
    <row r="1085" spans="1:14" ht="15" customHeight="1" x14ac:dyDescent="0.25">
      <c r="A1085" s="497"/>
      <c r="C1085" s="404"/>
      <c r="E1085" s="308"/>
      <c r="G1085" s="297"/>
      <c r="H1085" s="297"/>
      <c r="J1085" s="297"/>
      <c r="L1085" s="312"/>
      <c r="N1085" s="297"/>
    </row>
    <row r="1086" spans="1:14" ht="15" customHeight="1" x14ac:dyDescent="0.25">
      <c r="A1086" s="497"/>
      <c r="C1086" s="404"/>
      <c r="E1086" s="308"/>
      <c r="G1086" s="297"/>
      <c r="H1086" s="297"/>
      <c r="J1086" s="297"/>
      <c r="L1086" s="312"/>
      <c r="N1086" s="297"/>
    </row>
    <row r="1087" spans="1:14" ht="15" customHeight="1" x14ac:dyDescent="0.25">
      <c r="A1087" s="497"/>
      <c r="C1087" s="404"/>
      <c r="E1087" s="308"/>
      <c r="G1087" s="297"/>
      <c r="H1087" s="297"/>
      <c r="J1087" s="297"/>
      <c r="L1087" s="312"/>
      <c r="N1087" s="297"/>
    </row>
    <row r="1088" spans="1:14" ht="15" customHeight="1" x14ac:dyDescent="0.25">
      <c r="A1088" s="497"/>
      <c r="C1088" s="404"/>
      <c r="E1088" s="308"/>
      <c r="G1088" s="297"/>
      <c r="H1088" s="297"/>
      <c r="J1088" s="297"/>
      <c r="L1088" s="312"/>
      <c r="N1088" s="297"/>
    </row>
    <row r="1089" spans="1:14" ht="15" customHeight="1" x14ac:dyDescent="0.25">
      <c r="A1089" s="497"/>
      <c r="C1089" s="404"/>
      <c r="E1089" s="308"/>
      <c r="G1089" s="297"/>
      <c r="H1089" s="297"/>
      <c r="J1089" s="297"/>
      <c r="L1089" s="312"/>
      <c r="N1089" s="297"/>
    </row>
    <row r="1090" spans="1:14" ht="15" customHeight="1" x14ac:dyDescent="0.25">
      <c r="A1090" s="497"/>
      <c r="C1090" s="404"/>
      <c r="E1090" s="308"/>
      <c r="G1090" s="297"/>
      <c r="H1090" s="297"/>
      <c r="J1090" s="297"/>
      <c r="L1090" s="312"/>
      <c r="N1090" s="297"/>
    </row>
    <row r="1091" spans="1:14" ht="15" customHeight="1" x14ac:dyDescent="0.25">
      <c r="A1091" s="497"/>
      <c r="C1091" s="404"/>
      <c r="E1091" s="308"/>
      <c r="G1091" s="297"/>
      <c r="H1091" s="297"/>
      <c r="J1091" s="297"/>
      <c r="L1091" s="312"/>
      <c r="N1091" s="297"/>
    </row>
    <row r="1092" spans="1:14" ht="15" customHeight="1" x14ac:dyDescent="0.25">
      <c r="A1092" s="497"/>
      <c r="C1092" s="404"/>
      <c r="E1092" s="308"/>
      <c r="G1092" s="297"/>
      <c r="H1092" s="297"/>
      <c r="J1092" s="297"/>
      <c r="L1092" s="312"/>
      <c r="N1092" s="297"/>
    </row>
    <row r="1093" spans="1:14" ht="15" customHeight="1" x14ac:dyDescent="0.25">
      <c r="A1093" s="497"/>
      <c r="C1093" s="404"/>
      <c r="E1093" s="308"/>
      <c r="G1093" s="297"/>
      <c r="H1093" s="297"/>
      <c r="J1093" s="297"/>
      <c r="L1093" s="312"/>
      <c r="N1093" s="297"/>
    </row>
    <row r="1094" spans="1:14" ht="15" customHeight="1" x14ac:dyDescent="0.25">
      <c r="A1094" s="497"/>
      <c r="C1094" s="404"/>
      <c r="E1094" s="308"/>
      <c r="G1094" s="297"/>
      <c r="H1094" s="297"/>
      <c r="J1094" s="297"/>
      <c r="L1094" s="312"/>
      <c r="N1094" s="297"/>
    </row>
    <row r="1095" spans="1:14" ht="15" customHeight="1" x14ac:dyDescent="0.25">
      <c r="A1095" s="497"/>
      <c r="C1095" s="404"/>
      <c r="E1095" s="308"/>
      <c r="G1095" s="297"/>
      <c r="H1095" s="297"/>
      <c r="J1095" s="297"/>
      <c r="L1095" s="312"/>
      <c r="N1095" s="297"/>
    </row>
    <row r="1096" spans="1:14" ht="15" customHeight="1" x14ac:dyDescent="0.25">
      <c r="A1096" s="497"/>
      <c r="C1096" s="404"/>
      <c r="E1096" s="308"/>
      <c r="G1096" s="297"/>
      <c r="H1096" s="297"/>
      <c r="J1096" s="297"/>
      <c r="L1096" s="312"/>
      <c r="N1096" s="297"/>
    </row>
    <row r="1097" spans="1:14" ht="15" customHeight="1" x14ac:dyDescent="0.25">
      <c r="A1097" s="497"/>
      <c r="C1097" s="404"/>
      <c r="E1097" s="308"/>
      <c r="G1097" s="297"/>
      <c r="H1097" s="297"/>
      <c r="J1097" s="297"/>
      <c r="L1097" s="312"/>
      <c r="N1097" s="297"/>
    </row>
    <row r="1098" spans="1:14" ht="15" customHeight="1" x14ac:dyDescent="0.25">
      <c r="A1098" s="497"/>
      <c r="C1098" s="404"/>
      <c r="E1098" s="308"/>
      <c r="G1098" s="297"/>
      <c r="H1098" s="297"/>
      <c r="J1098" s="297"/>
      <c r="L1098" s="312"/>
      <c r="N1098" s="297"/>
    </row>
    <row r="1099" spans="1:14" ht="15" customHeight="1" x14ac:dyDescent="0.25">
      <c r="A1099" s="497"/>
      <c r="C1099" s="404"/>
      <c r="E1099" s="308"/>
      <c r="G1099" s="297"/>
      <c r="H1099" s="297"/>
      <c r="J1099" s="297"/>
      <c r="L1099" s="312"/>
      <c r="N1099" s="297"/>
    </row>
    <row r="1100" spans="1:14" ht="15" customHeight="1" x14ac:dyDescent="0.25">
      <c r="A1100" s="497"/>
      <c r="C1100" s="404"/>
      <c r="E1100" s="308"/>
      <c r="G1100" s="297"/>
      <c r="H1100" s="297"/>
      <c r="J1100" s="297"/>
      <c r="L1100" s="312"/>
      <c r="N1100" s="297"/>
    </row>
    <row r="1101" spans="1:14" ht="15" customHeight="1" x14ac:dyDescent="0.25">
      <c r="A1101" s="497"/>
      <c r="C1101" s="404"/>
      <c r="E1101" s="308"/>
      <c r="G1101" s="297"/>
      <c r="H1101" s="297"/>
      <c r="J1101" s="297"/>
      <c r="L1101" s="312"/>
      <c r="N1101" s="297"/>
    </row>
    <row r="1102" spans="1:14" ht="15" customHeight="1" x14ac:dyDescent="0.25">
      <c r="A1102" s="497"/>
      <c r="C1102" s="404"/>
      <c r="E1102" s="308"/>
      <c r="G1102" s="297"/>
      <c r="H1102" s="297"/>
      <c r="J1102" s="297"/>
      <c r="L1102" s="312"/>
      <c r="N1102" s="297"/>
    </row>
    <row r="1103" spans="1:14" ht="15" customHeight="1" x14ac:dyDescent="0.25">
      <c r="A1103" s="497"/>
      <c r="C1103" s="404"/>
      <c r="E1103" s="308"/>
      <c r="G1103" s="297"/>
      <c r="H1103" s="297"/>
      <c r="J1103" s="297"/>
      <c r="L1103" s="312"/>
      <c r="N1103" s="297"/>
    </row>
    <row r="1104" spans="1:14" ht="15" customHeight="1" x14ac:dyDescent="0.25">
      <c r="A1104" s="497"/>
      <c r="C1104" s="404"/>
      <c r="E1104" s="308"/>
      <c r="G1104" s="297"/>
      <c r="H1104" s="297"/>
      <c r="J1104" s="297"/>
      <c r="L1104" s="312"/>
      <c r="N1104" s="297"/>
    </row>
    <row r="1105" spans="1:14" ht="15" customHeight="1" x14ac:dyDescent="0.25">
      <c r="A1105" s="497"/>
      <c r="C1105" s="404"/>
      <c r="E1105" s="308"/>
      <c r="G1105" s="297"/>
      <c r="H1105" s="297"/>
      <c r="J1105" s="297"/>
      <c r="L1105" s="312"/>
      <c r="N1105" s="297"/>
    </row>
    <row r="1106" spans="1:14" ht="15" customHeight="1" x14ac:dyDescent="0.25">
      <c r="A1106" s="497"/>
      <c r="C1106" s="404"/>
      <c r="E1106" s="308"/>
      <c r="G1106" s="297"/>
      <c r="H1106" s="297"/>
      <c r="J1106" s="297"/>
      <c r="L1106" s="312"/>
      <c r="N1106" s="297"/>
    </row>
    <row r="1107" spans="1:14" ht="15" customHeight="1" x14ac:dyDescent="0.25">
      <c r="A1107" s="497"/>
      <c r="C1107" s="404"/>
      <c r="E1107" s="308"/>
      <c r="G1107" s="297"/>
      <c r="H1107" s="297"/>
      <c r="J1107" s="297"/>
      <c r="L1107" s="312"/>
      <c r="N1107" s="297"/>
    </row>
    <row r="1108" spans="1:14" ht="15" customHeight="1" x14ac:dyDescent="0.25">
      <c r="A1108" s="497"/>
      <c r="C1108" s="404"/>
      <c r="E1108" s="308"/>
      <c r="G1108" s="297"/>
      <c r="H1108" s="297"/>
      <c r="J1108" s="297"/>
      <c r="L1108" s="312"/>
      <c r="N1108" s="297"/>
    </row>
    <row r="1109" spans="1:14" ht="15" customHeight="1" x14ac:dyDescent="0.25">
      <c r="A1109" s="497"/>
      <c r="C1109" s="404"/>
      <c r="E1109" s="308"/>
      <c r="G1109" s="297"/>
      <c r="H1109" s="297"/>
      <c r="J1109" s="297"/>
      <c r="L1109" s="312"/>
      <c r="N1109" s="297"/>
    </row>
    <row r="1110" spans="1:14" ht="15" customHeight="1" x14ac:dyDescent="0.25">
      <c r="A1110" s="497"/>
      <c r="C1110" s="404"/>
      <c r="E1110" s="308"/>
      <c r="G1110" s="297"/>
      <c r="H1110" s="297"/>
      <c r="J1110" s="297"/>
      <c r="L1110" s="312"/>
      <c r="N1110" s="297"/>
    </row>
    <row r="1111" spans="1:14" ht="15" customHeight="1" x14ac:dyDescent="0.25">
      <c r="A1111" s="497"/>
      <c r="C1111" s="404"/>
      <c r="E1111" s="308"/>
      <c r="G1111" s="297"/>
      <c r="H1111" s="297"/>
      <c r="J1111" s="297"/>
      <c r="L1111" s="312"/>
      <c r="N1111" s="297"/>
    </row>
    <row r="1112" spans="1:14" ht="15" customHeight="1" x14ac:dyDescent="0.25">
      <c r="A1112" s="497"/>
      <c r="C1112" s="404"/>
      <c r="E1112" s="308"/>
      <c r="G1112" s="297"/>
      <c r="H1112" s="297"/>
      <c r="J1112" s="297"/>
      <c r="L1112" s="312"/>
      <c r="N1112" s="297"/>
    </row>
    <row r="1113" spans="1:14" ht="15" customHeight="1" x14ac:dyDescent="0.25">
      <c r="A1113" s="497"/>
      <c r="C1113" s="404"/>
      <c r="E1113" s="308"/>
      <c r="G1113" s="297"/>
      <c r="H1113" s="297"/>
      <c r="J1113" s="297"/>
      <c r="L1113" s="312"/>
      <c r="N1113" s="297"/>
    </row>
    <row r="1114" spans="1:14" ht="15" customHeight="1" x14ac:dyDescent="0.25">
      <c r="A1114" s="497"/>
      <c r="C1114" s="404"/>
      <c r="E1114" s="308"/>
      <c r="G1114" s="297"/>
      <c r="H1114" s="297"/>
      <c r="J1114" s="297"/>
      <c r="L1114" s="312"/>
      <c r="N1114" s="297"/>
    </row>
    <row r="1115" spans="1:14" ht="15" customHeight="1" x14ac:dyDescent="0.25">
      <c r="A1115" s="497"/>
      <c r="C1115" s="404"/>
      <c r="E1115" s="308"/>
      <c r="G1115" s="297"/>
      <c r="H1115" s="297"/>
      <c r="J1115" s="297"/>
      <c r="L1115" s="312"/>
      <c r="N1115" s="297"/>
    </row>
    <row r="1116" spans="1:14" ht="15" customHeight="1" x14ac:dyDescent="0.25">
      <c r="A1116" s="497"/>
      <c r="C1116" s="404"/>
      <c r="E1116" s="308"/>
      <c r="G1116" s="297"/>
      <c r="H1116" s="297"/>
      <c r="J1116" s="297"/>
      <c r="L1116" s="312"/>
      <c r="N1116" s="297"/>
    </row>
    <row r="1117" spans="1:14" ht="15" customHeight="1" x14ac:dyDescent="0.25">
      <c r="A1117" s="497"/>
      <c r="C1117" s="404"/>
      <c r="E1117" s="308"/>
      <c r="G1117" s="297"/>
      <c r="H1117" s="297"/>
      <c r="J1117" s="297"/>
      <c r="L1117" s="312"/>
      <c r="N1117" s="297"/>
    </row>
    <row r="1118" spans="1:14" ht="15" customHeight="1" x14ac:dyDescent="0.25">
      <c r="A1118" s="497"/>
      <c r="C1118" s="404"/>
      <c r="E1118" s="308"/>
      <c r="G1118" s="297"/>
      <c r="H1118" s="297"/>
      <c r="J1118" s="297"/>
      <c r="L1118" s="312"/>
      <c r="N1118" s="297"/>
    </row>
    <row r="1119" spans="1:14" ht="15" customHeight="1" x14ac:dyDescent="0.25">
      <c r="A1119" s="497"/>
      <c r="C1119" s="404"/>
      <c r="E1119" s="308"/>
      <c r="G1119" s="297"/>
      <c r="H1119" s="297"/>
      <c r="J1119" s="297"/>
      <c r="L1119" s="312"/>
      <c r="N1119" s="297"/>
    </row>
    <row r="1120" spans="1:14" ht="15" customHeight="1" x14ac:dyDescent="0.25">
      <c r="A1120" s="497"/>
      <c r="C1120" s="404"/>
      <c r="E1120" s="308"/>
      <c r="G1120" s="297"/>
      <c r="H1120" s="297"/>
      <c r="J1120" s="297"/>
      <c r="L1120" s="312"/>
      <c r="N1120" s="297"/>
    </row>
    <row r="1121" spans="1:14" ht="15" customHeight="1" x14ac:dyDescent="0.25">
      <c r="A1121" s="497"/>
      <c r="C1121" s="404"/>
      <c r="E1121" s="308"/>
      <c r="G1121" s="297"/>
      <c r="H1121" s="297"/>
      <c r="J1121" s="297"/>
      <c r="L1121" s="312"/>
      <c r="N1121" s="297"/>
    </row>
    <row r="1122" spans="1:14" ht="15" customHeight="1" x14ac:dyDescent="0.25">
      <c r="A1122" s="497"/>
      <c r="C1122" s="404"/>
      <c r="E1122" s="308"/>
      <c r="G1122" s="297"/>
      <c r="H1122" s="297"/>
      <c r="J1122" s="297"/>
      <c r="L1122" s="312"/>
      <c r="N1122" s="297"/>
    </row>
    <row r="1123" spans="1:14" ht="15" customHeight="1" x14ac:dyDescent="0.25">
      <c r="A1123" s="497"/>
      <c r="C1123" s="404"/>
      <c r="E1123" s="308"/>
      <c r="G1123" s="297"/>
      <c r="H1123" s="297"/>
      <c r="J1123" s="297"/>
      <c r="L1123" s="312"/>
      <c r="N1123" s="297"/>
    </row>
    <row r="1124" spans="1:14" ht="15" customHeight="1" x14ac:dyDescent="0.25">
      <c r="A1124" s="497"/>
      <c r="C1124" s="404"/>
      <c r="E1124" s="308"/>
      <c r="G1124" s="297"/>
      <c r="H1124" s="297"/>
      <c r="J1124" s="297"/>
      <c r="L1124" s="312"/>
      <c r="N1124" s="297"/>
    </row>
    <row r="1125" spans="1:14" ht="15" customHeight="1" x14ac:dyDescent="0.25">
      <c r="A1125" s="497"/>
      <c r="C1125" s="404"/>
      <c r="E1125" s="308"/>
      <c r="G1125" s="297"/>
      <c r="H1125" s="297"/>
      <c r="J1125" s="297"/>
      <c r="L1125" s="312"/>
      <c r="N1125" s="297"/>
    </row>
    <row r="1126" spans="1:14" ht="15" customHeight="1" x14ac:dyDescent="0.25">
      <c r="A1126" s="497"/>
      <c r="C1126" s="404"/>
      <c r="E1126" s="308"/>
      <c r="G1126" s="297"/>
      <c r="H1126" s="297"/>
      <c r="J1126" s="297"/>
      <c r="L1126" s="312"/>
      <c r="N1126" s="297"/>
    </row>
    <row r="1127" spans="1:14" ht="15" customHeight="1" x14ac:dyDescent="0.25">
      <c r="A1127" s="497"/>
      <c r="C1127" s="404"/>
      <c r="E1127" s="308"/>
      <c r="G1127" s="297"/>
      <c r="H1127" s="297"/>
      <c r="J1127" s="297"/>
      <c r="L1127" s="312"/>
      <c r="N1127" s="297"/>
    </row>
    <row r="1128" spans="1:14" ht="15" customHeight="1" x14ac:dyDescent="0.25">
      <c r="A1128" s="497"/>
      <c r="C1128" s="404"/>
      <c r="E1128" s="308"/>
      <c r="G1128" s="297"/>
      <c r="H1128" s="297"/>
      <c r="J1128" s="297"/>
      <c r="L1128" s="312"/>
      <c r="N1128" s="297"/>
    </row>
    <row r="1129" spans="1:14" ht="15" customHeight="1" x14ac:dyDescent="0.25">
      <c r="A1129" s="497"/>
      <c r="C1129" s="404"/>
      <c r="E1129" s="308"/>
      <c r="G1129" s="297"/>
      <c r="H1129" s="297"/>
      <c r="J1129" s="297"/>
      <c r="L1129" s="312"/>
      <c r="N1129" s="297"/>
    </row>
    <row r="1130" spans="1:14" ht="15" customHeight="1" x14ac:dyDescent="0.25">
      <c r="A1130" s="497"/>
      <c r="C1130" s="404"/>
      <c r="E1130" s="308"/>
      <c r="G1130" s="297"/>
      <c r="H1130" s="297"/>
      <c r="J1130" s="297"/>
      <c r="L1130" s="312"/>
      <c r="N1130" s="297"/>
    </row>
    <row r="1131" spans="1:14" ht="15" customHeight="1" x14ac:dyDescent="0.25">
      <c r="A1131" s="497"/>
      <c r="C1131" s="404"/>
      <c r="E1131" s="308"/>
      <c r="G1131" s="297"/>
      <c r="H1131" s="297"/>
      <c r="J1131" s="297"/>
      <c r="L1131" s="312"/>
      <c r="N1131" s="297"/>
    </row>
    <row r="1132" spans="1:14" ht="15" customHeight="1" x14ac:dyDescent="0.25">
      <c r="A1132" s="497"/>
      <c r="C1132" s="404"/>
      <c r="E1132" s="308"/>
      <c r="G1132" s="297"/>
      <c r="H1132" s="297"/>
      <c r="J1132" s="297"/>
      <c r="L1132" s="312"/>
      <c r="N1132" s="297"/>
    </row>
    <row r="1133" spans="1:14" ht="15" customHeight="1" x14ac:dyDescent="0.25">
      <c r="A1133" s="497"/>
      <c r="C1133" s="404"/>
      <c r="E1133" s="308"/>
      <c r="G1133" s="297"/>
      <c r="H1133" s="297"/>
      <c r="J1133" s="297"/>
      <c r="L1133" s="312"/>
      <c r="N1133" s="297"/>
    </row>
    <row r="1134" spans="1:14" ht="15" customHeight="1" x14ac:dyDescent="0.25">
      <c r="A1134" s="497"/>
      <c r="C1134" s="404"/>
      <c r="E1134" s="308"/>
      <c r="G1134" s="297"/>
      <c r="H1134" s="297"/>
      <c r="J1134" s="297"/>
      <c r="L1134" s="312"/>
      <c r="N1134" s="297"/>
    </row>
    <row r="1135" spans="1:14" ht="15" customHeight="1" x14ac:dyDescent="0.25">
      <c r="A1135" s="497"/>
      <c r="C1135" s="404"/>
      <c r="E1135" s="308"/>
      <c r="G1135" s="297"/>
      <c r="H1135" s="297"/>
      <c r="J1135" s="297"/>
      <c r="L1135" s="312"/>
      <c r="N1135" s="297"/>
    </row>
    <row r="1136" spans="1:14" ht="15" customHeight="1" x14ac:dyDescent="0.25">
      <c r="A1136" s="497"/>
      <c r="C1136" s="404"/>
      <c r="E1136" s="308"/>
      <c r="G1136" s="297"/>
      <c r="H1136" s="297"/>
      <c r="J1136" s="297"/>
      <c r="L1136" s="312"/>
      <c r="N1136" s="297"/>
    </row>
    <row r="1137" spans="1:14" ht="15" customHeight="1" x14ac:dyDescent="0.25">
      <c r="A1137" s="497"/>
      <c r="C1137" s="404"/>
      <c r="E1137" s="308"/>
      <c r="G1137" s="297"/>
      <c r="H1137" s="297"/>
      <c r="J1137" s="297"/>
      <c r="L1137" s="312"/>
      <c r="N1137" s="297"/>
    </row>
    <row r="1138" spans="1:14" ht="15" customHeight="1" x14ac:dyDescent="0.25">
      <c r="A1138" s="497"/>
      <c r="C1138" s="404"/>
      <c r="E1138" s="308"/>
      <c r="G1138" s="297"/>
      <c r="H1138" s="297"/>
      <c r="J1138" s="297"/>
      <c r="L1138" s="312"/>
      <c r="N1138" s="297"/>
    </row>
    <row r="1139" spans="1:14" ht="15" customHeight="1" x14ac:dyDescent="0.25">
      <c r="A1139" s="497"/>
      <c r="C1139" s="404"/>
      <c r="E1139" s="308"/>
      <c r="G1139" s="297"/>
      <c r="H1139" s="297"/>
      <c r="J1139" s="297"/>
      <c r="L1139" s="312"/>
      <c r="N1139" s="297"/>
    </row>
    <row r="1140" spans="1:14" ht="15" customHeight="1" x14ac:dyDescent="0.25">
      <c r="A1140" s="497"/>
      <c r="C1140" s="404"/>
      <c r="E1140" s="308"/>
      <c r="G1140" s="297"/>
      <c r="H1140" s="297"/>
      <c r="J1140" s="297"/>
      <c r="L1140" s="312"/>
      <c r="N1140" s="297"/>
    </row>
    <row r="1141" spans="1:14" ht="15" customHeight="1" x14ac:dyDescent="0.25">
      <c r="A1141" s="497"/>
      <c r="C1141" s="404"/>
      <c r="E1141" s="308"/>
      <c r="G1141" s="297"/>
      <c r="H1141" s="297"/>
      <c r="J1141" s="297"/>
      <c r="L1141" s="312"/>
      <c r="N1141" s="297"/>
    </row>
    <row r="1142" spans="1:14" ht="15" customHeight="1" x14ac:dyDescent="0.25">
      <c r="A1142" s="497"/>
      <c r="C1142" s="404"/>
      <c r="E1142" s="308"/>
      <c r="G1142" s="297"/>
      <c r="H1142" s="297"/>
      <c r="J1142" s="297"/>
      <c r="L1142" s="312"/>
      <c r="N1142" s="297"/>
    </row>
    <row r="1143" spans="1:14" ht="15" customHeight="1" x14ac:dyDescent="0.25">
      <c r="A1143" s="497"/>
      <c r="C1143" s="404"/>
      <c r="E1143" s="308"/>
      <c r="G1143" s="297"/>
      <c r="H1143" s="297"/>
      <c r="J1143" s="297"/>
      <c r="L1143" s="312"/>
      <c r="N1143" s="297"/>
    </row>
    <row r="1144" spans="1:14" ht="15" customHeight="1" x14ac:dyDescent="0.25">
      <c r="A1144" s="497"/>
      <c r="C1144" s="404"/>
      <c r="E1144" s="308"/>
      <c r="G1144" s="297"/>
      <c r="H1144" s="297"/>
      <c r="J1144" s="297"/>
      <c r="L1144" s="312"/>
      <c r="N1144" s="297"/>
    </row>
    <row r="1145" spans="1:14" ht="15" customHeight="1" x14ac:dyDescent="0.25">
      <c r="A1145" s="497"/>
      <c r="C1145" s="404"/>
      <c r="E1145" s="308"/>
      <c r="G1145" s="297"/>
      <c r="H1145" s="297"/>
      <c r="J1145" s="297"/>
      <c r="L1145" s="312"/>
      <c r="N1145" s="297"/>
    </row>
    <row r="1146" spans="1:14" ht="15" customHeight="1" x14ac:dyDescent="0.25">
      <c r="A1146" s="497"/>
      <c r="C1146" s="404"/>
      <c r="E1146" s="308"/>
      <c r="G1146" s="297"/>
      <c r="H1146" s="297"/>
      <c r="J1146" s="297"/>
      <c r="L1146" s="312"/>
      <c r="N1146" s="297"/>
    </row>
    <row r="1147" spans="1:14" ht="15" customHeight="1" x14ac:dyDescent="0.25">
      <c r="A1147" s="497"/>
      <c r="C1147" s="404"/>
      <c r="E1147" s="308"/>
      <c r="G1147" s="297"/>
      <c r="H1147" s="297"/>
      <c r="J1147" s="297"/>
      <c r="L1147" s="312"/>
      <c r="N1147" s="297"/>
    </row>
    <row r="1148" spans="1:14" ht="15" customHeight="1" x14ac:dyDescent="0.25">
      <c r="A1148" s="497"/>
      <c r="C1148" s="404"/>
      <c r="E1148" s="308"/>
      <c r="G1148" s="297"/>
      <c r="H1148" s="297"/>
      <c r="J1148" s="297"/>
      <c r="L1148" s="312"/>
      <c r="N1148" s="297"/>
    </row>
    <row r="1149" spans="1:14" ht="15" customHeight="1" x14ac:dyDescent="0.25">
      <c r="A1149" s="497"/>
      <c r="C1149" s="404"/>
      <c r="E1149" s="308"/>
      <c r="G1149" s="297"/>
      <c r="H1149" s="297"/>
      <c r="J1149" s="297"/>
      <c r="L1149" s="312"/>
      <c r="N1149" s="297"/>
    </row>
    <row r="1150" spans="1:14" ht="15" customHeight="1" x14ac:dyDescent="0.25">
      <c r="A1150" s="497"/>
      <c r="C1150" s="404"/>
      <c r="E1150" s="308"/>
      <c r="G1150" s="297"/>
      <c r="H1150" s="297"/>
      <c r="J1150" s="297"/>
      <c r="L1150" s="312"/>
      <c r="N1150" s="297"/>
    </row>
    <row r="1151" spans="1:14" ht="15" customHeight="1" x14ac:dyDescent="0.25">
      <c r="A1151" s="497"/>
      <c r="C1151" s="404"/>
      <c r="E1151" s="308"/>
      <c r="G1151" s="297"/>
      <c r="H1151" s="297"/>
      <c r="J1151" s="297"/>
      <c r="L1151" s="312"/>
      <c r="N1151" s="297"/>
    </row>
    <row r="1152" spans="1:14" ht="15" customHeight="1" x14ac:dyDescent="0.25">
      <c r="A1152" s="497"/>
      <c r="C1152" s="404"/>
      <c r="E1152" s="308"/>
      <c r="G1152" s="297"/>
      <c r="H1152" s="297"/>
      <c r="J1152" s="297"/>
      <c r="L1152" s="312"/>
      <c r="N1152" s="297"/>
    </row>
    <row r="1153" spans="1:14" ht="15" customHeight="1" x14ac:dyDescent="0.25">
      <c r="A1153" s="497"/>
      <c r="C1153" s="404"/>
      <c r="E1153" s="308"/>
      <c r="G1153" s="297"/>
      <c r="H1153" s="297"/>
      <c r="J1153" s="297"/>
      <c r="L1153" s="312"/>
      <c r="N1153" s="297"/>
    </row>
    <row r="1154" spans="1:14" ht="15" customHeight="1" x14ac:dyDescent="0.25">
      <c r="A1154" s="497"/>
      <c r="C1154" s="404"/>
      <c r="E1154" s="308"/>
      <c r="G1154" s="297"/>
      <c r="H1154" s="297"/>
      <c r="J1154" s="297"/>
      <c r="L1154" s="312"/>
      <c r="N1154" s="297"/>
    </row>
    <row r="1155" spans="1:14" ht="15" customHeight="1" x14ac:dyDescent="0.25">
      <c r="A1155" s="497"/>
      <c r="C1155" s="404"/>
      <c r="E1155" s="308"/>
      <c r="G1155" s="297"/>
      <c r="H1155" s="297"/>
      <c r="J1155" s="297"/>
      <c r="L1155" s="312"/>
      <c r="N1155" s="297"/>
    </row>
    <row r="1156" spans="1:14" ht="15" customHeight="1" x14ac:dyDescent="0.25">
      <c r="A1156" s="497"/>
      <c r="C1156" s="404"/>
      <c r="E1156" s="308"/>
      <c r="G1156" s="297"/>
      <c r="H1156" s="297"/>
      <c r="J1156" s="297"/>
      <c r="L1156" s="312"/>
      <c r="N1156" s="297"/>
    </row>
    <row r="1157" spans="1:14" ht="15" customHeight="1" x14ac:dyDescent="0.25">
      <c r="A1157" s="497"/>
      <c r="C1157" s="404"/>
      <c r="E1157" s="308"/>
      <c r="G1157" s="297"/>
      <c r="H1157" s="297"/>
      <c r="J1157" s="297"/>
      <c r="L1157" s="312"/>
      <c r="N1157" s="297"/>
    </row>
    <row r="1158" spans="1:14" ht="15" customHeight="1" x14ac:dyDescent="0.25">
      <c r="A1158" s="497"/>
      <c r="C1158" s="404"/>
      <c r="E1158" s="308"/>
      <c r="G1158" s="297"/>
      <c r="H1158" s="297"/>
      <c r="J1158" s="297"/>
      <c r="L1158" s="312"/>
      <c r="N1158" s="297"/>
    </row>
    <row r="1159" spans="1:14" ht="15" customHeight="1" x14ac:dyDescent="0.25">
      <c r="A1159" s="497"/>
      <c r="C1159" s="404"/>
      <c r="E1159" s="308"/>
      <c r="G1159" s="297"/>
      <c r="H1159" s="297"/>
      <c r="J1159" s="297"/>
      <c r="L1159" s="312"/>
      <c r="N1159" s="297"/>
    </row>
    <row r="1160" spans="1:14" ht="15" customHeight="1" x14ac:dyDescent="0.25">
      <c r="A1160" s="497"/>
      <c r="C1160" s="404"/>
      <c r="E1160" s="308"/>
      <c r="G1160" s="297"/>
      <c r="H1160" s="297"/>
      <c r="J1160" s="297"/>
      <c r="L1160" s="312"/>
      <c r="N1160" s="297"/>
    </row>
    <row r="1161" spans="1:14" ht="15" customHeight="1" x14ac:dyDescent="0.25">
      <c r="A1161" s="497"/>
      <c r="C1161" s="404"/>
      <c r="E1161" s="308"/>
      <c r="G1161" s="297"/>
      <c r="H1161" s="297"/>
      <c r="J1161" s="297"/>
      <c r="L1161" s="312"/>
      <c r="N1161" s="297"/>
    </row>
    <row r="1162" spans="1:14" ht="15" customHeight="1" x14ac:dyDescent="0.25">
      <c r="A1162" s="497"/>
      <c r="C1162" s="404"/>
      <c r="E1162" s="308"/>
      <c r="G1162" s="297"/>
      <c r="H1162" s="297"/>
      <c r="J1162" s="297"/>
      <c r="L1162" s="312"/>
      <c r="N1162" s="297"/>
    </row>
    <row r="1163" spans="1:14" ht="15" customHeight="1" x14ac:dyDescent="0.25">
      <c r="A1163" s="497"/>
      <c r="C1163" s="404"/>
      <c r="E1163" s="308"/>
      <c r="G1163" s="297"/>
      <c r="H1163" s="297"/>
      <c r="J1163" s="297"/>
      <c r="L1163" s="312"/>
      <c r="N1163" s="297"/>
    </row>
    <row r="1164" spans="1:14" ht="15" customHeight="1" x14ac:dyDescent="0.25">
      <c r="A1164" s="497"/>
      <c r="C1164" s="404"/>
      <c r="E1164" s="308"/>
      <c r="G1164" s="297"/>
      <c r="H1164" s="297"/>
      <c r="J1164" s="297"/>
      <c r="L1164" s="312"/>
      <c r="N1164" s="297"/>
    </row>
    <row r="1165" spans="1:14" ht="15" customHeight="1" x14ac:dyDescent="0.25">
      <c r="A1165" s="497"/>
      <c r="C1165" s="404"/>
      <c r="E1165" s="308"/>
      <c r="G1165" s="297"/>
      <c r="H1165" s="297"/>
      <c r="J1165" s="297"/>
      <c r="L1165" s="312"/>
      <c r="N1165" s="297"/>
    </row>
    <row r="1166" spans="1:14" ht="15" customHeight="1" x14ac:dyDescent="0.25">
      <c r="A1166" s="497"/>
      <c r="C1166" s="404"/>
      <c r="E1166" s="308"/>
      <c r="G1166" s="297"/>
      <c r="H1166" s="297"/>
      <c r="J1166" s="297"/>
      <c r="L1166" s="312"/>
      <c r="N1166" s="297"/>
    </row>
    <row r="1167" spans="1:14" ht="15" customHeight="1" x14ac:dyDescent="0.25">
      <c r="A1167" s="497"/>
      <c r="C1167" s="404"/>
      <c r="E1167" s="308"/>
      <c r="G1167" s="297"/>
      <c r="H1167" s="297"/>
      <c r="J1167" s="297"/>
      <c r="L1167" s="312"/>
      <c r="N1167" s="297"/>
    </row>
    <row r="1168" spans="1:14" ht="15" customHeight="1" x14ac:dyDescent="0.25">
      <c r="A1168" s="497"/>
      <c r="C1168" s="404"/>
      <c r="E1168" s="308"/>
      <c r="G1168" s="297"/>
      <c r="H1168" s="297"/>
      <c r="J1168" s="297"/>
      <c r="L1168" s="312"/>
      <c r="N1168" s="297"/>
    </row>
    <row r="1169" spans="1:14" ht="15" customHeight="1" x14ac:dyDescent="0.25">
      <c r="A1169" s="497"/>
      <c r="C1169" s="404"/>
      <c r="E1169" s="308"/>
      <c r="G1169" s="297"/>
      <c r="H1169" s="297"/>
      <c r="J1169" s="297"/>
      <c r="L1169" s="312"/>
      <c r="N1169" s="297"/>
    </row>
    <row r="1170" spans="1:14" ht="15" customHeight="1" x14ac:dyDescent="0.25">
      <c r="A1170" s="497"/>
      <c r="C1170" s="404"/>
      <c r="E1170" s="308"/>
      <c r="G1170" s="297"/>
      <c r="H1170" s="297"/>
      <c r="J1170" s="297"/>
      <c r="L1170" s="312"/>
      <c r="N1170" s="297"/>
    </row>
    <row r="1171" spans="1:14" ht="15" customHeight="1" x14ac:dyDescent="0.25">
      <c r="A1171" s="497"/>
      <c r="C1171" s="404"/>
      <c r="E1171" s="308"/>
      <c r="G1171" s="297"/>
      <c r="H1171" s="297"/>
      <c r="J1171" s="297"/>
      <c r="L1171" s="312"/>
      <c r="N1171" s="297"/>
    </row>
    <row r="1172" spans="1:14" ht="15" customHeight="1" x14ac:dyDescent="0.25">
      <c r="A1172" s="497"/>
      <c r="C1172" s="404"/>
      <c r="E1172" s="308"/>
      <c r="G1172" s="297"/>
      <c r="H1172" s="297"/>
      <c r="J1172" s="297"/>
      <c r="L1172" s="312"/>
      <c r="N1172" s="297"/>
    </row>
    <row r="1173" spans="1:14" ht="15" customHeight="1" x14ac:dyDescent="0.25">
      <c r="A1173" s="497"/>
      <c r="C1173" s="404"/>
      <c r="E1173" s="308"/>
      <c r="G1173" s="297"/>
      <c r="H1173" s="297"/>
      <c r="J1173" s="297"/>
      <c r="L1173" s="312"/>
      <c r="N1173" s="297"/>
    </row>
    <row r="1174" spans="1:14" ht="15" customHeight="1" x14ac:dyDescent="0.25">
      <c r="A1174" s="497"/>
      <c r="C1174" s="404"/>
      <c r="E1174" s="308"/>
      <c r="G1174" s="297"/>
      <c r="H1174" s="297"/>
      <c r="J1174" s="297"/>
      <c r="L1174" s="312"/>
      <c r="N1174" s="297"/>
    </row>
    <row r="1175" spans="1:14" ht="15" customHeight="1" x14ac:dyDescent="0.25">
      <c r="A1175" s="497"/>
      <c r="C1175" s="404"/>
      <c r="E1175" s="308"/>
      <c r="G1175" s="297"/>
      <c r="H1175" s="297"/>
      <c r="J1175" s="297"/>
      <c r="L1175" s="312"/>
      <c r="N1175" s="297"/>
    </row>
    <row r="1176" spans="1:14" ht="15" customHeight="1" x14ac:dyDescent="0.25">
      <c r="A1176" s="497"/>
      <c r="C1176" s="404"/>
      <c r="E1176" s="308"/>
      <c r="G1176" s="297"/>
      <c r="H1176" s="297"/>
      <c r="J1176" s="297"/>
      <c r="L1176" s="312"/>
      <c r="N1176" s="297"/>
    </row>
    <row r="1177" spans="1:14" ht="15" customHeight="1" x14ac:dyDescent="0.25">
      <c r="A1177" s="497"/>
      <c r="C1177" s="404"/>
      <c r="E1177" s="308"/>
      <c r="G1177" s="297"/>
      <c r="H1177" s="297"/>
      <c r="J1177" s="297"/>
      <c r="L1177" s="312"/>
      <c r="N1177" s="297"/>
    </row>
    <row r="1178" spans="1:14" ht="15" customHeight="1" x14ac:dyDescent="0.25">
      <c r="A1178" s="497"/>
      <c r="C1178" s="404"/>
      <c r="E1178" s="308"/>
      <c r="G1178" s="297"/>
      <c r="H1178" s="297"/>
      <c r="J1178" s="297"/>
      <c r="L1178" s="312"/>
      <c r="N1178" s="297"/>
    </row>
    <row r="1179" spans="1:14" ht="15" customHeight="1" x14ac:dyDescent="0.25">
      <c r="A1179" s="497"/>
      <c r="C1179" s="404"/>
      <c r="E1179" s="308"/>
      <c r="G1179" s="297"/>
      <c r="H1179" s="297"/>
      <c r="J1179" s="297"/>
      <c r="L1179" s="312"/>
      <c r="N1179" s="297"/>
    </row>
    <row r="1180" spans="1:14" ht="15" customHeight="1" x14ac:dyDescent="0.25">
      <c r="A1180" s="497"/>
      <c r="C1180" s="404"/>
      <c r="E1180" s="308"/>
      <c r="G1180" s="297"/>
      <c r="H1180" s="297"/>
      <c r="J1180" s="297"/>
      <c r="L1180" s="312"/>
      <c r="N1180" s="297"/>
    </row>
    <row r="1181" spans="1:14" ht="15" customHeight="1" x14ac:dyDescent="0.25">
      <c r="A1181" s="497"/>
      <c r="C1181" s="404"/>
      <c r="E1181" s="308"/>
      <c r="G1181" s="297"/>
      <c r="H1181" s="297"/>
      <c r="J1181" s="297"/>
      <c r="L1181" s="312"/>
      <c r="N1181" s="297"/>
    </row>
    <row r="1182" spans="1:14" ht="15" customHeight="1" x14ac:dyDescent="0.25">
      <c r="A1182" s="497"/>
      <c r="C1182" s="404"/>
      <c r="E1182" s="308"/>
      <c r="G1182" s="297"/>
      <c r="H1182" s="297"/>
      <c r="J1182" s="297"/>
      <c r="L1182" s="312"/>
      <c r="N1182" s="297"/>
    </row>
    <row r="1183" spans="1:14" ht="15" customHeight="1" x14ac:dyDescent="0.25">
      <c r="A1183" s="497"/>
      <c r="C1183" s="404"/>
      <c r="E1183" s="308"/>
      <c r="G1183" s="297"/>
      <c r="H1183" s="297"/>
      <c r="J1183" s="297"/>
      <c r="L1183" s="312"/>
      <c r="N1183" s="297"/>
    </row>
    <row r="1184" spans="1:14" ht="15" customHeight="1" x14ac:dyDescent="0.25">
      <c r="A1184" s="497"/>
      <c r="C1184" s="404"/>
      <c r="E1184" s="308"/>
      <c r="G1184" s="297"/>
      <c r="H1184" s="297"/>
      <c r="J1184" s="297"/>
      <c r="L1184" s="312"/>
      <c r="N1184" s="297"/>
    </row>
    <row r="1185" spans="1:14" ht="15" customHeight="1" x14ac:dyDescent="0.25">
      <c r="A1185" s="497"/>
      <c r="C1185" s="404"/>
      <c r="E1185" s="308"/>
      <c r="G1185" s="297"/>
      <c r="H1185" s="297"/>
      <c r="J1185" s="297"/>
      <c r="L1185" s="312"/>
      <c r="N1185" s="297"/>
    </row>
    <row r="1186" spans="1:14" ht="15" customHeight="1" x14ac:dyDescent="0.25">
      <c r="A1186" s="497"/>
      <c r="C1186" s="404"/>
      <c r="E1186" s="308"/>
      <c r="G1186" s="297"/>
      <c r="H1186" s="297"/>
      <c r="J1186" s="297"/>
      <c r="L1186" s="312"/>
      <c r="N1186" s="297"/>
    </row>
    <row r="1187" spans="1:14" ht="15" customHeight="1" x14ac:dyDescent="0.25">
      <c r="A1187" s="497"/>
      <c r="C1187" s="404"/>
      <c r="E1187" s="308"/>
      <c r="G1187" s="297"/>
      <c r="H1187" s="297"/>
      <c r="J1187" s="297"/>
      <c r="L1187" s="312"/>
      <c r="N1187" s="297"/>
    </row>
    <row r="1188" spans="1:14" ht="15" customHeight="1" x14ac:dyDescent="0.25">
      <c r="A1188" s="497"/>
      <c r="C1188" s="404"/>
      <c r="E1188" s="308"/>
      <c r="G1188" s="297"/>
      <c r="H1188" s="297"/>
      <c r="J1188" s="297"/>
      <c r="L1188" s="312"/>
      <c r="N1188" s="297"/>
    </row>
    <row r="1189" spans="1:14" ht="15" customHeight="1" x14ac:dyDescent="0.25">
      <c r="A1189" s="497"/>
      <c r="C1189" s="404"/>
      <c r="E1189" s="308"/>
      <c r="G1189" s="297"/>
      <c r="H1189" s="297"/>
      <c r="J1189" s="297"/>
      <c r="L1189" s="312"/>
      <c r="N1189" s="297"/>
    </row>
    <row r="1190" spans="1:14" ht="15" customHeight="1" x14ac:dyDescent="0.25">
      <c r="A1190" s="497"/>
      <c r="C1190" s="404"/>
      <c r="E1190" s="308"/>
      <c r="G1190" s="297"/>
      <c r="H1190" s="297"/>
      <c r="J1190" s="297"/>
      <c r="L1190" s="312"/>
      <c r="N1190" s="297"/>
    </row>
    <row r="1191" spans="1:14" ht="15" customHeight="1" x14ac:dyDescent="0.25">
      <c r="A1191" s="497"/>
      <c r="C1191" s="404"/>
      <c r="E1191" s="308"/>
      <c r="G1191" s="297"/>
      <c r="H1191" s="297"/>
      <c r="J1191" s="297"/>
      <c r="L1191" s="312"/>
      <c r="N1191" s="297"/>
    </row>
    <row r="1192" spans="1:14" ht="15" customHeight="1" x14ac:dyDescent="0.25">
      <c r="A1192" s="497"/>
      <c r="C1192" s="404"/>
      <c r="E1192" s="308"/>
      <c r="G1192" s="297"/>
      <c r="H1192" s="297"/>
      <c r="J1192" s="297"/>
      <c r="L1192" s="312"/>
      <c r="N1192" s="297"/>
    </row>
    <row r="1193" spans="1:14" ht="15" customHeight="1" x14ac:dyDescent="0.25">
      <c r="A1193" s="497"/>
      <c r="C1193" s="404"/>
      <c r="E1193" s="308"/>
      <c r="G1193" s="297"/>
      <c r="H1193" s="297"/>
      <c r="J1193" s="297"/>
      <c r="L1193" s="312"/>
      <c r="N1193" s="297"/>
    </row>
    <row r="1194" spans="1:14" ht="15" customHeight="1" x14ac:dyDescent="0.25">
      <c r="A1194" s="497"/>
      <c r="C1194" s="404"/>
      <c r="E1194" s="308"/>
      <c r="G1194" s="297"/>
      <c r="H1194" s="297"/>
      <c r="J1194" s="297"/>
      <c r="L1194" s="312"/>
      <c r="N1194" s="297"/>
    </row>
    <row r="1195" spans="1:14" ht="15" customHeight="1" x14ac:dyDescent="0.25">
      <c r="A1195" s="497"/>
      <c r="C1195" s="404"/>
      <c r="E1195" s="308"/>
      <c r="G1195" s="297"/>
      <c r="H1195" s="297"/>
      <c r="J1195" s="297"/>
      <c r="L1195" s="312"/>
      <c r="N1195" s="297"/>
    </row>
    <row r="1196" spans="1:14" ht="15" customHeight="1" x14ac:dyDescent="0.25">
      <c r="A1196" s="497"/>
      <c r="C1196" s="404"/>
      <c r="E1196" s="308"/>
      <c r="G1196" s="297"/>
      <c r="H1196" s="297"/>
      <c r="J1196" s="297"/>
      <c r="L1196" s="312"/>
      <c r="N1196" s="297"/>
    </row>
    <row r="1197" spans="1:14" ht="15" customHeight="1" x14ac:dyDescent="0.25">
      <c r="A1197" s="497"/>
      <c r="C1197" s="404"/>
      <c r="E1197" s="308"/>
      <c r="G1197" s="297"/>
      <c r="H1197" s="297"/>
      <c r="J1197" s="297"/>
      <c r="L1197" s="312"/>
      <c r="N1197" s="297"/>
    </row>
    <row r="1198" spans="1:14" ht="15" customHeight="1" x14ac:dyDescent="0.25">
      <c r="A1198" s="497"/>
      <c r="C1198" s="404"/>
      <c r="E1198" s="308"/>
      <c r="G1198" s="297"/>
      <c r="H1198" s="297"/>
      <c r="J1198" s="297"/>
      <c r="L1198" s="312"/>
      <c r="N1198" s="297"/>
    </row>
    <row r="1199" spans="1:14" ht="15" customHeight="1" x14ac:dyDescent="0.25">
      <c r="A1199" s="497"/>
      <c r="C1199" s="404"/>
      <c r="E1199" s="308"/>
      <c r="G1199" s="297"/>
      <c r="H1199" s="297"/>
      <c r="J1199" s="297"/>
      <c r="L1199" s="312"/>
      <c r="N1199" s="297"/>
    </row>
    <row r="1200" spans="1:14" ht="15" customHeight="1" x14ac:dyDescent="0.25">
      <c r="A1200" s="497"/>
      <c r="C1200" s="404"/>
      <c r="E1200" s="308"/>
      <c r="G1200" s="297"/>
      <c r="H1200" s="297"/>
      <c r="J1200" s="297"/>
      <c r="L1200" s="312"/>
      <c r="N1200" s="297"/>
    </row>
    <row r="1201" spans="1:14" ht="15" customHeight="1" x14ac:dyDescent="0.25">
      <c r="A1201" s="497"/>
      <c r="C1201" s="404"/>
      <c r="E1201" s="308"/>
      <c r="G1201" s="297"/>
      <c r="H1201" s="297"/>
      <c r="J1201" s="297"/>
      <c r="L1201" s="312"/>
      <c r="N1201" s="297"/>
    </row>
    <row r="1202" spans="1:14" ht="15" customHeight="1" x14ac:dyDescent="0.25">
      <c r="A1202" s="497"/>
      <c r="C1202" s="404"/>
      <c r="E1202" s="308"/>
      <c r="G1202" s="297"/>
      <c r="H1202" s="297"/>
      <c r="J1202" s="297"/>
      <c r="L1202" s="312"/>
      <c r="N1202" s="297"/>
    </row>
    <row r="1203" spans="1:14" ht="15" customHeight="1" x14ac:dyDescent="0.25">
      <c r="A1203" s="497"/>
      <c r="C1203" s="404"/>
      <c r="E1203" s="308"/>
      <c r="G1203" s="297"/>
      <c r="H1203" s="297"/>
      <c r="J1203" s="297"/>
      <c r="L1203" s="312"/>
      <c r="N1203" s="297"/>
    </row>
    <row r="1204" spans="1:14" ht="15" customHeight="1" x14ac:dyDescent="0.25">
      <c r="A1204" s="497"/>
      <c r="C1204" s="404"/>
      <c r="E1204" s="308"/>
      <c r="G1204" s="297"/>
      <c r="H1204" s="297"/>
      <c r="J1204" s="297"/>
      <c r="L1204" s="312"/>
      <c r="N1204" s="297"/>
    </row>
    <row r="1205" spans="1:14" ht="15" customHeight="1" x14ac:dyDescent="0.25">
      <c r="A1205" s="497"/>
      <c r="C1205" s="404"/>
      <c r="E1205" s="308"/>
      <c r="G1205" s="297"/>
      <c r="H1205" s="297"/>
      <c r="J1205" s="297"/>
      <c r="L1205" s="312"/>
      <c r="N1205" s="297"/>
    </row>
    <row r="1206" spans="1:14" ht="15" customHeight="1" x14ac:dyDescent="0.25">
      <c r="A1206" s="497"/>
      <c r="C1206" s="404"/>
      <c r="E1206" s="308"/>
      <c r="G1206" s="297"/>
      <c r="H1206" s="297"/>
      <c r="J1206" s="297"/>
      <c r="L1206" s="312"/>
      <c r="N1206" s="297"/>
    </row>
    <row r="1207" spans="1:14" ht="15" customHeight="1" x14ac:dyDescent="0.25">
      <c r="A1207" s="497"/>
      <c r="C1207" s="404"/>
      <c r="E1207" s="308"/>
      <c r="G1207" s="297"/>
      <c r="H1207" s="297"/>
      <c r="J1207" s="297"/>
      <c r="L1207" s="312"/>
      <c r="N1207" s="297"/>
    </row>
    <row r="1208" spans="1:14" ht="15" customHeight="1" x14ac:dyDescent="0.25">
      <c r="A1208" s="497"/>
      <c r="C1208" s="404"/>
      <c r="E1208" s="308"/>
      <c r="G1208" s="297"/>
      <c r="H1208" s="297"/>
      <c r="J1208" s="297"/>
      <c r="L1208" s="312"/>
      <c r="N1208" s="297"/>
    </row>
    <row r="1209" spans="1:14" ht="15" customHeight="1" x14ac:dyDescent="0.25">
      <c r="A1209" s="497"/>
      <c r="C1209" s="404"/>
      <c r="E1209" s="308"/>
      <c r="G1209" s="297"/>
      <c r="H1209" s="297"/>
      <c r="J1209" s="297"/>
      <c r="L1209" s="312"/>
      <c r="N1209" s="297"/>
    </row>
    <row r="1210" spans="1:14" ht="15" customHeight="1" x14ac:dyDescent="0.25">
      <c r="A1210" s="497"/>
      <c r="C1210" s="404"/>
      <c r="E1210" s="308"/>
      <c r="G1210" s="297"/>
      <c r="H1210" s="297"/>
      <c r="J1210" s="297"/>
      <c r="L1210" s="312"/>
      <c r="N1210" s="297"/>
    </row>
    <row r="1211" spans="1:14" ht="15" customHeight="1" x14ac:dyDescent="0.25">
      <c r="A1211" s="497"/>
      <c r="C1211" s="404"/>
      <c r="E1211" s="308"/>
      <c r="G1211" s="297"/>
      <c r="H1211" s="297"/>
      <c r="J1211" s="297"/>
      <c r="L1211" s="312"/>
      <c r="N1211" s="297"/>
    </row>
    <row r="1212" spans="1:14" ht="15" customHeight="1" x14ac:dyDescent="0.25">
      <c r="A1212" s="497"/>
      <c r="C1212" s="404"/>
      <c r="E1212" s="308"/>
      <c r="G1212" s="297"/>
      <c r="H1212" s="297"/>
      <c r="J1212" s="297"/>
      <c r="L1212" s="312"/>
      <c r="N1212" s="297"/>
    </row>
    <row r="1213" spans="1:14" ht="15" customHeight="1" x14ac:dyDescent="0.25">
      <c r="A1213" s="497"/>
      <c r="C1213" s="404"/>
      <c r="E1213" s="308"/>
      <c r="G1213" s="297"/>
      <c r="H1213" s="297"/>
      <c r="J1213" s="297"/>
      <c r="L1213" s="312"/>
      <c r="N1213" s="297"/>
    </row>
    <row r="1214" spans="1:14" ht="15" customHeight="1" x14ac:dyDescent="0.25">
      <c r="A1214" s="497"/>
      <c r="C1214" s="404"/>
      <c r="E1214" s="308"/>
      <c r="G1214" s="297"/>
      <c r="H1214" s="297"/>
      <c r="J1214" s="297"/>
      <c r="L1214" s="312"/>
      <c r="N1214" s="297"/>
    </row>
    <row r="1215" spans="1:14" ht="15" customHeight="1" x14ac:dyDescent="0.25">
      <c r="A1215" s="497"/>
      <c r="C1215" s="404"/>
      <c r="E1215" s="308"/>
      <c r="G1215" s="297"/>
      <c r="H1215" s="297"/>
      <c r="J1215" s="297"/>
      <c r="L1215" s="312"/>
      <c r="N1215" s="297"/>
    </row>
    <row r="1216" spans="1:14" ht="15" customHeight="1" x14ac:dyDescent="0.25">
      <c r="A1216" s="497"/>
      <c r="C1216" s="404"/>
      <c r="E1216" s="308"/>
      <c r="G1216" s="297"/>
      <c r="H1216" s="297"/>
      <c r="J1216" s="297"/>
      <c r="L1216" s="312"/>
      <c r="N1216" s="297"/>
    </row>
    <row r="1217" spans="1:14" ht="15" customHeight="1" x14ac:dyDescent="0.25">
      <c r="A1217" s="497"/>
      <c r="C1217" s="404"/>
      <c r="E1217" s="308"/>
      <c r="G1217" s="297"/>
      <c r="H1217" s="297"/>
      <c r="J1217" s="297"/>
      <c r="L1217" s="312"/>
      <c r="N1217" s="297"/>
    </row>
    <row r="1218" spans="1:14" ht="15" customHeight="1" x14ac:dyDescent="0.25">
      <c r="A1218" s="497"/>
      <c r="C1218" s="404"/>
      <c r="E1218" s="308"/>
      <c r="G1218" s="297"/>
      <c r="H1218" s="297"/>
      <c r="J1218" s="297"/>
      <c r="L1218" s="312"/>
      <c r="N1218" s="297"/>
    </row>
    <row r="1219" spans="1:14" ht="15" customHeight="1" x14ac:dyDescent="0.25">
      <c r="A1219" s="497"/>
      <c r="C1219" s="404"/>
      <c r="E1219" s="308"/>
      <c r="G1219" s="297"/>
      <c r="H1219" s="297"/>
      <c r="J1219" s="297"/>
      <c r="L1219" s="312"/>
      <c r="N1219" s="297"/>
    </row>
    <row r="1220" spans="1:14" ht="15" customHeight="1" x14ac:dyDescent="0.25">
      <c r="A1220" s="497"/>
      <c r="C1220" s="404"/>
      <c r="E1220" s="308"/>
      <c r="G1220" s="297"/>
      <c r="H1220" s="297"/>
      <c r="J1220" s="297"/>
      <c r="L1220" s="312"/>
      <c r="N1220" s="297"/>
    </row>
    <row r="1221" spans="1:14" ht="15" customHeight="1" x14ac:dyDescent="0.25">
      <c r="A1221" s="497"/>
      <c r="C1221" s="404"/>
      <c r="E1221" s="308"/>
      <c r="G1221" s="297"/>
      <c r="H1221" s="297"/>
      <c r="J1221" s="297"/>
      <c r="L1221" s="312"/>
      <c r="N1221" s="297"/>
    </row>
    <row r="1222" spans="1:14" ht="15" customHeight="1" x14ac:dyDescent="0.25">
      <c r="A1222" s="497"/>
      <c r="C1222" s="404"/>
      <c r="E1222" s="308"/>
      <c r="G1222" s="297"/>
      <c r="H1222" s="297"/>
      <c r="J1222" s="297"/>
      <c r="L1222" s="312"/>
      <c r="N1222" s="297"/>
    </row>
    <row r="1223" spans="1:14" ht="15" customHeight="1" x14ac:dyDescent="0.25">
      <c r="A1223" s="497"/>
      <c r="C1223" s="404"/>
      <c r="E1223" s="308"/>
      <c r="G1223" s="297"/>
      <c r="H1223" s="297"/>
      <c r="J1223" s="297"/>
      <c r="L1223" s="312"/>
      <c r="N1223" s="297"/>
    </row>
    <row r="1224" spans="1:14" ht="15" customHeight="1" x14ac:dyDescent="0.25">
      <c r="A1224" s="497"/>
      <c r="C1224" s="404"/>
      <c r="E1224" s="308"/>
      <c r="G1224" s="297"/>
      <c r="H1224" s="297"/>
      <c r="J1224" s="297"/>
      <c r="L1224" s="312"/>
      <c r="N1224" s="297"/>
    </row>
    <row r="1225" spans="1:14" ht="15" customHeight="1" x14ac:dyDescent="0.25">
      <c r="A1225" s="497"/>
      <c r="C1225" s="404"/>
      <c r="E1225" s="308"/>
      <c r="G1225" s="297"/>
      <c r="H1225" s="297"/>
      <c r="J1225" s="297"/>
      <c r="L1225" s="312"/>
      <c r="N1225" s="297"/>
    </row>
    <row r="1226" spans="1:14" ht="15" customHeight="1" x14ac:dyDescent="0.25">
      <c r="A1226" s="497"/>
      <c r="C1226" s="404"/>
      <c r="E1226" s="308"/>
      <c r="G1226" s="297"/>
      <c r="H1226" s="297"/>
      <c r="J1226" s="297"/>
      <c r="L1226" s="312"/>
      <c r="N1226" s="297"/>
    </row>
    <row r="1227" spans="1:14" ht="15" customHeight="1" x14ac:dyDescent="0.25">
      <c r="A1227" s="497"/>
      <c r="C1227" s="404"/>
      <c r="E1227" s="308"/>
      <c r="G1227" s="297"/>
      <c r="H1227" s="297"/>
      <c r="J1227" s="297"/>
      <c r="L1227" s="312"/>
      <c r="N1227" s="297"/>
    </row>
    <row r="1228" spans="1:14" ht="15" customHeight="1" x14ac:dyDescent="0.25">
      <c r="A1228" s="497"/>
      <c r="C1228" s="404"/>
      <c r="E1228" s="308"/>
      <c r="G1228" s="297"/>
      <c r="H1228" s="297"/>
      <c r="J1228" s="297"/>
      <c r="L1228" s="312"/>
      <c r="N1228" s="297"/>
    </row>
    <row r="1229" spans="1:14" ht="15" customHeight="1" x14ac:dyDescent="0.25">
      <c r="A1229" s="497"/>
      <c r="C1229" s="404"/>
      <c r="E1229" s="308"/>
      <c r="G1229" s="297"/>
      <c r="H1229" s="297"/>
      <c r="J1229" s="297"/>
      <c r="L1229" s="312"/>
      <c r="N1229" s="297"/>
    </row>
    <row r="1230" spans="1:14" ht="15" customHeight="1" x14ac:dyDescent="0.25">
      <c r="A1230" s="497"/>
      <c r="C1230" s="404"/>
      <c r="E1230" s="308"/>
      <c r="G1230" s="297"/>
      <c r="H1230" s="297"/>
      <c r="J1230" s="297"/>
      <c r="L1230" s="312"/>
      <c r="N1230" s="297"/>
    </row>
    <row r="1231" spans="1:14" ht="15" customHeight="1" x14ac:dyDescent="0.25">
      <c r="A1231" s="497"/>
      <c r="C1231" s="404"/>
      <c r="E1231" s="308"/>
      <c r="G1231" s="297"/>
      <c r="H1231" s="297"/>
      <c r="J1231" s="297"/>
      <c r="L1231" s="312"/>
      <c r="N1231" s="297"/>
    </row>
    <row r="1232" spans="1:14" ht="15" customHeight="1" x14ac:dyDescent="0.25">
      <c r="A1232" s="497"/>
      <c r="C1232" s="404"/>
      <c r="E1232" s="308"/>
      <c r="G1232" s="297"/>
      <c r="H1232" s="297"/>
      <c r="J1232" s="297"/>
      <c r="L1232" s="312"/>
      <c r="N1232" s="297"/>
    </row>
    <row r="1233" spans="1:14" ht="15" customHeight="1" x14ac:dyDescent="0.25">
      <c r="A1233" s="497"/>
      <c r="C1233" s="404"/>
      <c r="E1233" s="308"/>
      <c r="G1233" s="297"/>
      <c r="H1233" s="297"/>
      <c r="J1233" s="297"/>
      <c r="L1233" s="312"/>
      <c r="N1233" s="297"/>
    </row>
    <row r="1234" spans="1:14" ht="15" customHeight="1" x14ac:dyDescent="0.25">
      <c r="A1234" s="497"/>
      <c r="C1234" s="404"/>
      <c r="E1234" s="308"/>
      <c r="G1234" s="297"/>
      <c r="H1234" s="297"/>
      <c r="J1234" s="297"/>
      <c r="L1234" s="312"/>
      <c r="N1234" s="297"/>
    </row>
    <row r="1235" spans="1:14" ht="15" customHeight="1" x14ac:dyDescent="0.25">
      <c r="A1235" s="497"/>
      <c r="C1235" s="404"/>
      <c r="E1235" s="308"/>
      <c r="G1235" s="297"/>
      <c r="H1235" s="297"/>
      <c r="J1235" s="297"/>
      <c r="L1235" s="312"/>
      <c r="N1235" s="297"/>
    </row>
    <row r="1236" spans="1:14" ht="15" customHeight="1" x14ac:dyDescent="0.25">
      <c r="A1236" s="497"/>
      <c r="C1236" s="404"/>
      <c r="E1236" s="308"/>
      <c r="G1236" s="297"/>
      <c r="H1236" s="297"/>
      <c r="J1236" s="297"/>
      <c r="L1236" s="312"/>
      <c r="N1236" s="297"/>
    </row>
    <row r="1237" spans="1:14" ht="15" customHeight="1" x14ac:dyDescent="0.25">
      <c r="A1237" s="497"/>
      <c r="C1237" s="404"/>
      <c r="E1237" s="308"/>
      <c r="G1237" s="297"/>
      <c r="H1237" s="297"/>
      <c r="J1237" s="297"/>
      <c r="L1237" s="312"/>
      <c r="N1237" s="297"/>
    </row>
    <row r="1238" spans="1:14" ht="15" customHeight="1" x14ac:dyDescent="0.25">
      <c r="A1238" s="497"/>
      <c r="C1238" s="404"/>
      <c r="E1238" s="308"/>
      <c r="G1238" s="297"/>
      <c r="H1238" s="297"/>
      <c r="J1238" s="297"/>
      <c r="L1238" s="312"/>
      <c r="N1238" s="297"/>
    </row>
    <row r="1239" spans="1:14" ht="15" customHeight="1" x14ac:dyDescent="0.25">
      <c r="A1239" s="497"/>
      <c r="C1239" s="404"/>
      <c r="E1239" s="308"/>
      <c r="G1239" s="297"/>
      <c r="H1239" s="297"/>
      <c r="J1239" s="297"/>
      <c r="L1239" s="312"/>
      <c r="N1239" s="297"/>
    </row>
    <row r="1240" spans="1:14" ht="15" customHeight="1" x14ac:dyDescent="0.25">
      <c r="A1240" s="497"/>
      <c r="C1240" s="404"/>
      <c r="E1240" s="308"/>
      <c r="G1240" s="297"/>
      <c r="H1240" s="297"/>
      <c r="J1240" s="297"/>
      <c r="L1240" s="312"/>
      <c r="N1240" s="297"/>
    </row>
    <row r="1241" spans="1:14" ht="15" customHeight="1" x14ac:dyDescent="0.25">
      <c r="A1241" s="497"/>
      <c r="C1241" s="404"/>
      <c r="E1241" s="308"/>
      <c r="G1241" s="297"/>
      <c r="H1241" s="297"/>
      <c r="J1241" s="297"/>
      <c r="L1241" s="312"/>
      <c r="N1241" s="297"/>
    </row>
    <row r="1242" spans="1:14" ht="15" customHeight="1" x14ac:dyDescent="0.25">
      <c r="A1242" s="497"/>
      <c r="C1242" s="404"/>
      <c r="E1242" s="308"/>
      <c r="G1242" s="297"/>
      <c r="H1242" s="297"/>
      <c r="J1242" s="297"/>
      <c r="L1242" s="312"/>
      <c r="N1242" s="297"/>
    </row>
    <row r="1243" spans="1:14" ht="15" customHeight="1" x14ac:dyDescent="0.25">
      <c r="A1243" s="497"/>
      <c r="C1243" s="404"/>
      <c r="E1243" s="308"/>
      <c r="G1243" s="297"/>
      <c r="H1243" s="297"/>
      <c r="J1243" s="297"/>
      <c r="L1243" s="312"/>
      <c r="N1243" s="297"/>
    </row>
    <row r="1244" spans="1:14" ht="15" customHeight="1" x14ac:dyDescent="0.25">
      <c r="A1244" s="497"/>
      <c r="C1244" s="404"/>
      <c r="E1244" s="308"/>
      <c r="G1244" s="297"/>
      <c r="H1244" s="297"/>
      <c r="J1244" s="297"/>
      <c r="L1244" s="312"/>
      <c r="N1244" s="297"/>
    </row>
    <row r="1245" spans="1:14" ht="15" customHeight="1" x14ac:dyDescent="0.25">
      <c r="A1245" s="497"/>
      <c r="C1245" s="404"/>
      <c r="E1245" s="308"/>
      <c r="G1245" s="297"/>
      <c r="H1245" s="297"/>
      <c r="J1245" s="297"/>
      <c r="L1245" s="312"/>
      <c r="N1245" s="297"/>
    </row>
    <row r="1246" spans="1:14" ht="15" customHeight="1" x14ac:dyDescent="0.25">
      <c r="A1246" s="497"/>
      <c r="C1246" s="404"/>
      <c r="E1246" s="308"/>
      <c r="G1246" s="297"/>
      <c r="H1246" s="297"/>
      <c r="J1246" s="297"/>
      <c r="L1246" s="312"/>
      <c r="N1246" s="297"/>
    </row>
    <row r="1247" spans="1:14" ht="15" customHeight="1" x14ac:dyDescent="0.25">
      <c r="A1247" s="497"/>
      <c r="C1247" s="404"/>
      <c r="E1247" s="308"/>
      <c r="G1247" s="297"/>
      <c r="H1247" s="297"/>
      <c r="J1247" s="297"/>
      <c r="L1247" s="312"/>
      <c r="N1247" s="297"/>
    </row>
    <row r="1248" spans="1:14" ht="15" customHeight="1" x14ac:dyDescent="0.25">
      <c r="A1248" s="497"/>
      <c r="C1248" s="404"/>
      <c r="E1248" s="308"/>
      <c r="G1248" s="297"/>
      <c r="H1248" s="297"/>
      <c r="J1248" s="297"/>
      <c r="L1248" s="312"/>
      <c r="N1248" s="297"/>
    </row>
    <row r="1249" spans="1:14" ht="15" customHeight="1" x14ac:dyDescent="0.25">
      <c r="A1249" s="497"/>
      <c r="C1249" s="404"/>
      <c r="E1249" s="308"/>
      <c r="G1249" s="297"/>
      <c r="H1249" s="297"/>
      <c r="J1249" s="297"/>
      <c r="L1249" s="312"/>
      <c r="N1249" s="297"/>
    </row>
    <row r="1250" spans="1:14" ht="15" customHeight="1" x14ac:dyDescent="0.25">
      <c r="A1250" s="497"/>
      <c r="C1250" s="404"/>
      <c r="E1250" s="308"/>
      <c r="G1250" s="297"/>
      <c r="H1250" s="297"/>
      <c r="J1250" s="297"/>
      <c r="L1250" s="312"/>
      <c r="N1250" s="297"/>
    </row>
    <row r="1251" spans="1:14" ht="15" customHeight="1" x14ac:dyDescent="0.25">
      <c r="A1251" s="497"/>
      <c r="C1251" s="404"/>
      <c r="E1251" s="308"/>
      <c r="G1251" s="297"/>
      <c r="H1251" s="297"/>
      <c r="J1251" s="297"/>
      <c r="L1251" s="312"/>
      <c r="N1251" s="297"/>
    </row>
    <row r="1252" spans="1:14" ht="15" customHeight="1" x14ac:dyDescent="0.25">
      <c r="A1252" s="497"/>
      <c r="C1252" s="404"/>
      <c r="E1252" s="308"/>
      <c r="G1252" s="297"/>
      <c r="H1252" s="297"/>
      <c r="J1252" s="297"/>
      <c r="L1252" s="312"/>
      <c r="N1252" s="297"/>
    </row>
    <row r="1253" spans="1:14" ht="15" customHeight="1" x14ac:dyDescent="0.25">
      <c r="A1253" s="497"/>
      <c r="C1253" s="404"/>
      <c r="E1253" s="308"/>
      <c r="G1253" s="297"/>
      <c r="H1253" s="297"/>
      <c r="J1253" s="297"/>
      <c r="L1253" s="312"/>
      <c r="N1253" s="297"/>
    </row>
    <row r="1254" spans="1:14" ht="15" customHeight="1" x14ac:dyDescent="0.25">
      <c r="A1254" s="497"/>
      <c r="C1254" s="404"/>
      <c r="E1254" s="308"/>
      <c r="G1254" s="297"/>
      <c r="H1254" s="297"/>
      <c r="J1254" s="297"/>
      <c r="L1254" s="312"/>
      <c r="N1254" s="297"/>
    </row>
    <row r="1255" spans="1:14" ht="15" customHeight="1" x14ac:dyDescent="0.25">
      <c r="A1255" s="497"/>
      <c r="C1255" s="404"/>
      <c r="E1255" s="308"/>
      <c r="G1255" s="297"/>
      <c r="H1255" s="297"/>
      <c r="J1255" s="297"/>
      <c r="L1255" s="312"/>
      <c r="N1255" s="297"/>
    </row>
    <row r="1256" spans="1:14" ht="15" customHeight="1" x14ac:dyDescent="0.25">
      <c r="A1256" s="497"/>
      <c r="C1256" s="404"/>
      <c r="E1256" s="308"/>
      <c r="G1256" s="297"/>
      <c r="H1256" s="297"/>
      <c r="J1256" s="297"/>
      <c r="L1256" s="312"/>
      <c r="N1256" s="297"/>
    </row>
    <row r="1257" spans="1:14" ht="15" customHeight="1" x14ac:dyDescent="0.25">
      <c r="A1257" s="497"/>
      <c r="C1257" s="404"/>
      <c r="E1257" s="308"/>
      <c r="G1257" s="297"/>
      <c r="H1257" s="297"/>
      <c r="J1257" s="297"/>
      <c r="L1257" s="312"/>
      <c r="N1257" s="297"/>
    </row>
    <row r="1258" spans="1:14" ht="15" customHeight="1" x14ac:dyDescent="0.25">
      <c r="A1258" s="497"/>
      <c r="C1258" s="404"/>
      <c r="E1258" s="308"/>
      <c r="G1258" s="297"/>
      <c r="H1258" s="297"/>
      <c r="J1258" s="297"/>
      <c r="L1258" s="312"/>
      <c r="N1258" s="297"/>
    </row>
    <row r="1259" spans="1:14" ht="15" customHeight="1" x14ac:dyDescent="0.25">
      <c r="A1259" s="497"/>
      <c r="C1259" s="404"/>
      <c r="E1259" s="308"/>
      <c r="G1259" s="297"/>
      <c r="H1259" s="297"/>
      <c r="J1259" s="297"/>
      <c r="L1259" s="312"/>
      <c r="N1259" s="297"/>
    </row>
    <row r="1260" spans="1:14" ht="15" customHeight="1" x14ac:dyDescent="0.25">
      <c r="A1260" s="497"/>
      <c r="C1260" s="404"/>
      <c r="E1260" s="308"/>
      <c r="G1260" s="297"/>
      <c r="H1260" s="297"/>
      <c r="J1260" s="297"/>
      <c r="L1260" s="312"/>
      <c r="N1260" s="297"/>
    </row>
    <row r="1261" spans="1:14" ht="15" customHeight="1" x14ac:dyDescent="0.25">
      <c r="A1261" s="497"/>
      <c r="C1261" s="404"/>
      <c r="E1261" s="308"/>
      <c r="G1261" s="297"/>
      <c r="H1261" s="297"/>
      <c r="J1261" s="297"/>
      <c r="L1261" s="312"/>
      <c r="N1261" s="297"/>
    </row>
    <row r="1262" spans="1:14" ht="15" customHeight="1" x14ac:dyDescent="0.25">
      <c r="A1262" s="497"/>
      <c r="C1262" s="404"/>
      <c r="E1262" s="308"/>
      <c r="G1262" s="297"/>
      <c r="H1262" s="297"/>
      <c r="J1262" s="297"/>
      <c r="L1262" s="312"/>
      <c r="N1262" s="297"/>
    </row>
    <row r="1263" spans="1:14" ht="15" customHeight="1" x14ac:dyDescent="0.25">
      <c r="A1263" s="497"/>
      <c r="C1263" s="404"/>
      <c r="E1263" s="308"/>
      <c r="G1263" s="297"/>
      <c r="H1263" s="297"/>
      <c r="J1263" s="297"/>
      <c r="L1263" s="312"/>
      <c r="N1263" s="297"/>
    </row>
    <row r="1264" spans="1:14" ht="15" customHeight="1" x14ac:dyDescent="0.25">
      <c r="A1264" s="497"/>
      <c r="C1264" s="404"/>
      <c r="E1264" s="308"/>
      <c r="G1264" s="297"/>
      <c r="H1264" s="297"/>
      <c r="J1264" s="297"/>
      <c r="L1264" s="312"/>
      <c r="N1264" s="297"/>
    </row>
    <row r="1265" spans="1:14" ht="15" customHeight="1" x14ac:dyDescent="0.25">
      <c r="A1265" s="497"/>
      <c r="C1265" s="404"/>
      <c r="E1265" s="308"/>
      <c r="G1265" s="297"/>
      <c r="H1265" s="297"/>
      <c r="J1265" s="297"/>
      <c r="L1265" s="312"/>
      <c r="N1265" s="297"/>
    </row>
    <row r="1266" spans="1:14" ht="15" customHeight="1" x14ac:dyDescent="0.25">
      <c r="A1266" s="497"/>
      <c r="C1266" s="404"/>
      <c r="E1266" s="308"/>
      <c r="G1266" s="297"/>
      <c r="H1266" s="297"/>
      <c r="J1266" s="297"/>
      <c r="L1266" s="312"/>
      <c r="N1266" s="297"/>
    </row>
    <row r="1267" spans="1:14" ht="15" customHeight="1" x14ac:dyDescent="0.25">
      <c r="A1267" s="497"/>
      <c r="C1267" s="404"/>
      <c r="E1267" s="308"/>
      <c r="G1267" s="297"/>
      <c r="H1267" s="297"/>
      <c r="J1267" s="297"/>
      <c r="L1267" s="312"/>
      <c r="N1267" s="297"/>
    </row>
    <row r="1268" spans="1:14" ht="15" customHeight="1" x14ac:dyDescent="0.25">
      <c r="A1268" s="497"/>
      <c r="C1268" s="404"/>
      <c r="E1268" s="308"/>
      <c r="G1268" s="297"/>
      <c r="H1268" s="297"/>
      <c r="J1268" s="297"/>
      <c r="L1268" s="312"/>
      <c r="N1268" s="297"/>
    </row>
    <row r="1269" spans="1:14" ht="15" customHeight="1" x14ac:dyDescent="0.25">
      <c r="A1269" s="497"/>
      <c r="C1269" s="404"/>
      <c r="E1269" s="308"/>
      <c r="G1269" s="297"/>
      <c r="H1269" s="297"/>
      <c r="J1269" s="297"/>
      <c r="L1269" s="312"/>
      <c r="N1269" s="297"/>
    </row>
    <row r="1270" spans="1:14" ht="15" customHeight="1" x14ac:dyDescent="0.25">
      <c r="A1270" s="497"/>
      <c r="C1270" s="404"/>
      <c r="E1270" s="308"/>
      <c r="G1270" s="297"/>
      <c r="H1270" s="297"/>
      <c r="J1270" s="297"/>
      <c r="L1270" s="312"/>
      <c r="N1270" s="297"/>
    </row>
    <row r="1271" spans="1:14" ht="15" customHeight="1" x14ac:dyDescent="0.25">
      <c r="A1271" s="497"/>
      <c r="C1271" s="404"/>
      <c r="E1271" s="308"/>
      <c r="G1271" s="297"/>
      <c r="H1271" s="297"/>
      <c r="J1271" s="297"/>
      <c r="L1271" s="312"/>
      <c r="N1271" s="297"/>
    </row>
    <row r="1272" spans="1:14" ht="15" customHeight="1" x14ac:dyDescent="0.25">
      <c r="A1272" s="497"/>
      <c r="C1272" s="404"/>
      <c r="E1272" s="308"/>
      <c r="G1272" s="297"/>
      <c r="H1272" s="297"/>
      <c r="J1272" s="297"/>
      <c r="L1272" s="312"/>
      <c r="N1272" s="297"/>
    </row>
    <row r="1273" spans="1:14" ht="15" customHeight="1" x14ac:dyDescent="0.25">
      <c r="A1273" s="497"/>
      <c r="C1273" s="404"/>
      <c r="E1273" s="308"/>
      <c r="G1273" s="297"/>
      <c r="H1273" s="297"/>
      <c r="J1273" s="297"/>
      <c r="L1273" s="312"/>
      <c r="N1273" s="297"/>
    </row>
    <row r="1274" spans="1:14" ht="15" customHeight="1" x14ac:dyDescent="0.25">
      <c r="A1274" s="497"/>
      <c r="C1274" s="404"/>
      <c r="E1274" s="308"/>
      <c r="G1274" s="297"/>
      <c r="H1274" s="297"/>
      <c r="J1274" s="297"/>
      <c r="L1274" s="312"/>
      <c r="N1274" s="297"/>
    </row>
    <row r="1275" spans="1:14" ht="15" customHeight="1" x14ac:dyDescent="0.25">
      <c r="A1275" s="497"/>
      <c r="C1275" s="404"/>
      <c r="E1275" s="308"/>
      <c r="G1275" s="297"/>
      <c r="H1275" s="297"/>
      <c r="J1275" s="297"/>
      <c r="L1275" s="312"/>
      <c r="N1275" s="297"/>
    </row>
    <row r="1276" spans="1:14" ht="15" customHeight="1" x14ac:dyDescent="0.25">
      <c r="A1276" s="497"/>
      <c r="C1276" s="404"/>
      <c r="E1276" s="308"/>
      <c r="G1276" s="297"/>
      <c r="H1276" s="297"/>
      <c r="J1276" s="297"/>
      <c r="L1276" s="312"/>
      <c r="N1276" s="297"/>
    </row>
    <row r="1277" spans="1:14" ht="15" customHeight="1" x14ac:dyDescent="0.25">
      <c r="A1277" s="497"/>
      <c r="C1277" s="404"/>
      <c r="E1277" s="308"/>
      <c r="G1277" s="297"/>
      <c r="H1277" s="297"/>
      <c r="J1277" s="297"/>
      <c r="L1277" s="312"/>
      <c r="N1277" s="297"/>
    </row>
    <row r="1278" spans="1:14" ht="15" customHeight="1" x14ac:dyDescent="0.25">
      <c r="A1278" s="497"/>
      <c r="C1278" s="404"/>
      <c r="E1278" s="308"/>
      <c r="G1278" s="297"/>
      <c r="H1278" s="297"/>
      <c r="J1278" s="297"/>
      <c r="L1278" s="312"/>
      <c r="N1278" s="297"/>
    </row>
    <row r="1279" spans="1:14" ht="15" customHeight="1" x14ac:dyDescent="0.25">
      <c r="A1279" s="497"/>
      <c r="C1279" s="404"/>
      <c r="E1279" s="308"/>
      <c r="G1279" s="297"/>
      <c r="H1279" s="297"/>
      <c r="J1279" s="297"/>
      <c r="L1279" s="312"/>
      <c r="N1279" s="297"/>
    </row>
    <row r="1280" spans="1:14" ht="15" customHeight="1" x14ac:dyDescent="0.25">
      <c r="A1280" s="497"/>
      <c r="C1280" s="404"/>
      <c r="E1280" s="308"/>
      <c r="G1280" s="297"/>
      <c r="H1280" s="297"/>
      <c r="J1280" s="297"/>
      <c r="L1280" s="312"/>
      <c r="N1280" s="297"/>
    </row>
    <row r="1281" spans="1:14" ht="15" customHeight="1" x14ac:dyDescent="0.25">
      <c r="A1281" s="497"/>
      <c r="C1281" s="404"/>
      <c r="E1281" s="308"/>
      <c r="G1281" s="297"/>
      <c r="H1281" s="297"/>
      <c r="J1281" s="297"/>
      <c r="L1281" s="312"/>
      <c r="N1281" s="297"/>
    </row>
    <row r="1282" spans="1:14" ht="15" customHeight="1" x14ac:dyDescent="0.25">
      <c r="A1282" s="497"/>
      <c r="C1282" s="404"/>
      <c r="E1282" s="308"/>
      <c r="G1282" s="297"/>
      <c r="H1282" s="297"/>
      <c r="J1282" s="297"/>
      <c r="L1282" s="312"/>
      <c r="N1282" s="297"/>
    </row>
    <row r="1283" spans="1:14" ht="15" customHeight="1" x14ac:dyDescent="0.25">
      <c r="A1283" s="497"/>
      <c r="C1283" s="404"/>
      <c r="E1283" s="308"/>
      <c r="G1283" s="297"/>
      <c r="H1283" s="297"/>
      <c r="J1283" s="297"/>
      <c r="L1283" s="312"/>
      <c r="N1283" s="297"/>
    </row>
    <row r="1284" spans="1:14" ht="15" customHeight="1" x14ac:dyDescent="0.25">
      <c r="A1284" s="497"/>
      <c r="C1284" s="404"/>
      <c r="E1284" s="308"/>
      <c r="G1284" s="297"/>
      <c r="H1284" s="297"/>
      <c r="J1284" s="297"/>
      <c r="L1284" s="312"/>
      <c r="N1284" s="297"/>
    </row>
    <row r="1285" spans="1:14" ht="15" customHeight="1" x14ac:dyDescent="0.25">
      <c r="A1285" s="497"/>
      <c r="C1285" s="404"/>
      <c r="E1285" s="308"/>
      <c r="G1285" s="297"/>
      <c r="H1285" s="297"/>
      <c r="J1285" s="297"/>
      <c r="L1285" s="312"/>
      <c r="N1285" s="297"/>
    </row>
    <row r="1286" spans="1:14" ht="15" customHeight="1" x14ac:dyDescent="0.25">
      <c r="A1286" s="497"/>
      <c r="C1286" s="404"/>
      <c r="E1286" s="308"/>
      <c r="G1286" s="297"/>
      <c r="H1286" s="297"/>
      <c r="J1286" s="297"/>
      <c r="L1286" s="312"/>
      <c r="N1286" s="297"/>
    </row>
    <row r="1287" spans="1:14" ht="15" customHeight="1" x14ac:dyDescent="0.25">
      <c r="A1287" s="497"/>
      <c r="C1287" s="404"/>
      <c r="E1287" s="308"/>
      <c r="G1287" s="297"/>
      <c r="H1287" s="297"/>
      <c r="J1287" s="297"/>
      <c r="L1287" s="312"/>
      <c r="N1287" s="297"/>
    </row>
    <row r="1288" spans="1:14" ht="15" customHeight="1" x14ac:dyDescent="0.25">
      <c r="A1288" s="497"/>
      <c r="C1288" s="404"/>
      <c r="E1288" s="308"/>
      <c r="G1288" s="297"/>
      <c r="H1288" s="297"/>
      <c r="J1288" s="297"/>
      <c r="L1288" s="312"/>
      <c r="N1288" s="297"/>
    </row>
    <row r="1289" spans="1:14" ht="15" customHeight="1" x14ac:dyDescent="0.25">
      <c r="A1289" s="497"/>
      <c r="C1289" s="404"/>
      <c r="E1289" s="308"/>
      <c r="G1289" s="297"/>
      <c r="H1289" s="297"/>
      <c r="J1289" s="297"/>
      <c r="L1289" s="312"/>
      <c r="N1289" s="297"/>
    </row>
    <row r="1290" spans="1:14" ht="15" customHeight="1" x14ac:dyDescent="0.25">
      <c r="A1290" s="497"/>
      <c r="C1290" s="404"/>
      <c r="E1290" s="308"/>
      <c r="G1290" s="297"/>
      <c r="H1290" s="297"/>
      <c r="J1290" s="297"/>
      <c r="L1290" s="312"/>
      <c r="N1290" s="297"/>
    </row>
    <row r="1291" spans="1:14" ht="15" customHeight="1" x14ac:dyDescent="0.25">
      <c r="A1291" s="497"/>
      <c r="C1291" s="404"/>
      <c r="E1291" s="308"/>
      <c r="G1291" s="297"/>
      <c r="H1291" s="297"/>
      <c r="J1291" s="297"/>
      <c r="L1291" s="312"/>
      <c r="N1291" s="297"/>
    </row>
    <row r="1292" spans="1:14" ht="15" customHeight="1" x14ac:dyDescent="0.25">
      <c r="A1292" s="497"/>
      <c r="C1292" s="404"/>
      <c r="E1292" s="308"/>
      <c r="G1292" s="297"/>
      <c r="H1292" s="297"/>
      <c r="J1292" s="297"/>
      <c r="L1292" s="312"/>
      <c r="N1292" s="297"/>
    </row>
    <row r="1293" spans="1:14" ht="15" customHeight="1" x14ac:dyDescent="0.25">
      <c r="A1293" s="497"/>
      <c r="C1293" s="404"/>
      <c r="E1293" s="308"/>
      <c r="G1293" s="297"/>
      <c r="H1293" s="297"/>
      <c r="J1293" s="297"/>
      <c r="L1293" s="312"/>
      <c r="N1293" s="297"/>
    </row>
    <row r="1294" spans="1:14" ht="15" customHeight="1" x14ac:dyDescent="0.25">
      <c r="A1294" s="497"/>
      <c r="C1294" s="404"/>
      <c r="E1294" s="308"/>
      <c r="G1294" s="297"/>
      <c r="H1294" s="297"/>
      <c r="J1294" s="297"/>
      <c r="L1294" s="312"/>
      <c r="N1294" s="297"/>
    </row>
    <row r="1295" spans="1:14" ht="15" customHeight="1" x14ac:dyDescent="0.25">
      <c r="A1295" s="497"/>
      <c r="C1295" s="404"/>
      <c r="E1295" s="308"/>
      <c r="G1295" s="297"/>
      <c r="H1295" s="297"/>
      <c r="J1295" s="297"/>
      <c r="L1295" s="312"/>
      <c r="N1295" s="297"/>
    </row>
    <row r="1296" spans="1:14" ht="15" customHeight="1" x14ac:dyDescent="0.25">
      <c r="A1296" s="497"/>
      <c r="C1296" s="404"/>
      <c r="E1296" s="308"/>
      <c r="G1296" s="297"/>
      <c r="H1296" s="297"/>
      <c r="J1296" s="297"/>
      <c r="L1296" s="312"/>
      <c r="N1296" s="297"/>
    </row>
    <row r="1297" spans="1:14" ht="15" customHeight="1" x14ac:dyDescent="0.25">
      <c r="A1297" s="497"/>
      <c r="C1297" s="404"/>
      <c r="E1297" s="308"/>
      <c r="G1297" s="297"/>
      <c r="H1297" s="297"/>
      <c r="J1297" s="297"/>
      <c r="L1297" s="312"/>
      <c r="N1297" s="297"/>
    </row>
    <row r="1298" spans="1:14" ht="15" customHeight="1" x14ac:dyDescent="0.25">
      <c r="A1298" s="497"/>
      <c r="C1298" s="404"/>
      <c r="E1298" s="308"/>
      <c r="G1298" s="297"/>
      <c r="H1298" s="297"/>
      <c r="J1298" s="297"/>
      <c r="L1298" s="312"/>
      <c r="N1298" s="297"/>
    </row>
    <row r="1299" spans="1:14" ht="15" customHeight="1" x14ac:dyDescent="0.25">
      <c r="A1299" s="497"/>
      <c r="C1299" s="404"/>
      <c r="E1299" s="308"/>
      <c r="G1299" s="297"/>
      <c r="H1299" s="297"/>
      <c r="J1299" s="297"/>
      <c r="L1299" s="312"/>
      <c r="N1299" s="297"/>
    </row>
    <row r="1300" spans="1:14" ht="15" customHeight="1" x14ac:dyDescent="0.25">
      <c r="A1300" s="497"/>
      <c r="C1300" s="404"/>
      <c r="E1300" s="308"/>
      <c r="G1300" s="297"/>
      <c r="H1300" s="297"/>
      <c r="J1300" s="297"/>
      <c r="L1300" s="312"/>
      <c r="N1300" s="297"/>
    </row>
    <row r="1301" spans="1:14" ht="15" customHeight="1" x14ac:dyDescent="0.25">
      <c r="A1301" s="497"/>
      <c r="C1301" s="404"/>
      <c r="E1301" s="308"/>
      <c r="G1301" s="297"/>
      <c r="H1301" s="297"/>
      <c r="J1301" s="297"/>
      <c r="L1301" s="312"/>
      <c r="N1301" s="297"/>
    </row>
    <row r="1302" spans="1:14" ht="15" customHeight="1" x14ac:dyDescent="0.25">
      <c r="A1302" s="497"/>
      <c r="C1302" s="404"/>
      <c r="E1302" s="308"/>
      <c r="G1302" s="297"/>
      <c r="H1302" s="297"/>
      <c r="J1302" s="297"/>
      <c r="L1302" s="312"/>
      <c r="N1302" s="297"/>
    </row>
    <row r="1303" spans="1:14" ht="15" customHeight="1" x14ac:dyDescent="0.25">
      <c r="A1303" s="497"/>
      <c r="C1303" s="404"/>
      <c r="E1303" s="308"/>
      <c r="G1303" s="297"/>
      <c r="H1303" s="297"/>
      <c r="J1303" s="297"/>
      <c r="L1303" s="312"/>
      <c r="N1303" s="297"/>
    </row>
    <row r="1304" spans="1:14" ht="15" customHeight="1" x14ac:dyDescent="0.25">
      <c r="A1304" s="497"/>
      <c r="C1304" s="404"/>
      <c r="E1304" s="308"/>
      <c r="G1304" s="297"/>
      <c r="H1304" s="297"/>
      <c r="J1304" s="297"/>
      <c r="L1304" s="312"/>
      <c r="N1304" s="297"/>
    </row>
    <row r="1305" spans="1:14" ht="15" customHeight="1" x14ac:dyDescent="0.25">
      <c r="A1305" s="497"/>
      <c r="C1305" s="404"/>
      <c r="E1305" s="308"/>
      <c r="G1305" s="297"/>
      <c r="H1305" s="297"/>
      <c r="J1305" s="297"/>
      <c r="L1305" s="312"/>
      <c r="N1305" s="297"/>
    </row>
    <row r="1306" spans="1:14" ht="15" customHeight="1" x14ac:dyDescent="0.25">
      <c r="A1306" s="497"/>
      <c r="C1306" s="404"/>
      <c r="E1306" s="308"/>
      <c r="G1306" s="297"/>
      <c r="H1306" s="297"/>
      <c r="J1306" s="297"/>
      <c r="L1306" s="312"/>
      <c r="N1306" s="297"/>
    </row>
    <row r="1307" spans="1:14" ht="15" customHeight="1" x14ac:dyDescent="0.25">
      <c r="A1307" s="497"/>
      <c r="C1307" s="404"/>
      <c r="E1307" s="308"/>
      <c r="G1307" s="297"/>
      <c r="H1307" s="297"/>
      <c r="J1307" s="297"/>
      <c r="L1307" s="312"/>
      <c r="N1307" s="297"/>
    </row>
    <row r="1308" spans="1:14" ht="15" customHeight="1" x14ac:dyDescent="0.25">
      <c r="A1308" s="497"/>
      <c r="C1308" s="404"/>
      <c r="E1308" s="308"/>
      <c r="G1308" s="297"/>
      <c r="H1308" s="297"/>
      <c r="J1308" s="297"/>
      <c r="L1308" s="312"/>
      <c r="N1308" s="297"/>
    </row>
    <row r="1309" spans="1:14" ht="15" customHeight="1" x14ac:dyDescent="0.25">
      <c r="A1309" s="497"/>
      <c r="C1309" s="404"/>
      <c r="E1309" s="308"/>
      <c r="G1309" s="297"/>
      <c r="H1309" s="297"/>
      <c r="J1309" s="297"/>
      <c r="L1309" s="312"/>
      <c r="N1309" s="297"/>
    </row>
    <row r="1310" spans="1:14" ht="15" customHeight="1" x14ac:dyDescent="0.25">
      <c r="A1310" s="497"/>
      <c r="C1310" s="404"/>
      <c r="E1310" s="308"/>
      <c r="G1310" s="297"/>
      <c r="H1310" s="297"/>
      <c r="J1310" s="297"/>
      <c r="L1310" s="312"/>
      <c r="N1310" s="297"/>
    </row>
    <row r="1311" spans="1:14" ht="15" customHeight="1" x14ac:dyDescent="0.25">
      <c r="A1311" s="497"/>
      <c r="C1311" s="404"/>
      <c r="E1311" s="308"/>
      <c r="G1311" s="297"/>
      <c r="H1311" s="297"/>
      <c r="J1311" s="297"/>
      <c r="L1311" s="312"/>
      <c r="N1311" s="297"/>
    </row>
    <row r="1312" spans="1:14" ht="15" customHeight="1" x14ac:dyDescent="0.25">
      <c r="A1312" s="497"/>
      <c r="C1312" s="404"/>
      <c r="E1312" s="308"/>
      <c r="G1312" s="297"/>
      <c r="H1312" s="297"/>
      <c r="J1312" s="297"/>
      <c r="L1312" s="312"/>
      <c r="N1312" s="297"/>
    </row>
    <row r="1313" spans="1:14" ht="15" customHeight="1" x14ac:dyDescent="0.25">
      <c r="A1313" s="497"/>
      <c r="C1313" s="404"/>
      <c r="E1313" s="308"/>
      <c r="G1313" s="297"/>
      <c r="H1313" s="297"/>
      <c r="J1313" s="297"/>
      <c r="L1313" s="312"/>
      <c r="N1313" s="297"/>
    </row>
    <row r="1314" spans="1:14" ht="15" customHeight="1" x14ac:dyDescent="0.25">
      <c r="A1314" s="497"/>
      <c r="C1314" s="404"/>
      <c r="E1314" s="308"/>
      <c r="G1314" s="297"/>
      <c r="H1314" s="297"/>
      <c r="J1314" s="297"/>
      <c r="L1314" s="312"/>
      <c r="N1314" s="297"/>
    </row>
    <row r="1315" spans="1:14" ht="15" customHeight="1" x14ac:dyDescent="0.25">
      <c r="A1315" s="497"/>
      <c r="C1315" s="404"/>
      <c r="E1315" s="308"/>
      <c r="G1315" s="297"/>
      <c r="H1315" s="297"/>
      <c r="J1315" s="297"/>
      <c r="L1315" s="312"/>
      <c r="N1315" s="297"/>
    </row>
    <row r="1316" spans="1:14" ht="15" customHeight="1" x14ac:dyDescent="0.25">
      <c r="A1316" s="497"/>
      <c r="C1316" s="404"/>
      <c r="E1316" s="308"/>
      <c r="G1316" s="297"/>
      <c r="H1316" s="297"/>
      <c r="J1316" s="297"/>
      <c r="L1316" s="312"/>
      <c r="N1316" s="297"/>
    </row>
    <row r="1317" spans="1:14" ht="15" customHeight="1" x14ac:dyDescent="0.25">
      <c r="A1317" s="497"/>
      <c r="C1317" s="404"/>
      <c r="E1317" s="308"/>
      <c r="G1317" s="297"/>
      <c r="H1317" s="297"/>
      <c r="J1317" s="297"/>
      <c r="L1317" s="312"/>
      <c r="N1317" s="297"/>
    </row>
    <row r="1318" spans="1:14" ht="15" customHeight="1" x14ac:dyDescent="0.25">
      <c r="A1318" s="497"/>
      <c r="C1318" s="404"/>
      <c r="E1318" s="308"/>
      <c r="G1318" s="297"/>
      <c r="H1318" s="297"/>
      <c r="J1318" s="297"/>
      <c r="L1318" s="312"/>
      <c r="N1318" s="297"/>
    </row>
    <row r="1319" spans="1:14" ht="15" customHeight="1" x14ac:dyDescent="0.25">
      <c r="A1319" s="497"/>
      <c r="C1319" s="404"/>
      <c r="E1319" s="308"/>
      <c r="G1319" s="297"/>
      <c r="H1319" s="297"/>
      <c r="J1319" s="297"/>
      <c r="L1319" s="312"/>
      <c r="N1319" s="297"/>
    </row>
    <row r="1320" spans="1:14" ht="15" customHeight="1" x14ac:dyDescent="0.25">
      <c r="A1320" s="497"/>
      <c r="C1320" s="404"/>
      <c r="E1320" s="308"/>
      <c r="G1320" s="297"/>
      <c r="H1320" s="297"/>
      <c r="J1320" s="297"/>
      <c r="L1320" s="312"/>
      <c r="N1320" s="297"/>
    </row>
    <row r="1321" spans="1:14" ht="15" customHeight="1" x14ac:dyDescent="0.25">
      <c r="A1321" s="497"/>
      <c r="C1321" s="404"/>
      <c r="E1321" s="308"/>
      <c r="G1321" s="297"/>
      <c r="H1321" s="297"/>
      <c r="J1321" s="297"/>
      <c r="L1321" s="312"/>
      <c r="N1321" s="297"/>
    </row>
    <row r="1322" spans="1:14" ht="15" customHeight="1" x14ac:dyDescent="0.25">
      <c r="A1322" s="497"/>
      <c r="C1322" s="404"/>
      <c r="E1322" s="308"/>
      <c r="G1322" s="297"/>
      <c r="H1322" s="297"/>
      <c r="J1322" s="297"/>
      <c r="L1322" s="312"/>
      <c r="N1322" s="297"/>
    </row>
    <row r="1323" spans="1:14" ht="15" customHeight="1" x14ac:dyDescent="0.25">
      <c r="A1323" s="497"/>
      <c r="C1323" s="404"/>
      <c r="E1323" s="308"/>
      <c r="G1323" s="297"/>
      <c r="H1323" s="297"/>
      <c r="J1323" s="297"/>
      <c r="L1323" s="312"/>
      <c r="N1323" s="297"/>
    </row>
    <row r="1324" spans="1:14" ht="15" customHeight="1" x14ac:dyDescent="0.25">
      <c r="A1324" s="497"/>
      <c r="C1324" s="404"/>
      <c r="E1324" s="308"/>
      <c r="G1324" s="297"/>
      <c r="H1324" s="297"/>
      <c r="J1324" s="297"/>
      <c r="L1324" s="312"/>
      <c r="N1324" s="297"/>
    </row>
    <row r="1325" spans="1:14" ht="15" customHeight="1" x14ac:dyDescent="0.25">
      <c r="A1325" s="497"/>
      <c r="C1325" s="404"/>
      <c r="E1325" s="308"/>
      <c r="G1325" s="297"/>
      <c r="H1325" s="297"/>
      <c r="J1325" s="297"/>
      <c r="L1325" s="312"/>
      <c r="N1325" s="297"/>
    </row>
    <row r="1326" spans="1:14" ht="15" customHeight="1" x14ac:dyDescent="0.25">
      <c r="A1326" s="497"/>
      <c r="C1326" s="404"/>
      <c r="E1326" s="308"/>
      <c r="G1326" s="297"/>
      <c r="H1326" s="297"/>
      <c r="J1326" s="297"/>
      <c r="L1326" s="312"/>
      <c r="N1326" s="297"/>
    </row>
    <row r="1327" spans="1:14" ht="15" customHeight="1" x14ac:dyDescent="0.25">
      <c r="A1327" s="497"/>
      <c r="C1327" s="404"/>
      <c r="E1327" s="308"/>
      <c r="G1327" s="297"/>
      <c r="H1327" s="297"/>
      <c r="J1327" s="297"/>
      <c r="L1327" s="312"/>
      <c r="N1327" s="297"/>
    </row>
    <row r="1328" spans="1:14" ht="15" customHeight="1" x14ac:dyDescent="0.25">
      <c r="A1328" s="497"/>
      <c r="C1328" s="404"/>
      <c r="E1328" s="308"/>
      <c r="G1328" s="297"/>
      <c r="H1328" s="297"/>
      <c r="J1328" s="297"/>
      <c r="L1328" s="312"/>
      <c r="N1328" s="297"/>
    </row>
    <row r="1329" spans="1:14" ht="15" customHeight="1" x14ac:dyDescent="0.25">
      <c r="A1329" s="497"/>
      <c r="C1329" s="404"/>
      <c r="E1329" s="308"/>
      <c r="G1329" s="297"/>
      <c r="H1329" s="297"/>
      <c r="J1329" s="297"/>
      <c r="L1329" s="312"/>
      <c r="N1329" s="297"/>
    </row>
    <row r="1330" spans="1:14" ht="15" customHeight="1" x14ac:dyDescent="0.25">
      <c r="A1330" s="497"/>
      <c r="C1330" s="404"/>
      <c r="E1330" s="308"/>
      <c r="G1330" s="297"/>
      <c r="H1330" s="297"/>
      <c r="J1330" s="297"/>
      <c r="L1330" s="312"/>
      <c r="N1330" s="297"/>
    </row>
    <row r="1331" spans="1:14" ht="15" customHeight="1" x14ac:dyDescent="0.25">
      <c r="A1331" s="497"/>
      <c r="C1331" s="404"/>
      <c r="E1331" s="308"/>
      <c r="G1331" s="297"/>
      <c r="H1331" s="297"/>
      <c r="J1331" s="297"/>
      <c r="L1331" s="312"/>
      <c r="N1331" s="297"/>
    </row>
    <row r="1332" spans="1:14" ht="15" customHeight="1" x14ac:dyDescent="0.25">
      <c r="A1332" s="497"/>
      <c r="C1332" s="404"/>
      <c r="E1332" s="308"/>
      <c r="G1332" s="297"/>
      <c r="H1332" s="297"/>
      <c r="J1332" s="297"/>
      <c r="L1332" s="312"/>
      <c r="N1332" s="297"/>
    </row>
    <row r="1333" spans="1:14" ht="15" customHeight="1" x14ac:dyDescent="0.25">
      <c r="A1333" s="497"/>
      <c r="C1333" s="404"/>
      <c r="E1333" s="308"/>
      <c r="G1333" s="297"/>
      <c r="H1333" s="297"/>
      <c r="J1333" s="297"/>
      <c r="L1333" s="312"/>
      <c r="N1333" s="297"/>
    </row>
    <row r="1334" spans="1:14" ht="15" customHeight="1" x14ac:dyDescent="0.25">
      <c r="A1334" s="497"/>
      <c r="C1334" s="404"/>
      <c r="E1334" s="308"/>
      <c r="G1334" s="297"/>
      <c r="H1334" s="297"/>
      <c r="J1334" s="297"/>
      <c r="L1334" s="312"/>
      <c r="N1334" s="297"/>
    </row>
    <row r="1335" spans="1:14" ht="15" customHeight="1" x14ac:dyDescent="0.25">
      <c r="A1335" s="497"/>
      <c r="C1335" s="404"/>
      <c r="E1335" s="308"/>
      <c r="G1335" s="297"/>
      <c r="H1335" s="297"/>
      <c r="J1335" s="297"/>
      <c r="L1335" s="312"/>
      <c r="N1335" s="297"/>
    </row>
    <row r="1336" spans="1:14" ht="15" customHeight="1" x14ac:dyDescent="0.25">
      <c r="A1336" s="497"/>
      <c r="C1336" s="404"/>
      <c r="E1336" s="308"/>
      <c r="G1336" s="297"/>
      <c r="H1336" s="297"/>
      <c r="J1336" s="297"/>
      <c r="L1336" s="312"/>
      <c r="N1336" s="297"/>
    </row>
    <row r="1337" spans="1:14" ht="15" customHeight="1" x14ac:dyDescent="0.25">
      <c r="A1337" s="497"/>
      <c r="C1337" s="404"/>
      <c r="E1337" s="308"/>
      <c r="G1337" s="297"/>
      <c r="H1337" s="297"/>
      <c r="J1337" s="297"/>
      <c r="L1337" s="312"/>
      <c r="N1337" s="297"/>
    </row>
    <row r="1338" spans="1:14" ht="15" customHeight="1" x14ac:dyDescent="0.25">
      <c r="A1338" s="497"/>
      <c r="C1338" s="404"/>
      <c r="E1338" s="308"/>
      <c r="G1338" s="297"/>
      <c r="H1338" s="297"/>
      <c r="J1338" s="297"/>
      <c r="L1338" s="312"/>
      <c r="N1338" s="297"/>
    </row>
    <row r="1339" spans="1:14" ht="15" customHeight="1" x14ac:dyDescent="0.25">
      <c r="A1339" s="497"/>
      <c r="C1339" s="404"/>
      <c r="E1339" s="308"/>
      <c r="G1339" s="297"/>
      <c r="H1339" s="297"/>
      <c r="J1339" s="297"/>
      <c r="L1339" s="312"/>
      <c r="N1339" s="297"/>
    </row>
    <row r="1340" spans="1:14" ht="15" customHeight="1" x14ac:dyDescent="0.25">
      <c r="A1340" s="497"/>
      <c r="C1340" s="404"/>
      <c r="E1340" s="308"/>
      <c r="G1340" s="297"/>
      <c r="H1340" s="297"/>
      <c r="J1340" s="297"/>
      <c r="L1340" s="312"/>
      <c r="N1340" s="297"/>
    </row>
    <row r="1341" spans="1:14" ht="15" customHeight="1" x14ac:dyDescent="0.25">
      <c r="A1341" s="497"/>
      <c r="C1341" s="404"/>
      <c r="E1341" s="308"/>
      <c r="G1341" s="297"/>
      <c r="H1341" s="297"/>
      <c r="J1341" s="297"/>
      <c r="L1341" s="312"/>
      <c r="N1341" s="297"/>
    </row>
    <row r="1342" spans="1:14" ht="15" customHeight="1" x14ac:dyDescent="0.25">
      <c r="A1342" s="497"/>
      <c r="C1342" s="404"/>
      <c r="E1342" s="308"/>
      <c r="G1342" s="297"/>
      <c r="H1342" s="297"/>
      <c r="J1342" s="297"/>
      <c r="L1342" s="312"/>
      <c r="N1342" s="297"/>
    </row>
    <row r="1343" spans="1:14" ht="15" customHeight="1" x14ac:dyDescent="0.25">
      <c r="A1343" s="497"/>
      <c r="C1343" s="404"/>
      <c r="E1343" s="308"/>
      <c r="G1343" s="297"/>
      <c r="H1343" s="297"/>
      <c r="J1343" s="297"/>
      <c r="L1343" s="312"/>
      <c r="N1343" s="297"/>
    </row>
    <row r="1344" spans="1:14" ht="15" customHeight="1" x14ac:dyDescent="0.25">
      <c r="A1344" s="497"/>
      <c r="C1344" s="404"/>
      <c r="E1344" s="308"/>
      <c r="G1344" s="297"/>
      <c r="H1344" s="297"/>
      <c r="J1344" s="297"/>
      <c r="L1344" s="312"/>
      <c r="N1344" s="297"/>
    </row>
    <row r="1345" spans="1:14" ht="15" customHeight="1" x14ac:dyDescent="0.25">
      <c r="A1345" s="497"/>
      <c r="C1345" s="404"/>
      <c r="E1345" s="308"/>
      <c r="G1345" s="297"/>
      <c r="H1345" s="297"/>
      <c r="J1345" s="297"/>
      <c r="L1345" s="312"/>
      <c r="N1345" s="297"/>
    </row>
    <row r="1346" spans="1:14" ht="15" customHeight="1" x14ac:dyDescent="0.25">
      <c r="A1346" s="497"/>
      <c r="C1346" s="404"/>
      <c r="E1346" s="308"/>
      <c r="G1346" s="297"/>
      <c r="H1346" s="297"/>
      <c r="J1346" s="297"/>
      <c r="L1346" s="312"/>
      <c r="N1346" s="297"/>
    </row>
    <row r="1347" spans="1:14" ht="15" customHeight="1" x14ac:dyDescent="0.25">
      <c r="A1347" s="497"/>
      <c r="C1347" s="404"/>
      <c r="E1347" s="308"/>
      <c r="G1347" s="297"/>
      <c r="H1347" s="297"/>
      <c r="J1347" s="297"/>
      <c r="L1347" s="312"/>
      <c r="N1347" s="297"/>
    </row>
    <row r="1348" spans="1:14" ht="15" customHeight="1" x14ac:dyDescent="0.25">
      <c r="A1348" s="497"/>
      <c r="C1348" s="404"/>
      <c r="E1348" s="308"/>
      <c r="G1348" s="297"/>
      <c r="H1348" s="297"/>
      <c r="J1348" s="297"/>
      <c r="L1348" s="312"/>
      <c r="N1348" s="297"/>
    </row>
    <row r="1349" spans="1:14" ht="15" customHeight="1" x14ac:dyDescent="0.25">
      <c r="A1349" s="497"/>
      <c r="C1349" s="404"/>
      <c r="E1349" s="308"/>
      <c r="G1349" s="297"/>
      <c r="H1349" s="297"/>
      <c r="J1349" s="297"/>
      <c r="L1349" s="312"/>
      <c r="N1349" s="297"/>
    </row>
    <row r="1350" spans="1:14" ht="15" customHeight="1" x14ac:dyDescent="0.25">
      <c r="A1350" s="497"/>
      <c r="C1350" s="404"/>
      <c r="E1350" s="308"/>
      <c r="G1350" s="297"/>
      <c r="H1350" s="297"/>
      <c r="J1350" s="297"/>
      <c r="L1350" s="312"/>
      <c r="N1350" s="297"/>
    </row>
    <row r="1351" spans="1:14" ht="15" customHeight="1" x14ac:dyDescent="0.25">
      <c r="A1351" s="497"/>
      <c r="C1351" s="404"/>
      <c r="E1351" s="308"/>
      <c r="G1351" s="297"/>
      <c r="H1351" s="297"/>
      <c r="J1351" s="297"/>
      <c r="L1351" s="312"/>
      <c r="N1351" s="297"/>
    </row>
    <row r="1352" spans="1:14" ht="15" customHeight="1" x14ac:dyDescent="0.25">
      <c r="A1352" s="497"/>
      <c r="C1352" s="404"/>
      <c r="E1352" s="308"/>
      <c r="G1352" s="297"/>
      <c r="H1352" s="297"/>
      <c r="J1352" s="297"/>
      <c r="L1352" s="312"/>
      <c r="N1352" s="297"/>
    </row>
    <row r="1353" spans="1:14" ht="15" customHeight="1" x14ac:dyDescent="0.25">
      <c r="A1353" s="497"/>
      <c r="C1353" s="404"/>
      <c r="E1353" s="308"/>
      <c r="G1353" s="297"/>
      <c r="H1353" s="297"/>
      <c r="J1353" s="297"/>
      <c r="L1353" s="312"/>
      <c r="N1353" s="297"/>
    </row>
    <row r="1354" spans="1:14" ht="15" customHeight="1" x14ac:dyDescent="0.25">
      <c r="A1354" s="497"/>
      <c r="C1354" s="404"/>
      <c r="E1354" s="308"/>
      <c r="G1354" s="297"/>
      <c r="H1354" s="297"/>
      <c r="J1354" s="297"/>
      <c r="L1354" s="312"/>
      <c r="N1354" s="297"/>
    </row>
    <row r="1355" spans="1:14" ht="15" customHeight="1" x14ac:dyDescent="0.25">
      <c r="A1355" s="497"/>
      <c r="C1355" s="404"/>
      <c r="E1355" s="308"/>
      <c r="G1355" s="297"/>
      <c r="H1355" s="297"/>
      <c r="J1355" s="297"/>
      <c r="L1355" s="312"/>
      <c r="N1355" s="297"/>
    </row>
    <row r="1356" spans="1:14" ht="15" customHeight="1" x14ac:dyDescent="0.25">
      <c r="A1356" s="497"/>
      <c r="C1356" s="404"/>
      <c r="E1356" s="308"/>
      <c r="G1356" s="297"/>
      <c r="H1356" s="297"/>
      <c r="J1356" s="297"/>
      <c r="L1356" s="312"/>
      <c r="N1356" s="297"/>
    </row>
    <row r="1357" spans="1:14" ht="15" customHeight="1" x14ac:dyDescent="0.25">
      <c r="A1357" s="497"/>
      <c r="C1357" s="404"/>
      <c r="E1357" s="308"/>
      <c r="G1357" s="297"/>
      <c r="H1357" s="297"/>
      <c r="J1357" s="297"/>
      <c r="L1357" s="312"/>
      <c r="N1357" s="297"/>
    </row>
    <row r="1358" spans="1:14" ht="15" customHeight="1" x14ac:dyDescent="0.25">
      <c r="A1358" s="497"/>
      <c r="C1358" s="404"/>
      <c r="E1358" s="308"/>
      <c r="G1358" s="297"/>
      <c r="H1358" s="297"/>
      <c r="J1358" s="297"/>
      <c r="L1358" s="312"/>
      <c r="N1358" s="297"/>
    </row>
    <row r="1359" spans="1:14" ht="15" customHeight="1" x14ac:dyDescent="0.25">
      <c r="A1359" s="497"/>
      <c r="C1359" s="404"/>
      <c r="E1359" s="308"/>
      <c r="G1359" s="297"/>
      <c r="H1359" s="297"/>
      <c r="J1359" s="297"/>
      <c r="L1359" s="312"/>
      <c r="N1359" s="297"/>
    </row>
    <row r="1360" spans="1:14" ht="15" customHeight="1" x14ac:dyDescent="0.25">
      <c r="A1360" s="497"/>
      <c r="C1360" s="404"/>
      <c r="E1360" s="308"/>
      <c r="G1360" s="297"/>
      <c r="H1360" s="297"/>
      <c r="J1360" s="297"/>
      <c r="L1360" s="312"/>
      <c r="N1360" s="297"/>
    </row>
    <row r="1361" spans="1:14" ht="15" customHeight="1" x14ac:dyDescent="0.25">
      <c r="A1361" s="497"/>
      <c r="C1361" s="404"/>
      <c r="E1361" s="308"/>
      <c r="G1361" s="297"/>
      <c r="H1361" s="297"/>
      <c r="J1361" s="297"/>
      <c r="L1361" s="312"/>
      <c r="N1361" s="297"/>
    </row>
    <row r="1362" spans="1:14" ht="15" customHeight="1" x14ac:dyDescent="0.25">
      <c r="A1362" s="497"/>
      <c r="C1362" s="404"/>
      <c r="E1362" s="308"/>
      <c r="G1362" s="297"/>
      <c r="H1362" s="297"/>
      <c r="J1362" s="297"/>
      <c r="L1362" s="312"/>
      <c r="N1362" s="297"/>
    </row>
    <row r="1363" spans="1:14" ht="15" customHeight="1" x14ac:dyDescent="0.25">
      <c r="A1363" s="497"/>
      <c r="C1363" s="404"/>
      <c r="E1363" s="308"/>
      <c r="G1363" s="297"/>
      <c r="H1363" s="297"/>
      <c r="J1363" s="297"/>
      <c r="L1363" s="312"/>
      <c r="N1363" s="297"/>
    </row>
    <row r="1364" spans="1:14" ht="15" customHeight="1" x14ac:dyDescent="0.25">
      <c r="A1364" s="497"/>
      <c r="C1364" s="404"/>
      <c r="E1364" s="308"/>
      <c r="G1364" s="297"/>
      <c r="H1364" s="297"/>
      <c r="J1364" s="297"/>
      <c r="L1364" s="312"/>
      <c r="N1364" s="297"/>
    </row>
    <row r="1365" spans="1:14" ht="15" customHeight="1" x14ac:dyDescent="0.25">
      <c r="A1365" s="497"/>
      <c r="C1365" s="404"/>
      <c r="E1365" s="308"/>
      <c r="G1365" s="297"/>
      <c r="H1365" s="297"/>
      <c r="J1365" s="297"/>
      <c r="L1365" s="312"/>
      <c r="N1365" s="297"/>
    </row>
    <row r="1366" spans="1:14" ht="15" customHeight="1" x14ac:dyDescent="0.25">
      <c r="A1366" s="497"/>
      <c r="C1366" s="404"/>
      <c r="E1366" s="308"/>
      <c r="G1366" s="297"/>
      <c r="H1366" s="297"/>
      <c r="J1366" s="297"/>
      <c r="L1366" s="312"/>
      <c r="N1366" s="297"/>
    </row>
    <row r="1367" spans="1:14" ht="15" customHeight="1" x14ac:dyDescent="0.25">
      <c r="A1367" s="497"/>
      <c r="C1367" s="404"/>
      <c r="E1367" s="308"/>
      <c r="G1367" s="297"/>
      <c r="H1367" s="297"/>
      <c r="J1367" s="297"/>
      <c r="L1367" s="312"/>
      <c r="N1367" s="297"/>
    </row>
    <row r="1368" spans="1:14" ht="15" customHeight="1" x14ac:dyDescent="0.25">
      <c r="A1368" s="497"/>
      <c r="C1368" s="404"/>
      <c r="E1368" s="308"/>
      <c r="G1368" s="297"/>
      <c r="H1368" s="297"/>
      <c r="J1368" s="297"/>
      <c r="L1368" s="312"/>
      <c r="N1368" s="297"/>
    </row>
    <row r="1369" spans="1:14" ht="15" customHeight="1" x14ac:dyDescent="0.25">
      <c r="A1369" s="497"/>
      <c r="C1369" s="404"/>
      <c r="E1369" s="308"/>
      <c r="G1369" s="297"/>
      <c r="H1369" s="297"/>
      <c r="J1369" s="297"/>
      <c r="L1369" s="312"/>
      <c r="N1369" s="297"/>
    </row>
    <row r="1370" spans="1:14" ht="15" customHeight="1" x14ac:dyDescent="0.25">
      <c r="A1370" s="497"/>
      <c r="C1370" s="404"/>
      <c r="E1370" s="308"/>
      <c r="G1370" s="297"/>
      <c r="H1370" s="297"/>
      <c r="J1370" s="297"/>
      <c r="L1370" s="312"/>
      <c r="N1370" s="297"/>
    </row>
    <row r="1371" spans="1:14" ht="15" customHeight="1" x14ac:dyDescent="0.25">
      <c r="A1371" s="497"/>
      <c r="C1371" s="404"/>
      <c r="E1371" s="308"/>
      <c r="G1371" s="297"/>
      <c r="H1371" s="297"/>
      <c r="J1371" s="297"/>
      <c r="L1371" s="312"/>
      <c r="N1371" s="297"/>
    </row>
    <row r="1372" spans="1:14" ht="15" customHeight="1" x14ac:dyDescent="0.25">
      <c r="A1372" s="497"/>
      <c r="C1372" s="404"/>
      <c r="E1372" s="308"/>
      <c r="G1372" s="297"/>
      <c r="H1372" s="297"/>
      <c r="J1372" s="297"/>
      <c r="L1372" s="312"/>
      <c r="N1372" s="297"/>
    </row>
    <row r="1373" spans="1:14" ht="15" customHeight="1" x14ac:dyDescent="0.25">
      <c r="A1373" s="497"/>
      <c r="C1373" s="404"/>
      <c r="E1373" s="308"/>
      <c r="G1373" s="297"/>
      <c r="H1373" s="297"/>
      <c r="J1373" s="297"/>
      <c r="L1373" s="312"/>
      <c r="N1373" s="297"/>
    </row>
    <row r="1374" spans="1:14" ht="15" customHeight="1" x14ac:dyDescent="0.25">
      <c r="A1374" s="497"/>
      <c r="C1374" s="404"/>
      <c r="E1374" s="308"/>
      <c r="G1374" s="297"/>
      <c r="H1374" s="297"/>
      <c r="J1374" s="297"/>
      <c r="L1374" s="312"/>
      <c r="N1374" s="297"/>
    </row>
    <row r="1375" spans="1:14" ht="15" customHeight="1" x14ac:dyDescent="0.25">
      <c r="A1375" s="497"/>
      <c r="C1375" s="404"/>
      <c r="E1375" s="308"/>
      <c r="G1375" s="297"/>
      <c r="H1375" s="297"/>
      <c r="J1375" s="297"/>
      <c r="L1375" s="312"/>
      <c r="N1375" s="297"/>
    </row>
    <row r="1376" spans="1:14" ht="15" customHeight="1" x14ac:dyDescent="0.25">
      <c r="A1376" s="497"/>
      <c r="C1376" s="404"/>
      <c r="E1376" s="308"/>
      <c r="G1376" s="297"/>
      <c r="H1376" s="297"/>
      <c r="J1376" s="297"/>
      <c r="L1376" s="312"/>
      <c r="N1376" s="297"/>
    </row>
    <row r="1377" spans="1:14" ht="15" customHeight="1" x14ac:dyDescent="0.25">
      <c r="A1377" s="497"/>
      <c r="C1377" s="404"/>
      <c r="E1377" s="308"/>
      <c r="G1377" s="297"/>
      <c r="H1377" s="297"/>
      <c r="J1377" s="297"/>
      <c r="L1377" s="312"/>
      <c r="N1377" s="297"/>
    </row>
    <row r="1378" spans="1:14" ht="15" customHeight="1" x14ac:dyDescent="0.25">
      <c r="A1378" s="497"/>
      <c r="C1378" s="404"/>
      <c r="E1378" s="308"/>
      <c r="G1378" s="297"/>
      <c r="H1378" s="297"/>
      <c r="J1378" s="297"/>
      <c r="L1378" s="312"/>
      <c r="N1378" s="297"/>
    </row>
    <row r="1379" spans="1:14" ht="15" customHeight="1" x14ac:dyDescent="0.25">
      <c r="A1379" s="497"/>
      <c r="C1379" s="404"/>
      <c r="E1379" s="308"/>
      <c r="G1379" s="297"/>
      <c r="H1379" s="297"/>
      <c r="J1379" s="297"/>
      <c r="L1379" s="312"/>
      <c r="N1379" s="297"/>
    </row>
    <row r="1380" spans="1:14" ht="15" customHeight="1" x14ac:dyDescent="0.25">
      <c r="A1380" s="497"/>
      <c r="C1380" s="404"/>
      <c r="E1380" s="308"/>
      <c r="G1380" s="297"/>
      <c r="H1380" s="297"/>
      <c r="J1380" s="297"/>
      <c r="L1380" s="312"/>
      <c r="N1380" s="297"/>
    </row>
    <row r="1381" spans="1:14" ht="15" customHeight="1" x14ac:dyDescent="0.25">
      <c r="A1381" s="497"/>
      <c r="C1381" s="404"/>
      <c r="E1381" s="308"/>
      <c r="G1381" s="297"/>
      <c r="H1381" s="297"/>
      <c r="J1381" s="297"/>
      <c r="L1381" s="312"/>
      <c r="N1381" s="297"/>
    </row>
    <row r="1382" spans="1:14" ht="15" customHeight="1" x14ac:dyDescent="0.25">
      <c r="A1382" s="497"/>
      <c r="C1382" s="404"/>
      <c r="E1382" s="308"/>
      <c r="G1382" s="297"/>
      <c r="H1382" s="297"/>
      <c r="J1382" s="297"/>
      <c r="L1382" s="312"/>
      <c r="N1382" s="297"/>
    </row>
    <row r="1383" spans="1:14" ht="15" customHeight="1" x14ac:dyDescent="0.25">
      <c r="A1383" s="497"/>
      <c r="C1383" s="404"/>
      <c r="E1383" s="308"/>
      <c r="G1383" s="297"/>
      <c r="H1383" s="297"/>
      <c r="J1383" s="297"/>
      <c r="L1383" s="312"/>
      <c r="N1383" s="297"/>
    </row>
    <row r="1384" spans="1:14" ht="15" customHeight="1" x14ac:dyDescent="0.25">
      <c r="A1384" s="497"/>
      <c r="C1384" s="404"/>
      <c r="E1384" s="308"/>
      <c r="G1384" s="297"/>
      <c r="H1384" s="297"/>
      <c r="J1384" s="297"/>
      <c r="L1384" s="312"/>
      <c r="N1384" s="297"/>
    </row>
    <row r="1385" spans="1:14" ht="15" customHeight="1" x14ac:dyDescent="0.25">
      <c r="A1385" s="497"/>
      <c r="C1385" s="404"/>
      <c r="E1385" s="308"/>
      <c r="G1385" s="297"/>
      <c r="H1385" s="297"/>
      <c r="J1385" s="297"/>
      <c r="L1385" s="312"/>
      <c r="N1385" s="297"/>
    </row>
    <row r="1386" spans="1:14" ht="15" customHeight="1" x14ac:dyDescent="0.25">
      <c r="A1386" s="497"/>
      <c r="C1386" s="404"/>
      <c r="E1386" s="308"/>
      <c r="G1386" s="297"/>
      <c r="H1386" s="297"/>
      <c r="J1386" s="297"/>
      <c r="L1386" s="312"/>
      <c r="N1386" s="297"/>
    </row>
    <row r="1387" spans="1:14" ht="15" customHeight="1" x14ac:dyDescent="0.25">
      <c r="A1387" s="497"/>
      <c r="C1387" s="404"/>
      <c r="E1387" s="308"/>
      <c r="G1387" s="297"/>
      <c r="H1387" s="297"/>
      <c r="J1387" s="297"/>
      <c r="L1387" s="312"/>
      <c r="N1387" s="297"/>
    </row>
    <row r="1388" spans="1:14" ht="15" customHeight="1" x14ac:dyDescent="0.25">
      <c r="A1388" s="497"/>
      <c r="C1388" s="404"/>
      <c r="E1388" s="308"/>
      <c r="G1388" s="297"/>
      <c r="H1388" s="297"/>
      <c r="J1388" s="297"/>
      <c r="L1388" s="312"/>
      <c r="N1388" s="297"/>
    </row>
    <row r="1389" spans="1:14" ht="15" customHeight="1" x14ac:dyDescent="0.25">
      <c r="A1389" s="497"/>
      <c r="C1389" s="404"/>
      <c r="E1389" s="308"/>
      <c r="G1389" s="297"/>
      <c r="H1389" s="297"/>
      <c r="J1389" s="297"/>
      <c r="L1389" s="312"/>
      <c r="N1389" s="297"/>
    </row>
    <row r="1390" spans="1:14" ht="15" customHeight="1" x14ac:dyDescent="0.25">
      <c r="A1390" s="497"/>
      <c r="C1390" s="404"/>
      <c r="E1390" s="308"/>
      <c r="G1390" s="297"/>
      <c r="H1390" s="297"/>
      <c r="J1390" s="297"/>
      <c r="L1390" s="312"/>
      <c r="N1390" s="297"/>
    </row>
    <row r="1391" spans="1:14" ht="15" customHeight="1" x14ac:dyDescent="0.25">
      <c r="A1391" s="497"/>
      <c r="C1391" s="404"/>
      <c r="E1391" s="308"/>
      <c r="G1391" s="297"/>
      <c r="H1391" s="297"/>
      <c r="J1391" s="297"/>
      <c r="L1391" s="312"/>
      <c r="N1391" s="297"/>
    </row>
    <row r="1392" spans="1:14" ht="15" customHeight="1" x14ac:dyDescent="0.25">
      <c r="A1392" s="497"/>
      <c r="C1392" s="404"/>
      <c r="E1392" s="308"/>
      <c r="G1392" s="297"/>
      <c r="H1392" s="297"/>
      <c r="J1392" s="297"/>
      <c r="L1392" s="312"/>
      <c r="N1392" s="297"/>
    </row>
    <row r="1393" spans="1:14" ht="15" customHeight="1" x14ac:dyDescent="0.25">
      <c r="A1393" s="497"/>
      <c r="C1393" s="404"/>
      <c r="E1393" s="308"/>
      <c r="G1393" s="297"/>
      <c r="H1393" s="297"/>
      <c r="J1393" s="297"/>
      <c r="L1393" s="312"/>
      <c r="N1393" s="297"/>
    </row>
    <row r="1394" spans="1:14" ht="15" customHeight="1" x14ac:dyDescent="0.25">
      <c r="A1394" s="497"/>
      <c r="C1394" s="404"/>
      <c r="E1394" s="308"/>
      <c r="G1394" s="297"/>
      <c r="H1394" s="297"/>
      <c r="J1394" s="297"/>
      <c r="L1394" s="312"/>
      <c r="N1394" s="297"/>
    </row>
    <row r="1395" spans="1:14" ht="15" customHeight="1" x14ac:dyDescent="0.25">
      <c r="A1395" s="497"/>
      <c r="C1395" s="404"/>
      <c r="E1395" s="308"/>
      <c r="G1395" s="297"/>
      <c r="H1395" s="297"/>
      <c r="J1395" s="297"/>
      <c r="L1395" s="312"/>
      <c r="N1395" s="297"/>
    </row>
    <row r="1396" spans="1:14" ht="15" customHeight="1" x14ac:dyDescent="0.25">
      <c r="A1396" s="497"/>
      <c r="C1396" s="404"/>
      <c r="E1396" s="308"/>
      <c r="G1396" s="297"/>
      <c r="H1396" s="297"/>
      <c r="J1396" s="297"/>
      <c r="L1396" s="312"/>
      <c r="N1396" s="297"/>
    </row>
    <row r="1397" spans="1:14" ht="15" customHeight="1" x14ac:dyDescent="0.25">
      <c r="A1397" s="497"/>
      <c r="C1397" s="404"/>
      <c r="E1397" s="308"/>
      <c r="G1397" s="297"/>
      <c r="H1397" s="297"/>
      <c r="J1397" s="297"/>
      <c r="L1397" s="312"/>
      <c r="N1397" s="297"/>
    </row>
    <row r="1398" spans="1:14" ht="15" customHeight="1" x14ac:dyDescent="0.25">
      <c r="A1398" s="497"/>
      <c r="C1398" s="404"/>
      <c r="E1398" s="308"/>
      <c r="G1398" s="297"/>
      <c r="H1398" s="297"/>
      <c r="J1398" s="297"/>
      <c r="L1398" s="312"/>
      <c r="N1398" s="297"/>
    </row>
    <row r="1399" spans="1:14" ht="15" customHeight="1" x14ac:dyDescent="0.25">
      <c r="A1399" s="497"/>
      <c r="C1399" s="404"/>
      <c r="E1399" s="308"/>
      <c r="G1399" s="297"/>
      <c r="H1399" s="297"/>
      <c r="J1399" s="297"/>
      <c r="L1399" s="312"/>
      <c r="N1399" s="297"/>
    </row>
    <row r="1400" spans="1:14" ht="15" customHeight="1" x14ac:dyDescent="0.25">
      <c r="A1400" s="497"/>
      <c r="C1400" s="404"/>
      <c r="E1400" s="308"/>
      <c r="G1400" s="297"/>
      <c r="H1400" s="297"/>
      <c r="J1400" s="297"/>
      <c r="L1400" s="312"/>
      <c r="N1400" s="297"/>
    </row>
    <row r="1401" spans="1:14" ht="15" customHeight="1" x14ac:dyDescent="0.25">
      <c r="A1401" s="497"/>
      <c r="C1401" s="404"/>
      <c r="E1401" s="308"/>
      <c r="G1401" s="297"/>
      <c r="H1401" s="297"/>
      <c r="J1401" s="297"/>
      <c r="L1401" s="312"/>
      <c r="N1401" s="297"/>
    </row>
    <row r="1402" spans="1:14" ht="15" customHeight="1" x14ac:dyDescent="0.25">
      <c r="A1402" s="497"/>
      <c r="C1402" s="404"/>
      <c r="E1402" s="308"/>
      <c r="G1402" s="297"/>
      <c r="H1402" s="297"/>
      <c r="J1402" s="297"/>
      <c r="L1402" s="312"/>
      <c r="N1402" s="297"/>
    </row>
    <row r="1403" spans="1:14" ht="15" customHeight="1" x14ac:dyDescent="0.25">
      <c r="A1403" s="497"/>
      <c r="C1403" s="404"/>
      <c r="E1403" s="308"/>
      <c r="G1403" s="297"/>
      <c r="H1403" s="297"/>
      <c r="J1403" s="297"/>
      <c r="L1403" s="312"/>
      <c r="N1403" s="297"/>
    </row>
    <row r="1404" spans="1:14" ht="15" customHeight="1" x14ac:dyDescent="0.25">
      <c r="A1404" s="497"/>
      <c r="C1404" s="404"/>
      <c r="E1404" s="308"/>
      <c r="G1404" s="297"/>
      <c r="H1404" s="297"/>
      <c r="J1404" s="297"/>
      <c r="L1404" s="312"/>
      <c r="N1404" s="297"/>
    </row>
    <row r="1405" spans="1:14" ht="15" customHeight="1" x14ac:dyDescent="0.25">
      <c r="A1405" s="497"/>
      <c r="C1405" s="404"/>
      <c r="E1405" s="308"/>
      <c r="G1405" s="297"/>
      <c r="H1405" s="297"/>
      <c r="J1405" s="297"/>
      <c r="L1405" s="312"/>
      <c r="N1405" s="297"/>
    </row>
    <row r="1406" spans="1:14" ht="15" customHeight="1" x14ac:dyDescent="0.25">
      <c r="A1406" s="497"/>
      <c r="C1406" s="404"/>
      <c r="E1406" s="308"/>
      <c r="G1406" s="297"/>
      <c r="H1406" s="297"/>
      <c r="J1406" s="297"/>
      <c r="L1406" s="312"/>
      <c r="N1406" s="297"/>
    </row>
    <row r="1407" spans="1:14" ht="15" customHeight="1" x14ac:dyDescent="0.25">
      <c r="A1407" s="497"/>
      <c r="C1407" s="404"/>
      <c r="E1407" s="308"/>
      <c r="G1407" s="297"/>
      <c r="H1407" s="297"/>
      <c r="J1407" s="297"/>
      <c r="L1407" s="312"/>
      <c r="N1407" s="297"/>
    </row>
    <row r="1408" spans="1:14" ht="15" customHeight="1" x14ac:dyDescent="0.25">
      <c r="A1408" s="497"/>
      <c r="C1408" s="404"/>
      <c r="E1408" s="308"/>
      <c r="G1408" s="297"/>
      <c r="H1408" s="297"/>
      <c r="J1408" s="297"/>
      <c r="L1408" s="312"/>
      <c r="N1408" s="297"/>
    </row>
    <row r="1409" spans="1:14" ht="15" customHeight="1" x14ac:dyDescent="0.25">
      <c r="A1409" s="497"/>
      <c r="C1409" s="404"/>
      <c r="E1409" s="308"/>
      <c r="G1409" s="297"/>
      <c r="H1409" s="297"/>
      <c r="J1409" s="297"/>
      <c r="L1409" s="312"/>
      <c r="N1409" s="297"/>
    </row>
    <row r="1410" spans="1:14" ht="15" customHeight="1" x14ac:dyDescent="0.25">
      <c r="A1410" s="497"/>
      <c r="C1410" s="404"/>
      <c r="E1410" s="308"/>
      <c r="G1410" s="297"/>
      <c r="H1410" s="297"/>
      <c r="J1410" s="297"/>
      <c r="L1410" s="312"/>
      <c r="N1410" s="297"/>
    </row>
    <row r="1411" spans="1:14" ht="15" customHeight="1" x14ac:dyDescent="0.25">
      <c r="A1411" s="497"/>
      <c r="C1411" s="404"/>
      <c r="E1411" s="308"/>
      <c r="G1411" s="297"/>
      <c r="H1411" s="297"/>
      <c r="J1411" s="297"/>
      <c r="L1411" s="312"/>
      <c r="N1411" s="297"/>
    </row>
    <row r="1412" spans="1:14" ht="15" customHeight="1" x14ac:dyDescent="0.25">
      <c r="A1412" s="497"/>
      <c r="C1412" s="404"/>
      <c r="E1412" s="308"/>
      <c r="G1412" s="297"/>
      <c r="H1412" s="297"/>
      <c r="J1412" s="297"/>
      <c r="L1412" s="312"/>
      <c r="N1412" s="297"/>
    </row>
    <row r="1413" spans="1:14" ht="15" customHeight="1" x14ac:dyDescent="0.25">
      <c r="A1413" s="497"/>
      <c r="C1413" s="404"/>
      <c r="E1413" s="308"/>
      <c r="G1413" s="297"/>
      <c r="H1413" s="297"/>
      <c r="J1413" s="297"/>
      <c r="L1413" s="312"/>
      <c r="N1413" s="297"/>
    </row>
    <row r="1414" spans="1:14" ht="15" customHeight="1" x14ac:dyDescent="0.25">
      <c r="A1414" s="497"/>
      <c r="C1414" s="404"/>
      <c r="E1414" s="308"/>
      <c r="G1414" s="297"/>
      <c r="H1414" s="297"/>
      <c r="J1414" s="297"/>
      <c r="L1414" s="312"/>
      <c r="N1414" s="297"/>
    </row>
    <row r="1415" spans="1:14" ht="15" customHeight="1" x14ac:dyDescent="0.25">
      <c r="A1415" s="497"/>
      <c r="C1415" s="404"/>
      <c r="E1415" s="308"/>
      <c r="G1415" s="297"/>
      <c r="H1415" s="297"/>
      <c r="J1415" s="297"/>
      <c r="L1415" s="312"/>
      <c r="N1415" s="297"/>
    </row>
    <row r="1416" spans="1:14" ht="15" customHeight="1" x14ac:dyDescent="0.25">
      <c r="A1416" s="497"/>
      <c r="C1416" s="404"/>
      <c r="E1416" s="308"/>
      <c r="G1416" s="297"/>
      <c r="H1416" s="297"/>
      <c r="J1416" s="297"/>
      <c r="L1416" s="312"/>
      <c r="N1416" s="297"/>
    </row>
    <row r="1417" spans="1:14" ht="15" customHeight="1" x14ac:dyDescent="0.25">
      <c r="A1417" s="497"/>
      <c r="C1417" s="404"/>
      <c r="E1417" s="308"/>
      <c r="G1417" s="297"/>
      <c r="H1417" s="297"/>
      <c r="J1417" s="297"/>
      <c r="L1417" s="312"/>
      <c r="N1417" s="297"/>
    </row>
    <row r="1418" spans="1:14" ht="15" customHeight="1" x14ac:dyDescent="0.25">
      <c r="A1418" s="497"/>
      <c r="C1418" s="404"/>
      <c r="E1418" s="308"/>
      <c r="G1418" s="297"/>
      <c r="H1418" s="297"/>
      <c r="J1418" s="297"/>
      <c r="L1418" s="312"/>
      <c r="N1418" s="297"/>
    </row>
    <row r="1419" spans="1:14" ht="15" customHeight="1" x14ac:dyDescent="0.25">
      <c r="A1419" s="497"/>
      <c r="C1419" s="404"/>
      <c r="E1419" s="308"/>
      <c r="G1419" s="297"/>
      <c r="H1419" s="297"/>
      <c r="J1419" s="297"/>
      <c r="L1419" s="312"/>
      <c r="N1419" s="297"/>
    </row>
    <row r="1420" spans="1:14" ht="15" customHeight="1" x14ac:dyDescent="0.25">
      <c r="A1420" s="497"/>
      <c r="C1420" s="404"/>
      <c r="E1420" s="308"/>
      <c r="G1420" s="297"/>
      <c r="H1420" s="297"/>
      <c r="J1420" s="297"/>
      <c r="L1420" s="312"/>
      <c r="N1420" s="297"/>
    </row>
    <row r="1421" spans="1:14" ht="15" customHeight="1" x14ac:dyDescent="0.25">
      <c r="A1421" s="497"/>
      <c r="C1421" s="404"/>
      <c r="E1421" s="308"/>
      <c r="G1421" s="297"/>
      <c r="H1421" s="297"/>
      <c r="J1421" s="297"/>
      <c r="L1421" s="312"/>
      <c r="N1421" s="297"/>
    </row>
    <row r="1422" spans="1:14" ht="15" customHeight="1" x14ac:dyDescent="0.25">
      <c r="A1422" s="497"/>
      <c r="C1422" s="404"/>
      <c r="E1422" s="308"/>
      <c r="G1422" s="297"/>
      <c r="H1422" s="297"/>
      <c r="J1422" s="297"/>
      <c r="L1422" s="312"/>
      <c r="N1422" s="297"/>
    </row>
    <row r="1423" spans="1:14" ht="15" customHeight="1" x14ac:dyDescent="0.25">
      <c r="A1423" s="497"/>
      <c r="C1423" s="404"/>
      <c r="E1423" s="308"/>
      <c r="G1423" s="297"/>
      <c r="H1423" s="297"/>
      <c r="J1423" s="297"/>
      <c r="L1423" s="312"/>
      <c r="N1423" s="297"/>
    </row>
    <row r="1424" spans="1:14" ht="15" customHeight="1" x14ac:dyDescent="0.25">
      <c r="A1424" s="497"/>
      <c r="C1424" s="404"/>
      <c r="E1424" s="308"/>
      <c r="G1424" s="297"/>
      <c r="H1424" s="297"/>
      <c r="J1424" s="297"/>
      <c r="L1424" s="312"/>
      <c r="N1424" s="297"/>
    </row>
    <row r="1425" spans="1:14" ht="15" customHeight="1" x14ac:dyDescent="0.25">
      <c r="A1425" s="497"/>
      <c r="C1425" s="404"/>
      <c r="E1425" s="308"/>
      <c r="G1425" s="297"/>
      <c r="H1425" s="297"/>
      <c r="J1425" s="297"/>
      <c r="L1425" s="312"/>
      <c r="N1425" s="297"/>
    </row>
    <row r="1426" spans="1:14" ht="15" customHeight="1" x14ac:dyDescent="0.25">
      <c r="A1426" s="497"/>
      <c r="C1426" s="404"/>
      <c r="E1426" s="308"/>
      <c r="G1426" s="297"/>
      <c r="H1426" s="297"/>
      <c r="J1426" s="297"/>
      <c r="L1426" s="312"/>
      <c r="N1426" s="297"/>
    </row>
    <row r="1427" spans="1:14" ht="15" customHeight="1" x14ac:dyDescent="0.25">
      <c r="A1427" s="497"/>
      <c r="C1427" s="404"/>
      <c r="E1427" s="308"/>
      <c r="G1427" s="297"/>
      <c r="H1427" s="297"/>
      <c r="J1427" s="297"/>
      <c r="L1427" s="312"/>
      <c r="N1427" s="297"/>
    </row>
    <row r="1428" spans="1:14" ht="15" customHeight="1" x14ac:dyDescent="0.25">
      <c r="A1428" s="497"/>
      <c r="C1428" s="404"/>
      <c r="E1428" s="308"/>
      <c r="G1428" s="297"/>
      <c r="H1428" s="297"/>
      <c r="J1428" s="297"/>
      <c r="L1428" s="312"/>
      <c r="N1428" s="297"/>
    </row>
    <row r="1429" spans="1:14" ht="15" customHeight="1" x14ac:dyDescent="0.25">
      <c r="A1429" s="497"/>
      <c r="C1429" s="404"/>
      <c r="E1429" s="308"/>
      <c r="G1429" s="297"/>
      <c r="H1429" s="297"/>
      <c r="J1429" s="297"/>
      <c r="L1429" s="312"/>
      <c r="N1429" s="297"/>
    </row>
    <row r="1430" spans="1:14" ht="15" customHeight="1" x14ac:dyDescent="0.25">
      <c r="A1430" s="497"/>
      <c r="C1430" s="404"/>
      <c r="E1430" s="308"/>
      <c r="G1430" s="297"/>
      <c r="H1430" s="297"/>
      <c r="J1430" s="297"/>
      <c r="L1430" s="312"/>
      <c r="N1430" s="297"/>
    </row>
    <row r="1431" spans="1:14" ht="15" customHeight="1" x14ac:dyDescent="0.25">
      <c r="A1431" s="497"/>
      <c r="C1431" s="404"/>
      <c r="E1431" s="308"/>
      <c r="G1431" s="297"/>
      <c r="H1431" s="297"/>
      <c r="J1431" s="297"/>
      <c r="L1431" s="312"/>
      <c r="N1431" s="297"/>
    </row>
    <row r="1432" spans="1:14" ht="15" customHeight="1" x14ac:dyDescent="0.25">
      <c r="A1432" s="497"/>
      <c r="C1432" s="404"/>
      <c r="E1432" s="308"/>
      <c r="G1432" s="297"/>
      <c r="H1432" s="297"/>
      <c r="J1432" s="297"/>
      <c r="L1432" s="312"/>
      <c r="N1432" s="297"/>
    </row>
    <row r="1433" spans="1:14" ht="15" customHeight="1" x14ac:dyDescent="0.25">
      <c r="A1433" s="497"/>
      <c r="C1433" s="404"/>
      <c r="E1433" s="308"/>
      <c r="G1433" s="297"/>
      <c r="H1433" s="297"/>
      <c r="J1433" s="297"/>
      <c r="L1433" s="312"/>
      <c r="N1433" s="297"/>
    </row>
    <row r="1434" spans="1:14" ht="15" customHeight="1" x14ac:dyDescent="0.25">
      <c r="A1434" s="497"/>
      <c r="C1434" s="404"/>
      <c r="E1434" s="308"/>
      <c r="G1434" s="297"/>
      <c r="H1434" s="297"/>
      <c r="J1434" s="297"/>
      <c r="L1434" s="312"/>
      <c r="N1434" s="297"/>
    </row>
    <row r="1435" spans="1:14" ht="15" customHeight="1" x14ac:dyDescent="0.25">
      <c r="A1435" s="497"/>
      <c r="C1435" s="404"/>
      <c r="E1435" s="308"/>
      <c r="G1435" s="297"/>
      <c r="H1435" s="297"/>
      <c r="J1435" s="297"/>
      <c r="L1435" s="312"/>
      <c r="N1435" s="297"/>
    </row>
    <row r="1436" spans="1:14" ht="15" customHeight="1" x14ac:dyDescent="0.25">
      <c r="A1436" s="497"/>
      <c r="C1436" s="404"/>
      <c r="E1436" s="308"/>
      <c r="G1436" s="297"/>
      <c r="H1436" s="297"/>
      <c r="J1436" s="297"/>
      <c r="L1436" s="312"/>
      <c r="N1436" s="297"/>
    </row>
    <row r="1437" spans="1:14" ht="15" customHeight="1" x14ac:dyDescent="0.25">
      <c r="A1437" s="497"/>
      <c r="C1437" s="404"/>
      <c r="E1437" s="308"/>
      <c r="G1437" s="297"/>
      <c r="H1437" s="297"/>
      <c r="J1437" s="297"/>
      <c r="L1437" s="312"/>
      <c r="N1437" s="297"/>
    </row>
    <row r="1438" spans="1:14" ht="15" customHeight="1" x14ac:dyDescent="0.25">
      <c r="A1438" s="497"/>
      <c r="C1438" s="404"/>
      <c r="E1438" s="308"/>
      <c r="G1438" s="297"/>
      <c r="H1438" s="297"/>
      <c r="J1438" s="297"/>
      <c r="L1438" s="312"/>
      <c r="N1438" s="297"/>
    </row>
    <row r="1439" spans="1:14" ht="15" customHeight="1" x14ac:dyDescent="0.25">
      <c r="A1439" s="497"/>
      <c r="C1439" s="404"/>
      <c r="E1439" s="308"/>
      <c r="G1439" s="297"/>
      <c r="H1439" s="297"/>
      <c r="J1439" s="297"/>
      <c r="L1439" s="312"/>
      <c r="N1439" s="297"/>
    </row>
    <row r="1440" spans="1:14" ht="15" customHeight="1" x14ac:dyDescent="0.25">
      <c r="A1440" s="497"/>
      <c r="C1440" s="404"/>
      <c r="E1440" s="308"/>
      <c r="G1440" s="297"/>
      <c r="H1440" s="297"/>
      <c r="J1440" s="297"/>
      <c r="L1440" s="312"/>
      <c r="N1440" s="297"/>
    </row>
    <row r="1441" spans="1:14" ht="15" customHeight="1" x14ac:dyDescent="0.25">
      <c r="A1441" s="497"/>
      <c r="C1441" s="404"/>
      <c r="E1441" s="308"/>
      <c r="G1441" s="297"/>
      <c r="H1441" s="297"/>
      <c r="J1441" s="297"/>
      <c r="L1441" s="312"/>
      <c r="N1441" s="297"/>
    </row>
    <row r="1442" spans="1:14" ht="15" customHeight="1" x14ac:dyDescent="0.25">
      <c r="A1442" s="497"/>
      <c r="C1442" s="404"/>
      <c r="E1442" s="308"/>
      <c r="G1442" s="297"/>
      <c r="H1442" s="297"/>
      <c r="J1442" s="297"/>
      <c r="L1442" s="312"/>
      <c r="N1442" s="297"/>
    </row>
    <row r="1443" spans="1:14" ht="15" customHeight="1" x14ac:dyDescent="0.25">
      <c r="A1443" s="497"/>
      <c r="C1443" s="404"/>
      <c r="E1443" s="308"/>
      <c r="G1443" s="297"/>
      <c r="H1443" s="297"/>
      <c r="J1443" s="297"/>
      <c r="L1443" s="312"/>
      <c r="N1443" s="297"/>
    </row>
    <row r="1444" spans="1:14" ht="15" customHeight="1" x14ac:dyDescent="0.25">
      <c r="A1444" s="497"/>
      <c r="C1444" s="404"/>
      <c r="E1444" s="308"/>
      <c r="G1444" s="297"/>
      <c r="H1444" s="297"/>
      <c r="J1444" s="297"/>
      <c r="L1444" s="312"/>
      <c r="N1444" s="297"/>
    </row>
    <row r="1445" spans="1:14" ht="15" customHeight="1" x14ac:dyDescent="0.25">
      <c r="A1445" s="497"/>
      <c r="C1445" s="404"/>
      <c r="E1445" s="308"/>
      <c r="G1445" s="297"/>
      <c r="H1445" s="297"/>
      <c r="J1445" s="297"/>
      <c r="L1445" s="312"/>
      <c r="N1445" s="297"/>
    </row>
    <row r="1446" spans="1:14" ht="15" customHeight="1" x14ac:dyDescent="0.25">
      <c r="A1446" s="497"/>
      <c r="C1446" s="404"/>
      <c r="E1446" s="308"/>
      <c r="G1446" s="297"/>
      <c r="H1446" s="297"/>
      <c r="J1446" s="297"/>
      <c r="L1446" s="312"/>
      <c r="N1446" s="297"/>
    </row>
    <row r="1447" spans="1:14" ht="15" customHeight="1" x14ac:dyDescent="0.25">
      <c r="A1447" s="497"/>
      <c r="C1447" s="404"/>
      <c r="E1447" s="308"/>
      <c r="G1447" s="297"/>
      <c r="H1447" s="297"/>
      <c r="J1447" s="297"/>
      <c r="L1447" s="312"/>
      <c r="N1447" s="297"/>
    </row>
    <row r="1448" spans="1:14" ht="15" customHeight="1" x14ac:dyDescent="0.25">
      <c r="A1448" s="497"/>
      <c r="C1448" s="404"/>
      <c r="E1448" s="308"/>
      <c r="G1448" s="297"/>
      <c r="H1448" s="297"/>
      <c r="J1448" s="297"/>
      <c r="L1448" s="312"/>
      <c r="N1448" s="297"/>
    </row>
    <row r="1449" spans="1:14" ht="15" customHeight="1" x14ac:dyDescent="0.25">
      <c r="A1449" s="497"/>
      <c r="C1449" s="404"/>
      <c r="E1449" s="308"/>
      <c r="G1449" s="297"/>
      <c r="H1449" s="297"/>
      <c r="J1449" s="297"/>
      <c r="L1449" s="312"/>
      <c r="N1449" s="297"/>
    </row>
    <row r="1450" spans="1:14" ht="15" customHeight="1" x14ac:dyDescent="0.25">
      <c r="A1450" s="497"/>
      <c r="C1450" s="404"/>
      <c r="E1450" s="308"/>
      <c r="G1450" s="297"/>
      <c r="H1450" s="297"/>
      <c r="J1450" s="297"/>
      <c r="L1450" s="312"/>
      <c r="N1450" s="297"/>
    </row>
    <row r="1451" spans="1:14" ht="15" customHeight="1" x14ac:dyDescent="0.25">
      <c r="A1451" s="497"/>
      <c r="C1451" s="404"/>
      <c r="E1451" s="308"/>
      <c r="G1451" s="297"/>
      <c r="H1451" s="297"/>
      <c r="J1451" s="297"/>
      <c r="L1451" s="312"/>
      <c r="N1451" s="297"/>
    </row>
    <row r="1452" spans="1:14" ht="15" customHeight="1" x14ac:dyDescent="0.25">
      <c r="A1452" s="497"/>
      <c r="C1452" s="404"/>
      <c r="E1452" s="308"/>
      <c r="G1452" s="297"/>
      <c r="H1452" s="297"/>
      <c r="J1452" s="297"/>
      <c r="L1452" s="312"/>
      <c r="N1452" s="297"/>
    </row>
    <row r="1453" spans="1:14" ht="15" customHeight="1" x14ac:dyDescent="0.25">
      <c r="A1453" s="497"/>
      <c r="C1453" s="404"/>
      <c r="E1453" s="308"/>
      <c r="G1453" s="297"/>
      <c r="H1453" s="297"/>
      <c r="J1453" s="297"/>
      <c r="L1453" s="312"/>
      <c r="N1453" s="297"/>
    </row>
    <row r="1454" spans="1:14" ht="15" customHeight="1" x14ac:dyDescent="0.25">
      <c r="A1454" s="497"/>
      <c r="C1454" s="404"/>
      <c r="E1454" s="308"/>
      <c r="G1454" s="297"/>
      <c r="H1454" s="297"/>
      <c r="J1454" s="297"/>
      <c r="L1454" s="312"/>
      <c r="N1454" s="297"/>
    </row>
    <row r="1455" spans="1:14" ht="15" customHeight="1" x14ac:dyDescent="0.25">
      <c r="A1455" s="497"/>
      <c r="C1455" s="404"/>
      <c r="E1455" s="308"/>
      <c r="G1455" s="297"/>
      <c r="H1455" s="297"/>
      <c r="J1455" s="297"/>
      <c r="L1455" s="312"/>
      <c r="N1455" s="297"/>
    </row>
    <row r="1456" spans="1:14" ht="15" customHeight="1" x14ac:dyDescent="0.25">
      <c r="A1456" s="497"/>
      <c r="C1456" s="404"/>
      <c r="E1456" s="308"/>
      <c r="G1456" s="297"/>
      <c r="H1456" s="297"/>
      <c r="J1456" s="297"/>
      <c r="L1456" s="312"/>
      <c r="N1456" s="297"/>
    </row>
    <row r="1457" spans="1:14" ht="15" customHeight="1" x14ac:dyDescent="0.25">
      <c r="A1457" s="497"/>
      <c r="C1457" s="404"/>
      <c r="E1457" s="308"/>
      <c r="G1457" s="297"/>
      <c r="H1457" s="297"/>
      <c r="J1457" s="297"/>
      <c r="L1457" s="312"/>
      <c r="N1457" s="297"/>
    </row>
    <row r="1458" spans="1:14" ht="15" customHeight="1" x14ac:dyDescent="0.25">
      <c r="A1458" s="497"/>
      <c r="C1458" s="404"/>
      <c r="E1458" s="308"/>
      <c r="G1458" s="297"/>
      <c r="H1458" s="297"/>
      <c r="J1458" s="297"/>
      <c r="L1458" s="312"/>
      <c r="N1458" s="297"/>
    </row>
    <row r="1459" spans="1:14" ht="15" customHeight="1" x14ac:dyDescent="0.25">
      <c r="A1459" s="497"/>
      <c r="C1459" s="404"/>
      <c r="E1459" s="308"/>
      <c r="G1459" s="297"/>
      <c r="H1459" s="297"/>
      <c r="J1459" s="297"/>
      <c r="L1459" s="312"/>
      <c r="N1459" s="297"/>
    </row>
    <row r="1460" spans="1:14" ht="15" customHeight="1" x14ac:dyDescent="0.25">
      <c r="A1460" s="497"/>
      <c r="C1460" s="404"/>
      <c r="E1460" s="308"/>
      <c r="F1460" s="407">
        <f>SUM(F1461:F1474)</f>
        <v>0</v>
      </c>
      <c r="G1460" s="297"/>
      <c r="H1460" s="297"/>
      <c r="J1460" s="297"/>
      <c r="L1460" s="312"/>
      <c r="N1460" s="297"/>
    </row>
    <row r="1461" spans="1:14" ht="15" customHeight="1" x14ac:dyDescent="0.25">
      <c r="A1461" s="497"/>
      <c r="C1461" s="404"/>
      <c r="E1461" s="308"/>
      <c r="G1461" s="297"/>
      <c r="H1461" s="297"/>
      <c r="J1461" s="297"/>
      <c r="L1461" s="312"/>
      <c r="N1461" s="297"/>
    </row>
    <row r="1462" spans="1:14" ht="15" customHeight="1" x14ac:dyDescent="0.25">
      <c r="A1462" s="497"/>
      <c r="C1462" s="404"/>
      <c r="E1462" s="308"/>
      <c r="G1462" s="297"/>
      <c r="H1462" s="297"/>
      <c r="J1462" s="297"/>
      <c r="L1462" s="312"/>
      <c r="N1462" s="297"/>
    </row>
    <row r="1463" spans="1:14" ht="15" customHeight="1" x14ac:dyDescent="0.25">
      <c r="A1463" s="497"/>
      <c r="C1463" s="404"/>
      <c r="E1463" s="308"/>
      <c r="G1463" s="297"/>
      <c r="H1463" s="297"/>
      <c r="J1463" s="297"/>
      <c r="L1463" s="312"/>
      <c r="N1463" s="297"/>
    </row>
    <row r="1464" spans="1:14" ht="15" customHeight="1" x14ac:dyDescent="0.25">
      <c r="A1464" s="497"/>
      <c r="C1464" s="404"/>
      <c r="E1464" s="308"/>
      <c r="G1464" s="297"/>
      <c r="H1464" s="297"/>
      <c r="J1464" s="297"/>
      <c r="L1464" s="312"/>
      <c r="N1464" s="297"/>
    </row>
    <row r="1465" spans="1:14" ht="15" customHeight="1" x14ac:dyDescent="0.25">
      <c r="A1465" s="497"/>
      <c r="C1465" s="404"/>
      <c r="E1465" s="308"/>
      <c r="G1465" s="297"/>
      <c r="H1465" s="297"/>
      <c r="J1465" s="297"/>
      <c r="L1465" s="312"/>
      <c r="N1465" s="297"/>
    </row>
    <row r="1466" spans="1:14" ht="15" customHeight="1" x14ac:dyDescent="0.25">
      <c r="A1466" s="497"/>
      <c r="C1466" s="404"/>
      <c r="E1466" s="308"/>
      <c r="G1466" s="297"/>
      <c r="H1466" s="297"/>
      <c r="J1466" s="297"/>
      <c r="L1466" s="312"/>
      <c r="N1466" s="297"/>
    </row>
    <row r="1467" spans="1:14" ht="15" customHeight="1" x14ac:dyDescent="0.25">
      <c r="A1467" s="497"/>
      <c r="C1467" s="404"/>
      <c r="E1467" s="308"/>
      <c r="G1467" s="297"/>
      <c r="H1467" s="297"/>
      <c r="J1467" s="297"/>
      <c r="L1467" s="312"/>
      <c r="N1467" s="297"/>
    </row>
    <row r="1468" spans="1:14" ht="15" customHeight="1" x14ac:dyDescent="0.25">
      <c r="A1468" s="497"/>
      <c r="C1468" s="404"/>
      <c r="E1468" s="308"/>
      <c r="G1468" s="297"/>
      <c r="H1468" s="297"/>
      <c r="J1468" s="297"/>
      <c r="L1468" s="312"/>
      <c r="N1468" s="297"/>
    </row>
    <row r="1469" spans="1:14" ht="15" customHeight="1" x14ac:dyDescent="0.25">
      <c r="A1469" s="497"/>
      <c r="C1469" s="404"/>
      <c r="E1469" s="308"/>
      <c r="G1469" s="297"/>
      <c r="H1469" s="297"/>
      <c r="J1469" s="297"/>
      <c r="L1469" s="312"/>
      <c r="N1469" s="297"/>
    </row>
    <row r="1470" spans="1:14" ht="15" customHeight="1" x14ac:dyDescent="0.25">
      <c r="A1470" s="497"/>
      <c r="C1470" s="404"/>
      <c r="E1470" s="308"/>
      <c r="G1470" s="297"/>
      <c r="H1470" s="297"/>
      <c r="J1470" s="297"/>
      <c r="L1470" s="312"/>
      <c r="N1470" s="297"/>
    </row>
    <row r="1471" spans="1:14" ht="15" customHeight="1" x14ac:dyDescent="0.25">
      <c r="A1471" s="497"/>
      <c r="C1471" s="404"/>
      <c r="E1471" s="308"/>
      <c r="G1471" s="297"/>
      <c r="H1471" s="297"/>
      <c r="J1471" s="297"/>
      <c r="L1471" s="312"/>
      <c r="N1471" s="297"/>
    </row>
    <row r="1472" spans="1:14" ht="15" customHeight="1" x14ac:dyDescent="0.25">
      <c r="A1472" s="497"/>
      <c r="C1472" s="404"/>
      <c r="E1472" s="308"/>
      <c r="G1472" s="297"/>
      <c r="H1472" s="297"/>
      <c r="J1472" s="297"/>
      <c r="L1472" s="312"/>
      <c r="N1472" s="297"/>
    </row>
    <row r="1473" spans="1:14" ht="15" customHeight="1" x14ac:dyDescent="0.25">
      <c r="A1473" s="497"/>
      <c r="C1473" s="404"/>
      <c r="E1473" s="308"/>
      <c r="G1473" s="297"/>
      <c r="H1473" s="297"/>
      <c r="J1473" s="297"/>
      <c r="L1473" s="312"/>
      <c r="N1473" s="297"/>
    </row>
    <row r="1474" spans="1:14" ht="15" customHeight="1" x14ac:dyDescent="0.25">
      <c r="A1474" s="497"/>
      <c r="C1474" s="404"/>
      <c r="E1474" s="308"/>
      <c r="G1474" s="297"/>
      <c r="H1474" s="297"/>
      <c r="J1474" s="297"/>
      <c r="L1474" s="312"/>
      <c r="N1474" s="297"/>
    </row>
    <row r="1475" spans="1:14" ht="15" customHeight="1" x14ac:dyDescent="0.25">
      <c r="A1475" s="497"/>
      <c r="C1475" s="404"/>
      <c r="E1475" s="308"/>
      <c r="G1475" s="297"/>
      <c r="H1475" s="297"/>
      <c r="J1475" s="297"/>
      <c r="L1475" s="312"/>
      <c r="N1475" s="297"/>
    </row>
    <row r="1476" spans="1:14" ht="15" customHeight="1" x14ac:dyDescent="0.25">
      <c r="A1476" s="497"/>
      <c r="C1476" s="404"/>
      <c r="E1476" s="308"/>
      <c r="G1476" s="297"/>
      <c r="H1476" s="297"/>
      <c r="J1476" s="297"/>
      <c r="L1476" s="312"/>
      <c r="N1476" s="297"/>
    </row>
    <row r="1477" spans="1:14" ht="15" customHeight="1" x14ac:dyDescent="0.25">
      <c r="A1477" s="497"/>
      <c r="C1477" s="404"/>
      <c r="E1477" s="308"/>
      <c r="G1477" s="297"/>
      <c r="H1477" s="297"/>
      <c r="J1477" s="297"/>
      <c r="L1477" s="312"/>
      <c r="N1477" s="297"/>
    </row>
    <row r="1478" spans="1:14" ht="15" customHeight="1" x14ac:dyDescent="0.25">
      <c r="A1478" s="497"/>
      <c r="C1478" s="404"/>
      <c r="E1478" s="308"/>
      <c r="G1478" s="297"/>
      <c r="H1478" s="297"/>
      <c r="J1478" s="297"/>
      <c r="L1478" s="312"/>
      <c r="N1478" s="297"/>
    </row>
    <row r="1479" spans="1:14" ht="15" customHeight="1" x14ac:dyDescent="0.25">
      <c r="A1479" s="497"/>
      <c r="C1479" s="404"/>
      <c r="E1479" s="308"/>
      <c r="G1479" s="297"/>
      <c r="H1479" s="297"/>
      <c r="J1479" s="297"/>
      <c r="L1479" s="312"/>
      <c r="N1479" s="297"/>
    </row>
    <row r="1480" spans="1:14" ht="15" customHeight="1" x14ac:dyDescent="0.25">
      <c r="A1480" s="497"/>
      <c r="C1480" s="404"/>
      <c r="E1480" s="308"/>
      <c r="G1480" s="297"/>
      <c r="H1480" s="297"/>
      <c r="J1480" s="297"/>
      <c r="L1480" s="312"/>
      <c r="N1480" s="297"/>
    </row>
    <row r="1481" spans="1:14" ht="15" customHeight="1" x14ac:dyDescent="0.25">
      <c r="A1481" s="497"/>
      <c r="C1481" s="404"/>
      <c r="E1481" s="308"/>
      <c r="G1481" s="297"/>
      <c r="H1481" s="297"/>
      <c r="J1481" s="297"/>
      <c r="L1481" s="312"/>
      <c r="N1481" s="297"/>
    </row>
    <row r="1482" spans="1:14" ht="15" customHeight="1" x14ac:dyDescent="0.25">
      <c r="A1482" s="497"/>
      <c r="C1482" s="404"/>
      <c r="E1482" s="308"/>
      <c r="G1482" s="297"/>
      <c r="H1482" s="297"/>
      <c r="J1482" s="297"/>
      <c r="L1482" s="312"/>
      <c r="N1482" s="297"/>
    </row>
    <row r="1483" spans="1:14" ht="15" customHeight="1" x14ac:dyDescent="0.25">
      <c r="A1483" s="497"/>
      <c r="C1483" s="404"/>
      <c r="E1483" s="308"/>
      <c r="G1483" s="297"/>
      <c r="H1483" s="297"/>
      <c r="J1483" s="297"/>
      <c r="L1483" s="312"/>
      <c r="N1483" s="297"/>
    </row>
    <row r="1484" spans="1:14" ht="15" customHeight="1" x14ac:dyDescent="0.25">
      <c r="A1484" s="497"/>
      <c r="C1484" s="404"/>
      <c r="E1484" s="308"/>
      <c r="G1484" s="297"/>
      <c r="H1484" s="297"/>
      <c r="J1484" s="297"/>
      <c r="L1484" s="312"/>
      <c r="N1484" s="297"/>
    </row>
    <row r="1485" spans="1:14" ht="15" customHeight="1" x14ac:dyDescent="0.25">
      <c r="A1485" s="497"/>
      <c r="C1485" s="404"/>
      <c r="E1485" s="308"/>
      <c r="G1485" s="297"/>
      <c r="H1485" s="297"/>
      <c r="J1485" s="297"/>
      <c r="L1485" s="312"/>
      <c r="N1485" s="297"/>
    </row>
    <row r="1486" spans="1:14" ht="15" customHeight="1" x14ac:dyDescent="0.25">
      <c r="A1486" s="497"/>
      <c r="C1486" s="404"/>
      <c r="E1486" s="308"/>
      <c r="G1486" s="297"/>
      <c r="H1486" s="297"/>
      <c r="J1486" s="297"/>
      <c r="L1486" s="312"/>
      <c r="N1486" s="297"/>
    </row>
    <row r="1487" spans="1:14" ht="15" customHeight="1" x14ac:dyDescent="0.25">
      <c r="A1487" s="497"/>
      <c r="C1487" s="404"/>
      <c r="E1487" s="308"/>
      <c r="G1487" s="297"/>
      <c r="H1487" s="297"/>
      <c r="J1487" s="297"/>
      <c r="L1487" s="312"/>
      <c r="N1487" s="297"/>
    </row>
    <row r="1488" spans="1:14" ht="15" customHeight="1" x14ac:dyDescent="0.25">
      <c r="A1488" s="497"/>
      <c r="C1488" s="404"/>
      <c r="E1488" s="308"/>
      <c r="G1488" s="297"/>
      <c r="H1488" s="297"/>
      <c r="J1488" s="297"/>
      <c r="L1488" s="312"/>
      <c r="N1488" s="297"/>
    </row>
    <row r="1489" spans="1:14" ht="15" customHeight="1" x14ac:dyDescent="0.25">
      <c r="A1489" s="497"/>
      <c r="C1489" s="404"/>
      <c r="E1489" s="308"/>
      <c r="G1489" s="297"/>
      <c r="H1489" s="297"/>
      <c r="J1489" s="297"/>
      <c r="L1489" s="312"/>
      <c r="N1489" s="297"/>
    </row>
    <row r="1490" spans="1:14" ht="15" customHeight="1" x14ac:dyDescent="0.25">
      <c r="A1490" s="497"/>
      <c r="C1490" s="404"/>
      <c r="E1490" s="308"/>
      <c r="G1490" s="297"/>
      <c r="H1490" s="297"/>
      <c r="J1490" s="297"/>
      <c r="L1490" s="312"/>
      <c r="N1490" s="297"/>
    </row>
    <row r="1491" spans="1:14" ht="15" customHeight="1" x14ac:dyDescent="0.25">
      <c r="A1491" s="497"/>
      <c r="C1491" s="404"/>
      <c r="E1491" s="308"/>
      <c r="G1491" s="297"/>
      <c r="H1491" s="297"/>
      <c r="J1491" s="297"/>
      <c r="L1491" s="312"/>
      <c r="N1491" s="297"/>
    </row>
    <row r="1492" spans="1:14" ht="15" customHeight="1" x14ac:dyDescent="0.25">
      <c r="A1492" s="497"/>
      <c r="C1492" s="404"/>
      <c r="E1492" s="308"/>
      <c r="G1492" s="297"/>
      <c r="H1492" s="297"/>
      <c r="J1492" s="297"/>
      <c r="L1492" s="312"/>
      <c r="N1492" s="297"/>
    </row>
    <row r="1493" spans="1:14" ht="15" customHeight="1" x14ac:dyDescent="0.25">
      <c r="A1493" s="497"/>
      <c r="C1493" s="404"/>
      <c r="E1493" s="308"/>
      <c r="G1493" s="297"/>
      <c r="H1493" s="297"/>
      <c r="J1493" s="297"/>
      <c r="L1493" s="312"/>
      <c r="N1493" s="297"/>
    </row>
    <row r="1494" spans="1:14" ht="15" customHeight="1" x14ac:dyDescent="0.25">
      <c r="A1494" s="497"/>
      <c r="C1494" s="404"/>
      <c r="E1494" s="308"/>
      <c r="G1494" s="297"/>
      <c r="H1494" s="297"/>
      <c r="J1494" s="297"/>
      <c r="L1494" s="312"/>
      <c r="N1494" s="297"/>
    </row>
    <row r="1495" spans="1:14" ht="15" customHeight="1" x14ac:dyDescent="0.25">
      <c r="A1495" s="497"/>
      <c r="C1495" s="404"/>
      <c r="E1495" s="308"/>
      <c r="G1495" s="297"/>
      <c r="H1495" s="297"/>
      <c r="J1495" s="297"/>
      <c r="L1495" s="312"/>
      <c r="N1495" s="297"/>
    </row>
    <row r="1496" spans="1:14" ht="15" customHeight="1" x14ac:dyDescent="0.25">
      <c r="A1496" s="497"/>
      <c r="C1496" s="404"/>
      <c r="E1496" s="308"/>
      <c r="G1496" s="297"/>
      <c r="H1496" s="297"/>
      <c r="J1496" s="297"/>
      <c r="L1496" s="312"/>
      <c r="N1496" s="297"/>
    </row>
    <row r="1497" spans="1:14" ht="15" customHeight="1" x14ac:dyDescent="0.25">
      <c r="A1497" s="497"/>
      <c r="C1497" s="404"/>
      <c r="E1497" s="308"/>
      <c r="G1497" s="297"/>
      <c r="H1497" s="297"/>
      <c r="J1497" s="297"/>
      <c r="L1497" s="312"/>
      <c r="N1497" s="297"/>
    </row>
    <row r="1498" spans="1:14" ht="15" customHeight="1" x14ac:dyDescent="0.25">
      <c r="A1498" s="497"/>
      <c r="C1498" s="404"/>
      <c r="E1498" s="308"/>
      <c r="G1498" s="297"/>
      <c r="H1498" s="297"/>
      <c r="J1498" s="297"/>
      <c r="L1498" s="312"/>
      <c r="N1498" s="297"/>
    </row>
    <row r="1499" spans="1:14" ht="15" customHeight="1" x14ac:dyDescent="0.25">
      <c r="A1499" s="497"/>
      <c r="C1499" s="404"/>
      <c r="E1499" s="308"/>
      <c r="G1499" s="297"/>
      <c r="H1499" s="297"/>
      <c r="J1499" s="297"/>
      <c r="L1499" s="312"/>
      <c r="N1499" s="297"/>
    </row>
    <row r="1500" spans="1:14" ht="15" customHeight="1" x14ac:dyDescent="0.25">
      <c r="A1500" s="497"/>
      <c r="C1500" s="404"/>
      <c r="E1500" s="308"/>
      <c r="G1500" s="297"/>
      <c r="H1500" s="297"/>
      <c r="J1500" s="297"/>
      <c r="L1500" s="312"/>
      <c r="N1500" s="297"/>
    </row>
    <row r="1501" spans="1:14" ht="15" customHeight="1" x14ac:dyDescent="0.25">
      <c r="A1501" s="497"/>
      <c r="C1501" s="404"/>
      <c r="E1501" s="308"/>
      <c r="G1501" s="297"/>
      <c r="H1501" s="297"/>
      <c r="J1501" s="297"/>
      <c r="L1501" s="312"/>
      <c r="N1501" s="297"/>
    </row>
    <row r="1502" spans="1:14" ht="15" customHeight="1" x14ac:dyDescent="0.25">
      <c r="A1502" s="497"/>
      <c r="C1502" s="404"/>
      <c r="E1502" s="308"/>
      <c r="G1502" s="297"/>
      <c r="H1502" s="297"/>
      <c r="J1502" s="297"/>
      <c r="L1502" s="312"/>
      <c r="N1502" s="297"/>
    </row>
    <row r="1503" spans="1:14" ht="15" customHeight="1" x14ac:dyDescent="0.25">
      <c r="A1503" s="497"/>
      <c r="C1503" s="404"/>
      <c r="E1503" s="308"/>
      <c r="G1503" s="297"/>
      <c r="H1503" s="297"/>
      <c r="J1503" s="297"/>
      <c r="L1503" s="312"/>
      <c r="N1503" s="297"/>
    </row>
    <row r="1504" spans="1:14" ht="15" customHeight="1" x14ac:dyDescent="0.25">
      <c r="A1504" s="497"/>
      <c r="C1504" s="404"/>
      <c r="E1504" s="308"/>
      <c r="G1504" s="297"/>
      <c r="H1504" s="297"/>
      <c r="J1504" s="297"/>
      <c r="L1504" s="312"/>
      <c r="N1504" s="297"/>
    </row>
    <row r="1505" spans="1:14" ht="15" customHeight="1" x14ac:dyDescent="0.25">
      <c r="A1505" s="497"/>
      <c r="C1505" s="404"/>
      <c r="E1505" s="308"/>
      <c r="G1505" s="297"/>
      <c r="H1505" s="297"/>
      <c r="J1505" s="297"/>
      <c r="L1505" s="312"/>
      <c r="N1505" s="297"/>
    </row>
    <row r="1506" spans="1:14" ht="15" customHeight="1" x14ac:dyDescent="0.25">
      <c r="A1506" s="497"/>
      <c r="C1506" s="404"/>
      <c r="E1506" s="308"/>
      <c r="G1506" s="297"/>
      <c r="H1506" s="297"/>
      <c r="J1506" s="297"/>
      <c r="L1506" s="312"/>
      <c r="N1506" s="297"/>
    </row>
    <row r="1507" spans="1:14" ht="15" customHeight="1" x14ac:dyDescent="0.25">
      <c r="A1507" s="497"/>
      <c r="C1507" s="404"/>
      <c r="E1507" s="308"/>
      <c r="G1507" s="297"/>
      <c r="H1507" s="297"/>
      <c r="J1507" s="297"/>
      <c r="L1507" s="312"/>
      <c r="N1507" s="297"/>
    </row>
    <row r="1508" spans="1:14" ht="15" customHeight="1" x14ac:dyDescent="0.25">
      <c r="A1508" s="497"/>
      <c r="C1508" s="404"/>
      <c r="E1508" s="308"/>
      <c r="G1508" s="297"/>
      <c r="H1508" s="297"/>
      <c r="J1508" s="297"/>
      <c r="L1508" s="312"/>
      <c r="N1508" s="297"/>
    </row>
    <row r="1509" spans="1:14" ht="15" customHeight="1" x14ac:dyDescent="0.25">
      <c r="A1509" s="497"/>
      <c r="C1509" s="404"/>
      <c r="E1509" s="308"/>
      <c r="G1509" s="297"/>
      <c r="H1509" s="297"/>
      <c r="J1509" s="297"/>
      <c r="L1509" s="312"/>
      <c r="N1509" s="297"/>
    </row>
    <row r="1510" spans="1:14" ht="15" customHeight="1" x14ac:dyDescent="0.25">
      <c r="A1510" s="497"/>
      <c r="C1510" s="404"/>
      <c r="E1510" s="308"/>
      <c r="G1510" s="297"/>
      <c r="H1510" s="297"/>
      <c r="J1510" s="297"/>
      <c r="L1510" s="312"/>
      <c r="N1510" s="297"/>
    </row>
    <row r="1511" spans="1:14" ht="15" customHeight="1" x14ac:dyDescent="0.25">
      <c r="A1511" s="497"/>
      <c r="C1511" s="404"/>
      <c r="E1511" s="308"/>
      <c r="G1511" s="297"/>
      <c r="H1511" s="297"/>
      <c r="J1511" s="297"/>
      <c r="L1511" s="312"/>
      <c r="N1511" s="297"/>
    </row>
    <row r="1512" spans="1:14" ht="15" customHeight="1" x14ac:dyDescent="0.25">
      <c r="A1512" s="497"/>
      <c r="C1512" s="404"/>
      <c r="E1512" s="308"/>
      <c r="G1512" s="297"/>
      <c r="H1512" s="297"/>
      <c r="J1512" s="297"/>
      <c r="L1512" s="312"/>
      <c r="N1512" s="297"/>
    </row>
    <row r="1513" spans="1:14" ht="15" customHeight="1" x14ac:dyDescent="0.25">
      <c r="A1513" s="497"/>
      <c r="C1513" s="404"/>
      <c r="E1513" s="308"/>
      <c r="G1513" s="297"/>
      <c r="H1513" s="297"/>
      <c r="J1513" s="297"/>
      <c r="L1513" s="312"/>
      <c r="N1513" s="297"/>
    </row>
    <row r="1514" spans="1:14" ht="15" customHeight="1" x14ac:dyDescent="0.25">
      <c r="A1514" s="497"/>
      <c r="C1514" s="404"/>
      <c r="E1514" s="308"/>
      <c r="G1514" s="297"/>
      <c r="H1514" s="297"/>
      <c r="J1514" s="297"/>
      <c r="L1514" s="312"/>
      <c r="N1514" s="297"/>
    </row>
    <row r="1515" spans="1:14" ht="15" customHeight="1" x14ac:dyDescent="0.25">
      <c r="A1515" s="497"/>
      <c r="C1515" s="404"/>
      <c r="E1515" s="308"/>
      <c r="G1515" s="297"/>
      <c r="H1515" s="297"/>
      <c r="J1515" s="297"/>
      <c r="L1515" s="312"/>
      <c r="N1515" s="297"/>
    </row>
    <row r="1516" spans="1:14" ht="15" customHeight="1" x14ac:dyDescent="0.25">
      <c r="A1516" s="497"/>
      <c r="C1516" s="404"/>
      <c r="E1516" s="308"/>
      <c r="G1516" s="297"/>
      <c r="H1516" s="297"/>
      <c r="J1516" s="297"/>
      <c r="L1516" s="312"/>
      <c r="N1516" s="297"/>
    </row>
    <row r="1517" spans="1:14" ht="15" customHeight="1" x14ac:dyDescent="0.25">
      <c r="A1517" s="497"/>
      <c r="C1517" s="404"/>
      <c r="E1517" s="308"/>
      <c r="G1517" s="297"/>
      <c r="H1517" s="297"/>
      <c r="J1517" s="297"/>
      <c r="L1517" s="312"/>
      <c r="N1517" s="297"/>
    </row>
    <row r="1518" spans="1:14" ht="15" customHeight="1" x14ac:dyDescent="0.25">
      <c r="A1518" s="497"/>
      <c r="C1518" s="404"/>
      <c r="E1518" s="308"/>
      <c r="G1518" s="297"/>
      <c r="H1518" s="297"/>
      <c r="J1518" s="297"/>
      <c r="L1518" s="312"/>
      <c r="N1518" s="297"/>
    </row>
    <row r="1519" spans="1:14" ht="15" customHeight="1" x14ac:dyDescent="0.25">
      <c r="A1519" s="497"/>
      <c r="C1519" s="404"/>
      <c r="E1519" s="308"/>
      <c r="G1519" s="297"/>
      <c r="H1519" s="297"/>
      <c r="J1519" s="297"/>
      <c r="L1519" s="312"/>
      <c r="N1519" s="297"/>
    </row>
    <row r="1520" spans="1:14" ht="15" customHeight="1" x14ac:dyDescent="0.25">
      <c r="A1520" s="497"/>
      <c r="C1520" s="404"/>
      <c r="E1520" s="308"/>
      <c r="G1520" s="297"/>
      <c r="H1520" s="297"/>
      <c r="J1520" s="297"/>
      <c r="L1520" s="312"/>
      <c r="N1520" s="297"/>
    </row>
    <row r="1521" spans="1:14" ht="15" customHeight="1" x14ac:dyDescent="0.25">
      <c r="A1521" s="497"/>
      <c r="C1521" s="404"/>
      <c r="E1521" s="308"/>
      <c r="G1521" s="297"/>
      <c r="H1521" s="297"/>
      <c r="J1521" s="297"/>
      <c r="L1521" s="312"/>
      <c r="N1521" s="297"/>
    </row>
    <row r="1522" spans="1:14" ht="15" customHeight="1" x14ac:dyDescent="0.25">
      <c r="A1522" s="497"/>
      <c r="C1522" s="404"/>
      <c r="E1522" s="308"/>
      <c r="G1522" s="297"/>
      <c r="H1522" s="297"/>
      <c r="J1522" s="297"/>
      <c r="L1522" s="312"/>
      <c r="N1522" s="297"/>
    </row>
    <row r="1523" spans="1:14" ht="15" customHeight="1" x14ac:dyDescent="0.25">
      <c r="A1523" s="497"/>
      <c r="C1523" s="404"/>
      <c r="E1523" s="308"/>
      <c r="G1523" s="297"/>
      <c r="H1523" s="297"/>
      <c r="J1523" s="297"/>
      <c r="L1523" s="312"/>
      <c r="N1523" s="297"/>
    </row>
    <row r="1524" spans="1:14" ht="15" customHeight="1" x14ac:dyDescent="0.25">
      <c r="A1524" s="497"/>
      <c r="C1524" s="404"/>
      <c r="E1524" s="308"/>
      <c r="G1524" s="297"/>
      <c r="H1524" s="297"/>
      <c r="J1524" s="297"/>
      <c r="L1524" s="312"/>
      <c r="N1524" s="297"/>
    </row>
    <row r="1525" spans="1:14" ht="15" customHeight="1" x14ac:dyDescent="0.25">
      <c r="A1525" s="497"/>
      <c r="C1525" s="404"/>
      <c r="E1525" s="308"/>
      <c r="G1525" s="297"/>
      <c r="H1525" s="297"/>
      <c r="J1525" s="297"/>
      <c r="L1525" s="312"/>
      <c r="N1525" s="297"/>
    </row>
    <row r="1526" spans="1:14" ht="15" customHeight="1" x14ac:dyDescent="0.25">
      <c r="A1526" s="497"/>
      <c r="C1526" s="404"/>
      <c r="E1526" s="308"/>
      <c r="G1526" s="297"/>
      <c r="H1526" s="297"/>
      <c r="J1526" s="297"/>
      <c r="L1526" s="312"/>
      <c r="N1526" s="297"/>
    </row>
    <row r="1527" spans="1:14" ht="15" customHeight="1" x14ac:dyDescent="0.25">
      <c r="A1527" s="497"/>
      <c r="C1527" s="404"/>
      <c r="E1527" s="308"/>
      <c r="G1527" s="297"/>
      <c r="H1527" s="297"/>
      <c r="J1527" s="297"/>
      <c r="L1527" s="312"/>
      <c r="N1527" s="297"/>
    </row>
    <row r="1528" spans="1:14" ht="15" customHeight="1" x14ac:dyDescent="0.25">
      <c r="A1528" s="497"/>
      <c r="C1528" s="404"/>
      <c r="E1528" s="308"/>
      <c r="G1528" s="297"/>
      <c r="H1528" s="297"/>
      <c r="J1528" s="297"/>
      <c r="L1528" s="312"/>
      <c r="N1528" s="297"/>
    </row>
    <row r="1529" spans="1:14" ht="15" customHeight="1" x14ac:dyDescent="0.25">
      <c r="A1529" s="497"/>
      <c r="C1529" s="404"/>
      <c r="E1529" s="308"/>
      <c r="G1529" s="297"/>
      <c r="H1529" s="297"/>
      <c r="J1529" s="297"/>
      <c r="L1529" s="312"/>
      <c r="N1529" s="297"/>
    </row>
    <row r="1530" spans="1:14" ht="15" customHeight="1" x14ac:dyDescent="0.25">
      <c r="A1530" s="497"/>
      <c r="C1530" s="404"/>
      <c r="E1530" s="308"/>
      <c r="G1530" s="297"/>
      <c r="H1530" s="297"/>
      <c r="J1530" s="297"/>
      <c r="L1530" s="312"/>
      <c r="N1530" s="297"/>
    </row>
    <row r="1531" spans="1:14" ht="15" customHeight="1" x14ac:dyDescent="0.25">
      <c r="A1531" s="497"/>
      <c r="C1531" s="404"/>
      <c r="E1531" s="308"/>
      <c r="G1531" s="297"/>
      <c r="H1531" s="297"/>
      <c r="J1531" s="297"/>
      <c r="L1531" s="312"/>
      <c r="N1531" s="297"/>
    </row>
    <row r="1532" spans="1:14" ht="15" customHeight="1" x14ac:dyDescent="0.25">
      <c r="A1532" s="497"/>
      <c r="C1532" s="404"/>
      <c r="E1532" s="308"/>
      <c r="G1532" s="297"/>
      <c r="H1532" s="297"/>
      <c r="J1532" s="297"/>
      <c r="L1532" s="312"/>
      <c r="N1532" s="297"/>
    </row>
    <row r="1533" spans="1:14" ht="15" customHeight="1" x14ac:dyDescent="0.25">
      <c r="A1533" s="497"/>
      <c r="C1533" s="404"/>
      <c r="E1533" s="308"/>
      <c r="G1533" s="297"/>
      <c r="H1533" s="297"/>
      <c r="J1533" s="297"/>
      <c r="L1533" s="312"/>
      <c r="N1533" s="297"/>
    </row>
    <row r="1534" spans="1:14" ht="15" customHeight="1" x14ac:dyDescent="0.25">
      <c r="A1534" s="497"/>
      <c r="C1534" s="404"/>
      <c r="E1534" s="308"/>
      <c r="G1534" s="297"/>
      <c r="H1534" s="297"/>
      <c r="J1534" s="297"/>
      <c r="L1534" s="312"/>
      <c r="N1534" s="297"/>
    </row>
    <row r="1535" spans="1:14" ht="15" customHeight="1" x14ac:dyDescent="0.25">
      <c r="A1535" s="497"/>
      <c r="C1535" s="404"/>
      <c r="E1535" s="308"/>
      <c r="G1535" s="297"/>
      <c r="H1535" s="297"/>
      <c r="J1535" s="297"/>
      <c r="L1535" s="312"/>
      <c r="N1535" s="297"/>
    </row>
    <row r="1536" spans="1:14" ht="15" customHeight="1" x14ac:dyDescent="0.25">
      <c r="A1536" s="497"/>
      <c r="C1536" s="404"/>
      <c r="E1536" s="308"/>
      <c r="G1536" s="297"/>
      <c r="H1536" s="297"/>
      <c r="J1536" s="297"/>
      <c r="L1536" s="312"/>
      <c r="N1536" s="297"/>
    </row>
    <row r="1537" spans="1:14" ht="15" customHeight="1" x14ac:dyDescent="0.25">
      <c r="A1537" s="497"/>
      <c r="C1537" s="404"/>
      <c r="E1537" s="308"/>
      <c r="G1537" s="297"/>
      <c r="H1537" s="297"/>
      <c r="J1537" s="297"/>
      <c r="L1537" s="312"/>
      <c r="N1537" s="297"/>
    </row>
    <row r="1538" spans="1:14" ht="15" customHeight="1" x14ac:dyDescent="0.25">
      <c r="A1538" s="497"/>
      <c r="C1538" s="404"/>
      <c r="E1538" s="308"/>
      <c r="G1538" s="297"/>
      <c r="H1538" s="297"/>
      <c r="J1538" s="297"/>
      <c r="L1538" s="312"/>
      <c r="N1538" s="297"/>
    </row>
    <row r="1539" spans="1:14" ht="15" customHeight="1" x14ac:dyDescent="0.25">
      <c r="A1539" s="497"/>
      <c r="C1539" s="404"/>
      <c r="E1539" s="308"/>
      <c r="G1539" s="297"/>
      <c r="H1539" s="297"/>
      <c r="J1539" s="297"/>
      <c r="L1539" s="312"/>
      <c r="N1539" s="297"/>
    </row>
    <row r="1540" spans="1:14" ht="15" customHeight="1" x14ac:dyDescent="0.25">
      <c r="A1540" s="497"/>
      <c r="C1540" s="404"/>
      <c r="E1540" s="308"/>
      <c r="G1540" s="297"/>
      <c r="H1540" s="297"/>
      <c r="J1540" s="297"/>
      <c r="L1540" s="312"/>
      <c r="N1540" s="297"/>
    </row>
    <row r="1541" spans="1:14" ht="15" customHeight="1" x14ac:dyDescent="0.25">
      <c r="A1541" s="497"/>
      <c r="C1541" s="404"/>
      <c r="E1541" s="308"/>
      <c r="G1541" s="297"/>
      <c r="H1541" s="297"/>
      <c r="J1541" s="297"/>
      <c r="L1541" s="312"/>
      <c r="N1541" s="297"/>
    </row>
    <row r="1542" spans="1:14" ht="15" customHeight="1" x14ac:dyDescent="0.25">
      <c r="A1542" s="497"/>
      <c r="C1542" s="404"/>
      <c r="E1542" s="308"/>
      <c r="G1542" s="297"/>
      <c r="H1542" s="297"/>
      <c r="J1542" s="297"/>
      <c r="L1542" s="312"/>
      <c r="N1542" s="297"/>
    </row>
    <row r="1543" spans="1:14" ht="15" customHeight="1" x14ac:dyDescent="0.25">
      <c r="A1543" s="497"/>
      <c r="C1543" s="404"/>
      <c r="E1543" s="308"/>
      <c r="G1543" s="297"/>
      <c r="H1543" s="297"/>
      <c r="J1543" s="297"/>
      <c r="L1543" s="312"/>
      <c r="N1543" s="297"/>
    </row>
    <row r="1544" spans="1:14" ht="15" customHeight="1" x14ac:dyDescent="0.25">
      <c r="A1544" s="497"/>
      <c r="C1544" s="404"/>
      <c r="E1544" s="308"/>
      <c r="G1544" s="297"/>
      <c r="H1544" s="297"/>
      <c r="J1544" s="297"/>
      <c r="L1544" s="312"/>
      <c r="N1544" s="297"/>
    </row>
    <row r="1545" spans="1:14" ht="15" customHeight="1" x14ac:dyDescent="0.25">
      <c r="A1545" s="497"/>
      <c r="C1545" s="404"/>
      <c r="E1545" s="308"/>
      <c r="G1545" s="297"/>
      <c r="H1545" s="297"/>
      <c r="J1545" s="297"/>
      <c r="L1545" s="312"/>
      <c r="N1545" s="297"/>
    </row>
    <row r="1546" spans="1:14" ht="15" customHeight="1" x14ac:dyDescent="0.25">
      <c r="A1546" s="497"/>
      <c r="C1546" s="404"/>
      <c r="E1546" s="308"/>
      <c r="G1546" s="297"/>
      <c r="H1546" s="297"/>
      <c r="J1546" s="297"/>
      <c r="L1546" s="312"/>
      <c r="N1546" s="297"/>
    </row>
    <row r="1547" spans="1:14" ht="15" customHeight="1" x14ac:dyDescent="0.25">
      <c r="A1547" s="497"/>
      <c r="C1547" s="404"/>
      <c r="E1547" s="308"/>
      <c r="G1547" s="297"/>
      <c r="H1547" s="297"/>
      <c r="J1547" s="297"/>
      <c r="L1547" s="312"/>
      <c r="N1547" s="297"/>
    </row>
    <row r="1548" spans="1:14" ht="15" customHeight="1" x14ac:dyDescent="0.25">
      <c r="A1548" s="497"/>
      <c r="C1548" s="404"/>
      <c r="E1548" s="308"/>
      <c r="G1548" s="297"/>
      <c r="H1548" s="297"/>
      <c r="J1548" s="297"/>
      <c r="L1548" s="312"/>
      <c r="N1548" s="297"/>
    </row>
    <row r="1549" spans="1:14" ht="15" customHeight="1" x14ac:dyDescent="0.25">
      <c r="A1549" s="497"/>
      <c r="C1549" s="404"/>
      <c r="E1549" s="308"/>
      <c r="G1549" s="297"/>
      <c r="H1549" s="297"/>
      <c r="J1549" s="297"/>
      <c r="L1549" s="312"/>
      <c r="N1549" s="297"/>
    </row>
    <row r="1550" spans="1:14" ht="15" customHeight="1" x14ac:dyDescent="0.25">
      <c r="A1550" s="497"/>
      <c r="C1550" s="404"/>
      <c r="E1550" s="308"/>
      <c r="G1550" s="297"/>
      <c r="H1550" s="297"/>
      <c r="J1550" s="297"/>
      <c r="L1550" s="312"/>
      <c r="N1550" s="297"/>
    </row>
    <row r="1551" spans="1:14" ht="15" customHeight="1" x14ac:dyDescent="0.25">
      <c r="A1551" s="497"/>
      <c r="C1551" s="404"/>
      <c r="E1551" s="308"/>
      <c r="G1551" s="297"/>
      <c r="H1551" s="297"/>
      <c r="J1551" s="297"/>
      <c r="L1551" s="312"/>
      <c r="N1551" s="297"/>
    </row>
    <row r="1552" spans="1:14" ht="15" customHeight="1" x14ac:dyDescent="0.25">
      <c r="A1552" s="497"/>
      <c r="C1552" s="404"/>
      <c r="E1552" s="308"/>
      <c r="G1552" s="297"/>
      <c r="H1552" s="297"/>
      <c r="J1552" s="297"/>
      <c r="L1552" s="312"/>
      <c r="N1552" s="297"/>
    </row>
    <row r="1553" spans="1:14" ht="15" customHeight="1" x14ac:dyDescent="0.25">
      <c r="A1553" s="497"/>
      <c r="C1553" s="404"/>
      <c r="E1553" s="308"/>
      <c r="G1553" s="297"/>
      <c r="H1553" s="297"/>
      <c r="J1553" s="297"/>
      <c r="L1553" s="312"/>
      <c r="N1553" s="297"/>
    </row>
    <row r="1554" spans="1:14" ht="15" customHeight="1" x14ac:dyDescent="0.25">
      <c r="A1554" s="497"/>
      <c r="C1554" s="404"/>
      <c r="E1554" s="308"/>
      <c r="G1554" s="297"/>
      <c r="H1554" s="297"/>
      <c r="J1554" s="297"/>
      <c r="L1554" s="312"/>
      <c r="N1554" s="297"/>
    </row>
    <row r="1555" spans="1:14" ht="15" customHeight="1" x14ac:dyDescent="0.25">
      <c r="A1555" s="497"/>
      <c r="C1555" s="404"/>
      <c r="E1555" s="308"/>
      <c r="G1555" s="297"/>
      <c r="H1555" s="297"/>
      <c r="J1555" s="297"/>
      <c r="L1555" s="312"/>
      <c r="N1555" s="297"/>
    </row>
    <row r="1556" spans="1:14" ht="15" customHeight="1" x14ac:dyDescent="0.25">
      <c r="A1556" s="497"/>
      <c r="C1556" s="404"/>
      <c r="E1556" s="308"/>
      <c r="G1556" s="297"/>
      <c r="H1556" s="297"/>
      <c r="J1556" s="297"/>
      <c r="L1556" s="312"/>
      <c r="N1556" s="297"/>
    </row>
    <row r="1557" spans="1:14" ht="15" customHeight="1" x14ac:dyDescent="0.25">
      <c r="A1557" s="497"/>
      <c r="C1557" s="404"/>
      <c r="E1557" s="308"/>
      <c r="G1557" s="297"/>
      <c r="H1557" s="297"/>
      <c r="J1557" s="297"/>
      <c r="L1557" s="312"/>
      <c r="N1557" s="297"/>
    </row>
    <row r="1558" spans="1:14" ht="15" customHeight="1" x14ac:dyDescent="0.25">
      <c r="A1558" s="497"/>
      <c r="C1558" s="404"/>
      <c r="E1558" s="308"/>
      <c r="G1558" s="297"/>
      <c r="H1558" s="297"/>
      <c r="J1558" s="297"/>
      <c r="L1558" s="312"/>
      <c r="N1558" s="297"/>
    </row>
    <row r="1559" spans="1:14" ht="15" customHeight="1" x14ac:dyDescent="0.25">
      <c r="A1559" s="497"/>
      <c r="C1559" s="404"/>
      <c r="E1559" s="308"/>
      <c r="G1559" s="297"/>
      <c r="H1559" s="297"/>
      <c r="J1559" s="297"/>
      <c r="L1559" s="312"/>
      <c r="N1559" s="297"/>
    </row>
    <row r="1560" spans="1:14" ht="15" customHeight="1" x14ac:dyDescent="0.25">
      <c r="A1560" s="497"/>
      <c r="C1560" s="404"/>
      <c r="E1560" s="308"/>
      <c r="G1560" s="297"/>
      <c r="H1560" s="297"/>
      <c r="J1560" s="297"/>
      <c r="L1560" s="312"/>
      <c r="N1560" s="297"/>
    </row>
    <row r="1561" spans="1:14" ht="15" customHeight="1" x14ac:dyDescent="0.25">
      <c r="A1561" s="497"/>
      <c r="C1561" s="404"/>
      <c r="E1561" s="308"/>
      <c r="G1561" s="297"/>
      <c r="H1561" s="297"/>
      <c r="J1561" s="297"/>
      <c r="L1561" s="312"/>
      <c r="N1561" s="297"/>
    </row>
    <row r="1562" spans="1:14" ht="15" customHeight="1" x14ac:dyDescent="0.25">
      <c r="A1562" s="497"/>
      <c r="C1562" s="404"/>
      <c r="E1562" s="308"/>
      <c r="G1562" s="297"/>
      <c r="H1562" s="297"/>
      <c r="J1562" s="297"/>
      <c r="L1562" s="312"/>
      <c r="N1562" s="297"/>
    </row>
    <row r="1563" spans="1:14" ht="15" customHeight="1" x14ac:dyDescent="0.25">
      <c r="A1563" s="497"/>
      <c r="C1563" s="404"/>
      <c r="E1563" s="308"/>
      <c r="G1563" s="297"/>
      <c r="H1563" s="297"/>
      <c r="J1563" s="297"/>
      <c r="L1563" s="312"/>
      <c r="N1563" s="297"/>
    </row>
    <row r="1564" spans="1:14" ht="15" customHeight="1" x14ac:dyDescent="0.25">
      <c r="A1564" s="497"/>
      <c r="C1564" s="404"/>
      <c r="E1564" s="308"/>
      <c r="G1564" s="297"/>
      <c r="H1564" s="297"/>
      <c r="J1564" s="297"/>
      <c r="L1564" s="312"/>
      <c r="N1564" s="297"/>
    </row>
    <row r="1565" spans="1:14" ht="15" customHeight="1" x14ac:dyDescent="0.25">
      <c r="A1565" s="497"/>
      <c r="C1565" s="404"/>
      <c r="E1565" s="308"/>
      <c r="G1565" s="297"/>
      <c r="H1565" s="297"/>
      <c r="J1565" s="297"/>
      <c r="L1565" s="312"/>
      <c r="N1565" s="297"/>
    </row>
    <row r="1566" spans="1:14" ht="15" customHeight="1" x14ac:dyDescent="0.25">
      <c r="A1566" s="497"/>
      <c r="C1566" s="404"/>
      <c r="E1566" s="308"/>
      <c r="G1566" s="297"/>
      <c r="H1566" s="297"/>
      <c r="J1566" s="297"/>
      <c r="L1566" s="312"/>
      <c r="N1566" s="297"/>
    </row>
    <row r="1567" spans="1:14" ht="15" customHeight="1" x14ac:dyDescent="0.25">
      <c r="A1567" s="497"/>
      <c r="C1567" s="404"/>
      <c r="E1567" s="308"/>
      <c r="G1567" s="297"/>
      <c r="H1567" s="297"/>
      <c r="J1567" s="297"/>
      <c r="L1567" s="312"/>
      <c r="N1567" s="297"/>
    </row>
    <row r="1568" spans="1:14" ht="15" customHeight="1" x14ac:dyDescent="0.25">
      <c r="A1568" s="497"/>
      <c r="C1568" s="404"/>
      <c r="E1568" s="308"/>
      <c r="G1568" s="297"/>
      <c r="H1568" s="297"/>
      <c r="J1568" s="297"/>
      <c r="L1568" s="312"/>
      <c r="N1568" s="297"/>
    </row>
    <row r="1569" spans="1:14" ht="15" customHeight="1" x14ac:dyDescent="0.25">
      <c r="A1569" s="497"/>
      <c r="C1569" s="404"/>
      <c r="E1569" s="308"/>
      <c r="G1569" s="297"/>
      <c r="H1569" s="297"/>
      <c r="J1569" s="297"/>
      <c r="L1569" s="312"/>
      <c r="N1569" s="297"/>
    </row>
    <row r="1570" spans="1:14" ht="15" customHeight="1" x14ac:dyDescent="0.25">
      <c r="A1570" s="497"/>
      <c r="C1570" s="404"/>
      <c r="E1570" s="308"/>
      <c r="G1570" s="297"/>
      <c r="H1570" s="297"/>
      <c r="J1570" s="297"/>
      <c r="L1570" s="312"/>
      <c r="N1570" s="297"/>
    </row>
    <row r="1571" spans="1:14" ht="15" customHeight="1" x14ac:dyDescent="0.25">
      <c r="A1571" s="497"/>
      <c r="C1571" s="404"/>
      <c r="E1571" s="308"/>
      <c r="G1571" s="297"/>
      <c r="H1571" s="297"/>
      <c r="J1571" s="297"/>
      <c r="L1571" s="312"/>
      <c r="N1571" s="297"/>
    </row>
    <row r="1572" spans="1:14" ht="15" customHeight="1" x14ac:dyDescent="0.25">
      <c r="A1572" s="497"/>
      <c r="C1572" s="404"/>
      <c r="E1572" s="308"/>
      <c r="G1572" s="297"/>
      <c r="H1572" s="297"/>
      <c r="J1572" s="297"/>
      <c r="L1572" s="312"/>
      <c r="N1572" s="297"/>
    </row>
    <row r="1573" spans="1:14" ht="15" customHeight="1" x14ac:dyDescent="0.25">
      <c r="A1573" s="497"/>
      <c r="C1573" s="404"/>
      <c r="E1573" s="308"/>
      <c r="G1573" s="297"/>
      <c r="H1573" s="297"/>
      <c r="J1573" s="297"/>
      <c r="L1573" s="312"/>
      <c r="N1573" s="297"/>
    </row>
    <row r="1574" spans="1:14" ht="15" customHeight="1" x14ac:dyDescent="0.25">
      <c r="A1574" s="497"/>
      <c r="C1574" s="404"/>
      <c r="E1574" s="308"/>
      <c r="G1574" s="297"/>
      <c r="H1574" s="297"/>
      <c r="J1574" s="297"/>
      <c r="L1574" s="312"/>
      <c r="N1574" s="297"/>
    </row>
    <row r="1575" spans="1:14" ht="15" customHeight="1" x14ac:dyDescent="0.25">
      <c r="A1575" s="497"/>
      <c r="C1575" s="404"/>
      <c r="E1575" s="308"/>
      <c r="G1575" s="297"/>
      <c r="H1575" s="297"/>
      <c r="J1575" s="297"/>
      <c r="L1575" s="312"/>
      <c r="N1575" s="297"/>
    </row>
    <row r="1576" spans="1:14" ht="15" customHeight="1" x14ac:dyDescent="0.25">
      <c r="A1576" s="497"/>
      <c r="C1576" s="404"/>
      <c r="E1576" s="308"/>
      <c r="G1576" s="297"/>
      <c r="H1576" s="297"/>
      <c r="J1576" s="297"/>
      <c r="L1576" s="312"/>
      <c r="N1576" s="297"/>
    </row>
    <row r="1577" spans="1:14" ht="15" customHeight="1" x14ac:dyDescent="0.25">
      <c r="A1577" s="497"/>
      <c r="C1577" s="404"/>
      <c r="E1577" s="308"/>
      <c r="G1577" s="297"/>
      <c r="H1577" s="297"/>
      <c r="J1577" s="297"/>
      <c r="L1577" s="312"/>
      <c r="N1577" s="297"/>
    </row>
    <row r="1578" spans="1:14" ht="15" customHeight="1" x14ac:dyDescent="0.25">
      <c r="A1578" s="497"/>
      <c r="C1578" s="404"/>
      <c r="E1578" s="308"/>
      <c r="G1578" s="297"/>
      <c r="H1578" s="297"/>
      <c r="J1578" s="297"/>
      <c r="L1578" s="312"/>
      <c r="N1578" s="297"/>
    </row>
    <row r="1579" spans="1:14" ht="15" customHeight="1" x14ac:dyDescent="0.25">
      <c r="A1579" s="497"/>
      <c r="C1579" s="404"/>
      <c r="E1579" s="308"/>
      <c r="G1579" s="297"/>
      <c r="H1579" s="297"/>
      <c r="J1579" s="297"/>
      <c r="L1579" s="312"/>
      <c r="N1579" s="297"/>
    </row>
    <row r="1580" spans="1:14" ht="15" customHeight="1" x14ac:dyDescent="0.25">
      <c r="A1580" s="497"/>
      <c r="C1580" s="404"/>
      <c r="E1580" s="308"/>
      <c r="G1580" s="297"/>
      <c r="H1580" s="297"/>
      <c r="J1580" s="297"/>
      <c r="L1580" s="312"/>
      <c r="N1580" s="297"/>
    </row>
    <row r="1581" spans="1:14" ht="15" customHeight="1" x14ac:dyDescent="0.25">
      <c r="A1581" s="497"/>
      <c r="C1581" s="404"/>
      <c r="E1581" s="308"/>
      <c r="G1581" s="297"/>
      <c r="H1581" s="297"/>
      <c r="J1581" s="297"/>
      <c r="L1581" s="312"/>
      <c r="N1581" s="297"/>
    </row>
    <row r="1582" spans="1:14" ht="15" customHeight="1" x14ac:dyDescent="0.25">
      <c r="A1582" s="497"/>
      <c r="C1582" s="404"/>
      <c r="E1582" s="308"/>
      <c r="G1582" s="297"/>
      <c r="H1582" s="297"/>
      <c r="J1582" s="297"/>
      <c r="L1582" s="312"/>
      <c r="N1582" s="297"/>
    </row>
    <row r="1583" spans="1:14" ht="15" customHeight="1" x14ac:dyDescent="0.25">
      <c r="A1583" s="497"/>
      <c r="C1583" s="404"/>
      <c r="E1583" s="308"/>
      <c r="G1583" s="297"/>
      <c r="H1583" s="297"/>
      <c r="J1583" s="297"/>
      <c r="L1583" s="312"/>
      <c r="N1583" s="297"/>
    </row>
    <row r="1584" spans="1:14" ht="15" customHeight="1" x14ac:dyDescent="0.25">
      <c r="A1584" s="497"/>
      <c r="C1584" s="404"/>
      <c r="E1584" s="308"/>
      <c r="G1584" s="297"/>
      <c r="H1584" s="297"/>
      <c r="J1584" s="297"/>
      <c r="L1584" s="312"/>
      <c r="N1584" s="297"/>
    </row>
    <row r="1585" spans="1:14" ht="15" customHeight="1" x14ac:dyDescent="0.25">
      <c r="A1585" s="497"/>
      <c r="C1585" s="404"/>
      <c r="E1585" s="308"/>
      <c r="G1585" s="297"/>
      <c r="H1585" s="297"/>
      <c r="J1585" s="297"/>
      <c r="L1585" s="312"/>
      <c r="N1585" s="297"/>
    </row>
    <row r="1586" spans="1:14" ht="15" customHeight="1" x14ac:dyDescent="0.25">
      <c r="A1586" s="497"/>
      <c r="C1586" s="404"/>
      <c r="E1586" s="308"/>
      <c r="G1586" s="297"/>
      <c r="H1586" s="297"/>
      <c r="J1586" s="297"/>
      <c r="L1586" s="312"/>
      <c r="N1586" s="297"/>
    </row>
    <row r="1587" spans="1:14" ht="15" customHeight="1" x14ac:dyDescent="0.25">
      <c r="A1587" s="497"/>
      <c r="C1587" s="404"/>
      <c r="E1587" s="308"/>
      <c r="G1587" s="297"/>
      <c r="H1587" s="297"/>
      <c r="J1587" s="297"/>
      <c r="L1587" s="312"/>
      <c r="N1587" s="297"/>
    </row>
    <row r="1588" spans="1:14" ht="15" customHeight="1" x14ac:dyDescent="0.25">
      <c r="A1588" s="497"/>
      <c r="C1588" s="404"/>
      <c r="E1588" s="308"/>
      <c r="G1588" s="297"/>
      <c r="H1588" s="297"/>
      <c r="J1588" s="297"/>
      <c r="L1588" s="312"/>
      <c r="N1588" s="297"/>
    </row>
    <row r="1589" spans="1:14" ht="15" customHeight="1" x14ac:dyDescent="0.25">
      <c r="A1589" s="497"/>
      <c r="C1589" s="404"/>
      <c r="E1589" s="308"/>
      <c r="G1589" s="297"/>
      <c r="H1589" s="297"/>
      <c r="J1589" s="297"/>
      <c r="L1589" s="312"/>
      <c r="N1589" s="297"/>
    </row>
    <row r="1590" spans="1:14" ht="15" customHeight="1" x14ac:dyDescent="0.25">
      <c r="A1590" s="497"/>
      <c r="C1590" s="404"/>
      <c r="E1590" s="308"/>
      <c r="G1590" s="297"/>
      <c r="H1590" s="297"/>
      <c r="J1590" s="297"/>
      <c r="L1590" s="312"/>
      <c r="N1590" s="297"/>
    </row>
    <row r="1591" spans="1:14" ht="15" customHeight="1" x14ac:dyDescent="0.25">
      <c r="A1591" s="497"/>
      <c r="C1591" s="404"/>
      <c r="E1591" s="308"/>
      <c r="G1591" s="297"/>
      <c r="H1591" s="297"/>
      <c r="J1591" s="297"/>
      <c r="L1591" s="312"/>
      <c r="N1591" s="297"/>
    </row>
    <row r="1592" spans="1:14" ht="15" customHeight="1" x14ac:dyDescent="0.25">
      <c r="A1592" s="497"/>
      <c r="C1592" s="404"/>
      <c r="E1592" s="308"/>
      <c r="G1592" s="297"/>
      <c r="H1592" s="297"/>
      <c r="J1592" s="297"/>
      <c r="L1592" s="312"/>
      <c r="N1592" s="297"/>
    </row>
    <row r="1593" spans="1:14" ht="15" customHeight="1" x14ac:dyDescent="0.25">
      <c r="A1593" s="497"/>
      <c r="C1593" s="404"/>
      <c r="E1593" s="308"/>
      <c r="G1593" s="297"/>
      <c r="H1593" s="297"/>
      <c r="J1593" s="297"/>
      <c r="L1593" s="312"/>
      <c r="N1593" s="297"/>
    </row>
    <row r="1594" spans="1:14" ht="15" customHeight="1" x14ac:dyDescent="0.25">
      <c r="A1594" s="497"/>
      <c r="C1594" s="404"/>
      <c r="E1594" s="308"/>
      <c r="G1594" s="297"/>
      <c r="H1594" s="297"/>
      <c r="J1594" s="297"/>
      <c r="L1594" s="312"/>
      <c r="N1594" s="297"/>
    </row>
    <row r="1595" spans="1:14" ht="15" customHeight="1" x14ac:dyDescent="0.25">
      <c r="A1595" s="497"/>
      <c r="C1595" s="404"/>
      <c r="E1595" s="308"/>
      <c r="G1595" s="297"/>
      <c r="H1595" s="297"/>
      <c r="J1595" s="297"/>
      <c r="L1595" s="312"/>
      <c r="N1595" s="297"/>
    </row>
    <row r="1596" spans="1:14" ht="15" customHeight="1" x14ac:dyDescent="0.25">
      <c r="A1596" s="497"/>
      <c r="C1596" s="404"/>
      <c r="E1596" s="308"/>
      <c r="G1596" s="297"/>
      <c r="H1596" s="297"/>
      <c r="J1596" s="297"/>
      <c r="L1596" s="312"/>
      <c r="N1596" s="297"/>
    </row>
    <row r="1597" spans="1:14" ht="15" customHeight="1" x14ac:dyDescent="0.25">
      <c r="A1597" s="497"/>
      <c r="C1597" s="404"/>
      <c r="E1597" s="308"/>
      <c r="G1597" s="297"/>
      <c r="H1597" s="297"/>
      <c r="J1597" s="297"/>
      <c r="L1597" s="312"/>
      <c r="N1597" s="297"/>
    </row>
    <row r="1598" spans="1:14" ht="15" customHeight="1" x14ac:dyDescent="0.25">
      <c r="A1598" s="497"/>
      <c r="C1598" s="404"/>
      <c r="E1598" s="308"/>
      <c r="G1598" s="297"/>
      <c r="H1598" s="297"/>
      <c r="J1598" s="297"/>
      <c r="L1598" s="312"/>
      <c r="N1598" s="297"/>
    </row>
    <row r="1599" spans="1:14" ht="15" customHeight="1" x14ac:dyDescent="0.25">
      <c r="A1599" s="497"/>
      <c r="C1599" s="404"/>
      <c r="E1599" s="308"/>
      <c r="G1599" s="297"/>
      <c r="H1599" s="297"/>
      <c r="J1599" s="297"/>
      <c r="L1599" s="312"/>
      <c r="N1599" s="297"/>
    </row>
    <row r="1600" spans="1:14" ht="15" customHeight="1" x14ac:dyDescent="0.25">
      <c r="A1600" s="497"/>
      <c r="C1600" s="404"/>
      <c r="E1600" s="308"/>
      <c r="G1600" s="297"/>
      <c r="H1600" s="297"/>
      <c r="J1600" s="297"/>
      <c r="L1600" s="312"/>
      <c r="N1600" s="297"/>
    </row>
    <row r="1601" spans="1:14" ht="15" customHeight="1" x14ac:dyDescent="0.25">
      <c r="A1601" s="497"/>
      <c r="C1601" s="404"/>
      <c r="E1601" s="308"/>
      <c r="G1601" s="297"/>
      <c r="H1601" s="297"/>
      <c r="J1601" s="297"/>
      <c r="L1601" s="312"/>
      <c r="N1601" s="297"/>
    </row>
    <row r="1602" spans="1:14" ht="15" customHeight="1" x14ac:dyDescent="0.25">
      <c r="A1602" s="497"/>
      <c r="C1602" s="404"/>
      <c r="E1602" s="308"/>
      <c r="G1602" s="297"/>
      <c r="H1602" s="297"/>
      <c r="J1602" s="297"/>
      <c r="L1602" s="312"/>
      <c r="N1602" s="297"/>
    </row>
    <row r="1603" spans="1:14" ht="15" customHeight="1" x14ac:dyDescent="0.25">
      <c r="A1603" s="497"/>
      <c r="C1603" s="404"/>
      <c r="E1603" s="308"/>
      <c r="G1603" s="297"/>
      <c r="H1603" s="297"/>
      <c r="J1603" s="297"/>
      <c r="L1603" s="312"/>
      <c r="N1603" s="297"/>
    </row>
    <row r="1604" spans="1:14" ht="15" customHeight="1" x14ac:dyDescent="0.25">
      <c r="A1604" s="497"/>
      <c r="C1604" s="404"/>
      <c r="E1604" s="308"/>
      <c r="G1604" s="297"/>
      <c r="H1604" s="297"/>
      <c r="J1604" s="297"/>
      <c r="L1604" s="312"/>
      <c r="N1604" s="297"/>
    </row>
    <row r="1605" spans="1:14" ht="15" customHeight="1" x14ac:dyDescent="0.25">
      <c r="A1605" s="497"/>
      <c r="C1605" s="404"/>
      <c r="E1605" s="308"/>
      <c r="G1605" s="297"/>
      <c r="H1605" s="297"/>
      <c r="J1605" s="297"/>
      <c r="L1605" s="312"/>
      <c r="N1605" s="297"/>
    </row>
    <row r="1606" spans="1:14" ht="15" customHeight="1" x14ac:dyDescent="0.25">
      <c r="A1606" s="497"/>
      <c r="C1606" s="404"/>
      <c r="E1606" s="308"/>
      <c r="G1606" s="297"/>
      <c r="H1606" s="297"/>
      <c r="J1606" s="297"/>
      <c r="L1606" s="312"/>
      <c r="N1606" s="297"/>
    </row>
    <row r="1607" spans="1:14" ht="15" customHeight="1" x14ac:dyDescent="0.25">
      <c r="A1607" s="497"/>
      <c r="C1607" s="404"/>
      <c r="E1607" s="308"/>
      <c r="G1607" s="297"/>
      <c r="H1607" s="297"/>
      <c r="J1607" s="297"/>
      <c r="L1607" s="312"/>
      <c r="N1607" s="297"/>
    </row>
    <row r="1608" spans="1:14" ht="15" customHeight="1" x14ac:dyDescent="0.25">
      <c r="A1608" s="497"/>
      <c r="C1608" s="404"/>
      <c r="E1608" s="308"/>
      <c r="G1608" s="297"/>
      <c r="H1608" s="297"/>
      <c r="J1608" s="297"/>
      <c r="L1608" s="312"/>
      <c r="N1608" s="297"/>
    </row>
    <row r="1609" spans="1:14" ht="15" customHeight="1" x14ac:dyDescent="0.25">
      <c r="A1609" s="497"/>
      <c r="C1609" s="404"/>
      <c r="E1609" s="308"/>
      <c r="G1609" s="297"/>
      <c r="H1609" s="297"/>
      <c r="J1609" s="297"/>
      <c r="L1609" s="312"/>
      <c r="N1609" s="297"/>
    </row>
    <row r="1610" spans="1:14" ht="15" customHeight="1" x14ac:dyDescent="0.25">
      <c r="A1610" s="497"/>
      <c r="C1610" s="404"/>
      <c r="E1610" s="308"/>
      <c r="G1610" s="297"/>
      <c r="H1610" s="297"/>
      <c r="J1610" s="297"/>
      <c r="L1610" s="312"/>
      <c r="N1610" s="297"/>
    </row>
    <row r="1611" spans="1:14" ht="15" customHeight="1" x14ac:dyDescent="0.25">
      <c r="A1611" s="497"/>
      <c r="C1611" s="404"/>
      <c r="E1611" s="308"/>
      <c r="G1611" s="297"/>
      <c r="H1611" s="297"/>
      <c r="J1611" s="297"/>
      <c r="L1611" s="312"/>
      <c r="N1611" s="297"/>
    </row>
    <row r="1612" spans="1:14" ht="15" customHeight="1" x14ac:dyDescent="0.25">
      <c r="A1612" s="497"/>
      <c r="C1612" s="404"/>
      <c r="E1612" s="308"/>
      <c r="G1612" s="297"/>
      <c r="H1612" s="297"/>
      <c r="J1612" s="297"/>
      <c r="L1612" s="312"/>
      <c r="N1612" s="297"/>
    </row>
    <row r="1613" spans="1:14" ht="15" customHeight="1" x14ac:dyDescent="0.25">
      <c r="A1613" s="497"/>
      <c r="C1613" s="404"/>
      <c r="E1613" s="308"/>
      <c r="G1613" s="297"/>
      <c r="H1613" s="297"/>
      <c r="J1613" s="297"/>
      <c r="L1613" s="312"/>
      <c r="N1613" s="297"/>
    </row>
    <row r="1614" spans="1:14" ht="15" customHeight="1" x14ac:dyDescent="0.25">
      <c r="A1614" s="497"/>
      <c r="C1614" s="404"/>
      <c r="E1614" s="308"/>
      <c r="G1614" s="297"/>
      <c r="H1614" s="297"/>
      <c r="J1614" s="297"/>
      <c r="L1614" s="312"/>
      <c r="N1614" s="297"/>
    </row>
    <row r="1615" spans="1:14" ht="15" customHeight="1" x14ac:dyDescent="0.25">
      <c r="A1615" s="497"/>
      <c r="C1615" s="404"/>
      <c r="E1615" s="308"/>
      <c r="G1615" s="297"/>
      <c r="H1615" s="297"/>
      <c r="J1615" s="297"/>
      <c r="L1615" s="312"/>
      <c r="N1615" s="297"/>
    </row>
    <row r="1616" spans="1:14" ht="15" customHeight="1" x14ac:dyDescent="0.25">
      <c r="A1616" s="497"/>
      <c r="C1616" s="404"/>
      <c r="E1616" s="308"/>
      <c r="G1616" s="297"/>
      <c r="H1616" s="297"/>
      <c r="J1616" s="297"/>
      <c r="L1616" s="312"/>
      <c r="N1616" s="297"/>
    </row>
    <row r="1617" spans="1:14" ht="15" customHeight="1" x14ac:dyDescent="0.25">
      <c r="A1617" s="497"/>
      <c r="C1617" s="404"/>
      <c r="E1617" s="308"/>
      <c r="G1617" s="297"/>
      <c r="H1617" s="297"/>
      <c r="J1617" s="297"/>
      <c r="L1617" s="312"/>
      <c r="N1617" s="297"/>
    </row>
    <row r="1618" spans="1:14" ht="15" customHeight="1" x14ac:dyDescent="0.25">
      <c r="A1618" s="497"/>
      <c r="B1618" s="396"/>
      <c r="C1618" s="404"/>
      <c r="E1618" s="308"/>
      <c r="G1618" s="297"/>
      <c r="H1618" s="297"/>
      <c r="I1618" s="401"/>
      <c r="J1618" s="297"/>
      <c r="K1618" s="401"/>
      <c r="L1618" s="312"/>
      <c r="M1618" s="402"/>
      <c r="N1618" s="297"/>
    </row>
    <row r="1619" spans="1:14" ht="15" customHeight="1" x14ac:dyDescent="0.25">
      <c r="A1619" s="498"/>
      <c r="B1619" s="409"/>
      <c r="C1619" s="410"/>
      <c r="D1619" s="411"/>
      <c r="E1619" s="412"/>
      <c r="F1619" s="413"/>
      <c r="G1619" s="414"/>
      <c r="H1619" s="414"/>
      <c r="I1619" s="415"/>
      <c r="J1619" s="414"/>
      <c r="K1619" s="415"/>
      <c r="L1619" s="416"/>
      <c r="M1619" s="417"/>
      <c r="N1619" s="414"/>
    </row>
  </sheetData>
  <mergeCells count="6">
    <mergeCell ref="A1:F1"/>
    <mergeCell ref="A5:A6"/>
    <mergeCell ref="B5:B6"/>
    <mergeCell ref="C5:D6"/>
    <mergeCell ref="E5:E6"/>
    <mergeCell ref="A2:F2"/>
  </mergeCells>
  <printOptions horizontalCentered="1"/>
  <pageMargins left="0.23622047244094491" right="0.11811023622047245" top="0.39370078740157483" bottom="0.23622047244094491" header="0.15748031496062992" footer="0.15748031496062992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rgb="FFFFFF00"/>
    <pageSetUpPr fitToPage="1"/>
  </sheetPr>
  <dimension ref="A1:L161"/>
  <sheetViews>
    <sheetView view="pageBreakPreview" zoomScale="60" zoomScaleNormal="70" workbookViewId="0">
      <pane ySplit="1755" topLeftCell="A43" activePane="bottomLeft"/>
      <selection activeCell="M1" sqref="M1:M1048576"/>
      <selection pane="bottomLeft" activeCell="N149" sqref="N149"/>
    </sheetView>
  </sheetViews>
  <sheetFormatPr defaultColWidth="29.140625" defaultRowHeight="15" x14ac:dyDescent="0.25"/>
  <cols>
    <col min="1" max="1" width="21.140625" style="13" customWidth="1"/>
    <col min="2" max="2" width="50" style="9" customWidth="1"/>
    <col min="3" max="3" width="18.85546875" style="1" hidden="1" customWidth="1"/>
    <col min="4" max="4" width="16.5703125" style="1" hidden="1" customWidth="1"/>
    <col min="5" max="5" width="20.7109375" style="1" hidden="1" customWidth="1"/>
    <col min="6" max="6" width="20" style="1" hidden="1" customWidth="1"/>
    <col min="7" max="7" width="21.85546875" style="1" hidden="1" customWidth="1"/>
    <col min="8" max="9" width="21.140625" style="1" hidden="1" customWidth="1"/>
    <col min="10" max="10" width="18.140625" style="1" hidden="1" customWidth="1"/>
    <col min="11" max="11" width="21.7109375" style="1" hidden="1" customWidth="1"/>
    <col min="12" max="12" width="24" style="1" customWidth="1"/>
    <col min="13" max="235" width="9.140625" style="1" customWidth="1"/>
    <col min="236" max="236" width="21.140625" style="1" customWidth="1"/>
    <col min="237" max="237" width="87.42578125" style="1" customWidth="1"/>
    <col min="238" max="238" width="31.28515625" style="1" customWidth="1"/>
    <col min="239" max="239" width="16.7109375" style="1" customWidth="1"/>
    <col min="240" max="240" width="19.42578125" style="1" customWidth="1"/>
    <col min="241" max="241" width="18.140625" style="1" customWidth="1"/>
    <col min="242" max="242" width="21" style="1" customWidth="1"/>
    <col min="243" max="243" width="20.85546875" style="1" customWidth="1"/>
    <col min="244" max="244" width="20.7109375" style="1" customWidth="1"/>
    <col min="245" max="245" width="19.28515625" style="1" customWidth="1"/>
    <col min="246" max="16384" width="29.140625" style="1"/>
  </cols>
  <sheetData>
    <row r="1" spans="1:12" ht="18" x14ac:dyDescent="0.25">
      <c r="A1" s="2119" t="s">
        <v>1076</v>
      </c>
      <c r="B1" s="2119"/>
      <c r="C1" s="2119"/>
      <c r="D1" s="2119"/>
      <c r="E1" s="2119"/>
      <c r="F1" s="2119"/>
      <c r="G1" s="2119"/>
      <c r="H1" s="2119"/>
      <c r="I1" s="2119"/>
      <c r="J1" s="2119"/>
      <c r="K1" s="2119"/>
      <c r="L1" s="2119"/>
    </row>
    <row r="2" spans="1:12" ht="18" x14ac:dyDescent="0.25">
      <c r="A2" s="2119" t="s">
        <v>2289</v>
      </c>
      <c r="B2" s="2119"/>
      <c r="C2" s="2119"/>
      <c r="D2" s="2119"/>
      <c r="E2" s="2119"/>
      <c r="F2" s="2119"/>
      <c r="G2" s="2119"/>
      <c r="H2" s="2119"/>
      <c r="I2" s="2119"/>
      <c r="J2" s="2119"/>
      <c r="K2" s="2119"/>
      <c r="L2" s="2119"/>
    </row>
    <row r="3" spans="1:12" ht="18" x14ac:dyDescent="0.25">
      <c r="A3" s="2119" t="s">
        <v>743</v>
      </c>
      <c r="B3" s="2119"/>
      <c r="C3" s="2119"/>
      <c r="D3" s="2119"/>
      <c r="E3" s="2119"/>
      <c r="F3" s="2119"/>
      <c r="G3" s="2119"/>
      <c r="H3" s="2119"/>
      <c r="I3" s="2119"/>
      <c r="J3" s="2119"/>
      <c r="K3" s="2119"/>
      <c r="L3" s="2119"/>
    </row>
    <row r="4" spans="1:12" ht="15.75" thickBot="1" x14ac:dyDescent="0.3">
      <c r="A4" s="10"/>
      <c r="B4" s="2"/>
      <c r="C4" s="3"/>
      <c r="D4" s="3"/>
      <c r="E4" s="3"/>
      <c r="F4" s="3"/>
      <c r="G4" s="3"/>
      <c r="H4" s="3"/>
      <c r="I4" s="3"/>
      <c r="J4" s="3"/>
      <c r="K4" s="3"/>
      <c r="L4" s="4" t="s">
        <v>744</v>
      </c>
    </row>
    <row r="5" spans="1:12" s="5" customFormat="1" ht="16.5" thickBot="1" x14ac:dyDescent="0.3">
      <c r="A5" s="2120" t="s">
        <v>1</v>
      </c>
      <c r="B5" s="2123" t="s">
        <v>745</v>
      </c>
      <c r="C5" s="2125" t="s">
        <v>4</v>
      </c>
      <c r="D5" s="2125"/>
      <c r="E5" s="2125"/>
      <c r="F5" s="2125" t="s">
        <v>5</v>
      </c>
      <c r="G5" s="2125"/>
      <c r="H5" s="2125"/>
      <c r="I5" s="2125" t="s">
        <v>6</v>
      </c>
      <c r="J5" s="2125"/>
      <c r="K5" s="2126"/>
      <c r="L5" s="2127" t="s">
        <v>7</v>
      </c>
    </row>
    <row r="6" spans="1:12" s="5" customFormat="1" ht="17.25" thickTop="1" thickBot="1" x14ac:dyDescent="0.3">
      <c r="A6" s="2121"/>
      <c r="B6" s="2124"/>
      <c r="C6" s="2130" t="s">
        <v>9</v>
      </c>
      <c r="D6" s="2115" t="s">
        <v>10</v>
      </c>
      <c r="E6" s="2115" t="s">
        <v>11</v>
      </c>
      <c r="F6" s="2115" t="s">
        <v>9</v>
      </c>
      <c r="G6" s="2115" t="s">
        <v>10</v>
      </c>
      <c r="H6" s="2115" t="s">
        <v>11</v>
      </c>
      <c r="I6" s="2115" t="s">
        <v>12</v>
      </c>
      <c r="J6" s="2115" t="s">
        <v>13</v>
      </c>
      <c r="K6" s="2117" t="s">
        <v>11</v>
      </c>
      <c r="L6" s="2128"/>
    </row>
    <row r="7" spans="1:12" s="5" customFormat="1" ht="16.5" thickTop="1" x14ac:dyDescent="0.25">
      <c r="A7" s="2122"/>
      <c r="B7" s="2124"/>
      <c r="C7" s="2116"/>
      <c r="D7" s="2116"/>
      <c r="E7" s="2116"/>
      <c r="F7" s="2116"/>
      <c r="G7" s="2116"/>
      <c r="H7" s="2116"/>
      <c r="I7" s="2116"/>
      <c r="J7" s="2116"/>
      <c r="K7" s="2118"/>
      <c r="L7" s="2129"/>
    </row>
    <row r="8" spans="1:12" s="5" customFormat="1" ht="15.75" x14ac:dyDescent="0.25">
      <c r="A8" s="24" t="s">
        <v>746</v>
      </c>
      <c r="B8" s="21" t="s">
        <v>747</v>
      </c>
      <c r="C8" s="22" t="s">
        <v>748</v>
      </c>
      <c r="D8" s="22" t="s">
        <v>749</v>
      </c>
      <c r="E8" s="22" t="s">
        <v>750</v>
      </c>
      <c r="F8" s="22" t="s">
        <v>751</v>
      </c>
      <c r="G8" s="22" t="s">
        <v>752</v>
      </c>
      <c r="H8" s="22" t="s">
        <v>753</v>
      </c>
      <c r="I8" s="22" t="s">
        <v>754</v>
      </c>
      <c r="J8" s="22" t="s">
        <v>755</v>
      </c>
      <c r="K8" s="22" t="s">
        <v>756</v>
      </c>
      <c r="L8" s="22" t="s">
        <v>757</v>
      </c>
    </row>
    <row r="9" spans="1:12" s="5" customFormat="1" ht="20.100000000000001" customHeight="1" x14ac:dyDescent="0.25">
      <c r="A9" s="25"/>
      <c r="B9" s="23"/>
      <c r="C9" s="16"/>
      <c r="D9" s="16"/>
      <c r="E9" s="16"/>
      <c r="F9" s="16"/>
      <c r="G9" s="16"/>
      <c r="H9" s="16"/>
      <c r="I9" s="16"/>
      <c r="J9" s="16"/>
      <c r="K9" s="16"/>
      <c r="L9" s="58" t="s">
        <v>1474</v>
      </c>
    </row>
    <row r="10" spans="1:12" s="5" customFormat="1" ht="20.100000000000001" customHeight="1" x14ac:dyDescent="0.25">
      <c r="A10" s="17">
        <v>1</v>
      </c>
      <c r="B10" s="18" t="s">
        <v>758</v>
      </c>
      <c r="C10" s="19"/>
      <c r="D10" s="19"/>
      <c r="E10" s="19"/>
      <c r="F10" s="19"/>
      <c r="G10" s="19"/>
      <c r="H10" s="19"/>
      <c r="I10" s="19"/>
      <c r="J10" s="19"/>
      <c r="K10" s="20"/>
      <c r="L10" s="53"/>
    </row>
    <row r="11" spans="1:12" s="5" customFormat="1" ht="20.100000000000001" customHeight="1" x14ac:dyDescent="0.25">
      <c r="A11" s="6" t="s">
        <v>272</v>
      </c>
      <c r="B11" s="26" t="s">
        <v>14</v>
      </c>
      <c r="C11" s="27">
        <f>'DEFINITIF (APBNP)'!F11</f>
        <v>0</v>
      </c>
      <c r="D11" s="27">
        <f>'DEFINITIF (APBNP)'!G11</f>
        <v>0</v>
      </c>
      <c r="E11" s="27">
        <f>'DEFINITIF (APBNP)'!H11</f>
        <v>0</v>
      </c>
      <c r="F11" s="27">
        <f>'DEFINITIF (APBNP)'!I11</f>
        <v>0</v>
      </c>
      <c r="G11" s="27">
        <f>'DEFINITIF (APBNP)'!J11</f>
        <v>2743160</v>
      </c>
      <c r="H11" s="27">
        <f>'DEFINITIF (APBNP)'!K11</f>
        <v>2743160</v>
      </c>
      <c r="I11" s="27">
        <f>'DEFINITIF (APBNP)'!L11</f>
        <v>7493685</v>
      </c>
      <c r="J11" s="27">
        <f>'DEFINITIF (APBNP)'!M11</f>
        <v>0</v>
      </c>
      <c r="K11" s="27">
        <f>'DEFINITIF (APBNP)'!N11</f>
        <v>7493685</v>
      </c>
      <c r="L11" s="57">
        <f>'DEFINITIF (APBNP)'!O11</f>
        <v>10236845</v>
      </c>
    </row>
    <row r="12" spans="1:12" s="5" customFormat="1" ht="20.100000000000001" hidden="1" customHeight="1" x14ac:dyDescent="0.25">
      <c r="A12" s="6" t="s">
        <v>276</v>
      </c>
      <c r="B12" s="26" t="s">
        <v>759</v>
      </c>
      <c r="C12" s="27"/>
      <c r="D12" s="27"/>
      <c r="E12" s="27"/>
      <c r="F12" s="27"/>
      <c r="G12" s="27"/>
      <c r="H12" s="27"/>
      <c r="I12" s="27"/>
      <c r="J12" s="27"/>
      <c r="K12" s="29"/>
      <c r="L12" s="54"/>
    </row>
    <row r="13" spans="1:12" s="5" customFormat="1" ht="20.100000000000001" customHeight="1" x14ac:dyDescent="0.25">
      <c r="A13" s="6"/>
      <c r="B13" s="26"/>
      <c r="C13" s="27"/>
      <c r="D13" s="27"/>
      <c r="E13" s="27"/>
      <c r="F13" s="27"/>
      <c r="G13" s="27"/>
      <c r="H13" s="27"/>
      <c r="I13" s="27"/>
      <c r="J13" s="27"/>
      <c r="K13" s="29"/>
      <c r="L13" s="54"/>
    </row>
    <row r="14" spans="1:12" s="5" customFormat="1" ht="20.100000000000001" customHeight="1" x14ac:dyDescent="0.25">
      <c r="A14" s="6">
        <v>2</v>
      </c>
      <c r="B14" s="30" t="s">
        <v>760</v>
      </c>
      <c r="C14" s="31"/>
      <c r="D14" s="31"/>
      <c r="E14" s="31"/>
      <c r="F14" s="31"/>
      <c r="G14" s="31"/>
      <c r="H14" s="31"/>
      <c r="I14" s="31"/>
      <c r="J14" s="31"/>
      <c r="K14" s="32"/>
      <c r="L14" s="55"/>
    </row>
    <row r="15" spans="1:12" s="5" customFormat="1" ht="20.100000000000001" customHeight="1" x14ac:dyDescent="0.25">
      <c r="A15" s="6" t="s">
        <v>272</v>
      </c>
      <c r="B15" s="26" t="s">
        <v>761</v>
      </c>
      <c r="C15" s="27">
        <f>'DEFINITIF (APBNP)'!F59</f>
        <v>0</v>
      </c>
      <c r="D15" s="27">
        <f>'DEFINITIF (APBNP)'!G59</f>
        <v>0</v>
      </c>
      <c r="E15" s="27">
        <f>'DEFINITIF (APBNP)'!H59</f>
        <v>0</v>
      </c>
      <c r="F15" s="27">
        <f>'DEFINITIF (APBNP)'!I59</f>
        <v>0</v>
      </c>
      <c r="G15" s="27">
        <f>'DEFINITIF (APBNP)'!J59</f>
        <v>10604800</v>
      </c>
      <c r="H15" s="27">
        <f>'DEFINITIF (APBNP)'!K59</f>
        <v>10604800</v>
      </c>
      <c r="I15" s="27">
        <f>'DEFINITIF (APBNP)'!L59</f>
        <v>10779580</v>
      </c>
      <c r="J15" s="27">
        <f>'DEFINITIF (APBNP)'!M59</f>
        <v>0</v>
      </c>
      <c r="K15" s="27">
        <f>'DEFINITIF (APBNP)'!N59</f>
        <v>10779580</v>
      </c>
      <c r="L15" s="57">
        <f>'DEFINITIF (APBNP)'!O59</f>
        <v>21384380</v>
      </c>
    </row>
    <row r="16" spans="1:12" s="5" customFormat="1" ht="20.100000000000001" hidden="1" customHeight="1" x14ac:dyDescent="0.25">
      <c r="A16" s="6" t="s">
        <v>276</v>
      </c>
      <c r="B16" s="26" t="s">
        <v>762</v>
      </c>
      <c r="C16" s="27"/>
      <c r="D16" s="27"/>
      <c r="E16" s="27"/>
      <c r="F16" s="27"/>
      <c r="G16" s="27"/>
      <c r="H16" s="27"/>
      <c r="I16" s="27"/>
      <c r="J16" s="27"/>
      <c r="K16" s="29"/>
      <c r="L16" s="54"/>
    </row>
    <row r="17" spans="1:12" s="5" customFormat="1" ht="20.100000000000001" customHeight="1" x14ac:dyDescent="0.25">
      <c r="A17" s="6"/>
      <c r="B17" s="26"/>
      <c r="C17" s="27"/>
      <c r="D17" s="27"/>
      <c r="E17" s="27"/>
      <c r="F17" s="27"/>
      <c r="G17" s="27"/>
      <c r="H17" s="27"/>
      <c r="I17" s="27"/>
      <c r="J17" s="27"/>
      <c r="K17" s="29"/>
      <c r="L17" s="54"/>
    </row>
    <row r="18" spans="1:12" s="5" customFormat="1" ht="20.100000000000001" customHeight="1" x14ac:dyDescent="0.25">
      <c r="A18" s="6">
        <v>3</v>
      </c>
      <c r="B18" s="30" t="s">
        <v>763</v>
      </c>
      <c r="C18" s="31"/>
      <c r="D18" s="31"/>
      <c r="E18" s="31"/>
      <c r="F18" s="31"/>
      <c r="G18" s="31"/>
      <c r="H18" s="31"/>
      <c r="I18" s="31"/>
      <c r="J18" s="31"/>
      <c r="K18" s="32"/>
      <c r="L18" s="55"/>
    </row>
    <row r="19" spans="1:12" s="5" customFormat="1" ht="20.100000000000001" customHeight="1" x14ac:dyDescent="0.25">
      <c r="A19" s="6" t="s">
        <v>272</v>
      </c>
      <c r="B19" s="26" t="s">
        <v>63</v>
      </c>
      <c r="C19" s="27">
        <f>'DEFINITIF (APBNP)'!F106</f>
        <v>0</v>
      </c>
      <c r="D19" s="27">
        <f>'DEFINITIF (APBNP)'!G106</f>
        <v>0</v>
      </c>
      <c r="E19" s="27">
        <f>'DEFINITIF (APBNP)'!H106</f>
        <v>0</v>
      </c>
      <c r="F19" s="27">
        <f>'DEFINITIF (APBNP)'!I106</f>
        <v>0</v>
      </c>
      <c r="G19" s="27">
        <f>'DEFINITIF (APBNP)'!J106</f>
        <v>10654853</v>
      </c>
      <c r="H19" s="27">
        <f>'DEFINITIF (APBNP)'!K106</f>
        <v>10654853</v>
      </c>
      <c r="I19" s="27">
        <f>'DEFINITIF (APBNP)'!L106</f>
        <v>18915492</v>
      </c>
      <c r="J19" s="27">
        <f>'DEFINITIF (APBNP)'!M106</f>
        <v>0</v>
      </c>
      <c r="K19" s="29">
        <f>'DEFINITIF (APBNP)'!N106</f>
        <v>18915492</v>
      </c>
      <c r="L19" s="56">
        <f>'DEFINITIF (APBNP)'!O106</f>
        <v>29570345</v>
      </c>
    </row>
    <row r="20" spans="1:12" s="5" customFormat="1" ht="20.100000000000001" hidden="1" customHeight="1" x14ac:dyDescent="0.25">
      <c r="A20" s="6" t="s">
        <v>276</v>
      </c>
      <c r="B20" s="26" t="s">
        <v>764</v>
      </c>
      <c r="C20" s="27"/>
      <c r="D20" s="27"/>
      <c r="E20" s="27"/>
      <c r="F20" s="27"/>
      <c r="G20" s="27"/>
      <c r="H20" s="27"/>
      <c r="I20" s="27"/>
      <c r="J20" s="27"/>
      <c r="K20" s="29"/>
      <c r="L20" s="54"/>
    </row>
    <row r="21" spans="1:12" s="5" customFormat="1" ht="20.100000000000001" customHeight="1" x14ac:dyDescent="0.25">
      <c r="A21" s="6"/>
      <c r="B21" s="26"/>
      <c r="C21" s="27"/>
      <c r="D21" s="27"/>
      <c r="E21" s="27"/>
      <c r="F21" s="27"/>
      <c r="G21" s="27"/>
      <c r="H21" s="27"/>
      <c r="I21" s="27"/>
      <c r="J21" s="27"/>
      <c r="K21" s="29"/>
      <c r="L21" s="55"/>
    </row>
    <row r="22" spans="1:12" s="5" customFormat="1" ht="20.100000000000001" customHeight="1" x14ac:dyDescent="0.25">
      <c r="A22" s="6">
        <v>4</v>
      </c>
      <c r="B22" s="30" t="s">
        <v>765</v>
      </c>
      <c r="C22" s="31"/>
      <c r="D22" s="31"/>
      <c r="E22" s="31"/>
      <c r="F22" s="31"/>
      <c r="G22" s="31"/>
      <c r="H22" s="31"/>
      <c r="I22" s="31"/>
      <c r="J22" s="31"/>
      <c r="K22" s="32"/>
      <c r="L22" s="55"/>
    </row>
    <row r="23" spans="1:12" s="5" customFormat="1" ht="20.100000000000001" customHeight="1" x14ac:dyDescent="0.25">
      <c r="A23" s="6" t="s">
        <v>272</v>
      </c>
      <c r="B23" s="26" t="s">
        <v>72</v>
      </c>
      <c r="C23" s="27">
        <f>'DEFINITIF (APBNP)'!F171</f>
        <v>0</v>
      </c>
      <c r="D23" s="27">
        <f>'DEFINITIF (APBNP)'!G171</f>
        <v>0</v>
      </c>
      <c r="E23" s="27">
        <f>'DEFINITIF (APBNP)'!H171</f>
        <v>0</v>
      </c>
      <c r="F23" s="27">
        <f>'DEFINITIF (APBNP)'!I171</f>
        <v>0</v>
      </c>
      <c r="G23" s="27">
        <f>'DEFINITIF (APBNP)'!J171</f>
        <v>545420</v>
      </c>
      <c r="H23" s="27">
        <f>'DEFINITIF (APBNP)'!K171</f>
        <v>545420</v>
      </c>
      <c r="I23" s="27">
        <f>'DEFINITIF (APBNP)'!L171</f>
        <v>35500000</v>
      </c>
      <c r="J23" s="27">
        <f>'DEFINITIF (APBNP)'!M171</f>
        <v>0</v>
      </c>
      <c r="K23" s="29">
        <f>'DEFINITIF (APBNP)'!N171</f>
        <v>35500000</v>
      </c>
      <c r="L23" s="56">
        <f>'DEFINITIF (APBNP)'!O171</f>
        <v>36045420</v>
      </c>
    </row>
    <row r="24" spans="1:12" s="5" customFormat="1" ht="20.100000000000001" customHeight="1" x14ac:dyDescent="0.25">
      <c r="A24" s="6"/>
      <c r="B24" s="26"/>
      <c r="C24" s="27"/>
      <c r="D24" s="27"/>
      <c r="E24" s="27"/>
      <c r="F24" s="27"/>
      <c r="G24" s="27"/>
      <c r="H24" s="27"/>
      <c r="I24" s="27"/>
      <c r="J24" s="27"/>
      <c r="K24" s="29"/>
      <c r="L24" s="55"/>
    </row>
    <row r="25" spans="1:12" s="5" customFormat="1" ht="20.100000000000001" customHeight="1" x14ac:dyDescent="0.25">
      <c r="A25" s="6">
        <v>5</v>
      </c>
      <c r="B25" s="30" t="s">
        <v>766</v>
      </c>
      <c r="C25" s="34"/>
      <c r="D25" s="31"/>
      <c r="E25" s="31"/>
      <c r="F25" s="31"/>
      <c r="G25" s="31"/>
      <c r="H25" s="31"/>
      <c r="I25" s="31"/>
      <c r="J25" s="31"/>
      <c r="K25" s="32"/>
      <c r="L25" s="55"/>
    </row>
    <row r="26" spans="1:12" s="5" customFormat="1" ht="30.75" customHeight="1" x14ac:dyDescent="0.25">
      <c r="A26" s="6" t="s">
        <v>272</v>
      </c>
      <c r="B26" s="26" t="s">
        <v>767</v>
      </c>
      <c r="C26" s="27">
        <f>'DEFINITIF (APBNP)'!F227</f>
        <v>0</v>
      </c>
      <c r="D26" s="27">
        <f>'DEFINITIF (APBNP)'!G227</f>
        <v>0</v>
      </c>
      <c r="E26" s="27">
        <f>'DEFINITIF (APBNP)'!H227</f>
        <v>0</v>
      </c>
      <c r="F26" s="27">
        <f>'DEFINITIF (APBNP)'!I227</f>
        <v>0</v>
      </c>
      <c r="G26" s="27">
        <f>'DEFINITIF (APBNP)'!J227</f>
        <v>7543884</v>
      </c>
      <c r="H26" s="27">
        <f>'DEFINITIF (APBNP)'!K227</f>
        <v>7543884</v>
      </c>
      <c r="I26" s="27">
        <f>'DEFINITIF (APBNP)'!L227</f>
        <v>3327691</v>
      </c>
      <c r="J26" s="27">
        <f>'DEFINITIF (APBNP)'!M227</f>
        <v>0</v>
      </c>
      <c r="K26" s="29">
        <f>'DEFINITIF (APBNP)'!N227</f>
        <v>3327691</v>
      </c>
      <c r="L26" s="56">
        <f>'DEFINITIF (APBNP)'!O227</f>
        <v>10871575</v>
      </c>
    </row>
    <row r="27" spans="1:12" s="5" customFormat="1" ht="20.100000000000001" hidden="1" customHeight="1" x14ac:dyDescent="0.25">
      <c r="A27" s="6" t="s">
        <v>276</v>
      </c>
      <c r="B27" s="26" t="s">
        <v>768</v>
      </c>
      <c r="C27" s="27"/>
      <c r="D27" s="27"/>
      <c r="E27" s="27"/>
      <c r="F27" s="27"/>
      <c r="G27" s="27"/>
      <c r="H27" s="27"/>
      <c r="I27" s="27"/>
      <c r="J27" s="27"/>
      <c r="K27" s="29"/>
      <c r="L27" s="54"/>
    </row>
    <row r="28" spans="1:12" s="5" customFormat="1" ht="20.100000000000001" customHeight="1" x14ac:dyDescent="0.25">
      <c r="A28" s="6"/>
      <c r="B28" s="26"/>
      <c r="C28" s="27"/>
      <c r="D28" s="27"/>
      <c r="E28" s="27"/>
      <c r="F28" s="27"/>
      <c r="G28" s="27"/>
      <c r="H28" s="27"/>
      <c r="I28" s="27"/>
      <c r="J28" s="27"/>
      <c r="K28" s="29"/>
      <c r="L28" s="55"/>
    </row>
    <row r="29" spans="1:12" s="5" customFormat="1" ht="20.100000000000001" customHeight="1" x14ac:dyDescent="0.25">
      <c r="A29" s="6">
        <v>6</v>
      </c>
      <c r="B29" s="30" t="s">
        <v>769</v>
      </c>
      <c r="C29" s="31"/>
      <c r="D29" s="31"/>
      <c r="E29" s="31"/>
      <c r="F29" s="31"/>
      <c r="G29" s="31"/>
      <c r="H29" s="31"/>
      <c r="I29" s="31"/>
      <c r="J29" s="31"/>
      <c r="K29" s="32"/>
      <c r="L29" s="55"/>
    </row>
    <row r="30" spans="1:12" s="5" customFormat="1" ht="20.100000000000001" customHeight="1" x14ac:dyDescent="0.25">
      <c r="A30" s="6" t="s">
        <v>272</v>
      </c>
      <c r="B30" s="26" t="s">
        <v>88</v>
      </c>
      <c r="C30" s="27">
        <f>'DEFINITIF (APBNP)'!F278</f>
        <v>0</v>
      </c>
      <c r="D30" s="27">
        <f>'DEFINITIF (APBNP)'!G278</f>
        <v>0</v>
      </c>
      <c r="E30" s="27">
        <f>'DEFINITIF (APBNP)'!H278</f>
        <v>0</v>
      </c>
      <c r="F30" s="27">
        <f>'DEFINITIF (APBNP)'!I278</f>
        <v>0</v>
      </c>
      <c r="G30" s="27">
        <f>'DEFINITIF (APBNP)'!J278</f>
        <v>10857908</v>
      </c>
      <c r="H30" s="27">
        <f>'DEFINITIF (APBNP)'!K278</f>
        <v>10857908</v>
      </c>
      <c r="I30" s="27">
        <f>'DEFINITIF (APBNP)'!L278</f>
        <v>10245584</v>
      </c>
      <c r="J30" s="27">
        <f>'DEFINITIF (APBNP)'!M278</f>
        <v>0</v>
      </c>
      <c r="K30" s="29">
        <f>'DEFINITIF (APBNP)'!N278</f>
        <v>10245584</v>
      </c>
      <c r="L30" s="56">
        <f>'DEFINITIF (APBNP)'!O278</f>
        <v>21103492</v>
      </c>
    </row>
    <row r="31" spans="1:12" s="5" customFormat="1" ht="20.100000000000001" hidden="1" customHeight="1" x14ac:dyDescent="0.25">
      <c r="A31" s="6" t="s">
        <v>276</v>
      </c>
      <c r="B31" s="26" t="s">
        <v>770</v>
      </c>
      <c r="C31" s="27"/>
      <c r="D31" s="27"/>
      <c r="E31" s="27"/>
      <c r="F31" s="27"/>
      <c r="G31" s="27"/>
      <c r="H31" s="27"/>
      <c r="I31" s="27"/>
      <c r="J31" s="27"/>
      <c r="K31" s="29"/>
      <c r="L31" s="54"/>
    </row>
    <row r="32" spans="1:12" s="5" customFormat="1" ht="20.100000000000001" customHeight="1" x14ac:dyDescent="0.25">
      <c r="A32" s="6"/>
      <c r="B32" s="26"/>
      <c r="C32" s="27"/>
      <c r="D32" s="27"/>
      <c r="E32" s="27"/>
      <c r="F32" s="27"/>
      <c r="G32" s="27"/>
      <c r="H32" s="27"/>
      <c r="I32" s="27"/>
      <c r="J32" s="27"/>
      <c r="K32" s="29"/>
      <c r="L32" s="55"/>
    </row>
    <row r="33" spans="1:12" s="5" customFormat="1" ht="20.100000000000001" customHeight="1" x14ac:dyDescent="0.25">
      <c r="A33" s="6">
        <v>7</v>
      </c>
      <c r="B33" s="30" t="s">
        <v>773</v>
      </c>
      <c r="C33" s="31"/>
      <c r="D33" s="31"/>
      <c r="E33" s="31"/>
      <c r="F33" s="31"/>
      <c r="G33" s="31"/>
      <c r="H33" s="31"/>
      <c r="I33" s="31"/>
      <c r="J33" s="31"/>
      <c r="K33" s="32"/>
      <c r="L33" s="55"/>
    </row>
    <row r="34" spans="1:12" s="5" customFormat="1" ht="38.25" customHeight="1" x14ac:dyDescent="0.25">
      <c r="A34" s="6" t="s">
        <v>272</v>
      </c>
      <c r="B34" s="26" t="s">
        <v>774</v>
      </c>
      <c r="C34" s="27">
        <f>'DEFINITIF (APBNP)'!F335</f>
        <v>0</v>
      </c>
      <c r="D34" s="27">
        <f>'DEFINITIF (APBNP)'!G335</f>
        <v>0</v>
      </c>
      <c r="E34" s="27">
        <f>'DEFINITIF (APBNP)'!H335</f>
        <v>0</v>
      </c>
      <c r="F34" s="27">
        <f>'DEFINITIF (APBNP)'!I335</f>
        <v>0</v>
      </c>
      <c r="G34" s="27">
        <f>'DEFINITIF (APBNP)'!J335</f>
        <v>6298995</v>
      </c>
      <c r="H34" s="27">
        <f>'DEFINITIF (APBNP)'!K335</f>
        <v>6298995</v>
      </c>
      <c r="I34" s="27">
        <f>'DEFINITIF (APBNP)'!L335</f>
        <v>3015000</v>
      </c>
      <c r="J34" s="27">
        <f>'DEFINITIF (APBNP)'!M335</f>
        <v>0</v>
      </c>
      <c r="K34" s="27">
        <f>'DEFINITIF (APBNP)'!N335</f>
        <v>3015000</v>
      </c>
      <c r="L34" s="57">
        <f>'DEFINITIF (APBNP)'!O335</f>
        <v>9313995</v>
      </c>
    </row>
    <row r="35" spans="1:12" s="5" customFormat="1" ht="20.100000000000001" customHeight="1" x14ac:dyDescent="0.25">
      <c r="A35" s="6"/>
      <c r="B35" s="26"/>
      <c r="C35" s="27"/>
      <c r="D35" s="27"/>
      <c r="E35" s="27"/>
      <c r="F35" s="27"/>
      <c r="G35" s="27"/>
      <c r="H35" s="27"/>
      <c r="I35" s="27"/>
      <c r="J35" s="27"/>
      <c r="K35" s="29"/>
      <c r="L35" s="55"/>
    </row>
    <row r="36" spans="1:12" s="5" customFormat="1" ht="20.100000000000001" customHeight="1" x14ac:dyDescent="0.25">
      <c r="A36" s="6">
        <v>8</v>
      </c>
      <c r="B36" s="30" t="s">
        <v>771</v>
      </c>
      <c r="C36" s="31"/>
      <c r="D36" s="31"/>
      <c r="E36" s="31"/>
      <c r="F36" s="31"/>
      <c r="G36" s="31"/>
      <c r="H36" s="31"/>
      <c r="I36" s="31"/>
      <c r="J36" s="31"/>
      <c r="K36" s="32"/>
      <c r="L36" s="55"/>
    </row>
    <row r="37" spans="1:12" s="5" customFormat="1" ht="20.100000000000001" customHeight="1" x14ac:dyDescent="0.25">
      <c r="A37" s="6" t="s">
        <v>272</v>
      </c>
      <c r="B37" s="26" t="s">
        <v>772</v>
      </c>
      <c r="C37" s="27">
        <f>'DEFINITIF (APBNP)'!F390</f>
        <v>0</v>
      </c>
      <c r="D37" s="27">
        <f>'DEFINITIF (APBNP)'!G390</f>
        <v>0</v>
      </c>
      <c r="E37" s="27">
        <f>'DEFINITIF (APBNP)'!H390</f>
        <v>0</v>
      </c>
      <c r="F37" s="27">
        <f>'DEFINITIF (APBNP)'!I390</f>
        <v>0</v>
      </c>
      <c r="G37" s="27">
        <f>'DEFINITIF (APBNP)'!J390</f>
        <v>6417067</v>
      </c>
      <c r="H37" s="27">
        <f>'DEFINITIF (APBNP)'!K390</f>
        <v>6417067</v>
      </c>
      <c r="I37" s="27">
        <f>'DEFINITIF (APBNP)'!L390</f>
        <v>8565961</v>
      </c>
      <c r="J37" s="27">
        <f>'DEFINITIF (APBNP)'!M390</f>
        <v>0</v>
      </c>
      <c r="K37" s="27">
        <f>'DEFINITIF (APBNP)'!N390</f>
        <v>8565961</v>
      </c>
      <c r="L37" s="57">
        <f>'DEFINITIF (APBNP)'!O390</f>
        <v>14983028</v>
      </c>
    </row>
    <row r="38" spans="1:12" s="5" customFormat="1" ht="20.100000000000001" hidden="1" customHeight="1" x14ac:dyDescent="0.25">
      <c r="A38" s="6" t="s">
        <v>276</v>
      </c>
      <c r="B38" s="26" t="s">
        <v>775</v>
      </c>
      <c r="C38" s="27"/>
      <c r="D38" s="27"/>
      <c r="E38" s="27"/>
      <c r="F38" s="27"/>
      <c r="G38" s="27"/>
      <c r="H38" s="27"/>
      <c r="I38" s="27"/>
      <c r="J38" s="27"/>
      <c r="K38" s="29"/>
      <c r="L38" s="54"/>
    </row>
    <row r="39" spans="1:12" s="5" customFormat="1" ht="20.100000000000001" customHeight="1" x14ac:dyDescent="0.25">
      <c r="A39" s="6"/>
      <c r="B39" s="26"/>
      <c r="C39" s="27"/>
      <c r="D39" s="27"/>
      <c r="E39" s="27"/>
      <c r="F39" s="27"/>
      <c r="G39" s="27"/>
      <c r="H39" s="27"/>
      <c r="I39" s="27"/>
      <c r="J39" s="27"/>
      <c r="K39" s="29"/>
      <c r="L39" s="55"/>
    </row>
    <row r="40" spans="1:12" s="5" customFormat="1" ht="20.100000000000001" customHeight="1" x14ac:dyDescent="0.25">
      <c r="A40" s="6">
        <v>9</v>
      </c>
      <c r="B40" s="30" t="s">
        <v>776</v>
      </c>
      <c r="C40" s="31"/>
      <c r="D40" s="31"/>
      <c r="E40" s="31"/>
      <c r="F40" s="31"/>
      <c r="G40" s="31"/>
      <c r="H40" s="31"/>
      <c r="I40" s="31"/>
      <c r="J40" s="31"/>
      <c r="K40" s="32"/>
      <c r="L40" s="55"/>
    </row>
    <row r="41" spans="1:12" s="5" customFormat="1" ht="38.25" customHeight="1" x14ac:dyDescent="0.25">
      <c r="A41" s="6" t="s">
        <v>272</v>
      </c>
      <c r="B41" s="26" t="s">
        <v>95</v>
      </c>
      <c r="C41" s="27">
        <f>'DEFINITIF (APBNP)'!F443</f>
        <v>0</v>
      </c>
      <c r="D41" s="27">
        <f>'DEFINITIF (APBNP)'!G443</f>
        <v>0</v>
      </c>
      <c r="E41" s="27">
        <f>'DEFINITIF (APBNP)'!H443</f>
        <v>0</v>
      </c>
      <c r="F41" s="27">
        <f>'DEFINITIF (APBNP)'!I443</f>
        <v>0</v>
      </c>
      <c r="G41" s="27">
        <f>'DEFINITIF (APBNP)'!J443</f>
        <v>3012300</v>
      </c>
      <c r="H41" s="27">
        <f>'DEFINITIF (APBNP)'!K443</f>
        <v>3012300</v>
      </c>
      <c r="I41" s="27">
        <f>'DEFINITIF (APBNP)'!L443</f>
        <v>6157963</v>
      </c>
      <c r="J41" s="27">
        <f>'DEFINITIF (APBNP)'!M443</f>
        <v>0</v>
      </c>
      <c r="K41" s="27">
        <f>'DEFINITIF (APBNP)'!N443</f>
        <v>6157963</v>
      </c>
      <c r="L41" s="57">
        <f>'DEFINITIF (APBNP)'!O443</f>
        <v>9170263</v>
      </c>
    </row>
    <row r="42" spans="1:12" s="5" customFormat="1" ht="38.25" hidden="1" customHeight="1" x14ac:dyDescent="0.25">
      <c r="A42" s="6" t="s">
        <v>276</v>
      </c>
      <c r="B42" s="26" t="s">
        <v>777</v>
      </c>
      <c r="C42" s="27"/>
      <c r="D42" s="27"/>
      <c r="E42" s="27"/>
      <c r="F42" s="27"/>
      <c r="G42" s="27"/>
      <c r="H42" s="27"/>
      <c r="I42" s="27"/>
      <c r="J42" s="27"/>
      <c r="K42" s="29"/>
      <c r="L42" s="54"/>
    </row>
    <row r="43" spans="1:12" s="5" customFormat="1" ht="20.100000000000001" customHeight="1" x14ac:dyDescent="0.25">
      <c r="A43" s="6"/>
      <c r="B43" s="26"/>
      <c r="C43" s="27"/>
      <c r="D43" s="27"/>
      <c r="E43" s="27"/>
      <c r="F43" s="27"/>
      <c r="G43" s="27"/>
      <c r="H43" s="27"/>
      <c r="I43" s="27"/>
      <c r="J43" s="27"/>
      <c r="K43" s="29"/>
      <c r="L43" s="55"/>
    </row>
    <row r="44" spans="1:12" s="5" customFormat="1" ht="20.100000000000001" customHeight="1" x14ac:dyDescent="0.25">
      <c r="A44" s="6">
        <v>10</v>
      </c>
      <c r="B44" s="30" t="s">
        <v>778</v>
      </c>
      <c r="C44" s="31"/>
      <c r="D44" s="31"/>
      <c r="E44" s="31"/>
      <c r="F44" s="31"/>
      <c r="G44" s="31"/>
      <c r="H44" s="31"/>
      <c r="I44" s="31"/>
      <c r="J44" s="31"/>
      <c r="K44" s="32"/>
      <c r="L44" s="55"/>
    </row>
    <row r="45" spans="1:12" s="5" customFormat="1" ht="37.5" customHeight="1" x14ac:dyDescent="0.25">
      <c r="A45" s="6" t="s">
        <v>272</v>
      </c>
      <c r="B45" s="26" t="s">
        <v>104</v>
      </c>
      <c r="C45" s="27">
        <f>'DEFINITIF (APBNP)'!F493</f>
        <v>0</v>
      </c>
      <c r="D45" s="27">
        <f>'DEFINITIF (APBNP)'!G493</f>
        <v>0</v>
      </c>
      <c r="E45" s="27">
        <f>'DEFINITIF (APBNP)'!H493</f>
        <v>0</v>
      </c>
      <c r="F45" s="27">
        <f>'DEFINITIF (APBNP)'!I493</f>
        <v>0</v>
      </c>
      <c r="G45" s="27">
        <f>'DEFINITIF (APBNP)'!J493</f>
        <v>10136650</v>
      </c>
      <c r="H45" s="27">
        <f>'DEFINITIF (APBNP)'!K493</f>
        <v>10136650</v>
      </c>
      <c r="I45" s="27">
        <f>'DEFINITIF (APBNP)'!L493</f>
        <v>11041957</v>
      </c>
      <c r="J45" s="27">
        <f>'DEFINITIF (APBNP)'!M493</f>
        <v>0</v>
      </c>
      <c r="K45" s="29">
        <f>'DEFINITIF (APBNP)'!N493</f>
        <v>11041957</v>
      </c>
      <c r="L45" s="56">
        <f>'DEFINITIF (APBNP)'!O493</f>
        <v>21178607</v>
      </c>
    </row>
    <row r="46" spans="1:12" s="5" customFormat="1" ht="20.100000000000001" hidden="1" customHeight="1" x14ac:dyDescent="0.25">
      <c r="A46" s="6" t="s">
        <v>276</v>
      </c>
      <c r="B46" s="26" t="s">
        <v>779</v>
      </c>
      <c r="C46" s="27"/>
      <c r="D46" s="27"/>
      <c r="E46" s="27"/>
      <c r="F46" s="27"/>
      <c r="G46" s="27"/>
      <c r="H46" s="27"/>
      <c r="I46" s="27"/>
      <c r="J46" s="27"/>
      <c r="K46" s="29"/>
      <c r="L46" s="54"/>
    </row>
    <row r="47" spans="1:12" s="5" customFormat="1" ht="20.100000000000001" customHeight="1" x14ac:dyDescent="0.25">
      <c r="A47" s="6"/>
      <c r="B47" s="26"/>
      <c r="C47" s="27"/>
      <c r="D47" s="27"/>
      <c r="E47" s="27"/>
      <c r="F47" s="27"/>
      <c r="G47" s="27"/>
      <c r="H47" s="27"/>
      <c r="I47" s="27"/>
      <c r="J47" s="27"/>
      <c r="K47" s="29"/>
      <c r="L47" s="55"/>
    </row>
    <row r="48" spans="1:12" s="5" customFormat="1" ht="20.100000000000001" customHeight="1" x14ac:dyDescent="0.25">
      <c r="A48" s="6">
        <v>11</v>
      </c>
      <c r="B48" s="30" t="s">
        <v>780</v>
      </c>
      <c r="C48" s="31"/>
      <c r="D48" s="31"/>
      <c r="E48" s="31"/>
      <c r="F48" s="31"/>
      <c r="G48" s="31"/>
      <c r="H48" s="31"/>
      <c r="I48" s="31"/>
      <c r="J48" s="31"/>
      <c r="K48" s="32"/>
      <c r="L48" s="55"/>
    </row>
    <row r="49" spans="1:12" s="5" customFormat="1" ht="20.100000000000001" customHeight="1" x14ac:dyDescent="0.25">
      <c r="A49" s="6" t="s">
        <v>272</v>
      </c>
      <c r="B49" s="26" t="s">
        <v>107</v>
      </c>
      <c r="C49" s="27">
        <f>'DEFINITIF (APBNP)'!F551</f>
        <v>0</v>
      </c>
      <c r="D49" s="27">
        <f>'DEFINITIF (APBNP)'!G551</f>
        <v>0</v>
      </c>
      <c r="E49" s="27">
        <f>'DEFINITIF (APBNP)'!H551</f>
        <v>0</v>
      </c>
      <c r="F49" s="27">
        <f>'DEFINITIF (APBNP)'!I551</f>
        <v>0</v>
      </c>
      <c r="G49" s="27">
        <f>'DEFINITIF (APBNP)'!J551</f>
        <v>2412338</v>
      </c>
      <c r="H49" s="27">
        <f>'DEFINITIF (APBNP)'!K551</f>
        <v>2412338</v>
      </c>
      <c r="I49" s="27">
        <f>'DEFINITIF (APBNP)'!L551</f>
        <v>3649584</v>
      </c>
      <c r="J49" s="27">
        <f>'DEFINITIF (APBNP)'!M551</f>
        <v>0</v>
      </c>
      <c r="K49" s="29">
        <f>'DEFINITIF (APBNP)'!N551</f>
        <v>3649584</v>
      </c>
      <c r="L49" s="56">
        <f>'DEFINITIF (APBNP)'!O551</f>
        <v>6061922</v>
      </c>
    </row>
    <row r="50" spans="1:12" s="5" customFormat="1" ht="20.100000000000001" customHeight="1" x14ac:dyDescent="0.25">
      <c r="A50" s="6"/>
      <c r="B50" s="26"/>
      <c r="C50" s="27"/>
      <c r="D50" s="27"/>
      <c r="E50" s="27"/>
      <c r="F50" s="27"/>
      <c r="G50" s="27"/>
      <c r="H50" s="27"/>
      <c r="I50" s="27"/>
      <c r="J50" s="27"/>
      <c r="K50" s="29"/>
      <c r="L50" s="55"/>
    </row>
    <row r="51" spans="1:12" s="5" customFormat="1" ht="20.100000000000001" customHeight="1" x14ac:dyDescent="0.25">
      <c r="A51" s="6">
        <v>12</v>
      </c>
      <c r="B51" s="30" t="s">
        <v>781</v>
      </c>
      <c r="C51" s="31"/>
      <c r="D51" s="31"/>
      <c r="E51" s="31"/>
      <c r="F51" s="31"/>
      <c r="G51" s="31"/>
      <c r="H51" s="31"/>
      <c r="I51" s="31"/>
      <c r="J51" s="31"/>
      <c r="K51" s="32"/>
      <c r="L51" s="55"/>
    </row>
    <row r="52" spans="1:12" s="5" customFormat="1" ht="20.100000000000001" customHeight="1" x14ac:dyDescent="0.25">
      <c r="A52" s="6" t="s">
        <v>272</v>
      </c>
      <c r="B52" s="26" t="s">
        <v>110</v>
      </c>
      <c r="C52" s="27">
        <f>'DEFINITIF (APBNP)'!F607</f>
        <v>0</v>
      </c>
      <c r="D52" s="27">
        <f>'DEFINITIF (APBNP)'!G607</f>
        <v>0</v>
      </c>
      <c r="E52" s="27">
        <f>'DEFINITIF (APBNP)'!H607</f>
        <v>0</v>
      </c>
      <c r="F52" s="27">
        <f>'DEFINITIF (APBNP)'!I607</f>
        <v>0</v>
      </c>
      <c r="G52" s="27">
        <f>'DEFINITIF (APBNP)'!J607</f>
        <v>12556600</v>
      </c>
      <c r="H52" s="27">
        <f>'DEFINITIF (APBNP)'!K607</f>
        <v>12556600</v>
      </c>
      <c r="I52" s="27">
        <f>'DEFINITIF (APBNP)'!L607</f>
        <v>6110970</v>
      </c>
      <c r="J52" s="27">
        <f>'DEFINITIF (APBNP)'!M607</f>
        <v>0</v>
      </c>
      <c r="K52" s="29">
        <f>'DEFINITIF (APBNP)'!N607</f>
        <v>6110970</v>
      </c>
      <c r="L52" s="56">
        <f>'DEFINITIF (APBNP)'!O607</f>
        <v>18667570</v>
      </c>
    </row>
    <row r="53" spans="1:12" s="5" customFormat="1" ht="20.100000000000001" hidden="1" customHeight="1" x14ac:dyDescent="0.25">
      <c r="A53" s="6" t="s">
        <v>276</v>
      </c>
      <c r="B53" s="26" t="s">
        <v>782</v>
      </c>
      <c r="C53" s="27"/>
      <c r="D53" s="27"/>
      <c r="E53" s="27"/>
      <c r="F53" s="27"/>
      <c r="G53" s="27"/>
      <c r="H53" s="27"/>
      <c r="I53" s="27"/>
      <c r="J53" s="27"/>
      <c r="K53" s="29"/>
      <c r="L53" s="54"/>
    </row>
    <row r="54" spans="1:12" s="5" customFormat="1" ht="20.100000000000001" customHeight="1" x14ac:dyDescent="0.25">
      <c r="A54" s="6"/>
      <c r="B54" s="26"/>
      <c r="C54" s="27"/>
      <c r="D54" s="27"/>
      <c r="E54" s="27"/>
      <c r="F54" s="27"/>
      <c r="G54" s="27"/>
      <c r="H54" s="27"/>
      <c r="I54" s="27"/>
      <c r="J54" s="27"/>
      <c r="K54" s="29"/>
      <c r="L54" s="55"/>
    </row>
    <row r="55" spans="1:12" s="5" customFormat="1" ht="20.100000000000001" customHeight="1" x14ac:dyDescent="0.25">
      <c r="A55" s="6">
        <v>13</v>
      </c>
      <c r="B55" s="30" t="s">
        <v>783</v>
      </c>
      <c r="C55" s="31"/>
      <c r="D55" s="31"/>
      <c r="E55" s="31"/>
      <c r="F55" s="31"/>
      <c r="G55" s="31"/>
      <c r="H55" s="31"/>
      <c r="I55" s="31"/>
      <c r="J55" s="31"/>
      <c r="K55" s="32"/>
      <c r="L55" s="55"/>
    </row>
    <row r="56" spans="1:12" s="5" customFormat="1" ht="20.100000000000001" customHeight="1" x14ac:dyDescent="0.25">
      <c r="A56" s="6" t="s">
        <v>272</v>
      </c>
      <c r="B56" s="26" t="s">
        <v>784</v>
      </c>
      <c r="C56" s="27">
        <f>'DEFINITIF (APBNP)'!F665</f>
        <v>0</v>
      </c>
      <c r="D56" s="27">
        <f>'DEFINITIF (APBNP)'!G665</f>
        <v>0</v>
      </c>
      <c r="E56" s="27">
        <f>'DEFINITIF (APBNP)'!H665</f>
        <v>0</v>
      </c>
      <c r="F56" s="27">
        <f>'DEFINITIF (APBNP)'!I665</f>
        <v>0</v>
      </c>
      <c r="G56" s="27">
        <f>'DEFINITIF (APBNP)'!J665</f>
        <v>21029375</v>
      </c>
      <c r="H56" s="27">
        <f>'DEFINITIF (APBNP)'!K665</f>
        <v>21029375</v>
      </c>
      <c r="I56" s="27">
        <f>'DEFINITIF (APBNP)'!L665</f>
        <v>8633400</v>
      </c>
      <c r="J56" s="27">
        <f>'DEFINITIF (APBNP)'!M665</f>
        <v>0</v>
      </c>
      <c r="K56" s="29">
        <f>'DEFINITIF (APBNP)'!N665</f>
        <v>8633400</v>
      </c>
      <c r="L56" s="56">
        <f>'DEFINITIF (APBNP)'!O665</f>
        <v>29662775</v>
      </c>
    </row>
    <row r="57" spans="1:12" s="5" customFormat="1" ht="20.100000000000001" hidden="1" customHeight="1" x14ac:dyDescent="0.25">
      <c r="A57" s="6" t="s">
        <v>276</v>
      </c>
      <c r="B57" s="26" t="s">
        <v>785</v>
      </c>
      <c r="C57" s="27"/>
      <c r="D57" s="27"/>
      <c r="E57" s="27"/>
      <c r="F57" s="27"/>
      <c r="G57" s="27"/>
      <c r="H57" s="27"/>
      <c r="I57" s="27"/>
      <c r="J57" s="27"/>
      <c r="K57" s="29"/>
      <c r="L57" s="54"/>
    </row>
    <row r="58" spans="1:12" s="5" customFormat="1" ht="20.100000000000001" customHeight="1" x14ac:dyDescent="0.25">
      <c r="A58" s="6"/>
      <c r="B58" s="26" t="s">
        <v>49</v>
      </c>
      <c r="C58" s="27"/>
      <c r="D58" s="27"/>
      <c r="E58" s="27"/>
      <c r="F58" s="27"/>
      <c r="G58" s="27"/>
      <c r="H58" s="27"/>
      <c r="I58" s="27"/>
      <c r="J58" s="27"/>
      <c r="K58" s="29"/>
      <c r="L58" s="55"/>
    </row>
    <row r="59" spans="1:12" s="5" customFormat="1" ht="20.100000000000001" customHeight="1" x14ac:dyDescent="0.25">
      <c r="A59" s="6">
        <v>14</v>
      </c>
      <c r="B59" s="30" t="s">
        <v>786</v>
      </c>
      <c r="C59" s="31"/>
      <c r="D59" s="31"/>
      <c r="E59" s="31"/>
      <c r="F59" s="31"/>
      <c r="G59" s="31"/>
      <c r="H59" s="31"/>
      <c r="I59" s="31"/>
      <c r="J59" s="31"/>
      <c r="K59" s="32"/>
      <c r="L59" s="55"/>
    </row>
    <row r="60" spans="1:12" s="5" customFormat="1" ht="20.100000000000001" customHeight="1" x14ac:dyDescent="0.25">
      <c r="A60" s="6" t="s">
        <v>272</v>
      </c>
      <c r="B60" s="26" t="s">
        <v>118</v>
      </c>
      <c r="C60" s="27">
        <f>'DEFINITIF (APBNP)'!F723</f>
        <v>0</v>
      </c>
      <c r="D60" s="27">
        <f>'DEFINITIF (APBNP)'!G723</f>
        <v>0</v>
      </c>
      <c r="E60" s="27">
        <f>'DEFINITIF (APBNP)'!H723</f>
        <v>0</v>
      </c>
      <c r="F60" s="27">
        <f>'DEFINITIF (APBNP)'!I723</f>
        <v>0</v>
      </c>
      <c r="G60" s="27">
        <f>'DEFINITIF (APBNP)'!J723</f>
        <v>5623636</v>
      </c>
      <c r="H60" s="27">
        <f>'DEFINITIF (APBNP)'!K723</f>
        <v>5623636</v>
      </c>
      <c r="I60" s="27">
        <f>'DEFINITIF (APBNP)'!L723</f>
        <v>7500000</v>
      </c>
      <c r="J60" s="27">
        <f>'DEFINITIF (APBNP)'!M723</f>
        <v>0</v>
      </c>
      <c r="K60" s="29">
        <f>'DEFINITIF (APBNP)'!N723</f>
        <v>7500000</v>
      </c>
      <c r="L60" s="56">
        <f>'DEFINITIF (APBNP)'!O723</f>
        <v>13123636</v>
      </c>
    </row>
    <row r="61" spans="1:12" s="5" customFormat="1" ht="20.100000000000001" hidden="1" customHeight="1" x14ac:dyDescent="0.25">
      <c r="A61" s="6" t="s">
        <v>276</v>
      </c>
      <c r="B61" s="26" t="s">
        <v>787</v>
      </c>
      <c r="C61" s="27"/>
      <c r="D61" s="27"/>
      <c r="E61" s="27"/>
      <c r="F61" s="27"/>
      <c r="G61" s="27"/>
      <c r="H61" s="27"/>
      <c r="I61" s="27"/>
      <c r="J61" s="27"/>
      <c r="K61" s="29"/>
      <c r="L61" s="54"/>
    </row>
    <row r="62" spans="1:12" s="5" customFormat="1" ht="20.100000000000001" customHeight="1" x14ac:dyDescent="0.25">
      <c r="A62" s="6"/>
      <c r="B62" s="26"/>
      <c r="C62" s="27"/>
      <c r="D62" s="27"/>
      <c r="E62" s="27"/>
      <c r="F62" s="27"/>
      <c r="G62" s="27"/>
      <c r="H62" s="27"/>
      <c r="I62" s="27"/>
      <c r="J62" s="27"/>
      <c r="K62" s="29"/>
      <c r="L62" s="55"/>
    </row>
    <row r="63" spans="1:12" s="5" customFormat="1" ht="20.100000000000001" customHeight="1" x14ac:dyDescent="0.25">
      <c r="A63" s="6">
        <v>15</v>
      </c>
      <c r="B63" s="30" t="s">
        <v>788</v>
      </c>
      <c r="C63" s="31"/>
      <c r="D63" s="31"/>
      <c r="E63" s="31"/>
      <c r="F63" s="31"/>
      <c r="G63" s="31"/>
      <c r="H63" s="31"/>
      <c r="I63" s="31"/>
      <c r="J63" s="31"/>
      <c r="K63" s="32"/>
      <c r="L63" s="55"/>
    </row>
    <row r="64" spans="1:12" s="5" customFormat="1" ht="20.100000000000001" customHeight="1" x14ac:dyDescent="0.25">
      <c r="A64" s="6" t="s">
        <v>272</v>
      </c>
      <c r="B64" s="26" t="s">
        <v>789</v>
      </c>
      <c r="C64" s="27">
        <f>'DEFINITIF (APBNP)'!F759</f>
        <v>0</v>
      </c>
      <c r="D64" s="27">
        <f>'DEFINITIF (APBNP)'!G759</f>
        <v>0</v>
      </c>
      <c r="E64" s="27">
        <f>'DEFINITIF (APBNP)'!H759</f>
        <v>0</v>
      </c>
      <c r="F64" s="27">
        <f>'DEFINITIF (APBNP)'!I759</f>
        <v>0</v>
      </c>
      <c r="G64" s="27">
        <f>'DEFINITIF (APBNP)'!J759</f>
        <v>80080840</v>
      </c>
      <c r="H64" s="27">
        <f>'DEFINITIF (APBNP)'!K759</f>
        <v>80080840</v>
      </c>
      <c r="I64" s="27">
        <f>'DEFINITIF (APBNP)'!L759</f>
        <v>37821768</v>
      </c>
      <c r="J64" s="27">
        <f>'DEFINITIF (APBNP)'!M759</f>
        <v>0</v>
      </c>
      <c r="K64" s="29">
        <f>'DEFINITIF (APBNP)'!N759</f>
        <v>37821768</v>
      </c>
      <c r="L64" s="56">
        <f>'DEFINITIF (APBNP)'!O759</f>
        <v>117902608</v>
      </c>
    </row>
    <row r="65" spans="1:12" s="5" customFormat="1" ht="20.100000000000001" hidden="1" customHeight="1" x14ac:dyDescent="0.25">
      <c r="A65" s="6" t="s">
        <v>276</v>
      </c>
      <c r="B65" s="26" t="s">
        <v>790</v>
      </c>
      <c r="C65" s="27"/>
      <c r="D65" s="27"/>
      <c r="E65" s="27"/>
      <c r="F65" s="27"/>
      <c r="G65" s="27"/>
      <c r="H65" s="27"/>
      <c r="I65" s="27"/>
      <c r="J65" s="27"/>
      <c r="K65" s="29"/>
      <c r="L65" s="54"/>
    </row>
    <row r="66" spans="1:12" s="5" customFormat="1" ht="20.100000000000001" customHeight="1" x14ac:dyDescent="0.25">
      <c r="A66" s="6"/>
      <c r="B66" s="26"/>
      <c r="C66" s="27"/>
      <c r="D66" s="27"/>
      <c r="E66" s="27"/>
      <c r="F66" s="27"/>
      <c r="G66" s="27"/>
      <c r="H66" s="27"/>
      <c r="I66" s="27"/>
      <c r="J66" s="27"/>
      <c r="K66" s="29"/>
      <c r="L66" s="55"/>
    </row>
    <row r="67" spans="1:12" s="5" customFormat="1" ht="20.100000000000001" customHeight="1" x14ac:dyDescent="0.25">
      <c r="A67" s="6">
        <v>16</v>
      </c>
      <c r="B67" s="30" t="s">
        <v>791</v>
      </c>
      <c r="C67" s="31"/>
      <c r="D67" s="31"/>
      <c r="E67" s="31"/>
      <c r="F67" s="31"/>
      <c r="G67" s="31"/>
      <c r="H67" s="31"/>
      <c r="I67" s="31"/>
      <c r="J67" s="31"/>
      <c r="K67" s="32"/>
      <c r="L67" s="55"/>
    </row>
    <row r="68" spans="1:12" s="5" customFormat="1" ht="20.100000000000001" customHeight="1" x14ac:dyDescent="0.25">
      <c r="A68" s="6" t="s">
        <v>272</v>
      </c>
      <c r="B68" s="26" t="s">
        <v>126</v>
      </c>
      <c r="C68" s="27">
        <f>'DEFINITIF (APBNP)'!F830</f>
        <v>0</v>
      </c>
      <c r="D68" s="27">
        <f>'DEFINITIF (APBNP)'!G830</f>
        <v>0</v>
      </c>
      <c r="E68" s="27">
        <f>'DEFINITIF (APBNP)'!H830</f>
        <v>0</v>
      </c>
      <c r="F68" s="27">
        <f>'DEFINITIF (APBNP)'!I830</f>
        <v>0</v>
      </c>
      <c r="G68" s="27">
        <f>'DEFINITIF (APBNP)'!J830</f>
        <v>595400</v>
      </c>
      <c r="H68" s="27">
        <f>'DEFINITIF (APBNP)'!K830</f>
        <v>595400</v>
      </c>
      <c r="I68" s="27">
        <f>'DEFINITIF (APBNP)'!L830</f>
        <v>2500000</v>
      </c>
      <c r="J68" s="27">
        <f>'DEFINITIF (APBNP)'!M830</f>
        <v>0</v>
      </c>
      <c r="K68" s="29">
        <f>'DEFINITIF (APBNP)'!N830</f>
        <v>2500000</v>
      </c>
      <c r="L68" s="56">
        <f>'DEFINITIF (APBNP)'!O830</f>
        <v>3095400</v>
      </c>
    </row>
    <row r="69" spans="1:12" s="5" customFormat="1" ht="20.100000000000001" hidden="1" customHeight="1" x14ac:dyDescent="0.25">
      <c r="A69" s="6" t="s">
        <v>276</v>
      </c>
      <c r="B69" s="26" t="s">
        <v>792</v>
      </c>
      <c r="C69" s="27"/>
      <c r="D69" s="27"/>
      <c r="E69" s="27"/>
      <c r="F69" s="27"/>
      <c r="G69" s="27"/>
      <c r="H69" s="27"/>
      <c r="I69" s="27"/>
      <c r="J69" s="27"/>
      <c r="K69" s="29"/>
      <c r="L69" s="54"/>
    </row>
    <row r="70" spans="1:12" s="5" customFormat="1" ht="20.100000000000001" customHeight="1" x14ac:dyDescent="0.25">
      <c r="A70" s="6"/>
      <c r="B70" s="30"/>
      <c r="C70" s="27"/>
      <c r="D70" s="27"/>
      <c r="E70" s="27"/>
      <c r="F70" s="27"/>
      <c r="G70" s="27"/>
      <c r="H70" s="27"/>
      <c r="I70" s="27"/>
      <c r="J70" s="27"/>
      <c r="K70" s="29"/>
      <c r="L70" s="55"/>
    </row>
    <row r="71" spans="1:12" s="5" customFormat="1" ht="20.100000000000001" customHeight="1" x14ac:dyDescent="0.25">
      <c r="A71" s="6">
        <v>17</v>
      </c>
      <c r="B71" s="30" t="s">
        <v>793</v>
      </c>
      <c r="C71" s="31"/>
      <c r="D71" s="31"/>
      <c r="E71" s="31"/>
      <c r="F71" s="31"/>
      <c r="G71" s="31"/>
      <c r="H71" s="31"/>
      <c r="I71" s="31"/>
      <c r="J71" s="31"/>
      <c r="K71" s="32"/>
      <c r="L71" s="55"/>
    </row>
    <row r="72" spans="1:12" s="5" customFormat="1" ht="20.100000000000001" customHeight="1" x14ac:dyDescent="0.25">
      <c r="A72" s="6" t="s">
        <v>272</v>
      </c>
      <c r="B72" s="26" t="s">
        <v>132</v>
      </c>
      <c r="C72" s="27">
        <f>'DEFINITIF (APBNP)'!F869</f>
        <v>0</v>
      </c>
      <c r="D72" s="27">
        <f>'DEFINITIF (APBNP)'!G869</f>
        <v>0</v>
      </c>
      <c r="E72" s="27">
        <f>'DEFINITIF (APBNP)'!H869</f>
        <v>0</v>
      </c>
      <c r="F72" s="27">
        <f>'DEFINITIF (APBNP)'!I869</f>
        <v>0</v>
      </c>
      <c r="G72" s="27">
        <f>'DEFINITIF (APBNP)'!J869</f>
        <v>3321500</v>
      </c>
      <c r="H72" s="27">
        <f>'DEFINITIF (APBNP)'!K869</f>
        <v>3321500</v>
      </c>
      <c r="I72" s="27">
        <f>'DEFINITIF (APBNP)'!L869</f>
        <v>6400700</v>
      </c>
      <c r="J72" s="27">
        <f>'DEFINITIF (APBNP)'!M869</f>
        <v>0</v>
      </c>
      <c r="K72" s="29">
        <f>'DEFINITIF (APBNP)'!N869</f>
        <v>6400700</v>
      </c>
      <c r="L72" s="56">
        <f>'DEFINITIF (APBNP)'!O869</f>
        <v>9722200</v>
      </c>
    </row>
    <row r="73" spans="1:12" s="5" customFormat="1" ht="20.100000000000001" hidden="1" customHeight="1" x14ac:dyDescent="0.25">
      <c r="A73" s="6" t="s">
        <v>276</v>
      </c>
      <c r="B73" s="26" t="s">
        <v>794</v>
      </c>
      <c r="C73" s="27"/>
      <c r="D73" s="27"/>
      <c r="E73" s="27"/>
      <c r="F73" s="27"/>
      <c r="G73" s="27"/>
      <c r="H73" s="27"/>
      <c r="I73" s="27"/>
      <c r="J73" s="27"/>
      <c r="K73" s="29"/>
      <c r="L73" s="54"/>
    </row>
    <row r="74" spans="1:12" s="5" customFormat="1" ht="20.100000000000001" customHeight="1" x14ac:dyDescent="0.25">
      <c r="A74" s="6"/>
      <c r="B74" s="26"/>
      <c r="C74" s="27"/>
      <c r="D74" s="27"/>
      <c r="E74" s="27"/>
      <c r="F74" s="27"/>
      <c r="G74" s="27"/>
      <c r="H74" s="27"/>
      <c r="I74" s="27"/>
      <c r="J74" s="27"/>
      <c r="K74" s="29"/>
      <c r="L74" s="55"/>
    </row>
    <row r="75" spans="1:12" s="5" customFormat="1" ht="20.100000000000001" customHeight="1" x14ac:dyDescent="0.25">
      <c r="A75" s="6">
        <v>18</v>
      </c>
      <c r="B75" s="30" t="s">
        <v>795</v>
      </c>
      <c r="C75" s="31"/>
      <c r="D75" s="31"/>
      <c r="E75" s="31"/>
      <c r="F75" s="31"/>
      <c r="G75" s="31"/>
      <c r="H75" s="31"/>
      <c r="I75" s="31"/>
      <c r="J75" s="31"/>
      <c r="K75" s="32"/>
      <c r="L75" s="55"/>
    </row>
    <row r="76" spans="1:12" s="5" customFormat="1" ht="20.100000000000001" customHeight="1" x14ac:dyDescent="0.25">
      <c r="A76" s="6" t="s">
        <v>272</v>
      </c>
      <c r="B76" s="26" t="s">
        <v>133</v>
      </c>
      <c r="C76" s="27">
        <f>'DEFINITIF (APBNP)'!F918</f>
        <v>0</v>
      </c>
      <c r="D76" s="27">
        <f>'DEFINITIF (APBNP)'!G918</f>
        <v>0</v>
      </c>
      <c r="E76" s="27">
        <f>'DEFINITIF (APBNP)'!H918</f>
        <v>0</v>
      </c>
      <c r="F76" s="27">
        <f>'DEFINITIF (APBNP)'!I918</f>
        <v>0</v>
      </c>
      <c r="G76" s="27">
        <f>'DEFINITIF (APBNP)'!J918</f>
        <v>15222620</v>
      </c>
      <c r="H76" s="27">
        <f>'DEFINITIF (APBNP)'!K918</f>
        <v>15222620</v>
      </c>
      <c r="I76" s="27">
        <f>'DEFINITIF (APBNP)'!L918</f>
        <v>30314629</v>
      </c>
      <c r="J76" s="27">
        <f>'DEFINITIF (APBNP)'!M918</f>
        <v>0</v>
      </c>
      <c r="K76" s="29">
        <f>'DEFINITIF (APBNP)'!N918</f>
        <v>30314629</v>
      </c>
      <c r="L76" s="56">
        <f>'DEFINITIF (APBNP)'!O918</f>
        <v>45537249</v>
      </c>
    </row>
    <row r="77" spans="1:12" s="5" customFormat="1" ht="20.100000000000001" hidden="1" customHeight="1" x14ac:dyDescent="0.25">
      <c r="A77" s="6" t="s">
        <v>276</v>
      </c>
      <c r="B77" s="26" t="s">
        <v>796</v>
      </c>
      <c r="C77" s="27"/>
      <c r="D77" s="27"/>
      <c r="E77" s="27"/>
      <c r="F77" s="27"/>
      <c r="G77" s="27"/>
      <c r="H77" s="27"/>
      <c r="I77" s="27"/>
      <c r="J77" s="27"/>
      <c r="K77" s="29"/>
      <c r="L77" s="54"/>
    </row>
    <row r="78" spans="1:12" s="5" customFormat="1" ht="20.100000000000001" hidden="1" customHeight="1" x14ac:dyDescent="0.25">
      <c r="A78" s="6" t="s">
        <v>280</v>
      </c>
      <c r="B78" s="26" t="s">
        <v>797</v>
      </c>
      <c r="C78" s="27"/>
      <c r="D78" s="27"/>
      <c r="E78" s="27"/>
      <c r="F78" s="27"/>
      <c r="G78" s="27"/>
      <c r="H78" s="27"/>
      <c r="I78" s="27"/>
      <c r="J78" s="27"/>
      <c r="K78" s="29"/>
      <c r="L78" s="54"/>
    </row>
    <row r="79" spans="1:12" s="5" customFormat="1" ht="20.100000000000001" hidden="1" customHeight="1" x14ac:dyDescent="0.25">
      <c r="A79" s="6" t="s">
        <v>286</v>
      </c>
      <c r="B79" s="26" t="s">
        <v>798</v>
      </c>
      <c r="C79" s="27"/>
      <c r="D79" s="27"/>
      <c r="E79" s="27"/>
      <c r="F79" s="27"/>
      <c r="G79" s="27"/>
      <c r="H79" s="27"/>
      <c r="I79" s="27"/>
      <c r="J79" s="27"/>
      <c r="K79" s="29"/>
      <c r="L79" s="54"/>
    </row>
    <row r="80" spans="1:12" s="5" customFormat="1" ht="20.100000000000001" customHeight="1" x14ac:dyDescent="0.25">
      <c r="A80" s="6"/>
      <c r="B80" s="26"/>
      <c r="C80" s="27"/>
      <c r="D80" s="27"/>
      <c r="E80" s="27"/>
      <c r="F80" s="27"/>
      <c r="G80" s="27"/>
      <c r="H80" s="27"/>
      <c r="I80" s="27"/>
      <c r="J80" s="27"/>
      <c r="K80" s="29"/>
      <c r="L80" s="55"/>
    </row>
    <row r="81" spans="1:12" s="5" customFormat="1" ht="20.100000000000001" customHeight="1" x14ac:dyDescent="0.25">
      <c r="A81" s="6">
        <v>19</v>
      </c>
      <c r="B81" s="30" t="s">
        <v>799</v>
      </c>
      <c r="C81" s="31"/>
      <c r="D81" s="31"/>
      <c r="E81" s="31"/>
      <c r="F81" s="31"/>
      <c r="G81" s="31"/>
      <c r="H81" s="31"/>
      <c r="I81" s="31"/>
      <c r="J81" s="31"/>
      <c r="K81" s="32"/>
      <c r="L81" s="55"/>
    </row>
    <row r="82" spans="1:12" s="5" customFormat="1" ht="20.100000000000001" customHeight="1" x14ac:dyDescent="0.25">
      <c r="A82" s="6" t="s">
        <v>272</v>
      </c>
      <c r="B82" s="26" t="s">
        <v>136</v>
      </c>
      <c r="C82" s="27">
        <f>'DEFINITIF (APBNP)'!F1016</f>
        <v>0</v>
      </c>
      <c r="D82" s="27">
        <f>'DEFINITIF (APBNP)'!G1016</f>
        <v>0</v>
      </c>
      <c r="E82" s="27">
        <f>'DEFINITIF (APBNP)'!H1016</f>
        <v>0</v>
      </c>
      <c r="F82" s="27">
        <f>'DEFINITIF (APBNP)'!I1016</f>
        <v>0</v>
      </c>
      <c r="G82" s="27">
        <f>'DEFINITIF (APBNP)'!J1016</f>
        <v>3616917</v>
      </c>
      <c r="H82" s="27">
        <f>'DEFINITIF (APBNP)'!K1016</f>
        <v>3616917</v>
      </c>
      <c r="I82" s="27">
        <f>'DEFINITIF (APBNP)'!L1016</f>
        <v>40562000</v>
      </c>
      <c r="J82" s="27">
        <f>'DEFINITIF (APBNP)'!M1016</f>
        <v>0</v>
      </c>
      <c r="K82" s="29">
        <f>'DEFINITIF (APBNP)'!N1016</f>
        <v>40562000</v>
      </c>
      <c r="L82" s="56">
        <f>'DEFINITIF (APBNP)'!O1016</f>
        <v>44178917</v>
      </c>
    </row>
    <row r="83" spans="1:12" s="5" customFormat="1" ht="20.100000000000001" hidden="1" customHeight="1" x14ac:dyDescent="0.25">
      <c r="A83" s="6" t="s">
        <v>276</v>
      </c>
      <c r="B83" s="26" t="s">
        <v>800</v>
      </c>
      <c r="C83" s="27"/>
      <c r="D83" s="27"/>
      <c r="E83" s="27"/>
      <c r="F83" s="27"/>
      <c r="G83" s="27"/>
      <c r="H83" s="27"/>
      <c r="I83" s="27"/>
      <c r="J83" s="27"/>
      <c r="K83" s="29"/>
      <c r="L83" s="54"/>
    </row>
    <row r="84" spans="1:12" s="5" customFormat="1" ht="20.100000000000001" customHeight="1" x14ac:dyDescent="0.25">
      <c r="A84" s="6"/>
      <c r="B84" s="26"/>
      <c r="C84" s="27"/>
      <c r="D84" s="27"/>
      <c r="E84" s="27"/>
      <c r="F84" s="27"/>
      <c r="G84" s="27"/>
      <c r="H84" s="27"/>
      <c r="I84" s="27"/>
      <c r="J84" s="27"/>
      <c r="K84" s="29"/>
      <c r="L84" s="55"/>
    </row>
    <row r="85" spans="1:12" s="5" customFormat="1" ht="20.100000000000001" customHeight="1" x14ac:dyDescent="0.25">
      <c r="A85" s="6">
        <v>20</v>
      </c>
      <c r="B85" s="30" t="s">
        <v>801</v>
      </c>
      <c r="C85" s="31"/>
      <c r="D85" s="31"/>
      <c r="E85" s="31"/>
      <c r="F85" s="31"/>
      <c r="G85" s="31"/>
      <c r="H85" s="31"/>
      <c r="I85" s="31"/>
      <c r="J85" s="31"/>
      <c r="K85" s="32"/>
      <c r="L85" s="55"/>
    </row>
    <row r="86" spans="1:12" s="5" customFormat="1" ht="20.100000000000001" customHeight="1" x14ac:dyDescent="0.25">
      <c r="A86" s="6" t="s">
        <v>272</v>
      </c>
      <c r="B86" s="26" t="s">
        <v>145</v>
      </c>
      <c r="C86" s="27">
        <f>'DEFINITIF (APBNP)'!F1071</f>
        <v>0</v>
      </c>
      <c r="D86" s="27">
        <f>'DEFINITIF (APBNP)'!G1071</f>
        <v>0</v>
      </c>
      <c r="E86" s="27">
        <f>'DEFINITIF (APBNP)'!H1071</f>
        <v>0</v>
      </c>
      <c r="F86" s="27">
        <f>'DEFINITIF (APBNP)'!I1071</f>
        <v>0</v>
      </c>
      <c r="G86" s="27">
        <f>'DEFINITIF (APBNP)'!J1071</f>
        <v>17396725</v>
      </c>
      <c r="H86" s="27">
        <f>'DEFINITIF (APBNP)'!K1071</f>
        <v>17396725</v>
      </c>
      <c r="I86" s="27">
        <f>'DEFINITIF (APBNP)'!L1071</f>
        <v>35000000</v>
      </c>
      <c r="J86" s="27">
        <f>'DEFINITIF (APBNP)'!M1071</f>
        <v>0</v>
      </c>
      <c r="K86" s="29">
        <f>'DEFINITIF (APBNP)'!N1071</f>
        <v>35000000</v>
      </c>
      <c r="L86" s="56">
        <f>'DEFINITIF (APBNP)'!O1071</f>
        <v>52396725</v>
      </c>
    </row>
    <row r="87" spans="1:12" s="5" customFormat="1" ht="20.100000000000001" hidden="1" customHeight="1" x14ac:dyDescent="0.25">
      <c r="A87" s="6" t="s">
        <v>276</v>
      </c>
      <c r="B87" s="26" t="s">
        <v>802</v>
      </c>
      <c r="C87" s="27"/>
      <c r="D87" s="27"/>
      <c r="E87" s="27"/>
      <c r="F87" s="27"/>
      <c r="G87" s="27"/>
      <c r="H87" s="27"/>
      <c r="I87" s="27"/>
      <c r="J87" s="27"/>
      <c r="K87" s="29"/>
      <c r="L87" s="54"/>
    </row>
    <row r="88" spans="1:12" s="5" customFormat="1" ht="20.100000000000001" customHeight="1" x14ac:dyDescent="0.25">
      <c r="A88" s="6"/>
      <c r="B88" s="26"/>
      <c r="C88" s="27"/>
      <c r="D88" s="27"/>
      <c r="E88" s="27"/>
      <c r="F88" s="27"/>
      <c r="G88" s="27"/>
      <c r="H88" s="27"/>
      <c r="I88" s="27"/>
      <c r="J88" s="27"/>
      <c r="K88" s="29"/>
      <c r="L88" s="55"/>
    </row>
    <row r="89" spans="1:12" s="5" customFormat="1" ht="20.100000000000001" customHeight="1" x14ac:dyDescent="0.25">
      <c r="A89" s="6">
        <v>21</v>
      </c>
      <c r="B89" s="30" t="s">
        <v>803</v>
      </c>
      <c r="C89" s="31"/>
      <c r="D89" s="31"/>
      <c r="E89" s="31"/>
      <c r="F89" s="31"/>
      <c r="G89" s="31"/>
      <c r="H89" s="31"/>
      <c r="I89" s="31"/>
      <c r="J89" s="31"/>
      <c r="K89" s="32"/>
      <c r="L89" s="55"/>
    </row>
    <row r="90" spans="1:12" s="5" customFormat="1" ht="20.100000000000001" customHeight="1" x14ac:dyDescent="0.25">
      <c r="A90" s="6" t="s">
        <v>272</v>
      </c>
      <c r="B90" s="26" t="s">
        <v>150</v>
      </c>
      <c r="C90" s="27">
        <f>'DEFINITIF (APBNP)'!F1146</f>
        <v>0</v>
      </c>
      <c r="D90" s="27">
        <f>'DEFINITIF (APBNP)'!G1146</f>
        <v>0</v>
      </c>
      <c r="E90" s="27">
        <f>'DEFINITIF (APBNP)'!H1146</f>
        <v>0</v>
      </c>
      <c r="F90" s="27">
        <f>'DEFINITIF (APBNP)'!I1146</f>
        <v>0</v>
      </c>
      <c r="G90" s="27">
        <f>'DEFINITIF (APBNP)'!J1146</f>
        <v>3126061</v>
      </c>
      <c r="H90" s="27">
        <f>'DEFINITIF (APBNP)'!K1146</f>
        <v>3126061</v>
      </c>
      <c r="I90" s="27">
        <f>'DEFINITIF (APBNP)'!L1146</f>
        <v>7576410</v>
      </c>
      <c r="J90" s="27">
        <f>'DEFINITIF (APBNP)'!M1146</f>
        <v>0</v>
      </c>
      <c r="K90" s="29">
        <f>'DEFINITIF (APBNP)'!N1146</f>
        <v>7576410</v>
      </c>
      <c r="L90" s="56">
        <f>'DEFINITIF (APBNP)'!O1146</f>
        <v>10702471</v>
      </c>
    </row>
    <row r="91" spans="1:12" s="5" customFormat="1" ht="20.100000000000001" hidden="1" customHeight="1" x14ac:dyDescent="0.25">
      <c r="A91" s="6" t="s">
        <v>276</v>
      </c>
      <c r="B91" s="26" t="s">
        <v>804</v>
      </c>
      <c r="C91" s="27"/>
      <c r="D91" s="27"/>
      <c r="E91" s="27"/>
      <c r="F91" s="27"/>
      <c r="G91" s="27"/>
      <c r="H91" s="27"/>
      <c r="I91" s="27"/>
      <c r="J91" s="27"/>
      <c r="K91" s="29"/>
      <c r="L91" s="54"/>
    </row>
    <row r="92" spans="1:12" s="5" customFormat="1" ht="20.100000000000001" customHeight="1" x14ac:dyDescent="0.25">
      <c r="A92" s="6"/>
      <c r="B92" s="26"/>
      <c r="C92" s="27"/>
      <c r="D92" s="27"/>
      <c r="E92" s="27"/>
      <c r="F92" s="27"/>
      <c r="G92" s="27"/>
      <c r="H92" s="27"/>
      <c r="I92" s="27"/>
      <c r="J92" s="27"/>
      <c r="K92" s="29"/>
      <c r="L92" s="55"/>
    </row>
    <row r="93" spans="1:12" s="5" customFormat="1" ht="20.100000000000001" customHeight="1" x14ac:dyDescent="0.25">
      <c r="A93" s="6">
        <v>22</v>
      </c>
      <c r="B93" s="30" t="s">
        <v>845</v>
      </c>
      <c r="C93" s="31"/>
      <c r="D93" s="31"/>
      <c r="E93" s="31"/>
      <c r="F93" s="31"/>
      <c r="G93" s="31"/>
      <c r="H93" s="31"/>
      <c r="I93" s="31"/>
      <c r="J93" s="31"/>
      <c r="K93" s="32"/>
      <c r="L93" s="55"/>
    </row>
    <row r="94" spans="1:12" s="5" customFormat="1" ht="20.100000000000001" customHeight="1" x14ac:dyDescent="0.25">
      <c r="A94" s="6" t="s">
        <v>272</v>
      </c>
      <c r="B94" s="26" t="s">
        <v>152</v>
      </c>
      <c r="C94" s="27">
        <f>'DEFINITIF (APBNP)'!F1205</f>
        <v>0</v>
      </c>
      <c r="D94" s="27">
        <f>'DEFINITIF (APBNP)'!G1205</f>
        <v>0</v>
      </c>
      <c r="E94" s="27">
        <f>'DEFINITIF (APBNP)'!H1205</f>
        <v>0</v>
      </c>
      <c r="F94" s="27">
        <f>'DEFINITIF (APBNP)'!I1205</f>
        <v>0</v>
      </c>
      <c r="G94" s="27">
        <f>'DEFINITIF (APBNP)'!J1205</f>
        <v>3558520</v>
      </c>
      <c r="H94" s="27">
        <f>'DEFINITIF (APBNP)'!K1205</f>
        <v>3558520</v>
      </c>
      <c r="I94" s="27">
        <f>'DEFINITIF (APBNP)'!L1205</f>
        <v>35000000</v>
      </c>
      <c r="J94" s="27">
        <f>'DEFINITIF (APBNP)'!M1205</f>
        <v>0</v>
      </c>
      <c r="K94" s="29">
        <f>'DEFINITIF (APBNP)'!N1205</f>
        <v>35000000</v>
      </c>
      <c r="L94" s="56">
        <f>'DEFINITIF (APBNP)'!O1205</f>
        <v>38558520</v>
      </c>
    </row>
    <row r="95" spans="1:12" s="5" customFormat="1" ht="20.100000000000001" hidden="1" customHeight="1" x14ac:dyDescent="0.25">
      <c r="A95" s="6" t="s">
        <v>276</v>
      </c>
      <c r="B95" s="26" t="s">
        <v>805</v>
      </c>
      <c r="C95" s="27"/>
      <c r="D95" s="27"/>
      <c r="E95" s="27"/>
      <c r="F95" s="27"/>
      <c r="G95" s="27"/>
      <c r="H95" s="27"/>
      <c r="I95" s="27"/>
      <c r="J95" s="27"/>
      <c r="K95" s="29"/>
      <c r="L95" s="54"/>
    </row>
    <row r="96" spans="1:12" s="5" customFormat="1" ht="20.100000000000001" hidden="1" customHeight="1" x14ac:dyDescent="0.25">
      <c r="A96" s="6" t="s">
        <v>280</v>
      </c>
      <c r="B96" s="26" t="s">
        <v>806</v>
      </c>
      <c r="C96" s="27"/>
      <c r="D96" s="27"/>
      <c r="E96" s="27"/>
      <c r="F96" s="27"/>
      <c r="G96" s="27"/>
      <c r="H96" s="27"/>
      <c r="I96" s="27"/>
      <c r="J96" s="27"/>
      <c r="K96" s="29"/>
      <c r="L96" s="54"/>
    </row>
    <row r="97" spans="1:12" s="5" customFormat="1" ht="20.100000000000001" customHeight="1" x14ac:dyDescent="0.25">
      <c r="A97" s="6"/>
      <c r="B97" s="26"/>
      <c r="C97" s="27"/>
      <c r="D97" s="27"/>
      <c r="E97" s="27"/>
      <c r="F97" s="27"/>
      <c r="G97" s="27"/>
      <c r="H97" s="27"/>
      <c r="I97" s="27"/>
      <c r="J97" s="27"/>
      <c r="K97" s="29"/>
      <c r="L97" s="55"/>
    </row>
    <row r="98" spans="1:12" s="5" customFormat="1" ht="20.100000000000001" customHeight="1" x14ac:dyDescent="0.25">
      <c r="A98" s="6">
        <v>23</v>
      </c>
      <c r="B98" s="30" t="s">
        <v>848</v>
      </c>
      <c r="C98" s="31"/>
      <c r="D98" s="31"/>
      <c r="E98" s="31"/>
      <c r="F98" s="31"/>
      <c r="G98" s="31"/>
      <c r="H98" s="31"/>
      <c r="I98" s="31"/>
      <c r="J98" s="31"/>
      <c r="K98" s="32"/>
      <c r="L98" s="55"/>
    </row>
    <row r="99" spans="1:12" s="5" customFormat="1" ht="20.100000000000001" customHeight="1" x14ac:dyDescent="0.25">
      <c r="A99" s="6" t="s">
        <v>272</v>
      </c>
      <c r="B99" s="26" t="s">
        <v>740</v>
      </c>
      <c r="C99" s="27">
        <f>'DEFINITIF (APBNP)'!F1268</f>
        <v>0</v>
      </c>
      <c r="D99" s="27">
        <f>'DEFINITIF (APBNP)'!G1268</f>
        <v>0</v>
      </c>
      <c r="E99" s="27">
        <f>'DEFINITIF (APBNP)'!H1268</f>
        <v>0</v>
      </c>
      <c r="F99" s="27">
        <f>'DEFINITIF (APBNP)'!I1268</f>
        <v>0</v>
      </c>
      <c r="G99" s="27">
        <f>'DEFINITIF (APBNP)'!J1268</f>
        <v>1619920</v>
      </c>
      <c r="H99" s="27">
        <f>'DEFINITIF (APBNP)'!K1268</f>
        <v>1619920</v>
      </c>
      <c r="I99" s="27">
        <f>'DEFINITIF (APBNP)'!L1268</f>
        <v>2045000</v>
      </c>
      <c r="J99" s="27">
        <f>'DEFINITIF (APBNP)'!M1268</f>
        <v>0</v>
      </c>
      <c r="K99" s="27">
        <f>'DEFINITIF (APBNP)'!N1268</f>
        <v>2045000</v>
      </c>
      <c r="L99" s="57">
        <f>'DEFINITIF (APBNP)'!O1268</f>
        <v>3664920</v>
      </c>
    </row>
    <row r="100" spans="1:12" s="5" customFormat="1" ht="20.100000000000001" customHeight="1" x14ac:dyDescent="0.25">
      <c r="A100" s="6"/>
      <c r="B100" s="26"/>
      <c r="C100" s="27"/>
      <c r="D100" s="27"/>
      <c r="E100" s="27"/>
      <c r="F100" s="27"/>
      <c r="G100" s="27"/>
      <c r="H100" s="27"/>
      <c r="I100" s="27"/>
      <c r="J100" s="27"/>
      <c r="K100" s="29"/>
      <c r="L100" s="55"/>
    </row>
    <row r="101" spans="1:12" s="5" customFormat="1" ht="20.100000000000001" customHeight="1" x14ac:dyDescent="0.25">
      <c r="A101" s="6">
        <v>24</v>
      </c>
      <c r="B101" s="30" t="s">
        <v>807</v>
      </c>
      <c r="C101" s="31"/>
      <c r="D101" s="31"/>
      <c r="E101" s="31"/>
      <c r="F101" s="31"/>
      <c r="G101" s="31"/>
      <c r="H101" s="31"/>
      <c r="I101" s="31"/>
      <c r="J101" s="31"/>
      <c r="K101" s="32"/>
      <c r="L101" s="55"/>
    </row>
    <row r="102" spans="1:12" s="5" customFormat="1" ht="20.100000000000001" customHeight="1" x14ac:dyDescent="0.25">
      <c r="A102" s="6" t="s">
        <v>272</v>
      </c>
      <c r="B102" s="26" t="s">
        <v>156</v>
      </c>
      <c r="C102" s="27">
        <f>'DEFINITIF (APBNP)'!F1318</f>
        <v>0</v>
      </c>
      <c r="D102" s="27">
        <f>'DEFINITIF (APBNP)'!G1318</f>
        <v>0</v>
      </c>
      <c r="E102" s="27">
        <f>'DEFINITIF (APBNP)'!H1318</f>
        <v>0</v>
      </c>
      <c r="F102" s="27">
        <f>'DEFINITIF (APBNP)'!I1318</f>
        <v>0</v>
      </c>
      <c r="G102" s="27">
        <f>'DEFINITIF (APBNP)'!J1318</f>
        <v>1631900</v>
      </c>
      <c r="H102" s="27">
        <f>'DEFINITIF (APBNP)'!K1318</f>
        <v>1631900</v>
      </c>
      <c r="I102" s="27">
        <f>'DEFINITIF (APBNP)'!L1318</f>
        <v>8000000</v>
      </c>
      <c r="J102" s="27">
        <f>'DEFINITIF (APBNP)'!M1318</f>
        <v>0</v>
      </c>
      <c r="K102" s="29">
        <f>'DEFINITIF (APBNP)'!N1318</f>
        <v>8000000</v>
      </c>
      <c r="L102" s="56">
        <f>'DEFINITIF (APBNP)'!O1318</f>
        <v>9631900</v>
      </c>
    </row>
    <row r="103" spans="1:12" s="5" customFormat="1" ht="20.100000000000001" hidden="1" customHeight="1" x14ac:dyDescent="0.25">
      <c r="A103" s="6" t="s">
        <v>276</v>
      </c>
      <c r="B103" s="26" t="s">
        <v>808</v>
      </c>
      <c r="C103" s="27"/>
      <c r="D103" s="27"/>
      <c r="E103" s="27"/>
      <c r="F103" s="27"/>
      <c r="G103" s="27"/>
      <c r="H103" s="27"/>
      <c r="I103" s="27"/>
      <c r="J103" s="27"/>
      <c r="K103" s="29"/>
      <c r="L103" s="54"/>
    </row>
    <row r="104" spans="1:12" s="5" customFormat="1" ht="20.100000000000001" customHeight="1" x14ac:dyDescent="0.25">
      <c r="A104" s="6"/>
      <c r="B104" s="26"/>
      <c r="C104" s="27"/>
      <c r="D104" s="27"/>
      <c r="E104" s="27"/>
      <c r="F104" s="27"/>
      <c r="G104" s="27"/>
      <c r="H104" s="27"/>
      <c r="I104" s="27"/>
      <c r="J104" s="27"/>
      <c r="K104" s="29"/>
      <c r="L104" s="55"/>
    </row>
    <row r="105" spans="1:12" s="5" customFormat="1" ht="20.100000000000001" customHeight="1" x14ac:dyDescent="0.25">
      <c r="A105" s="6">
        <v>25</v>
      </c>
      <c r="B105" s="30" t="s">
        <v>809</v>
      </c>
      <c r="C105" s="31"/>
      <c r="D105" s="31"/>
      <c r="E105" s="31"/>
      <c r="F105" s="31"/>
      <c r="G105" s="31"/>
      <c r="H105" s="31"/>
      <c r="I105" s="31"/>
      <c r="J105" s="31"/>
      <c r="K105" s="32"/>
      <c r="L105" s="55"/>
    </row>
    <row r="106" spans="1:12" s="5" customFormat="1" ht="20.100000000000001" customHeight="1" x14ac:dyDescent="0.25">
      <c r="A106" s="6" t="s">
        <v>272</v>
      </c>
      <c r="B106" s="26" t="s">
        <v>160</v>
      </c>
      <c r="C106" s="27">
        <f>'DEFINITIF (APBNP)'!F1369</f>
        <v>0</v>
      </c>
      <c r="D106" s="27">
        <f>'DEFINITIF (APBNP)'!G1369</f>
        <v>0</v>
      </c>
      <c r="E106" s="27">
        <f>'DEFINITIF (APBNP)'!H1369</f>
        <v>0</v>
      </c>
      <c r="F106" s="27">
        <f>'DEFINITIF (APBNP)'!I1369</f>
        <v>0</v>
      </c>
      <c r="G106" s="27">
        <f>'DEFINITIF (APBNP)'!J1369</f>
        <v>3186350</v>
      </c>
      <c r="H106" s="27">
        <f>'DEFINITIF (APBNP)'!K1369</f>
        <v>3186350</v>
      </c>
      <c r="I106" s="27">
        <f>'DEFINITIF (APBNP)'!L1369</f>
        <v>48040000</v>
      </c>
      <c r="J106" s="27">
        <f>'DEFINITIF (APBNP)'!M1369</f>
        <v>0</v>
      </c>
      <c r="K106" s="29">
        <f>'DEFINITIF (APBNP)'!N1369</f>
        <v>48040000</v>
      </c>
      <c r="L106" s="56">
        <f>'DEFINITIF (APBNP)'!O1369</f>
        <v>51226350</v>
      </c>
    </row>
    <row r="107" spans="1:12" s="5" customFormat="1" ht="20.100000000000001" hidden="1" customHeight="1" x14ac:dyDescent="0.25">
      <c r="A107" s="6" t="s">
        <v>276</v>
      </c>
      <c r="B107" s="26" t="s">
        <v>810</v>
      </c>
      <c r="C107" s="27"/>
      <c r="D107" s="27"/>
      <c r="E107" s="27"/>
      <c r="F107" s="27"/>
      <c r="G107" s="27"/>
      <c r="H107" s="27"/>
      <c r="I107" s="27"/>
      <c r="J107" s="27"/>
      <c r="K107" s="29"/>
      <c r="L107" s="54"/>
    </row>
    <row r="108" spans="1:12" s="5" customFormat="1" ht="20.100000000000001" customHeight="1" x14ac:dyDescent="0.25">
      <c r="A108" s="6"/>
      <c r="B108" s="26"/>
      <c r="C108" s="27"/>
      <c r="D108" s="27"/>
      <c r="E108" s="27"/>
      <c r="F108" s="27"/>
      <c r="G108" s="27"/>
      <c r="H108" s="27"/>
      <c r="I108" s="27"/>
      <c r="J108" s="27"/>
      <c r="K108" s="29"/>
      <c r="L108" s="55"/>
    </row>
    <row r="109" spans="1:12" s="5" customFormat="1" ht="20.100000000000001" customHeight="1" x14ac:dyDescent="0.25">
      <c r="A109" s="6">
        <v>26</v>
      </c>
      <c r="B109" s="30" t="s">
        <v>811</v>
      </c>
      <c r="C109" s="31"/>
      <c r="D109" s="31"/>
      <c r="E109" s="31"/>
      <c r="F109" s="31"/>
      <c r="G109" s="31"/>
      <c r="H109" s="31"/>
      <c r="I109" s="31"/>
      <c r="J109" s="31"/>
      <c r="K109" s="32"/>
      <c r="L109" s="55"/>
    </row>
    <row r="110" spans="1:12" s="5" customFormat="1" ht="20.100000000000001" customHeight="1" x14ac:dyDescent="0.25">
      <c r="A110" s="6" t="s">
        <v>272</v>
      </c>
      <c r="B110" s="26" t="s">
        <v>162</v>
      </c>
      <c r="C110" s="27">
        <f>'DEFINITIF (APBNP)'!F1443</f>
        <v>0</v>
      </c>
      <c r="D110" s="27">
        <f>'DEFINITIF (APBNP)'!G1443</f>
        <v>0</v>
      </c>
      <c r="E110" s="27">
        <f>'DEFINITIF (APBNP)'!H1443</f>
        <v>0</v>
      </c>
      <c r="F110" s="27">
        <f>'DEFINITIF (APBNP)'!I1443</f>
        <v>0</v>
      </c>
      <c r="G110" s="27">
        <f>'DEFINITIF (APBNP)'!J1443</f>
        <v>7296830</v>
      </c>
      <c r="H110" s="27">
        <f>'DEFINITIF (APBNP)'!K1443</f>
        <v>7296830</v>
      </c>
      <c r="I110" s="27">
        <f>'DEFINITIF (APBNP)'!L1443</f>
        <v>6847964</v>
      </c>
      <c r="J110" s="27">
        <f>'DEFINITIF (APBNP)'!M1443</f>
        <v>0</v>
      </c>
      <c r="K110" s="29">
        <f>'DEFINITIF (APBNP)'!N1443</f>
        <v>6847964</v>
      </c>
      <c r="L110" s="56">
        <f>'DEFINITIF (APBNP)'!O1443</f>
        <v>14144794</v>
      </c>
    </row>
    <row r="111" spans="1:12" s="5" customFormat="1" ht="20.100000000000001" hidden="1" customHeight="1" x14ac:dyDescent="0.25">
      <c r="A111" s="6" t="s">
        <v>276</v>
      </c>
      <c r="B111" s="26" t="s">
        <v>812</v>
      </c>
      <c r="C111" s="27"/>
      <c r="D111" s="27"/>
      <c r="E111" s="27"/>
      <c r="F111" s="27"/>
      <c r="G111" s="27"/>
      <c r="H111" s="27"/>
      <c r="I111" s="27"/>
      <c r="J111" s="27"/>
      <c r="K111" s="29"/>
      <c r="L111" s="54"/>
    </row>
    <row r="112" spans="1:12" s="5" customFormat="1" ht="20.100000000000001" customHeight="1" x14ac:dyDescent="0.25">
      <c r="A112" s="6"/>
      <c r="B112" s="26"/>
      <c r="C112" s="27"/>
      <c r="D112" s="27"/>
      <c r="E112" s="27"/>
      <c r="F112" s="27"/>
      <c r="G112" s="27"/>
      <c r="H112" s="27"/>
      <c r="I112" s="27"/>
      <c r="J112" s="27"/>
      <c r="K112" s="29"/>
      <c r="L112" s="55"/>
    </row>
    <row r="113" spans="1:12" s="5" customFormat="1" ht="20.100000000000001" customHeight="1" x14ac:dyDescent="0.25">
      <c r="A113" s="6">
        <v>27</v>
      </c>
      <c r="B113" s="30" t="s">
        <v>813</v>
      </c>
      <c r="C113" s="31"/>
      <c r="D113" s="31"/>
      <c r="E113" s="31"/>
      <c r="F113" s="31"/>
      <c r="G113" s="31"/>
      <c r="H113" s="31"/>
      <c r="I113" s="31"/>
      <c r="J113" s="31"/>
      <c r="K113" s="32"/>
      <c r="L113" s="55"/>
    </row>
    <row r="114" spans="1:12" s="5" customFormat="1" ht="20.100000000000001" customHeight="1" x14ac:dyDescent="0.25">
      <c r="A114" s="6" t="s">
        <v>272</v>
      </c>
      <c r="B114" s="26" t="s">
        <v>163</v>
      </c>
      <c r="C114" s="27">
        <f>'DEFINITIF (APBNP)'!F1505</f>
        <v>0</v>
      </c>
      <c r="D114" s="27">
        <f>'DEFINITIF (APBNP)'!G1505</f>
        <v>0</v>
      </c>
      <c r="E114" s="27">
        <f>'DEFINITIF (APBNP)'!H1505</f>
        <v>0</v>
      </c>
      <c r="F114" s="27">
        <f>'DEFINITIF (APBNP)'!I1505</f>
        <v>0</v>
      </c>
      <c r="G114" s="27">
        <f>'DEFINITIF (APBNP)'!J1505</f>
        <v>4340400</v>
      </c>
      <c r="H114" s="27">
        <f>'DEFINITIF (APBNP)'!K1505</f>
        <v>4340400</v>
      </c>
      <c r="I114" s="27">
        <f>'DEFINITIF (APBNP)'!L1505</f>
        <v>7458264</v>
      </c>
      <c r="J114" s="27">
        <f>'DEFINITIF (APBNP)'!M1505</f>
        <v>0</v>
      </c>
      <c r="K114" s="29">
        <f>'DEFINITIF (APBNP)'!N1505</f>
        <v>7458264</v>
      </c>
      <c r="L114" s="56">
        <f>'DEFINITIF (APBNP)'!O1505</f>
        <v>11798664</v>
      </c>
    </row>
    <row r="115" spans="1:12" s="5" customFormat="1" ht="20.100000000000001" hidden="1" customHeight="1" x14ac:dyDescent="0.25">
      <c r="A115" s="6" t="s">
        <v>276</v>
      </c>
      <c r="B115" s="26" t="s">
        <v>814</v>
      </c>
      <c r="C115" s="27"/>
      <c r="D115" s="27"/>
      <c r="E115" s="27"/>
      <c r="F115" s="27"/>
      <c r="G115" s="27"/>
      <c r="H115" s="27"/>
      <c r="I115" s="27"/>
      <c r="J115" s="27"/>
      <c r="K115" s="29"/>
      <c r="L115" s="54"/>
    </row>
    <row r="116" spans="1:12" s="5" customFormat="1" ht="20.100000000000001" customHeight="1" x14ac:dyDescent="0.25">
      <c r="A116" s="6"/>
      <c r="B116" s="26"/>
      <c r="C116" s="27"/>
      <c r="D116" s="27"/>
      <c r="E116" s="27"/>
      <c r="F116" s="27"/>
      <c r="G116" s="27"/>
      <c r="H116" s="27"/>
      <c r="I116" s="27"/>
      <c r="J116" s="27"/>
      <c r="K116" s="29"/>
      <c r="L116" s="55"/>
    </row>
    <row r="117" spans="1:12" s="5" customFormat="1" ht="20.100000000000001" customHeight="1" x14ac:dyDescent="0.25">
      <c r="A117" s="6">
        <v>28</v>
      </c>
      <c r="B117" s="30" t="s">
        <v>849</v>
      </c>
      <c r="C117" s="31"/>
      <c r="D117" s="31"/>
      <c r="E117" s="31"/>
      <c r="F117" s="31"/>
      <c r="G117" s="31"/>
      <c r="H117" s="31"/>
      <c r="I117" s="31"/>
      <c r="J117" s="31"/>
      <c r="K117" s="32"/>
      <c r="L117" s="55"/>
    </row>
    <row r="118" spans="1:12" s="5" customFormat="1" ht="20.100000000000001" customHeight="1" x14ac:dyDescent="0.25">
      <c r="A118" s="6" t="s">
        <v>272</v>
      </c>
      <c r="B118" s="26" t="s">
        <v>165</v>
      </c>
      <c r="C118" s="27">
        <f>'DEFINITIF (APBNP)'!F1567</f>
        <v>0</v>
      </c>
      <c r="D118" s="27">
        <f>'DEFINITIF (APBNP)'!G1567</f>
        <v>0</v>
      </c>
      <c r="E118" s="27">
        <f>'DEFINITIF (APBNP)'!H1567</f>
        <v>0</v>
      </c>
      <c r="F118" s="27">
        <f>'DEFINITIF (APBNP)'!I1567</f>
        <v>0</v>
      </c>
      <c r="G118" s="27">
        <f>'DEFINITIF (APBNP)'!J1567</f>
        <v>29031966</v>
      </c>
      <c r="H118" s="27">
        <f>'DEFINITIF (APBNP)'!K1567</f>
        <v>29031966</v>
      </c>
      <c r="I118" s="27">
        <f>'DEFINITIF (APBNP)'!L1567</f>
        <v>40559600</v>
      </c>
      <c r="J118" s="27">
        <f>'DEFINITIF (APBNP)'!M1567</f>
        <v>0</v>
      </c>
      <c r="K118" s="29">
        <f>'DEFINITIF (APBNP)'!N1567</f>
        <v>40559600</v>
      </c>
      <c r="L118" s="56">
        <f>'DEFINITIF (APBNP)'!O1567</f>
        <v>69591566</v>
      </c>
    </row>
    <row r="119" spans="1:12" s="5" customFormat="1" ht="20.100000000000001" hidden="1" customHeight="1" x14ac:dyDescent="0.25">
      <c r="A119" s="6" t="s">
        <v>276</v>
      </c>
      <c r="B119" s="26" t="s">
        <v>815</v>
      </c>
      <c r="C119" s="27"/>
      <c r="D119" s="27"/>
      <c r="E119" s="27"/>
      <c r="F119" s="27"/>
      <c r="G119" s="27"/>
      <c r="H119" s="27"/>
      <c r="I119" s="27"/>
      <c r="J119" s="27"/>
      <c r="K119" s="29"/>
      <c r="L119" s="54"/>
    </row>
    <row r="120" spans="1:12" s="5" customFormat="1" ht="20.100000000000001" customHeight="1" x14ac:dyDescent="0.25">
      <c r="A120" s="6"/>
      <c r="B120" s="26"/>
      <c r="C120" s="27"/>
      <c r="D120" s="27"/>
      <c r="E120" s="27"/>
      <c r="F120" s="27"/>
      <c r="G120" s="27"/>
      <c r="H120" s="27"/>
      <c r="I120" s="27"/>
      <c r="J120" s="27"/>
      <c r="K120" s="29"/>
      <c r="L120" s="55"/>
    </row>
    <row r="121" spans="1:12" s="5" customFormat="1" ht="20.100000000000001" customHeight="1" x14ac:dyDescent="0.25">
      <c r="A121" s="6">
        <v>29</v>
      </c>
      <c r="B121" s="30" t="s">
        <v>816</v>
      </c>
      <c r="C121" s="31"/>
      <c r="D121" s="31"/>
      <c r="E121" s="31"/>
      <c r="F121" s="31"/>
      <c r="G121" s="31"/>
      <c r="H121" s="31"/>
      <c r="I121" s="31"/>
      <c r="J121" s="31"/>
      <c r="K121" s="32"/>
      <c r="L121" s="55"/>
    </row>
    <row r="122" spans="1:12" s="5" customFormat="1" ht="20.100000000000001" customHeight="1" x14ac:dyDescent="0.25">
      <c r="A122" s="6" t="s">
        <v>272</v>
      </c>
      <c r="B122" s="26" t="s">
        <v>169</v>
      </c>
      <c r="C122" s="27">
        <f>'DEFINITIF (APBNP)'!F1629</f>
        <v>0</v>
      </c>
      <c r="D122" s="27">
        <f>'DEFINITIF (APBNP)'!G1629</f>
        <v>0</v>
      </c>
      <c r="E122" s="27">
        <f>'DEFINITIF (APBNP)'!H1629</f>
        <v>0</v>
      </c>
      <c r="F122" s="27">
        <f>'DEFINITIF (APBNP)'!I1629</f>
        <v>0</v>
      </c>
      <c r="G122" s="27">
        <f>'DEFINITIF (APBNP)'!J1629</f>
        <v>3579440</v>
      </c>
      <c r="H122" s="27">
        <f>'DEFINITIF (APBNP)'!K1629</f>
        <v>3579440</v>
      </c>
      <c r="I122" s="27">
        <f>'DEFINITIF (APBNP)'!L1629</f>
        <v>7515000</v>
      </c>
      <c r="J122" s="27">
        <f>'DEFINITIF (APBNP)'!M1629</f>
        <v>0</v>
      </c>
      <c r="K122" s="29">
        <f>'DEFINITIF (APBNP)'!N1629</f>
        <v>7515000</v>
      </c>
      <c r="L122" s="56">
        <f>'DEFINITIF (APBNP)'!O1629</f>
        <v>11094440</v>
      </c>
    </row>
    <row r="123" spans="1:12" s="5" customFormat="1" ht="20.100000000000001" hidden="1" customHeight="1" x14ac:dyDescent="0.25">
      <c r="A123" s="6" t="s">
        <v>276</v>
      </c>
      <c r="B123" s="26" t="s">
        <v>817</v>
      </c>
      <c r="C123" s="27"/>
      <c r="D123" s="27"/>
      <c r="E123" s="27"/>
      <c r="F123" s="27"/>
      <c r="G123" s="27"/>
      <c r="H123" s="27"/>
      <c r="I123" s="27"/>
      <c r="J123" s="27"/>
      <c r="K123" s="29"/>
      <c r="L123" s="54"/>
    </row>
    <row r="124" spans="1:12" s="5" customFormat="1" ht="20.100000000000001" customHeight="1" x14ac:dyDescent="0.25">
      <c r="A124" s="6"/>
      <c r="B124" s="35"/>
      <c r="C124" s="27"/>
      <c r="D124" s="27"/>
      <c r="E124" s="27"/>
      <c r="F124" s="27"/>
      <c r="G124" s="27"/>
      <c r="H124" s="27"/>
      <c r="I124" s="27"/>
      <c r="J124" s="27"/>
      <c r="K124" s="29"/>
      <c r="L124" s="55"/>
    </row>
    <row r="125" spans="1:12" s="5" customFormat="1" ht="20.100000000000001" customHeight="1" x14ac:dyDescent="0.25">
      <c r="A125" s="6">
        <v>30</v>
      </c>
      <c r="B125" s="30" t="s">
        <v>818</v>
      </c>
      <c r="C125" s="31"/>
      <c r="D125" s="31"/>
      <c r="E125" s="31"/>
      <c r="F125" s="31"/>
      <c r="G125" s="31"/>
      <c r="H125" s="31"/>
      <c r="I125" s="31"/>
      <c r="J125" s="31"/>
      <c r="K125" s="32"/>
      <c r="L125" s="55"/>
    </row>
    <row r="126" spans="1:12" s="5" customFormat="1" ht="20.100000000000001" customHeight="1" x14ac:dyDescent="0.25">
      <c r="A126" s="6" t="s">
        <v>272</v>
      </c>
      <c r="B126" s="26" t="s">
        <v>173</v>
      </c>
      <c r="C126" s="27">
        <f>'DEFINITIF (APBNP)'!F1687</f>
        <v>0</v>
      </c>
      <c r="D126" s="27">
        <f>'DEFINITIF (APBNP)'!G1687</f>
        <v>0</v>
      </c>
      <c r="E126" s="27">
        <f>'DEFINITIF (APBNP)'!H1687</f>
        <v>0</v>
      </c>
      <c r="F126" s="27">
        <f>'DEFINITIF (APBNP)'!I1687</f>
        <v>0</v>
      </c>
      <c r="G126" s="27">
        <f>'DEFINITIF (APBNP)'!J1687</f>
        <v>12536000</v>
      </c>
      <c r="H126" s="27">
        <f>'DEFINITIF (APBNP)'!K1687</f>
        <v>12536000</v>
      </c>
      <c r="I126" s="27">
        <f>'DEFINITIF (APBNP)'!L1687</f>
        <v>7025000</v>
      </c>
      <c r="J126" s="27">
        <f>'DEFINITIF (APBNP)'!M1687</f>
        <v>0</v>
      </c>
      <c r="K126" s="29">
        <f>'DEFINITIF (APBNP)'!N1687</f>
        <v>7025000</v>
      </c>
      <c r="L126" s="56">
        <f>'DEFINITIF (APBNP)'!O1687</f>
        <v>19561000</v>
      </c>
    </row>
    <row r="127" spans="1:12" s="5" customFormat="1" ht="20.100000000000001" hidden="1" customHeight="1" x14ac:dyDescent="0.25">
      <c r="A127" s="6" t="s">
        <v>276</v>
      </c>
      <c r="B127" s="26" t="s">
        <v>819</v>
      </c>
      <c r="C127" s="27"/>
      <c r="D127" s="27"/>
      <c r="E127" s="27"/>
      <c r="F127" s="27"/>
      <c r="G127" s="27"/>
      <c r="H127" s="27"/>
      <c r="I127" s="27"/>
      <c r="J127" s="27"/>
      <c r="K127" s="29"/>
      <c r="L127" s="54"/>
    </row>
    <row r="128" spans="1:12" s="5" customFormat="1" ht="20.100000000000001" hidden="1" customHeight="1" x14ac:dyDescent="0.25">
      <c r="A128" s="6" t="s">
        <v>280</v>
      </c>
      <c r="B128" s="26" t="s">
        <v>820</v>
      </c>
      <c r="C128" s="27"/>
      <c r="D128" s="27"/>
      <c r="E128" s="27"/>
      <c r="F128" s="27"/>
      <c r="G128" s="27"/>
      <c r="H128" s="27"/>
      <c r="I128" s="27"/>
      <c r="J128" s="27"/>
      <c r="K128" s="29"/>
      <c r="L128" s="54"/>
    </row>
    <row r="129" spans="1:12" s="5" customFormat="1" ht="20.100000000000001" customHeight="1" x14ac:dyDescent="0.25">
      <c r="A129" s="6"/>
      <c r="B129" s="26"/>
      <c r="C129" s="27"/>
      <c r="D129" s="27"/>
      <c r="E129" s="27"/>
      <c r="F129" s="27"/>
      <c r="G129" s="27"/>
      <c r="H129" s="27"/>
      <c r="I129" s="27"/>
      <c r="J129" s="27"/>
      <c r="K129" s="29"/>
      <c r="L129" s="55"/>
    </row>
    <row r="130" spans="1:12" s="5" customFormat="1" ht="20.100000000000001" customHeight="1" x14ac:dyDescent="0.25">
      <c r="A130" s="6">
        <v>31</v>
      </c>
      <c r="B130" s="30" t="s">
        <v>821</v>
      </c>
      <c r="C130" s="31"/>
      <c r="D130" s="31"/>
      <c r="E130" s="31"/>
      <c r="F130" s="31"/>
      <c r="G130" s="31"/>
      <c r="H130" s="31"/>
      <c r="I130" s="31"/>
      <c r="J130" s="31"/>
      <c r="K130" s="32"/>
      <c r="L130" s="55"/>
    </row>
    <row r="131" spans="1:12" s="5" customFormat="1" ht="20.100000000000001" customHeight="1" x14ac:dyDescent="0.25">
      <c r="A131" s="6" t="s">
        <v>272</v>
      </c>
      <c r="B131" s="26" t="s">
        <v>822</v>
      </c>
      <c r="C131" s="27">
        <f>'DEFINITIF (APBNP)'!F1753</f>
        <v>0</v>
      </c>
      <c r="D131" s="27">
        <f>'DEFINITIF (APBNP)'!G1753</f>
        <v>0</v>
      </c>
      <c r="E131" s="27">
        <f>'DEFINITIF (APBNP)'!H1753</f>
        <v>0</v>
      </c>
      <c r="F131" s="27">
        <f>'DEFINITIF (APBNP)'!I1753</f>
        <v>0</v>
      </c>
      <c r="G131" s="27">
        <f>'DEFINITIF (APBNP)'!J1753</f>
        <v>3804187</v>
      </c>
      <c r="H131" s="27">
        <f>'DEFINITIF (APBNP)'!K1753</f>
        <v>3804187</v>
      </c>
      <c r="I131" s="27">
        <f>'DEFINITIF (APBNP)'!L1753</f>
        <v>3560362</v>
      </c>
      <c r="J131" s="27">
        <f>'DEFINITIF (APBNP)'!M1753</f>
        <v>0</v>
      </c>
      <c r="K131" s="29">
        <f>'DEFINITIF (APBNP)'!N1753</f>
        <v>3560362</v>
      </c>
      <c r="L131" s="56">
        <f>'DEFINITIF (APBNP)'!O1753</f>
        <v>7364549</v>
      </c>
    </row>
    <row r="132" spans="1:12" s="5" customFormat="1" ht="20.100000000000001" hidden="1" customHeight="1" x14ac:dyDescent="0.25">
      <c r="A132" s="6" t="s">
        <v>276</v>
      </c>
      <c r="B132" s="26" t="s">
        <v>823</v>
      </c>
      <c r="C132" s="27"/>
      <c r="D132" s="27"/>
      <c r="E132" s="27"/>
      <c r="F132" s="27"/>
      <c r="G132" s="27"/>
      <c r="H132" s="27"/>
      <c r="I132" s="27"/>
      <c r="J132" s="27"/>
      <c r="K132" s="29"/>
      <c r="L132" s="54"/>
    </row>
    <row r="133" spans="1:12" s="5" customFormat="1" ht="20.100000000000001" customHeight="1" x14ac:dyDescent="0.25">
      <c r="A133" s="6"/>
      <c r="B133" s="26"/>
      <c r="C133" s="27"/>
      <c r="D133" s="27"/>
      <c r="E133" s="27"/>
      <c r="F133" s="27"/>
      <c r="G133" s="27"/>
      <c r="H133" s="27"/>
      <c r="I133" s="27"/>
      <c r="J133" s="27"/>
      <c r="K133" s="29"/>
      <c r="L133" s="55"/>
    </row>
    <row r="134" spans="1:12" s="5" customFormat="1" ht="20.100000000000001" customHeight="1" x14ac:dyDescent="0.25">
      <c r="A134" s="6">
        <v>32</v>
      </c>
      <c r="B134" s="30" t="s">
        <v>824</v>
      </c>
      <c r="C134" s="31"/>
      <c r="D134" s="31"/>
      <c r="E134" s="31"/>
      <c r="F134" s="31"/>
      <c r="G134" s="31"/>
      <c r="H134" s="31"/>
      <c r="I134" s="31"/>
      <c r="J134" s="31"/>
      <c r="K134" s="32"/>
      <c r="L134" s="55"/>
    </row>
    <row r="135" spans="1:12" s="5" customFormat="1" ht="20.100000000000001" customHeight="1" x14ac:dyDescent="0.25">
      <c r="A135" s="6" t="s">
        <v>272</v>
      </c>
      <c r="B135" s="36" t="s">
        <v>825</v>
      </c>
      <c r="C135" s="37">
        <f>'DEFINITIF (APBNP)'!F1800</f>
        <v>0</v>
      </c>
      <c r="D135" s="37">
        <f>'DEFINITIF (APBNP)'!G1800</f>
        <v>0</v>
      </c>
      <c r="E135" s="37">
        <f>'DEFINITIF (APBNP)'!H1800</f>
        <v>0</v>
      </c>
      <c r="F135" s="37">
        <f>'DEFINITIF (APBNP)'!I1800</f>
        <v>0</v>
      </c>
      <c r="G135" s="37">
        <f>'DEFINITIF (APBNP)'!J1800</f>
        <v>11796833</v>
      </c>
      <c r="H135" s="37">
        <f>'DEFINITIF (APBNP)'!K1800</f>
        <v>11796833</v>
      </c>
      <c r="I135" s="37">
        <f>'DEFINITIF (APBNP)'!L1800</f>
        <v>5718900.5999999996</v>
      </c>
      <c r="J135" s="37">
        <f>'DEFINITIF (APBNP)'!M1800</f>
        <v>0</v>
      </c>
      <c r="K135" s="38">
        <f>'DEFINITIF (APBNP)'!N1800</f>
        <v>5718900.5999999996</v>
      </c>
      <c r="L135" s="56">
        <f>'DEFINITIF (APBNP)'!O1800</f>
        <v>17515733.600000001</v>
      </c>
    </row>
    <row r="136" spans="1:12" s="5" customFormat="1" ht="20.100000000000001" hidden="1" customHeight="1" x14ac:dyDescent="0.25">
      <c r="A136" s="6" t="s">
        <v>276</v>
      </c>
      <c r="B136" s="26" t="s">
        <v>826</v>
      </c>
      <c r="C136" s="27"/>
      <c r="D136" s="27"/>
      <c r="E136" s="27"/>
      <c r="F136" s="27"/>
      <c r="G136" s="27"/>
      <c r="H136" s="27"/>
      <c r="I136" s="27"/>
      <c r="J136" s="27"/>
      <c r="K136" s="29"/>
      <c r="L136" s="54"/>
    </row>
    <row r="137" spans="1:12" s="5" customFormat="1" ht="20.100000000000001" customHeight="1" x14ac:dyDescent="0.25">
      <c r="A137" s="6"/>
      <c r="B137" s="26"/>
      <c r="C137" s="27"/>
      <c r="D137" s="27"/>
      <c r="E137" s="27"/>
      <c r="F137" s="27"/>
      <c r="G137" s="27"/>
      <c r="H137" s="27"/>
      <c r="I137" s="27"/>
      <c r="J137" s="27"/>
      <c r="K137" s="29"/>
      <c r="L137" s="55"/>
    </row>
    <row r="138" spans="1:12" s="5" customFormat="1" ht="27" customHeight="1" x14ac:dyDescent="0.25">
      <c r="A138" s="6">
        <v>33</v>
      </c>
      <c r="B138" s="30" t="s">
        <v>827</v>
      </c>
      <c r="C138" s="31"/>
      <c r="D138" s="31"/>
      <c r="E138" s="31"/>
      <c r="F138" s="31"/>
      <c r="G138" s="31"/>
      <c r="H138" s="31"/>
      <c r="I138" s="31"/>
      <c r="J138" s="31"/>
      <c r="K138" s="32"/>
      <c r="L138" s="55"/>
    </row>
    <row r="139" spans="1:12" s="5" customFormat="1" ht="29.25" customHeight="1" x14ac:dyDescent="0.25">
      <c r="A139" s="6" t="s">
        <v>272</v>
      </c>
      <c r="B139" s="26" t="s">
        <v>185</v>
      </c>
      <c r="C139" s="27">
        <f>'DEFINITIF (APBNP)'!F1880</f>
        <v>0</v>
      </c>
      <c r="D139" s="27">
        <f>'DEFINITIF (APBNP)'!G1880</f>
        <v>0</v>
      </c>
      <c r="E139" s="27">
        <f>'DEFINITIF (APBNP)'!H1880</f>
        <v>0</v>
      </c>
      <c r="F139" s="27">
        <f>'DEFINITIF (APBNP)'!I1880</f>
        <v>0</v>
      </c>
      <c r="G139" s="27">
        <f>'DEFINITIF (APBNP)'!J1880</f>
        <v>8494986</v>
      </c>
      <c r="H139" s="27">
        <f>'DEFINITIF (APBNP)'!K1880</f>
        <v>8494986</v>
      </c>
      <c r="I139" s="27">
        <f>'DEFINITIF (APBNP)'!L1880</f>
        <v>3000000</v>
      </c>
      <c r="J139" s="27">
        <f>'DEFINITIF (APBNP)'!M1880</f>
        <v>0</v>
      </c>
      <c r="K139" s="29">
        <f>'DEFINITIF (APBNP)'!N1880</f>
        <v>3000000</v>
      </c>
      <c r="L139" s="56">
        <f>'DEFINITIF (APBNP)'!O1880</f>
        <v>11494986</v>
      </c>
    </row>
    <row r="140" spans="1:12" s="5" customFormat="1" ht="20.100000000000001" hidden="1" customHeight="1" x14ac:dyDescent="0.25">
      <c r="A140" s="6" t="s">
        <v>276</v>
      </c>
      <c r="B140" s="26" t="s">
        <v>828</v>
      </c>
      <c r="C140" s="27"/>
      <c r="D140" s="27"/>
      <c r="E140" s="27"/>
      <c r="F140" s="27"/>
      <c r="G140" s="27"/>
      <c r="H140" s="27"/>
      <c r="I140" s="27"/>
      <c r="J140" s="27"/>
      <c r="K140" s="29"/>
      <c r="L140" s="54"/>
    </row>
    <row r="141" spans="1:12" s="5" customFormat="1" ht="20.100000000000001" customHeight="1" x14ac:dyDescent="0.25">
      <c r="A141" s="6"/>
      <c r="B141" s="39"/>
      <c r="C141" s="27"/>
      <c r="D141" s="27"/>
      <c r="E141" s="27"/>
      <c r="F141" s="27"/>
      <c r="G141" s="27"/>
      <c r="H141" s="27"/>
      <c r="I141" s="27"/>
      <c r="J141" s="27"/>
      <c r="K141" s="29"/>
      <c r="L141" s="55"/>
    </row>
    <row r="142" spans="1:12" s="5" customFormat="1" ht="20.100000000000001" customHeight="1" x14ac:dyDescent="0.25">
      <c r="A142" s="6">
        <v>34</v>
      </c>
      <c r="B142" s="39" t="s">
        <v>186</v>
      </c>
      <c r="C142" s="27">
        <f>'DEFINITIF (APBNP)'!F1940</f>
        <v>0</v>
      </c>
      <c r="D142" s="27">
        <f>'DEFINITIF (APBNP)'!G1940</f>
        <v>0</v>
      </c>
      <c r="E142" s="27">
        <f>'DEFINITIF (APBNP)'!H1940</f>
        <v>0</v>
      </c>
      <c r="F142" s="27">
        <f>'DEFINITIF (APBNP)'!I1940</f>
        <v>3452135</v>
      </c>
      <c r="G142" s="27">
        <f>'DEFINITIF (APBNP)'!J1940</f>
        <v>3915770</v>
      </c>
      <c r="H142" s="27">
        <f>'DEFINITIF (APBNP)'!K1940</f>
        <v>7367905</v>
      </c>
      <c r="I142" s="27">
        <f>'DEFINITIF (APBNP)'!L1940</f>
        <v>11596035</v>
      </c>
      <c r="J142" s="27">
        <f>'DEFINITIF (APBNP)'!M1940</f>
        <v>0</v>
      </c>
      <c r="K142" s="29">
        <f>'DEFINITIF (APBNP)'!N1940</f>
        <v>11596035</v>
      </c>
      <c r="L142" s="56">
        <f>'DEFINITIF (APBNP)'!O1940</f>
        <v>18963940</v>
      </c>
    </row>
    <row r="143" spans="1:12" s="5" customFormat="1" ht="20.100000000000001" customHeight="1" x14ac:dyDescent="0.25">
      <c r="A143" s="6">
        <v>35</v>
      </c>
      <c r="B143" s="39" t="s">
        <v>198</v>
      </c>
      <c r="C143" s="27">
        <f>'DEFINITIF (APBNP)'!F2133</f>
        <v>0</v>
      </c>
      <c r="D143" s="27">
        <f>'DEFINITIF (APBNP)'!G2133</f>
        <v>0</v>
      </c>
      <c r="E143" s="27">
        <f>'DEFINITIF (APBNP)'!H2133</f>
        <v>0</v>
      </c>
      <c r="F143" s="27">
        <f>'DEFINITIF (APBNP)'!I2133</f>
        <v>1686380</v>
      </c>
      <c r="G143" s="27">
        <f>'DEFINITIF (APBNP)'!J2133</f>
        <v>2012116</v>
      </c>
      <c r="H143" s="27">
        <f>'DEFINITIF (APBNP)'!K2133</f>
        <v>3698496</v>
      </c>
      <c r="I143" s="27">
        <f>'DEFINITIF (APBNP)'!L2133</f>
        <v>9365000</v>
      </c>
      <c r="J143" s="27">
        <f>'DEFINITIF (APBNP)'!M2133</f>
        <v>0</v>
      </c>
      <c r="K143" s="27">
        <f>'DEFINITIF (APBNP)'!N2133</f>
        <v>9365000</v>
      </c>
      <c r="L143" s="57">
        <f>'DEFINITIF (APBNP)'!O2133</f>
        <v>13063496</v>
      </c>
    </row>
    <row r="144" spans="1:12" s="5" customFormat="1" ht="20.100000000000001" customHeight="1" x14ac:dyDescent="0.25">
      <c r="A144" s="6">
        <v>36</v>
      </c>
      <c r="B144" s="39" t="s">
        <v>199</v>
      </c>
      <c r="C144" s="27">
        <f>'DEFINITIF (APBNP)'!F2326</f>
        <v>0</v>
      </c>
      <c r="D144" s="27">
        <f>'DEFINITIF (APBNP)'!G2326</f>
        <v>0</v>
      </c>
      <c r="E144" s="27">
        <f>'DEFINITIF (APBNP)'!H2326</f>
        <v>0</v>
      </c>
      <c r="F144" s="27">
        <f>'DEFINITIF (APBNP)'!I2326</f>
        <v>1794010</v>
      </c>
      <c r="G144" s="27">
        <f>'DEFINITIF (APBNP)'!J2326</f>
        <v>4085600</v>
      </c>
      <c r="H144" s="27">
        <f>'DEFINITIF (APBNP)'!K2326</f>
        <v>5879610</v>
      </c>
      <c r="I144" s="27">
        <f>'DEFINITIF (APBNP)'!L2326</f>
        <v>7834530</v>
      </c>
      <c r="J144" s="27">
        <f>'DEFINITIF (APBNP)'!M2326</f>
        <v>0</v>
      </c>
      <c r="K144" s="29">
        <f>'DEFINITIF (APBNP)'!N2326</f>
        <v>7834530</v>
      </c>
      <c r="L144" s="56">
        <f>'DEFINITIF (APBNP)'!O2326</f>
        <v>13714140</v>
      </c>
    </row>
    <row r="145" spans="1:12" s="5" customFormat="1" ht="20.100000000000001" customHeight="1" x14ac:dyDescent="0.25">
      <c r="A145" s="6">
        <v>37</v>
      </c>
      <c r="B145" s="39" t="s">
        <v>200</v>
      </c>
      <c r="C145" s="27">
        <f>'DEFINITIF (APBNP)'!F2563</f>
        <v>0</v>
      </c>
      <c r="D145" s="27">
        <f>'DEFINITIF (APBNP)'!G2563</f>
        <v>0</v>
      </c>
      <c r="E145" s="27">
        <f>'DEFINITIF (APBNP)'!H2563</f>
        <v>0</v>
      </c>
      <c r="F145" s="27">
        <f>'DEFINITIF (APBNP)'!I2563</f>
        <v>2055326</v>
      </c>
      <c r="G145" s="27">
        <f>'DEFINITIF (APBNP)'!J2563</f>
        <v>4053680</v>
      </c>
      <c r="H145" s="27">
        <f>'DEFINITIF (APBNP)'!K2563</f>
        <v>6109006</v>
      </c>
      <c r="I145" s="27">
        <f>'DEFINITIF (APBNP)'!L2563</f>
        <v>19164593</v>
      </c>
      <c r="J145" s="27">
        <f>'DEFINITIF (APBNP)'!M2563</f>
        <v>0</v>
      </c>
      <c r="K145" s="29">
        <f>'DEFINITIF (APBNP)'!N2563</f>
        <v>19164593</v>
      </c>
      <c r="L145" s="56">
        <f>'DEFINITIF (APBNP)'!O2563</f>
        <v>25273599</v>
      </c>
    </row>
    <row r="146" spans="1:12" s="5" customFormat="1" ht="20.100000000000001" customHeight="1" x14ac:dyDescent="0.25">
      <c r="A146" s="6"/>
      <c r="B146" s="39"/>
      <c r="C146" s="27"/>
      <c r="D146" s="27"/>
      <c r="E146" s="27"/>
      <c r="F146" s="27"/>
      <c r="G146" s="27"/>
      <c r="H146" s="27"/>
      <c r="I146" s="27"/>
      <c r="J146" s="27"/>
      <c r="K146" s="29"/>
      <c r="L146" s="55"/>
    </row>
    <row r="147" spans="1:12" s="5" customFormat="1" ht="20.100000000000001" customHeight="1" x14ac:dyDescent="0.25">
      <c r="A147" s="6"/>
      <c r="B147" s="40" t="s">
        <v>829</v>
      </c>
      <c r="C147" s="31"/>
      <c r="D147" s="31"/>
      <c r="E147" s="31"/>
      <c r="F147" s="31"/>
      <c r="G147" s="31"/>
      <c r="H147" s="31"/>
      <c r="I147" s="31"/>
      <c r="J147" s="31"/>
      <c r="K147" s="32"/>
      <c r="L147" s="55"/>
    </row>
    <row r="148" spans="1:12" s="5" customFormat="1" ht="20.100000000000001" customHeight="1" x14ac:dyDescent="0.25">
      <c r="A148" s="11">
        <v>38</v>
      </c>
      <c r="B148" s="41" t="s">
        <v>830</v>
      </c>
      <c r="C148" s="42">
        <f>'DEFINITIF (APBNP)'!F3282</f>
        <v>74401084</v>
      </c>
      <c r="D148" s="42">
        <f>'DEFINITIF (APBNP)'!G3282</f>
        <v>0</v>
      </c>
      <c r="E148" s="42">
        <f>'DEFINITIF (APBNP)'!H3282</f>
        <v>74401084</v>
      </c>
      <c r="F148" s="42">
        <f>'DEFINITIF (APBNP)'!I3282</f>
        <v>9166209</v>
      </c>
      <c r="G148" s="42">
        <f>'DEFINITIF (APBNP)'!J3282</f>
        <v>38812494.46486</v>
      </c>
      <c r="H148" s="42">
        <f>'DEFINITIF (APBNP)'!K3282</f>
        <v>47978703.46486</v>
      </c>
      <c r="I148" s="42">
        <f>'DEFINITIF (APBNP)'!L3282</f>
        <v>16136140</v>
      </c>
      <c r="J148" s="42">
        <f>'DEFINITIF (APBNP)'!M3282</f>
        <v>14000000</v>
      </c>
      <c r="K148" s="43">
        <f>'DEFINITIF (APBNP)'!N3282</f>
        <v>30136140</v>
      </c>
      <c r="L148" s="42">
        <f>'DEFINITIF (APBNP)'!O3282</f>
        <v>152515927.46485999</v>
      </c>
    </row>
    <row r="149" spans="1:12" s="5" customFormat="1" ht="20.100000000000001" customHeight="1" x14ac:dyDescent="0.25">
      <c r="A149" s="11">
        <v>39</v>
      </c>
      <c r="B149" s="44" t="str">
        <f>'[2]Versi Pagu Anggaran'!B2699</f>
        <v>SATKER DIREKTORAT LLAJ</v>
      </c>
      <c r="C149" s="44">
        <f>'DEFINITIF (APBNP)'!F2811</f>
        <v>0</v>
      </c>
      <c r="D149" s="44">
        <f>'DEFINITIF (APBNP)'!G2811</f>
        <v>0</v>
      </c>
      <c r="E149" s="44">
        <f>'DEFINITIF (APBNP)'!H2811</f>
        <v>0</v>
      </c>
      <c r="F149" s="44">
        <f>'DEFINITIF (APBNP)'!I2811</f>
        <v>0</v>
      </c>
      <c r="G149" s="44">
        <f>'DEFINITIF (APBNP)'!J2811</f>
        <v>270052100</v>
      </c>
      <c r="H149" s="44">
        <f>'DEFINITIF (APBNP)'!K2811</f>
        <v>270052100</v>
      </c>
      <c r="I149" s="44">
        <f>'DEFINITIF (APBNP)'!L2811</f>
        <v>54616500</v>
      </c>
      <c r="J149" s="44">
        <f>'DEFINITIF (APBNP)'!M2811</f>
        <v>0</v>
      </c>
      <c r="K149" s="44">
        <f>'DEFINITIF (APBNP)'!N2811</f>
        <v>54616500</v>
      </c>
      <c r="L149" s="1758">
        <f>'DEFINITIF (APBNP)'!O2811</f>
        <v>324668600</v>
      </c>
    </row>
    <row r="150" spans="1:12" s="5" customFormat="1" ht="20.100000000000001" customHeight="1" x14ac:dyDescent="0.25">
      <c r="A150" s="11">
        <v>40</v>
      </c>
      <c r="B150" s="41" t="s">
        <v>831</v>
      </c>
      <c r="C150" s="37">
        <f>'DEFINITIF (APBNP)'!F3057</f>
        <v>0</v>
      </c>
      <c r="D150" s="37">
        <f>'DEFINITIF (APBNP)'!G3057</f>
        <v>588600</v>
      </c>
      <c r="E150" s="37">
        <f>'DEFINITIF (APBNP)'!H3057</f>
        <v>588600</v>
      </c>
      <c r="F150" s="37">
        <f>'DEFINITIF (APBNP)'!I3057</f>
        <v>0</v>
      </c>
      <c r="G150" s="37">
        <f>'DEFINITIF (APBNP)'!J3057</f>
        <v>20813316</v>
      </c>
      <c r="H150" s="37">
        <f>'DEFINITIF (APBNP)'!K3057</f>
        <v>20813316</v>
      </c>
      <c r="I150" s="37">
        <f>'DEFINITIF (APBNP)'!L3057</f>
        <v>1516815000</v>
      </c>
      <c r="J150" s="37">
        <f>'DEFINITIF (APBNP)'!M3057</f>
        <v>0</v>
      </c>
      <c r="K150" s="37">
        <f>'DEFINITIF (APBNP)'!N3057</f>
        <v>1516815000</v>
      </c>
      <c r="L150" s="57">
        <f>'DEFINITIF (APBNP)'!O3057</f>
        <v>1538216916</v>
      </c>
    </row>
    <row r="151" spans="1:12" s="5" customFormat="1" ht="20.100000000000001" customHeight="1" x14ac:dyDescent="0.25">
      <c r="A151" s="11">
        <v>41</v>
      </c>
      <c r="B151" s="36" t="s">
        <v>832</v>
      </c>
      <c r="C151" s="37">
        <f>'DEFINITIF (APBNP)'!F3168</f>
        <v>0</v>
      </c>
      <c r="D151" s="37">
        <f>'DEFINITIF (APBNP)'!G3168</f>
        <v>0</v>
      </c>
      <c r="E151" s="37">
        <f>'DEFINITIF (APBNP)'!H3168</f>
        <v>0</v>
      </c>
      <c r="F151" s="37">
        <f>'DEFINITIF (APBNP)'!I3168</f>
        <v>0</v>
      </c>
      <c r="G151" s="37">
        <f>'DEFINITIF (APBNP)'!J3168</f>
        <v>47526190</v>
      </c>
      <c r="H151" s="37">
        <f>'DEFINITIF (APBNP)'!K3168</f>
        <v>47526190</v>
      </c>
      <c r="I151" s="37">
        <f>'DEFINITIF (APBNP)'!L3168</f>
        <v>10232810</v>
      </c>
      <c r="J151" s="37">
        <f>'DEFINITIF (APBNP)'!M3168</f>
        <v>0</v>
      </c>
      <c r="K151" s="38">
        <f>'DEFINITIF (APBNP)'!N3168</f>
        <v>10232810</v>
      </c>
      <c r="L151" s="56">
        <f>'DEFINITIF (APBNP)'!O3168</f>
        <v>57759000</v>
      </c>
    </row>
    <row r="152" spans="1:12" s="5" customFormat="1" ht="20.100000000000001" hidden="1" customHeight="1" x14ac:dyDescent="0.25">
      <c r="A152" s="6" t="s">
        <v>322</v>
      </c>
      <c r="B152" s="26" t="s">
        <v>833</v>
      </c>
      <c r="C152" s="27"/>
      <c r="D152" s="27"/>
      <c r="E152" s="27"/>
      <c r="F152" s="27"/>
      <c r="G152" s="27"/>
      <c r="H152" s="27"/>
      <c r="I152" s="27"/>
      <c r="J152" s="27"/>
      <c r="K152" s="29"/>
      <c r="L152" s="28"/>
    </row>
    <row r="153" spans="1:12" s="5" customFormat="1" ht="20.100000000000001" hidden="1" customHeight="1" x14ac:dyDescent="0.25">
      <c r="A153" s="6" t="s">
        <v>834</v>
      </c>
      <c r="B153" s="26" t="s">
        <v>835</v>
      </c>
      <c r="C153" s="27"/>
      <c r="D153" s="27"/>
      <c r="E153" s="27"/>
      <c r="F153" s="27"/>
      <c r="G153" s="27"/>
      <c r="H153" s="27"/>
      <c r="I153" s="27"/>
      <c r="J153" s="27"/>
      <c r="K153" s="29"/>
      <c r="L153" s="28"/>
    </row>
    <row r="154" spans="1:12" s="5" customFormat="1" ht="20.100000000000001" hidden="1" customHeight="1" x14ac:dyDescent="0.25">
      <c r="A154" s="6" t="s">
        <v>836</v>
      </c>
      <c r="B154" s="26" t="s">
        <v>837</v>
      </c>
      <c r="C154" s="27"/>
      <c r="D154" s="27"/>
      <c r="E154" s="27"/>
      <c r="F154" s="27"/>
      <c r="G154" s="27"/>
      <c r="H154" s="27"/>
      <c r="I154" s="27"/>
      <c r="J154" s="27"/>
      <c r="K154" s="29"/>
      <c r="L154" s="28"/>
    </row>
    <row r="155" spans="1:12" s="5" customFormat="1" ht="20.100000000000001" hidden="1" customHeight="1" x14ac:dyDescent="0.25">
      <c r="A155" s="6" t="s">
        <v>838</v>
      </c>
      <c r="B155" s="26" t="s">
        <v>839</v>
      </c>
      <c r="C155" s="27"/>
      <c r="D155" s="27"/>
      <c r="E155" s="27"/>
      <c r="F155" s="27"/>
      <c r="G155" s="27"/>
      <c r="H155" s="27"/>
      <c r="I155" s="27"/>
      <c r="J155" s="27"/>
      <c r="K155" s="29"/>
      <c r="L155" s="28"/>
    </row>
    <row r="156" spans="1:12" s="5" customFormat="1" ht="20.100000000000001" hidden="1" customHeight="1" x14ac:dyDescent="0.25">
      <c r="A156" s="6" t="s">
        <v>840</v>
      </c>
      <c r="B156" s="26" t="s">
        <v>841</v>
      </c>
      <c r="C156" s="27"/>
      <c r="D156" s="27"/>
      <c r="E156" s="27"/>
      <c r="F156" s="27"/>
      <c r="G156" s="27"/>
      <c r="H156" s="27"/>
      <c r="I156" s="27"/>
      <c r="J156" s="27"/>
      <c r="K156" s="29"/>
      <c r="L156" s="28"/>
    </row>
    <row r="157" spans="1:12" s="5" customFormat="1" ht="20.100000000000001" hidden="1" customHeight="1" x14ac:dyDescent="0.25">
      <c r="A157" s="6" t="s">
        <v>842</v>
      </c>
      <c r="B157" s="45" t="s">
        <v>843</v>
      </c>
      <c r="C157" s="27"/>
      <c r="D157" s="27"/>
      <c r="E157" s="27"/>
      <c r="F157" s="27"/>
      <c r="G157" s="27"/>
      <c r="H157" s="27"/>
      <c r="I157" s="27"/>
      <c r="J157" s="27"/>
      <c r="K157" s="29"/>
      <c r="L157" s="28"/>
    </row>
    <row r="158" spans="1:12" s="5" customFormat="1" ht="20.100000000000001" customHeight="1" x14ac:dyDescent="0.25">
      <c r="A158" s="6"/>
      <c r="B158" s="39"/>
      <c r="C158" s="27"/>
      <c r="D158" s="27"/>
      <c r="E158" s="27"/>
      <c r="F158" s="27"/>
      <c r="G158" s="27"/>
      <c r="H158" s="27"/>
      <c r="I158" s="27"/>
      <c r="J158" s="27"/>
      <c r="K158" s="29"/>
      <c r="L158" s="33"/>
    </row>
    <row r="159" spans="1:12" s="5" customFormat="1" ht="20.100000000000001" customHeight="1" x14ac:dyDescent="0.25">
      <c r="A159" s="6">
        <v>42</v>
      </c>
      <c r="B159" s="40" t="str">
        <f>'[2]Versi Pagu Anggaran'!B5083</f>
        <v>BPLJSKB BEKASI</v>
      </c>
      <c r="C159" s="46">
        <f>'DEFINITIF (APBNP)'!F4399</f>
        <v>6544888.5806000009</v>
      </c>
      <c r="D159" s="46">
        <f>'DEFINITIF (APBNP)'!G4399</f>
        <v>0</v>
      </c>
      <c r="E159" s="46">
        <f>'DEFINITIF (APBNP)'!H4399</f>
        <v>6544888.5806000009</v>
      </c>
      <c r="F159" s="46">
        <f>'DEFINITIF (APBNP)'!I4399</f>
        <v>6063658</v>
      </c>
      <c r="G159" s="46">
        <f>'DEFINITIF (APBNP)'!J4399</f>
        <v>3736625</v>
      </c>
      <c r="H159" s="46">
        <f>'DEFINITIF (APBNP)'!K4399</f>
        <v>9800283</v>
      </c>
      <c r="I159" s="46">
        <f>'DEFINITIF (APBNP)'!L4399</f>
        <v>12889106</v>
      </c>
      <c r="J159" s="46">
        <f>'DEFINITIF (APBNP)'!M4399</f>
        <v>2200000</v>
      </c>
      <c r="K159" s="47">
        <f>'DEFINITIF (APBNP)'!N4399</f>
        <v>15089106</v>
      </c>
      <c r="L159" s="1759">
        <f>'DEFINITIF (APBNP)'!O4399</f>
        <v>31434277.580600001</v>
      </c>
    </row>
    <row r="160" spans="1:12" s="5" customFormat="1" ht="20.100000000000001" customHeight="1" thickBot="1" x14ac:dyDescent="0.3">
      <c r="A160" s="48"/>
      <c r="B160" s="49"/>
      <c r="C160" s="50"/>
      <c r="D160" s="50"/>
      <c r="E160" s="50"/>
      <c r="F160" s="50"/>
      <c r="G160" s="50"/>
      <c r="H160" s="50"/>
      <c r="I160" s="50"/>
      <c r="J160" s="50"/>
      <c r="K160" s="51"/>
      <c r="L160" s="52"/>
    </row>
    <row r="161" spans="1:12" s="5" customFormat="1" ht="20.100000000000001" customHeight="1" thickBot="1" x14ac:dyDescent="0.3">
      <c r="A161" s="12"/>
      <c r="B161" s="7" t="s">
        <v>844</v>
      </c>
      <c r="C161" s="8">
        <f t="shared" ref="C161:K161" si="0">SUM(C10:C159)</f>
        <v>80945972.580599993</v>
      </c>
      <c r="D161" s="8">
        <f t="shared" si="0"/>
        <v>588600</v>
      </c>
      <c r="E161" s="8">
        <f t="shared" si="0"/>
        <v>81534572.580599993</v>
      </c>
      <c r="F161" s="8">
        <f>SUM(F10:F159)</f>
        <v>24217718</v>
      </c>
      <c r="G161" s="8">
        <f t="shared" si="0"/>
        <v>719682272.46485996</v>
      </c>
      <c r="H161" s="8">
        <f t="shared" si="0"/>
        <v>743899990.46485996</v>
      </c>
      <c r="I161" s="8">
        <f t="shared" si="0"/>
        <v>2134532178.5999999</v>
      </c>
      <c r="J161" s="8">
        <f t="shared" si="0"/>
        <v>16200000</v>
      </c>
      <c r="K161" s="14">
        <f t="shared" si="0"/>
        <v>2150732178.5999999</v>
      </c>
      <c r="L161" s="15">
        <f>SUM(L10:L159)</f>
        <v>2976166741.6454597</v>
      </c>
    </row>
  </sheetData>
  <mergeCells count="18">
    <mergeCell ref="G6:G7"/>
    <mergeCell ref="H6:H7"/>
    <mergeCell ref="I6:I7"/>
    <mergeCell ref="J6:J7"/>
    <mergeCell ref="K6:K7"/>
    <mergeCell ref="A1:L1"/>
    <mergeCell ref="A2:L2"/>
    <mergeCell ref="A3:L3"/>
    <mergeCell ref="A5:A7"/>
    <mergeCell ref="B5:B7"/>
    <mergeCell ref="C5:E5"/>
    <mergeCell ref="F5:H5"/>
    <mergeCell ref="I5:K5"/>
    <mergeCell ref="L5:L7"/>
    <mergeCell ref="C6:C7"/>
    <mergeCell ref="D6:D7"/>
    <mergeCell ref="E6:E7"/>
    <mergeCell ref="F6:F7"/>
  </mergeCells>
  <printOptions horizontalCentered="1"/>
  <pageMargins left="0.19685039370078741" right="0" top="3.937007874015748E-2" bottom="0.39370078740157483" header="0.23622047244094491" footer="0.47244094488188981"/>
  <pageSetup paperSize="9" scale="31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16</vt:i4>
      </vt:variant>
    </vt:vector>
  </HeadingPairs>
  <TitlesOfParts>
    <vt:vector size="25" baseType="lpstr">
      <vt:lpstr>DEFINITIF (APBNP)</vt:lpstr>
      <vt:lpstr>PEMB. TERMINAL</vt:lpstr>
      <vt:lpstr>REHAB. TERMINAL</vt:lpstr>
      <vt:lpstr> JT</vt:lpstr>
      <vt:lpstr>Perl Jalan</vt:lpstr>
      <vt:lpstr>BUS</vt:lpstr>
      <vt:lpstr>SUBSIDI PERINTIS</vt:lpstr>
      <vt:lpstr>ATCS &amp; INTEGRASI</vt:lpstr>
      <vt:lpstr>REKAP PROP</vt:lpstr>
      <vt:lpstr>' JT'!Print_Area</vt:lpstr>
      <vt:lpstr>'ATCS &amp; INTEGRASI'!Print_Area</vt:lpstr>
      <vt:lpstr>BUS!Print_Area</vt:lpstr>
      <vt:lpstr>'DEFINITIF (APBNP)'!Print_Area</vt:lpstr>
      <vt:lpstr>'PEMB. TERMINAL'!Print_Area</vt:lpstr>
      <vt:lpstr>'Perl Jalan'!Print_Area</vt:lpstr>
      <vt:lpstr>'REHAB. TERMINAL'!Print_Area</vt:lpstr>
      <vt:lpstr>'REKAP PROP'!Print_Area</vt:lpstr>
      <vt:lpstr>'SUBSIDI PERINTIS'!Print_Area</vt:lpstr>
      <vt:lpstr>'ATCS &amp; INTEGRASI'!Print_Titles</vt:lpstr>
      <vt:lpstr>BUS!Print_Titles</vt:lpstr>
      <vt:lpstr>'DEFINITIF (APBNP)'!Print_Titles</vt:lpstr>
      <vt:lpstr>'PEMB. TERMINAL'!Print_Titles</vt:lpstr>
      <vt:lpstr>'Perl Jalan'!Print_Titles</vt:lpstr>
      <vt:lpstr>'REKAP PROP'!Print_Titles</vt:lpstr>
      <vt:lpstr>'SUBSIDI PERINTIS'!Print_Titles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Dm6</dc:creator>
  <cp:lastModifiedBy>LENOVO 4</cp:lastModifiedBy>
  <cp:lastPrinted>2019-04-23T00:23:25Z</cp:lastPrinted>
  <dcterms:created xsi:type="dcterms:W3CDTF">2013-02-19T10:08:03Z</dcterms:created>
  <dcterms:modified xsi:type="dcterms:W3CDTF">2019-04-23T00:46:06Z</dcterms:modified>
</cp:coreProperties>
</file>